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lton.netta\py\"/>
    </mc:Choice>
  </mc:AlternateContent>
  <xr:revisionPtr revIDLastSave="0" documentId="13_ncr:1_{60074079-1359-428E-A8A3-84EE3AE293CF}" xr6:coauthVersionLast="47" xr6:coauthVersionMax="47" xr10:uidLastSave="{00000000-0000-0000-0000-000000000000}"/>
  <bookViews>
    <workbookView xWindow="30480" yWindow="480" windowWidth="25965" windowHeight="14235" activeTab="3" xr2:uid="{00000000-000D-0000-FFFF-FFFF00000000}"/>
  </bookViews>
  <sheets>
    <sheet name="H" sheetId="1" r:id="rId1"/>
    <sheet name="D" sheetId="2" r:id="rId2"/>
    <sheet name="S" sheetId="5" state="hidden" r:id="rId3"/>
    <sheet name="k" sheetId="4" r:id="rId4"/>
    <sheet name="Static" sheetId="14" state="hidden" r:id="rId5"/>
    <sheet name="Summary" sheetId="6" state="hidden" r:id="rId6"/>
    <sheet name="Glbl Expsr" sheetId="7" state="hidden" r:id="rId7"/>
    <sheet name="Data" sheetId="8" state="hidden" r:id="rId8"/>
    <sheet name="Deltas" sheetId="9" state="hidden" r:id="rId9"/>
    <sheet name="BM" sheetId="13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_xlnm._FilterDatabase" localSheetId="9" hidden="1">BM!$A$1:$E$2647</definedName>
    <definedName name="_xlnm._FilterDatabase" localSheetId="7" hidden="1">Data!$A$1:$AA$136</definedName>
    <definedName name="_xlnm._FilterDatabase" localSheetId="0" hidden="1">H!$A$1:$AQ$3597</definedName>
    <definedName name="_xlnm._FilterDatabase" localSheetId="2" hidden="1">S!$A$1:$P$76</definedName>
    <definedName name="Hols">Static!$A$1:$A$29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9" i="5" l="1"/>
  <c r="M59" i="5"/>
  <c r="L59" i="5"/>
  <c r="K59" i="5"/>
  <c r="J59" i="5"/>
  <c r="I59" i="5"/>
  <c r="H59" i="5"/>
  <c r="G59" i="5"/>
  <c r="F59" i="5"/>
  <c r="E59" i="5"/>
  <c r="D59" i="5"/>
  <c r="C59" i="5"/>
  <c r="B59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N4" i="5"/>
  <c r="M4" i="5"/>
  <c r="L4" i="5"/>
  <c r="K4" i="5"/>
  <c r="J4" i="5"/>
  <c r="I4" i="5"/>
  <c r="H4" i="5"/>
  <c r="G4" i="5"/>
  <c r="F4" i="5"/>
  <c r="E4" i="5"/>
  <c r="D4" i="5"/>
  <c r="C4" i="5"/>
  <c r="B4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N2" i="5"/>
  <c r="M2" i="5"/>
  <c r="L2" i="5"/>
  <c r="K2" i="5"/>
  <c r="J2" i="5"/>
  <c r="I2" i="5"/>
  <c r="H2" i="5"/>
  <c r="G2" i="5"/>
  <c r="F2" i="5"/>
  <c r="E2" i="5"/>
  <c r="D2" i="5"/>
  <c r="C2" i="5"/>
  <c r="B2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5" i="5"/>
  <c r="M5" i="5"/>
  <c r="L5" i="5"/>
  <c r="K5" i="5"/>
  <c r="J5" i="5"/>
  <c r="I5" i="5"/>
  <c r="H5" i="5"/>
  <c r="G5" i="5"/>
  <c r="F5" i="5"/>
  <c r="E5" i="5"/>
  <c r="D5" i="5"/>
  <c r="C5" i="5"/>
  <c r="B5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N3" i="5"/>
  <c r="M3" i="5"/>
  <c r="L3" i="5"/>
  <c r="K3" i="5"/>
  <c r="J3" i="5"/>
  <c r="I3" i="5"/>
  <c r="H3" i="5"/>
  <c r="G3" i="5"/>
  <c r="F3" i="5"/>
  <c r="E3" i="5"/>
  <c r="D3" i="5"/>
  <c r="C3" i="5"/>
  <c r="B3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N8" i="5"/>
  <c r="M8" i="5"/>
  <c r="L8" i="5"/>
  <c r="K8" i="5"/>
  <c r="J8" i="5"/>
  <c r="I8" i="5"/>
  <c r="H8" i="5"/>
  <c r="G8" i="5"/>
  <c r="F8" i="5"/>
  <c r="E8" i="5"/>
  <c r="D8" i="5"/>
  <c r="C8" i="5"/>
  <c r="B8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7" i="5"/>
  <c r="M7" i="5"/>
  <c r="L7" i="5"/>
  <c r="K7" i="5"/>
  <c r="J7" i="5"/>
  <c r="I7" i="5"/>
  <c r="H7" i="5"/>
  <c r="G7" i="5"/>
  <c r="F7" i="5"/>
  <c r="E7" i="5"/>
  <c r="D7" i="5"/>
  <c r="C7" i="5"/>
  <c r="B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N6" i="5"/>
  <c r="M6" i="5"/>
  <c r="L6" i="5"/>
  <c r="K6" i="5"/>
  <c r="J6" i="5"/>
  <c r="I6" i="5"/>
  <c r="H6" i="5"/>
  <c r="G6" i="5"/>
  <c r="F6" i="5"/>
  <c r="E6" i="5"/>
  <c r="D6" i="5"/>
  <c r="C6" i="5"/>
  <c r="B6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S1" i="8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I22" i="6" l="1"/>
  <c r="H22" i="6"/>
  <c r="I19" i="6"/>
  <c r="H19" i="6"/>
  <c r="I16" i="6"/>
  <c r="H16" i="6"/>
  <c r="I13" i="6"/>
  <c r="J13" i="6" s="1" a="1"/>
  <c r="J13" i="6" s="1"/>
  <c r="H13" i="6"/>
  <c r="I10" i="6" a="1"/>
  <c r="I10" i="6" s="1"/>
  <c r="H10" i="6" a="1"/>
  <c r="H10" i="6" s="1"/>
  <c r="I7" i="6" a="1"/>
  <c r="I7" i="6" s="1"/>
  <c r="H7" i="6" a="1"/>
  <c r="H7" i="6" s="1"/>
  <c r="I4" i="6" a="1"/>
  <c r="I4" i="6" s="1"/>
  <c r="H4" i="6" a="1"/>
  <c r="H4" i="6" s="1"/>
  <c r="I1" i="6" a="1"/>
  <c r="I1" i="6" s="1"/>
  <c r="H1" i="6" a="1"/>
  <c r="H1" i="6" s="1"/>
  <c r="C78" i="6" a="1"/>
  <c r="C78" i="6" s="1"/>
  <c r="B78" i="6" a="1"/>
  <c r="B78" i="6" s="1"/>
  <c r="A78" i="6" a="1"/>
  <c r="A78" i="6" s="1"/>
  <c r="C77" i="6" a="1"/>
  <c r="C77" i="6" s="1"/>
  <c r="B77" i="6" a="1"/>
  <c r="B77" i="6" s="1"/>
  <c r="A77" i="6" a="1"/>
  <c r="A77" i="6" s="1"/>
  <c r="C71" i="6" a="1"/>
  <c r="C71" i="6" s="1"/>
  <c r="B71" i="6" a="1"/>
  <c r="B71" i="6" s="1"/>
  <c r="A71" i="6" a="1"/>
  <c r="A71" i="6" s="1"/>
  <c r="C70" i="6" a="1"/>
  <c r="C70" i="6" s="1"/>
  <c r="B70" i="6" a="1"/>
  <c r="B70" i="6" s="1"/>
  <c r="A70" i="6" a="1"/>
  <c r="A70" i="6" s="1"/>
  <c r="C67" i="6" a="1"/>
  <c r="C67" i="6" s="1"/>
  <c r="B67" i="6" a="1"/>
  <c r="B67" i="6" s="1"/>
  <c r="A67" i="6" a="1"/>
  <c r="A67" i="6" s="1"/>
  <c r="C66" i="6" a="1"/>
  <c r="C66" i="6" s="1"/>
  <c r="B66" i="6" a="1"/>
  <c r="B66" i="6" s="1"/>
  <c r="A66" i="6" a="1"/>
  <c r="A66" i="6" s="1"/>
  <c r="C65" i="6" a="1"/>
  <c r="C65" i="6" s="1"/>
  <c r="B65" i="6" a="1"/>
  <c r="B65" i="6" s="1"/>
  <c r="A65" i="6" a="1"/>
  <c r="A65" i="6" s="1"/>
  <c r="C64" i="6" a="1"/>
  <c r="C64" i="6" s="1"/>
  <c r="B64" i="6" a="1"/>
  <c r="B64" i="6" s="1"/>
  <c r="A64" i="6" a="1"/>
  <c r="A64" i="6" s="1"/>
  <c r="C61" i="6" a="1"/>
  <c r="C61" i="6" s="1"/>
  <c r="B61" i="6" a="1"/>
  <c r="B61" i="6" s="1"/>
  <c r="A61" i="6" a="1"/>
  <c r="A61" i="6" s="1"/>
  <c r="C60" i="6" a="1"/>
  <c r="C60" i="6" s="1"/>
  <c r="B60" i="6" a="1"/>
  <c r="B60" i="6" s="1"/>
  <c r="A60" i="6" a="1"/>
  <c r="A60" i="6" s="1"/>
  <c r="C59" i="6" a="1"/>
  <c r="C59" i="6" s="1"/>
  <c r="B59" i="6" a="1"/>
  <c r="B59" i="6" s="1"/>
  <c r="A59" i="6" a="1"/>
  <c r="A59" i="6" s="1"/>
  <c r="C58" i="6" a="1"/>
  <c r="C58" i="6" s="1"/>
  <c r="B58" i="6" a="1"/>
  <c r="B58" i="6" s="1"/>
  <c r="A58" i="6" a="1"/>
  <c r="A58" i="6" s="1"/>
  <c r="C57" i="6" a="1"/>
  <c r="C57" i="6" s="1"/>
  <c r="B57" i="6" a="1"/>
  <c r="B57" i="6" s="1"/>
  <c r="C46" i="6" a="1"/>
  <c r="C46" i="6" s="1"/>
  <c r="B46" i="6" a="1"/>
  <c r="B46" i="6" s="1"/>
  <c r="B19" i="6" a="1"/>
  <c r="B19" i="6" s="1"/>
  <c r="B18" i="6" a="1"/>
  <c r="B18" i="6" s="1"/>
  <c r="F1" i="7"/>
  <c r="C69" i="6" l="1"/>
  <c r="C76" i="6"/>
  <c r="J16" i="6" a="1"/>
  <c r="J16" i="6" s="1"/>
  <c r="K16" i="6" s="1" a="1"/>
  <c r="K16" i="6" s="1"/>
  <c r="K17" i="6" s="1"/>
  <c r="J7" i="6" a="1"/>
  <c r="J7" i="6" s="1"/>
  <c r="J22" i="6" a="1"/>
  <c r="J22" i="6" s="1"/>
  <c r="K22" i="6" s="1" a="1"/>
  <c r="K22" i="6" s="1"/>
  <c r="L22" i="6" s="1" a="1"/>
  <c r="L22" i="6" s="1"/>
  <c r="J1" i="6" a="1"/>
  <c r="J1" i="6" s="1"/>
  <c r="J4" i="6" a="1"/>
  <c r="J4" i="6" s="1"/>
  <c r="J10" i="6" a="1"/>
  <c r="J10" i="6" s="1"/>
  <c r="K13" i="6" a="1"/>
  <c r="K13" i="6" s="1"/>
  <c r="L13" i="6" s="1" a="1"/>
  <c r="L13" i="6" s="1"/>
  <c r="J19" i="6" a="1"/>
  <c r="J19" i="6" s="1"/>
  <c r="B69" i="6"/>
  <c r="B63" i="6"/>
  <c r="C63" i="6"/>
  <c r="C73" i="6" s="1"/>
  <c r="C56" i="6"/>
  <c r="B76" i="6"/>
  <c r="B56" i="6"/>
  <c r="G3" i="6"/>
  <c r="C54" i="6" l="1"/>
  <c r="K7" i="6" a="1"/>
  <c r="K7" i="6" s="1"/>
  <c r="K8" i="6" s="1"/>
  <c r="L16" i="6" a="1"/>
  <c r="L16" i="6" s="1"/>
  <c r="M16" i="6" s="1" a="1"/>
  <c r="M16" i="6" s="1"/>
  <c r="M17" i="6" s="1"/>
  <c r="B73" i="6"/>
  <c r="B54" i="6" s="1"/>
  <c r="M22" i="6" a="1"/>
  <c r="M22" i="6" s="1"/>
  <c r="M13" i="6" a="1"/>
  <c r="M13" i="6" s="1"/>
  <c r="K1" i="6" a="1"/>
  <c r="K1" i="6" s="1"/>
  <c r="K4" i="6" a="1"/>
  <c r="K4" i="6" s="1"/>
  <c r="K10" i="6" a="1"/>
  <c r="K10" i="6" s="1"/>
  <c r="K19" i="6" a="1"/>
  <c r="K19" i="6" s="1"/>
  <c r="G52" i="7" a="1"/>
  <c r="G52" i="7" s="1"/>
  <c r="G1" i="7" a="1"/>
  <c r="G1" i="7" s="1"/>
  <c r="L17" i="6" l="1"/>
  <c r="L7" i="6" a="1"/>
  <c r="L7" i="6" s="1"/>
  <c r="L8" i="6" s="1"/>
  <c r="N16" i="6" a="1"/>
  <c r="N16" i="6" s="1"/>
  <c r="N17" i="6" s="1"/>
  <c r="M14" i="6"/>
  <c r="N13" i="6" a="1"/>
  <c r="N13" i="6" s="1"/>
  <c r="L1" i="6" a="1"/>
  <c r="L1" i="6" s="1"/>
  <c r="K11" i="6"/>
  <c r="L4" i="6" a="1"/>
  <c r="L4" i="6" s="1"/>
  <c r="K5" i="6"/>
  <c r="L19" i="6" a="1"/>
  <c r="L19" i="6" s="1"/>
  <c r="L10" i="6" a="1"/>
  <c r="L10" i="6" s="1"/>
  <c r="N22" i="6" a="1"/>
  <c r="N22" i="6" s="1"/>
  <c r="E2647" i="13"/>
  <c r="E2646" i="13"/>
  <c r="E2645" i="13"/>
  <c r="E2644" i="13"/>
  <c r="E2643" i="13"/>
  <c r="E2642" i="13"/>
  <c r="E2641" i="13"/>
  <c r="E2640" i="13"/>
  <c r="E2639" i="13"/>
  <c r="E2638" i="13"/>
  <c r="E2637" i="13"/>
  <c r="E2636" i="13"/>
  <c r="E2635" i="13"/>
  <c r="E2634" i="13"/>
  <c r="E2633" i="13"/>
  <c r="E2632" i="13"/>
  <c r="E2631" i="13"/>
  <c r="E2630" i="13"/>
  <c r="E2629" i="13"/>
  <c r="E2628" i="13"/>
  <c r="E2627" i="13"/>
  <c r="E2626" i="13"/>
  <c r="E2625" i="13"/>
  <c r="E2624" i="13"/>
  <c r="E2623" i="13"/>
  <c r="E2622" i="13"/>
  <c r="E2621" i="13"/>
  <c r="E2620" i="13"/>
  <c r="E2619" i="13"/>
  <c r="E2618" i="13"/>
  <c r="E2617" i="13"/>
  <c r="E2616" i="13"/>
  <c r="E2615" i="13"/>
  <c r="E2614" i="13"/>
  <c r="E2613" i="13"/>
  <c r="E2612" i="13"/>
  <c r="E2611" i="13"/>
  <c r="E2610" i="13"/>
  <c r="E2609" i="13"/>
  <c r="E2608" i="13"/>
  <c r="E2607" i="13"/>
  <c r="E2606" i="13"/>
  <c r="E2605" i="13"/>
  <c r="E2604" i="13"/>
  <c r="E2603" i="13"/>
  <c r="E2602" i="13"/>
  <c r="E2601" i="13"/>
  <c r="E2600" i="13"/>
  <c r="E2599" i="13"/>
  <c r="E2598" i="13"/>
  <c r="E2597" i="13"/>
  <c r="E2596" i="13"/>
  <c r="E2595" i="13"/>
  <c r="E2594" i="13"/>
  <c r="E2593" i="13"/>
  <c r="E2592" i="13"/>
  <c r="E2591" i="13"/>
  <c r="E2590" i="13"/>
  <c r="E2589" i="13"/>
  <c r="E2588" i="13"/>
  <c r="E2587" i="13"/>
  <c r="E2586" i="13"/>
  <c r="E2585" i="13"/>
  <c r="E2584" i="13"/>
  <c r="E2583" i="13"/>
  <c r="E2582" i="13"/>
  <c r="E2581" i="13"/>
  <c r="E2580" i="13"/>
  <c r="E2579" i="13"/>
  <c r="E2578" i="13"/>
  <c r="E2577" i="13"/>
  <c r="E2576" i="13"/>
  <c r="E2575" i="13"/>
  <c r="E2574" i="13"/>
  <c r="E2573" i="13"/>
  <c r="E2572" i="13"/>
  <c r="E2571" i="13"/>
  <c r="E2570" i="13"/>
  <c r="E2569" i="13"/>
  <c r="E2568" i="13"/>
  <c r="E2567" i="13"/>
  <c r="E2566" i="13"/>
  <c r="E2565" i="13"/>
  <c r="E2564" i="13"/>
  <c r="E2563" i="13"/>
  <c r="E2562" i="13"/>
  <c r="E2561" i="13"/>
  <c r="E2560" i="13"/>
  <c r="E2559" i="13"/>
  <c r="E2558" i="13"/>
  <c r="E2557" i="13"/>
  <c r="E2556" i="13"/>
  <c r="E2555" i="13"/>
  <c r="E2554" i="13"/>
  <c r="E2553" i="13"/>
  <c r="E2552" i="13"/>
  <c r="E2551" i="13"/>
  <c r="E2550" i="13"/>
  <c r="E2549" i="13"/>
  <c r="E2548" i="13"/>
  <c r="E2547" i="13"/>
  <c r="E2546" i="13"/>
  <c r="E2545" i="13"/>
  <c r="E2544" i="13"/>
  <c r="E2543" i="13"/>
  <c r="E2542" i="13"/>
  <c r="E2541" i="13"/>
  <c r="E2540" i="13"/>
  <c r="E2539" i="13"/>
  <c r="E2538" i="13"/>
  <c r="E2537" i="13"/>
  <c r="E2536" i="13"/>
  <c r="E2535" i="13"/>
  <c r="E2534" i="13"/>
  <c r="E2533" i="13"/>
  <c r="E2532" i="13"/>
  <c r="E2531" i="13"/>
  <c r="E2530" i="13"/>
  <c r="E2529" i="13"/>
  <c r="E2528" i="13"/>
  <c r="E2527" i="13"/>
  <c r="E2526" i="13"/>
  <c r="E2525" i="13"/>
  <c r="E2524" i="13"/>
  <c r="E2523" i="13"/>
  <c r="E2522" i="13"/>
  <c r="E2521" i="13"/>
  <c r="E2520" i="13"/>
  <c r="E2519" i="13"/>
  <c r="E2518" i="13"/>
  <c r="E2517" i="13"/>
  <c r="E2516" i="13"/>
  <c r="E2515" i="13"/>
  <c r="E2514" i="13"/>
  <c r="E2513" i="13"/>
  <c r="E2512" i="13"/>
  <c r="E2511" i="13"/>
  <c r="E2510" i="13"/>
  <c r="E2509" i="13"/>
  <c r="E2508" i="13"/>
  <c r="E2507" i="13"/>
  <c r="E2506" i="13"/>
  <c r="E2505" i="13"/>
  <c r="E2504" i="13"/>
  <c r="E2503" i="13"/>
  <c r="E2502" i="13"/>
  <c r="E2501" i="13"/>
  <c r="E2500" i="13"/>
  <c r="E2499" i="13"/>
  <c r="E2498" i="13"/>
  <c r="E2497" i="13"/>
  <c r="E2496" i="13"/>
  <c r="E2495" i="13"/>
  <c r="E2494" i="13"/>
  <c r="E2493" i="13"/>
  <c r="E2492" i="13"/>
  <c r="E2491" i="13"/>
  <c r="E2490" i="13"/>
  <c r="E2489" i="13"/>
  <c r="E2488" i="13"/>
  <c r="E2487" i="13"/>
  <c r="E2486" i="13"/>
  <c r="E2485" i="13"/>
  <c r="E2484" i="13"/>
  <c r="E2483" i="13"/>
  <c r="E2482" i="13"/>
  <c r="E2481" i="13"/>
  <c r="E2480" i="13"/>
  <c r="E2479" i="13"/>
  <c r="E2478" i="13"/>
  <c r="E2477" i="13"/>
  <c r="E2476" i="13"/>
  <c r="E2475" i="13"/>
  <c r="E2474" i="13"/>
  <c r="E2473" i="13"/>
  <c r="E2472" i="13"/>
  <c r="E2471" i="13"/>
  <c r="E2470" i="13"/>
  <c r="E2469" i="13"/>
  <c r="E2468" i="13"/>
  <c r="E2467" i="13"/>
  <c r="E2466" i="13"/>
  <c r="E2465" i="13"/>
  <c r="E2464" i="13"/>
  <c r="E2463" i="13"/>
  <c r="E2462" i="13"/>
  <c r="E2461" i="13"/>
  <c r="E2460" i="13"/>
  <c r="E2459" i="13"/>
  <c r="E2458" i="13"/>
  <c r="E2457" i="13"/>
  <c r="E2456" i="13"/>
  <c r="E2455" i="13"/>
  <c r="E2454" i="13"/>
  <c r="E2453" i="13"/>
  <c r="E2452" i="13"/>
  <c r="E2451" i="13"/>
  <c r="E2450" i="13"/>
  <c r="E2449" i="13"/>
  <c r="E2448" i="13"/>
  <c r="E2447" i="13"/>
  <c r="E2446" i="13"/>
  <c r="E2445" i="13"/>
  <c r="E2444" i="13"/>
  <c r="E2443" i="13"/>
  <c r="E2442" i="13"/>
  <c r="E2441" i="13"/>
  <c r="E2440" i="13"/>
  <c r="E2439" i="13"/>
  <c r="E2438" i="13"/>
  <c r="E2437" i="13"/>
  <c r="E2436" i="13"/>
  <c r="E2435" i="13"/>
  <c r="E2434" i="13"/>
  <c r="E2433" i="13"/>
  <c r="E2432" i="13"/>
  <c r="E2431" i="13"/>
  <c r="E2430" i="13"/>
  <c r="E2429" i="13"/>
  <c r="E2428" i="13"/>
  <c r="E2427" i="13"/>
  <c r="E2426" i="13"/>
  <c r="E2425" i="13"/>
  <c r="E2424" i="13"/>
  <c r="E2423" i="13"/>
  <c r="E2422" i="13"/>
  <c r="E2421" i="13"/>
  <c r="E2420" i="13"/>
  <c r="E2419" i="13"/>
  <c r="E2418" i="13"/>
  <c r="E2417" i="13"/>
  <c r="E2416" i="13"/>
  <c r="E2415" i="13"/>
  <c r="E2414" i="13"/>
  <c r="E2413" i="13"/>
  <c r="E2412" i="13"/>
  <c r="E2411" i="13"/>
  <c r="E2410" i="13"/>
  <c r="E2409" i="13"/>
  <c r="E2408" i="13"/>
  <c r="E2407" i="13"/>
  <c r="E2406" i="13"/>
  <c r="E2405" i="13"/>
  <c r="E2404" i="13"/>
  <c r="E2403" i="13"/>
  <c r="E2402" i="13"/>
  <c r="E2401" i="13"/>
  <c r="E2400" i="13"/>
  <c r="E2399" i="13"/>
  <c r="E2398" i="13"/>
  <c r="E2397" i="13"/>
  <c r="E2396" i="13"/>
  <c r="E2395" i="13"/>
  <c r="E2394" i="13"/>
  <c r="E2393" i="13"/>
  <c r="E2392" i="13"/>
  <c r="E2391" i="13"/>
  <c r="E2390" i="13"/>
  <c r="E2389" i="13"/>
  <c r="E2388" i="13"/>
  <c r="E2387" i="13"/>
  <c r="E2386" i="13"/>
  <c r="E2385" i="13"/>
  <c r="E2384" i="13"/>
  <c r="E2383" i="13"/>
  <c r="E2382" i="13"/>
  <c r="E2381" i="13"/>
  <c r="E2380" i="13"/>
  <c r="E2379" i="13"/>
  <c r="E2378" i="13"/>
  <c r="E2377" i="13"/>
  <c r="E2376" i="13"/>
  <c r="E2375" i="13"/>
  <c r="E2374" i="13"/>
  <c r="E2373" i="13"/>
  <c r="E2372" i="13"/>
  <c r="E2371" i="13"/>
  <c r="E2370" i="13"/>
  <c r="E2369" i="13"/>
  <c r="E2368" i="13"/>
  <c r="E2367" i="13"/>
  <c r="E2366" i="13"/>
  <c r="E2365" i="13"/>
  <c r="E2364" i="13"/>
  <c r="E2363" i="13"/>
  <c r="E2362" i="13"/>
  <c r="E2361" i="13"/>
  <c r="E2360" i="13"/>
  <c r="E2359" i="13"/>
  <c r="E2358" i="13"/>
  <c r="E2357" i="13"/>
  <c r="E2356" i="13"/>
  <c r="E2355" i="13"/>
  <c r="E2354" i="13"/>
  <c r="E2353" i="13"/>
  <c r="E2352" i="13"/>
  <c r="E2351" i="13"/>
  <c r="E2350" i="13"/>
  <c r="E2349" i="13"/>
  <c r="E2348" i="13"/>
  <c r="E2347" i="13"/>
  <c r="E2346" i="13"/>
  <c r="E2345" i="13"/>
  <c r="E2344" i="13"/>
  <c r="E2343" i="13"/>
  <c r="E2342" i="13"/>
  <c r="E2341" i="13"/>
  <c r="E2340" i="13"/>
  <c r="E2339" i="13"/>
  <c r="E2338" i="13"/>
  <c r="E2337" i="13"/>
  <c r="E2336" i="13"/>
  <c r="E2335" i="13"/>
  <c r="E2334" i="13"/>
  <c r="E2333" i="13"/>
  <c r="E2332" i="13"/>
  <c r="E2331" i="13"/>
  <c r="E2330" i="13"/>
  <c r="E2329" i="13"/>
  <c r="E2328" i="13"/>
  <c r="E2327" i="13"/>
  <c r="E2326" i="13"/>
  <c r="E2325" i="13"/>
  <c r="E2324" i="13"/>
  <c r="E2323" i="13"/>
  <c r="E2322" i="13"/>
  <c r="E2321" i="13"/>
  <c r="E2320" i="13"/>
  <c r="E2319" i="13"/>
  <c r="E2318" i="13"/>
  <c r="E2317" i="13"/>
  <c r="E2316" i="13"/>
  <c r="E2315" i="13"/>
  <c r="E2314" i="13"/>
  <c r="E2313" i="13"/>
  <c r="E2312" i="13"/>
  <c r="E2311" i="13"/>
  <c r="E2310" i="13"/>
  <c r="E2309" i="13"/>
  <c r="E2308" i="13"/>
  <c r="E2307" i="13"/>
  <c r="E2306" i="13"/>
  <c r="E2305" i="13"/>
  <c r="E2304" i="13"/>
  <c r="E2303" i="13"/>
  <c r="E2302" i="13"/>
  <c r="E2301" i="13"/>
  <c r="E2300" i="13"/>
  <c r="E2299" i="13"/>
  <c r="E2298" i="13"/>
  <c r="E2297" i="13"/>
  <c r="E2296" i="13"/>
  <c r="E2295" i="13"/>
  <c r="E2294" i="13"/>
  <c r="E2293" i="13"/>
  <c r="E2292" i="13"/>
  <c r="E2291" i="13"/>
  <c r="E2290" i="13"/>
  <c r="E2289" i="13"/>
  <c r="E2288" i="13"/>
  <c r="E2287" i="13"/>
  <c r="E2286" i="13"/>
  <c r="E2285" i="13"/>
  <c r="E2284" i="13"/>
  <c r="E2283" i="13"/>
  <c r="E2282" i="13"/>
  <c r="E2281" i="13"/>
  <c r="E2280" i="13"/>
  <c r="E2279" i="13"/>
  <c r="E2278" i="13"/>
  <c r="E2277" i="13"/>
  <c r="E2276" i="13"/>
  <c r="E2275" i="13"/>
  <c r="E2274" i="13"/>
  <c r="E2273" i="13"/>
  <c r="E2272" i="13"/>
  <c r="E2271" i="13"/>
  <c r="E2270" i="13"/>
  <c r="E2269" i="13"/>
  <c r="E2268" i="13"/>
  <c r="E2267" i="13"/>
  <c r="E2266" i="13"/>
  <c r="E2265" i="13"/>
  <c r="E2264" i="13"/>
  <c r="E2263" i="13"/>
  <c r="E2262" i="13"/>
  <c r="E2261" i="13"/>
  <c r="E2260" i="13"/>
  <c r="E2259" i="13"/>
  <c r="E2258" i="13"/>
  <c r="E2257" i="13"/>
  <c r="E2256" i="13"/>
  <c r="E2255" i="13"/>
  <c r="E2254" i="13"/>
  <c r="E2253" i="13"/>
  <c r="E2252" i="13"/>
  <c r="E2251" i="13"/>
  <c r="E2250" i="13"/>
  <c r="E2249" i="13"/>
  <c r="E2248" i="13"/>
  <c r="E2247" i="13"/>
  <c r="E2246" i="13"/>
  <c r="E2245" i="13"/>
  <c r="E2244" i="13"/>
  <c r="E2243" i="13"/>
  <c r="E2242" i="13"/>
  <c r="E2241" i="13"/>
  <c r="E2240" i="13"/>
  <c r="E2239" i="13"/>
  <c r="E2238" i="13"/>
  <c r="E2237" i="13"/>
  <c r="E2236" i="13"/>
  <c r="E2235" i="13"/>
  <c r="E2234" i="13"/>
  <c r="E2233" i="13"/>
  <c r="E2232" i="13"/>
  <c r="E2231" i="13"/>
  <c r="E2230" i="13"/>
  <c r="E2229" i="13"/>
  <c r="E2228" i="13"/>
  <c r="E2227" i="13"/>
  <c r="E2226" i="13"/>
  <c r="E2225" i="13"/>
  <c r="E2224" i="13"/>
  <c r="E2223" i="13"/>
  <c r="E2222" i="13"/>
  <c r="E2221" i="13"/>
  <c r="E2220" i="13"/>
  <c r="E2219" i="13"/>
  <c r="E2218" i="13"/>
  <c r="E2217" i="13"/>
  <c r="E2216" i="13"/>
  <c r="E2215" i="13"/>
  <c r="E2214" i="13"/>
  <c r="E2213" i="13"/>
  <c r="E2212" i="13"/>
  <c r="E2211" i="13"/>
  <c r="E2210" i="13"/>
  <c r="E2209" i="13"/>
  <c r="E2208" i="13"/>
  <c r="E2207" i="13"/>
  <c r="E2206" i="13"/>
  <c r="E2205" i="13"/>
  <c r="E2204" i="13"/>
  <c r="E2203" i="13"/>
  <c r="E2202" i="13"/>
  <c r="E2201" i="13"/>
  <c r="E2200" i="13"/>
  <c r="E2199" i="13"/>
  <c r="E2198" i="13"/>
  <c r="E2197" i="13"/>
  <c r="E2196" i="13"/>
  <c r="E2195" i="13"/>
  <c r="E2194" i="13"/>
  <c r="E2193" i="13"/>
  <c r="E2192" i="13"/>
  <c r="E2191" i="13"/>
  <c r="E2190" i="13"/>
  <c r="E2189" i="13"/>
  <c r="E2188" i="13"/>
  <c r="E2187" i="13"/>
  <c r="E2186" i="13"/>
  <c r="E2185" i="13"/>
  <c r="E2184" i="13"/>
  <c r="E2183" i="13"/>
  <c r="E2182" i="13"/>
  <c r="E2181" i="13"/>
  <c r="E2180" i="13"/>
  <c r="E2179" i="13"/>
  <c r="E2178" i="13"/>
  <c r="E2177" i="13"/>
  <c r="E2176" i="13"/>
  <c r="E2175" i="13"/>
  <c r="E2174" i="13"/>
  <c r="E2173" i="13"/>
  <c r="E2172" i="13"/>
  <c r="E2171" i="13"/>
  <c r="E2170" i="13"/>
  <c r="E2169" i="13"/>
  <c r="E2168" i="13"/>
  <c r="E2167" i="13"/>
  <c r="E2166" i="13"/>
  <c r="E2165" i="13"/>
  <c r="E2164" i="13"/>
  <c r="E2163" i="13"/>
  <c r="E2162" i="13"/>
  <c r="E2161" i="13"/>
  <c r="E2160" i="13"/>
  <c r="E2159" i="13"/>
  <c r="E2158" i="13"/>
  <c r="E2157" i="13"/>
  <c r="E2156" i="13"/>
  <c r="E2155" i="13"/>
  <c r="E2154" i="13"/>
  <c r="E2153" i="13"/>
  <c r="E2152" i="13"/>
  <c r="E2151" i="13"/>
  <c r="E2150" i="13"/>
  <c r="E2149" i="13"/>
  <c r="E2148" i="13"/>
  <c r="E2147" i="13"/>
  <c r="E2146" i="13"/>
  <c r="E2145" i="13"/>
  <c r="E2144" i="13"/>
  <c r="E2143" i="13"/>
  <c r="E2142" i="13"/>
  <c r="E2141" i="13"/>
  <c r="E2140" i="13"/>
  <c r="E2139" i="13"/>
  <c r="E2138" i="13"/>
  <c r="E2137" i="13"/>
  <c r="E2136" i="13"/>
  <c r="E2135" i="13"/>
  <c r="E2134" i="13"/>
  <c r="E2133" i="13"/>
  <c r="E2132" i="13"/>
  <c r="E2131" i="13"/>
  <c r="E2130" i="13"/>
  <c r="E2129" i="13"/>
  <c r="E2128" i="13"/>
  <c r="E2127" i="13"/>
  <c r="E2126" i="13"/>
  <c r="E2125" i="13"/>
  <c r="E2124" i="13"/>
  <c r="E2123" i="13"/>
  <c r="E2122" i="13"/>
  <c r="E2121" i="13"/>
  <c r="E2120" i="13"/>
  <c r="E2119" i="13"/>
  <c r="E2118" i="13"/>
  <c r="E2117" i="13"/>
  <c r="E2116" i="13"/>
  <c r="E2115" i="13"/>
  <c r="E2114" i="13"/>
  <c r="E2113" i="13"/>
  <c r="E2112" i="13"/>
  <c r="E2111" i="13"/>
  <c r="E2110" i="13"/>
  <c r="E2109" i="13"/>
  <c r="E2108" i="13"/>
  <c r="E2107" i="13"/>
  <c r="E2106" i="13"/>
  <c r="E2105" i="13"/>
  <c r="E2104" i="13"/>
  <c r="E2103" i="13"/>
  <c r="E2102" i="13"/>
  <c r="E2101" i="13"/>
  <c r="E2100" i="13"/>
  <c r="E2099" i="13"/>
  <c r="E2098" i="13"/>
  <c r="E2097" i="13"/>
  <c r="E2096" i="13"/>
  <c r="E2095" i="13"/>
  <c r="E2094" i="13"/>
  <c r="E2093" i="13"/>
  <c r="E2092" i="13"/>
  <c r="E2091" i="13"/>
  <c r="E2090" i="13"/>
  <c r="E2089" i="13"/>
  <c r="E2088" i="13"/>
  <c r="E2087" i="13"/>
  <c r="E2086" i="13"/>
  <c r="E2085" i="13"/>
  <c r="E2084" i="13"/>
  <c r="E2083" i="13"/>
  <c r="E2082" i="13"/>
  <c r="E2081" i="13"/>
  <c r="E2080" i="13"/>
  <c r="E2079" i="13"/>
  <c r="E2078" i="13"/>
  <c r="E2077" i="13"/>
  <c r="E2076" i="13"/>
  <c r="E2075" i="13"/>
  <c r="E2074" i="13"/>
  <c r="E2073" i="13"/>
  <c r="E2072" i="13"/>
  <c r="E2071" i="13"/>
  <c r="E2070" i="13"/>
  <c r="E2069" i="13"/>
  <c r="E2068" i="13"/>
  <c r="E2067" i="13"/>
  <c r="E2066" i="13"/>
  <c r="E2065" i="13"/>
  <c r="E2064" i="13"/>
  <c r="E2063" i="13"/>
  <c r="E2062" i="13"/>
  <c r="E2061" i="13"/>
  <c r="E2060" i="13"/>
  <c r="E2059" i="13"/>
  <c r="E2058" i="13"/>
  <c r="E2057" i="13"/>
  <c r="E2056" i="13"/>
  <c r="E2055" i="13"/>
  <c r="E2054" i="13"/>
  <c r="E2053" i="13"/>
  <c r="E2052" i="13"/>
  <c r="E2051" i="13"/>
  <c r="E2050" i="13"/>
  <c r="E2049" i="13"/>
  <c r="E2048" i="13"/>
  <c r="E2047" i="13"/>
  <c r="E2046" i="13"/>
  <c r="E2045" i="13"/>
  <c r="E2044" i="13"/>
  <c r="E2043" i="13"/>
  <c r="E2042" i="13"/>
  <c r="E2041" i="13"/>
  <c r="E2040" i="13"/>
  <c r="E2039" i="13"/>
  <c r="E2038" i="13"/>
  <c r="E2037" i="13"/>
  <c r="E2036" i="13"/>
  <c r="E2035" i="13"/>
  <c r="E2034" i="13"/>
  <c r="E2033" i="13"/>
  <c r="E2032" i="13"/>
  <c r="E2031" i="13"/>
  <c r="E2030" i="13"/>
  <c r="E2029" i="13"/>
  <c r="E2028" i="13"/>
  <c r="E2027" i="13"/>
  <c r="E2026" i="13"/>
  <c r="E2025" i="13"/>
  <c r="E2024" i="13"/>
  <c r="E2023" i="13"/>
  <c r="E2022" i="13"/>
  <c r="E2021" i="13"/>
  <c r="E2020" i="13"/>
  <c r="E2019" i="13"/>
  <c r="E2018" i="13"/>
  <c r="E2017" i="13"/>
  <c r="E2016" i="13"/>
  <c r="E2015" i="13"/>
  <c r="E2014" i="13"/>
  <c r="E2013" i="13"/>
  <c r="E2012" i="13"/>
  <c r="E2011" i="13"/>
  <c r="E2010" i="13"/>
  <c r="E2009" i="13"/>
  <c r="E2008" i="13"/>
  <c r="E2007" i="13"/>
  <c r="E2006" i="13"/>
  <c r="E2005" i="13"/>
  <c r="E2004" i="13"/>
  <c r="E2003" i="13"/>
  <c r="E2002" i="13"/>
  <c r="E2001" i="13"/>
  <c r="E2000" i="13"/>
  <c r="E1999" i="13"/>
  <c r="E1998" i="13"/>
  <c r="E1997" i="13"/>
  <c r="E1996" i="13"/>
  <c r="E1995" i="13"/>
  <c r="E1994" i="13"/>
  <c r="E1993" i="13"/>
  <c r="E1992" i="13"/>
  <c r="E1991" i="13"/>
  <c r="E1990" i="13"/>
  <c r="E1989" i="13"/>
  <c r="E1988" i="13"/>
  <c r="E1987" i="13"/>
  <c r="E1986" i="13"/>
  <c r="E1985" i="13"/>
  <c r="E1984" i="13"/>
  <c r="E1983" i="13"/>
  <c r="E1982" i="13"/>
  <c r="E1981" i="13"/>
  <c r="E1980" i="13"/>
  <c r="E1979" i="13"/>
  <c r="E1978" i="13"/>
  <c r="E1977" i="13"/>
  <c r="E1976" i="13"/>
  <c r="E1975" i="13"/>
  <c r="E1974" i="13"/>
  <c r="E1973" i="13"/>
  <c r="E1972" i="13"/>
  <c r="E1971" i="13"/>
  <c r="E1970" i="13"/>
  <c r="E1969" i="13"/>
  <c r="E1968" i="13"/>
  <c r="E1967" i="13"/>
  <c r="E1966" i="13"/>
  <c r="E1965" i="13"/>
  <c r="E1964" i="13"/>
  <c r="E1963" i="13"/>
  <c r="E1962" i="13"/>
  <c r="E1961" i="13"/>
  <c r="E1960" i="13"/>
  <c r="E1959" i="13"/>
  <c r="E1958" i="13"/>
  <c r="E1957" i="13"/>
  <c r="E1956" i="13"/>
  <c r="E1955" i="13"/>
  <c r="E1954" i="13"/>
  <c r="E1953" i="13"/>
  <c r="E1952" i="13"/>
  <c r="E1951" i="13"/>
  <c r="E1950" i="13"/>
  <c r="E1949" i="13"/>
  <c r="E1948" i="13"/>
  <c r="E1947" i="13"/>
  <c r="E1946" i="13"/>
  <c r="E1945" i="13"/>
  <c r="E1944" i="13"/>
  <c r="E1943" i="13"/>
  <c r="E1942" i="13"/>
  <c r="E1941" i="13"/>
  <c r="E1940" i="13"/>
  <c r="E1939" i="13"/>
  <c r="E1938" i="13"/>
  <c r="E1937" i="13"/>
  <c r="E1936" i="13"/>
  <c r="E1935" i="13"/>
  <c r="E1934" i="13"/>
  <c r="E1933" i="13"/>
  <c r="E1932" i="13"/>
  <c r="E1931" i="13"/>
  <c r="E1930" i="13"/>
  <c r="E1929" i="13"/>
  <c r="E1928" i="13"/>
  <c r="E1927" i="13"/>
  <c r="E1926" i="13"/>
  <c r="E1925" i="13"/>
  <c r="E1924" i="13"/>
  <c r="E1923" i="13"/>
  <c r="E1922" i="13"/>
  <c r="E1921" i="13"/>
  <c r="E1920" i="13"/>
  <c r="E1919" i="13"/>
  <c r="E1918" i="13"/>
  <c r="E1917" i="13"/>
  <c r="E1916" i="13"/>
  <c r="E1915" i="13"/>
  <c r="E1914" i="13"/>
  <c r="E1913" i="13"/>
  <c r="E1912" i="13"/>
  <c r="E1911" i="13"/>
  <c r="E1910" i="13"/>
  <c r="E1909" i="13"/>
  <c r="E1908" i="13"/>
  <c r="E1907" i="13"/>
  <c r="E1906" i="13"/>
  <c r="E1905" i="13"/>
  <c r="E1904" i="13"/>
  <c r="E1903" i="13"/>
  <c r="E1902" i="13"/>
  <c r="E1901" i="13"/>
  <c r="E1900" i="13"/>
  <c r="E1899" i="13"/>
  <c r="E1898" i="13"/>
  <c r="E1897" i="13"/>
  <c r="E1896" i="13"/>
  <c r="E1895" i="13"/>
  <c r="E1894" i="13"/>
  <c r="E1893" i="13"/>
  <c r="E1892" i="13"/>
  <c r="E1891" i="13"/>
  <c r="E1890" i="13"/>
  <c r="E1889" i="13"/>
  <c r="E1888" i="13"/>
  <c r="E1887" i="13"/>
  <c r="E1886" i="13"/>
  <c r="E1885" i="13"/>
  <c r="E1884" i="13"/>
  <c r="E1883" i="13"/>
  <c r="E1882" i="13"/>
  <c r="E1881" i="13"/>
  <c r="E1880" i="13"/>
  <c r="E1879" i="13"/>
  <c r="E1878" i="13"/>
  <c r="E1877" i="13"/>
  <c r="E1876" i="13"/>
  <c r="E1875" i="13"/>
  <c r="E1874" i="13"/>
  <c r="E1873" i="13"/>
  <c r="E1872" i="13"/>
  <c r="E1871" i="13"/>
  <c r="E1870" i="13"/>
  <c r="E1869" i="13"/>
  <c r="E1868" i="13"/>
  <c r="E1867" i="13"/>
  <c r="E1866" i="13"/>
  <c r="E1865" i="13"/>
  <c r="E1864" i="13"/>
  <c r="E1863" i="13"/>
  <c r="E1862" i="13"/>
  <c r="E1861" i="13"/>
  <c r="E1860" i="13"/>
  <c r="E1859" i="13"/>
  <c r="E1858" i="13"/>
  <c r="E1857" i="13"/>
  <c r="E1856" i="13"/>
  <c r="E1855" i="13"/>
  <c r="E1854" i="13"/>
  <c r="E1853" i="13"/>
  <c r="E1852" i="13"/>
  <c r="E1851" i="13"/>
  <c r="E1850" i="13"/>
  <c r="E1849" i="13"/>
  <c r="E1848" i="13"/>
  <c r="E1847" i="13"/>
  <c r="E1846" i="13"/>
  <c r="E1845" i="13"/>
  <c r="E1844" i="13"/>
  <c r="E1843" i="13"/>
  <c r="E1842" i="13"/>
  <c r="E1841" i="13"/>
  <c r="E1840" i="13"/>
  <c r="E1839" i="13"/>
  <c r="E1838" i="13"/>
  <c r="E1837" i="13"/>
  <c r="E1836" i="13"/>
  <c r="E1835" i="13"/>
  <c r="E1834" i="13"/>
  <c r="E1833" i="13"/>
  <c r="E1832" i="13"/>
  <c r="E1831" i="13"/>
  <c r="E1830" i="13"/>
  <c r="E1829" i="13"/>
  <c r="E1828" i="13"/>
  <c r="E1827" i="13"/>
  <c r="E1826" i="13"/>
  <c r="E1825" i="13"/>
  <c r="E1824" i="13"/>
  <c r="E1823" i="13"/>
  <c r="E1822" i="13"/>
  <c r="E1821" i="13"/>
  <c r="E1820" i="13"/>
  <c r="E1819" i="13"/>
  <c r="E1818" i="13"/>
  <c r="E1817" i="13"/>
  <c r="E1816" i="13"/>
  <c r="E1815" i="13"/>
  <c r="E1814" i="13"/>
  <c r="E1813" i="13"/>
  <c r="E1812" i="13"/>
  <c r="E1811" i="13"/>
  <c r="E1810" i="13"/>
  <c r="E1809" i="13"/>
  <c r="E1808" i="13"/>
  <c r="E1807" i="13"/>
  <c r="E1806" i="13"/>
  <c r="E1805" i="13"/>
  <c r="E1804" i="13"/>
  <c r="E1803" i="13"/>
  <c r="E1802" i="13"/>
  <c r="E1801" i="13"/>
  <c r="E1800" i="13"/>
  <c r="E1799" i="13"/>
  <c r="E1798" i="13"/>
  <c r="E1797" i="13"/>
  <c r="E1796" i="13"/>
  <c r="E1795" i="13"/>
  <c r="E1794" i="13"/>
  <c r="E1793" i="13"/>
  <c r="E1792" i="13"/>
  <c r="E1791" i="13"/>
  <c r="E1790" i="13"/>
  <c r="E1789" i="13"/>
  <c r="E1788" i="13"/>
  <c r="E1787" i="13"/>
  <c r="E1786" i="13"/>
  <c r="E1785" i="13"/>
  <c r="E1784" i="13"/>
  <c r="E1783" i="13"/>
  <c r="E1782" i="13"/>
  <c r="E1781" i="13"/>
  <c r="E1780" i="13"/>
  <c r="E1779" i="13"/>
  <c r="E1778" i="13"/>
  <c r="E1777" i="13"/>
  <c r="E1776" i="13"/>
  <c r="E1775" i="13"/>
  <c r="E1774" i="13"/>
  <c r="E1773" i="13"/>
  <c r="E1772" i="13"/>
  <c r="E1771" i="13"/>
  <c r="E1770" i="13"/>
  <c r="E1769" i="13"/>
  <c r="E1768" i="13"/>
  <c r="E1767" i="13"/>
  <c r="E1766" i="13"/>
  <c r="E1765" i="13"/>
  <c r="E1764" i="13"/>
  <c r="E1763" i="13"/>
  <c r="E1762" i="13"/>
  <c r="E1761" i="13"/>
  <c r="E1760" i="13"/>
  <c r="E1759" i="13"/>
  <c r="E1758" i="13"/>
  <c r="E1757" i="13"/>
  <c r="E1756" i="13"/>
  <c r="E1755" i="13"/>
  <c r="E1754" i="13"/>
  <c r="E1753" i="13"/>
  <c r="E1752" i="13"/>
  <c r="E1751" i="13"/>
  <c r="E1750" i="13"/>
  <c r="E1749" i="13"/>
  <c r="E1748" i="13"/>
  <c r="E1747" i="13"/>
  <c r="E1746" i="13"/>
  <c r="E1745" i="13"/>
  <c r="E1744" i="13"/>
  <c r="E1743" i="13"/>
  <c r="E1742" i="13"/>
  <c r="E1741" i="13"/>
  <c r="E1740" i="13"/>
  <c r="E1739" i="13"/>
  <c r="E1738" i="13"/>
  <c r="E1737" i="13"/>
  <c r="E1736" i="13"/>
  <c r="E1735" i="13"/>
  <c r="E1734" i="13"/>
  <c r="E1733" i="13"/>
  <c r="E1732" i="13"/>
  <c r="E1731" i="13"/>
  <c r="E1730" i="13"/>
  <c r="E1729" i="13"/>
  <c r="E1728" i="13"/>
  <c r="E1727" i="13"/>
  <c r="E1726" i="13"/>
  <c r="E1725" i="13"/>
  <c r="E1724" i="13"/>
  <c r="E1723" i="13"/>
  <c r="E1722" i="13"/>
  <c r="E1721" i="13"/>
  <c r="E1720" i="13"/>
  <c r="E1719" i="13"/>
  <c r="E1718" i="13"/>
  <c r="E1717" i="13"/>
  <c r="E1716" i="13"/>
  <c r="E1715" i="13"/>
  <c r="E1714" i="13"/>
  <c r="E1713" i="13"/>
  <c r="E1712" i="13"/>
  <c r="E1711" i="13"/>
  <c r="E1710" i="13"/>
  <c r="E1709" i="13"/>
  <c r="E1708" i="13"/>
  <c r="E1707" i="13"/>
  <c r="E1706" i="13"/>
  <c r="E1705" i="13"/>
  <c r="E1704" i="13"/>
  <c r="E1703" i="13"/>
  <c r="E1702" i="13"/>
  <c r="E1701" i="13"/>
  <c r="E1700" i="13"/>
  <c r="E1699" i="13"/>
  <c r="E1698" i="13"/>
  <c r="E1697" i="13"/>
  <c r="E1696" i="13"/>
  <c r="E1695" i="13"/>
  <c r="E1694" i="13"/>
  <c r="E1693" i="13"/>
  <c r="E1692" i="13"/>
  <c r="E1691" i="13"/>
  <c r="E1690" i="13"/>
  <c r="E1689" i="13"/>
  <c r="E1688" i="13"/>
  <c r="E1687" i="13"/>
  <c r="E1686" i="13"/>
  <c r="E1685" i="13"/>
  <c r="E1684" i="13"/>
  <c r="E1683" i="13"/>
  <c r="E1682" i="13"/>
  <c r="E1681" i="13"/>
  <c r="E1680" i="13"/>
  <c r="E1679" i="13"/>
  <c r="E1678" i="13"/>
  <c r="E1677" i="13"/>
  <c r="E1676" i="13"/>
  <c r="E1675" i="13"/>
  <c r="E1674" i="13"/>
  <c r="E1673" i="13"/>
  <c r="E1672" i="13"/>
  <c r="E1671" i="13"/>
  <c r="E1670" i="13"/>
  <c r="E1669" i="13"/>
  <c r="V1668" i="13"/>
  <c r="E1668" i="13"/>
  <c r="V1667" i="13"/>
  <c r="E1667" i="13"/>
  <c r="V1666" i="13"/>
  <c r="E1666" i="13"/>
  <c r="V1665" i="13"/>
  <c r="E1665" i="13"/>
  <c r="V1664" i="13"/>
  <c r="E1664" i="13"/>
  <c r="V1663" i="13"/>
  <c r="E1663" i="13"/>
  <c r="V1662" i="13"/>
  <c r="E1662" i="13"/>
  <c r="V1661" i="13"/>
  <c r="E1661" i="13"/>
  <c r="V1660" i="13"/>
  <c r="E1660" i="13"/>
  <c r="V1659" i="13"/>
  <c r="E1659" i="13"/>
  <c r="V1658" i="13"/>
  <c r="E1658" i="13"/>
  <c r="V1657" i="13"/>
  <c r="E1657" i="13"/>
  <c r="V1656" i="13"/>
  <c r="E1656" i="13"/>
  <c r="V1655" i="13"/>
  <c r="E1655" i="13"/>
  <c r="V1654" i="13"/>
  <c r="E1654" i="13"/>
  <c r="V1653" i="13"/>
  <c r="E1653" i="13"/>
  <c r="V1652" i="13"/>
  <c r="E1652" i="13"/>
  <c r="V1651" i="13"/>
  <c r="E1651" i="13"/>
  <c r="V1650" i="13"/>
  <c r="E1650" i="13"/>
  <c r="V1649" i="13"/>
  <c r="E1649" i="13"/>
  <c r="V1648" i="13"/>
  <c r="E1648" i="13"/>
  <c r="V1647" i="13"/>
  <c r="E1647" i="13"/>
  <c r="V1646" i="13"/>
  <c r="E1646" i="13"/>
  <c r="V1645" i="13"/>
  <c r="E1645" i="13"/>
  <c r="V1644" i="13"/>
  <c r="E1644" i="13"/>
  <c r="V1643" i="13"/>
  <c r="E1643" i="13"/>
  <c r="V1642" i="13"/>
  <c r="E1642" i="13"/>
  <c r="V1641" i="13"/>
  <c r="E1641" i="13"/>
  <c r="V1640" i="13"/>
  <c r="E1640" i="13"/>
  <c r="V1639" i="13"/>
  <c r="E1639" i="13"/>
  <c r="V1638" i="13"/>
  <c r="E1638" i="13"/>
  <c r="V1637" i="13"/>
  <c r="E1637" i="13"/>
  <c r="V1636" i="13"/>
  <c r="E1636" i="13"/>
  <c r="V1635" i="13"/>
  <c r="E1635" i="13"/>
  <c r="V1634" i="13"/>
  <c r="E1634" i="13"/>
  <c r="V1633" i="13"/>
  <c r="E1633" i="13"/>
  <c r="V1632" i="13"/>
  <c r="E1632" i="13"/>
  <c r="V1631" i="13"/>
  <c r="E1631" i="13"/>
  <c r="V1630" i="13"/>
  <c r="E1630" i="13"/>
  <c r="V1629" i="13"/>
  <c r="E1629" i="13"/>
  <c r="V1628" i="13"/>
  <c r="E1628" i="13"/>
  <c r="V1627" i="13"/>
  <c r="E1627" i="13"/>
  <c r="V1626" i="13"/>
  <c r="E1626" i="13"/>
  <c r="V1625" i="13"/>
  <c r="E1625" i="13"/>
  <c r="V1624" i="13"/>
  <c r="E1624" i="13"/>
  <c r="V1623" i="13"/>
  <c r="E1623" i="13"/>
  <c r="V1622" i="13"/>
  <c r="E1622" i="13"/>
  <c r="V1621" i="13"/>
  <c r="E1621" i="13"/>
  <c r="V1620" i="13"/>
  <c r="E1620" i="13"/>
  <c r="V1619" i="13"/>
  <c r="E1619" i="13"/>
  <c r="V1618" i="13"/>
  <c r="E1618" i="13"/>
  <c r="V1617" i="13"/>
  <c r="E1617" i="13"/>
  <c r="V1616" i="13"/>
  <c r="E1616" i="13"/>
  <c r="V1615" i="13"/>
  <c r="E1615" i="13"/>
  <c r="V1614" i="13"/>
  <c r="E1614" i="13"/>
  <c r="V1613" i="13"/>
  <c r="E1613" i="13"/>
  <c r="V1612" i="13"/>
  <c r="E1612" i="13"/>
  <c r="V1611" i="13"/>
  <c r="E1611" i="13"/>
  <c r="V1610" i="13"/>
  <c r="E1610" i="13"/>
  <c r="V1609" i="13"/>
  <c r="E1609" i="13"/>
  <c r="V1608" i="13"/>
  <c r="E1608" i="13"/>
  <c r="V1607" i="13"/>
  <c r="E1607" i="13"/>
  <c r="V1606" i="13"/>
  <c r="E1606" i="13"/>
  <c r="V1605" i="13"/>
  <c r="E1605" i="13"/>
  <c r="V1604" i="13"/>
  <c r="E1604" i="13"/>
  <c r="V1603" i="13"/>
  <c r="E1603" i="13"/>
  <c r="V1602" i="13"/>
  <c r="E1602" i="13"/>
  <c r="V1601" i="13"/>
  <c r="E1601" i="13"/>
  <c r="V1600" i="13"/>
  <c r="E1600" i="13"/>
  <c r="V1599" i="13"/>
  <c r="E1599" i="13"/>
  <c r="V1598" i="13"/>
  <c r="E1598" i="13"/>
  <c r="V1597" i="13"/>
  <c r="E1597" i="13"/>
  <c r="V1596" i="13"/>
  <c r="E1596" i="13"/>
  <c r="V1595" i="13"/>
  <c r="E1595" i="13"/>
  <c r="V1594" i="13"/>
  <c r="E1594" i="13"/>
  <c r="V1593" i="13"/>
  <c r="E1593" i="13"/>
  <c r="V1592" i="13"/>
  <c r="E1592" i="13"/>
  <c r="V1591" i="13"/>
  <c r="E1591" i="13"/>
  <c r="V1590" i="13"/>
  <c r="E1590" i="13"/>
  <c r="V1589" i="13"/>
  <c r="E1589" i="13"/>
  <c r="V1588" i="13"/>
  <c r="E1588" i="13"/>
  <c r="V1587" i="13"/>
  <c r="E1587" i="13"/>
  <c r="V1586" i="13"/>
  <c r="E1586" i="13"/>
  <c r="V1585" i="13"/>
  <c r="E1585" i="13"/>
  <c r="V1584" i="13"/>
  <c r="E1584" i="13"/>
  <c r="V1583" i="13"/>
  <c r="E1583" i="13"/>
  <c r="V1582" i="13"/>
  <c r="E1582" i="13"/>
  <c r="V1581" i="13"/>
  <c r="E1581" i="13"/>
  <c r="V1580" i="13"/>
  <c r="E1580" i="13"/>
  <c r="V1579" i="13"/>
  <c r="E1579" i="13"/>
  <c r="V1578" i="13"/>
  <c r="E1578" i="13"/>
  <c r="V1577" i="13"/>
  <c r="E1577" i="13"/>
  <c r="V1576" i="13"/>
  <c r="E1576" i="13"/>
  <c r="V1575" i="13"/>
  <c r="E1575" i="13"/>
  <c r="V1574" i="13"/>
  <c r="E1574" i="13"/>
  <c r="V1573" i="13"/>
  <c r="E1573" i="13"/>
  <c r="V1572" i="13"/>
  <c r="E1572" i="13"/>
  <c r="V1571" i="13"/>
  <c r="E1571" i="13"/>
  <c r="V1570" i="13"/>
  <c r="E1570" i="13"/>
  <c r="V1569" i="13"/>
  <c r="E1569" i="13"/>
  <c r="V1568" i="13"/>
  <c r="E1568" i="13"/>
  <c r="V1567" i="13"/>
  <c r="E1567" i="13"/>
  <c r="V1566" i="13"/>
  <c r="E1566" i="13"/>
  <c r="V1565" i="13"/>
  <c r="E1565" i="13"/>
  <c r="V1564" i="13"/>
  <c r="E1564" i="13"/>
  <c r="V1563" i="13"/>
  <c r="E1563" i="13"/>
  <c r="V1562" i="13"/>
  <c r="E1562" i="13"/>
  <c r="V1561" i="13"/>
  <c r="E1561" i="13"/>
  <c r="V1560" i="13"/>
  <c r="E1560" i="13"/>
  <c r="V1559" i="13"/>
  <c r="E1559" i="13"/>
  <c r="V1558" i="13"/>
  <c r="E1558" i="13"/>
  <c r="V1557" i="13"/>
  <c r="E1557" i="13"/>
  <c r="V1556" i="13"/>
  <c r="E1556" i="13"/>
  <c r="V1555" i="13"/>
  <c r="E1555" i="13"/>
  <c r="V1554" i="13"/>
  <c r="E1554" i="13"/>
  <c r="V1553" i="13"/>
  <c r="E1553" i="13"/>
  <c r="V1552" i="13"/>
  <c r="E1552" i="13"/>
  <c r="V1551" i="13"/>
  <c r="E1551" i="13"/>
  <c r="V1550" i="13"/>
  <c r="E1550" i="13"/>
  <c r="V1549" i="13"/>
  <c r="E1549" i="13"/>
  <c r="V1548" i="13"/>
  <c r="E1548" i="13"/>
  <c r="V1547" i="13"/>
  <c r="E1547" i="13"/>
  <c r="V1546" i="13"/>
  <c r="E1546" i="13"/>
  <c r="V1545" i="13"/>
  <c r="E1545" i="13"/>
  <c r="V1544" i="13"/>
  <c r="E1544" i="13"/>
  <c r="V1543" i="13"/>
  <c r="E1543" i="13"/>
  <c r="V1542" i="13"/>
  <c r="E1542" i="13"/>
  <c r="V1541" i="13"/>
  <c r="E1541" i="13"/>
  <c r="V1540" i="13"/>
  <c r="E1540" i="13"/>
  <c r="V1539" i="13"/>
  <c r="E1539" i="13"/>
  <c r="V1538" i="13"/>
  <c r="E1538" i="13"/>
  <c r="V1537" i="13"/>
  <c r="E1537" i="13"/>
  <c r="V1536" i="13"/>
  <c r="E1536" i="13"/>
  <c r="V1535" i="13"/>
  <c r="E1535" i="13"/>
  <c r="V1534" i="13"/>
  <c r="E1534" i="13"/>
  <c r="V1533" i="13"/>
  <c r="E1533" i="13"/>
  <c r="V1532" i="13"/>
  <c r="E1532" i="13"/>
  <c r="V1531" i="13"/>
  <c r="E1531" i="13"/>
  <c r="V1530" i="13"/>
  <c r="E1530" i="13"/>
  <c r="V1529" i="13"/>
  <c r="E1529" i="13"/>
  <c r="V1528" i="13"/>
  <c r="E1528" i="13"/>
  <c r="V1527" i="13"/>
  <c r="E1527" i="13"/>
  <c r="V1526" i="13"/>
  <c r="E1526" i="13"/>
  <c r="V1525" i="13"/>
  <c r="E1525" i="13"/>
  <c r="V1524" i="13"/>
  <c r="E1524" i="13"/>
  <c r="V1523" i="13"/>
  <c r="E1523" i="13"/>
  <c r="V1522" i="13"/>
  <c r="E1522" i="13"/>
  <c r="V1521" i="13"/>
  <c r="E1521" i="13"/>
  <c r="V1520" i="13"/>
  <c r="E1520" i="13"/>
  <c r="V1519" i="13"/>
  <c r="E1519" i="13"/>
  <c r="V1518" i="13"/>
  <c r="E1518" i="13"/>
  <c r="V1517" i="13"/>
  <c r="E1517" i="13"/>
  <c r="V1516" i="13"/>
  <c r="E1516" i="13"/>
  <c r="V1515" i="13"/>
  <c r="E1515" i="13"/>
  <c r="V1514" i="13"/>
  <c r="E1514" i="13"/>
  <c r="V1513" i="13"/>
  <c r="E1513" i="13"/>
  <c r="V1512" i="13"/>
  <c r="E1512" i="13"/>
  <c r="V1511" i="13"/>
  <c r="E1511" i="13"/>
  <c r="V1510" i="13"/>
  <c r="E1510" i="13"/>
  <c r="V1509" i="13"/>
  <c r="E1509" i="13"/>
  <c r="V1508" i="13"/>
  <c r="E1508" i="13"/>
  <c r="V1507" i="13"/>
  <c r="E1507" i="13"/>
  <c r="V1506" i="13"/>
  <c r="E1506" i="13"/>
  <c r="V1505" i="13"/>
  <c r="E1505" i="13"/>
  <c r="V1504" i="13"/>
  <c r="E1504" i="13"/>
  <c r="V1503" i="13"/>
  <c r="E1503" i="13"/>
  <c r="V1502" i="13"/>
  <c r="E1502" i="13"/>
  <c r="V1501" i="13"/>
  <c r="E1501" i="13"/>
  <c r="V1500" i="13"/>
  <c r="E1500" i="13"/>
  <c r="V1499" i="13"/>
  <c r="E1499" i="13"/>
  <c r="V1498" i="13"/>
  <c r="E1498" i="13"/>
  <c r="V1497" i="13"/>
  <c r="E1497" i="13"/>
  <c r="V1496" i="13"/>
  <c r="E1496" i="13"/>
  <c r="V1495" i="13"/>
  <c r="E1495" i="13"/>
  <c r="V1494" i="13"/>
  <c r="E1494" i="13"/>
  <c r="V1493" i="13"/>
  <c r="E1493" i="13"/>
  <c r="V1492" i="13"/>
  <c r="E1492" i="13"/>
  <c r="V1491" i="13"/>
  <c r="E1491" i="13"/>
  <c r="V1490" i="13"/>
  <c r="E1490" i="13"/>
  <c r="V1489" i="13"/>
  <c r="E1489" i="13"/>
  <c r="V1488" i="13"/>
  <c r="E1488" i="13"/>
  <c r="V1487" i="13"/>
  <c r="E1487" i="13"/>
  <c r="V1486" i="13"/>
  <c r="E1486" i="13"/>
  <c r="V1485" i="13"/>
  <c r="E1485" i="13"/>
  <c r="V1484" i="13"/>
  <c r="E1484" i="13"/>
  <c r="V1483" i="13"/>
  <c r="E1483" i="13"/>
  <c r="V1482" i="13"/>
  <c r="E1482" i="13"/>
  <c r="V1481" i="13"/>
  <c r="E1481" i="13"/>
  <c r="V1480" i="13"/>
  <c r="E1480" i="13"/>
  <c r="V1479" i="13"/>
  <c r="E1479" i="13"/>
  <c r="V1478" i="13"/>
  <c r="E1478" i="13"/>
  <c r="V1477" i="13"/>
  <c r="E1477" i="13"/>
  <c r="V1476" i="13"/>
  <c r="E1476" i="13"/>
  <c r="V1475" i="13"/>
  <c r="E1475" i="13"/>
  <c r="V1474" i="13"/>
  <c r="E1474" i="13"/>
  <c r="V1473" i="13"/>
  <c r="E1473" i="13"/>
  <c r="V1472" i="13"/>
  <c r="E1472" i="13"/>
  <c r="V1471" i="13"/>
  <c r="E1471" i="13"/>
  <c r="V1470" i="13"/>
  <c r="E1470" i="13"/>
  <c r="V1469" i="13"/>
  <c r="E1469" i="13"/>
  <c r="V1468" i="13"/>
  <c r="E1468" i="13"/>
  <c r="V1467" i="13"/>
  <c r="E1467" i="13"/>
  <c r="V1466" i="13"/>
  <c r="E1466" i="13"/>
  <c r="V1465" i="13"/>
  <c r="E1465" i="13"/>
  <c r="V1464" i="13"/>
  <c r="E1464" i="13"/>
  <c r="V1463" i="13"/>
  <c r="E1463" i="13"/>
  <c r="V1462" i="13"/>
  <c r="E1462" i="13"/>
  <c r="V1461" i="13"/>
  <c r="E1461" i="13"/>
  <c r="V1460" i="13"/>
  <c r="E1460" i="13"/>
  <c r="V1459" i="13"/>
  <c r="E1459" i="13"/>
  <c r="V1458" i="13"/>
  <c r="E1458" i="13"/>
  <c r="V1457" i="13"/>
  <c r="E1457" i="13"/>
  <c r="V1456" i="13"/>
  <c r="E1456" i="13"/>
  <c r="V1455" i="13"/>
  <c r="E1455" i="13"/>
  <c r="V1454" i="13"/>
  <c r="E1454" i="13"/>
  <c r="V1453" i="13"/>
  <c r="E1453" i="13"/>
  <c r="V1452" i="13"/>
  <c r="E1452" i="13"/>
  <c r="V1451" i="13"/>
  <c r="E1451" i="13"/>
  <c r="V1450" i="13"/>
  <c r="E1450" i="13"/>
  <c r="V1449" i="13"/>
  <c r="E1449" i="13"/>
  <c r="V1448" i="13"/>
  <c r="E1448" i="13"/>
  <c r="V1447" i="13"/>
  <c r="E1447" i="13"/>
  <c r="V1446" i="13"/>
  <c r="E1446" i="13"/>
  <c r="V1445" i="13"/>
  <c r="E1445" i="13"/>
  <c r="V1444" i="13"/>
  <c r="E1444" i="13"/>
  <c r="V1443" i="13"/>
  <c r="E1443" i="13"/>
  <c r="V1442" i="13"/>
  <c r="E1442" i="13"/>
  <c r="V1441" i="13"/>
  <c r="E1441" i="13"/>
  <c r="V1440" i="13"/>
  <c r="E1440" i="13"/>
  <c r="V1439" i="13"/>
  <c r="E1439" i="13"/>
  <c r="V1438" i="13"/>
  <c r="E1438" i="13"/>
  <c r="V1437" i="13"/>
  <c r="E1437" i="13"/>
  <c r="V1436" i="13"/>
  <c r="E1436" i="13"/>
  <c r="V1435" i="13"/>
  <c r="E1435" i="13"/>
  <c r="V1434" i="13"/>
  <c r="E1434" i="13"/>
  <c r="V1433" i="13"/>
  <c r="E1433" i="13"/>
  <c r="V1432" i="13"/>
  <c r="E1432" i="13"/>
  <c r="V1431" i="13"/>
  <c r="E1431" i="13"/>
  <c r="V1430" i="13"/>
  <c r="E1430" i="13"/>
  <c r="V1429" i="13"/>
  <c r="E1429" i="13"/>
  <c r="V1428" i="13"/>
  <c r="E1428" i="13"/>
  <c r="V1427" i="13"/>
  <c r="E1427" i="13"/>
  <c r="V1426" i="13"/>
  <c r="E1426" i="13"/>
  <c r="V1425" i="13"/>
  <c r="E1425" i="13"/>
  <c r="V1424" i="13"/>
  <c r="E1424" i="13"/>
  <c r="V1423" i="13"/>
  <c r="E1423" i="13"/>
  <c r="V1422" i="13"/>
  <c r="E1422" i="13"/>
  <c r="V1421" i="13"/>
  <c r="E1421" i="13"/>
  <c r="V1420" i="13"/>
  <c r="E1420" i="13"/>
  <c r="V1419" i="13"/>
  <c r="E1419" i="13"/>
  <c r="V1418" i="13"/>
  <c r="E1418" i="13"/>
  <c r="V1417" i="13"/>
  <c r="E1417" i="13"/>
  <c r="V1416" i="13"/>
  <c r="E1416" i="13"/>
  <c r="V1415" i="13"/>
  <c r="E1415" i="13"/>
  <c r="V1414" i="13"/>
  <c r="E1414" i="13"/>
  <c r="V1413" i="13"/>
  <c r="E1413" i="13"/>
  <c r="V1412" i="13"/>
  <c r="E1412" i="13"/>
  <c r="V1411" i="13"/>
  <c r="E1411" i="13"/>
  <c r="V1410" i="13"/>
  <c r="E1410" i="13"/>
  <c r="V1409" i="13"/>
  <c r="E1409" i="13"/>
  <c r="V1408" i="13"/>
  <c r="E1408" i="13"/>
  <c r="V1407" i="13"/>
  <c r="E1407" i="13"/>
  <c r="V1406" i="13"/>
  <c r="E1406" i="13"/>
  <c r="V1405" i="13"/>
  <c r="E1405" i="13"/>
  <c r="V1404" i="13"/>
  <c r="E1404" i="13"/>
  <c r="V1403" i="13"/>
  <c r="E1403" i="13"/>
  <c r="V1402" i="13"/>
  <c r="E1402" i="13"/>
  <c r="V1401" i="13"/>
  <c r="E1401" i="13"/>
  <c r="V1400" i="13"/>
  <c r="E1400" i="13"/>
  <c r="V1399" i="13"/>
  <c r="E1399" i="13"/>
  <c r="V1398" i="13"/>
  <c r="E1398" i="13"/>
  <c r="V1397" i="13"/>
  <c r="E1397" i="13"/>
  <c r="V1396" i="13"/>
  <c r="E1396" i="13"/>
  <c r="V1395" i="13"/>
  <c r="E1395" i="13"/>
  <c r="V1394" i="13"/>
  <c r="E1394" i="13"/>
  <c r="V1393" i="13"/>
  <c r="E1393" i="13"/>
  <c r="V1392" i="13"/>
  <c r="E1392" i="13"/>
  <c r="V1391" i="13"/>
  <c r="E1391" i="13"/>
  <c r="V1390" i="13"/>
  <c r="E1390" i="13"/>
  <c r="V1389" i="13"/>
  <c r="E1389" i="13"/>
  <c r="V1388" i="13"/>
  <c r="E1388" i="13"/>
  <c r="V1387" i="13"/>
  <c r="E1387" i="13"/>
  <c r="V1386" i="13"/>
  <c r="E1386" i="13"/>
  <c r="V1385" i="13"/>
  <c r="E1385" i="13"/>
  <c r="V1384" i="13"/>
  <c r="E1384" i="13"/>
  <c r="V1383" i="13"/>
  <c r="E1383" i="13"/>
  <c r="V1382" i="13"/>
  <c r="E1382" i="13"/>
  <c r="V1381" i="13"/>
  <c r="E1381" i="13"/>
  <c r="V1380" i="13"/>
  <c r="E1380" i="13"/>
  <c r="V1379" i="13"/>
  <c r="E1379" i="13"/>
  <c r="V1378" i="13"/>
  <c r="E1378" i="13"/>
  <c r="V1377" i="13"/>
  <c r="E1377" i="13"/>
  <c r="V1376" i="13"/>
  <c r="E1376" i="13"/>
  <c r="V1375" i="13"/>
  <c r="E1375" i="13"/>
  <c r="V1374" i="13"/>
  <c r="E1374" i="13"/>
  <c r="V1373" i="13"/>
  <c r="E1373" i="13"/>
  <c r="V1372" i="13"/>
  <c r="E1372" i="13"/>
  <c r="V1371" i="13"/>
  <c r="E1371" i="13"/>
  <c r="V1370" i="13"/>
  <c r="E1370" i="13"/>
  <c r="V1369" i="13"/>
  <c r="E1369" i="13"/>
  <c r="V1368" i="13"/>
  <c r="E1368" i="13"/>
  <c r="V1367" i="13"/>
  <c r="E1367" i="13"/>
  <c r="V1366" i="13"/>
  <c r="E1366" i="13"/>
  <c r="V1365" i="13"/>
  <c r="E1365" i="13"/>
  <c r="V1364" i="13"/>
  <c r="E1364" i="13"/>
  <c r="V1363" i="13"/>
  <c r="E1363" i="13"/>
  <c r="V1362" i="13"/>
  <c r="E1362" i="13"/>
  <c r="V1361" i="13"/>
  <c r="E1361" i="13"/>
  <c r="V1360" i="13"/>
  <c r="E1360" i="13"/>
  <c r="V1359" i="13"/>
  <c r="E1359" i="13"/>
  <c r="V1358" i="13"/>
  <c r="E1358" i="13"/>
  <c r="V1357" i="13"/>
  <c r="E1357" i="13"/>
  <c r="V1356" i="13"/>
  <c r="E1356" i="13"/>
  <c r="V1355" i="13"/>
  <c r="E1355" i="13"/>
  <c r="V1354" i="13"/>
  <c r="E1354" i="13"/>
  <c r="V1353" i="13"/>
  <c r="E1353" i="13"/>
  <c r="V1352" i="13"/>
  <c r="E1352" i="13"/>
  <c r="V1351" i="13"/>
  <c r="E1351" i="13"/>
  <c r="V1350" i="13"/>
  <c r="E1350" i="13"/>
  <c r="V1349" i="13"/>
  <c r="E1349" i="13"/>
  <c r="V1348" i="13"/>
  <c r="E1348" i="13"/>
  <c r="V1347" i="13"/>
  <c r="E1347" i="13"/>
  <c r="V1346" i="13"/>
  <c r="E1346" i="13"/>
  <c r="V1345" i="13"/>
  <c r="E1345" i="13"/>
  <c r="V1344" i="13"/>
  <c r="E1344" i="13"/>
  <c r="V1343" i="13"/>
  <c r="E1343" i="13"/>
  <c r="V1342" i="13"/>
  <c r="E1342" i="13"/>
  <c r="V1341" i="13"/>
  <c r="E1341" i="13"/>
  <c r="V1340" i="13"/>
  <c r="E1340" i="13"/>
  <c r="V1339" i="13"/>
  <c r="E1339" i="13"/>
  <c r="V1338" i="13"/>
  <c r="E1338" i="13"/>
  <c r="V1337" i="13"/>
  <c r="E1337" i="13"/>
  <c r="V1336" i="13"/>
  <c r="E1336" i="13"/>
  <c r="V1335" i="13"/>
  <c r="E1335" i="13"/>
  <c r="V1334" i="13"/>
  <c r="E1334" i="13"/>
  <c r="V1333" i="13"/>
  <c r="E1333" i="13"/>
  <c r="V1332" i="13"/>
  <c r="E1332" i="13"/>
  <c r="V1331" i="13"/>
  <c r="E1331" i="13"/>
  <c r="V1330" i="13"/>
  <c r="E1330" i="13"/>
  <c r="V1329" i="13"/>
  <c r="E1329" i="13"/>
  <c r="V1328" i="13"/>
  <c r="E1328" i="13"/>
  <c r="V1327" i="13"/>
  <c r="E1327" i="13"/>
  <c r="V1326" i="13"/>
  <c r="E1326" i="13"/>
  <c r="V1325" i="13"/>
  <c r="E1325" i="13"/>
  <c r="V1324" i="13"/>
  <c r="E1324" i="13"/>
  <c r="V1323" i="13"/>
  <c r="E1323" i="13"/>
  <c r="V1322" i="13"/>
  <c r="E1322" i="13"/>
  <c r="V1321" i="13"/>
  <c r="E1321" i="13"/>
  <c r="V1320" i="13"/>
  <c r="E1320" i="13"/>
  <c r="V1319" i="13"/>
  <c r="E1319" i="13"/>
  <c r="V1318" i="13"/>
  <c r="E1318" i="13"/>
  <c r="V1317" i="13"/>
  <c r="E1317" i="13"/>
  <c r="V1316" i="13"/>
  <c r="E1316" i="13"/>
  <c r="V1315" i="13"/>
  <c r="E1315" i="13"/>
  <c r="V1314" i="13"/>
  <c r="E1314" i="13"/>
  <c r="V1313" i="13"/>
  <c r="E1313" i="13"/>
  <c r="V1312" i="13"/>
  <c r="E1312" i="13"/>
  <c r="V1311" i="13"/>
  <c r="E1311" i="13"/>
  <c r="V1310" i="13"/>
  <c r="E1310" i="13"/>
  <c r="V1309" i="13"/>
  <c r="E1309" i="13"/>
  <c r="V1308" i="13"/>
  <c r="E1308" i="13"/>
  <c r="V1307" i="13"/>
  <c r="E1307" i="13"/>
  <c r="V1306" i="13"/>
  <c r="E1306" i="13"/>
  <c r="V1305" i="13"/>
  <c r="E1305" i="13"/>
  <c r="V1304" i="13"/>
  <c r="E1304" i="13"/>
  <c r="V1303" i="13"/>
  <c r="E1303" i="13"/>
  <c r="V1302" i="13"/>
  <c r="E1302" i="13"/>
  <c r="V1301" i="13"/>
  <c r="E1301" i="13"/>
  <c r="V1300" i="13"/>
  <c r="E1300" i="13"/>
  <c r="V1299" i="13"/>
  <c r="E1299" i="13"/>
  <c r="V1298" i="13"/>
  <c r="E1298" i="13"/>
  <c r="V1297" i="13"/>
  <c r="E1297" i="13"/>
  <c r="V1296" i="13"/>
  <c r="E1296" i="13"/>
  <c r="V1295" i="13"/>
  <c r="E1295" i="13"/>
  <c r="V1294" i="13"/>
  <c r="E1294" i="13"/>
  <c r="V1293" i="13"/>
  <c r="E1293" i="13"/>
  <c r="V1292" i="13"/>
  <c r="E1292" i="13"/>
  <c r="V1291" i="13"/>
  <c r="E1291" i="13"/>
  <c r="V1290" i="13"/>
  <c r="E1290" i="13"/>
  <c r="V1289" i="13"/>
  <c r="E1289" i="13"/>
  <c r="V1288" i="13"/>
  <c r="E1288" i="13"/>
  <c r="V1287" i="13"/>
  <c r="E1287" i="13"/>
  <c r="V1286" i="13"/>
  <c r="E1286" i="13"/>
  <c r="V1285" i="13"/>
  <c r="E1285" i="13"/>
  <c r="V1284" i="13"/>
  <c r="E1284" i="13"/>
  <c r="V1283" i="13"/>
  <c r="E1283" i="13"/>
  <c r="V1282" i="13"/>
  <c r="E1282" i="13"/>
  <c r="V1281" i="13"/>
  <c r="E1281" i="13"/>
  <c r="V1280" i="13"/>
  <c r="E1280" i="13"/>
  <c r="V1279" i="13"/>
  <c r="E1279" i="13"/>
  <c r="V1278" i="13"/>
  <c r="E1278" i="13"/>
  <c r="V1277" i="13"/>
  <c r="E1277" i="13"/>
  <c r="V1276" i="13"/>
  <c r="E1276" i="13"/>
  <c r="V1275" i="13"/>
  <c r="E1275" i="13"/>
  <c r="V1274" i="13"/>
  <c r="E1274" i="13"/>
  <c r="V1273" i="13"/>
  <c r="E1273" i="13"/>
  <c r="V1272" i="13"/>
  <c r="E1272" i="13"/>
  <c r="V1271" i="13"/>
  <c r="E1271" i="13"/>
  <c r="V1270" i="13"/>
  <c r="E1270" i="13"/>
  <c r="V1269" i="13"/>
  <c r="E1269" i="13"/>
  <c r="V1268" i="13"/>
  <c r="E1268" i="13"/>
  <c r="V1267" i="13"/>
  <c r="E1267" i="13"/>
  <c r="V1266" i="13"/>
  <c r="E1266" i="13"/>
  <c r="V1265" i="13"/>
  <c r="E1265" i="13"/>
  <c r="V1264" i="13"/>
  <c r="E1264" i="13"/>
  <c r="V1263" i="13"/>
  <c r="E1263" i="13"/>
  <c r="V1262" i="13"/>
  <c r="E1262" i="13"/>
  <c r="V1261" i="13"/>
  <c r="E1261" i="13"/>
  <c r="V1260" i="13"/>
  <c r="E1260" i="13"/>
  <c r="V1259" i="13"/>
  <c r="E1259" i="13"/>
  <c r="V1258" i="13"/>
  <c r="E1258" i="13"/>
  <c r="V1257" i="13"/>
  <c r="E1257" i="13"/>
  <c r="V1256" i="13"/>
  <c r="E1256" i="13"/>
  <c r="V1255" i="13"/>
  <c r="E1255" i="13"/>
  <c r="V1254" i="13"/>
  <c r="E1254" i="13"/>
  <c r="V1253" i="13"/>
  <c r="E1253" i="13"/>
  <c r="V1252" i="13"/>
  <c r="E1252" i="13"/>
  <c r="V1251" i="13"/>
  <c r="E1251" i="13"/>
  <c r="V1250" i="13"/>
  <c r="E1250" i="13"/>
  <c r="V1249" i="13"/>
  <c r="E1249" i="13"/>
  <c r="V1248" i="13"/>
  <c r="E1248" i="13"/>
  <c r="V1247" i="13"/>
  <c r="E1247" i="13"/>
  <c r="V1246" i="13"/>
  <c r="E1246" i="13"/>
  <c r="V1245" i="13"/>
  <c r="E1245" i="13"/>
  <c r="V1244" i="13"/>
  <c r="E1244" i="13"/>
  <c r="V1243" i="13"/>
  <c r="E1243" i="13"/>
  <c r="V1242" i="13"/>
  <c r="E1242" i="13"/>
  <c r="V1241" i="13"/>
  <c r="E1241" i="13"/>
  <c r="V1240" i="13"/>
  <c r="E1240" i="13"/>
  <c r="V1239" i="13"/>
  <c r="E1239" i="13"/>
  <c r="V1238" i="13"/>
  <c r="E1238" i="13"/>
  <c r="V1237" i="13"/>
  <c r="E1237" i="13"/>
  <c r="V1236" i="13"/>
  <c r="E1236" i="13"/>
  <c r="V1235" i="13"/>
  <c r="E1235" i="13"/>
  <c r="V1234" i="13"/>
  <c r="E1234" i="13"/>
  <c r="V1233" i="13"/>
  <c r="E1233" i="13"/>
  <c r="V1232" i="13"/>
  <c r="E1232" i="13"/>
  <c r="V1231" i="13"/>
  <c r="E1231" i="13"/>
  <c r="V1230" i="13"/>
  <c r="E1230" i="13"/>
  <c r="V1229" i="13"/>
  <c r="E1229" i="13"/>
  <c r="V1228" i="13"/>
  <c r="E1228" i="13"/>
  <c r="V1227" i="13"/>
  <c r="E1227" i="13"/>
  <c r="V1226" i="13"/>
  <c r="E1226" i="13"/>
  <c r="V1225" i="13"/>
  <c r="E1225" i="13"/>
  <c r="V1224" i="13"/>
  <c r="E1224" i="13"/>
  <c r="V1223" i="13"/>
  <c r="E1223" i="13"/>
  <c r="V1222" i="13"/>
  <c r="E1222" i="13"/>
  <c r="V1221" i="13"/>
  <c r="E1221" i="13"/>
  <c r="V1220" i="13"/>
  <c r="E1220" i="13"/>
  <c r="V1219" i="13"/>
  <c r="E1219" i="13"/>
  <c r="V1218" i="13"/>
  <c r="E1218" i="13"/>
  <c r="V1217" i="13"/>
  <c r="E1217" i="13"/>
  <c r="V1216" i="13"/>
  <c r="E1216" i="13"/>
  <c r="V1215" i="13"/>
  <c r="E1215" i="13"/>
  <c r="V1214" i="13"/>
  <c r="E1214" i="13"/>
  <c r="V1213" i="13"/>
  <c r="E1213" i="13"/>
  <c r="V1212" i="13"/>
  <c r="E1212" i="13"/>
  <c r="V1211" i="13"/>
  <c r="E1211" i="13"/>
  <c r="V1210" i="13"/>
  <c r="E1210" i="13"/>
  <c r="V1209" i="13"/>
  <c r="E1209" i="13"/>
  <c r="V1208" i="13"/>
  <c r="E1208" i="13"/>
  <c r="V1207" i="13"/>
  <c r="E1207" i="13"/>
  <c r="V1206" i="13"/>
  <c r="E1206" i="13"/>
  <c r="V1205" i="13"/>
  <c r="E1205" i="13"/>
  <c r="V1204" i="13"/>
  <c r="E1204" i="13"/>
  <c r="V1203" i="13"/>
  <c r="E1203" i="13"/>
  <c r="V1202" i="13"/>
  <c r="E1202" i="13"/>
  <c r="V1201" i="13"/>
  <c r="E1201" i="13"/>
  <c r="V1200" i="13"/>
  <c r="E1200" i="13"/>
  <c r="V1199" i="13"/>
  <c r="E1199" i="13"/>
  <c r="V1198" i="13"/>
  <c r="E1198" i="13"/>
  <c r="V1197" i="13"/>
  <c r="E1197" i="13"/>
  <c r="V1196" i="13"/>
  <c r="E1196" i="13"/>
  <c r="V1195" i="13"/>
  <c r="E1195" i="13"/>
  <c r="V1194" i="13"/>
  <c r="E1194" i="13"/>
  <c r="V1193" i="13"/>
  <c r="E1193" i="13"/>
  <c r="V1192" i="13"/>
  <c r="E1192" i="13"/>
  <c r="V1191" i="13"/>
  <c r="E1191" i="13"/>
  <c r="V1190" i="13"/>
  <c r="E1190" i="13"/>
  <c r="V1189" i="13"/>
  <c r="E1189" i="13"/>
  <c r="V1188" i="13"/>
  <c r="E1188" i="13"/>
  <c r="V1187" i="13"/>
  <c r="E1187" i="13"/>
  <c r="V1186" i="13"/>
  <c r="E1186" i="13"/>
  <c r="V1185" i="13"/>
  <c r="E1185" i="13"/>
  <c r="V1184" i="13"/>
  <c r="E1184" i="13"/>
  <c r="V1183" i="13"/>
  <c r="E1183" i="13"/>
  <c r="V1182" i="13"/>
  <c r="E1182" i="13"/>
  <c r="V1181" i="13"/>
  <c r="E1181" i="13"/>
  <c r="V1180" i="13"/>
  <c r="E1180" i="13"/>
  <c r="V1179" i="13"/>
  <c r="E1179" i="13"/>
  <c r="V1178" i="13"/>
  <c r="E1178" i="13"/>
  <c r="V1177" i="13"/>
  <c r="E1177" i="13"/>
  <c r="V1176" i="13"/>
  <c r="E1176" i="13"/>
  <c r="V1175" i="13"/>
  <c r="E1175" i="13"/>
  <c r="V1174" i="13"/>
  <c r="E1174" i="13"/>
  <c r="V1173" i="13"/>
  <c r="E1173" i="13"/>
  <c r="V1172" i="13"/>
  <c r="E1172" i="13"/>
  <c r="V1171" i="13"/>
  <c r="E1171" i="13"/>
  <c r="V1170" i="13"/>
  <c r="E1170" i="13"/>
  <c r="V1169" i="13"/>
  <c r="E1169" i="13"/>
  <c r="V1168" i="13"/>
  <c r="E1168" i="13"/>
  <c r="V1167" i="13"/>
  <c r="E1167" i="13"/>
  <c r="V1166" i="13"/>
  <c r="E1166" i="13"/>
  <c r="V1165" i="13"/>
  <c r="E1165" i="13"/>
  <c r="V1164" i="13"/>
  <c r="E1164" i="13"/>
  <c r="V1163" i="13"/>
  <c r="E1163" i="13"/>
  <c r="V1162" i="13"/>
  <c r="E1162" i="13"/>
  <c r="V1161" i="13"/>
  <c r="E1161" i="13"/>
  <c r="V1160" i="13"/>
  <c r="E1160" i="13"/>
  <c r="V1159" i="13"/>
  <c r="E1159" i="13"/>
  <c r="V1158" i="13"/>
  <c r="E1158" i="13"/>
  <c r="V1157" i="13"/>
  <c r="E1157" i="13"/>
  <c r="V1156" i="13"/>
  <c r="E1156" i="13"/>
  <c r="V1155" i="13"/>
  <c r="E1155" i="13"/>
  <c r="V1154" i="13"/>
  <c r="E1154" i="13"/>
  <c r="V1153" i="13"/>
  <c r="E1153" i="13"/>
  <c r="V1152" i="13"/>
  <c r="E1152" i="13"/>
  <c r="V1151" i="13"/>
  <c r="E1151" i="13"/>
  <c r="V1150" i="13"/>
  <c r="E1150" i="13"/>
  <c r="V1149" i="13"/>
  <c r="E1149" i="13"/>
  <c r="V1148" i="13"/>
  <c r="E1148" i="13"/>
  <c r="V1147" i="13"/>
  <c r="E1147" i="13"/>
  <c r="V1146" i="13"/>
  <c r="E1146" i="13"/>
  <c r="V1145" i="13"/>
  <c r="E1145" i="13"/>
  <c r="V1144" i="13"/>
  <c r="E1144" i="13"/>
  <c r="V1143" i="13"/>
  <c r="E1143" i="13"/>
  <c r="V1142" i="13"/>
  <c r="E1142" i="13"/>
  <c r="V1141" i="13"/>
  <c r="E1141" i="13"/>
  <c r="V1140" i="13"/>
  <c r="E1140" i="13"/>
  <c r="V1139" i="13"/>
  <c r="E1139" i="13"/>
  <c r="V1138" i="13"/>
  <c r="E1138" i="13"/>
  <c r="V1137" i="13"/>
  <c r="E1137" i="13"/>
  <c r="V1136" i="13"/>
  <c r="E1136" i="13"/>
  <c r="V1135" i="13"/>
  <c r="E1135" i="13"/>
  <c r="V1134" i="13"/>
  <c r="E1134" i="13"/>
  <c r="V1133" i="13"/>
  <c r="E1133" i="13"/>
  <c r="V1132" i="13"/>
  <c r="E1132" i="13"/>
  <c r="V1131" i="13"/>
  <c r="E1131" i="13"/>
  <c r="V1130" i="13"/>
  <c r="E1130" i="13"/>
  <c r="V1129" i="13"/>
  <c r="E1129" i="13"/>
  <c r="V1128" i="13"/>
  <c r="E1128" i="13"/>
  <c r="V1127" i="13"/>
  <c r="E1127" i="13"/>
  <c r="V1126" i="13"/>
  <c r="E1126" i="13"/>
  <c r="V1125" i="13"/>
  <c r="E1125" i="13"/>
  <c r="V1124" i="13"/>
  <c r="E1124" i="13"/>
  <c r="V1123" i="13"/>
  <c r="E1123" i="13"/>
  <c r="V1122" i="13"/>
  <c r="E1122" i="13"/>
  <c r="V1121" i="13"/>
  <c r="E1121" i="13"/>
  <c r="V1120" i="13"/>
  <c r="E1120" i="13"/>
  <c r="V1119" i="13"/>
  <c r="E1119" i="13"/>
  <c r="V1118" i="13"/>
  <c r="E1118" i="13"/>
  <c r="V1117" i="13"/>
  <c r="E1117" i="13"/>
  <c r="V1116" i="13"/>
  <c r="E1116" i="13"/>
  <c r="V1115" i="13"/>
  <c r="E1115" i="13"/>
  <c r="V1114" i="13"/>
  <c r="E1114" i="13"/>
  <c r="V1113" i="13"/>
  <c r="E1113" i="13"/>
  <c r="V1112" i="13"/>
  <c r="E1112" i="13"/>
  <c r="V1111" i="13"/>
  <c r="E1111" i="13"/>
  <c r="V1110" i="13"/>
  <c r="E1110" i="13"/>
  <c r="V1109" i="13"/>
  <c r="E1109" i="13"/>
  <c r="V1108" i="13"/>
  <c r="E1108" i="13"/>
  <c r="V1107" i="13"/>
  <c r="E1107" i="13"/>
  <c r="V1106" i="13"/>
  <c r="E1106" i="13"/>
  <c r="V1105" i="13"/>
  <c r="E1105" i="13"/>
  <c r="V1104" i="13"/>
  <c r="E1104" i="13"/>
  <c r="V1103" i="13"/>
  <c r="E1103" i="13"/>
  <c r="V1102" i="13"/>
  <c r="E1102" i="13"/>
  <c r="V1101" i="13"/>
  <c r="E1101" i="13"/>
  <c r="V1100" i="13"/>
  <c r="E1100" i="13"/>
  <c r="V1099" i="13"/>
  <c r="E1099" i="13"/>
  <c r="V1098" i="13"/>
  <c r="E1098" i="13"/>
  <c r="V1097" i="13"/>
  <c r="E1097" i="13"/>
  <c r="V1096" i="13"/>
  <c r="E1096" i="13"/>
  <c r="V1095" i="13"/>
  <c r="E1095" i="13"/>
  <c r="V1094" i="13"/>
  <c r="E1094" i="13"/>
  <c r="V1093" i="13"/>
  <c r="E1093" i="13"/>
  <c r="V1092" i="13"/>
  <c r="E1092" i="13"/>
  <c r="V1091" i="13"/>
  <c r="E1091" i="13"/>
  <c r="V1090" i="13"/>
  <c r="E1090" i="13"/>
  <c r="V1089" i="13"/>
  <c r="E1089" i="13"/>
  <c r="V1088" i="13"/>
  <c r="E1088" i="13"/>
  <c r="V1087" i="13"/>
  <c r="E1087" i="13"/>
  <c r="V1086" i="13"/>
  <c r="E1086" i="13"/>
  <c r="V1085" i="13"/>
  <c r="E1085" i="13"/>
  <c r="V1084" i="13"/>
  <c r="E1084" i="13"/>
  <c r="V1083" i="13"/>
  <c r="E1083" i="13"/>
  <c r="V1082" i="13"/>
  <c r="E1082" i="13"/>
  <c r="V1081" i="13"/>
  <c r="E1081" i="13"/>
  <c r="V1080" i="13"/>
  <c r="E1080" i="13"/>
  <c r="V1079" i="13"/>
  <c r="E1079" i="13"/>
  <c r="V1078" i="13"/>
  <c r="E1078" i="13"/>
  <c r="V1077" i="13"/>
  <c r="E1077" i="13"/>
  <c r="V1076" i="13"/>
  <c r="E1076" i="13"/>
  <c r="V1075" i="13"/>
  <c r="E1075" i="13"/>
  <c r="V1074" i="13"/>
  <c r="E1074" i="13"/>
  <c r="V1073" i="13"/>
  <c r="E1073" i="13"/>
  <c r="V1072" i="13"/>
  <c r="E1072" i="13"/>
  <c r="V1071" i="13"/>
  <c r="E1071" i="13"/>
  <c r="V1070" i="13"/>
  <c r="E1070" i="13"/>
  <c r="V1069" i="13"/>
  <c r="E1069" i="13"/>
  <c r="V1068" i="13"/>
  <c r="E1068" i="13"/>
  <c r="V1067" i="13"/>
  <c r="E1067" i="13"/>
  <c r="V1066" i="13"/>
  <c r="E1066" i="13"/>
  <c r="V1065" i="13"/>
  <c r="E1065" i="13"/>
  <c r="V1064" i="13"/>
  <c r="E1064" i="13"/>
  <c r="V1063" i="13"/>
  <c r="E1063" i="13"/>
  <c r="V1062" i="13"/>
  <c r="E1062" i="13"/>
  <c r="V1061" i="13"/>
  <c r="E1061" i="13"/>
  <c r="V1060" i="13"/>
  <c r="E1060" i="13"/>
  <c r="V1059" i="13"/>
  <c r="E1059" i="13"/>
  <c r="V1058" i="13"/>
  <c r="E1058" i="13"/>
  <c r="V1057" i="13"/>
  <c r="E1057" i="13"/>
  <c r="V1056" i="13"/>
  <c r="E1056" i="13"/>
  <c r="V1055" i="13"/>
  <c r="E1055" i="13"/>
  <c r="V1054" i="13"/>
  <c r="E1054" i="13"/>
  <c r="V1053" i="13"/>
  <c r="E1053" i="13"/>
  <c r="V1052" i="13"/>
  <c r="E1052" i="13"/>
  <c r="V1051" i="13"/>
  <c r="E1051" i="13"/>
  <c r="V1050" i="13"/>
  <c r="E1050" i="13"/>
  <c r="V1049" i="13"/>
  <c r="E1049" i="13"/>
  <c r="V1048" i="13"/>
  <c r="E1048" i="13"/>
  <c r="V1047" i="13"/>
  <c r="E1047" i="13"/>
  <c r="V1046" i="13"/>
  <c r="E1046" i="13"/>
  <c r="V1045" i="13"/>
  <c r="E1045" i="13"/>
  <c r="V1044" i="13"/>
  <c r="E1044" i="13"/>
  <c r="V1043" i="13"/>
  <c r="E1043" i="13"/>
  <c r="V1042" i="13"/>
  <c r="E1042" i="13"/>
  <c r="V1041" i="13"/>
  <c r="E1041" i="13"/>
  <c r="V1040" i="13"/>
  <c r="E1040" i="13"/>
  <c r="V1039" i="13"/>
  <c r="E1039" i="13"/>
  <c r="V1038" i="13"/>
  <c r="E1038" i="13"/>
  <c r="V1037" i="13"/>
  <c r="E1037" i="13"/>
  <c r="V1036" i="13"/>
  <c r="E1036" i="13"/>
  <c r="V1035" i="13"/>
  <c r="E1035" i="13"/>
  <c r="V1034" i="13"/>
  <c r="E1034" i="13"/>
  <c r="V1033" i="13"/>
  <c r="E1033" i="13"/>
  <c r="V1032" i="13"/>
  <c r="E1032" i="13"/>
  <c r="V1031" i="13"/>
  <c r="E1031" i="13"/>
  <c r="V1030" i="13"/>
  <c r="E1030" i="13"/>
  <c r="V1029" i="13"/>
  <c r="E1029" i="13"/>
  <c r="V1028" i="13"/>
  <c r="E1028" i="13"/>
  <c r="V1027" i="13"/>
  <c r="E1027" i="13"/>
  <c r="V1026" i="13"/>
  <c r="E1026" i="13"/>
  <c r="V1025" i="13"/>
  <c r="E1025" i="13"/>
  <c r="V1024" i="13"/>
  <c r="E1024" i="13"/>
  <c r="V1023" i="13"/>
  <c r="E1023" i="13"/>
  <c r="V1022" i="13"/>
  <c r="E1022" i="13"/>
  <c r="V1021" i="13"/>
  <c r="E1021" i="13"/>
  <c r="V1020" i="13"/>
  <c r="E1020" i="13"/>
  <c r="V1019" i="13"/>
  <c r="E1019" i="13"/>
  <c r="V1018" i="13"/>
  <c r="E1018" i="13"/>
  <c r="V1017" i="13"/>
  <c r="E1017" i="13"/>
  <c r="V1016" i="13"/>
  <c r="E1016" i="13"/>
  <c r="V1015" i="13"/>
  <c r="E1015" i="13"/>
  <c r="V1014" i="13"/>
  <c r="E1014" i="13"/>
  <c r="V1013" i="13"/>
  <c r="E1013" i="13"/>
  <c r="V1012" i="13"/>
  <c r="E1012" i="13"/>
  <c r="V1011" i="13"/>
  <c r="E1011" i="13"/>
  <c r="V1010" i="13"/>
  <c r="E1010" i="13"/>
  <c r="V1009" i="13"/>
  <c r="E1009" i="13"/>
  <c r="V1008" i="13"/>
  <c r="E1008" i="13"/>
  <c r="V1007" i="13"/>
  <c r="E1007" i="13"/>
  <c r="V1006" i="13"/>
  <c r="E1006" i="13"/>
  <c r="V1005" i="13"/>
  <c r="E1005" i="13"/>
  <c r="V1004" i="13"/>
  <c r="E1004" i="13"/>
  <c r="V1003" i="13"/>
  <c r="E1003" i="13"/>
  <c r="V1002" i="13"/>
  <c r="E1002" i="13"/>
  <c r="V1001" i="13"/>
  <c r="E1001" i="13"/>
  <c r="V1000" i="13"/>
  <c r="E1000" i="13"/>
  <c r="V999" i="13"/>
  <c r="E999" i="13"/>
  <c r="V998" i="13"/>
  <c r="E998" i="13"/>
  <c r="V997" i="13"/>
  <c r="E997" i="13"/>
  <c r="V996" i="13"/>
  <c r="E996" i="13"/>
  <c r="V995" i="13"/>
  <c r="E995" i="13"/>
  <c r="V994" i="13"/>
  <c r="E994" i="13"/>
  <c r="V993" i="13"/>
  <c r="E993" i="13"/>
  <c r="V992" i="13"/>
  <c r="E992" i="13"/>
  <c r="V991" i="13"/>
  <c r="E991" i="13"/>
  <c r="V990" i="13"/>
  <c r="E990" i="13"/>
  <c r="V989" i="13"/>
  <c r="E989" i="13"/>
  <c r="V988" i="13"/>
  <c r="E988" i="13"/>
  <c r="V987" i="13"/>
  <c r="E987" i="13"/>
  <c r="V986" i="13"/>
  <c r="E986" i="13"/>
  <c r="V985" i="13"/>
  <c r="E985" i="13"/>
  <c r="V984" i="13"/>
  <c r="E984" i="13"/>
  <c r="V983" i="13"/>
  <c r="E983" i="13"/>
  <c r="V982" i="13"/>
  <c r="E982" i="13"/>
  <c r="V981" i="13"/>
  <c r="E981" i="13"/>
  <c r="V980" i="13"/>
  <c r="E980" i="13"/>
  <c r="V979" i="13"/>
  <c r="E979" i="13"/>
  <c r="V978" i="13"/>
  <c r="E978" i="13"/>
  <c r="V977" i="13"/>
  <c r="E977" i="13"/>
  <c r="V976" i="13"/>
  <c r="E976" i="13"/>
  <c r="V975" i="13"/>
  <c r="E975" i="13"/>
  <c r="V974" i="13"/>
  <c r="E974" i="13"/>
  <c r="V973" i="13"/>
  <c r="E973" i="13"/>
  <c r="V972" i="13"/>
  <c r="E972" i="13"/>
  <c r="V971" i="13"/>
  <c r="E971" i="13"/>
  <c r="V970" i="13"/>
  <c r="E970" i="13"/>
  <c r="V969" i="13"/>
  <c r="E969" i="13"/>
  <c r="V968" i="13"/>
  <c r="E968" i="13"/>
  <c r="V967" i="13"/>
  <c r="E967" i="13"/>
  <c r="V966" i="13"/>
  <c r="E966" i="13"/>
  <c r="V965" i="13"/>
  <c r="E965" i="13"/>
  <c r="V964" i="13"/>
  <c r="E964" i="13"/>
  <c r="V963" i="13"/>
  <c r="E963" i="13"/>
  <c r="V962" i="13"/>
  <c r="E962" i="13"/>
  <c r="V961" i="13"/>
  <c r="E961" i="13"/>
  <c r="V960" i="13"/>
  <c r="E960" i="13"/>
  <c r="V959" i="13"/>
  <c r="E959" i="13"/>
  <c r="V958" i="13"/>
  <c r="E958" i="13"/>
  <c r="V957" i="13"/>
  <c r="E957" i="13"/>
  <c r="V956" i="13"/>
  <c r="E956" i="13"/>
  <c r="V955" i="13"/>
  <c r="E955" i="13"/>
  <c r="V954" i="13"/>
  <c r="E954" i="13"/>
  <c r="V953" i="13"/>
  <c r="E953" i="13"/>
  <c r="V952" i="13"/>
  <c r="E952" i="13"/>
  <c r="V951" i="13"/>
  <c r="E951" i="13"/>
  <c r="V950" i="13"/>
  <c r="E950" i="13"/>
  <c r="V949" i="13"/>
  <c r="E949" i="13"/>
  <c r="V948" i="13"/>
  <c r="E948" i="13"/>
  <c r="V947" i="13"/>
  <c r="E947" i="13"/>
  <c r="V946" i="13"/>
  <c r="E946" i="13"/>
  <c r="V945" i="13"/>
  <c r="E945" i="13"/>
  <c r="V944" i="13"/>
  <c r="E944" i="13"/>
  <c r="V943" i="13"/>
  <c r="E943" i="13"/>
  <c r="V942" i="13"/>
  <c r="E942" i="13"/>
  <c r="V941" i="13"/>
  <c r="E941" i="13"/>
  <c r="V940" i="13"/>
  <c r="E940" i="13"/>
  <c r="V939" i="13"/>
  <c r="E939" i="13"/>
  <c r="V938" i="13"/>
  <c r="E938" i="13"/>
  <c r="V937" i="13"/>
  <c r="E937" i="13"/>
  <c r="V936" i="13"/>
  <c r="E936" i="13"/>
  <c r="V935" i="13"/>
  <c r="E935" i="13"/>
  <c r="V934" i="13"/>
  <c r="E934" i="13"/>
  <c r="V933" i="13"/>
  <c r="E933" i="13"/>
  <c r="V932" i="13"/>
  <c r="E932" i="13"/>
  <c r="V931" i="13"/>
  <c r="E931" i="13"/>
  <c r="V930" i="13"/>
  <c r="E930" i="13"/>
  <c r="V929" i="13"/>
  <c r="E929" i="13"/>
  <c r="V928" i="13"/>
  <c r="E928" i="13"/>
  <c r="V927" i="13"/>
  <c r="E927" i="13"/>
  <c r="V926" i="13"/>
  <c r="E926" i="13"/>
  <c r="V925" i="13"/>
  <c r="E925" i="13"/>
  <c r="V924" i="13"/>
  <c r="E924" i="13"/>
  <c r="V923" i="13"/>
  <c r="E923" i="13"/>
  <c r="V922" i="13"/>
  <c r="E922" i="13"/>
  <c r="V921" i="13"/>
  <c r="E921" i="13"/>
  <c r="V920" i="13"/>
  <c r="E920" i="13"/>
  <c r="V919" i="13"/>
  <c r="E919" i="13"/>
  <c r="V918" i="13"/>
  <c r="E918" i="13"/>
  <c r="V917" i="13"/>
  <c r="E917" i="13"/>
  <c r="V916" i="13"/>
  <c r="E916" i="13"/>
  <c r="V915" i="13"/>
  <c r="E915" i="13"/>
  <c r="V914" i="13"/>
  <c r="E914" i="13"/>
  <c r="V913" i="13"/>
  <c r="E913" i="13"/>
  <c r="V912" i="13"/>
  <c r="E912" i="13"/>
  <c r="V911" i="13"/>
  <c r="E911" i="13"/>
  <c r="V910" i="13"/>
  <c r="E910" i="13"/>
  <c r="V909" i="13"/>
  <c r="E909" i="13"/>
  <c r="V908" i="13"/>
  <c r="E908" i="13"/>
  <c r="V907" i="13"/>
  <c r="E907" i="13"/>
  <c r="V906" i="13"/>
  <c r="E906" i="13"/>
  <c r="V905" i="13"/>
  <c r="E905" i="13"/>
  <c r="V904" i="13"/>
  <c r="E904" i="13"/>
  <c r="V903" i="13"/>
  <c r="E903" i="13"/>
  <c r="V902" i="13"/>
  <c r="E902" i="13"/>
  <c r="V901" i="13"/>
  <c r="E901" i="13"/>
  <c r="V900" i="13"/>
  <c r="E900" i="13"/>
  <c r="V899" i="13"/>
  <c r="E899" i="13"/>
  <c r="V898" i="13"/>
  <c r="E898" i="13"/>
  <c r="V897" i="13"/>
  <c r="E897" i="13"/>
  <c r="V896" i="13"/>
  <c r="E896" i="13"/>
  <c r="V895" i="13"/>
  <c r="E895" i="13"/>
  <c r="V894" i="13"/>
  <c r="E894" i="13"/>
  <c r="V893" i="13"/>
  <c r="E893" i="13"/>
  <c r="V892" i="13"/>
  <c r="E892" i="13"/>
  <c r="V891" i="13"/>
  <c r="E891" i="13"/>
  <c r="V890" i="13"/>
  <c r="E890" i="13"/>
  <c r="V889" i="13"/>
  <c r="E889" i="13"/>
  <c r="V888" i="13"/>
  <c r="E888" i="13"/>
  <c r="V887" i="13"/>
  <c r="E887" i="13"/>
  <c r="V886" i="13"/>
  <c r="E886" i="13"/>
  <c r="V885" i="13"/>
  <c r="E885" i="13"/>
  <c r="V884" i="13"/>
  <c r="E884" i="13"/>
  <c r="V883" i="13"/>
  <c r="E883" i="13"/>
  <c r="V882" i="13"/>
  <c r="E882" i="13"/>
  <c r="V881" i="13"/>
  <c r="E881" i="13"/>
  <c r="V880" i="13"/>
  <c r="E880" i="13"/>
  <c r="V879" i="13"/>
  <c r="E879" i="13"/>
  <c r="V878" i="13"/>
  <c r="E878" i="13"/>
  <c r="V877" i="13"/>
  <c r="E877" i="13"/>
  <c r="V876" i="13"/>
  <c r="E876" i="13"/>
  <c r="V875" i="13"/>
  <c r="E875" i="13"/>
  <c r="V874" i="13"/>
  <c r="E874" i="13"/>
  <c r="V873" i="13"/>
  <c r="E873" i="13"/>
  <c r="V872" i="13"/>
  <c r="E872" i="13"/>
  <c r="V871" i="13"/>
  <c r="E871" i="13"/>
  <c r="V870" i="13"/>
  <c r="E870" i="13"/>
  <c r="V869" i="13"/>
  <c r="E869" i="13"/>
  <c r="V868" i="13"/>
  <c r="E868" i="13"/>
  <c r="V867" i="13"/>
  <c r="E867" i="13"/>
  <c r="V866" i="13"/>
  <c r="E866" i="13"/>
  <c r="V865" i="13"/>
  <c r="E865" i="13"/>
  <c r="V864" i="13"/>
  <c r="E864" i="13"/>
  <c r="V863" i="13"/>
  <c r="E863" i="13"/>
  <c r="V862" i="13"/>
  <c r="E862" i="13"/>
  <c r="V861" i="13"/>
  <c r="E861" i="13"/>
  <c r="V860" i="13"/>
  <c r="E860" i="13"/>
  <c r="V859" i="13"/>
  <c r="E859" i="13"/>
  <c r="V858" i="13"/>
  <c r="E858" i="13"/>
  <c r="V857" i="13"/>
  <c r="E857" i="13"/>
  <c r="V856" i="13"/>
  <c r="E856" i="13"/>
  <c r="V855" i="13"/>
  <c r="E855" i="13"/>
  <c r="V854" i="13"/>
  <c r="E854" i="13"/>
  <c r="V853" i="13"/>
  <c r="E853" i="13"/>
  <c r="V852" i="13"/>
  <c r="E852" i="13"/>
  <c r="V851" i="13"/>
  <c r="E851" i="13"/>
  <c r="V850" i="13"/>
  <c r="E850" i="13"/>
  <c r="V849" i="13"/>
  <c r="E849" i="13"/>
  <c r="V848" i="13"/>
  <c r="E848" i="13"/>
  <c r="V847" i="13"/>
  <c r="E847" i="13"/>
  <c r="V846" i="13"/>
  <c r="E846" i="13"/>
  <c r="V845" i="13"/>
  <c r="E845" i="13"/>
  <c r="V844" i="13"/>
  <c r="E844" i="13"/>
  <c r="V843" i="13"/>
  <c r="E843" i="13"/>
  <c r="V842" i="13"/>
  <c r="E842" i="13"/>
  <c r="V841" i="13"/>
  <c r="E841" i="13"/>
  <c r="V840" i="13"/>
  <c r="E840" i="13"/>
  <c r="V839" i="13"/>
  <c r="E839" i="13"/>
  <c r="V838" i="13"/>
  <c r="E838" i="13"/>
  <c r="V837" i="13"/>
  <c r="E837" i="13"/>
  <c r="V836" i="13"/>
  <c r="E836" i="13"/>
  <c r="V835" i="13"/>
  <c r="E835" i="13"/>
  <c r="V834" i="13"/>
  <c r="E834" i="13"/>
  <c r="V833" i="13"/>
  <c r="E833" i="13"/>
  <c r="V832" i="13"/>
  <c r="E832" i="13"/>
  <c r="V831" i="13"/>
  <c r="E831" i="13"/>
  <c r="V830" i="13"/>
  <c r="E830" i="13"/>
  <c r="V829" i="13"/>
  <c r="E829" i="13"/>
  <c r="V828" i="13"/>
  <c r="E828" i="13"/>
  <c r="V827" i="13"/>
  <c r="E827" i="13"/>
  <c r="V826" i="13"/>
  <c r="E826" i="13"/>
  <c r="V825" i="13"/>
  <c r="E825" i="13"/>
  <c r="V824" i="13"/>
  <c r="E824" i="13"/>
  <c r="V823" i="13"/>
  <c r="E823" i="13"/>
  <c r="V822" i="13"/>
  <c r="E822" i="13"/>
  <c r="V821" i="13"/>
  <c r="E821" i="13"/>
  <c r="V820" i="13"/>
  <c r="E820" i="13"/>
  <c r="V819" i="13"/>
  <c r="E819" i="13"/>
  <c r="V818" i="13"/>
  <c r="E818" i="13"/>
  <c r="V817" i="13"/>
  <c r="E817" i="13"/>
  <c r="V816" i="13"/>
  <c r="E816" i="13"/>
  <c r="V815" i="13"/>
  <c r="E815" i="13"/>
  <c r="V814" i="13"/>
  <c r="E814" i="13"/>
  <c r="V813" i="13"/>
  <c r="E813" i="13"/>
  <c r="V812" i="13"/>
  <c r="E812" i="13"/>
  <c r="V811" i="13"/>
  <c r="E811" i="13"/>
  <c r="V810" i="13"/>
  <c r="E810" i="13"/>
  <c r="V809" i="13"/>
  <c r="E809" i="13"/>
  <c r="V808" i="13"/>
  <c r="E808" i="13"/>
  <c r="V807" i="13"/>
  <c r="E807" i="13"/>
  <c r="V806" i="13"/>
  <c r="E806" i="13"/>
  <c r="V805" i="13"/>
  <c r="E805" i="13"/>
  <c r="V804" i="13"/>
  <c r="E804" i="13"/>
  <c r="V803" i="13"/>
  <c r="E803" i="13"/>
  <c r="V802" i="13"/>
  <c r="E802" i="13"/>
  <c r="V801" i="13"/>
  <c r="E801" i="13"/>
  <c r="V800" i="13"/>
  <c r="E800" i="13"/>
  <c r="V799" i="13"/>
  <c r="E799" i="13"/>
  <c r="V798" i="13"/>
  <c r="E798" i="13"/>
  <c r="V797" i="13"/>
  <c r="E797" i="13"/>
  <c r="V796" i="13"/>
  <c r="E796" i="13"/>
  <c r="V795" i="13"/>
  <c r="E795" i="13"/>
  <c r="V794" i="13"/>
  <c r="E794" i="13"/>
  <c r="V793" i="13"/>
  <c r="E793" i="13"/>
  <c r="V792" i="13"/>
  <c r="E792" i="13"/>
  <c r="V791" i="13"/>
  <c r="E791" i="13"/>
  <c r="V790" i="13"/>
  <c r="E790" i="13"/>
  <c r="V789" i="13"/>
  <c r="E789" i="13"/>
  <c r="V788" i="13"/>
  <c r="E788" i="13"/>
  <c r="V787" i="13"/>
  <c r="E787" i="13"/>
  <c r="V786" i="13"/>
  <c r="E786" i="13"/>
  <c r="V785" i="13"/>
  <c r="E785" i="13"/>
  <c r="V784" i="13"/>
  <c r="E784" i="13"/>
  <c r="V783" i="13"/>
  <c r="E783" i="13"/>
  <c r="V782" i="13"/>
  <c r="E782" i="13"/>
  <c r="V781" i="13"/>
  <c r="E781" i="13"/>
  <c r="V780" i="13"/>
  <c r="E780" i="13"/>
  <c r="V779" i="13"/>
  <c r="E779" i="13"/>
  <c r="V778" i="13"/>
  <c r="E778" i="13"/>
  <c r="V777" i="13"/>
  <c r="E777" i="13"/>
  <c r="V776" i="13"/>
  <c r="E776" i="13"/>
  <c r="V775" i="13"/>
  <c r="E775" i="13"/>
  <c r="V774" i="13"/>
  <c r="E774" i="13"/>
  <c r="V773" i="13"/>
  <c r="E773" i="13"/>
  <c r="V772" i="13"/>
  <c r="E772" i="13"/>
  <c r="V771" i="13"/>
  <c r="E771" i="13"/>
  <c r="V770" i="13"/>
  <c r="E770" i="13"/>
  <c r="V769" i="13"/>
  <c r="E769" i="13"/>
  <c r="V768" i="13"/>
  <c r="E768" i="13"/>
  <c r="V767" i="13"/>
  <c r="E767" i="13"/>
  <c r="V766" i="13"/>
  <c r="E766" i="13"/>
  <c r="V765" i="13"/>
  <c r="E765" i="13"/>
  <c r="V764" i="13"/>
  <c r="E764" i="13"/>
  <c r="V763" i="13"/>
  <c r="E763" i="13"/>
  <c r="V762" i="13"/>
  <c r="E762" i="13"/>
  <c r="V761" i="13"/>
  <c r="E761" i="13"/>
  <c r="V760" i="13"/>
  <c r="E760" i="13"/>
  <c r="V759" i="13"/>
  <c r="E759" i="13"/>
  <c r="V758" i="13"/>
  <c r="E758" i="13"/>
  <c r="V757" i="13"/>
  <c r="E757" i="13"/>
  <c r="V756" i="13"/>
  <c r="E756" i="13"/>
  <c r="V755" i="13"/>
  <c r="E755" i="13"/>
  <c r="V754" i="13"/>
  <c r="E754" i="13"/>
  <c r="V753" i="13"/>
  <c r="E753" i="13"/>
  <c r="V752" i="13"/>
  <c r="E752" i="13"/>
  <c r="V751" i="13"/>
  <c r="E751" i="13"/>
  <c r="V750" i="13"/>
  <c r="E750" i="13"/>
  <c r="V749" i="13"/>
  <c r="E749" i="13"/>
  <c r="V748" i="13"/>
  <c r="E748" i="13"/>
  <c r="V747" i="13"/>
  <c r="E747" i="13"/>
  <c r="V746" i="13"/>
  <c r="E746" i="13"/>
  <c r="V745" i="13"/>
  <c r="E745" i="13"/>
  <c r="V744" i="13"/>
  <c r="E744" i="13"/>
  <c r="V743" i="13"/>
  <c r="E743" i="13"/>
  <c r="V742" i="13"/>
  <c r="E742" i="13"/>
  <c r="V741" i="13"/>
  <c r="E741" i="13"/>
  <c r="V740" i="13"/>
  <c r="E740" i="13"/>
  <c r="V739" i="13"/>
  <c r="E739" i="13"/>
  <c r="V738" i="13"/>
  <c r="E738" i="13"/>
  <c r="V737" i="13"/>
  <c r="E737" i="13"/>
  <c r="V736" i="13"/>
  <c r="E736" i="13"/>
  <c r="V735" i="13"/>
  <c r="E735" i="13"/>
  <c r="V734" i="13"/>
  <c r="E734" i="13"/>
  <c r="V733" i="13"/>
  <c r="E733" i="13"/>
  <c r="V732" i="13"/>
  <c r="E732" i="13"/>
  <c r="V731" i="13"/>
  <c r="E731" i="13"/>
  <c r="V730" i="13"/>
  <c r="E730" i="13"/>
  <c r="V729" i="13"/>
  <c r="E729" i="13"/>
  <c r="V728" i="13"/>
  <c r="E728" i="13"/>
  <c r="V727" i="13"/>
  <c r="E727" i="13"/>
  <c r="V726" i="13"/>
  <c r="E726" i="13"/>
  <c r="V725" i="13"/>
  <c r="E725" i="13"/>
  <c r="V724" i="13"/>
  <c r="E724" i="13"/>
  <c r="V723" i="13"/>
  <c r="E723" i="13"/>
  <c r="V722" i="13"/>
  <c r="E722" i="13"/>
  <c r="V721" i="13"/>
  <c r="E721" i="13"/>
  <c r="V720" i="13"/>
  <c r="E720" i="13"/>
  <c r="V719" i="13"/>
  <c r="E719" i="13"/>
  <c r="V718" i="13"/>
  <c r="E718" i="13"/>
  <c r="V717" i="13"/>
  <c r="E717" i="13"/>
  <c r="V716" i="13"/>
  <c r="E716" i="13"/>
  <c r="V715" i="13"/>
  <c r="E715" i="13"/>
  <c r="V714" i="13"/>
  <c r="E714" i="13"/>
  <c r="V713" i="13"/>
  <c r="E713" i="13"/>
  <c r="V712" i="13"/>
  <c r="E712" i="13"/>
  <c r="V711" i="13"/>
  <c r="E711" i="13"/>
  <c r="V710" i="13"/>
  <c r="E710" i="13"/>
  <c r="V709" i="13"/>
  <c r="E709" i="13"/>
  <c r="V708" i="13"/>
  <c r="E708" i="13"/>
  <c r="V707" i="13"/>
  <c r="E707" i="13"/>
  <c r="V706" i="13"/>
  <c r="E706" i="13"/>
  <c r="V705" i="13"/>
  <c r="E705" i="13"/>
  <c r="V704" i="13"/>
  <c r="E704" i="13"/>
  <c r="V703" i="13"/>
  <c r="E703" i="13"/>
  <c r="V702" i="13"/>
  <c r="E702" i="13"/>
  <c r="V701" i="13"/>
  <c r="E701" i="13"/>
  <c r="V700" i="13"/>
  <c r="E700" i="13"/>
  <c r="V699" i="13"/>
  <c r="E699" i="13"/>
  <c r="V698" i="13"/>
  <c r="E698" i="13"/>
  <c r="V697" i="13"/>
  <c r="E697" i="13"/>
  <c r="V696" i="13"/>
  <c r="E696" i="13"/>
  <c r="V695" i="13"/>
  <c r="E695" i="13"/>
  <c r="V694" i="13"/>
  <c r="E694" i="13"/>
  <c r="V693" i="13"/>
  <c r="E693" i="13"/>
  <c r="V692" i="13"/>
  <c r="E692" i="13"/>
  <c r="V691" i="13"/>
  <c r="E691" i="13"/>
  <c r="V690" i="13"/>
  <c r="E690" i="13"/>
  <c r="V689" i="13"/>
  <c r="E689" i="13"/>
  <c r="V688" i="13"/>
  <c r="E688" i="13"/>
  <c r="V687" i="13"/>
  <c r="E687" i="13"/>
  <c r="V686" i="13"/>
  <c r="E686" i="13"/>
  <c r="V685" i="13"/>
  <c r="E685" i="13"/>
  <c r="V684" i="13"/>
  <c r="E684" i="13"/>
  <c r="V683" i="13"/>
  <c r="E683" i="13"/>
  <c r="V682" i="13"/>
  <c r="E682" i="13"/>
  <c r="V681" i="13"/>
  <c r="E681" i="13"/>
  <c r="V680" i="13"/>
  <c r="E680" i="13"/>
  <c r="V679" i="13"/>
  <c r="E679" i="13"/>
  <c r="V678" i="13"/>
  <c r="E678" i="13"/>
  <c r="V677" i="13"/>
  <c r="E677" i="13"/>
  <c r="V676" i="13"/>
  <c r="E676" i="13"/>
  <c r="V675" i="13"/>
  <c r="E675" i="13"/>
  <c r="V674" i="13"/>
  <c r="E674" i="13"/>
  <c r="V673" i="13"/>
  <c r="E673" i="13"/>
  <c r="V672" i="13"/>
  <c r="E672" i="13"/>
  <c r="V671" i="13"/>
  <c r="E671" i="13"/>
  <c r="V670" i="13"/>
  <c r="E670" i="13"/>
  <c r="V669" i="13"/>
  <c r="E669" i="13"/>
  <c r="V668" i="13"/>
  <c r="E668" i="13"/>
  <c r="V667" i="13"/>
  <c r="E667" i="13"/>
  <c r="V666" i="13"/>
  <c r="E666" i="13"/>
  <c r="V665" i="13"/>
  <c r="E665" i="13"/>
  <c r="V664" i="13"/>
  <c r="E664" i="13"/>
  <c r="V663" i="13"/>
  <c r="E663" i="13"/>
  <c r="V662" i="13"/>
  <c r="E662" i="13"/>
  <c r="V661" i="13"/>
  <c r="E661" i="13"/>
  <c r="V660" i="13"/>
  <c r="E660" i="13"/>
  <c r="V659" i="13"/>
  <c r="E659" i="13"/>
  <c r="V658" i="13"/>
  <c r="E658" i="13"/>
  <c r="V657" i="13"/>
  <c r="E657" i="13"/>
  <c r="V656" i="13"/>
  <c r="E656" i="13"/>
  <c r="V655" i="13"/>
  <c r="E655" i="13"/>
  <c r="V654" i="13"/>
  <c r="E654" i="13"/>
  <c r="V653" i="13"/>
  <c r="E653" i="13"/>
  <c r="V652" i="13"/>
  <c r="E652" i="13"/>
  <c r="V651" i="13"/>
  <c r="E651" i="13"/>
  <c r="V650" i="13"/>
  <c r="E650" i="13"/>
  <c r="V649" i="13"/>
  <c r="E649" i="13"/>
  <c r="V648" i="13"/>
  <c r="E648" i="13"/>
  <c r="V647" i="13"/>
  <c r="E647" i="13"/>
  <c r="V646" i="13"/>
  <c r="E646" i="13"/>
  <c r="V645" i="13"/>
  <c r="E645" i="13"/>
  <c r="V644" i="13"/>
  <c r="E644" i="13"/>
  <c r="V643" i="13"/>
  <c r="E643" i="13"/>
  <c r="V642" i="13"/>
  <c r="E642" i="13"/>
  <c r="V641" i="13"/>
  <c r="E641" i="13"/>
  <c r="V640" i="13"/>
  <c r="E640" i="13"/>
  <c r="V639" i="13"/>
  <c r="E639" i="13"/>
  <c r="V638" i="13"/>
  <c r="E638" i="13"/>
  <c r="V637" i="13"/>
  <c r="E637" i="13"/>
  <c r="V636" i="13"/>
  <c r="E636" i="13"/>
  <c r="V635" i="13"/>
  <c r="E635" i="13"/>
  <c r="V634" i="13"/>
  <c r="E634" i="13"/>
  <c r="V633" i="13"/>
  <c r="E633" i="13"/>
  <c r="V632" i="13"/>
  <c r="E632" i="13"/>
  <c r="V631" i="13"/>
  <c r="E631" i="13"/>
  <c r="V630" i="13"/>
  <c r="E630" i="13"/>
  <c r="V629" i="13"/>
  <c r="E629" i="13"/>
  <c r="V628" i="13"/>
  <c r="E628" i="13"/>
  <c r="V627" i="13"/>
  <c r="E627" i="13"/>
  <c r="V626" i="13"/>
  <c r="E626" i="13"/>
  <c r="V625" i="13"/>
  <c r="E625" i="13"/>
  <c r="V624" i="13"/>
  <c r="E624" i="13"/>
  <c r="V623" i="13"/>
  <c r="E623" i="13"/>
  <c r="V622" i="13"/>
  <c r="E622" i="13"/>
  <c r="V621" i="13"/>
  <c r="E621" i="13"/>
  <c r="V620" i="13"/>
  <c r="E620" i="13"/>
  <c r="V619" i="13"/>
  <c r="E619" i="13"/>
  <c r="V618" i="13"/>
  <c r="E618" i="13"/>
  <c r="V617" i="13"/>
  <c r="E617" i="13"/>
  <c r="V616" i="13"/>
  <c r="E616" i="13"/>
  <c r="V615" i="13"/>
  <c r="E615" i="13"/>
  <c r="V614" i="13"/>
  <c r="E614" i="13"/>
  <c r="V613" i="13"/>
  <c r="E613" i="13"/>
  <c r="V612" i="13"/>
  <c r="E612" i="13"/>
  <c r="V611" i="13"/>
  <c r="E611" i="13"/>
  <c r="V610" i="13"/>
  <c r="E610" i="13"/>
  <c r="V609" i="13"/>
  <c r="E609" i="13"/>
  <c r="V608" i="13"/>
  <c r="E608" i="13"/>
  <c r="V607" i="13"/>
  <c r="E607" i="13"/>
  <c r="V606" i="13"/>
  <c r="E606" i="13"/>
  <c r="V605" i="13"/>
  <c r="E605" i="13"/>
  <c r="V604" i="13"/>
  <c r="E604" i="13"/>
  <c r="V603" i="13"/>
  <c r="E603" i="13"/>
  <c r="V602" i="13"/>
  <c r="E602" i="13"/>
  <c r="V601" i="13"/>
  <c r="E601" i="13"/>
  <c r="V600" i="13"/>
  <c r="E600" i="13"/>
  <c r="V599" i="13"/>
  <c r="E599" i="13"/>
  <c r="V598" i="13"/>
  <c r="E598" i="13"/>
  <c r="V597" i="13"/>
  <c r="E597" i="13"/>
  <c r="V596" i="13"/>
  <c r="E596" i="13"/>
  <c r="V595" i="13"/>
  <c r="E595" i="13"/>
  <c r="V594" i="13"/>
  <c r="E594" i="13"/>
  <c r="V593" i="13"/>
  <c r="E593" i="13"/>
  <c r="V592" i="13"/>
  <c r="E592" i="13"/>
  <c r="V591" i="13"/>
  <c r="E591" i="13"/>
  <c r="V590" i="13"/>
  <c r="E590" i="13"/>
  <c r="V589" i="13"/>
  <c r="E589" i="13"/>
  <c r="V588" i="13"/>
  <c r="E588" i="13"/>
  <c r="V587" i="13"/>
  <c r="E587" i="13"/>
  <c r="V586" i="13"/>
  <c r="E586" i="13"/>
  <c r="V585" i="13"/>
  <c r="E585" i="13"/>
  <c r="V584" i="13"/>
  <c r="E584" i="13"/>
  <c r="V583" i="13"/>
  <c r="E583" i="13"/>
  <c r="V582" i="13"/>
  <c r="E582" i="13"/>
  <c r="V581" i="13"/>
  <c r="E581" i="13"/>
  <c r="V580" i="13"/>
  <c r="E580" i="13"/>
  <c r="V579" i="13"/>
  <c r="E579" i="13"/>
  <c r="V578" i="13"/>
  <c r="E578" i="13"/>
  <c r="V577" i="13"/>
  <c r="E577" i="13"/>
  <c r="V576" i="13"/>
  <c r="E576" i="13"/>
  <c r="V575" i="13"/>
  <c r="E575" i="13"/>
  <c r="V574" i="13"/>
  <c r="E574" i="13"/>
  <c r="V573" i="13"/>
  <c r="E573" i="13"/>
  <c r="V572" i="13"/>
  <c r="E572" i="13"/>
  <c r="V571" i="13"/>
  <c r="E571" i="13"/>
  <c r="V570" i="13"/>
  <c r="E570" i="13"/>
  <c r="V569" i="13"/>
  <c r="E569" i="13"/>
  <c r="V568" i="13"/>
  <c r="E568" i="13"/>
  <c r="V567" i="13"/>
  <c r="E567" i="13"/>
  <c r="V566" i="13"/>
  <c r="E566" i="13"/>
  <c r="V565" i="13"/>
  <c r="E565" i="13"/>
  <c r="V564" i="13"/>
  <c r="E564" i="13"/>
  <c r="V563" i="13"/>
  <c r="E563" i="13"/>
  <c r="V562" i="13"/>
  <c r="E562" i="13"/>
  <c r="V561" i="13"/>
  <c r="E561" i="13"/>
  <c r="V560" i="13"/>
  <c r="E560" i="13"/>
  <c r="V559" i="13"/>
  <c r="E559" i="13"/>
  <c r="V558" i="13"/>
  <c r="E558" i="13"/>
  <c r="V557" i="13"/>
  <c r="E557" i="13"/>
  <c r="V556" i="13"/>
  <c r="E556" i="13"/>
  <c r="V555" i="13"/>
  <c r="E555" i="13"/>
  <c r="V554" i="13"/>
  <c r="E554" i="13"/>
  <c r="V553" i="13"/>
  <c r="E553" i="13"/>
  <c r="V552" i="13"/>
  <c r="E552" i="13"/>
  <c r="V551" i="13"/>
  <c r="E551" i="13"/>
  <c r="V550" i="13"/>
  <c r="E550" i="13"/>
  <c r="V549" i="13"/>
  <c r="E549" i="13"/>
  <c r="V548" i="13"/>
  <c r="E548" i="13"/>
  <c r="V547" i="13"/>
  <c r="E547" i="13"/>
  <c r="V546" i="13"/>
  <c r="E546" i="13"/>
  <c r="V545" i="13"/>
  <c r="E545" i="13"/>
  <c r="V544" i="13"/>
  <c r="E544" i="13"/>
  <c r="V543" i="13"/>
  <c r="E543" i="13"/>
  <c r="V542" i="13"/>
  <c r="E542" i="13"/>
  <c r="V541" i="13"/>
  <c r="E541" i="13"/>
  <c r="V540" i="13"/>
  <c r="E540" i="13"/>
  <c r="V539" i="13"/>
  <c r="E539" i="13"/>
  <c r="V538" i="13"/>
  <c r="E538" i="13"/>
  <c r="V537" i="13"/>
  <c r="E537" i="13"/>
  <c r="V536" i="13"/>
  <c r="E536" i="13"/>
  <c r="V535" i="13"/>
  <c r="E535" i="13"/>
  <c r="V534" i="13"/>
  <c r="E534" i="13"/>
  <c r="V533" i="13"/>
  <c r="E533" i="13"/>
  <c r="V532" i="13"/>
  <c r="E532" i="13"/>
  <c r="V531" i="13"/>
  <c r="E531" i="13"/>
  <c r="V530" i="13"/>
  <c r="E530" i="13"/>
  <c r="V529" i="13"/>
  <c r="E529" i="13"/>
  <c r="V528" i="13"/>
  <c r="E528" i="13"/>
  <c r="V527" i="13"/>
  <c r="E527" i="13"/>
  <c r="V526" i="13"/>
  <c r="E526" i="13"/>
  <c r="V525" i="13"/>
  <c r="E525" i="13"/>
  <c r="V524" i="13"/>
  <c r="E524" i="13"/>
  <c r="V523" i="13"/>
  <c r="E523" i="13"/>
  <c r="V522" i="13"/>
  <c r="E522" i="13"/>
  <c r="V521" i="13"/>
  <c r="E521" i="13"/>
  <c r="V520" i="13"/>
  <c r="E520" i="13"/>
  <c r="V519" i="13"/>
  <c r="E519" i="13"/>
  <c r="V518" i="13"/>
  <c r="E518" i="13"/>
  <c r="V517" i="13"/>
  <c r="E517" i="13"/>
  <c r="V516" i="13"/>
  <c r="E516" i="13"/>
  <c r="V515" i="13"/>
  <c r="E515" i="13"/>
  <c r="V514" i="13"/>
  <c r="E514" i="13"/>
  <c r="V513" i="13"/>
  <c r="E513" i="13"/>
  <c r="V512" i="13"/>
  <c r="E512" i="13"/>
  <c r="V511" i="13"/>
  <c r="E511" i="13"/>
  <c r="V510" i="13"/>
  <c r="E510" i="13"/>
  <c r="V509" i="13"/>
  <c r="E509" i="13"/>
  <c r="V508" i="13"/>
  <c r="E508" i="13"/>
  <c r="V507" i="13"/>
  <c r="E507" i="13"/>
  <c r="V506" i="13"/>
  <c r="E506" i="13"/>
  <c r="V505" i="13"/>
  <c r="E505" i="13"/>
  <c r="V504" i="13"/>
  <c r="E504" i="13"/>
  <c r="V503" i="13"/>
  <c r="E503" i="13"/>
  <c r="V502" i="13"/>
  <c r="E502" i="13"/>
  <c r="V501" i="13"/>
  <c r="E501" i="13"/>
  <c r="V500" i="13"/>
  <c r="E500" i="13"/>
  <c r="V499" i="13"/>
  <c r="E499" i="13"/>
  <c r="V498" i="13"/>
  <c r="E498" i="13"/>
  <c r="V497" i="13"/>
  <c r="E497" i="13"/>
  <c r="V496" i="13"/>
  <c r="E496" i="13"/>
  <c r="V495" i="13"/>
  <c r="E495" i="13"/>
  <c r="V494" i="13"/>
  <c r="E494" i="13"/>
  <c r="V493" i="13"/>
  <c r="E493" i="13"/>
  <c r="V492" i="13"/>
  <c r="E492" i="13"/>
  <c r="V491" i="13"/>
  <c r="E491" i="13"/>
  <c r="V490" i="13"/>
  <c r="E490" i="13"/>
  <c r="V489" i="13"/>
  <c r="E489" i="13"/>
  <c r="V488" i="13"/>
  <c r="E488" i="13"/>
  <c r="V487" i="13"/>
  <c r="E487" i="13"/>
  <c r="V486" i="13"/>
  <c r="E486" i="13"/>
  <c r="V485" i="13"/>
  <c r="E485" i="13"/>
  <c r="V484" i="13"/>
  <c r="E484" i="13"/>
  <c r="V483" i="13"/>
  <c r="E483" i="13"/>
  <c r="V482" i="13"/>
  <c r="E482" i="13"/>
  <c r="V481" i="13"/>
  <c r="E481" i="13"/>
  <c r="V480" i="13"/>
  <c r="E480" i="13"/>
  <c r="V479" i="13"/>
  <c r="E479" i="13"/>
  <c r="V478" i="13"/>
  <c r="E478" i="13"/>
  <c r="V477" i="13"/>
  <c r="E477" i="13"/>
  <c r="V476" i="13"/>
  <c r="E476" i="13"/>
  <c r="V475" i="13"/>
  <c r="E475" i="13"/>
  <c r="V474" i="13"/>
  <c r="E474" i="13"/>
  <c r="V473" i="13"/>
  <c r="E473" i="13"/>
  <c r="V472" i="13"/>
  <c r="E472" i="13"/>
  <c r="V471" i="13"/>
  <c r="E471" i="13"/>
  <c r="V470" i="13"/>
  <c r="E470" i="13"/>
  <c r="V469" i="13"/>
  <c r="E469" i="13"/>
  <c r="V468" i="13"/>
  <c r="E468" i="13"/>
  <c r="V467" i="13"/>
  <c r="E467" i="13"/>
  <c r="V466" i="13"/>
  <c r="E466" i="13"/>
  <c r="V465" i="13"/>
  <c r="E465" i="13"/>
  <c r="V464" i="13"/>
  <c r="E464" i="13"/>
  <c r="V463" i="13"/>
  <c r="E463" i="13"/>
  <c r="V462" i="13"/>
  <c r="E462" i="13"/>
  <c r="V461" i="13"/>
  <c r="E461" i="13"/>
  <c r="V460" i="13"/>
  <c r="E460" i="13"/>
  <c r="V459" i="13"/>
  <c r="E459" i="13"/>
  <c r="V458" i="13"/>
  <c r="E458" i="13"/>
  <c r="V457" i="13"/>
  <c r="E457" i="13"/>
  <c r="V456" i="13"/>
  <c r="E456" i="13"/>
  <c r="V455" i="13"/>
  <c r="E455" i="13"/>
  <c r="V454" i="13"/>
  <c r="E454" i="13"/>
  <c r="V453" i="13"/>
  <c r="E453" i="13"/>
  <c r="V452" i="13"/>
  <c r="E452" i="13"/>
  <c r="V451" i="13"/>
  <c r="E451" i="13"/>
  <c r="V450" i="13"/>
  <c r="E450" i="13"/>
  <c r="V449" i="13"/>
  <c r="E449" i="13"/>
  <c r="V448" i="13"/>
  <c r="E448" i="13"/>
  <c r="V447" i="13"/>
  <c r="E447" i="13"/>
  <c r="V446" i="13"/>
  <c r="E446" i="13"/>
  <c r="V445" i="13"/>
  <c r="E445" i="13"/>
  <c r="V444" i="13"/>
  <c r="E444" i="13"/>
  <c r="V443" i="13"/>
  <c r="E443" i="13"/>
  <c r="V442" i="13"/>
  <c r="E442" i="13"/>
  <c r="V441" i="13"/>
  <c r="E441" i="13"/>
  <c r="V440" i="13"/>
  <c r="E440" i="13"/>
  <c r="V439" i="13"/>
  <c r="E439" i="13"/>
  <c r="V438" i="13"/>
  <c r="E438" i="13"/>
  <c r="V437" i="13"/>
  <c r="E437" i="13"/>
  <c r="V436" i="13"/>
  <c r="E436" i="13"/>
  <c r="V435" i="13"/>
  <c r="E435" i="13"/>
  <c r="V434" i="13"/>
  <c r="E434" i="13"/>
  <c r="V433" i="13"/>
  <c r="E433" i="13"/>
  <c r="V432" i="13"/>
  <c r="E432" i="13"/>
  <c r="V431" i="13"/>
  <c r="E431" i="13"/>
  <c r="V430" i="13"/>
  <c r="E430" i="13"/>
  <c r="V429" i="13"/>
  <c r="E429" i="13"/>
  <c r="V428" i="13"/>
  <c r="E428" i="13"/>
  <c r="V427" i="13"/>
  <c r="E427" i="13"/>
  <c r="V426" i="13"/>
  <c r="E426" i="13"/>
  <c r="V425" i="13"/>
  <c r="E425" i="13"/>
  <c r="V424" i="13"/>
  <c r="E424" i="13"/>
  <c r="V423" i="13"/>
  <c r="E423" i="13"/>
  <c r="V422" i="13"/>
  <c r="E422" i="13"/>
  <c r="V421" i="13"/>
  <c r="E421" i="13"/>
  <c r="V420" i="13"/>
  <c r="E420" i="13"/>
  <c r="V419" i="13"/>
  <c r="E419" i="13"/>
  <c r="V418" i="13"/>
  <c r="E418" i="13"/>
  <c r="V417" i="13"/>
  <c r="E417" i="13"/>
  <c r="V416" i="13"/>
  <c r="E416" i="13"/>
  <c r="V415" i="13"/>
  <c r="E415" i="13"/>
  <c r="V414" i="13"/>
  <c r="E414" i="13"/>
  <c r="V413" i="13"/>
  <c r="E413" i="13"/>
  <c r="V412" i="13"/>
  <c r="E412" i="13"/>
  <c r="V411" i="13"/>
  <c r="E411" i="13"/>
  <c r="V410" i="13"/>
  <c r="E410" i="13"/>
  <c r="V409" i="13"/>
  <c r="E409" i="13"/>
  <c r="V408" i="13"/>
  <c r="E408" i="13"/>
  <c r="V407" i="13"/>
  <c r="E407" i="13"/>
  <c r="V406" i="13"/>
  <c r="E406" i="13"/>
  <c r="V405" i="13"/>
  <c r="E405" i="13"/>
  <c r="V404" i="13"/>
  <c r="E404" i="13"/>
  <c r="V403" i="13"/>
  <c r="E403" i="13"/>
  <c r="V402" i="13"/>
  <c r="E402" i="13"/>
  <c r="V401" i="13"/>
  <c r="E401" i="13"/>
  <c r="V400" i="13"/>
  <c r="E400" i="13"/>
  <c r="V399" i="13"/>
  <c r="E399" i="13"/>
  <c r="V398" i="13"/>
  <c r="E398" i="13"/>
  <c r="V397" i="13"/>
  <c r="E397" i="13"/>
  <c r="V396" i="13"/>
  <c r="E396" i="13"/>
  <c r="V395" i="13"/>
  <c r="E395" i="13"/>
  <c r="V394" i="13"/>
  <c r="E394" i="13"/>
  <c r="V393" i="13"/>
  <c r="E393" i="13"/>
  <c r="V392" i="13"/>
  <c r="E392" i="13"/>
  <c r="V391" i="13"/>
  <c r="E391" i="13"/>
  <c r="V390" i="13"/>
  <c r="E390" i="13"/>
  <c r="V389" i="13"/>
  <c r="E389" i="13"/>
  <c r="V388" i="13"/>
  <c r="E388" i="13"/>
  <c r="V387" i="13"/>
  <c r="E387" i="13"/>
  <c r="V386" i="13"/>
  <c r="E386" i="13"/>
  <c r="V385" i="13"/>
  <c r="E385" i="13"/>
  <c r="V384" i="13"/>
  <c r="E384" i="13"/>
  <c r="V383" i="13"/>
  <c r="E383" i="13"/>
  <c r="V382" i="13"/>
  <c r="E382" i="13"/>
  <c r="V381" i="13"/>
  <c r="E381" i="13"/>
  <c r="V380" i="13"/>
  <c r="E380" i="13"/>
  <c r="V379" i="13"/>
  <c r="E379" i="13"/>
  <c r="V378" i="13"/>
  <c r="E378" i="13"/>
  <c r="V377" i="13"/>
  <c r="E377" i="13"/>
  <c r="V376" i="13"/>
  <c r="E376" i="13"/>
  <c r="V375" i="13"/>
  <c r="E375" i="13"/>
  <c r="V374" i="13"/>
  <c r="E374" i="13"/>
  <c r="V373" i="13"/>
  <c r="E373" i="13"/>
  <c r="V372" i="13"/>
  <c r="E372" i="13"/>
  <c r="V371" i="13"/>
  <c r="E371" i="13"/>
  <c r="V370" i="13"/>
  <c r="E370" i="13"/>
  <c r="V369" i="13"/>
  <c r="E369" i="13"/>
  <c r="V368" i="13"/>
  <c r="E368" i="13"/>
  <c r="V367" i="13"/>
  <c r="E367" i="13"/>
  <c r="V366" i="13"/>
  <c r="E366" i="13"/>
  <c r="V365" i="13"/>
  <c r="E365" i="13"/>
  <c r="V364" i="13"/>
  <c r="E364" i="13"/>
  <c r="V363" i="13"/>
  <c r="E363" i="13"/>
  <c r="V362" i="13"/>
  <c r="E362" i="13"/>
  <c r="V361" i="13"/>
  <c r="E361" i="13"/>
  <c r="V360" i="13"/>
  <c r="E360" i="13"/>
  <c r="V359" i="13"/>
  <c r="E359" i="13"/>
  <c r="V358" i="13"/>
  <c r="E358" i="13"/>
  <c r="V357" i="13"/>
  <c r="E357" i="13"/>
  <c r="V356" i="13"/>
  <c r="E356" i="13"/>
  <c r="V355" i="13"/>
  <c r="E355" i="13"/>
  <c r="V354" i="13"/>
  <c r="E354" i="13"/>
  <c r="V353" i="13"/>
  <c r="E353" i="13"/>
  <c r="V352" i="13"/>
  <c r="E352" i="13"/>
  <c r="V351" i="13"/>
  <c r="E351" i="13"/>
  <c r="V350" i="13"/>
  <c r="E350" i="13"/>
  <c r="V349" i="13"/>
  <c r="E349" i="13"/>
  <c r="V348" i="13"/>
  <c r="E348" i="13"/>
  <c r="V347" i="13"/>
  <c r="E347" i="13"/>
  <c r="V346" i="13"/>
  <c r="E346" i="13"/>
  <c r="V345" i="13"/>
  <c r="E345" i="13"/>
  <c r="V344" i="13"/>
  <c r="E344" i="13"/>
  <c r="V343" i="13"/>
  <c r="E343" i="13"/>
  <c r="V342" i="13"/>
  <c r="E342" i="13"/>
  <c r="V341" i="13"/>
  <c r="E341" i="13"/>
  <c r="V340" i="13"/>
  <c r="E340" i="13"/>
  <c r="V339" i="13"/>
  <c r="E339" i="13"/>
  <c r="V338" i="13"/>
  <c r="E338" i="13"/>
  <c r="V337" i="13"/>
  <c r="E337" i="13"/>
  <c r="V336" i="13"/>
  <c r="E336" i="13"/>
  <c r="V335" i="13"/>
  <c r="E335" i="13"/>
  <c r="V334" i="13"/>
  <c r="E334" i="13"/>
  <c r="V333" i="13"/>
  <c r="E333" i="13"/>
  <c r="V332" i="13"/>
  <c r="E332" i="13"/>
  <c r="V331" i="13"/>
  <c r="E331" i="13"/>
  <c r="V330" i="13"/>
  <c r="E330" i="13"/>
  <c r="V329" i="13"/>
  <c r="E329" i="13"/>
  <c r="V328" i="13"/>
  <c r="E328" i="13"/>
  <c r="V327" i="13"/>
  <c r="E327" i="13"/>
  <c r="V326" i="13"/>
  <c r="E326" i="13"/>
  <c r="V325" i="13"/>
  <c r="E325" i="13"/>
  <c r="V324" i="13"/>
  <c r="E324" i="13"/>
  <c r="V323" i="13"/>
  <c r="E323" i="13"/>
  <c r="V322" i="13"/>
  <c r="E322" i="13"/>
  <c r="V321" i="13"/>
  <c r="E321" i="13"/>
  <c r="V320" i="13"/>
  <c r="E320" i="13"/>
  <c r="V319" i="13"/>
  <c r="E319" i="13"/>
  <c r="V318" i="13"/>
  <c r="E318" i="13"/>
  <c r="V317" i="13"/>
  <c r="E317" i="13"/>
  <c r="V316" i="13"/>
  <c r="E316" i="13"/>
  <c r="V315" i="13"/>
  <c r="E315" i="13"/>
  <c r="V314" i="13"/>
  <c r="E314" i="13"/>
  <c r="V313" i="13"/>
  <c r="E313" i="13"/>
  <c r="V312" i="13"/>
  <c r="E312" i="13"/>
  <c r="V311" i="13"/>
  <c r="E311" i="13"/>
  <c r="V310" i="13"/>
  <c r="E310" i="13"/>
  <c r="V309" i="13"/>
  <c r="E309" i="13"/>
  <c r="V308" i="13"/>
  <c r="E308" i="13"/>
  <c r="V307" i="13"/>
  <c r="E307" i="13"/>
  <c r="V306" i="13"/>
  <c r="E306" i="13"/>
  <c r="V305" i="13"/>
  <c r="E305" i="13"/>
  <c r="V304" i="13"/>
  <c r="E304" i="13"/>
  <c r="V303" i="13"/>
  <c r="E303" i="13"/>
  <c r="V302" i="13"/>
  <c r="E302" i="13"/>
  <c r="V301" i="13"/>
  <c r="E301" i="13"/>
  <c r="V300" i="13"/>
  <c r="E300" i="13"/>
  <c r="V299" i="13"/>
  <c r="E299" i="13"/>
  <c r="V298" i="13"/>
  <c r="E298" i="13"/>
  <c r="V297" i="13"/>
  <c r="E297" i="13"/>
  <c r="V296" i="13"/>
  <c r="E296" i="13"/>
  <c r="V295" i="13"/>
  <c r="E295" i="13"/>
  <c r="V294" i="13"/>
  <c r="E294" i="13"/>
  <c r="V293" i="13"/>
  <c r="E293" i="13"/>
  <c r="V292" i="13"/>
  <c r="E292" i="13"/>
  <c r="V291" i="13"/>
  <c r="E291" i="13"/>
  <c r="V290" i="13"/>
  <c r="E290" i="13"/>
  <c r="V289" i="13"/>
  <c r="E289" i="13"/>
  <c r="V288" i="13"/>
  <c r="E288" i="13"/>
  <c r="V287" i="13"/>
  <c r="E287" i="13"/>
  <c r="V286" i="13"/>
  <c r="E286" i="13"/>
  <c r="V285" i="13"/>
  <c r="E285" i="13"/>
  <c r="V284" i="13"/>
  <c r="E284" i="13"/>
  <c r="V283" i="13"/>
  <c r="E283" i="13"/>
  <c r="V282" i="13"/>
  <c r="E282" i="13"/>
  <c r="V281" i="13"/>
  <c r="E281" i="13"/>
  <c r="V280" i="13"/>
  <c r="E280" i="13"/>
  <c r="V279" i="13"/>
  <c r="E279" i="13"/>
  <c r="V278" i="13"/>
  <c r="E278" i="13"/>
  <c r="V277" i="13"/>
  <c r="E277" i="13"/>
  <c r="V276" i="13"/>
  <c r="E276" i="13"/>
  <c r="V275" i="13"/>
  <c r="E275" i="13"/>
  <c r="V274" i="13"/>
  <c r="E274" i="13"/>
  <c r="V273" i="13"/>
  <c r="E273" i="13"/>
  <c r="V272" i="13"/>
  <c r="E272" i="13"/>
  <c r="V271" i="13"/>
  <c r="E271" i="13"/>
  <c r="V270" i="13"/>
  <c r="E270" i="13"/>
  <c r="V269" i="13"/>
  <c r="E269" i="13"/>
  <c r="V268" i="13"/>
  <c r="E268" i="13"/>
  <c r="V267" i="13"/>
  <c r="E267" i="13"/>
  <c r="V266" i="13"/>
  <c r="E266" i="13"/>
  <c r="V265" i="13"/>
  <c r="E265" i="13"/>
  <c r="V264" i="13"/>
  <c r="E264" i="13"/>
  <c r="V263" i="13"/>
  <c r="E263" i="13"/>
  <c r="V262" i="13"/>
  <c r="E262" i="13"/>
  <c r="V261" i="13"/>
  <c r="E261" i="13"/>
  <c r="V260" i="13"/>
  <c r="E260" i="13"/>
  <c r="V259" i="13"/>
  <c r="E259" i="13"/>
  <c r="V258" i="13"/>
  <c r="E258" i="13"/>
  <c r="V257" i="13"/>
  <c r="E257" i="13"/>
  <c r="V256" i="13"/>
  <c r="E256" i="13"/>
  <c r="V255" i="13"/>
  <c r="E255" i="13"/>
  <c r="V254" i="13"/>
  <c r="E254" i="13"/>
  <c r="V253" i="13"/>
  <c r="E253" i="13"/>
  <c r="V252" i="13"/>
  <c r="E252" i="13"/>
  <c r="V251" i="13"/>
  <c r="E251" i="13"/>
  <c r="V250" i="13"/>
  <c r="E250" i="13"/>
  <c r="V249" i="13"/>
  <c r="E249" i="13"/>
  <c r="V248" i="13"/>
  <c r="E248" i="13"/>
  <c r="V247" i="13"/>
  <c r="E247" i="13"/>
  <c r="V246" i="13"/>
  <c r="E246" i="13"/>
  <c r="V245" i="13"/>
  <c r="E245" i="13"/>
  <c r="V244" i="13"/>
  <c r="E244" i="13"/>
  <c r="V243" i="13"/>
  <c r="E243" i="13"/>
  <c r="V242" i="13"/>
  <c r="E242" i="13"/>
  <c r="V241" i="13"/>
  <c r="E241" i="13"/>
  <c r="V240" i="13"/>
  <c r="E240" i="13"/>
  <c r="V239" i="13"/>
  <c r="E239" i="13"/>
  <c r="V238" i="13"/>
  <c r="E238" i="13"/>
  <c r="V237" i="13"/>
  <c r="E237" i="13"/>
  <c r="V236" i="13"/>
  <c r="E236" i="13"/>
  <c r="V235" i="13"/>
  <c r="E235" i="13"/>
  <c r="V234" i="13"/>
  <c r="E234" i="13"/>
  <c r="V233" i="13"/>
  <c r="E233" i="13"/>
  <c r="V232" i="13"/>
  <c r="E232" i="13"/>
  <c r="V231" i="13"/>
  <c r="E231" i="13"/>
  <c r="V230" i="13"/>
  <c r="E230" i="13"/>
  <c r="V229" i="13"/>
  <c r="E229" i="13"/>
  <c r="V228" i="13"/>
  <c r="E228" i="13"/>
  <c r="V227" i="13"/>
  <c r="E227" i="13"/>
  <c r="V226" i="13"/>
  <c r="E226" i="13"/>
  <c r="V225" i="13"/>
  <c r="E225" i="13"/>
  <c r="V224" i="13"/>
  <c r="E224" i="13"/>
  <c r="V223" i="13"/>
  <c r="E223" i="13"/>
  <c r="V222" i="13"/>
  <c r="E222" i="13"/>
  <c r="V221" i="13"/>
  <c r="E221" i="13"/>
  <c r="V220" i="13"/>
  <c r="E220" i="13"/>
  <c r="V219" i="13"/>
  <c r="E219" i="13"/>
  <c r="V218" i="13"/>
  <c r="E218" i="13"/>
  <c r="V217" i="13"/>
  <c r="E217" i="13"/>
  <c r="V216" i="13"/>
  <c r="E216" i="13"/>
  <c r="V215" i="13"/>
  <c r="E215" i="13"/>
  <c r="V214" i="13"/>
  <c r="E214" i="13"/>
  <c r="V213" i="13"/>
  <c r="E213" i="13"/>
  <c r="V212" i="13"/>
  <c r="E212" i="13"/>
  <c r="V211" i="13"/>
  <c r="E211" i="13"/>
  <c r="V210" i="13"/>
  <c r="E210" i="13"/>
  <c r="V209" i="13"/>
  <c r="E209" i="13"/>
  <c r="V208" i="13"/>
  <c r="E208" i="13"/>
  <c r="V207" i="13"/>
  <c r="E207" i="13"/>
  <c r="V206" i="13"/>
  <c r="E206" i="13"/>
  <c r="V205" i="13"/>
  <c r="E205" i="13"/>
  <c r="V204" i="13"/>
  <c r="E204" i="13"/>
  <c r="V203" i="13"/>
  <c r="E203" i="13"/>
  <c r="V202" i="13"/>
  <c r="E202" i="13"/>
  <c r="V201" i="13"/>
  <c r="E201" i="13"/>
  <c r="V200" i="13"/>
  <c r="E200" i="13"/>
  <c r="V199" i="13"/>
  <c r="E199" i="13"/>
  <c r="V198" i="13"/>
  <c r="E198" i="13"/>
  <c r="V197" i="13"/>
  <c r="E197" i="13"/>
  <c r="V196" i="13"/>
  <c r="E196" i="13"/>
  <c r="V195" i="13"/>
  <c r="E195" i="13"/>
  <c r="V194" i="13"/>
  <c r="E194" i="13"/>
  <c r="V193" i="13"/>
  <c r="E193" i="13"/>
  <c r="V192" i="13"/>
  <c r="E192" i="13"/>
  <c r="V191" i="13"/>
  <c r="E191" i="13"/>
  <c r="V190" i="13"/>
  <c r="E190" i="13"/>
  <c r="V189" i="13"/>
  <c r="E189" i="13"/>
  <c r="V188" i="13"/>
  <c r="E188" i="13"/>
  <c r="V187" i="13"/>
  <c r="E187" i="13"/>
  <c r="V186" i="13"/>
  <c r="E186" i="13"/>
  <c r="V185" i="13"/>
  <c r="E185" i="13"/>
  <c r="V184" i="13"/>
  <c r="E184" i="13"/>
  <c r="V183" i="13"/>
  <c r="E183" i="13"/>
  <c r="V182" i="13"/>
  <c r="E182" i="13"/>
  <c r="V181" i="13"/>
  <c r="E181" i="13"/>
  <c r="V180" i="13"/>
  <c r="E180" i="13"/>
  <c r="V179" i="13"/>
  <c r="E179" i="13"/>
  <c r="V178" i="13"/>
  <c r="E178" i="13"/>
  <c r="V177" i="13"/>
  <c r="E177" i="13"/>
  <c r="V176" i="13"/>
  <c r="E176" i="13"/>
  <c r="V175" i="13"/>
  <c r="E175" i="13"/>
  <c r="V174" i="13"/>
  <c r="E174" i="13"/>
  <c r="V173" i="13"/>
  <c r="E173" i="13"/>
  <c r="V172" i="13"/>
  <c r="E172" i="13"/>
  <c r="V171" i="13"/>
  <c r="E171" i="13"/>
  <c r="V170" i="13"/>
  <c r="E170" i="13"/>
  <c r="V169" i="13"/>
  <c r="E169" i="13"/>
  <c r="V168" i="13"/>
  <c r="E168" i="13"/>
  <c r="V167" i="13"/>
  <c r="E167" i="13"/>
  <c r="V166" i="13"/>
  <c r="E166" i="13"/>
  <c r="V165" i="13"/>
  <c r="E165" i="13"/>
  <c r="V164" i="13"/>
  <c r="E164" i="13"/>
  <c r="V163" i="13"/>
  <c r="E163" i="13"/>
  <c r="V162" i="13"/>
  <c r="E162" i="13"/>
  <c r="V161" i="13"/>
  <c r="E161" i="13"/>
  <c r="V160" i="13"/>
  <c r="E160" i="13"/>
  <c r="V159" i="13"/>
  <c r="E159" i="13"/>
  <c r="V158" i="13"/>
  <c r="E158" i="13"/>
  <c r="V157" i="13"/>
  <c r="E157" i="13"/>
  <c r="V156" i="13"/>
  <c r="E156" i="13"/>
  <c r="V155" i="13"/>
  <c r="E155" i="13"/>
  <c r="V154" i="13"/>
  <c r="E154" i="13"/>
  <c r="V153" i="13"/>
  <c r="E153" i="13"/>
  <c r="V152" i="13"/>
  <c r="E152" i="13"/>
  <c r="V151" i="13"/>
  <c r="E151" i="13"/>
  <c r="V150" i="13"/>
  <c r="E150" i="13"/>
  <c r="V149" i="13"/>
  <c r="E149" i="13"/>
  <c r="V148" i="13"/>
  <c r="E148" i="13"/>
  <c r="V147" i="13"/>
  <c r="E147" i="13"/>
  <c r="V146" i="13"/>
  <c r="E146" i="13"/>
  <c r="V145" i="13"/>
  <c r="E145" i="13"/>
  <c r="V144" i="13"/>
  <c r="E144" i="13"/>
  <c r="V143" i="13"/>
  <c r="E143" i="13"/>
  <c r="V142" i="13"/>
  <c r="E142" i="13"/>
  <c r="V141" i="13"/>
  <c r="E141" i="13"/>
  <c r="V140" i="13"/>
  <c r="E140" i="13"/>
  <c r="V139" i="13"/>
  <c r="E139" i="13"/>
  <c r="V138" i="13"/>
  <c r="E138" i="13"/>
  <c r="V137" i="13"/>
  <c r="E137" i="13"/>
  <c r="V136" i="13"/>
  <c r="E136" i="13"/>
  <c r="V135" i="13"/>
  <c r="E135" i="13"/>
  <c r="V134" i="13"/>
  <c r="E134" i="13"/>
  <c r="V133" i="13"/>
  <c r="E133" i="13"/>
  <c r="V132" i="13"/>
  <c r="E132" i="13"/>
  <c r="V131" i="13"/>
  <c r="E131" i="13"/>
  <c r="V130" i="13"/>
  <c r="E130" i="13"/>
  <c r="V129" i="13"/>
  <c r="E129" i="13"/>
  <c r="V128" i="13"/>
  <c r="E128" i="13"/>
  <c r="V127" i="13"/>
  <c r="E127" i="13"/>
  <c r="V126" i="13"/>
  <c r="E126" i="13"/>
  <c r="V125" i="13"/>
  <c r="E125" i="13"/>
  <c r="V124" i="13"/>
  <c r="E124" i="13"/>
  <c r="V123" i="13"/>
  <c r="E123" i="13"/>
  <c r="V122" i="13"/>
  <c r="E122" i="13"/>
  <c r="V121" i="13"/>
  <c r="E121" i="13"/>
  <c r="V120" i="13"/>
  <c r="E120" i="13"/>
  <c r="V119" i="13"/>
  <c r="E119" i="13"/>
  <c r="V118" i="13"/>
  <c r="E118" i="13"/>
  <c r="V117" i="13"/>
  <c r="E117" i="13"/>
  <c r="V116" i="13"/>
  <c r="E116" i="13"/>
  <c r="V115" i="13"/>
  <c r="E115" i="13"/>
  <c r="V114" i="13"/>
  <c r="E114" i="13"/>
  <c r="V113" i="13"/>
  <c r="E113" i="13"/>
  <c r="V112" i="13"/>
  <c r="E112" i="13"/>
  <c r="V111" i="13"/>
  <c r="E111" i="13"/>
  <c r="V110" i="13"/>
  <c r="E110" i="13"/>
  <c r="V109" i="13"/>
  <c r="E109" i="13"/>
  <c r="V108" i="13"/>
  <c r="E108" i="13"/>
  <c r="V107" i="13"/>
  <c r="E107" i="13"/>
  <c r="V106" i="13"/>
  <c r="E106" i="13"/>
  <c r="V105" i="13"/>
  <c r="E105" i="13"/>
  <c r="V104" i="13"/>
  <c r="E104" i="13"/>
  <c r="V103" i="13"/>
  <c r="E103" i="13"/>
  <c r="V102" i="13"/>
  <c r="E102" i="13"/>
  <c r="V101" i="13"/>
  <c r="E101" i="13"/>
  <c r="V100" i="13"/>
  <c r="E100" i="13"/>
  <c r="V99" i="13"/>
  <c r="E99" i="13"/>
  <c r="V98" i="13"/>
  <c r="E98" i="13"/>
  <c r="V97" i="13"/>
  <c r="E97" i="13"/>
  <c r="V96" i="13"/>
  <c r="E96" i="13"/>
  <c r="V95" i="13"/>
  <c r="E95" i="13"/>
  <c r="V94" i="13"/>
  <c r="E94" i="13"/>
  <c r="V93" i="13"/>
  <c r="E93" i="13"/>
  <c r="V92" i="13"/>
  <c r="E92" i="13"/>
  <c r="V91" i="13"/>
  <c r="E91" i="13"/>
  <c r="V90" i="13"/>
  <c r="E90" i="13"/>
  <c r="V89" i="13"/>
  <c r="E89" i="13"/>
  <c r="V88" i="13"/>
  <c r="E88" i="13"/>
  <c r="V87" i="13"/>
  <c r="E87" i="13"/>
  <c r="V86" i="13"/>
  <c r="E86" i="13"/>
  <c r="V85" i="13"/>
  <c r="E85" i="13"/>
  <c r="V84" i="13"/>
  <c r="E84" i="13"/>
  <c r="V83" i="13"/>
  <c r="E83" i="13"/>
  <c r="V82" i="13"/>
  <c r="E82" i="13"/>
  <c r="V81" i="13"/>
  <c r="E81" i="13"/>
  <c r="V80" i="13"/>
  <c r="E80" i="13"/>
  <c r="V79" i="13"/>
  <c r="E79" i="13"/>
  <c r="V78" i="13"/>
  <c r="E78" i="13"/>
  <c r="V77" i="13"/>
  <c r="E77" i="13"/>
  <c r="V76" i="13"/>
  <c r="E76" i="13"/>
  <c r="V75" i="13"/>
  <c r="E75" i="13"/>
  <c r="V74" i="13"/>
  <c r="E74" i="13"/>
  <c r="V73" i="13"/>
  <c r="E73" i="13"/>
  <c r="V72" i="13"/>
  <c r="E72" i="13"/>
  <c r="V71" i="13"/>
  <c r="E71" i="13"/>
  <c r="V70" i="13"/>
  <c r="E70" i="13"/>
  <c r="V69" i="13"/>
  <c r="E69" i="13"/>
  <c r="V68" i="13"/>
  <c r="E68" i="13"/>
  <c r="V67" i="13"/>
  <c r="E67" i="13"/>
  <c r="V66" i="13"/>
  <c r="E66" i="13"/>
  <c r="V65" i="13"/>
  <c r="E65" i="13"/>
  <c r="V64" i="13"/>
  <c r="E64" i="13"/>
  <c r="V63" i="13"/>
  <c r="E63" i="13"/>
  <c r="V62" i="13"/>
  <c r="E62" i="13"/>
  <c r="V61" i="13"/>
  <c r="E61" i="13"/>
  <c r="V60" i="13"/>
  <c r="E60" i="13"/>
  <c r="V59" i="13"/>
  <c r="E59" i="13"/>
  <c r="V58" i="13"/>
  <c r="E58" i="13"/>
  <c r="V57" i="13"/>
  <c r="E57" i="13"/>
  <c r="V56" i="13"/>
  <c r="E56" i="13"/>
  <c r="V55" i="13"/>
  <c r="E55" i="13"/>
  <c r="V54" i="13"/>
  <c r="E54" i="13"/>
  <c r="V53" i="13"/>
  <c r="E53" i="13"/>
  <c r="V52" i="13"/>
  <c r="E52" i="13"/>
  <c r="V51" i="13"/>
  <c r="E51" i="13"/>
  <c r="V50" i="13"/>
  <c r="E50" i="13"/>
  <c r="V49" i="13"/>
  <c r="E49" i="13"/>
  <c r="V48" i="13"/>
  <c r="E48" i="13"/>
  <c r="V47" i="13"/>
  <c r="E47" i="13"/>
  <c r="V46" i="13"/>
  <c r="E46" i="13"/>
  <c r="V45" i="13"/>
  <c r="E45" i="13"/>
  <c r="V44" i="13"/>
  <c r="E44" i="13"/>
  <c r="V43" i="13"/>
  <c r="E43" i="13"/>
  <c r="V42" i="13"/>
  <c r="E42" i="13"/>
  <c r="V41" i="13"/>
  <c r="E41" i="13"/>
  <c r="V40" i="13"/>
  <c r="E40" i="13"/>
  <c r="V39" i="13"/>
  <c r="E39" i="13"/>
  <c r="V38" i="13"/>
  <c r="E38" i="13"/>
  <c r="V37" i="13"/>
  <c r="E37" i="13"/>
  <c r="V36" i="13"/>
  <c r="E36" i="13"/>
  <c r="V35" i="13"/>
  <c r="E35" i="13"/>
  <c r="V34" i="13"/>
  <c r="E34" i="13"/>
  <c r="V33" i="13"/>
  <c r="E33" i="13"/>
  <c r="V32" i="13"/>
  <c r="E32" i="13"/>
  <c r="V31" i="13"/>
  <c r="E31" i="13"/>
  <c r="V30" i="13"/>
  <c r="E30" i="13"/>
  <c r="V29" i="13"/>
  <c r="E29" i="13"/>
  <c r="V28" i="13"/>
  <c r="E28" i="13"/>
  <c r="V27" i="13"/>
  <c r="E27" i="13"/>
  <c r="V26" i="13"/>
  <c r="E26" i="13"/>
  <c r="V25" i="13"/>
  <c r="E25" i="13"/>
  <c r="V24" i="13"/>
  <c r="E24" i="13"/>
  <c r="V23" i="13"/>
  <c r="E23" i="13"/>
  <c r="V22" i="13"/>
  <c r="E22" i="13"/>
  <c r="V21" i="13"/>
  <c r="E21" i="13"/>
  <c r="V20" i="13"/>
  <c r="E20" i="13"/>
  <c r="V19" i="13"/>
  <c r="E19" i="13"/>
  <c r="V18" i="13"/>
  <c r="E18" i="13"/>
  <c r="V17" i="13"/>
  <c r="E17" i="13"/>
  <c r="V16" i="13"/>
  <c r="E16" i="13"/>
  <c r="V15" i="13"/>
  <c r="E15" i="13"/>
  <c r="V14" i="13"/>
  <c r="E14" i="13"/>
  <c r="V13" i="13"/>
  <c r="E13" i="13"/>
  <c r="V12" i="13"/>
  <c r="E12" i="13"/>
  <c r="V11" i="13"/>
  <c r="E11" i="13"/>
  <c r="V10" i="13"/>
  <c r="E10" i="13"/>
  <c r="V9" i="13"/>
  <c r="E9" i="13"/>
  <c r="V8" i="13"/>
  <c r="E8" i="13"/>
  <c r="V7" i="13"/>
  <c r="E7" i="13"/>
  <c r="V6" i="13"/>
  <c r="E6" i="13"/>
  <c r="V5" i="13"/>
  <c r="E5" i="13"/>
  <c r="V4" i="13"/>
  <c r="E4" i="13"/>
  <c r="E3" i="13"/>
  <c r="E2" i="13"/>
  <c r="U1" i="13"/>
  <c r="G35" i="7"/>
  <c r="G18" i="7"/>
  <c r="A1" i="7"/>
  <c r="C52" i="6" a="1"/>
  <c r="C52" i="6" s="1"/>
  <c r="B52" i="6" a="1"/>
  <c r="B52" i="6" s="1"/>
  <c r="C51" i="6" a="1"/>
  <c r="C51" i="6" s="1"/>
  <c r="B51" i="6" a="1"/>
  <c r="B51" i="6" s="1"/>
  <c r="C48" i="6" a="1"/>
  <c r="C48" i="6" s="1"/>
  <c r="B48" i="6" a="1"/>
  <c r="B48" i="6" s="1"/>
  <c r="C47" i="6"/>
  <c r="B47" i="6"/>
  <c r="C45" i="6" a="1"/>
  <c r="C45" i="6" s="1"/>
  <c r="B45" i="6" a="1"/>
  <c r="B45" i="6" s="1"/>
  <c r="C44" i="6" a="1"/>
  <c r="C44" i="6" s="1"/>
  <c r="B44" i="6" a="1"/>
  <c r="B44" i="6" s="1"/>
  <c r="B38" i="6" a="1"/>
  <c r="B38" i="6" s="1"/>
  <c r="A38" i="6"/>
  <c r="B37" i="6" a="1"/>
  <c r="B37" i="6" s="1"/>
  <c r="A37" i="6"/>
  <c r="A36" i="6"/>
  <c r="C32" i="6"/>
  <c r="E32" i="6" s="1"/>
  <c r="B32" i="6"/>
  <c r="A32" i="6"/>
  <c r="B30" i="6"/>
  <c r="B29" i="6"/>
  <c r="B28" i="6" a="1"/>
  <c r="B28" i="6" s="1"/>
  <c r="B27" i="6" a="1"/>
  <c r="B27" i="6" s="1"/>
  <c r="B25" i="6"/>
  <c r="F20" i="6"/>
  <c r="B17" i="6"/>
  <c r="B16" i="6" s="1"/>
  <c r="B14" i="6"/>
  <c r="B13" i="6" s="1"/>
  <c r="E12" i="6"/>
  <c r="B11" i="6"/>
  <c r="B10" i="6"/>
  <c r="B9" i="6" a="1"/>
  <c r="B9" i="6" s="1"/>
  <c r="B8" i="6" a="1"/>
  <c r="B8" i="6" s="1"/>
  <c r="A8" i="6"/>
  <c r="B7" i="6"/>
  <c r="E4" i="6"/>
  <c r="C4" i="6"/>
  <c r="B4" i="6"/>
  <c r="G2" i="6" a="1"/>
  <c r="G2" i="6" s="1"/>
  <c r="A2" i="6"/>
  <c r="G1" i="6"/>
  <c r="E1" i="6"/>
  <c r="F1" i="6" s="1"/>
  <c r="A1" i="6"/>
  <c r="A25" i="4"/>
  <c r="A3" i="4"/>
  <c r="A1" i="4"/>
  <c r="O1" i="5"/>
  <c r="J5" i="6" l="1"/>
  <c r="J8" i="6"/>
  <c r="I5" i="6"/>
  <c r="I11" i="6"/>
  <c r="J11" i="6"/>
  <c r="B50" i="6"/>
  <c r="I8" i="6"/>
  <c r="I14" i="6"/>
  <c r="J14" i="6"/>
  <c r="K14" i="6"/>
  <c r="L14" i="6"/>
  <c r="I17" i="6"/>
  <c r="J17" i="6"/>
  <c r="I23" i="6"/>
  <c r="J23" i="6"/>
  <c r="L23" i="6"/>
  <c r="K23" i="6"/>
  <c r="O16" i="6" a="1"/>
  <c r="O16" i="6" s="1"/>
  <c r="P16" i="6" s="1" a="1"/>
  <c r="P16" i="6" s="1"/>
  <c r="P17" i="6" s="1"/>
  <c r="M23" i="6"/>
  <c r="I20" i="6"/>
  <c r="J20" i="6"/>
  <c r="K20" i="6"/>
  <c r="M7" i="6" a="1"/>
  <c r="M7" i="6" s="1"/>
  <c r="I2" i="6"/>
  <c r="J2" i="6"/>
  <c r="K2" i="6"/>
  <c r="L2" i="6"/>
  <c r="M1" i="6" a="1"/>
  <c r="M1" i="6" s="1"/>
  <c r="L5" i="6"/>
  <c r="M4" i="6" a="1"/>
  <c r="M4" i="6" s="1"/>
  <c r="O22" i="6" a="1"/>
  <c r="O22" i="6" s="1"/>
  <c r="M10" i="6" a="1"/>
  <c r="M10" i="6" s="1"/>
  <c r="N14" i="6"/>
  <c r="L11" i="6"/>
  <c r="N23" i="6"/>
  <c r="L20" i="6"/>
  <c r="M19" i="6" a="1"/>
  <c r="M19" i="6" s="1"/>
  <c r="N19" i="6" s="1" a="1"/>
  <c r="N19" i="6" s="1"/>
  <c r="N20" i="6" s="1"/>
  <c r="O13" i="6" a="1"/>
  <c r="O13" i="6" s="1"/>
  <c r="E25" i="6"/>
  <c r="F25" i="6" s="1"/>
  <c r="E24" i="6"/>
  <c r="F24" i="6" s="1"/>
  <c r="C19" i="6"/>
  <c r="C18" i="6"/>
  <c r="B36" i="6"/>
  <c r="E8" i="6"/>
  <c r="C9" i="6"/>
  <c r="C8" i="6"/>
  <c r="C50" i="6"/>
  <c r="G53" i="7"/>
  <c r="J53" i="7" s="1"/>
  <c r="G54" i="7"/>
  <c r="H54" i="7" s="1"/>
  <c r="C7" i="6"/>
  <c r="B6" i="6"/>
  <c r="B22" i="6" s="1"/>
  <c r="C29" i="6"/>
  <c r="C28" i="6"/>
  <c r="C27" i="6"/>
  <c r="C14" i="6"/>
  <c r="C13" i="6" s="1"/>
  <c r="C25" i="6"/>
  <c r="G36" i="7"/>
  <c r="L36" i="7" s="1"/>
  <c r="C11" i="6"/>
  <c r="C38" i="6"/>
  <c r="G20" i="7"/>
  <c r="L20" i="7" s="1"/>
  <c r="C37" i="6"/>
  <c r="C10" i="6"/>
  <c r="C17" i="6"/>
  <c r="C30" i="6"/>
  <c r="G2" i="7"/>
  <c r="J2" i="7" s="1"/>
  <c r="G37" i="7"/>
  <c r="I37" i="7" s="1"/>
  <c r="G19" i="7"/>
  <c r="H19" i="7" s="1"/>
  <c r="O17" i="6" l="1"/>
  <c r="Q16" i="6" a="1"/>
  <c r="Q16" i="6" s="1"/>
  <c r="Q17" i="6" s="1"/>
  <c r="N7" i="6" a="1"/>
  <c r="N7" i="6" s="1"/>
  <c r="M8" i="6"/>
  <c r="C16" i="6"/>
  <c r="M2" i="6"/>
  <c r="M20" i="6"/>
  <c r="O19" i="6" a="1"/>
  <c r="O19" i="6" s="1"/>
  <c r="O20" i="6" s="1"/>
  <c r="N4" i="6" a="1"/>
  <c r="N4" i="6" s="1"/>
  <c r="N5" i="6" s="1"/>
  <c r="M5" i="6"/>
  <c r="O23" i="6"/>
  <c r="O14" i="6"/>
  <c r="P22" i="6" a="1"/>
  <c r="P22" i="6" s="1"/>
  <c r="Q22" i="6" s="1" a="1"/>
  <c r="Q22" i="6" s="1"/>
  <c r="Q23" i="6" s="1"/>
  <c r="P13" i="6" a="1"/>
  <c r="P13" i="6" s="1"/>
  <c r="M11" i="6"/>
  <c r="N10" i="6" a="1"/>
  <c r="N10" i="6" s="1"/>
  <c r="N1" i="6" a="1"/>
  <c r="N1" i="6" s="1"/>
  <c r="N2" i="6" s="1"/>
  <c r="J37" i="7"/>
  <c r="H53" i="7"/>
  <c r="H37" i="7"/>
  <c r="L53" i="7"/>
  <c r="L37" i="7"/>
  <c r="I53" i="7"/>
  <c r="E30" i="6"/>
  <c r="H20" i="7"/>
  <c r="D5" i="7"/>
  <c r="C36" i="6"/>
  <c r="J19" i="7"/>
  <c r="K19" i="7" s="1"/>
  <c r="L2" i="7"/>
  <c r="I19" i="7"/>
  <c r="I2" i="7"/>
  <c r="C4" i="7"/>
  <c r="D4" i="7"/>
  <c r="L54" i="7"/>
  <c r="I36" i="7"/>
  <c r="C5" i="7"/>
  <c r="I20" i="7"/>
  <c r="G39" i="7"/>
  <c r="G55" i="7"/>
  <c r="G22" i="7"/>
  <c r="G3" i="7"/>
  <c r="J54" i="7"/>
  <c r="I54" i="7"/>
  <c r="H2" i="7"/>
  <c r="H36" i="7"/>
  <c r="G21" i="7"/>
  <c r="H21" i="7" s="1"/>
  <c r="J20" i="7"/>
  <c r="L19" i="7"/>
  <c r="A22" i="6"/>
  <c r="J36" i="7"/>
  <c r="G38" i="7"/>
  <c r="C6" i="6"/>
  <c r="N36" i="7" l="1"/>
  <c r="N19" i="7"/>
  <c r="N54" i="7"/>
  <c r="N20" i="7"/>
  <c r="N2" i="7"/>
  <c r="N37" i="7"/>
  <c r="N53" i="7"/>
  <c r="R16" i="6" a="1"/>
  <c r="R16" i="6" s="1"/>
  <c r="S16" i="6" s="1" a="1"/>
  <c r="S16" i="6" s="1"/>
  <c r="O7" i="6" a="1"/>
  <c r="O7" i="6" s="1"/>
  <c r="P7" i="6" s="1" a="1"/>
  <c r="P7" i="6" s="1"/>
  <c r="N8" i="6"/>
  <c r="P19" i="6" a="1"/>
  <c r="P19" i="6" s="1"/>
  <c r="P20" i="6" s="1"/>
  <c r="N11" i="6"/>
  <c r="O10" i="6" a="1"/>
  <c r="O10" i="6" s="1"/>
  <c r="P10" i="6" s="1" a="1"/>
  <c r="P10" i="6" s="1"/>
  <c r="P11" i="6" s="1"/>
  <c r="P14" i="6"/>
  <c r="P23" i="6"/>
  <c r="O1" i="6" a="1"/>
  <c r="O1" i="6" s="1"/>
  <c r="Q13" i="6" a="1"/>
  <c r="Q13" i="6" s="1"/>
  <c r="O4" i="6" a="1"/>
  <c r="O4" i="6" s="1"/>
  <c r="R22" i="6" a="1"/>
  <c r="R22" i="6" s="1"/>
  <c r="R23" i="6" s="1"/>
  <c r="K2" i="7"/>
  <c r="M36" i="7"/>
  <c r="K37" i="7"/>
  <c r="M37" i="7"/>
  <c r="K53" i="7"/>
  <c r="M53" i="7"/>
  <c r="M2" i="7"/>
  <c r="K20" i="7"/>
  <c r="K54" i="7"/>
  <c r="K36" i="7"/>
  <c r="M19" i="7"/>
  <c r="I21" i="7"/>
  <c r="M54" i="7"/>
  <c r="G4" i="7"/>
  <c r="G56" i="7"/>
  <c r="M20" i="7"/>
  <c r="J21" i="7"/>
  <c r="K21" i="7" s="1"/>
  <c r="G24" i="7"/>
  <c r="L21" i="7"/>
  <c r="G23" i="7"/>
  <c r="L22" i="7"/>
  <c r="I22" i="7"/>
  <c r="J22" i="7"/>
  <c r="H22" i="7"/>
  <c r="C22" i="6"/>
  <c r="E20" i="6"/>
  <c r="I38" i="7"/>
  <c r="L38" i="7"/>
  <c r="H38" i="7"/>
  <c r="J38" i="7"/>
  <c r="L3" i="7"/>
  <c r="I3" i="7"/>
  <c r="J3" i="7"/>
  <c r="H3" i="7"/>
  <c r="I39" i="7"/>
  <c r="L39" i="7"/>
  <c r="H39" i="7"/>
  <c r="J39" i="7"/>
  <c r="J55" i="7"/>
  <c r="I55" i="7"/>
  <c r="L55" i="7"/>
  <c r="H55" i="7"/>
  <c r="G41" i="7"/>
  <c r="G40" i="7"/>
  <c r="N21" i="7" l="1"/>
  <c r="R17" i="6"/>
  <c r="N55" i="7"/>
  <c r="N3" i="7"/>
  <c r="N39" i="7"/>
  <c r="N38" i="7"/>
  <c r="N22" i="7"/>
  <c r="P8" i="6"/>
  <c r="O8" i="6"/>
  <c r="Q7" i="6" a="1"/>
  <c r="Q7" i="6" s="1"/>
  <c r="Q8" i="6" s="1"/>
  <c r="Q19" i="6" a="1"/>
  <c r="Q19" i="6" s="1"/>
  <c r="Q20" i="6" s="1"/>
  <c r="O5" i="6"/>
  <c r="P4" i="6" a="1"/>
  <c r="P4" i="6" s="1"/>
  <c r="S22" i="6" a="1"/>
  <c r="S22" i="6" s="1"/>
  <c r="O2" i="6"/>
  <c r="P1" i="6" a="1"/>
  <c r="P1" i="6" s="1"/>
  <c r="S17" i="6"/>
  <c r="T16" i="6" a="1"/>
  <c r="T16" i="6" s="1"/>
  <c r="Q10" i="6" a="1"/>
  <c r="Q10" i="6" s="1"/>
  <c r="Q14" i="6"/>
  <c r="R13" i="6" a="1"/>
  <c r="R13" i="6" s="1"/>
  <c r="S13" i="6" s="1" a="1"/>
  <c r="S13" i="6" s="1"/>
  <c r="O11" i="6"/>
  <c r="M21" i="7"/>
  <c r="G5" i="7"/>
  <c r="K22" i="7"/>
  <c r="M22" i="7"/>
  <c r="H41" i="7"/>
  <c r="J41" i="7"/>
  <c r="I41" i="7"/>
  <c r="L41" i="7"/>
  <c r="J56" i="7"/>
  <c r="I56" i="7"/>
  <c r="L56" i="7"/>
  <c r="H56" i="7"/>
  <c r="M39" i="7"/>
  <c r="K39" i="7"/>
  <c r="G42" i="7"/>
  <c r="G26" i="7"/>
  <c r="M3" i="7"/>
  <c r="K3" i="7"/>
  <c r="I24" i="7"/>
  <c r="L24" i="7"/>
  <c r="H24" i="7"/>
  <c r="J24" i="7"/>
  <c r="M55" i="7"/>
  <c r="K55" i="7"/>
  <c r="G25" i="7"/>
  <c r="K38" i="7"/>
  <c r="M38" i="7"/>
  <c r="L40" i="7"/>
  <c r="J40" i="7"/>
  <c r="H40" i="7"/>
  <c r="I40" i="7"/>
  <c r="J23" i="7"/>
  <c r="H23" i="7"/>
  <c r="I23" i="7"/>
  <c r="L23" i="7"/>
  <c r="J4" i="7"/>
  <c r="I4" i="7"/>
  <c r="L4" i="7"/>
  <c r="H4" i="7"/>
  <c r="G57" i="7"/>
  <c r="N4" i="7" l="1"/>
  <c r="N40" i="7"/>
  <c r="N56" i="7"/>
  <c r="N23" i="7"/>
  <c r="N24" i="7"/>
  <c r="N41" i="7"/>
  <c r="R19" i="6" a="1"/>
  <c r="R19" i="6" s="1"/>
  <c r="R20" i="6" s="1"/>
  <c r="R7" i="6" a="1"/>
  <c r="R7" i="6" s="1"/>
  <c r="P2" i="6"/>
  <c r="Q1" i="6" a="1"/>
  <c r="Q1" i="6" s="1"/>
  <c r="Q11" i="6"/>
  <c r="R10" i="6" a="1"/>
  <c r="R10" i="6" s="1"/>
  <c r="R14" i="6"/>
  <c r="T17" i="6"/>
  <c r="U16" i="6" a="1"/>
  <c r="U16" i="6" s="1"/>
  <c r="S23" i="6"/>
  <c r="T22" i="6" a="1"/>
  <c r="T22" i="6" s="1"/>
  <c r="P5" i="6"/>
  <c r="Q4" i="6" a="1"/>
  <c r="Q4" i="6" s="1"/>
  <c r="S14" i="6"/>
  <c r="T13" i="6" a="1"/>
  <c r="T13" i="6" s="1"/>
  <c r="G58" i="7"/>
  <c r="K40" i="7"/>
  <c r="M40" i="7"/>
  <c r="L25" i="7"/>
  <c r="H25" i="7"/>
  <c r="I25" i="7"/>
  <c r="J25" i="7"/>
  <c r="I26" i="7"/>
  <c r="L26" i="7"/>
  <c r="J26" i="7"/>
  <c r="H26" i="7"/>
  <c r="G44" i="7"/>
  <c r="G43" i="7"/>
  <c r="G6" i="7"/>
  <c r="G27" i="7"/>
  <c r="L5" i="7"/>
  <c r="I5" i="7"/>
  <c r="J5" i="7"/>
  <c r="H5" i="7"/>
  <c r="M24" i="7"/>
  <c r="K24" i="7"/>
  <c r="J57" i="7"/>
  <c r="I57" i="7"/>
  <c r="L57" i="7"/>
  <c r="H57" i="7"/>
  <c r="K56" i="7"/>
  <c r="M56" i="7"/>
  <c r="M41" i="7"/>
  <c r="K41" i="7"/>
  <c r="K4" i="7"/>
  <c r="M4" i="7"/>
  <c r="K23" i="7"/>
  <c r="M23" i="7"/>
  <c r="I42" i="7"/>
  <c r="L42" i="7"/>
  <c r="H42" i="7"/>
  <c r="J42" i="7"/>
  <c r="S19" i="6" l="1" a="1"/>
  <c r="S19" i="6" s="1"/>
  <c r="S20" i="6" s="1"/>
  <c r="N26" i="7"/>
  <c r="N5" i="7"/>
  <c r="N57" i="7"/>
  <c r="N25" i="7"/>
  <c r="N42" i="7"/>
  <c r="S7" i="6" a="1"/>
  <c r="S7" i="6" s="1"/>
  <c r="G46" i="7" s="1"/>
  <c r="R8" i="6"/>
  <c r="Q2" i="6"/>
  <c r="R1" i="6" a="1"/>
  <c r="R1" i="6" s="1"/>
  <c r="T23" i="6"/>
  <c r="U22" i="6" a="1"/>
  <c r="U22" i="6" s="1"/>
  <c r="Q5" i="6"/>
  <c r="R4" i="6" a="1"/>
  <c r="R4" i="6" s="1"/>
  <c r="T14" i="6"/>
  <c r="U13" i="6" a="1"/>
  <c r="U13" i="6" s="1"/>
  <c r="R11" i="6"/>
  <c r="S10" i="6" a="1"/>
  <c r="S10" i="6" s="1"/>
  <c r="U17" i="6"/>
  <c r="V16" i="6" a="1"/>
  <c r="V16" i="6" s="1"/>
  <c r="G45" i="7"/>
  <c r="I45" i="7" s="1"/>
  <c r="G7" i="7"/>
  <c r="K42" i="7"/>
  <c r="M42" i="7"/>
  <c r="L6" i="7"/>
  <c r="H6" i="7"/>
  <c r="I6" i="7"/>
  <c r="J6" i="7"/>
  <c r="J44" i="7"/>
  <c r="I44" i="7"/>
  <c r="L44" i="7"/>
  <c r="H44" i="7"/>
  <c r="I27" i="7"/>
  <c r="H27" i="7"/>
  <c r="J27" i="7"/>
  <c r="L27" i="7"/>
  <c r="J43" i="7"/>
  <c r="I43" i="7"/>
  <c r="L43" i="7"/>
  <c r="H43" i="7"/>
  <c r="J58" i="7"/>
  <c r="I58" i="7"/>
  <c r="L58" i="7"/>
  <c r="H58" i="7"/>
  <c r="G59" i="7"/>
  <c r="G28" i="7"/>
  <c r="M57" i="7"/>
  <c r="K57" i="7"/>
  <c r="K5" i="7"/>
  <c r="M5" i="7"/>
  <c r="K26" i="7"/>
  <c r="M26" i="7"/>
  <c r="M25" i="7"/>
  <c r="K25" i="7"/>
  <c r="T19" i="6" l="1" a="1"/>
  <c r="T19" i="6" s="1"/>
  <c r="T20" i="6" s="1"/>
  <c r="N58" i="7"/>
  <c r="N43" i="7"/>
  <c r="N44" i="7"/>
  <c r="N27" i="7"/>
  <c r="N6" i="7"/>
  <c r="S8" i="6"/>
  <c r="T7" i="6" a="1"/>
  <c r="T7" i="6" s="1"/>
  <c r="G47" i="7" s="1"/>
  <c r="R5" i="6"/>
  <c r="S4" i="6" a="1"/>
  <c r="S4" i="6" s="1"/>
  <c r="S11" i="6"/>
  <c r="T10" i="6" a="1"/>
  <c r="T10" i="6" s="1"/>
  <c r="H45" i="7"/>
  <c r="U14" i="6"/>
  <c r="V13" i="6" a="1"/>
  <c r="V13" i="6" s="1"/>
  <c r="R2" i="6"/>
  <c r="S1" i="6" a="1"/>
  <c r="S1" i="6" s="1"/>
  <c r="V17" i="6"/>
  <c r="W16" i="6" a="1"/>
  <c r="W16" i="6" s="1"/>
  <c r="U23" i="6"/>
  <c r="V22" i="6" a="1"/>
  <c r="V22" i="6" s="1"/>
  <c r="L45" i="7"/>
  <c r="J45" i="7"/>
  <c r="G60" i="7"/>
  <c r="M44" i="7"/>
  <c r="K44" i="7"/>
  <c r="M6" i="7"/>
  <c r="K6" i="7"/>
  <c r="G29" i="7"/>
  <c r="J59" i="7"/>
  <c r="I59" i="7"/>
  <c r="H59" i="7"/>
  <c r="L59" i="7"/>
  <c r="K43" i="7"/>
  <c r="M43" i="7"/>
  <c r="J46" i="7"/>
  <c r="I46" i="7"/>
  <c r="H46" i="7"/>
  <c r="L46" i="7"/>
  <c r="G8" i="7"/>
  <c r="I28" i="7"/>
  <c r="L28" i="7"/>
  <c r="H28" i="7"/>
  <c r="J28" i="7"/>
  <c r="M58" i="7"/>
  <c r="K58" i="7"/>
  <c r="K27" i="7"/>
  <c r="M27" i="7"/>
  <c r="J7" i="7"/>
  <c r="I7" i="7"/>
  <c r="L7" i="7"/>
  <c r="H7" i="7"/>
  <c r="U19" i="6" l="1" a="1"/>
  <c r="U19" i="6" s="1"/>
  <c r="U20" i="6" s="1"/>
  <c r="N46" i="7"/>
  <c r="N7" i="7"/>
  <c r="N59" i="7"/>
  <c r="N28" i="7"/>
  <c r="N45" i="7"/>
  <c r="T8" i="6"/>
  <c r="U7" i="6" a="1"/>
  <c r="U7" i="6" s="1"/>
  <c r="K45" i="7"/>
  <c r="M45" i="7"/>
  <c r="T11" i="6"/>
  <c r="U10" i="6" a="1"/>
  <c r="U10" i="6" s="1"/>
  <c r="S2" i="6"/>
  <c r="T1" i="6" a="1"/>
  <c r="T1" i="6" s="1"/>
  <c r="V14" i="6"/>
  <c r="W13" i="6" a="1"/>
  <c r="W13" i="6" s="1"/>
  <c r="S5" i="6"/>
  <c r="T4" i="6" a="1"/>
  <c r="T4" i="6" s="1"/>
  <c r="V23" i="6"/>
  <c r="W22" i="6" a="1"/>
  <c r="W22" i="6" s="1"/>
  <c r="W17" i="6"/>
  <c r="X16" i="6" a="1"/>
  <c r="X16" i="6" s="1"/>
  <c r="G30" i="7"/>
  <c r="L30" i="7" s="1"/>
  <c r="G61" i="7"/>
  <c r="G9" i="7"/>
  <c r="L29" i="7"/>
  <c r="H29" i="7"/>
  <c r="I29" i="7"/>
  <c r="J29" i="7"/>
  <c r="J47" i="7"/>
  <c r="I47" i="7"/>
  <c r="L47" i="7"/>
  <c r="H47" i="7"/>
  <c r="M28" i="7"/>
  <c r="K28" i="7"/>
  <c r="G31" i="7"/>
  <c r="M46" i="7"/>
  <c r="K46" i="7"/>
  <c r="J60" i="7"/>
  <c r="I60" i="7"/>
  <c r="L60" i="7"/>
  <c r="H60" i="7"/>
  <c r="M7" i="7"/>
  <c r="K7" i="7"/>
  <c r="J8" i="7"/>
  <c r="H8" i="7"/>
  <c r="L8" i="7"/>
  <c r="I8" i="7"/>
  <c r="K59" i="7"/>
  <c r="M59" i="7"/>
  <c r="V19" i="6" l="1" a="1"/>
  <c r="V19" i="6" s="1"/>
  <c r="V20" i="6" s="1"/>
  <c r="N29" i="7"/>
  <c r="N8" i="7"/>
  <c r="N60" i="7"/>
  <c r="N47" i="7"/>
  <c r="J30" i="7"/>
  <c r="U8" i="6"/>
  <c r="V7" i="6" a="1"/>
  <c r="V7" i="6" s="1"/>
  <c r="V8" i="6" s="1"/>
  <c r="H30" i="7"/>
  <c r="I30" i="7"/>
  <c r="T2" i="6"/>
  <c r="U1" i="6" a="1"/>
  <c r="U1" i="6" s="1"/>
  <c r="X17" i="6"/>
  <c r="Y16" i="6" a="1"/>
  <c r="Y16" i="6" s="1"/>
  <c r="W14" i="6"/>
  <c r="X13" i="6" a="1"/>
  <c r="X13" i="6" s="1"/>
  <c r="T5" i="6"/>
  <c r="U4" i="6" a="1"/>
  <c r="U4" i="6" s="1"/>
  <c r="W23" i="6"/>
  <c r="X22" i="6" a="1"/>
  <c r="X22" i="6" s="1"/>
  <c r="U11" i="6"/>
  <c r="V10" i="6" a="1"/>
  <c r="V10" i="6" s="1"/>
  <c r="G48" i="7"/>
  <c r="I48" i="7" s="1"/>
  <c r="G10" i="7"/>
  <c r="M8" i="7"/>
  <c r="K8" i="7"/>
  <c r="I31" i="7"/>
  <c r="J31" i="7"/>
  <c r="L31" i="7"/>
  <c r="H31" i="7"/>
  <c r="K47" i="7"/>
  <c r="M47" i="7"/>
  <c r="J61" i="7"/>
  <c r="I61" i="7"/>
  <c r="L61" i="7"/>
  <c r="H61" i="7"/>
  <c r="K60" i="7"/>
  <c r="M60" i="7"/>
  <c r="K29" i="7"/>
  <c r="M29" i="7"/>
  <c r="L9" i="7"/>
  <c r="I9" i="7"/>
  <c r="J9" i="7"/>
  <c r="H9" i="7"/>
  <c r="G62" i="7"/>
  <c r="W19" i="6" l="1" a="1"/>
  <c r="W19" i="6" s="1"/>
  <c r="N31" i="7"/>
  <c r="N9" i="7"/>
  <c r="N61" i="7"/>
  <c r="N30" i="7"/>
  <c r="M30" i="7"/>
  <c r="K30" i="7"/>
  <c r="J48" i="7"/>
  <c r="G49" i="7"/>
  <c r="L49" i="7" s="1"/>
  <c r="W7" i="6" a="1"/>
  <c r="W7" i="6" s="1"/>
  <c r="U5" i="6"/>
  <c r="V4" i="6" a="1"/>
  <c r="V4" i="6" s="1"/>
  <c r="Y17" i="6"/>
  <c r="Z16" i="6" a="1"/>
  <c r="Z16" i="6" s="1"/>
  <c r="X23" i="6"/>
  <c r="Y22" i="6" a="1"/>
  <c r="Y22" i="6" s="1"/>
  <c r="U2" i="6"/>
  <c r="V1" i="6" a="1"/>
  <c r="V1" i="6" s="1"/>
  <c r="V11" i="6"/>
  <c r="W10" i="6" a="1"/>
  <c r="W10" i="6" s="1"/>
  <c r="W20" i="6"/>
  <c r="X19" i="6" a="1"/>
  <c r="X19" i="6" s="1"/>
  <c r="X14" i="6"/>
  <c r="Y13" i="6" a="1"/>
  <c r="Y13" i="6" s="1"/>
  <c r="L48" i="7"/>
  <c r="H48" i="7"/>
  <c r="G32" i="7"/>
  <c r="G33" i="7"/>
  <c r="H33" i="7" s="1"/>
  <c r="G11" i="7"/>
  <c r="G63" i="7"/>
  <c r="K9" i="7"/>
  <c r="M9" i="7"/>
  <c r="M61" i="7"/>
  <c r="K61" i="7"/>
  <c r="J62" i="7"/>
  <c r="I62" i="7"/>
  <c r="L62" i="7"/>
  <c r="H62" i="7"/>
  <c r="J10" i="7"/>
  <c r="I10" i="7"/>
  <c r="H10" i="7"/>
  <c r="L10" i="7"/>
  <c r="K31" i="7"/>
  <c r="M31" i="7"/>
  <c r="J49" i="7" l="1"/>
  <c r="N48" i="7"/>
  <c r="N10" i="7"/>
  <c r="N62" i="7"/>
  <c r="I49" i="7"/>
  <c r="K48" i="7"/>
  <c r="H49" i="7"/>
  <c r="W8" i="6"/>
  <c r="X7" i="6" a="1"/>
  <c r="X7" i="6" s="1"/>
  <c r="X8" i="6" s="1"/>
  <c r="G50" i="7"/>
  <c r="J50" i="7" s="1"/>
  <c r="X20" i="6"/>
  <c r="Y19" i="6" a="1"/>
  <c r="Y19" i="6" s="1"/>
  <c r="Y14" i="6"/>
  <c r="Z13" i="6" a="1"/>
  <c r="Z13" i="6" s="1"/>
  <c r="W11" i="6"/>
  <c r="X10" i="6" a="1"/>
  <c r="X10" i="6" s="1"/>
  <c r="Y23" i="6"/>
  <c r="Z22" i="6" a="1"/>
  <c r="Z22" i="6" s="1"/>
  <c r="Z17" i="6"/>
  <c r="AA16" i="6" a="1"/>
  <c r="AA16" i="6" s="1"/>
  <c r="M48" i="7"/>
  <c r="V2" i="6"/>
  <c r="W1" i="6" a="1"/>
  <c r="W1" i="6" s="1"/>
  <c r="V5" i="6"/>
  <c r="W4" i="6" a="1"/>
  <c r="W4" i="6" s="1"/>
  <c r="I33" i="7"/>
  <c r="L33" i="7"/>
  <c r="J33" i="7"/>
  <c r="L32" i="7"/>
  <c r="H32" i="7"/>
  <c r="J32" i="7"/>
  <c r="I32" i="7"/>
  <c r="M10" i="7"/>
  <c r="K10" i="7"/>
  <c r="J63" i="7"/>
  <c r="I63" i="7"/>
  <c r="H63" i="7"/>
  <c r="L63" i="7"/>
  <c r="G12" i="7"/>
  <c r="G64" i="7"/>
  <c r="M62" i="7"/>
  <c r="K62" i="7"/>
  <c r="L11" i="7"/>
  <c r="I11" i="7"/>
  <c r="J11" i="7"/>
  <c r="H11" i="7"/>
  <c r="M49" i="7" l="1"/>
  <c r="K49" i="7"/>
  <c r="N63" i="7"/>
  <c r="N33" i="7"/>
  <c r="N49" i="7"/>
  <c r="N11" i="7"/>
  <c r="N32" i="7"/>
  <c r="H50" i="7"/>
  <c r="I50" i="7"/>
  <c r="L50" i="7"/>
  <c r="Y7" i="6" a="1"/>
  <c r="Y7" i="6" s="1"/>
  <c r="W5" i="6"/>
  <c r="X4" i="6" a="1"/>
  <c r="X4" i="6" s="1"/>
  <c r="Z23" i="6"/>
  <c r="AA22" i="6" a="1"/>
  <c r="AA22" i="6" s="1"/>
  <c r="Z14" i="6"/>
  <c r="AA13" i="6" a="1"/>
  <c r="AA13" i="6" s="1"/>
  <c r="AA17" i="6"/>
  <c r="AB16" i="6" a="1"/>
  <c r="AB16" i="6" s="1"/>
  <c r="X11" i="6"/>
  <c r="Y10" i="6" a="1"/>
  <c r="Y10" i="6" s="1"/>
  <c r="Y20" i="6"/>
  <c r="Z19" i="6" a="1"/>
  <c r="Z19" i="6" s="1"/>
  <c r="W2" i="6"/>
  <c r="X1" i="6" a="1"/>
  <c r="X1" i="6" s="1"/>
  <c r="M33" i="7"/>
  <c r="K33" i="7"/>
  <c r="G34" i="7"/>
  <c r="K32" i="7"/>
  <c r="M32" i="7"/>
  <c r="G51" i="7"/>
  <c r="H51" i="7" s="1"/>
  <c r="G65" i="7"/>
  <c r="L12" i="7"/>
  <c r="H12" i="7"/>
  <c r="I12" i="7"/>
  <c r="J12" i="7"/>
  <c r="M11" i="7"/>
  <c r="K11" i="7"/>
  <c r="J64" i="7"/>
  <c r="I64" i="7"/>
  <c r="L64" i="7"/>
  <c r="H64" i="7"/>
  <c r="G13" i="7"/>
  <c r="M63" i="7"/>
  <c r="K63" i="7"/>
  <c r="N50" i="7" l="1"/>
  <c r="N64" i="7"/>
  <c r="N12" i="7"/>
  <c r="K50" i="7"/>
  <c r="M50" i="7"/>
  <c r="Y8" i="6"/>
  <c r="Z7" i="6" a="1"/>
  <c r="Z7" i="6" s="1"/>
  <c r="Z8" i="6" s="1"/>
  <c r="X2" i="6"/>
  <c r="Y1" i="6" a="1"/>
  <c r="Y1" i="6" s="1"/>
  <c r="Y11" i="6"/>
  <c r="Z10" i="6" a="1"/>
  <c r="Z10" i="6" s="1"/>
  <c r="AA23" i="6"/>
  <c r="AB22" i="6" a="1"/>
  <c r="AB22" i="6" s="1"/>
  <c r="Z20" i="6"/>
  <c r="AA19" i="6" a="1"/>
  <c r="AA19" i="6" s="1"/>
  <c r="AB17" i="6"/>
  <c r="AC16" i="6" a="1"/>
  <c r="AC16" i="6" s="1"/>
  <c r="X5" i="6"/>
  <c r="Y4" i="6" a="1"/>
  <c r="Y4" i="6" s="1"/>
  <c r="AA14" i="6"/>
  <c r="AB13" i="6" a="1"/>
  <c r="AB13" i="6" s="1"/>
  <c r="J51" i="7"/>
  <c r="L51" i="7"/>
  <c r="I51" i="7"/>
  <c r="L34" i="7"/>
  <c r="J34" i="7"/>
  <c r="H34" i="7"/>
  <c r="I34" i="7"/>
  <c r="G66" i="7"/>
  <c r="K64" i="7"/>
  <c r="M64" i="7"/>
  <c r="K12" i="7"/>
  <c r="M12" i="7"/>
  <c r="J13" i="7"/>
  <c r="H13" i="7"/>
  <c r="L13" i="7"/>
  <c r="I13" i="7"/>
  <c r="G14" i="7"/>
  <c r="J65" i="7"/>
  <c r="I65" i="7"/>
  <c r="L65" i="7"/>
  <c r="H65" i="7"/>
  <c r="N51" i="7" l="1"/>
  <c r="N13" i="7"/>
  <c r="N34" i="7"/>
  <c r="N65" i="7"/>
  <c r="AA7" i="6" a="1"/>
  <c r="AA7" i="6" s="1"/>
  <c r="K51" i="7"/>
  <c r="AB14" i="6"/>
  <c r="AC13" i="6" a="1"/>
  <c r="AC13" i="6" s="1"/>
  <c r="AA20" i="6"/>
  <c r="AB19" i="6" a="1"/>
  <c r="AB19" i="6" s="1"/>
  <c r="Z11" i="6"/>
  <c r="AA10" i="6" a="1"/>
  <c r="AA10" i="6" s="1"/>
  <c r="Y5" i="6"/>
  <c r="Z4" i="6" a="1"/>
  <c r="Z4" i="6" s="1"/>
  <c r="AC17" i="6"/>
  <c r="AD16" i="6" a="1"/>
  <c r="AD16" i="6" s="1"/>
  <c r="AB23" i="6"/>
  <c r="AC22" i="6" a="1"/>
  <c r="AC22" i="6" s="1"/>
  <c r="Y2" i="6"/>
  <c r="Z1" i="6" a="1"/>
  <c r="Z1" i="6" s="1"/>
  <c r="M51" i="7"/>
  <c r="K34" i="7"/>
  <c r="M34" i="7"/>
  <c r="G15" i="7"/>
  <c r="L14" i="7"/>
  <c r="I14" i="7"/>
  <c r="J14" i="7"/>
  <c r="H14" i="7"/>
  <c r="M13" i="7"/>
  <c r="K13" i="7"/>
  <c r="K65" i="7"/>
  <c r="M65" i="7"/>
  <c r="G67" i="7"/>
  <c r="J66" i="7"/>
  <c r="I66" i="7"/>
  <c r="L66" i="7"/>
  <c r="H66" i="7"/>
  <c r="N66" i="7" l="1"/>
  <c r="N14" i="7"/>
  <c r="AA8" i="6"/>
  <c r="AB7" i="6" a="1"/>
  <c r="AB7" i="6" s="1"/>
  <c r="AB8" i="6" s="1"/>
  <c r="Z2" i="6"/>
  <c r="AA1" i="6" a="1"/>
  <c r="AA1" i="6" s="1"/>
  <c r="AD17" i="6"/>
  <c r="AE16" i="6" a="1"/>
  <c r="AE16" i="6" s="1"/>
  <c r="AA11" i="6"/>
  <c r="AB10" i="6" a="1"/>
  <c r="AB10" i="6" s="1"/>
  <c r="AC23" i="6"/>
  <c r="AD22" i="6" a="1"/>
  <c r="AD22" i="6" s="1"/>
  <c r="Z5" i="6"/>
  <c r="AA4" i="6" a="1"/>
  <c r="AA4" i="6" s="1"/>
  <c r="AC14" i="6"/>
  <c r="AD13" i="6" a="1"/>
  <c r="AD13" i="6" s="1"/>
  <c r="AB20" i="6"/>
  <c r="AC19" i="6" a="1"/>
  <c r="AC19" i="6" s="1"/>
  <c r="G68" i="7"/>
  <c r="M66" i="7"/>
  <c r="K66" i="7"/>
  <c r="M14" i="7"/>
  <c r="K14" i="7"/>
  <c r="J67" i="7"/>
  <c r="I67" i="7"/>
  <c r="H67" i="7"/>
  <c r="L67" i="7"/>
  <c r="G16" i="7"/>
  <c r="L15" i="7"/>
  <c r="I15" i="7"/>
  <c r="J15" i="7"/>
  <c r="H15" i="7"/>
  <c r="N67" i="7" l="1"/>
  <c r="N15" i="7"/>
  <c r="AC7" i="6" a="1"/>
  <c r="AC7" i="6" s="1"/>
  <c r="AC8" i="6" s="1"/>
  <c r="AA5" i="6"/>
  <c r="AB4" i="6" a="1"/>
  <c r="AB4" i="6" s="1"/>
  <c r="AE17" i="6"/>
  <c r="AF16" i="6" a="1"/>
  <c r="AF16" i="6" s="1"/>
  <c r="AC20" i="6"/>
  <c r="AD19" i="6" a="1"/>
  <c r="AD19" i="6" s="1"/>
  <c r="AD14" i="6"/>
  <c r="AE13" i="6" a="1"/>
  <c r="AE13" i="6" s="1"/>
  <c r="AD23" i="6"/>
  <c r="AE22" i="6" a="1"/>
  <c r="AE22" i="6" s="1"/>
  <c r="AB11" i="6"/>
  <c r="AC10" i="6" a="1"/>
  <c r="AC10" i="6" s="1"/>
  <c r="AA2" i="6"/>
  <c r="AB1" i="6" a="1"/>
  <c r="AB1" i="6" s="1"/>
  <c r="M15" i="7"/>
  <c r="K15" i="7"/>
  <c r="L16" i="7"/>
  <c r="H16" i="7"/>
  <c r="I16" i="7"/>
  <c r="J16" i="7"/>
  <c r="G17" i="7"/>
  <c r="K67" i="7"/>
  <c r="M67" i="7"/>
  <c r="J68" i="7"/>
  <c r="I68" i="7"/>
  <c r="L68" i="7"/>
  <c r="H68" i="7"/>
  <c r="N16" i="7" l="1"/>
  <c r="N68" i="7"/>
  <c r="AD7" i="6" a="1"/>
  <c r="AD7" i="6" s="1"/>
  <c r="AD8" i="6" s="1"/>
  <c r="AB2" i="6"/>
  <c r="AC1" i="6" a="1"/>
  <c r="AC1" i="6" s="1"/>
  <c r="AE23" i="6"/>
  <c r="AF22" i="6" a="1"/>
  <c r="AF22" i="6" s="1"/>
  <c r="AD20" i="6"/>
  <c r="AE19" i="6" a="1"/>
  <c r="AE19" i="6" s="1"/>
  <c r="AE14" i="6"/>
  <c r="AF13" i="6" a="1"/>
  <c r="AF13" i="6" s="1"/>
  <c r="AB5" i="6"/>
  <c r="AC4" i="6" a="1"/>
  <c r="AC4" i="6" s="1"/>
  <c r="AC11" i="6"/>
  <c r="AD10" i="6" a="1"/>
  <c r="AD10" i="6" s="1"/>
  <c r="AF17" i="6"/>
  <c r="AG16" i="6" a="1"/>
  <c r="AG16" i="6" s="1"/>
  <c r="K68" i="7"/>
  <c r="M68" i="7"/>
  <c r="J17" i="7"/>
  <c r="H17" i="7"/>
  <c r="L17" i="7"/>
  <c r="I17" i="7"/>
  <c r="K16" i="7"/>
  <c r="M16" i="7"/>
  <c r="N17" i="7" l="1"/>
  <c r="AE7" i="6" a="1"/>
  <c r="AE7" i="6" s="1"/>
  <c r="AC5" i="6"/>
  <c r="AD4" i="6" a="1"/>
  <c r="AD4" i="6" s="1"/>
  <c r="AF23" i="6"/>
  <c r="AG22" i="6" a="1"/>
  <c r="AG22" i="6" s="1"/>
  <c r="AG17" i="6"/>
  <c r="AH16" i="6" a="1"/>
  <c r="AH16" i="6" s="1"/>
  <c r="AD11" i="6"/>
  <c r="AE10" i="6" a="1"/>
  <c r="AE10" i="6" s="1"/>
  <c r="AF14" i="6"/>
  <c r="AG13" i="6" a="1"/>
  <c r="AG13" i="6" s="1"/>
  <c r="AE20" i="6"/>
  <c r="AF19" i="6" a="1"/>
  <c r="AF19" i="6" s="1"/>
  <c r="AC2" i="6"/>
  <c r="AD1" i="6" a="1"/>
  <c r="AD1" i="6" s="1"/>
  <c r="M17" i="7"/>
  <c r="K17" i="7"/>
  <c r="AE8" i="6" l="1"/>
  <c r="AF7" i="6" a="1"/>
  <c r="AF7" i="6" s="1"/>
  <c r="AF8" i="6" s="1"/>
  <c r="AD2" i="6"/>
  <c r="AE1" i="6" a="1"/>
  <c r="AE1" i="6" s="1"/>
  <c r="AG14" i="6"/>
  <c r="AH13" i="6" a="1"/>
  <c r="AH13" i="6" s="1"/>
  <c r="AH17" i="6"/>
  <c r="AI16" i="6" a="1"/>
  <c r="AI16" i="6" s="1"/>
  <c r="AF20" i="6"/>
  <c r="AG19" i="6" a="1"/>
  <c r="AG19" i="6" s="1"/>
  <c r="AD5" i="6"/>
  <c r="AE4" i="6" a="1"/>
  <c r="AE4" i="6" s="1"/>
  <c r="AE11" i="6"/>
  <c r="AF10" i="6" a="1"/>
  <c r="AF10" i="6" s="1"/>
  <c r="AG23" i="6"/>
  <c r="AH22" i="6" a="1"/>
  <c r="AH22" i="6" s="1"/>
  <c r="AG7" i="6" l="1" a="1"/>
  <c r="AG7" i="6" s="1"/>
  <c r="AG8" i="6" s="1"/>
  <c r="AE5" i="6"/>
  <c r="AF4" i="6" a="1"/>
  <c r="AF4" i="6" s="1"/>
  <c r="AH14" i="6"/>
  <c r="AI13" i="6" a="1"/>
  <c r="AI13" i="6" s="1"/>
  <c r="AH23" i="6"/>
  <c r="AI22" i="6" a="1"/>
  <c r="AI22" i="6" s="1"/>
  <c r="AF11" i="6"/>
  <c r="AG10" i="6" a="1"/>
  <c r="AG10" i="6" s="1"/>
  <c r="AG20" i="6"/>
  <c r="AH19" i="6" a="1"/>
  <c r="AH19" i="6" s="1"/>
  <c r="AI17" i="6"/>
  <c r="AJ16" i="6" a="1"/>
  <c r="AJ16" i="6" s="1"/>
  <c r="AE2" i="6"/>
  <c r="AF1" i="6" a="1"/>
  <c r="AF1" i="6" s="1"/>
  <c r="AH7" i="6" l="1" a="1"/>
  <c r="AH7" i="6" s="1"/>
  <c r="AH8" i="6" s="1"/>
  <c r="AF2" i="6"/>
  <c r="AG1" i="6" a="1"/>
  <c r="AG1" i="6" s="1"/>
  <c r="AH20" i="6"/>
  <c r="AI19" i="6" a="1"/>
  <c r="AI19" i="6" s="1"/>
  <c r="AI23" i="6"/>
  <c r="AJ22" i="6" a="1"/>
  <c r="AJ22" i="6" s="1"/>
  <c r="AG11" i="6"/>
  <c r="AH10" i="6" a="1"/>
  <c r="AH10" i="6" s="1"/>
  <c r="AJ17" i="6"/>
  <c r="AK16" i="6" a="1"/>
  <c r="AK16" i="6" s="1"/>
  <c r="AI14" i="6"/>
  <c r="AJ13" i="6" a="1"/>
  <c r="AJ13" i="6" s="1"/>
  <c r="AF5" i="6"/>
  <c r="AG4" i="6" a="1"/>
  <c r="AG4" i="6" s="1"/>
  <c r="AI7" i="6" l="1" a="1"/>
  <c r="AI7" i="6" s="1"/>
  <c r="AG5" i="6"/>
  <c r="AH4" i="6" a="1"/>
  <c r="AH4" i="6" s="1"/>
  <c r="AK17" i="6"/>
  <c r="AL16" i="6" a="1"/>
  <c r="AL16" i="6" s="1"/>
  <c r="AI20" i="6"/>
  <c r="AJ19" i="6" a="1"/>
  <c r="AJ19" i="6" s="1"/>
  <c r="AG2" i="6"/>
  <c r="AH1" i="6" a="1"/>
  <c r="AH1" i="6" s="1"/>
  <c r="AJ14" i="6"/>
  <c r="AK13" i="6" a="1"/>
  <c r="AK13" i="6" s="1"/>
  <c r="AH11" i="6"/>
  <c r="AI10" i="6" a="1"/>
  <c r="AI10" i="6" s="1"/>
  <c r="AJ23" i="6"/>
  <c r="AK22" i="6" a="1"/>
  <c r="AK22" i="6" s="1"/>
  <c r="AI8" i="6" l="1"/>
  <c r="AJ7" i="6" a="1"/>
  <c r="AJ7" i="6" s="1"/>
  <c r="AJ8" i="6" s="1"/>
  <c r="AH2" i="6"/>
  <c r="AI1" i="6" a="1"/>
  <c r="AI1" i="6" s="1"/>
  <c r="AK23" i="6"/>
  <c r="AL22" i="6" a="1"/>
  <c r="AL22" i="6" s="1"/>
  <c r="AJ20" i="6"/>
  <c r="AK19" i="6" a="1"/>
  <c r="AK19" i="6" s="1"/>
  <c r="AL17" i="6"/>
  <c r="AM16" i="6" a="1"/>
  <c r="AM16" i="6" s="1"/>
  <c r="AI11" i="6"/>
  <c r="AJ10" i="6" a="1"/>
  <c r="AJ10" i="6" s="1"/>
  <c r="AK14" i="6"/>
  <c r="AL13" i="6" a="1"/>
  <c r="AL13" i="6" s="1"/>
  <c r="AH5" i="6"/>
  <c r="AI4" i="6" a="1"/>
  <c r="AI4" i="6" s="1"/>
  <c r="AK7" i="6" l="1" a="1"/>
  <c r="AK7" i="6" s="1"/>
  <c r="AI5" i="6"/>
  <c r="AJ4" i="6" a="1"/>
  <c r="AJ4" i="6" s="1"/>
  <c r="AL14" i="6"/>
  <c r="AM13" i="6" a="1"/>
  <c r="AM13" i="6" s="1"/>
  <c r="AM17" i="6"/>
  <c r="AN16" i="6" a="1"/>
  <c r="AN16" i="6" s="1"/>
  <c r="AL23" i="6"/>
  <c r="AM22" i="6" a="1"/>
  <c r="AM22" i="6" s="1"/>
  <c r="AJ11" i="6"/>
  <c r="AK10" i="6" a="1"/>
  <c r="AK10" i="6" s="1"/>
  <c r="AK20" i="6"/>
  <c r="AL19" i="6" a="1"/>
  <c r="AL19" i="6" s="1"/>
  <c r="AI2" i="6"/>
  <c r="AJ1" i="6" a="1"/>
  <c r="AJ1" i="6" s="1"/>
  <c r="AK8" i="6" l="1"/>
  <c r="AL7" i="6" a="1"/>
  <c r="AL7" i="6" s="1"/>
  <c r="AL20" i="6"/>
  <c r="AM19" i="6" a="1"/>
  <c r="AM19" i="6" s="1"/>
  <c r="AM23" i="6"/>
  <c r="AN22" i="6" a="1"/>
  <c r="AN22" i="6" s="1"/>
  <c r="AM14" i="6"/>
  <c r="AN13" i="6" a="1"/>
  <c r="AN13" i="6" s="1"/>
  <c r="AJ2" i="6"/>
  <c r="AK1" i="6" a="1"/>
  <c r="AK1" i="6" s="1"/>
  <c r="AK11" i="6"/>
  <c r="AL10" i="6" a="1"/>
  <c r="AL10" i="6" s="1"/>
  <c r="AN17" i="6"/>
  <c r="AO16" i="6" a="1"/>
  <c r="AO16" i="6" s="1"/>
  <c r="AJ5" i="6"/>
  <c r="AK4" i="6" a="1"/>
  <c r="AK4" i="6" s="1"/>
  <c r="AM7" i="6" l="1" a="1"/>
  <c r="AM7" i="6" s="1"/>
  <c r="AM8" i="6" s="1"/>
  <c r="AL8" i="6"/>
  <c r="AK5" i="6"/>
  <c r="AL4" i="6" a="1"/>
  <c r="AL4" i="6" s="1"/>
  <c r="AL11" i="6"/>
  <c r="AM10" i="6" a="1"/>
  <c r="AM10" i="6" s="1"/>
  <c r="AN14" i="6"/>
  <c r="AO13" i="6" a="1"/>
  <c r="AO13" i="6" s="1"/>
  <c r="AK2" i="6"/>
  <c r="AL1" i="6" a="1"/>
  <c r="AL1" i="6" s="1"/>
  <c r="AO17" i="6"/>
  <c r="AP16" i="6" a="1"/>
  <c r="AP16" i="6" s="1"/>
  <c r="AN23" i="6"/>
  <c r="AO22" i="6" a="1"/>
  <c r="AO22" i="6" s="1"/>
  <c r="AM20" i="6"/>
  <c r="AN19" i="6" a="1"/>
  <c r="AN19" i="6" s="1"/>
  <c r="AN7" i="6" l="1" a="1"/>
  <c r="AN7" i="6" s="1"/>
  <c r="AN8" i="6" s="1"/>
  <c r="AL2" i="6"/>
  <c r="AM1" i="6" a="1"/>
  <c r="AM1" i="6" s="1"/>
  <c r="AN20" i="6"/>
  <c r="AO19" i="6" a="1"/>
  <c r="AO19" i="6" s="1"/>
  <c r="AP17" i="6"/>
  <c r="AQ16" i="6" a="1"/>
  <c r="AQ16" i="6" s="1"/>
  <c r="AM11" i="6"/>
  <c r="AN10" i="6" a="1"/>
  <c r="AN10" i="6" s="1"/>
  <c r="AO23" i="6"/>
  <c r="AP22" i="6" a="1"/>
  <c r="AP22" i="6" s="1"/>
  <c r="AO14" i="6"/>
  <c r="AP13" i="6" a="1"/>
  <c r="AP13" i="6" s="1"/>
  <c r="AL5" i="6"/>
  <c r="AM4" i="6" a="1"/>
  <c r="AM4" i="6" s="1"/>
  <c r="AO7" i="6" l="1" a="1"/>
  <c r="AO7" i="6" s="1"/>
  <c r="AM2" i="6"/>
  <c r="AN1" i="6" a="1"/>
  <c r="AN1" i="6" s="1"/>
  <c r="AP23" i="6"/>
  <c r="AQ22" i="6" a="1"/>
  <c r="AQ22" i="6" s="1"/>
  <c r="AO20" i="6"/>
  <c r="AP19" i="6" a="1"/>
  <c r="AP19" i="6" s="1"/>
  <c r="AM5" i="6"/>
  <c r="AN4" i="6" a="1"/>
  <c r="AN4" i="6" s="1"/>
  <c r="AN11" i="6"/>
  <c r="AO10" i="6" a="1"/>
  <c r="AO10" i="6" s="1"/>
  <c r="AP14" i="6"/>
  <c r="AQ13" i="6" a="1"/>
  <c r="AQ13" i="6" s="1"/>
  <c r="AQ17" i="6"/>
  <c r="AR16" i="6" a="1"/>
  <c r="AR16" i="6" s="1"/>
  <c r="AO8" i="6" l="1"/>
  <c r="AP7" i="6" a="1"/>
  <c r="AP7" i="6" s="1"/>
  <c r="AN5" i="6"/>
  <c r="AO4" i="6" a="1"/>
  <c r="AO4" i="6" s="1"/>
  <c r="AQ23" i="6"/>
  <c r="AR22" i="6" a="1"/>
  <c r="AR22" i="6" s="1"/>
  <c r="AR17" i="6"/>
  <c r="AS16" i="6" a="1"/>
  <c r="AS16" i="6" s="1"/>
  <c r="AO11" i="6"/>
  <c r="AP10" i="6" a="1"/>
  <c r="AP10" i="6" s="1"/>
  <c r="AQ14" i="6"/>
  <c r="AR13" i="6" a="1"/>
  <c r="AR13" i="6" s="1"/>
  <c r="AP20" i="6"/>
  <c r="AQ19" i="6" a="1"/>
  <c r="AQ19" i="6" s="1"/>
  <c r="AN2" i="6"/>
  <c r="AO1" i="6" a="1"/>
  <c r="AO1" i="6" s="1"/>
  <c r="AP8" i="6" l="1"/>
  <c r="AQ7" i="6" a="1"/>
  <c r="AQ7" i="6" s="1"/>
  <c r="AO2" i="6"/>
  <c r="AP1" i="6" a="1"/>
  <c r="AP1" i="6" s="1"/>
  <c r="AP11" i="6"/>
  <c r="AQ10" i="6" a="1"/>
  <c r="AQ10" i="6" s="1"/>
  <c r="AR23" i="6"/>
  <c r="AS22" i="6" a="1"/>
  <c r="AS22" i="6" s="1"/>
  <c r="AR14" i="6"/>
  <c r="AS13" i="6" a="1"/>
  <c r="AS13" i="6" s="1"/>
  <c r="AQ20" i="6"/>
  <c r="AR19" i="6" a="1"/>
  <c r="AR19" i="6" s="1"/>
  <c r="AS17" i="6"/>
  <c r="AT16" i="6" a="1"/>
  <c r="AT16" i="6" s="1"/>
  <c r="AO5" i="6"/>
  <c r="AP4" i="6" a="1"/>
  <c r="AP4" i="6" s="1"/>
  <c r="AQ8" i="6" l="1"/>
  <c r="AR7" i="6" a="1"/>
  <c r="AR7" i="6" s="1"/>
  <c r="AR8" i="6" s="1"/>
  <c r="AP5" i="6"/>
  <c r="AQ4" i="6" a="1"/>
  <c r="AQ4" i="6" s="1"/>
  <c r="AS23" i="6"/>
  <c r="AT22" i="6" a="1"/>
  <c r="AT22" i="6" s="1"/>
  <c r="AS14" i="6"/>
  <c r="AT13" i="6" a="1"/>
  <c r="AT13" i="6" s="1"/>
  <c r="AR20" i="6"/>
  <c r="AS19" i="6" a="1"/>
  <c r="AS19" i="6" s="1"/>
  <c r="AT17" i="6"/>
  <c r="AU16" i="6" a="1"/>
  <c r="AU16" i="6" s="1"/>
  <c r="AQ11" i="6"/>
  <c r="AR10" i="6" a="1"/>
  <c r="AR10" i="6" s="1"/>
  <c r="AP2" i="6"/>
  <c r="AQ1" i="6" a="1"/>
  <c r="AQ1" i="6" s="1"/>
  <c r="AS7" i="6" l="1" a="1"/>
  <c r="AS7" i="6" s="1"/>
  <c r="AQ2" i="6"/>
  <c r="AR1" i="6" a="1"/>
  <c r="AR1" i="6" s="1"/>
  <c r="AU17" i="6"/>
  <c r="AV16" i="6" a="1"/>
  <c r="AV16" i="6" s="1"/>
  <c r="AT23" i="6"/>
  <c r="AU22" i="6" a="1"/>
  <c r="AU22" i="6" s="1"/>
  <c r="AQ5" i="6"/>
  <c r="AR4" i="6" a="1"/>
  <c r="AR4" i="6" s="1"/>
  <c r="AT14" i="6"/>
  <c r="AU13" i="6" a="1"/>
  <c r="AU13" i="6" s="1"/>
  <c r="AS20" i="6"/>
  <c r="AT19" i="6" a="1"/>
  <c r="AT19" i="6" s="1"/>
  <c r="AR11" i="6"/>
  <c r="AS10" i="6" a="1"/>
  <c r="AS10" i="6" s="1"/>
  <c r="AS8" i="6" l="1"/>
  <c r="AT7" i="6" a="1"/>
  <c r="AT7" i="6" s="1"/>
  <c r="AS11" i="6"/>
  <c r="AT10" i="6" a="1"/>
  <c r="AT10" i="6" s="1"/>
  <c r="AU14" i="6"/>
  <c r="AV13" i="6" a="1"/>
  <c r="AV13" i="6" s="1"/>
  <c r="AT20" i="6"/>
  <c r="AU19" i="6" a="1"/>
  <c r="AU19" i="6" s="1"/>
  <c r="AV17" i="6"/>
  <c r="AW16" i="6" a="1"/>
  <c r="AW16" i="6" s="1"/>
  <c r="AR5" i="6"/>
  <c r="AS4" i="6" a="1"/>
  <c r="AS4" i="6" s="1"/>
  <c r="AU23" i="6"/>
  <c r="AV22" i="6" a="1"/>
  <c r="AV22" i="6" s="1"/>
  <c r="AR2" i="6"/>
  <c r="AS1" i="6" a="1"/>
  <c r="AS1" i="6" s="1"/>
  <c r="AT8" i="6" l="1"/>
  <c r="AU7" i="6" a="1"/>
  <c r="AU7" i="6" s="1"/>
  <c r="AU8" i="6" s="1"/>
  <c r="AS5" i="6"/>
  <c r="AT4" i="6" a="1"/>
  <c r="AT4" i="6" s="1"/>
  <c r="AU20" i="6"/>
  <c r="AV19" i="6" a="1"/>
  <c r="AV19" i="6" s="1"/>
  <c r="AV14" i="6"/>
  <c r="AW13" i="6" a="1"/>
  <c r="AW13" i="6" s="1"/>
  <c r="AS2" i="6"/>
  <c r="AT1" i="6" a="1"/>
  <c r="AT1" i="6" s="1"/>
  <c r="AV23" i="6"/>
  <c r="AW22" i="6" a="1"/>
  <c r="AW22" i="6" s="1"/>
  <c r="AW17" i="6"/>
  <c r="AX16" i="6" a="1"/>
  <c r="AX16" i="6" s="1"/>
  <c r="AT11" i="6"/>
  <c r="AU10" i="6" a="1"/>
  <c r="AU10" i="6" s="1"/>
  <c r="AV7" i="6" l="1" a="1"/>
  <c r="AV7" i="6" s="1"/>
  <c r="AT2" i="6"/>
  <c r="AU1" i="6" a="1"/>
  <c r="AU1" i="6" s="1"/>
  <c r="AV20" i="6"/>
  <c r="AW19" i="6" a="1"/>
  <c r="AW19" i="6" s="1"/>
  <c r="AW23" i="6"/>
  <c r="AX22" i="6" a="1"/>
  <c r="AX22" i="6" s="1"/>
  <c r="AX17" i="6"/>
  <c r="AY16" i="6" a="1"/>
  <c r="AY16" i="6" s="1"/>
  <c r="AT5" i="6"/>
  <c r="AU4" i="6" a="1"/>
  <c r="AU4" i="6" s="1"/>
  <c r="AU11" i="6"/>
  <c r="AV10" i="6" a="1"/>
  <c r="AV10" i="6" s="1"/>
  <c r="AW14" i="6"/>
  <c r="AX13" i="6" a="1"/>
  <c r="AX13" i="6" s="1"/>
  <c r="AV8" i="6" l="1"/>
  <c r="AW7" i="6" a="1"/>
  <c r="AW7" i="6" s="1"/>
  <c r="AW8" i="6" s="1"/>
  <c r="AU5" i="6"/>
  <c r="AV4" i="6" a="1"/>
  <c r="AV4" i="6" s="1"/>
  <c r="AW20" i="6"/>
  <c r="AX19" i="6" a="1"/>
  <c r="AX19" i="6" s="1"/>
  <c r="AX14" i="6"/>
  <c r="AY13" i="6" a="1"/>
  <c r="AY13" i="6" s="1"/>
  <c r="AV11" i="6"/>
  <c r="AW10" i="6" a="1"/>
  <c r="AW10" i="6" s="1"/>
  <c r="AY17" i="6"/>
  <c r="AZ16" i="6" a="1"/>
  <c r="AZ16" i="6" s="1"/>
  <c r="AX23" i="6"/>
  <c r="AY22" i="6" a="1"/>
  <c r="AY22" i="6" s="1"/>
  <c r="AU2" i="6"/>
  <c r="AV1" i="6" a="1"/>
  <c r="AV1" i="6" s="1"/>
  <c r="AX7" i="6" l="1" a="1"/>
  <c r="AX7" i="6" s="1"/>
  <c r="AX8" i="6" s="1"/>
  <c r="AV2" i="6"/>
  <c r="AW1" i="6" a="1"/>
  <c r="AW1" i="6" s="1"/>
  <c r="AZ17" i="6"/>
  <c r="BA16" i="6" a="1"/>
  <c r="BA16" i="6" s="1"/>
  <c r="AY14" i="6"/>
  <c r="AZ13" i="6" a="1"/>
  <c r="AZ13" i="6" s="1"/>
  <c r="AW11" i="6"/>
  <c r="AX10" i="6" a="1"/>
  <c r="AX10" i="6" s="1"/>
  <c r="AV5" i="6"/>
  <c r="AW4" i="6" a="1"/>
  <c r="AW4" i="6" s="1"/>
  <c r="AY23" i="6"/>
  <c r="AZ22" i="6" a="1"/>
  <c r="AZ22" i="6" s="1"/>
  <c r="AX20" i="6"/>
  <c r="AY19" i="6" a="1"/>
  <c r="AY19" i="6" s="1"/>
  <c r="AY7" i="6" l="1" a="1"/>
  <c r="AY7" i="6" s="1"/>
  <c r="AY8" i="6" s="1"/>
  <c r="AW5" i="6"/>
  <c r="AX4" i="6" a="1"/>
  <c r="AX4" i="6" s="1"/>
  <c r="BA17" i="6"/>
  <c r="BB16" i="6" a="1"/>
  <c r="BB16" i="6" s="1"/>
  <c r="AY20" i="6"/>
  <c r="AZ19" i="6" a="1"/>
  <c r="AZ19" i="6" s="1"/>
  <c r="AZ23" i="6"/>
  <c r="BA22" i="6" a="1"/>
  <c r="BA22" i="6" s="1"/>
  <c r="AX11" i="6"/>
  <c r="AY10" i="6" a="1"/>
  <c r="AY10" i="6" s="1"/>
  <c r="AZ14" i="6"/>
  <c r="BA13" i="6" a="1"/>
  <c r="BA13" i="6" s="1"/>
  <c r="AW2" i="6"/>
  <c r="AX1" i="6" a="1"/>
  <c r="AX1" i="6" s="1"/>
  <c r="AZ7" i="6" l="1" a="1"/>
  <c r="AZ7" i="6" s="1"/>
  <c r="AZ8" i="6" s="1"/>
  <c r="AX2" i="6"/>
  <c r="AY1" i="6" a="1"/>
  <c r="AY1" i="6" s="1"/>
  <c r="AY11" i="6"/>
  <c r="AZ10" i="6" a="1"/>
  <c r="AZ10" i="6" s="1"/>
  <c r="AZ20" i="6"/>
  <c r="BA19" i="6" a="1"/>
  <c r="BA19" i="6" s="1"/>
  <c r="BA23" i="6"/>
  <c r="BB22" i="6" a="1"/>
  <c r="BB22" i="6" s="1"/>
  <c r="BA14" i="6"/>
  <c r="BB13" i="6" a="1"/>
  <c r="BB13" i="6" s="1"/>
  <c r="BB17" i="6"/>
  <c r="BC16" i="6" a="1"/>
  <c r="BC16" i="6" s="1"/>
  <c r="AX5" i="6"/>
  <c r="AY4" i="6" a="1"/>
  <c r="AY4" i="6" s="1"/>
  <c r="BA7" i="6" l="1" a="1"/>
  <c r="BA7" i="6" s="1"/>
  <c r="BA8" i="6" s="1"/>
  <c r="AY2" i="6"/>
  <c r="AZ1" i="6" a="1"/>
  <c r="AZ1" i="6" s="1"/>
  <c r="BB14" i="6"/>
  <c r="BC13" i="6" a="1"/>
  <c r="BC13" i="6" s="1"/>
  <c r="AZ11" i="6"/>
  <c r="BA10" i="6" a="1"/>
  <c r="BA10" i="6" s="1"/>
  <c r="AY5" i="6"/>
  <c r="AZ4" i="6" a="1"/>
  <c r="AZ4" i="6" s="1"/>
  <c r="BB23" i="6"/>
  <c r="BC22" i="6" a="1"/>
  <c r="BC22" i="6" s="1"/>
  <c r="BC17" i="6"/>
  <c r="BD16" i="6" a="1"/>
  <c r="BD16" i="6" s="1"/>
  <c r="BA20" i="6"/>
  <c r="BB19" i="6" a="1"/>
  <c r="BB19" i="6" s="1"/>
  <c r="BB7" i="6" l="1" a="1"/>
  <c r="BB7" i="6" s="1"/>
  <c r="BB8" i="6" s="1"/>
  <c r="AZ5" i="6"/>
  <c r="BA4" i="6" a="1"/>
  <c r="BA4" i="6" s="1"/>
  <c r="BC14" i="6"/>
  <c r="BD13" i="6" a="1"/>
  <c r="BD13" i="6" s="1"/>
  <c r="BB20" i="6"/>
  <c r="BC19" i="6" a="1"/>
  <c r="BC19" i="6" s="1"/>
  <c r="BC23" i="6"/>
  <c r="BD22" i="6" a="1"/>
  <c r="BD22" i="6" s="1"/>
  <c r="BD17" i="6"/>
  <c r="BE16" i="6" a="1"/>
  <c r="BE16" i="6" s="1"/>
  <c r="BA11" i="6"/>
  <c r="BB10" i="6" a="1"/>
  <c r="BB10" i="6" s="1"/>
  <c r="AZ2" i="6"/>
  <c r="BA1" i="6" a="1"/>
  <c r="BA1" i="6" s="1"/>
  <c r="BC7" i="6" l="1" a="1"/>
  <c r="BC7" i="6" s="1"/>
  <c r="BA2" i="6"/>
  <c r="BB1" i="6" a="1"/>
  <c r="BB1" i="6" s="1"/>
  <c r="BD23" i="6"/>
  <c r="BE22" i="6" a="1"/>
  <c r="BE22" i="6" s="1"/>
  <c r="BD14" i="6"/>
  <c r="BE13" i="6" a="1"/>
  <c r="BE13" i="6" s="1"/>
  <c r="BE17" i="6"/>
  <c r="BF16" i="6" a="1"/>
  <c r="BF16" i="6" s="1"/>
  <c r="BB11" i="6"/>
  <c r="BC10" i="6" a="1"/>
  <c r="BC10" i="6" s="1"/>
  <c r="BC20" i="6"/>
  <c r="BD19" i="6" a="1"/>
  <c r="BD19" i="6" s="1"/>
  <c r="BA5" i="6"/>
  <c r="BB4" i="6" a="1"/>
  <c r="BB4" i="6" s="1"/>
  <c r="BC8" i="6" l="1"/>
  <c r="BD7" i="6" a="1"/>
  <c r="BD7" i="6" s="1"/>
  <c r="BD8" i="6" s="1"/>
  <c r="BB5" i="6"/>
  <c r="BC4" i="6" a="1"/>
  <c r="BC4" i="6" s="1"/>
  <c r="BC11" i="6"/>
  <c r="BD10" i="6" a="1"/>
  <c r="BD10" i="6" s="1"/>
  <c r="BE14" i="6"/>
  <c r="BF13" i="6" a="1"/>
  <c r="BF13" i="6" s="1"/>
  <c r="BF17" i="6"/>
  <c r="BG16" i="6" a="1"/>
  <c r="BG16" i="6" s="1"/>
  <c r="BB2" i="6"/>
  <c r="BC1" i="6" a="1"/>
  <c r="BC1" i="6" s="1"/>
  <c r="BD20" i="6"/>
  <c r="BE19" i="6" a="1"/>
  <c r="BE19" i="6" s="1"/>
  <c r="BE23" i="6"/>
  <c r="BF22" i="6" a="1"/>
  <c r="BF22" i="6" s="1"/>
  <c r="BE7" i="6" l="1" a="1"/>
  <c r="BE7" i="6" s="1"/>
  <c r="BC2" i="6"/>
  <c r="BD1" i="6" a="1"/>
  <c r="BD1" i="6" s="1"/>
  <c r="BD11" i="6"/>
  <c r="BE10" i="6" a="1"/>
  <c r="BE10" i="6" s="1"/>
  <c r="BF23" i="6"/>
  <c r="BG22" i="6" a="1"/>
  <c r="BG22" i="6" s="1"/>
  <c r="BE20" i="6"/>
  <c r="BF19" i="6" a="1"/>
  <c r="BF19" i="6" s="1"/>
  <c r="BG17" i="6"/>
  <c r="BH16" i="6" a="1"/>
  <c r="BH16" i="6" s="1"/>
  <c r="BH17" i="6" s="1"/>
  <c r="BF14" i="6"/>
  <c r="BG13" i="6" a="1"/>
  <c r="BG13" i="6" s="1"/>
  <c r="BC5" i="6"/>
  <c r="BD4" i="6" a="1"/>
  <c r="BD4" i="6" s="1"/>
  <c r="BE8" i="6" l="1"/>
  <c r="BF7" i="6" a="1"/>
  <c r="BF7" i="6" s="1"/>
  <c r="BD5" i="6"/>
  <c r="BE4" i="6" a="1"/>
  <c r="BE4" i="6" s="1"/>
  <c r="BG23" i="6"/>
  <c r="BH22" i="6" a="1"/>
  <c r="BH22" i="6" s="1"/>
  <c r="BH23" i="6" s="1"/>
  <c r="BD2" i="6"/>
  <c r="BE1" i="6" a="1"/>
  <c r="BE1" i="6" s="1"/>
  <c r="BG14" i="6"/>
  <c r="BH13" i="6" a="1"/>
  <c r="BH13" i="6" s="1"/>
  <c r="BH14" i="6" s="1"/>
  <c r="BF20" i="6"/>
  <c r="BG19" i="6" a="1"/>
  <c r="BG19" i="6" s="1"/>
  <c r="BE11" i="6"/>
  <c r="BF10" i="6" a="1"/>
  <c r="BF10" i="6" s="1"/>
  <c r="H17" i="6"/>
  <c r="H14" i="6" l="1"/>
  <c r="BG7" i="6" a="1"/>
  <c r="BG7" i="6" s="1"/>
  <c r="BG8" i="6" s="1"/>
  <c r="BF8" i="6"/>
  <c r="BE2" i="6"/>
  <c r="BF1" i="6" a="1"/>
  <c r="BF1" i="6" s="1"/>
  <c r="BG20" i="6"/>
  <c r="BH19" i="6" a="1"/>
  <c r="BH19" i="6" s="1"/>
  <c r="BH20" i="6" s="1"/>
  <c r="BF11" i="6"/>
  <c r="BG10" i="6" a="1"/>
  <c r="BG10" i="6" s="1"/>
  <c r="BE5" i="6"/>
  <c r="BF4" i="6" a="1"/>
  <c r="BF4" i="6" s="1"/>
  <c r="H23" i="6"/>
  <c r="BH7" i="6" l="1" a="1"/>
  <c r="BH7" i="6" s="1"/>
  <c r="BH8" i="6" s="1"/>
  <c r="H8" i="6" s="1"/>
  <c r="H20" i="6"/>
  <c r="BG11" i="6"/>
  <c r="BH10" i="6" a="1"/>
  <c r="BH10" i="6" s="1"/>
  <c r="BH11" i="6" s="1"/>
  <c r="BF2" i="6"/>
  <c r="BG1" i="6" a="1"/>
  <c r="BG1" i="6" s="1"/>
  <c r="BF5" i="6"/>
  <c r="BG4" i="6" a="1"/>
  <c r="BG4" i="6" s="1"/>
  <c r="H11" i="6" l="1"/>
  <c r="E21" i="6" s="1"/>
  <c r="BG5" i="6"/>
  <c r="BH4" i="6" a="1"/>
  <c r="BH4" i="6" s="1"/>
  <c r="BH5" i="6" s="1"/>
  <c r="BG2" i="6"/>
  <c r="BH1" i="6" a="1"/>
  <c r="BH1" i="6" s="1"/>
  <c r="BH2" i="6" s="1"/>
  <c r="E28" i="6"/>
  <c r="F28" i="6" s="1"/>
  <c r="E5" i="6"/>
  <c r="E6" i="6" s="1"/>
  <c r="F6" i="6" s="1"/>
  <c r="H2" i="6" l="1"/>
  <c r="H5" i="6"/>
  <c r="E9" i="6" s="1"/>
  <c r="E10" i="6" s="1"/>
  <c r="F10" i="6" s="1"/>
  <c r="F21" i="6"/>
  <c r="E22" i="6"/>
  <c r="F22" i="6" s="1"/>
  <c r="E23" i="6"/>
  <c r="CJ16" i="6" a="1"/>
  <c r="CJ16" i="6" s="1"/>
  <c r="DM16" i="6" a="1"/>
  <c r="DM16" i="6" s="1"/>
  <c r="DO16" i="6" a="1"/>
  <c r="DO16" i="6" s="1"/>
  <c r="BJ16" i="6" a="1"/>
  <c r="BJ16" i="6" s="1"/>
  <c r="BU19" i="6" a="1"/>
  <c r="BU19" i="6" s="1"/>
  <c r="BO16" i="6" a="1"/>
  <c r="BO16" i="6" s="1"/>
  <c r="BM16" i="6" a="1"/>
  <c r="BM16" i="6" s="1"/>
  <c r="BR19" i="6" a="1"/>
  <c r="BR19" i="6" s="1"/>
  <c r="CV16" i="6" a="1"/>
  <c r="CV16" i="6" s="1"/>
  <c r="BW19" i="6" a="1"/>
  <c r="BW19" i="6" s="1"/>
  <c r="CR16" i="6" a="1"/>
  <c r="CR16" i="6" s="1"/>
  <c r="CT16" i="6" a="1"/>
  <c r="CT16" i="6" s="1"/>
  <c r="CP16" i="6" a="1"/>
  <c r="CP16" i="6" s="1"/>
  <c r="CM16" i="6" a="1"/>
  <c r="CM16" i="6" s="1"/>
  <c r="DK16" i="6" a="1"/>
  <c r="DK16" i="6" s="1"/>
  <c r="DC16" i="6" a="1"/>
  <c r="DC16" i="6" s="1"/>
  <c r="CW16" i="6" a="1"/>
  <c r="CW16" i="6" s="1"/>
  <c r="BU16" i="6" a="1"/>
  <c r="BU16" i="6" s="1"/>
  <c r="DA16" i="6" a="1"/>
  <c r="DA16" i="6" s="1"/>
  <c r="CI16" i="6" a="1"/>
  <c r="CI16" i="6" s="1"/>
  <c r="BS19" i="6" a="1"/>
  <c r="BS19" i="6" s="1"/>
  <c r="DN16" i="6" a="1"/>
  <c r="DN16" i="6" s="1"/>
  <c r="BI19" i="6" a="1"/>
  <c r="BI19" i="6" s="1"/>
  <c r="BQ16" i="6" a="1"/>
  <c r="BQ16" i="6" s="1"/>
  <c r="DH16" i="6" a="1"/>
  <c r="DH16" i="6" s="1"/>
  <c r="CX16" i="6" a="1"/>
  <c r="CX16" i="6" s="1"/>
  <c r="DL16" i="6" a="1"/>
  <c r="DL16" i="6" s="1"/>
  <c r="BV19" i="6" a="1"/>
  <c r="BV19" i="6" s="1"/>
  <c r="CZ16" i="6" a="1"/>
  <c r="CZ16" i="6" s="1"/>
  <c r="BI16" i="6" a="1"/>
  <c r="BI16" i="6" s="1"/>
  <c r="BT16" i="6" a="1"/>
  <c r="BT16" i="6" s="1"/>
  <c r="DE16" i="6" a="1"/>
  <c r="DE16" i="6" s="1"/>
  <c r="BY16" i="6" a="1"/>
  <c r="BY16" i="6" s="1"/>
  <c r="BX16" i="6" a="1"/>
  <c r="BX16" i="6" s="1"/>
  <c r="CF16" i="6" a="1"/>
  <c r="CF16" i="6" s="1"/>
  <c r="CK16" i="6" a="1"/>
  <c r="CK16" i="6" s="1"/>
  <c r="DI16" i="6" a="1"/>
  <c r="DI16" i="6" s="1"/>
  <c r="DG16" i="6" a="1"/>
  <c r="DG16" i="6" s="1"/>
  <c r="BP19" i="6" a="1"/>
  <c r="BP19" i="6" s="1"/>
  <c r="BM19" i="6" a="1"/>
  <c r="BM19" i="6" s="1"/>
  <c r="BL16" i="6" a="1"/>
  <c r="BL16" i="6" s="1"/>
  <c r="BW16" i="6" a="1"/>
  <c r="BW16" i="6" s="1"/>
  <c r="BV16" i="6" a="1"/>
  <c r="BV16" i="6" s="1"/>
  <c r="BO19" i="6" a="1"/>
  <c r="BO19" i="6" s="1"/>
  <c r="CY16" i="6" a="1"/>
  <c r="CY16" i="6" s="1"/>
  <c r="BN16" i="6" a="1"/>
  <c r="BN16" i="6" s="1"/>
  <c r="CQ16" i="6" a="1"/>
  <c r="CQ16" i="6" s="1"/>
  <c r="BK16" i="6" a="1"/>
  <c r="BK16" i="6" s="1"/>
  <c r="BN19" i="6" a="1"/>
  <c r="BN19" i="6" s="1"/>
  <c r="CH16" i="6" a="1"/>
  <c r="CH16" i="6" s="1"/>
  <c r="DB16" i="6" a="1"/>
  <c r="DB16" i="6" s="1"/>
  <c r="CB16" i="6" a="1"/>
  <c r="CB16" i="6" s="1"/>
  <c r="BP16" i="6" a="1"/>
  <c r="BP16" i="6" s="1"/>
  <c r="DD16" i="6" a="1"/>
  <c r="DD16" i="6" s="1"/>
  <c r="BL19" i="6" a="1"/>
  <c r="BL19" i="6" s="1"/>
  <c r="BT19" i="6" a="1"/>
  <c r="BT19" i="6" s="1"/>
  <c r="CE16" i="6" a="1"/>
  <c r="CE16" i="6" s="1"/>
  <c r="CS16" i="6" a="1"/>
  <c r="CS16" i="6" s="1"/>
  <c r="CN16" i="6" a="1"/>
  <c r="CN16" i="6" s="1"/>
  <c r="CD16" i="6" a="1"/>
  <c r="CD16" i="6" s="1"/>
  <c r="BR16" i="6" a="1"/>
  <c r="BR16" i="6" s="1"/>
  <c r="DF16" i="6" a="1"/>
  <c r="DF16" i="6" s="1"/>
  <c r="BZ16" i="6" a="1"/>
  <c r="BZ16" i="6" s="1"/>
  <c r="BK19" i="6" a="1"/>
  <c r="BK19" i="6" s="1"/>
  <c r="BQ19" i="6" a="1"/>
  <c r="BQ19" i="6" s="1"/>
  <c r="BS16" i="6" a="1"/>
  <c r="BS16" i="6" s="1"/>
  <c r="CA16" i="6" a="1"/>
  <c r="CA16" i="6" s="1"/>
  <c r="CL16" i="6" a="1"/>
  <c r="CL16" i="6" s="1"/>
  <c r="CC16" i="6" a="1"/>
  <c r="CC16" i="6" s="1"/>
  <c r="CU16" i="6" a="1"/>
  <c r="CU16" i="6" s="1"/>
  <c r="BJ19" i="6" a="1"/>
  <c r="BJ19" i="6" s="1"/>
  <c r="CG16" i="6" a="1"/>
  <c r="CG16" i="6" s="1"/>
  <c r="CO16" i="6" a="1"/>
  <c r="CO16" i="6" s="1"/>
  <c r="DJ16" i="6" a="1"/>
  <c r="DJ16" i="6" s="1"/>
  <c r="B26" i="6" l="1"/>
  <c r="B43" i="6" s="1" a="1"/>
  <c r="B43" i="6" s="1"/>
  <c r="B42" i="6" s="1"/>
  <c r="B40" i="6" s="1"/>
  <c r="E13" i="6"/>
  <c r="E14" i="6" s="1"/>
  <c r="F14" i="6" s="1"/>
  <c r="F23" i="6"/>
  <c r="E26" i="6"/>
  <c r="C2" i="7" l="1" a="1"/>
  <c r="C2" i="7" s="1"/>
  <c r="C7" i="7" s="1"/>
  <c r="B24" i="6"/>
  <c r="B34" i="6" s="1"/>
  <c r="A34" i="6" s="1"/>
  <c r="C26" i="6"/>
  <c r="D3" i="7" s="1" a="1"/>
  <c r="D3" i="7" s="1"/>
  <c r="C3" i="7" a="1"/>
  <c r="C3" i="7" s="1"/>
  <c r="C8" i="7" s="1"/>
  <c r="F26" i="6"/>
  <c r="D2" i="7" l="1" a="1"/>
  <c r="D2" i="7" s="1"/>
  <c r="D7" i="7" s="1"/>
  <c r="C24" i="6"/>
  <c r="C34" i="6" s="1"/>
  <c r="C43" i="6" a="1"/>
  <c r="C43" i="6" s="1"/>
  <c r="C42" i="6" s="1"/>
  <c r="C40" i="6" s="1"/>
  <c r="C10" i="7"/>
  <c r="E27" i="6"/>
  <c r="F27" i="6" s="1"/>
  <c r="C11" i="7"/>
  <c r="E16" i="6"/>
  <c r="D11" i="7"/>
  <c r="D8" i="7"/>
  <c r="D10" i="7" l="1"/>
  <c r="E34" i="6"/>
  <c r="F3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Hilton Netta</author>
  </authors>
  <commentList>
    <comment ref="A6" authorId="0" shapeId="0" xr:uid="{C2C3740E-B907-440D-A893-DADA62120D83}">
      <text>
        <r>
          <rPr>
            <sz val="9"/>
            <color indexed="81"/>
            <rFont val="Tahoma"/>
            <family val="2"/>
          </rPr>
          <t>Assets in liquid form are broadly defined to include fixed interest securitiies excluding CLNs and maturities &gt; 13 [BN90 8(2)]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Hilton Netta</author>
  </authors>
  <commentList>
    <comment ref="A2" authorId="0" shapeId="0" xr:uid="{689EB3FB-9349-43A3-A123-EE09108D38AE}">
      <text>
        <r>
          <rPr>
            <sz val="9"/>
            <color indexed="81"/>
            <rFont val="Tahoma"/>
            <family val="2"/>
          </rPr>
          <t>Global exposure &gt; 100% implies leverage, i.e. borrowing to amplify returns.
Global exposure &lt; 100% means a portion of the fund is invested in cash.
Source: https://www.investopedia.com/terms/g/gross-exposure.asp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<sst xmlns="http://schemas.openxmlformats.org/spreadsheetml/2006/main" count="109844" uniqueCount="13028">
  <si>
    <t>Entity Name</t>
  </si>
  <si>
    <t>Valuation First Level</t>
  </si>
  <si>
    <t>Valuation Second Level</t>
  </si>
  <si>
    <t>i Issue Name</t>
  </si>
  <si>
    <t>PrimaryAssetID</t>
  </si>
  <si>
    <t>Issue Description</t>
  </si>
  <si>
    <t>Original Nominal</t>
  </si>
  <si>
    <t>Clean Book Value</t>
  </si>
  <si>
    <t>Clean Market Value</t>
  </si>
  <si>
    <t>Accrued Income</t>
  </si>
  <si>
    <t>Dividend Receivable</t>
  </si>
  <si>
    <t>Sum of Market Value Income</t>
  </si>
  <si>
    <t>Market Price /Yield</t>
  </si>
  <si>
    <t>% of Total Market Value</t>
  </si>
  <si>
    <t>Next Coupon Date</t>
  </si>
  <si>
    <t>Maturity Date</t>
  </si>
  <si>
    <t>Coupon</t>
  </si>
  <si>
    <t>Duration</t>
  </si>
  <si>
    <t>Modified Duration</t>
  </si>
  <si>
    <t>Investment Type</t>
  </si>
  <si>
    <t>Security Type</t>
  </si>
  <si>
    <t>Sub Security Type</t>
  </si>
  <si>
    <t>CCY</t>
  </si>
  <si>
    <t>Sector</t>
  </si>
  <si>
    <t>Supersector</t>
  </si>
  <si>
    <t>Industry</t>
  </si>
  <si>
    <t>Issuer Rating</t>
  </si>
  <si>
    <t>Security Rating</t>
  </si>
  <si>
    <t>NACA Yield</t>
  </si>
  <si>
    <t>NACM Yield</t>
  </si>
  <si>
    <t>Weighted Avg NACA Yield</t>
  </si>
  <si>
    <t>Weighted Avg NACM Yield</t>
  </si>
  <si>
    <t>Market Value %</t>
  </si>
  <si>
    <t>Current Exposure</t>
  </si>
  <si>
    <t>Current Exposure %</t>
  </si>
  <si>
    <t>i Position Effective Date</t>
  </si>
  <si>
    <t>Entity ID</t>
  </si>
  <si>
    <t>Weighted Average NACS Yield</t>
  </si>
  <si>
    <t>Weighted Average Coupon</t>
  </si>
  <si>
    <t>Weighted Modified Duration</t>
  </si>
  <si>
    <t>Issuer</t>
  </si>
  <si>
    <t>ISIN Code</t>
  </si>
  <si>
    <t>Ticker</t>
  </si>
  <si>
    <t>ZAR</t>
  </si>
  <si>
    <t/>
  </si>
  <si>
    <t>CASH</t>
  </si>
  <si>
    <t>CSH</t>
  </si>
  <si>
    <t>Traded Cash</t>
  </si>
  <si>
    <t>Interest on Cash ZAR</t>
  </si>
  <si>
    <t>INTRZAR</t>
  </si>
  <si>
    <t>Interest on Cash</t>
  </si>
  <si>
    <t>South African Rand</t>
  </si>
  <si>
    <t>CASHZAR</t>
  </si>
  <si>
    <t>CRNY</t>
  </si>
  <si>
    <t>Primary Asset ID</t>
  </si>
  <si>
    <t>HoldingsStartRow</t>
  </si>
  <si>
    <t>DeltasStartRow</t>
  </si>
  <si>
    <t>Equity Derivatives</t>
  </si>
  <si>
    <t>Delta</t>
  </si>
  <si>
    <t>Market Value</t>
  </si>
  <si>
    <t>Effective Exposure</t>
  </si>
  <si>
    <t>Bond Derivatives</t>
  </si>
  <si>
    <t>Currency Derivatives</t>
  </si>
  <si>
    <t>R</t>
  </si>
  <si>
    <t>%</t>
  </si>
  <si>
    <t>CASH COVER CHECK</t>
  </si>
  <si>
    <t>Fund NAV</t>
  </si>
  <si>
    <t>Assets in liquid form</t>
  </si>
  <si>
    <t>ASSET COVER CHECK</t>
  </si>
  <si>
    <t>Forwards</t>
  </si>
  <si>
    <t>Total direct SA bonds available to cover short exposures</t>
  </si>
  <si>
    <t>Swaps</t>
  </si>
  <si>
    <t>Total same or similar bonds available to cover short exposures</t>
  </si>
  <si>
    <t>Net short derivative exposure</t>
  </si>
  <si>
    <t>Total direct MSCI ACWI assets available to cover short exposures</t>
  </si>
  <si>
    <t>Total direct ALSI assets available to cover short exposures</t>
  </si>
  <si>
    <t>% NAV</t>
  </si>
  <si>
    <t>Contracts Held</t>
  </si>
  <si>
    <t>Multiplier</t>
  </si>
  <si>
    <t>Market Price</t>
  </si>
  <si>
    <t>Nominal Exposure</t>
  </si>
  <si>
    <t xml:space="preserve">Gross Effective Exposure (%) </t>
  </si>
  <si>
    <t>Global exposure (sum of the absolute effective exposures)</t>
  </si>
  <si>
    <t>a</t>
  </si>
  <si>
    <t>Net effective exposure (sum of the net effective exposures)</t>
  </si>
  <si>
    <t>b</t>
  </si>
  <si>
    <t>Liquid assets</t>
  </si>
  <si>
    <t>c</t>
  </si>
  <si>
    <t>Liquid assets and collective investment schemes</t>
  </si>
  <si>
    <t>d</t>
  </si>
  <si>
    <t>Liquid asset cover over global exposure (must be &gt; 100%)</t>
  </si>
  <si>
    <t>c ÷ a</t>
  </si>
  <si>
    <t>c - a</t>
  </si>
  <si>
    <t>Liquid asset cover over net effective exposure (must be &gt; 100%)</t>
  </si>
  <si>
    <t>c ÷ b</t>
  </si>
  <si>
    <t>c - b</t>
  </si>
  <si>
    <t>Liquid asset cover, incl CISes, over net effective exposure (must be &gt; 100%)</t>
  </si>
  <si>
    <t>d ÷ a</t>
  </si>
  <si>
    <t>d - a</t>
  </si>
  <si>
    <t>d ÷ b</t>
  </si>
  <si>
    <t>d - b</t>
  </si>
  <si>
    <t>Equity futures and options</t>
  </si>
  <si>
    <t>Equity TRSs</t>
  </si>
  <si>
    <t>Equity unit trusts</t>
  </si>
  <si>
    <t>Global Exposure</t>
  </si>
  <si>
    <t>Net Effective Exposure</t>
  </si>
  <si>
    <t>Cash Cover 2</t>
  </si>
  <si>
    <t>Cash Cover</t>
  </si>
  <si>
    <t>MSCI Cover</t>
  </si>
  <si>
    <t>SA Bond Cover</t>
  </si>
  <si>
    <t>Money Market</t>
  </si>
  <si>
    <t>FI</t>
  </si>
  <si>
    <t>ST</t>
  </si>
  <si>
    <t>USD</t>
  </si>
  <si>
    <t>CLN</t>
  </si>
  <si>
    <t>SUN</t>
  </si>
  <si>
    <t>BenchMark</t>
  </si>
  <si>
    <t>Type</t>
  </si>
  <si>
    <t>Constituent</t>
  </si>
  <si>
    <t>Weighting</t>
  </si>
  <si>
    <t>Fondsposition per</t>
  </si>
  <si>
    <t>10.Jan.2020</t>
  </si>
  <si>
    <t>ALBI</t>
  </si>
  <si>
    <t>Instrument</t>
  </si>
  <si>
    <t> </t>
  </si>
  <si>
    <t>Emittententicker</t>
  </si>
  <si>
    <t>Name</t>
  </si>
  <si>
    <t>Anlageklasse</t>
  </si>
  <si>
    <t>Gewichtung (%)</t>
  </si>
  <si>
    <t>Kurs</t>
  </si>
  <si>
    <t>Nominale</t>
  </si>
  <si>
    <t>Marktwert</t>
  </si>
  <si>
    <t>Nominalwert</t>
  </si>
  <si>
    <t>Sektor</t>
  </si>
  <si>
    <t>ISIN</t>
  </si>
  <si>
    <t>Börse</t>
  </si>
  <si>
    <t>Standort</t>
  </si>
  <si>
    <t>Marktwährung</t>
  </si>
  <si>
    <t>AAPL</t>
  </si>
  <si>
    <t>APPLE INC</t>
  </si>
  <si>
    <t>Aktien</t>
  </si>
  <si>
    <t>3,09</t>
  </si>
  <si>
    <t>310,33</t>
  </si>
  <si>
    <t>2.424.947</t>
  </si>
  <si>
    <t>752.533.803</t>
  </si>
  <si>
    <t>752.533.802,51</t>
  </si>
  <si>
    <t>IT</t>
  </si>
  <si>
    <t>US0378331005</t>
  </si>
  <si>
    <t>NASDAQ</t>
  </si>
  <si>
    <t>Vereinigte Staaten</t>
  </si>
  <si>
    <t>MSFT</t>
  </si>
  <si>
    <t>MICROSOFT CORP</t>
  </si>
  <si>
    <t>2,59</t>
  </si>
  <si>
    <t>161,34</t>
  </si>
  <si>
    <t>3.902.293</t>
  </si>
  <si>
    <t>629.595.953</t>
  </si>
  <si>
    <t>629.595.952,62</t>
  </si>
  <si>
    <t>US5949181045</t>
  </si>
  <si>
    <t>DV22</t>
  </si>
  <si>
    <t>AMZN</t>
  </si>
  <si>
    <t>AMAZON COM INC</t>
  </si>
  <si>
    <t>1,74</t>
  </si>
  <si>
    <t>1.883,16</t>
  </si>
  <si>
    <t>424.355.041</t>
  </si>
  <si>
    <t>424.355.040,72</t>
  </si>
  <si>
    <t>Zyklische Konsumgüter </t>
  </si>
  <si>
    <t>US0231351067</t>
  </si>
  <si>
    <t>DV23</t>
  </si>
  <si>
    <t>FB</t>
  </si>
  <si>
    <t>FACEBOOK CLASS A INC</t>
  </si>
  <si>
    <t>1,15</t>
  </si>
  <si>
    <t>218,06</t>
  </si>
  <si>
    <t>1.288.590</t>
  </si>
  <si>
    <t>280.989.935</t>
  </si>
  <si>
    <t>280.989.935,40</t>
  </si>
  <si>
    <t>Kommunikation</t>
  </si>
  <si>
    <t>US30303M1027</t>
  </si>
  <si>
    <t>ES33</t>
  </si>
  <si>
    <t>GOOG</t>
  </si>
  <si>
    <t>ALPHABET INC CLASS C</t>
  </si>
  <si>
    <t>0,99</t>
  </si>
  <si>
    <t>1.429,73</t>
  </si>
  <si>
    <t>240.740.797</t>
  </si>
  <si>
    <t>240.740.796,86</t>
  </si>
  <si>
    <t>US02079K1079</t>
  </si>
  <si>
    <t>ES26</t>
  </si>
  <si>
    <t>JPM</t>
  </si>
  <si>
    <t>JPMORGAN CHASE &amp; CO</t>
  </si>
  <si>
    <t>0,96</t>
  </si>
  <si>
    <t>136,07</t>
  </si>
  <si>
    <t>1.722.589</t>
  </si>
  <si>
    <t>234.392.685</t>
  </si>
  <si>
    <t>234.392.685,23</t>
  </si>
  <si>
    <t>Financials</t>
  </si>
  <si>
    <t>US46625H1005</t>
  </si>
  <si>
    <t>New York Stock Exchange Inc.</t>
  </si>
  <si>
    <t>ES23</t>
  </si>
  <si>
    <t>GOOGL</t>
  </si>
  <si>
    <t>ALPHABET INC CLASS A</t>
  </si>
  <si>
    <t>0,94</t>
  </si>
  <si>
    <t>1.428,96</t>
  </si>
  <si>
    <t>229.046.569</t>
  </si>
  <si>
    <t>229.046.569,44</t>
  </si>
  <si>
    <t>US02079K3059</t>
  </si>
  <si>
    <t>JNJ</t>
  </si>
  <si>
    <t>JOHNSON &amp; JOHNSON</t>
  </si>
  <si>
    <t>0,85</t>
  </si>
  <si>
    <t>145,06</t>
  </si>
  <si>
    <t>1.424.692</t>
  </si>
  <si>
    <t>206.665.822</t>
  </si>
  <si>
    <t>206.665.821,52</t>
  </si>
  <si>
    <t>Gesundheitsversorgung</t>
  </si>
  <si>
    <t>US4781601046</t>
  </si>
  <si>
    <t>V</t>
  </si>
  <si>
    <t>VISA INC CLASS A</t>
  </si>
  <si>
    <t>0,74</t>
  </si>
  <si>
    <t>193,77</t>
  </si>
  <si>
    <t>181.197.621</t>
  </si>
  <si>
    <t>181.197.621,09</t>
  </si>
  <si>
    <t>US92826C8394</t>
  </si>
  <si>
    <t>NESN</t>
  </si>
  <si>
    <t>NESTLE SA</t>
  </si>
  <si>
    <t>0,71</t>
  </si>
  <si>
    <t>105,77</t>
  </si>
  <si>
    <t>1.637.775</t>
  </si>
  <si>
    <t>173.226.364</t>
  </si>
  <si>
    <t>173.226.363,73</t>
  </si>
  <si>
    <t>Nichtzyklische Konsumgüter</t>
  </si>
  <si>
    <t>CH0038863350</t>
  </si>
  <si>
    <t>Six Swiss Exchange Ag</t>
  </si>
  <si>
    <t>Schweiz</t>
  </si>
  <si>
    <t>CHF</t>
  </si>
  <si>
    <t>PG</t>
  </si>
  <si>
    <t>PROCTER &amp; GAMBLE</t>
  </si>
  <si>
    <t>0,69</t>
  </si>
  <si>
    <t>123,97</t>
  </si>
  <si>
    <t>1.358.285</t>
  </si>
  <si>
    <t>168.386.591</t>
  </si>
  <si>
    <t>168.386.591,45</t>
  </si>
  <si>
    <t>US7427181091</t>
  </si>
  <si>
    <t>BAC</t>
  </si>
  <si>
    <t>BANK OF AMERICA CORP</t>
  </si>
  <si>
    <t>0,68</t>
  </si>
  <si>
    <t>34,74</t>
  </si>
  <si>
    <t>4.788.406</t>
  </si>
  <si>
    <t>166.349.224</t>
  </si>
  <si>
    <t>166.349.224,44</t>
  </si>
  <si>
    <t>US0605051046</t>
  </si>
  <si>
    <t>BRKB</t>
  </si>
  <si>
    <t>BERKSHIRE HATHAWAY INC CLASS B</t>
  </si>
  <si>
    <t>0,65</t>
  </si>
  <si>
    <t>226,62</t>
  </si>
  <si>
    <t>158.359.110</t>
  </si>
  <si>
    <t>158.359.109,94</t>
  </si>
  <si>
    <t>US0846707026</t>
  </si>
  <si>
    <t>ES42</t>
  </si>
  <si>
    <t>XOM</t>
  </si>
  <si>
    <t>EXXON MOBIL CORP</t>
  </si>
  <si>
    <t>0,64</t>
  </si>
  <si>
    <t>69,14</t>
  </si>
  <si>
    <t>2.251.134</t>
  </si>
  <si>
    <t>155.643.405</t>
  </si>
  <si>
    <t>155.643.404,76</t>
  </si>
  <si>
    <t>Energie</t>
  </si>
  <si>
    <t>US30231G1022</t>
  </si>
  <si>
    <t>MA</t>
  </si>
  <si>
    <t>MASTERCARD INC CLASS A</t>
  </si>
  <si>
    <t>0,63</t>
  </si>
  <si>
    <t>311,17</t>
  </si>
  <si>
    <t>152.799.406</t>
  </si>
  <si>
    <t>152.799.406,16</t>
  </si>
  <si>
    <t>US57636Q1040</t>
  </si>
  <si>
    <t>UNH</t>
  </si>
  <si>
    <t>UNITEDHEALTH GROUP INC</t>
  </si>
  <si>
    <t>0,62</t>
  </si>
  <si>
    <t>295,13</t>
  </si>
  <si>
    <t>150.872.227</t>
  </si>
  <si>
    <t>150.872.226,78</t>
  </si>
  <si>
    <t>US91324P1021</t>
  </si>
  <si>
    <t>T</t>
  </si>
  <si>
    <t>AT&amp;T INC</t>
  </si>
  <si>
    <t>0,61</t>
  </si>
  <si>
    <t>38,57</t>
  </si>
  <si>
    <t>3.879.451</t>
  </si>
  <si>
    <t>149.630.425</t>
  </si>
  <si>
    <t>149.630.425,07</t>
  </si>
  <si>
    <t>US00206R1023</t>
  </si>
  <si>
    <t>INTC</t>
  </si>
  <si>
    <t>INTEL CORPORATION CORP</t>
  </si>
  <si>
    <t>0,58</t>
  </si>
  <si>
    <t>58,94</t>
  </si>
  <si>
    <t>2.398.081</t>
  </si>
  <si>
    <t>141.342.894</t>
  </si>
  <si>
    <t>141.342.894,14</t>
  </si>
  <si>
    <t>US4581401001</t>
  </si>
  <si>
    <t>AICASH</t>
  </si>
  <si>
    <t>DIS</t>
  </si>
  <si>
    <t>WALT DISNEY</t>
  </si>
  <si>
    <t>144,62</t>
  </si>
  <si>
    <t>140.179.009</t>
  </si>
  <si>
    <t>140.179.009,04</t>
  </si>
  <si>
    <t>US2546871060</t>
  </si>
  <si>
    <t>ALBI01</t>
  </si>
  <si>
    <t>HD</t>
  </si>
  <si>
    <t>HOME DEPOT INC</t>
  </si>
  <si>
    <t>0,54</t>
  </si>
  <si>
    <t>224,22</t>
  </si>
  <si>
    <t>132.581.062</t>
  </si>
  <si>
    <t>132.581.061,78</t>
  </si>
  <si>
    <t>US4370761029</t>
  </si>
  <si>
    <t>VZ</t>
  </si>
  <si>
    <t>VERIZON COMMUNICATIONS INC</t>
  </si>
  <si>
    <t>0,53</t>
  </si>
  <si>
    <t>58,99</t>
  </si>
  <si>
    <t>2.201.916</t>
  </si>
  <si>
    <t>129.891.025</t>
  </si>
  <si>
    <t>129.891.024,84</t>
  </si>
  <si>
    <t>US92343V1044</t>
  </si>
  <si>
    <t>ROG</t>
  </si>
  <si>
    <t>ROCHE HOLDING PAR AG</t>
  </si>
  <si>
    <t>0,51</t>
  </si>
  <si>
    <t>329,21</t>
  </si>
  <si>
    <t>123.673.577</t>
  </si>
  <si>
    <t>123.673.576,98</t>
  </si>
  <si>
    <t>CH0012032048</t>
  </si>
  <si>
    <t>BBG006Q42QL6</t>
  </si>
  <si>
    <t>EGS60121C018</t>
  </si>
  <si>
    <t>MRK</t>
  </si>
  <si>
    <t>MERCK &amp; CO INC</t>
  </si>
  <si>
    <t>89,53</t>
  </si>
  <si>
    <t>1.375.827</t>
  </si>
  <si>
    <t>123.177.791</t>
  </si>
  <si>
    <t>123.177.791,31</t>
  </si>
  <si>
    <t>US58933Y1055</t>
  </si>
  <si>
    <t>EGS691S1C011</t>
  </si>
  <si>
    <t>KO</t>
  </si>
  <si>
    <t>COCA-COLA</t>
  </si>
  <si>
    <t>0,50</t>
  </si>
  <si>
    <t>55,53</t>
  </si>
  <si>
    <t>2.184.327</t>
  </si>
  <si>
    <t>121.295.678</t>
  </si>
  <si>
    <t>121.295.678,31</t>
  </si>
  <si>
    <t>US1912161007</t>
  </si>
  <si>
    <t>EGS74081C018</t>
  </si>
  <si>
    <t>WFC</t>
  </si>
  <si>
    <t>WELLS FARGO</t>
  </si>
  <si>
    <t>0,49</t>
  </si>
  <si>
    <t>52,50</t>
  </si>
  <si>
    <t>2.268.303</t>
  </si>
  <si>
    <t>119.085.908</t>
  </si>
  <si>
    <t>119.085.907,50</t>
  </si>
  <si>
    <t>US9497461015</t>
  </si>
  <si>
    <t>KE0000000315</t>
  </si>
  <si>
    <t>CVX</t>
  </si>
  <si>
    <t>CHEVRON CORP</t>
  </si>
  <si>
    <t>116,44</t>
  </si>
  <si>
    <t>1.020.318</t>
  </si>
  <si>
    <t>118.805.828</t>
  </si>
  <si>
    <t>118.805.827,92</t>
  </si>
  <si>
    <t>US1667641005</t>
  </si>
  <si>
    <t>KE1000001402</t>
  </si>
  <si>
    <t>PFE</t>
  </si>
  <si>
    <t>PFIZER INC</t>
  </si>
  <si>
    <t>0,48</t>
  </si>
  <si>
    <t>39,49</t>
  </si>
  <si>
    <t>2.964.851</t>
  </si>
  <si>
    <t>117.081.966</t>
  </si>
  <si>
    <t>117.081.965,99</t>
  </si>
  <si>
    <t>US7170811035</t>
  </si>
  <si>
    <t>KE1000001568</t>
  </si>
  <si>
    <t>NOVN</t>
  </si>
  <si>
    <t>NOVARTIS AG</t>
  </si>
  <si>
    <t>0,45</t>
  </si>
  <si>
    <t>94,16</t>
  </si>
  <si>
    <t>1.164.896</t>
  </si>
  <si>
    <t>109.685.147</t>
  </si>
  <si>
    <t>109.685.147,13</t>
  </si>
  <si>
    <t>CH0012005267</t>
  </si>
  <si>
    <t>NGACCESS0005</t>
  </si>
  <si>
    <t>CMCSA</t>
  </si>
  <si>
    <t>COMCAST CORP CLASS A</t>
  </si>
  <si>
    <t>44,98</t>
  </si>
  <si>
    <t>2.427.203</t>
  </si>
  <si>
    <t>109.175.591</t>
  </si>
  <si>
    <t>109.175.590,94</t>
  </si>
  <si>
    <t>US20030N1019</t>
  </si>
  <si>
    <t>NGDANGCEM008</t>
  </si>
  <si>
    <t>CSCO</t>
  </si>
  <si>
    <t>CISCO SYSTEMS INC</t>
  </si>
  <si>
    <t>0,44</t>
  </si>
  <si>
    <t>47,13</t>
  </si>
  <si>
    <t>2.291.677</t>
  </si>
  <si>
    <t>108.006.737</t>
  </si>
  <si>
    <t>108.006.737,01</t>
  </si>
  <si>
    <t>US17275R1023</t>
  </si>
  <si>
    <t>NGGUARANTY06</t>
  </si>
  <si>
    <t>PEP</t>
  </si>
  <si>
    <t>PEPSICO INC</t>
  </si>
  <si>
    <t>0,42</t>
  </si>
  <si>
    <t>134,53</t>
  </si>
  <si>
    <t>101.400.373</t>
  </si>
  <si>
    <t>101.400.373,14</t>
  </si>
  <si>
    <t>US7134481081</t>
  </si>
  <si>
    <t>NGZENITHBNK9</t>
  </si>
  <si>
    <t>C</t>
  </si>
  <si>
    <t>CITIGROUP INC</t>
  </si>
  <si>
    <t>0,40</t>
  </si>
  <si>
    <t>79,25</t>
  </si>
  <si>
    <t>1.217.677</t>
  </si>
  <si>
    <t>96.500.902</t>
  </si>
  <si>
    <t>96.500.902,25</t>
  </si>
  <si>
    <t>US1729674242</t>
  </si>
  <si>
    <t>NGNESTLE0006</t>
  </si>
  <si>
    <t>BA</t>
  </si>
  <si>
    <t>BOEING</t>
  </si>
  <si>
    <t>0,39</t>
  </si>
  <si>
    <t>329,92</t>
  </si>
  <si>
    <t>94.587.074</t>
  </si>
  <si>
    <t>94.587.074,24</t>
  </si>
  <si>
    <t>Industrie</t>
  </si>
  <si>
    <t>US0970231058</t>
  </si>
  <si>
    <t>NGWAPCO00002</t>
  </si>
  <si>
    <t>WMT</t>
  </si>
  <si>
    <t>WALMART INC</t>
  </si>
  <si>
    <t>0,37</t>
  </si>
  <si>
    <t>116,38</t>
  </si>
  <si>
    <t>90.517.804</t>
  </si>
  <si>
    <t>90.517.803,64</t>
  </si>
  <si>
    <t>US9311421039</t>
  </si>
  <si>
    <t>NGFBNH000009</t>
  </si>
  <si>
    <t>ADBE</t>
  </si>
  <si>
    <t>ADOBE INC</t>
  </si>
  <si>
    <t>339,81</t>
  </si>
  <si>
    <t>88.931.335</t>
  </si>
  <si>
    <t>88.931.335,29</t>
  </si>
  <si>
    <t>US00724F1012</t>
  </si>
  <si>
    <t>EGS37091C013</t>
  </si>
  <si>
    <t>TOYOTA MOTOR CORP</t>
  </si>
  <si>
    <t>0,35</t>
  </si>
  <si>
    <t>69,93</t>
  </si>
  <si>
    <t>1.231.200</t>
  </si>
  <si>
    <t>86.091.851</t>
  </si>
  <si>
    <t>86.091.851,04</t>
  </si>
  <si>
    <t>JP3633400001</t>
  </si>
  <si>
    <t>Tokyo Stock Exchange</t>
  </si>
  <si>
    <t>Japan</t>
  </si>
  <si>
    <t>JPY</t>
  </si>
  <si>
    <t>KE0000000075</t>
  </si>
  <si>
    <t>MCD</t>
  </si>
  <si>
    <t>MCDONALDS CORP</t>
  </si>
  <si>
    <t>207,27</t>
  </si>
  <si>
    <t>84.183.125</t>
  </si>
  <si>
    <t>84.183.125,04</t>
  </si>
  <si>
    <t>US5801351017</t>
  </si>
  <si>
    <t>NGMOBIL00007</t>
  </si>
  <si>
    <t>MDT</t>
  </si>
  <si>
    <t>MEDTRONIC PLC</t>
  </si>
  <si>
    <t>0,34</t>
  </si>
  <si>
    <t>118,64</t>
  </si>
  <si>
    <t>83.734.451</t>
  </si>
  <si>
    <t>83.734.451,04</t>
  </si>
  <si>
    <t>IE00BTN1Y115</t>
  </si>
  <si>
    <t>SN0000000019</t>
  </si>
  <si>
    <t>BMY</t>
  </si>
  <si>
    <t>BRISTOL MYERS SQUIBB</t>
  </si>
  <si>
    <t>65,23</t>
  </si>
  <si>
    <t>1.254.743</t>
  </si>
  <si>
    <t>81.846.886</t>
  </si>
  <si>
    <t>81.846.885,89</t>
  </si>
  <si>
    <t>US1101221083</t>
  </si>
  <si>
    <t>ZW0009011199</t>
  </si>
  <si>
    <t>HSBA</t>
  </si>
  <si>
    <t>HSBC HOLDINGS PLC</t>
  </si>
  <si>
    <t>0,33</t>
  </si>
  <si>
    <t>7,64</t>
  </si>
  <si>
    <t>10.646.315</t>
  </si>
  <si>
    <t>81.286.407</t>
  </si>
  <si>
    <t>81.286.406,80</t>
  </si>
  <si>
    <t>GB0005405286</t>
  </si>
  <si>
    <t>London Stock Exchange</t>
  </si>
  <si>
    <t>Vereinigtes Königreich</t>
  </si>
  <si>
    <t>GBP</t>
  </si>
  <si>
    <t>EGS60041C018</t>
  </si>
  <si>
    <t>CRM</t>
  </si>
  <si>
    <t>SALESFORCE.COM INC</t>
  </si>
  <si>
    <t>180,20</t>
  </si>
  <si>
    <t>80.927.640</t>
  </si>
  <si>
    <t>80.927.639,80</t>
  </si>
  <si>
    <t>US79466L3024</t>
  </si>
  <si>
    <t>NGFCMB000005</t>
  </si>
  <si>
    <t>ABT</t>
  </si>
  <si>
    <t>ABBOTT LABORATORIES</t>
  </si>
  <si>
    <t>85,36</t>
  </si>
  <si>
    <t>80.041.389</t>
  </si>
  <si>
    <t>80.041.389,12</t>
  </si>
  <si>
    <t>US0028241000</t>
  </si>
  <si>
    <t>NGSEPLAT0008</t>
  </si>
  <si>
    <t>NFLX</t>
  </si>
  <si>
    <t>NETFLIX INC</t>
  </si>
  <si>
    <t>0,32</t>
  </si>
  <si>
    <t>329,05</t>
  </si>
  <si>
    <t>77.996.696</t>
  </si>
  <si>
    <t>77.996.695,80</t>
  </si>
  <si>
    <t>US64110L1061</t>
  </si>
  <si>
    <t>TG0000000132</t>
  </si>
  <si>
    <t>AMGN</t>
  </si>
  <si>
    <t>AMGEN INC</t>
  </si>
  <si>
    <t>238,26</t>
  </si>
  <si>
    <t>77.992.028</t>
  </si>
  <si>
    <t>77.992.028,40</t>
  </si>
  <si>
    <t>US0311621009</t>
  </si>
  <si>
    <t>ZW0009012122</t>
  </si>
  <si>
    <t>NVDA</t>
  </si>
  <si>
    <t>NVIDIA CORP</t>
  </si>
  <si>
    <t>0,31</t>
  </si>
  <si>
    <t>244,32</t>
  </si>
  <si>
    <t>75.923.906</t>
  </si>
  <si>
    <t>75.923.905,92</t>
  </si>
  <si>
    <t>US67066G1040</t>
  </si>
  <si>
    <t>KE0000000323</t>
  </si>
  <si>
    <t>SAP</t>
  </si>
  <si>
    <t>0,30</t>
  </si>
  <si>
    <t>137,54</t>
  </si>
  <si>
    <t>73.405.734</t>
  </si>
  <si>
    <t>73.405.733,86</t>
  </si>
  <si>
    <t>DE0007164600</t>
  </si>
  <si>
    <t>Xetra</t>
  </si>
  <si>
    <t>Deutschland</t>
  </si>
  <si>
    <t>EUR</t>
  </si>
  <si>
    <t>EGS305I1C011</t>
  </si>
  <si>
    <t>PM</t>
  </si>
  <si>
    <t>PHILIP MORRIS INTERNATIONAL INC</t>
  </si>
  <si>
    <t>87,46</t>
  </si>
  <si>
    <t>72.344.288</t>
  </si>
  <si>
    <t>72.344.288,20</t>
  </si>
  <si>
    <t>US7181721090</t>
  </si>
  <si>
    <t>NGTOTAL00001</t>
  </si>
  <si>
    <t>RDSA</t>
  </si>
  <si>
    <t>ROYAL DUTCH SHELL PLC</t>
  </si>
  <si>
    <t>0,29</t>
  </si>
  <si>
    <t>29,56</t>
  </si>
  <si>
    <t>2.422.918</t>
  </si>
  <si>
    <t>71.627.372</t>
  </si>
  <si>
    <t>71.627.372,24</t>
  </si>
  <si>
    <t>GB00B03MLX29</t>
  </si>
  <si>
    <t>CI0000000030</t>
  </si>
  <si>
    <t>AIA GROUP LTD</t>
  </si>
  <si>
    <t>11,07</t>
  </si>
  <si>
    <t>6.442.074</t>
  </si>
  <si>
    <t>71.333.908</t>
  </si>
  <si>
    <t>71.333.908,11</t>
  </si>
  <si>
    <t>HK0000069689</t>
  </si>
  <si>
    <t>Hong Kong Exchanges And Clearing Ltd</t>
  </si>
  <si>
    <t>Hongkong</t>
  </si>
  <si>
    <t>HKD</t>
  </si>
  <si>
    <t>EGS30031C016</t>
  </si>
  <si>
    <t>FP</t>
  </si>
  <si>
    <t>TOTAL SA</t>
  </si>
  <si>
    <t>55,33</t>
  </si>
  <si>
    <t>1.287.367</t>
  </si>
  <si>
    <t>71.228.162</t>
  </si>
  <si>
    <t>71.228.161,98</t>
  </si>
  <si>
    <t>FR0000120271</t>
  </si>
  <si>
    <t>Nyse Euronext - Euronext Paris</t>
  </si>
  <si>
    <t>Frankreich</t>
  </si>
  <si>
    <t>EGS30901C010</t>
  </si>
  <si>
    <t>AZN</t>
  </si>
  <si>
    <t>ASTRAZENECA PLC</t>
  </si>
  <si>
    <t>99,85</t>
  </si>
  <si>
    <t>70.726.993</t>
  </si>
  <si>
    <t>70.726.992,56</t>
  </si>
  <si>
    <t>GB0009895292</t>
  </si>
  <si>
    <t>EGS32221C011</t>
  </si>
  <si>
    <t>TMO</t>
  </si>
  <si>
    <t>THERMO FISHER SCIENTIFIC INC</t>
  </si>
  <si>
    <t>328,73</t>
  </si>
  <si>
    <t>70.489.903</t>
  </si>
  <si>
    <t>70.489.902,63</t>
  </si>
  <si>
    <t>US8835561023</t>
  </si>
  <si>
    <t>EGS33041C012</t>
  </si>
  <si>
    <t>ABBV</t>
  </si>
  <si>
    <t>ABBVIE INC</t>
  </si>
  <si>
    <t>89,06</t>
  </si>
  <si>
    <t>70.114.801</t>
  </si>
  <si>
    <t>70.114.800,56</t>
  </si>
  <si>
    <t>US00287Y1091</t>
  </si>
  <si>
    <t>EGS38081C013</t>
  </si>
  <si>
    <t>NKE</t>
  </si>
  <si>
    <t>NIKE INC CLASS B</t>
  </si>
  <si>
    <t>100,90</t>
  </si>
  <si>
    <t>69.738.448</t>
  </si>
  <si>
    <t>69.738.447,60</t>
  </si>
  <si>
    <t>US6541061031</t>
  </si>
  <si>
    <t>EGS380P1C010</t>
  </si>
  <si>
    <t>ACN</t>
  </si>
  <si>
    <t>ACCENTURE PLC CLASS A</t>
  </si>
  <si>
    <t>207,66</t>
  </si>
  <si>
    <t>69.723.714</t>
  </si>
  <si>
    <t>69.723.713,94</t>
  </si>
  <si>
    <t>IE00B4BNMY34</t>
  </si>
  <si>
    <t>EGS380S1C017</t>
  </si>
  <si>
    <t>HON</t>
  </si>
  <si>
    <t>HONEYWELL INTERNATIONAL INC</t>
  </si>
  <si>
    <t>178,68</t>
  </si>
  <si>
    <t>69.609.976</t>
  </si>
  <si>
    <t>69.609.975,72</t>
  </si>
  <si>
    <t>US4385161066</t>
  </si>
  <si>
    <t>EGS38201C017</t>
  </si>
  <si>
    <t>COST</t>
  </si>
  <si>
    <t>COSTCO WHOLESALE CORP</t>
  </si>
  <si>
    <t>297,24</t>
  </si>
  <si>
    <t>69.506.007</t>
  </si>
  <si>
    <t>69.506.007,12</t>
  </si>
  <si>
    <t>US22160K1051</t>
  </si>
  <si>
    <t>EGS38381C017</t>
  </si>
  <si>
    <t>MC</t>
  </si>
  <si>
    <t>LVMH</t>
  </si>
  <si>
    <t>470,82</t>
  </si>
  <si>
    <t>69.459.639</t>
  </si>
  <si>
    <t>69.459.638,61</t>
  </si>
  <si>
    <t>FR0000121014</t>
  </si>
  <si>
    <t>EGS3C0O1C016</t>
  </si>
  <si>
    <t>BP.</t>
  </si>
  <si>
    <t>BP PLC</t>
  </si>
  <si>
    <t>0,28</t>
  </si>
  <si>
    <t>6,47</t>
  </si>
  <si>
    <t>10.648.225</t>
  </si>
  <si>
    <t>68.874.983</t>
  </si>
  <si>
    <t>68.874.983,38</t>
  </si>
  <si>
    <t>GB0007980591</t>
  </si>
  <si>
    <t>EGS3C251C013</t>
  </si>
  <si>
    <t>ORCL</t>
  </si>
  <si>
    <t>ORACLE CORP</t>
  </si>
  <si>
    <t>54,45</t>
  </si>
  <si>
    <t>1.256.548</t>
  </si>
  <si>
    <t>68.419.039</t>
  </si>
  <si>
    <t>68.419.038,60</t>
  </si>
  <si>
    <t>US68389X1054</t>
  </si>
  <si>
    <t>EGS3D061C015</t>
  </si>
  <si>
    <t>ASML</t>
  </si>
  <si>
    <t>ASML HOLDING NV</t>
  </si>
  <si>
    <t>298,51</t>
  </si>
  <si>
    <t>67.636.379</t>
  </si>
  <si>
    <t>67.636.379,36</t>
  </si>
  <si>
    <t>NL0010273215</t>
  </si>
  <si>
    <t>Euronext Amsterdam</t>
  </si>
  <si>
    <t>Niederlande</t>
  </si>
  <si>
    <t>EGS3G0Z1C014</t>
  </si>
  <si>
    <t>UNP</t>
  </si>
  <si>
    <t>UNION PACIFIC CORP</t>
  </si>
  <si>
    <t>177,94</t>
  </si>
  <si>
    <t>67.399.757</t>
  </si>
  <si>
    <t>67.399.757,32</t>
  </si>
  <si>
    <t>US9078181081</t>
  </si>
  <si>
    <t>EGS42111C012</t>
  </si>
  <si>
    <t>PYPL</t>
  </si>
  <si>
    <t>PAYPAL HOLDINGS INC</t>
  </si>
  <si>
    <t>0,27</t>
  </si>
  <si>
    <t>112,93</t>
  </si>
  <si>
    <t>66.427.233</t>
  </si>
  <si>
    <t>66.427.232,88</t>
  </si>
  <si>
    <t>US70450Y1038</t>
  </si>
  <si>
    <t>EGS48031C016</t>
  </si>
  <si>
    <t>UTX</t>
  </si>
  <si>
    <t>UNITED TECHNOLOGIES CORP</t>
  </si>
  <si>
    <t>151,86</t>
  </si>
  <si>
    <t>66.281.271</t>
  </si>
  <si>
    <t>66.281.271,18</t>
  </si>
  <si>
    <t>US9130171096</t>
  </si>
  <si>
    <t>EGS60111C019</t>
  </si>
  <si>
    <t>TXN</t>
  </si>
  <si>
    <t>TEXAS INSTRUMENT INC</t>
  </si>
  <si>
    <t>130,00</t>
  </si>
  <si>
    <t>65.876.200</t>
  </si>
  <si>
    <t>65.876.200,00</t>
  </si>
  <si>
    <t>US8825081040</t>
  </si>
  <si>
    <t>EGS60301C016</t>
  </si>
  <si>
    <t>LLY</t>
  </si>
  <si>
    <t>ELI LILLY</t>
  </si>
  <si>
    <t>138,00</t>
  </si>
  <si>
    <t>65.610.444</t>
  </si>
  <si>
    <t>65.610.444,00</t>
  </si>
  <si>
    <t>US5324571083</t>
  </si>
  <si>
    <t>EGS65571C019</t>
  </si>
  <si>
    <t>IBM</t>
  </si>
  <si>
    <t>INTERNATIONAL BUSINESS MACHINES CO</t>
  </si>
  <si>
    <t>136,69</t>
  </si>
  <si>
    <t>65.233.389</t>
  </si>
  <si>
    <t>65.233.388,84</t>
  </si>
  <si>
    <t>US4592001014</t>
  </si>
  <si>
    <t>EGS65591C017</t>
  </si>
  <si>
    <t>NEE</t>
  </si>
  <si>
    <t>NEXTERA ENERGY INC</t>
  </si>
  <si>
    <t>0,26</t>
  </si>
  <si>
    <t>243,55</t>
  </si>
  <si>
    <t>64.140.841</t>
  </si>
  <si>
    <t>64.140.840,90</t>
  </si>
  <si>
    <t>Versorger</t>
  </si>
  <si>
    <t>US65339F1012</t>
  </si>
  <si>
    <t>EGS655L1C012</t>
  </si>
  <si>
    <t>AVGO</t>
  </si>
  <si>
    <t>BROADCOM INC</t>
  </si>
  <si>
    <t>299,22</t>
  </si>
  <si>
    <t>63.922.967</t>
  </si>
  <si>
    <t>63.922.967,04</t>
  </si>
  <si>
    <t>US11135F1012</t>
  </si>
  <si>
    <t>EGS65851C015</t>
  </si>
  <si>
    <t>GSK</t>
  </si>
  <si>
    <t>GLAXOSMITHKLINE PLC</t>
  </si>
  <si>
    <t>23,47</t>
  </si>
  <si>
    <t>2.681.654</t>
  </si>
  <si>
    <t>62.951.674</t>
  </si>
  <si>
    <t>62.951.673,99</t>
  </si>
  <si>
    <t>GB0009252882</t>
  </si>
  <si>
    <t>EGS673T1C012</t>
  </si>
  <si>
    <t>SAN</t>
  </si>
  <si>
    <t>SANOFI SA</t>
  </si>
  <si>
    <t>103,04</t>
  </si>
  <si>
    <t>62.830.172</t>
  </si>
  <si>
    <t>62.830.172,34</t>
  </si>
  <si>
    <t>FR0000120578</t>
  </si>
  <si>
    <t>EGS673Y1C015</t>
  </si>
  <si>
    <t>RY</t>
  </si>
  <si>
    <t>ROYAL BANK OF CANADA</t>
  </si>
  <si>
    <t>79,91</t>
  </si>
  <si>
    <t>62.470.038</t>
  </si>
  <si>
    <t>62.470.038,08</t>
  </si>
  <si>
    <t>CA7800871021</t>
  </si>
  <si>
    <t>Toronto Stock Exchange</t>
  </si>
  <si>
    <t>Kanada</t>
  </si>
  <si>
    <t>CAD</t>
  </si>
  <si>
    <t>EGS675S1C011</t>
  </si>
  <si>
    <t>LIN</t>
  </si>
  <si>
    <t>LINDE PLC</t>
  </si>
  <si>
    <t>209,08</t>
  </si>
  <si>
    <t>62.438.815</t>
  </si>
  <si>
    <t>62.438.814,88</t>
  </si>
  <si>
    <t>Materialien</t>
  </si>
  <si>
    <t>IE00BZ12WP82</t>
  </si>
  <si>
    <t>EGS69082C013</t>
  </si>
  <si>
    <t>RDSB</t>
  </si>
  <si>
    <t>ROYAL DUTCH SHELL PLC CLASS B</t>
  </si>
  <si>
    <t>0,25</t>
  </si>
  <si>
    <t>29,65</t>
  </si>
  <si>
    <t>2.022.543</t>
  </si>
  <si>
    <t>59.963.010</t>
  </si>
  <si>
    <t>59.963.009,87</t>
  </si>
  <si>
    <t>GB00B03MM408</t>
  </si>
  <si>
    <t>EGS69101C011</t>
  </si>
  <si>
    <t>SBUX</t>
  </si>
  <si>
    <t>STARBUCKS CORP</t>
  </si>
  <si>
    <t>0,24</t>
  </si>
  <si>
    <t>90,16</t>
  </si>
  <si>
    <t>59.561.680</t>
  </si>
  <si>
    <t>59.561.679,52</t>
  </si>
  <si>
    <t>US8552441094</t>
  </si>
  <si>
    <t>EGS691L1C018</t>
  </si>
  <si>
    <t>USD CASH</t>
  </si>
  <si>
    <t>Geldmarkt</t>
  </si>
  <si>
    <t>100,00</t>
  </si>
  <si>
    <t>58.837.407</t>
  </si>
  <si>
    <t>58.837.407,35</t>
  </si>
  <si>
    <t>Cash und/oder Derivate</t>
  </si>
  <si>
    <t>-</t>
  </si>
  <si>
    <t>EGS693V1C014</t>
  </si>
  <si>
    <t>NOVO B</t>
  </si>
  <si>
    <t>NOVO NORDISK CLASS B</t>
  </si>
  <si>
    <t>59,08</t>
  </si>
  <si>
    <t>58.599.113</t>
  </si>
  <si>
    <t>58.599.113,39</t>
  </si>
  <si>
    <t>DK0060534915</t>
  </si>
  <si>
    <t>Omx Nordic Exchange Copenhagen A/S</t>
  </si>
  <si>
    <t>Dänemark</t>
  </si>
  <si>
    <t>DKK</t>
  </si>
  <si>
    <t>EGS694A1C018</t>
  </si>
  <si>
    <t>QCOM</t>
  </si>
  <si>
    <t>QUALCOMM INC</t>
  </si>
  <si>
    <t>90,26</t>
  </si>
  <si>
    <t>58.288.915</t>
  </si>
  <si>
    <t>58.288.915,14</t>
  </si>
  <si>
    <t>US7475251036</t>
  </si>
  <si>
    <t>EGS70431C019</t>
  </si>
  <si>
    <t>LMT</t>
  </si>
  <si>
    <t>LOCKHEED MARTIN CORP</t>
  </si>
  <si>
    <t>0,23</t>
  </si>
  <si>
    <t>413,83</t>
  </si>
  <si>
    <t>56.625.600</t>
  </si>
  <si>
    <t>56.625.600,39</t>
  </si>
  <si>
    <t>US5398301094</t>
  </si>
  <si>
    <t>EGS73541C012</t>
  </si>
  <si>
    <t>ALV</t>
  </si>
  <si>
    <t>ALLIANZ</t>
  </si>
  <si>
    <t>244,77</t>
  </si>
  <si>
    <t>55.662.043</t>
  </si>
  <si>
    <t>55.662.042,82</t>
  </si>
  <si>
    <t>DE0008404005</t>
  </si>
  <si>
    <t>EGS95001C011</t>
  </si>
  <si>
    <t>MMM</t>
  </si>
  <si>
    <t>3M</t>
  </si>
  <si>
    <t>180,47</t>
  </si>
  <si>
    <t>55.277.420</t>
  </si>
  <si>
    <t>55.277.419,59</t>
  </si>
  <si>
    <t>US88579Y1010</t>
  </si>
  <si>
    <t>KE0000000216</t>
  </si>
  <si>
    <t>AMT</t>
  </si>
  <si>
    <t>AMERICAN TOWER REIT CORP</t>
  </si>
  <si>
    <t>230,80</t>
  </si>
  <si>
    <t>55.121.733</t>
  </si>
  <si>
    <t>55.121.733,20</t>
  </si>
  <si>
    <t>Immobilien</t>
  </si>
  <si>
    <t>US03027X1000</t>
  </si>
  <si>
    <t>KE0000000265</t>
  </si>
  <si>
    <t>BATS</t>
  </si>
  <si>
    <t>BRITISH AMERICAN TOBACCO PLC</t>
  </si>
  <si>
    <t>0,22</t>
  </si>
  <si>
    <t>45,48</t>
  </si>
  <si>
    <t>1.202.656</t>
  </si>
  <si>
    <t>54.692.779</t>
  </si>
  <si>
    <t>54.692.779,21</t>
  </si>
  <si>
    <t>GB0002875804</t>
  </si>
  <si>
    <t>KE0000000554</t>
  </si>
  <si>
    <t>DGE</t>
  </si>
  <si>
    <t>DIAGEO PLC</t>
  </si>
  <si>
    <t>42,38</t>
  </si>
  <si>
    <t>1.288.328</t>
  </si>
  <si>
    <t>54.601.044</t>
  </si>
  <si>
    <t>54.601.044,45</t>
  </si>
  <si>
    <t>GB0002374006</t>
  </si>
  <si>
    <t>KE2000002192</t>
  </si>
  <si>
    <t>GE</t>
  </si>
  <si>
    <t>GENERAL ELECTRIC</t>
  </si>
  <si>
    <t>11,67</t>
  </si>
  <si>
    <t>4.634.853</t>
  </si>
  <si>
    <t>54.088.735</t>
  </si>
  <si>
    <t>54.088.734,51</t>
  </si>
  <si>
    <t>US3696041033</t>
  </si>
  <si>
    <t>MA0000010019</t>
  </si>
  <si>
    <t>TD</t>
  </si>
  <si>
    <t>TORONTO DOMINION</t>
  </si>
  <si>
    <t>55,93</t>
  </si>
  <si>
    <t>53.968.486</t>
  </si>
  <si>
    <t>53.968.486,38</t>
  </si>
  <si>
    <t>CA8911605092</t>
  </si>
  <si>
    <t>MA0000010365</t>
  </si>
  <si>
    <t>CBA</t>
  </si>
  <si>
    <t>COMMONWEALTH BANK OF AUSTRALIA</t>
  </si>
  <si>
    <t>56,97</t>
  </si>
  <si>
    <t>53.776.787</t>
  </si>
  <si>
    <t>53.776.786,69</t>
  </si>
  <si>
    <t>AU000000CBA7</t>
  </si>
  <si>
    <t>Asx - All Markets</t>
  </si>
  <si>
    <t>Australien</t>
  </si>
  <si>
    <t>AUD</t>
  </si>
  <si>
    <t>MA0000010506</t>
  </si>
  <si>
    <t>CSL</t>
  </si>
  <si>
    <t>CSL LTD</t>
  </si>
  <si>
    <t>206,68</t>
  </si>
  <si>
    <t>53.766.775</t>
  </si>
  <si>
    <t>53.766.775,37</t>
  </si>
  <si>
    <t>AU000000CSL8</t>
  </si>
  <si>
    <t>MA0000010928</t>
  </si>
  <si>
    <t>DHR</t>
  </si>
  <si>
    <t>DANAHER CORP</t>
  </si>
  <si>
    <t>158,12</t>
  </si>
  <si>
    <t>53.683.954</t>
  </si>
  <si>
    <t>53.683.953,68</t>
  </si>
  <si>
    <t>US2358511028</t>
  </si>
  <si>
    <t>MA0000011058</t>
  </si>
  <si>
    <t>SIE</t>
  </si>
  <si>
    <t>SIEMENS N AG</t>
  </si>
  <si>
    <t>128,92</t>
  </si>
  <si>
    <t>53.009.088</t>
  </si>
  <si>
    <t>53.009.087,84</t>
  </si>
  <si>
    <t>DE0007236101</t>
  </si>
  <si>
    <t>MA0000011454</t>
  </si>
  <si>
    <t>LOW</t>
  </si>
  <si>
    <t>LOWES COMPANIES INC</t>
  </si>
  <si>
    <t>0,21</t>
  </si>
  <si>
    <t>121,00</t>
  </si>
  <si>
    <t>51.394.871</t>
  </si>
  <si>
    <t>51.394.871,00</t>
  </si>
  <si>
    <t>US5486611073</t>
  </si>
  <si>
    <t>MA0000011488</t>
  </si>
  <si>
    <t>SONY CORP</t>
  </si>
  <si>
    <t>71,59</t>
  </si>
  <si>
    <t>50.568.451</t>
  </si>
  <si>
    <t>50.568.451,20</t>
  </si>
  <si>
    <t>JP3435000009</t>
  </si>
  <si>
    <t>MA0000011512</t>
  </si>
  <si>
    <t>CVS</t>
  </si>
  <si>
    <t>CVS HEALTH CORP</t>
  </si>
  <si>
    <t>72,11</t>
  </si>
  <si>
    <t>50.501.878</t>
  </si>
  <si>
    <t>50.501.877,95</t>
  </si>
  <si>
    <t>US1266501006</t>
  </si>
  <si>
    <t>MA0000011793</t>
  </si>
  <si>
    <t>MO</t>
  </si>
  <si>
    <t>ALTRIA GROUP INC</t>
  </si>
  <si>
    <t>0,20</t>
  </si>
  <si>
    <t>50,22</t>
  </si>
  <si>
    <t>49.773.896</t>
  </si>
  <si>
    <t>49.773.895,74</t>
  </si>
  <si>
    <t>US02209S1033</t>
  </si>
  <si>
    <t>MA0000011801</t>
  </si>
  <si>
    <t>AXP</t>
  </si>
  <si>
    <t>AMERICAN EXPRESS</t>
  </si>
  <si>
    <t>127,28</t>
  </si>
  <si>
    <t>49.653.455</t>
  </si>
  <si>
    <t>49.653.455,36</t>
  </si>
  <si>
    <t>US0258161092</t>
  </si>
  <si>
    <t>MA0000011819</t>
  </si>
  <si>
    <t>BKNG</t>
  </si>
  <si>
    <t>BOOKING HOLDINGS INC</t>
  </si>
  <si>
    <t>2.086,90</t>
  </si>
  <si>
    <t>48.196.956</t>
  </si>
  <si>
    <t>48.196.955,50</t>
  </si>
  <si>
    <t>US09857L1089</t>
  </si>
  <si>
    <t>MA0000011835</t>
  </si>
  <si>
    <t>AIR</t>
  </si>
  <si>
    <t>AIRBUS GROUP</t>
  </si>
  <si>
    <t>0,19</t>
  </si>
  <si>
    <t>149,39</t>
  </si>
  <si>
    <t>46.937.754</t>
  </si>
  <si>
    <t>46.937.754,36</t>
  </si>
  <si>
    <t>NL0000235190</t>
  </si>
  <si>
    <t>MA0000011884</t>
  </si>
  <si>
    <t>USB</t>
  </si>
  <si>
    <t>US BANCORP</t>
  </si>
  <si>
    <t>56,67</t>
  </si>
  <si>
    <t>46.284.316</t>
  </si>
  <si>
    <t>46.284.315,78</t>
  </si>
  <si>
    <t>US9029733048</t>
  </si>
  <si>
    <t>MA0000011926</t>
  </si>
  <si>
    <t>FIS</t>
  </si>
  <si>
    <t>FIDELITY NATIONAL INFORMATION SERV</t>
  </si>
  <si>
    <t>141,94</t>
  </si>
  <si>
    <t>45.986.289</t>
  </si>
  <si>
    <t>45.986.288,96</t>
  </si>
  <si>
    <t>US31620M1062</t>
  </si>
  <si>
    <t>MA0000012007</t>
  </si>
  <si>
    <t>GILD</t>
  </si>
  <si>
    <t>GILEAD SCIENCES INC</t>
  </si>
  <si>
    <t>0,18</t>
  </si>
  <si>
    <t>65,03</t>
  </si>
  <si>
    <t>44.618.254</t>
  </si>
  <si>
    <t>44.618.253,54</t>
  </si>
  <si>
    <t>US3755581036</t>
  </si>
  <si>
    <t>MA0000012031</t>
  </si>
  <si>
    <t>CAT</t>
  </si>
  <si>
    <t>CATERPILLAR INC</t>
  </si>
  <si>
    <t>146,13</t>
  </si>
  <si>
    <t>44.492.932</t>
  </si>
  <si>
    <t>44.492.931,75</t>
  </si>
  <si>
    <t>US1491231015</t>
  </si>
  <si>
    <t>MA0000012205</t>
  </si>
  <si>
    <t>CHTR</t>
  </si>
  <si>
    <t>CHARTER COMMUNICATIONS INC CLASS A</t>
  </si>
  <si>
    <t>505,03</t>
  </si>
  <si>
    <t>43.717.417</t>
  </si>
  <si>
    <t>43.717.416,92</t>
  </si>
  <si>
    <t>US16119P1084</t>
  </si>
  <si>
    <t>MA0000012239</t>
  </si>
  <si>
    <t>UPS</t>
  </si>
  <si>
    <t>UNITED PARCEL SERVICE INC CLASS B</t>
  </si>
  <si>
    <t>115,87</t>
  </si>
  <si>
    <t>42.999.357</t>
  </si>
  <si>
    <t>42.999.357,00</t>
  </si>
  <si>
    <t>US9113121068</t>
  </si>
  <si>
    <t>MA0000012247</t>
  </si>
  <si>
    <t>ENB</t>
  </si>
  <si>
    <t>ENBRIDGE INC</t>
  </si>
  <si>
    <t>39,97</t>
  </si>
  <si>
    <t>1.075.656</t>
  </si>
  <si>
    <t>42.996.570</t>
  </si>
  <si>
    <t>42.996.570,14</t>
  </si>
  <si>
    <t>CA29250N1050</t>
  </si>
  <si>
    <t>MA0000012262</t>
  </si>
  <si>
    <t>UNA</t>
  </si>
  <si>
    <t>UNILEVER NV</t>
  </si>
  <si>
    <t>55,90</t>
  </si>
  <si>
    <t>42.875.882</t>
  </si>
  <si>
    <t>42.875.882,33</t>
  </si>
  <si>
    <t>NL0000388619</t>
  </si>
  <si>
    <t>MA0000012312</t>
  </si>
  <si>
    <t>BHP</t>
  </si>
  <si>
    <t>BHP GROUP LTD</t>
  </si>
  <si>
    <t>27,55</t>
  </si>
  <si>
    <t>1.550.585</t>
  </si>
  <si>
    <t>42.723.183</t>
  </si>
  <si>
    <t>42.723.183,22</t>
  </si>
  <si>
    <t>AU000000BHP4</t>
  </si>
  <si>
    <t>MA0000012320</t>
  </si>
  <si>
    <t>CI</t>
  </si>
  <si>
    <t>CIGNA CORP</t>
  </si>
  <si>
    <t>0,17</t>
  </si>
  <si>
    <t>210,28</t>
  </si>
  <si>
    <t>42.012.893</t>
  </si>
  <si>
    <t>42.012.892,60</t>
  </si>
  <si>
    <t>US1255231003</t>
  </si>
  <si>
    <t>MU0071I00004</t>
  </si>
  <si>
    <t>MDLZ</t>
  </si>
  <si>
    <t>MONDELEZ INTERNATIONAL INC CLASS A</t>
  </si>
  <si>
    <t>54,25</t>
  </si>
  <si>
    <t>41.935.901</t>
  </si>
  <si>
    <t>41.935.901,00</t>
  </si>
  <si>
    <t>US6092071058</t>
  </si>
  <si>
    <t>MU0424N00005</t>
  </si>
  <si>
    <t>ANTM</t>
  </si>
  <si>
    <t>ANTHEM INC</t>
  </si>
  <si>
    <t>307,74</t>
  </si>
  <si>
    <t>41.635.991</t>
  </si>
  <si>
    <t>41.635.991,04</t>
  </si>
  <si>
    <t>US0367521038</t>
  </si>
  <si>
    <t>MU0443N00005</t>
  </si>
  <si>
    <t>TFC</t>
  </si>
  <si>
    <t>TRUIST FINANCIAL CORP</t>
  </si>
  <si>
    <t>55,96</t>
  </si>
  <si>
    <t>41.234.686</t>
  </si>
  <si>
    <t>41.234.685,60</t>
  </si>
  <si>
    <t>US89832Q1094</t>
  </si>
  <si>
    <t>NGAP00000004</t>
  </si>
  <si>
    <t>BAYN</t>
  </si>
  <si>
    <t>BAYER AG</t>
  </si>
  <si>
    <t>83,75</t>
  </si>
  <si>
    <t>41.129.611</t>
  </si>
  <si>
    <t>41.129.611,10</t>
  </si>
  <si>
    <t>DE000BAY0017</t>
  </si>
  <si>
    <t>NGFLOURMILL0</t>
  </si>
  <si>
    <t>GS</t>
  </si>
  <si>
    <t>GOLDMAN SACHS GROUP INC</t>
  </si>
  <si>
    <t>242,11</t>
  </si>
  <si>
    <t>41.005.686</t>
  </si>
  <si>
    <t>41.005.686,48</t>
  </si>
  <si>
    <t>US38141G1040</t>
  </si>
  <si>
    <t>NGNB00000005</t>
  </si>
  <si>
    <t>TJX</t>
  </si>
  <si>
    <t>TJX INC</t>
  </si>
  <si>
    <t>62,34</t>
  </si>
  <si>
    <t>40.879.081</t>
  </si>
  <si>
    <t>40.879.080,96</t>
  </si>
  <si>
    <t>US8725401090</t>
  </si>
  <si>
    <t>NGOANDO00002</t>
  </si>
  <si>
    <t>BDX</t>
  </si>
  <si>
    <t>BECTON DICKINSON</t>
  </si>
  <si>
    <t>0,16</t>
  </si>
  <si>
    <t>274,46</t>
  </si>
  <si>
    <t>39.948.751</t>
  </si>
  <si>
    <t>39.948.750,84</t>
  </si>
  <si>
    <t>US0758871091</t>
  </si>
  <si>
    <t>NGSTANBIC003</t>
  </si>
  <si>
    <t>CME</t>
  </si>
  <si>
    <t>CME GROUP INC CLASS A</t>
  </si>
  <si>
    <t>205,09</t>
  </si>
  <si>
    <t>39.932.254</t>
  </si>
  <si>
    <t>39.932.253,54</t>
  </si>
  <si>
    <t>US12572Q1058</t>
  </si>
  <si>
    <t>NGTRANSCORP7</t>
  </si>
  <si>
    <t>SOFTBANK GROUP CORP</t>
  </si>
  <si>
    <t>44,52</t>
  </si>
  <si>
    <t>39.635.843</t>
  </si>
  <si>
    <t>39.635.842,61</t>
  </si>
  <si>
    <t>JP3436100006</t>
  </si>
  <si>
    <t>NGUBA0000001</t>
  </si>
  <si>
    <t>COP</t>
  </si>
  <si>
    <t>CONOCOPHILLIPS</t>
  </si>
  <si>
    <t>65,42</t>
  </si>
  <si>
    <t>39.474.624</t>
  </si>
  <si>
    <t>39.474.624,26</t>
  </si>
  <si>
    <t>US20825C1045</t>
  </si>
  <si>
    <t>TN0007400013</t>
  </si>
  <si>
    <t>PNC</t>
  </si>
  <si>
    <t>PNC FINANCIAL SERVICES GROUP INC</t>
  </si>
  <si>
    <t>158,57</t>
  </si>
  <si>
    <t>39.226.095</t>
  </si>
  <si>
    <t>39.226.095,18</t>
  </si>
  <si>
    <t>US6934751057</t>
  </si>
  <si>
    <t>TN0007570013</t>
  </si>
  <si>
    <t>ADP</t>
  </si>
  <si>
    <t>AUTOMATIC DATA PROCESSING INC</t>
  </si>
  <si>
    <t>171,09</t>
  </si>
  <si>
    <t>39.002.874</t>
  </si>
  <si>
    <t>39.002.874,03</t>
  </si>
  <si>
    <t>US0530151036</t>
  </si>
  <si>
    <t>TN0007610017</t>
  </si>
  <si>
    <t>OR</t>
  </si>
  <si>
    <t>LOREAL SA</t>
  </si>
  <si>
    <t>293,28</t>
  </si>
  <si>
    <t>38.681.687</t>
  </si>
  <si>
    <t>38.681.686,89</t>
  </si>
  <si>
    <t>FR0000120321</t>
  </si>
  <si>
    <t>TZ1996100016</t>
  </si>
  <si>
    <t>SPGI</t>
  </si>
  <si>
    <t>S&amp;P GLOBAL INC</t>
  </si>
  <si>
    <t>288,94</t>
  </si>
  <si>
    <t>38.313.444</t>
  </si>
  <si>
    <t>38.313.444,00</t>
  </si>
  <si>
    <t>US78409V1044</t>
  </si>
  <si>
    <t>ZM0000000250</t>
  </si>
  <si>
    <t>INTU</t>
  </si>
  <si>
    <t>INTUIT INC</t>
  </si>
  <si>
    <t>275,25</t>
  </si>
  <si>
    <t>38.291.129</t>
  </si>
  <si>
    <t>38.291.128,50</t>
  </si>
  <si>
    <t>US4612021034</t>
  </si>
  <si>
    <t>CILI</t>
  </si>
  <si>
    <t>SYK</t>
  </si>
  <si>
    <t>STRYKER CORP</t>
  </si>
  <si>
    <t>0,15</t>
  </si>
  <si>
    <t>209,65</t>
  </si>
  <si>
    <t>37.646.012</t>
  </si>
  <si>
    <t>37.646.011,90</t>
  </si>
  <si>
    <t>US8636671013</t>
  </si>
  <si>
    <t>ISRG</t>
  </si>
  <si>
    <t>INTUITIVE SURGICAL INC</t>
  </si>
  <si>
    <t>598,72</t>
  </si>
  <si>
    <t>37.611.590</t>
  </si>
  <si>
    <t>37.611.590,40</t>
  </si>
  <si>
    <t>US46120E6023</t>
  </si>
  <si>
    <t>FISV</t>
  </si>
  <si>
    <t>FISERV INC</t>
  </si>
  <si>
    <t>117,13</t>
  </si>
  <si>
    <t>37.403.943</t>
  </si>
  <si>
    <t>37.403.942,81</t>
  </si>
  <si>
    <t>US3377381088</t>
  </si>
  <si>
    <t>ENEL</t>
  </si>
  <si>
    <t>8,24</t>
  </si>
  <si>
    <t>4.533.317</t>
  </si>
  <si>
    <t>37.367.601</t>
  </si>
  <si>
    <t>37.367.601,41</t>
  </si>
  <si>
    <t>IT0003128367</t>
  </si>
  <si>
    <t>Borsa Italiana</t>
  </si>
  <si>
    <t>Italien</t>
  </si>
  <si>
    <t>HWAY23</t>
  </si>
  <si>
    <t>CNR</t>
  </si>
  <si>
    <t>CANADIAN NATIONAL RAILWAY</t>
  </si>
  <si>
    <t>91,96</t>
  </si>
  <si>
    <t>37.201.740</t>
  </si>
  <si>
    <t>37.201.740,00</t>
  </si>
  <si>
    <t>CA1363751027</t>
  </si>
  <si>
    <t>EL28</t>
  </si>
  <si>
    <t>RIO</t>
  </si>
  <si>
    <t>RIO TINTO PLC</t>
  </si>
  <si>
    <t>58,62</t>
  </si>
  <si>
    <t>37.064.296</t>
  </si>
  <si>
    <t>37.064.295,68</t>
  </si>
  <si>
    <t>GB0007188757</t>
  </si>
  <si>
    <t>SBSI11</t>
  </si>
  <si>
    <t>BNS</t>
  </si>
  <si>
    <t>BANK OF NOVA SCOTIA</t>
  </si>
  <si>
    <t>55,16</t>
  </si>
  <si>
    <t>36.936.389</t>
  </si>
  <si>
    <t>36.936.388,60</t>
  </si>
  <si>
    <t>CA0641491075</t>
  </si>
  <si>
    <t>I2038</t>
  </si>
  <si>
    <t>CB</t>
  </si>
  <si>
    <t>CHUBB LTD</t>
  </si>
  <si>
    <t>150,99</t>
  </si>
  <si>
    <t>36.794.451</t>
  </si>
  <si>
    <t>36.794.451,12</t>
  </si>
  <si>
    <t>CH0044328745</t>
  </si>
  <si>
    <t>I2050</t>
  </si>
  <si>
    <t>BANCO SANTANDER SA</t>
  </si>
  <si>
    <t>4,13</t>
  </si>
  <si>
    <t>8.696.543</t>
  </si>
  <si>
    <t>35.929.277</t>
  </si>
  <si>
    <t>35.929.277,14</t>
  </si>
  <si>
    <t>ES0113900J37</t>
  </si>
  <si>
    <t>Bolsa De Madrid</t>
  </si>
  <si>
    <t>Spanien</t>
  </si>
  <si>
    <t>I2025</t>
  </si>
  <si>
    <t>AI</t>
  </si>
  <si>
    <t>AIR LIQUIDE SA</t>
  </si>
  <si>
    <t>139,81</t>
  </si>
  <si>
    <t>35.833.446</t>
  </si>
  <si>
    <t>35.833.445,87</t>
  </si>
  <si>
    <t>FR0000120073</t>
  </si>
  <si>
    <t>FRBI23</t>
  </si>
  <si>
    <t>TSLA</t>
  </si>
  <si>
    <t>TESLA INC</t>
  </si>
  <si>
    <t>478,15</t>
  </si>
  <si>
    <t>35.641.301</t>
  </si>
  <si>
    <t>35.641.301,00</t>
  </si>
  <si>
    <t>US88160R1014</t>
  </si>
  <si>
    <t>FRBI28</t>
  </si>
  <si>
    <t>D</t>
  </si>
  <si>
    <t>DOMINION ENERGY INC</t>
  </si>
  <si>
    <t>82,07</t>
  </si>
  <si>
    <t>35.346.728</t>
  </si>
  <si>
    <t>35.346.728,30</t>
  </si>
  <si>
    <t>US25746U1097</t>
  </si>
  <si>
    <t>I2046</t>
  </si>
  <si>
    <t>DUK</t>
  </si>
  <si>
    <t>DUKE ENERGY CORP</t>
  </si>
  <si>
    <t>90,44</t>
  </si>
  <si>
    <t>35.334.004</t>
  </si>
  <si>
    <t>35.334.003,60</t>
  </si>
  <si>
    <t>US26441C2044</t>
  </si>
  <si>
    <t>I2033</t>
  </si>
  <si>
    <t>BAS</t>
  </si>
  <si>
    <t>BASF N</t>
  </si>
  <si>
    <t>73,16</t>
  </si>
  <si>
    <t>35.307.757</t>
  </si>
  <si>
    <t>35.307.756,72</t>
  </si>
  <si>
    <t>DE000BASF111</t>
  </si>
  <si>
    <t>I2029</t>
  </si>
  <si>
    <t>SO</t>
  </si>
  <si>
    <t>SOUTHERN</t>
  </si>
  <si>
    <t>0,14</t>
  </si>
  <si>
    <t>63,66</t>
  </si>
  <si>
    <t>34.962.136</t>
  </si>
  <si>
    <t>34.962.135,66</t>
  </si>
  <si>
    <t>US8425871071</t>
  </si>
  <si>
    <t>CSI300</t>
  </si>
  <si>
    <t>MITSUBISHI UFJ FINANCIAL GROUP INC</t>
  </si>
  <si>
    <t>5,28</t>
  </si>
  <si>
    <t>6.623.336</t>
  </si>
  <si>
    <t>34.954.480</t>
  </si>
  <si>
    <t>34.954.480,42</t>
  </si>
  <si>
    <t>JP3902900004</t>
  </si>
  <si>
    <t>BNP</t>
  </si>
  <si>
    <t>BNP PARIBAS SA</t>
  </si>
  <si>
    <t>57,97</t>
  </si>
  <si>
    <t>34.924.512</t>
  </si>
  <si>
    <t>34.924.512,31</t>
  </si>
  <si>
    <t>FR0000131104</t>
  </si>
  <si>
    <t>RTN</t>
  </si>
  <si>
    <t>RAYTHEON</t>
  </si>
  <si>
    <t>226,48</t>
  </si>
  <si>
    <t>34.769.663</t>
  </si>
  <si>
    <t>34.769.662,56</t>
  </si>
  <si>
    <t>US7551115071</t>
  </si>
  <si>
    <t>MS</t>
  </si>
  <si>
    <t>MORGAN STANLEY</t>
  </si>
  <si>
    <t>52,21</t>
  </si>
  <si>
    <t>34.431.868</t>
  </si>
  <si>
    <t>34.431.868,48</t>
  </si>
  <si>
    <t>US6174464486</t>
  </si>
  <si>
    <t>TGT</t>
  </si>
  <si>
    <t>TARGET CORP</t>
  </si>
  <si>
    <t>124,73</t>
  </si>
  <si>
    <t>34.361.244</t>
  </si>
  <si>
    <t>34.361.244,05</t>
  </si>
  <si>
    <t>US87612E1064</t>
  </si>
  <si>
    <t>ZTS</t>
  </si>
  <si>
    <t>ZOETIS INC CLASS A</t>
  </si>
  <si>
    <t>135,57</t>
  </si>
  <si>
    <t>34.271.960</t>
  </si>
  <si>
    <t>34.271.960,43</t>
  </si>
  <si>
    <t>US98978V1035</t>
  </si>
  <si>
    <t>BSX</t>
  </si>
  <si>
    <t>BOSTON SCIENTIFIC CORP</t>
  </si>
  <si>
    <t>45,67</t>
  </si>
  <si>
    <t>34.185.411</t>
  </si>
  <si>
    <t>34.185.410,77</t>
  </si>
  <si>
    <t>US1011371077</t>
  </si>
  <si>
    <t>KEYENCE CORP</t>
  </si>
  <si>
    <t>363,09</t>
  </si>
  <si>
    <t>34.168.101</t>
  </si>
  <si>
    <t>34.168.100,77</t>
  </si>
  <si>
    <t>JP3236200006</t>
  </si>
  <si>
    <t>ZURN</t>
  </si>
  <si>
    <t>ZURICH INSURANCE GROUP AG</t>
  </si>
  <si>
    <t>411,30</t>
  </si>
  <si>
    <t>34.154.135</t>
  </si>
  <si>
    <t>34.154.134,81</t>
  </si>
  <si>
    <t>CH0011075394</t>
  </si>
  <si>
    <t>MU</t>
  </si>
  <si>
    <t>MICRON TECHNOLOGY INC</t>
  </si>
  <si>
    <t>33.968.168</t>
  </si>
  <si>
    <t>33.968.168,01</t>
  </si>
  <si>
    <t>US5951121038</t>
  </si>
  <si>
    <t>ABI</t>
  </si>
  <si>
    <t>ANHEUSER BUSCH INBEV NV</t>
  </si>
  <si>
    <t>81,83</t>
  </si>
  <si>
    <t>33.898.276</t>
  </si>
  <si>
    <t>33.898.275,64</t>
  </si>
  <si>
    <t>BE0974293251</t>
  </si>
  <si>
    <t>Nyse Euronext - Euronext Brussels</t>
  </si>
  <si>
    <t>Belgien</t>
  </si>
  <si>
    <t>ICSUAGD</t>
  </si>
  <si>
    <t>BLK ICS USD LIQ AGENCY DIS</t>
  </si>
  <si>
    <t>1,00</t>
  </si>
  <si>
    <t>33.864.640</t>
  </si>
  <si>
    <t>33.864.640,29</t>
  </si>
  <si>
    <t>IE00B50QMP13</t>
  </si>
  <si>
    <t>Irland</t>
  </si>
  <si>
    <t>IBE</t>
  </si>
  <si>
    <t>IBERDROLA SA</t>
  </si>
  <si>
    <t>9,98</t>
  </si>
  <si>
    <t>3.388.414</t>
  </si>
  <si>
    <t>33.831.174</t>
  </si>
  <si>
    <t>33.831.173,67</t>
  </si>
  <si>
    <t>ES0144580Y14</t>
  </si>
  <si>
    <t>ULVR</t>
  </si>
  <si>
    <t>UNILEVER PLC</t>
  </si>
  <si>
    <t>56,22</t>
  </si>
  <si>
    <t>33.409.725</t>
  </si>
  <si>
    <t>33.409.724,90</t>
  </si>
  <si>
    <t>GB00B10RZP78</t>
  </si>
  <si>
    <t>AGN</t>
  </si>
  <si>
    <t>ALLERGAN</t>
  </si>
  <si>
    <t>191,83</t>
  </si>
  <si>
    <t>33.138.441</t>
  </si>
  <si>
    <t>33.138.440,67</t>
  </si>
  <si>
    <t>IE00BY9D5467</t>
  </si>
  <si>
    <t>ADS</t>
  </si>
  <si>
    <t>ADIDAS N AG</t>
  </si>
  <si>
    <t>0,13</t>
  </si>
  <si>
    <t>343,46</t>
  </si>
  <si>
    <t>32.636.858</t>
  </si>
  <si>
    <t>32.636.857,81</t>
  </si>
  <si>
    <t>DE000A1EWWW0</t>
  </si>
  <si>
    <t>NOC</t>
  </si>
  <si>
    <t>NORTHROP GRUMMAN CORP</t>
  </si>
  <si>
    <t>374,39</t>
  </si>
  <si>
    <t>32.439.770</t>
  </si>
  <si>
    <t>32.439.770,33</t>
  </si>
  <si>
    <t>US6668071029</t>
  </si>
  <si>
    <t>TAKEDA PHARMACEUTICAL LTD</t>
  </si>
  <si>
    <t>32.326.700</t>
  </si>
  <si>
    <t>32.326.700,48</t>
  </si>
  <si>
    <t>JP3463000004</t>
  </si>
  <si>
    <t>CL</t>
  </si>
  <si>
    <t>COLGATE-PALMOLIVE</t>
  </si>
  <si>
    <t>70,15</t>
  </si>
  <si>
    <t>31.575.708</t>
  </si>
  <si>
    <t>31.575.707,55</t>
  </si>
  <si>
    <t>US1941621039</t>
  </si>
  <si>
    <t>CCI</t>
  </si>
  <si>
    <t>CROWN CASTLE INTERNATIONAL REIT CO</t>
  </si>
  <si>
    <t>142,40</t>
  </si>
  <si>
    <t>31.556.837</t>
  </si>
  <si>
    <t>31.556.836,80</t>
  </si>
  <si>
    <t>US22822V1017</t>
  </si>
  <si>
    <t>BLK</t>
  </si>
  <si>
    <t>BLACKROCK INC</t>
  </si>
  <si>
    <t>512,18</t>
  </si>
  <si>
    <t>31.418.658</t>
  </si>
  <si>
    <t>31.418.657,74</t>
  </si>
  <si>
    <t>US09247X1019</t>
  </si>
  <si>
    <t>SCHW</t>
  </si>
  <si>
    <t>CHARLES SCHWAB CORP</t>
  </si>
  <si>
    <t>47,80</t>
  </si>
  <si>
    <t>31.369.706</t>
  </si>
  <si>
    <t>31.369.706,00</t>
  </si>
  <si>
    <t>US8085131055</t>
  </si>
  <si>
    <t>WBC</t>
  </si>
  <si>
    <t>WESTPAC BANKING CORPORATION CORP</t>
  </si>
  <si>
    <t>17,02</t>
  </si>
  <si>
    <t>1.821.499</t>
  </si>
  <si>
    <t>31.005.661</t>
  </si>
  <si>
    <t>31.005.660,71</t>
  </si>
  <si>
    <t>AU000000WBC1</t>
  </si>
  <si>
    <t>AMAT</t>
  </si>
  <si>
    <t>APPLIED MATERIAL INC</t>
  </si>
  <si>
    <t>61,47</t>
  </si>
  <si>
    <t>30.891.933</t>
  </si>
  <si>
    <t>30.891.932,91</t>
  </si>
  <si>
    <t>US0382221051</t>
  </si>
  <si>
    <t>VRTX</t>
  </si>
  <si>
    <t>VERTEX PHARMACEUTICALS INC</t>
  </si>
  <si>
    <t>228,95</t>
  </si>
  <si>
    <t>30.670.829</t>
  </si>
  <si>
    <t>30.670.828,85</t>
  </si>
  <si>
    <t>US92532F1003</t>
  </si>
  <si>
    <t>PLD</t>
  </si>
  <si>
    <t>PROLOGIS REIT INC</t>
  </si>
  <si>
    <t>89,44</t>
  </si>
  <si>
    <t>30.547.964</t>
  </si>
  <si>
    <t>30.547.963,68</t>
  </si>
  <si>
    <t>US74340W1036</t>
  </si>
  <si>
    <t>RB.</t>
  </si>
  <si>
    <t>RECKITT BENCKISER GROUP PLC</t>
  </si>
  <si>
    <t>78,87</t>
  </si>
  <si>
    <t>30.491.344</t>
  </si>
  <si>
    <t>30.491.344,33</t>
  </si>
  <si>
    <t>GB00B24CGK77</t>
  </si>
  <si>
    <t>CSX</t>
  </si>
  <si>
    <t>CSX CORP</t>
  </si>
  <si>
    <t>0,12</t>
  </si>
  <si>
    <t>73,36</t>
  </si>
  <si>
    <t>30.401.778</t>
  </si>
  <si>
    <t>30.401.777,84</t>
  </si>
  <si>
    <t>US1264081035</t>
  </si>
  <si>
    <t>DG</t>
  </si>
  <si>
    <t>VINCI SA</t>
  </si>
  <si>
    <t>110,49</t>
  </si>
  <si>
    <t>30.284.318</t>
  </si>
  <si>
    <t>30.284.318,40</t>
  </si>
  <si>
    <t>FR0000125486</t>
  </si>
  <si>
    <t>DTE</t>
  </si>
  <si>
    <t>DEUTSCHE TELEKOM N AG</t>
  </si>
  <si>
    <t>16,41</t>
  </si>
  <si>
    <t>1.827.304</t>
  </si>
  <si>
    <t>29.978.290</t>
  </si>
  <si>
    <t>29.978.290,22</t>
  </si>
  <si>
    <t>DE0005557508</t>
  </si>
  <si>
    <t>LLOY</t>
  </si>
  <si>
    <t>LLOYDS BANKING GROUP PLC</t>
  </si>
  <si>
    <t>0,79</t>
  </si>
  <si>
    <t>37.773.531</t>
  </si>
  <si>
    <t>29.763.275</t>
  </si>
  <si>
    <t>29.763.274,69</t>
  </si>
  <si>
    <t>GB0008706128</t>
  </si>
  <si>
    <t>NOW</t>
  </si>
  <si>
    <t>SERVICENOW INC</t>
  </si>
  <si>
    <t>298,88</t>
  </si>
  <si>
    <t>29.746.032</t>
  </si>
  <si>
    <t>29.746.032,00</t>
  </si>
  <si>
    <t>US81762P1021</t>
  </si>
  <si>
    <t>CS</t>
  </si>
  <si>
    <t>AXA SA</t>
  </si>
  <si>
    <t>28,18</t>
  </si>
  <si>
    <t>1.053.529</t>
  </si>
  <si>
    <t>29.686.634</t>
  </si>
  <si>
    <t>29.686.634,36</t>
  </si>
  <si>
    <t>FR0000120628</t>
  </si>
  <si>
    <t>GPN</t>
  </si>
  <si>
    <t>GLOBAL PAYMENTS INC</t>
  </si>
  <si>
    <t>190,44</t>
  </si>
  <si>
    <t>29.684.645</t>
  </si>
  <si>
    <t>29.684.644,56</t>
  </si>
  <si>
    <t>US37940X1028</t>
  </si>
  <si>
    <t>MMC</t>
  </si>
  <si>
    <t>MARSH &amp; MCLENNAN INC</t>
  </si>
  <si>
    <t>111,70</t>
  </si>
  <si>
    <t>29.342.808</t>
  </si>
  <si>
    <t>29.342.808,10</t>
  </si>
  <si>
    <t>US5717481023</t>
  </si>
  <si>
    <t>NSC</t>
  </si>
  <si>
    <t>NORFOLK SOUTHERN CORP</t>
  </si>
  <si>
    <t>197,55</t>
  </si>
  <si>
    <t>29.270.984</t>
  </si>
  <si>
    <t>29.270.983,50</t>
  </si>
  <si>
    <t>US6558441084</t>
  </si>
  <si>
    <t>KDDI CORP</t>
  </si>
  <si>
    <t>30,01</t>
  </si>
  <si>
    <t>29.196.156</t>
  </si>
  <si>
    <t>29.196.155,53</t>
  </si>
  <si>
    <t>JP3496400007</t>
  </si>
  <si>
    <t>SU</t>
  </si>
  <si>
    <t>SUNCOR ENERGY INC</t>
  </si>
  <si>
    <t>34,32</t>
  </si>
  <si>
    <t>29.092.000</t>
  </si>
  <si>
    <t>29.091.999,84</t>
  </si>
  <si>
    <t>CA8672241079</t>
  </si>
  <si>
    <t>SCHNEIDER ELECTRIC</t>
  </si>
  <si>
    <t>102,40</t>
  </si>
  <si>
    <t>29.026.551</t>
  </si>
  <si>
    <t>29.026.551,39</t>
  </si>
  <si>
    <t>FR0000121972</t>
  </si>
  <si>
    <t>BIIB</t>
  </si>
  <si>
    <t>BIOGEN INC</t>
  </si>
  <si>
    <t>296,51</t>
  </si>
  <si>
    <t>28.988.893</t>
  </si>
  <si>
    <t>28.988.893,17</t>
  </si>
  <si>
    <t>US09062X1037</t>
  </si>
  <si>
    <t>ITW</t>
  </si>
  <si>
    <t>ILLINOIS TOOL INC</t>
  </si>
  <si>
    <t>178,24</t>
  </si>
  <si>
    <t>28.833.172</t>
  </si>
  <si>
    <t>28.833.171,84</t>
  </si>
  <si>
    <t>US4523081093</t>
  </si>
  <si>
    <t>ICE</t>
  </si>
  <si>
    <t>INTERCONTINENTAL EXCHANGE INC</t>
  </si>
  <si>
    <t>94,25</t>
  </si>
  <si>
    <t>28.752.753</t>
  </si>
  <si>
    <t>28.752.753,25</t>
  </si>
  <si>
    <t>US45866F1049</t>
  </si>
  <si>
    <t>VOD</t>
  </si>
  <si>
    <t>VODAFONE GROUP PLC</t>
  </si>
  <si>
    <t>1,98</t>
  </si>
  <si>
    <t>14.497.751</t>
  </si>
  <si>
    <t>28.712.712</t>
  </si>
  <si>
    <t>28.712.712,06</t>
  </si>
  <si>
    <t>GB00BH4HKS39</t>
  </si>
  <si>
    <t>SLB</t>
  </si>
  <si>
    <t>SCHLUMBERGER NV</t>
  </si>
  <si>
    <t>39,83</t>
  </si>
  <si>
    <t>28.423.923</t>
  </si>
  <si>
    <t>28.423.922,73</t>
  </si>
  <si>
    <t>AN8068571086</t>
  </si>
  <si>
    <t>RECRUIT HOLDINGS LTD</t>
  </si>
  <si>
    <t>38,67</t>
  </si>
  <si>
    <t>28.277.605</t>
  </si>
  <si>
    <t>28.277.604,97</t>
  </si>
  <si>
    <t>JP3970300004</t>
  </si>
  <si>
    <t>DE</t>
  </si>
  <si>
    <t>DEERE</t>
  </si>
  <si>
    <t>173,43</t>
  </si>
  <si>
    <t>28.190.353</t>
  </si>
  <si>
    <t>28.190.352,78</t>
  </si>
  <si>
    <t>US2441991054</t>
  </si>
  <si>
    <t>KER</t>
  </si>
  <si>
    <t>KERING SA</t>
  </si>
  <si>
    <t>0,11</t>
  </si>
  <si>
    <t>658,03</t>
  </si>
  <si>
    <t>27.910.357</t>
  </si>
  <si>
    <t>27.910.356,66</t>
  </si>
  <si>
    <t>FR0000121485</t>
  </si>
  <si>
    <t>AON</t>
  </si>
  <si>
    <t>AON PLC CLASS A</t>
  </si>
  <si>
    <t>208,06</t>
  </si>
  <si>
    <t>27.822.199</t>
  </si>
  <si>
    <t>27.822.199,32</t>
  </si>
  <si>
    <t>GB00B5BT0K07</t>
  </si>
  <si>
    <t>ILMN</t>
  </si>
  <si>
    <t>ILLUMINA INC</t>
  </si>
  <si>
    <t>335,53</t>
  </si>
  <si>
    <t>27.639.955</t>
  </si>
  <si>
    <t>27.639.954,81</t>
  </si>
  <si>
    <t>US4523271090</t>
  </si>
  <si>
    <t>REL</t>
  </si>
  <si>
    <t>RELX PLC</t>
  </si>
  <si>
    <t>25,23</t>
  </si>
  <si>
    <t>1.087.793</t>
  </si>
  <si>
    <t>27.448.157</t>
  </si>
  <si>
    <t>27.448.156,76</t>
  </si>
  <si>
    <t>GB00B2B0DG97</t>
  </si>
  <si>
    <t>TRP</t>
  </si>
  <si>
    <t>TC ENERGY CORP</t>
  </si>
  <si>
    <t>52,40</t>
  </si>
  <si>
    <t>27.378.060</t>
  </si>
  <si>
    <t>27.378.060,45</t>
  </si>
  <si>
    <t>CA87807B1076</t>
  </si>
  <si>
    <t>EQIX</t>
  </si>
  <si>
    <t>EQUINIX REIT INC</t>
  </si>
  <si>
    <t>594,00</t>
  </si>
  <si>
    <t>27.195.696</t>
  </si>
  <si>
    <t>27.195.696,00</t>
  </si>
  <si>
    <t>US29444U7000</t>
  </si>
  <si>
    <t>NAB</t>
  </si>
  <si>
    <t>NATIONAL AUSTRALIA BANK LTD</t>
  </si>
  <si>
    <t>17,22</t>
  </si>
  <si>
    <t>1.577.537</t>
  </si>
  <si>
    <t>27.157.949</t>
  </si>
  <si>
    <t>27.157.948,61</t>
  </si>
  <si>
    <t>AU000000NAB4</t>
  </si>
  <si>
    <t>PRU</t>
  </si>
  <si>
    <t>PRUDENTIAL PLC</t>
  </si>
  <si>
    <t>19,33</t>
  </si>
  <si>
    <t>1.401.399</t>
  </si>
  <si>
    <t>27.088.398</t>
  </si>
  <si>
    <t>27.088.398,03</t>
  </si>
  <si>
    <t>GB0007099541</t>
  </si>
  <si>
    <t>BAM.A</t>
  </si>
  <si>
    <t>BROOKFIELD ASSET MANAGEMENT INC CL</t>
  </si>
  <si>
    <t>58,44</t>
  </si>
  <si>
    <t>26.981.926</t>
  </si>
  <si>
    <t>26.981.925,96</t>
  </si>
  <si>
    <t>CA1125851040</t>
  </si>
  <si>
    <t>EOG</t>
  </si>
  <si>
    <t>EOG RESOURCES INC</t>
  </si>
  <si>
    <t>86,27</t>
  </si>
  <si>
    <t>26.796.670</t>
  </si>
  <si>
    <t>26.796.669,78</t>
  </si>
  <si>
    <t>US26875P1012</t>
  </si>
  <si>
    <t>UBSG</t>
  </si>
  <si>
    <t>UBS GROUP AG</t>
  </si>
  <si>
    <t>13,01</t>
  </si>
  <si>
    <t>2.055.465</t>
  </si>
  <si>
    <t>26.737.413</t>
  </si>
  <si>
    <t>26.737.412,69</t>
  </si>
  <si>
    <t>CH0244767585</t>
  </si>
  <si>
    <t>DAI</t>
  </si>
  <si>
    <t>DAIMLER AG</t>
  </si>
  <si>
    <t>54,93</t>
  </si>
  <si>
    <t>26.720.407</t>
  </si>
  <si>
    <t>26.720.406,84</t>
  </si>
  <si>
    <t>DE0007100000</t>
  </si>
  <si>
    <t>BN</t>
  </si>
  <si>
    <t>DANONE SA</t>
  </si>
  <si>
    <t>80,68</t>
  </si>
  <si>
    <t>26.708.021</t>
  </si>
  <si>
    <t>26.708.020,99</t>
  </si>
  <si>
    <t>FR0000120644</t>
  </si>
  <si>
    <t>WM</t>
  </si>
  <si>
    <t>WASTE MANAGEMENT INC</t>
  </si>
  <si>
    <t>116,20</t>
  </si>
  <si>
    <t>26.683.471</t>
  </si>
  <si>
    <t>26.683.470,80</t>
  </si>
  <si>
    <t>US94106L1098</t>
  </si>
  <si>
    <t>AMD</t>
  </si>
  <si>
    <t>ADVANCED MICRO DEVICES INC</t>
  </si>
  <si>
    <t>48,16</t>
  </si>
  <si>
    <t>26.667.467</t>
  </si>
  <si>
    <t>26.667.467,38</t>
  </si>
  <si>
    <t>US0079031078</t>
  </si>
  <si>
    <t>HUM</t>
  </si>
  <si>
    <t>HUMANA INC</t>
  </si>
  <si>
    <t>364,12</t>
  </si>
  <si>
    <t>26.538.522</t>
  </si>
  <si>
    <t>26.538.522,08</t>
  </si>
  <si>
    <t>US4448591028</t>
  </si>
  <si>
    <t>EMR</t>
  </si>
  <si>
    <t>EMERSON ELECTRIC</t>
  </si>
  <si>
    <t>76,94</t>
  </si>
  <si>
    <t>26.427.659</t>
  </si>
  <si>
    <t>26.427.658,96</t>
  </si>
  <si>
    <t>US2910111044</t>
  </si>
  <si>
    <t>SAF</t>
  </si>
  <si>
    <t>SAFRAN SA</t>
  </si>
  <si>
    <t>153,92</t>
  </si>
  <si>
    <t>26.405.777</t>
  </si>
  <si>
    <t>26.405.776,58</t>
  </si>
  <si>
    <t>FR0000073272</t>
  </si>
  <si>
    <t>KMB</t>
  </si>
  <si>
    <t>KIMBERLY CLARK CORP</t>
  </si>
  <si>
    <t>140,23</t>
  </si>
  <si>
    <t>26.284.711</t>
  </si>
  <si>
    <t>26.284.711,20</t>
  </si>
  <si>
    <t>US4943681035</t>
  </si>
  <si>
    <t>SUMITOMO MITSUI FINANCIAL GROUP IN</t>
  </si>
  <si>
    <t>36,73</t>
  </si>
  <si>
    <t>26.150.050</t>
  </si>
  <si>
    <t>26.150.049,95</t>
  </si>
  <si>
    <t>JP3890350006</t>
  </si>
  <si>
    <t>APD</t>
  </si>
  <si>
    <t>AIR PRODUCTS AND CHEMICALS INC</t>
  </si>
  <si>
    <t>232,00</t>
  </si>
  <si>
    <t>26.126.448</t>
  </si>
  <si>
    <t>26.126.448,00</t>
  </si>
  <si>
    <t>US0091581068</t>
  </si>
  <si>
    <t>MUV2</t>
  </si>
  <si>
    <t>MUENCHENER RUECKVERSICHERUNGS-GESE</t>
  </si>
  <si>
    <t>297,62</t>
  </si>
  <si>
    <t>25.994.387</t>
  </si>
  <si>
    <t>25.994.387,37</t>
  </si>
  <si>
    <t>DE0008430026</t>
  </si>
  <si>
    <t>BMO</t>
  </si>
  <si>
    <t>BANK OF MONTREAL</t>
  </si>
  <si>
    <t>77,71</t>
  </si>
  <si>
    <t>25.923.159</t>
  </si>
  <si>
    <t>25.923.158,70</t>
  </si>
  <si>
    <t>CA0636711016</t>
  </si>
  <si>
    <t>ANZ</t>
  </si>
  <si>
    <t>AUSTRALIA AND NEW ZEALAND BANKING</t>
  </si>
  <si>
    <t>17,35</t>
  </si>
  <si>
    <t>1.492.968</t>
  </si>
  <si>
    <t>25.897.943</t>
  </si>
  <si>
    <t>25.897.942,60</t>
  </si>
  <si>
    <t>AU000000ANZ3</t>
  </si>
  <si>
    <t>INGA</t>
  </si>
  <si>
    <t>ING GROEP NV</t>
  </si>
  <si>
    <t>12,05</t>
  </si>
  <si>
    <t>2.141.084</t>
  </si>
  <si>
    <t>25.803.230</t>
  </si>
  <si>
    <t>25.803.229,72</t>
  </si>
  <si>
    <t>NL0011821202</t>
  </si>
  <si>
    <t>PSX</t>
  </si>
  <si>
    <t>PHILLIPS</t>
  </si>
  <si>
    <t>104,87</t>
  </si>
  <si>
    <t>25.556.609</t>
  </si>
  <si>
    <t>25.556.609,26</t>
  </si>
  <si>
    <t>US7185461040</t>
  </si>
  <si>
    <t>EW</t>
  </si>
  <si>
    <t>EDWARDS LIFESCIENCES CORP</t>
  </si>
  <si>
    <t>0,10</t>
  </si>
  <si>
    <t>232,84</t>
  </si>
  <si>
    <t>25.498.076</t>
  </si>
  <si>
    <t>25.498.075,56</t>
  </si>
  <si>
    <t>US28176E1082</t>
  </si>
  <si>
    <t>COF</t>
  </si>
  <si>
    <t>CAPITAL ONE FINANCIAL CORP</t>
  </si>
  <si>
    <t>101,55</t>
  </si>
  <si>
    <t>25.482.145</t>
  </si>
  <si>
    <t>25.482.144,60</t>
  </si>
  <si>
    <t>US14040H1059</t>
  </si>
  <si>
    <t>BHP GROUP PLC</t>
  </si>
  <si>
    <t>23,27</t>
  </si>
  <si>
    <t>1.086.968</t>
  </si>
  <si>
    <t>25.297.888</t>
  </si>
  <si>
    <t>25.297.887,80</t>
  </si>
  <si>
    <t>GB00BH0P3Z91</t>
  </si>
  <si>
    <t>LHX</t>
  </si>
  <si>
    <t>L3HARRIS TECHNOLOGIES INC</t>
  </si>
  <si>
    <t>210,37</t>
  </si>
  <si>
    <t>25.291.313</t>
  </si>
  <si>
    <t>25.291.312,51</t>
  </si>
  <si>
    <t>US5024311095</t>
  </si>
  <si>
    <t>ECL</t>
  </si>
  <si>
    <t>ECOLAB INC</t>
  </si>
  <si>
    <t>188,93</t>
  </si>
  <si>
    <t>25.217.432</t>
  </si>
  <si>
    <t>25.217.431,75</t>
  </si>
  <si>
    <t>US2788651006</t>
  </si>
  <si>
    <t>ABBN</t>
  </si>
  <si>
    <t>ABB LTD</t>
  </si>
  <si>
    <t>24,05</t>
  </si>
  <si>
    <t>1.042.115</t>
  </si>
  <si>
    <t>25.066.439</t>
  </si>
  <si>
    <t>25.066.439,40</t>
  </si>
  <si>
    <t>CH0012221716</t>
  </si>
  <si>
    <t>AEP</t>
  </si>
  <si>
    <t>AMERICAN ELECTRIC POWER INC</t>
  </si>
  <si>
    <t>94,34</t>
  </si>
  <si>
    <t>24.985.289</t>
  </si>
  <si>
    <t>24.985.288,62</t>
  </si>
  <si>
    <t>US0255371017</t>
  </si>
  <si>
    <t>GD</t>
  </si>
  <si>
    <t>GENERAL DYNAMICS CORP</t>
  </si>
  <si>
    <t>179,51</t>
  </si>
  <si>
    <t>24.918.142</t>
  </si>
  <si>
    <t>24.918.142,12</t>
  </si>
  <si>
    <t>US3695501086</t>
  </si>
  <si>
    <t>ATVI</t>
  </si>
  <si>
    <t>ACTIVISION BLIZZARD INC</t>
  </si>
  <si>
    <t>58,95</t>
  </si>
  <si>
    <t>24.601.132</t>
  </si>
  <si>
    <t>24.601.131,90</t>
  </si>
  <si>
    <t>US00507V1098</t>
  </si>
  <si>
    <t>LRCX</t>
  </si>
  <si>
    <t>LAM RESEARCH CORP</t>
  </si>
  <si>
    <t>294,34</t>
  </si>
  <si>
    <t>24.550.311</t>
  </si>
  <si>
    <t>24.550.310,72</t>
  </si>
  <si>
    <t>US5128071082</t>
  </si>
  <si>
    <t>ROST</t>
  </si>
  <si>
    <t>ROSS STORES INC</t>
  </si>
  <si>
    <t>120,72</t>
  </si>
  <si>
    <t>24.418.517</t>
  </si>
  <si>
    <t>24.418.517,28</t>
  </si>
  <si>
    <t>US7782961038</t>
  </si>
  <si>
    <t>EL</t>
  </si>
  <si>
    <t>ESSILORLUXOTTICA SA</t>
  </si>
  <si>
    <t>156,70</t>
  </si>
  <si>
    <t>24.342.929</t>
  </si>
  <si>
    <t>24.342.929,27</t>
  </si>
  <si>
    <t>FR0000121667</t>
  </si>
  <si>
    <t>SHOP</t>
  </si>
  <si>
    <t>SHOPIFY SUBORDINATE VOTING INC CLA</t>
  </si>
  <si>
    <t>429,76</t>
  </si>
  <si>
    <t>24.343.271</t>
  </si>
  <si>
    <t>24.343.270,58</t>
  </si>
  <si>
    <t>CA82509L1076</t>
  </si>
  <si>
    <t>SHW</t>
  </si>
  <si>
    <t>SHERWIN WILLIAMS</t>
  </si>
  <si>
    <t>567,09</t>
  </si>
  <si>
    <t>24.329.295</t>
  </si>
  <si>
    <t>24.329.295,18</t>
  </si>
  <si>
    <t>US8243481061</t>
  </si>
  <si>
    <t>HONDA MOTOR LTD</t>
  </si>
  <si>
    <t>27,93</t>
  </si>
  <si>
    <t>24.278.067</t>
  </si>
  <si>
    <t>24.278.066,81</t>
  </si>
  <si>
    <t>JP3854600008</t>
  </si>
  <si>
    <t>PHIA</t>
  </si>
  <si>
    <t>KONINKLIJKE PHILIPS NV</t>
  </si>
  <si>
    <t>49,38</t>
  </si>
  <si>
    <t>24.205.434</t>
  </si>
  <si>
    <t>24.205.434,18</t>
  </si>
  <si>
    <t>NL0000009538</t>
  </si>
  <si>
    <t>ESTEE LAUDER INC CLASS A</t>
  </si>
  <si>
    <t>211,62</t>
  </si>
  <si>
    <t>24.134.415</t>
  </si>
  <si>
    <t>24.134.414,52</t>
  </si>
  <si>
    <t>US5184391044</t>
  </si>
  <si>
    <t>DD</t>
  </si>
  <si>
    <t>DUPONT DE NEMOURS INC</t>
  </si>
  <si>
    <t>59,71</t>
  </si>
  <si>
    <t>24.108.569</t>
  </si>
  <si>
    <t>24.108.569,31</t>
  </si>
  <si>
    <t>US26614N1028</t>
  </si>
  <si>
    <t>AIG</t>
  </si>
  <si>
    <t>AMERICAN INTERNATIONAL GROUP INC</t>
  </si>
  <si>
    <t>52,03</t>
  </si>
  <si>
    <t>24.018.713</t>
  </si>
  <si>
    <t>24.018.712,96</t>
  </si>
  <si>
    <t>US0268747849</t>
  </si>
  <si>
    <t>NINTENDO LTD</t>
  </si>
  <si>
    <t>396,50</t>
  </si>
  <si>
    <t>24.018.482</t>
  </si>
  <si>
    <t>24.018.481,93</t>
  </si>
  <si>
    <t>JP3756600007</t>
  </si>
  <si>
    <t>ADI</t>
  </si>
  <si>
    <t>ANALOG DEVICES INC</t>
  </si>
  <si>
    <t>118,57</t>
  </si>
  <si>
    <t>23.949.006</t>
  </si>
  <si>
    <t>23.949.005,74</t>
  </si>
  <si>
    <t>US0326541051</t>
  </si>
  <si>
    <t>SRE</t>
  </si>
  <si>
    <t>SEMPRA ENERGY</t>
  </si>
  <si>
    <t>149,76</t>
  </si>
  <si>
    <t>23.867.401</t>
  </si>
  <si>
    <t>23.867.400,96</t>
  </si>
  <si>
    <t>US8168511090</t>
  </si>
  <si>
    <t>SPG</t>
  </si>
  <si>
    <t>SIMON PROPERTY GROUP REIT INC</t>
  </si>
  <si>
    <t>144,79</t>
  </si>
  <si>
    <t>23.695.173</t>
  </si>
  <si>
    <t>23.695.173,08</t>
  </si>
  <si>
    <t>US8288061091</t>
  </si>
  <si>
    <t>B01KM02</t>
  </si>
  <si>
    <t>EXC</t>
  </si>
  <si>
    <t>EXELON CORP</t>
  </si>
  <si>
    <t>46,26</t>
  </si>
  <si>
    <t>23.427.961</t>
  </si>
  <si>
    <t>23.427.960,66</t>
  </si>
  <si>
    <t>US30161N1019</t>
  </si>
  <si>
    <t>B01Y312</t>
  </si>
  <si>
    <t>MET</t>
  </si>
  <si>
    <t>METLIFE INC</t>
  </si>
  <si>
    <t>52,47</t>
  </si>
  <si>
    <t>23.292.745</t>
  </si>
  <si>
    <t>23.292.744,75</t>
  </si>
  <si>
    <t>US59156R1086</t>
  </si>
  <si>
    <t>B180B49</t>
  </si>
  <si>
    <t>BAX</t>
  </si>
  <si>
    <t>BAXTER INTERNATIONAL INC</t>
  </si>
  <si>
    <t>0,09</t>
  </si>
  <si>
    <t>85,90</t>
  </si>
  <si>
    <t>23.087.257</t>
  </si>
  <si>
    <t>23.087.257,10</t>
  </si>
  <si>
    <t>US0718131099</t>
  </si>
  <si>
    <t>B193HF0</t>
  </si>
  <si>
    <t>BK</t>
  </si>
  <si>
    <t>BANK OF NEW YORK MELLON CORP</t>
  </si>
  <si>
    <t>50,54</t>
  </si>
  <si>
    <t>22.973.109</t>
  </si>
  <si>
    <t>22.973.108,62</t>
  </si>
  <si>
    <t>US0640581007</t>
  </si>
  <si>
    <t>B19RB38</t>
  </si>
  <si>
    <t>DAIKIN INDUSTRIES LTD</t>
  </si>
  <si>
    <t>141,52</t>
  </si>
  <si>
    <t>22.749.299</t>
  </si>
  <si>
    <t>22.749.299,42</t>
  </si>
  <si>
    <t>JP3481800005</t>
  </si>
  <si>
    <t>B1B8WM5</t>
  </si>
  <si>
    <t>SHIN ETSU CHEMICAL LTD</t>
  </si>
  <si>
    <t>109,16</t>
  </si>
  <si>
    <t>22.723.236</t>
  </si>
  <si>
    <t>22.723.235,85</t>
  </si>
  <si>
    <t>JP3371200001</t>
  </si>
  <si>
    <t>B1G2JY3</t>
  </si>
  <si>
    <t>HCA</t>
  </si>
  <si>
    <t>HCA HEALTHCARE INC</t>
  </si>
  <si>
    <t>148,14</t>
  </si>
  <si>
    <t>22.616.534</t>
  </si>
  <si>
    <t>22.616.533,80</t>
  </si>
  <si>
    <t>US40412C1018</t>
  </si>
  <si>
    <t>B1GGYB7</t>
  </si>
  <si>
    <t>MCO</t>
  </si>
  <si>
    <t>MOODYS CORP</t>
  </si>
  <si>
    <t>248,03</t>
  </si>
  <si>
    <t>22.504.506</t>
  </si>
  <si>
    <t>22.504.505,99</t>
  </si>
  <si>
    <t>US6153691059</t>
  </si>
  <si>
    <t>B1H6P80</t>
  </si>
  <si>
    <t>GM</t>
  </si>
  <si>
    <t>GENERAL MOTORS</t>
  </si>
  <si>
    <t>34,65</t>
  </si>
  <si>
    <t>22.496.686</t>
  </si>
  <si>
    <t>22.496.685,75</t>
  </si>
  <si>
    <t>US37045V1008</t>
  </si>
  <si>
    <t>B1L37D6</t>
  </si>
  <si>
    <t>PGR</t>
  </si>
  <si>
    <t>PROGRESSIVE CORP</t>
  </si>
  <si>
    <t>73,70</t>
  </si>
  <si>
    <t>22.362.496</t>
  </si>
  <si>
    <t>22.362.496,20</t>
  </si>
  <si>
    <t>US7433151039</t>
  </si>
  <si>
    <t>B1LBS82</t>
  </si>
  <si>
    <t>VLO</t>
  </si>
  <si>
    <t>VALERO ENERGY CORP</t>
  </si>
  <si>
    <t>96,89</t>
  </si>
  <si>
    <t>22.263.869</t>
  </si>
  <si>
    <t>22.263.868,65</t>
  </si>
  <si>
    <t>US91913Y1001</t>
  </si>
  <si>
    <t>B1P13B6</t>
  </si>
  <si>
    <t>ADSK</t>
  </si>
  <si>
    <t>AUTODESK INC</t>
  </si>
  <si>
    <t>192,36</t>
  </si>
  <si>
    <t>22.196.036</t>
  </si>
  <si>
    <t>22.196.035,68</t>
  </si>
  <si>
    <t>US0527691069</t>
  </si>
  <si>
    <t>B1SVWB6</t>
  </si>
  <si>
    <t>KMI</t>
  </si>
  <si>
    <t>KINDER MORGAN INC</t>
  </si>
  <si>
    <t>21,51</t>
  </si>
  <si>
    <t>1.031.359</t>
  </si>
  <si>
    <t>22.184.532</t>
  </si>
  <si>
    <t>22.184.532,09</t>
  </si>
  <si>
    <t>US49456B1017</t>
  </si>
  <si>
    <t>B1VXHG9</t>
  </si>
  <si>
    <t>WBA</t>
  </si>
  <si>
    <t>WALGREEN BOOTS ALLIANCE INC</t>
  </si>
  <si>
    <t>54,22</t>
  </si>
  <si>
    <t>22.060.058</t>
  </si>
  <si>
    <t>22.060.057,64</t>
  </si>
  <si>
    <t>US9314271084</t>
  </si>
  <si>
    <t>B1W9Z06</t>
  </si>
  <si>
    <t>SYY</t>
  </si>
  <si>
    <t>SYSCO CORP</t>
  </si>
  <si>
    <t>84,92</t>
  </si>
  <si>
    <t>22.031.984</t>
  </si>
  <si>
    <t>22.031.984,48</t>
  </si>
  <si>
    <t>US8718291078</t>
  </si>
  <si>
    <t>B1WLHY0</t>
  </si>
  <si>
    <t>OXY</t>
  </si>
  <si>
    <t>OCCIDENTAL PETROLEUM CORP</t>
  </si>
  <si>
    <t>45,90</t>
  </si>
  <si>
    <t>22.015.201</t>
  </si>
  <si>
    <t>22.015.200,60</t>
  </si>
  <si>
    <t>US6745991058</t>
  </si>
  <si>
    <t>B1WPGD4</t>
  </si>
  <si>
    <t>MFC</t>
  </si>
  <si>
    <t>MANULIFE FINANCIAL CORP</t>
  </si>
  <si>
    <t>21,17</t>
  </si>
  <si>
    <t>1.036.856</t>
  </si>
  <si>
    <t>21.950.221</t>
  </si>
  <si>
    <t>21.950.221,26</t>
  </si>
  <si>
    <t>CA56501R1064</t>
  </si>
  <si>
    <t>B232Y04</t>
  </si>
  <si>
    <t>NG.</t>
  </si>
  <si>
    <t>NATIONAL GRID PLC</t>
  </si>
  <si>
    <t>12,21</t>
  </si>
  <si>
    <t>1.795.368</t>
  </si>
  <si>
    <t>21.924.258</t>
  </si>
  <si>
    <t>21.924.257,52</t>
  </si>
  <si>
    <t>GB00BDR05C01</t>
  </si>
  <si>
    <t>B232ZB2</t>
  </si>
  <si>
    <t>MAR</t>
  </si>
  <si>
    <t>MARRIOTT INTERNATIONAL INC CLASS A</t>
  </si>
  <si>
    <t>145,39</t>
  </si>
  <si>
    <t>21.875.525</t>
  </si>
  <si>
    <t>21.875.524,79</t>
  </si>
  <si>
    <t>US5719032022</t>
  </si>
  <si>
    <t>B23D6F6</t>
  </si>
  <si>
    <t>MPC</t>
  </si>
  <si>
    <t>MARATHON PETROLEUM CORP</t>
  </si>
  <si>
    <t>60,22</t>
  </si>
  <si>
    <t>21.852.272</t>
  </si>
  <si>
    <t>21.852.272,28</t>
  </si>
  <si>
    <t>US56585A1025</t>
  </si>
  <si>
    <t>B249NZ2</t>
  </si>
  <si>
    <t>NXPI</t>
  </si>
  <si>
    <t>NXP SEMICONDUCTORS NV</t>
  </si>
  <si>
    <t>129,64</t>
  </si>
  <si>
    <t>21.786.521</t>
  </si>
  <si>
    <t>21.786.520,56</t>
  </si>
  <si>
    <t>NL0009538784</t>
  </si>
  <si>
    <t>B24G126</t>
  </si>
  <si>
    <t>CFR</t>
  </si>
  <si>
    <t>COMPAGNIE FINANCIERE RICHEMONT SA</t>
  </si>
  <si>
    <t>78,09</t>
  </si>
  <si>
    <t>21.775.630</t>
  </si>
  <si>
    <t>21.775.630,11</t>
  </si>
  <si>
    <t>CH0210483332</t>
  </si>
  <si>
    <t>B281JM3</t>
  </si>
  <si>
    <t>AFL</t>
  </si>
  <si>
    <t>AFLAC INC</t>
  </si>
  <si>
    <t>52,07</t>
  </si>
  <si>
    <t>21.437.219</t>
  </si>
  <si>
    <t>21.437.219,00</t>
  </si>
  <si>
    <t>US0010551028</t>
  </si>
  <si>
    <t>B28SLD9</t>
  </si>
  <si>
    <t>KAO CORP</t>
  </si>
  <si>
    <t>83,83</t>
  </si>
  <si>
    <t>21.352.549</t>
  </si>
  <si>
    <t>21.352.548,52</t>
  </si>
  <si>
    <t>JP3205800000</t>
  </si>
  <si>
    <t>B292YZ3</t>
  </si>
  <si>
    <t>HITACHI LTD</t>
  </si>
  <si>
    <t>41,66</t>
  </si>
  <si>
    <t>21.325.994</t>
  </si>
  <si>
    <t>21.325.994,01</t>
  </si>
  <si>
    <t>JP3788600009</t>
  </si>
  <si>
    <t>B29PXW2</t>
  </si>
  <si>
    <t>CPG</t>
  </si>
  <si>
    <t>COMPASS GROUP PLC</t>
  </si>
  <si>
    <t>24,98</t>
  </si>
  <si>
    <t>21.305.985</t>
  </si>
  <si>
    <t>21.305.985,30</t>
  </si>
  <si>
    <t>GB00BD6K4575</t>
  </si>
  <si>
    <t>B29VXG4</t>
  </si>
  <si>
    <t>ALL</t>
  </si>
  <si>
    <t>ALLSTATE CORP</t>
  </si>
  <si>
    <t>113,45</t>
  </si>
  <si>
    <t>21.188.603</t>
  </si>
  <si>
    <t>21.188.602,70</t>
  </si>
  <si>
    <t>US0200021014</t>
  </si>
  <si>
    <t>B29WFR2</t>
  </si>
  <si>
    <t>DOLLAR GENERAL CORP</t>
  </si>
  <si>
    <t>153,22</t>
  </si>
  <si>
    <t>20.871.169</t>
  </si>
  <si>
    <t>20.871.168,74</t>
  </si>
  <si>
    <t>US2566771059</t>
  </si>
  <si>
    <t>B2NBQM7</t>
  </si>
  <si>
    <t>ISP</t>
  </si>
  <si>
    <t>INTESA SANPAOLO</t>
  </si>
  <si>
    <t>2,62</t>
  </si>
  <si>
    <t>7.936.077</t>
  </si>
  <si>
    <t>20.788.172</t>
  </si>
  <si>
    <t>20.788.172,37</t>
  </si>
  <si>
    <t>IT0000072618</t>
  </si>
  <si>
    <t>B2PPPG4</t>
  </si>
  <si>
    <t>DOW</t>
  </si>
  <si>
    <t>DOW INC</t>
  </si>
  <si>
    <t>51,50</t>
  </si>
  <si>
    <t>20.778.602</t>
  </si>
  <si>
    <t>20.778.602,00</t>
  </si>
  <si>
    <t>US2605571031</t>
  </si>
  <si>
    <t>B2QZ4S8</t>
  </si>
  <si>
    <t>RI</t>
  </si>
  <si>
    <t>PERNOD RICARD SA</t>
  </si>
  <si>
    <t>0,08</t>
  </si>
  <si>
    <t>176,59</t>
  </si>
  <si>
    <t>20.617.293</t>
  </si>
  <si>
    <t>20.617.292,88</t>
  </si>
  <si>
    <t>FR0000120693</t>
  </si>
  <si>
    <t>B2R8334</t>
  </si>
  <si>
    <t>PRUDENTIAL FINANCIAL INC</t>
  </si>
  <si>
    <t>94,41</t>
  </si>
  <si>
    <t>20.609.231</t>
  </si>
  <si>
    <t>20.609.230,95</t>
  </si>
  <si>
    <t>US7443201022</t>
  </si>
  <si>
    <t>B3CPT84</t>
  </si>
  <si>
    <t>AMS</t>
  </si>
  <si>
    <t>AMADEUS IT GROUP SA</t>
  </si>
  <si>
    <t>82,37</t>
  </si>
  <si>
    <t>20.559.954</t>
  </si>
  <si>
    <t>20.559.954,33</t>
  </si>
  <si>
    <t>ES0109067019</t>
  </si>
  <si>
    <t>B3NBFQ1</t>
  </si>
  <si>
    <t>VOW3</t>
  </si>
  <si>
    <t>VOLKSWAGEN NON-VOTING PREF AG</t>
  </si>
  <si>
    <t>206,18</t>
  </si>
  <si>
    <t>20.528.284</t>
  </si>
  <si>
    <t>20.528.284,10</t>
  </si>
  <si>
    <t>DE0007664039</t>
  </si>
  <si>
    <t>B3QMQ68</t>
  </si>
  <si>
    <t>ETN</t>
  </si>
  <si>
    <t>EATON PLC</t>
  </si>
  <si>
    <t>94,98</t>
  </si>
  <si>
    <t>20.511.501</t>
  </si>
  <si>
    <t>20.511.500,88</t>
  </si>
  <si>
    <t>IE00B8KQN827</t>
  </si>
  <si>
    <t>B3V4ND5</t>
  </si>
  <si>
    <t>BX</t>
  </si>
  <si>
    <t>BLACKSTONE GROUP INC CLASS A</t>
  </si>
  <si>
    <t>57,72</t>
  </si>
  <si>
    <t>20.496.026</t>
  </si>
  <si>
    <t>20.496.025,68</t>
  </si>
  <si>
    <t>US09260D1072</t>
  </si>
  <si>
    <t>B3WTV80</t>
  </si>
  <si>
    <t>BBVA</t>
  </si>
  <si>
    <t>BANCO BILBAO VIZCAYA ARGENTARIA SA</t>
  </si>
  <si>
    <t>5,55</t>
  </si>
  <si>
    <t>3.681.548</t>
  </si>
  <si>
    <t>20.445.167</t>
  </si>
  <si>
    <t>20.445.167,38</t>
  </si>
  <si>
    <t>ES0113211835</t>
  </si>
  <si>
    <t>B3WXMX4</t>
  </si>
  <si>
    <t>ENI</t>
  </si>
  <si>
    <t>15,67</t>
  </si>
  <si>
    <t>1.302.467</t>
  </si>
  <si>
    <t>20.409.703</t>
  </si>
  <si>
    <t>20.409.703,48</t>
  </si>
  <si>
    <t>IT0003132476</t>
  </si>
  <si>
    <t>B3Y2110</t>
  </si>
  <si>
    <t>BARC</t>
  </si>
  <si>
    <t>BARCLAYS PLC</t>
  </si>
  <si>
    <t>2,36</t>
  </si>
  <si>
    <t>8.612.600</t>
  </si>
  <si>
    <t>20.359.760</t>
  </si>
  <si>
    <t>20.359.760,08</t>
  </si>
  <si>
    <t>GB0031348658</t>
  </si>
  <si>
    <t>B3Y6LV2</t>
  </si>
  <si>
    <t>PRX</t>
  </si>
  <si>
    <t>PROSUS NV</t>
  </si>
  <si>
    <t>80,08</t>
  </si>
  <si>
    <t>20.353.238</t>
  </si>
  <si>
    <t>20.353.238,27</t>
  </si>
  <si>
    <t>NL0013654783</t>
  </si>
  <si>
    <t>B42G7J1</t>
  </si>
  <si>
    <t>CNQ</t>
  </si>
  <si>
    <t>CANADIAN NATURAL RESOURCES LTD</t>
  </si>
  <si>
    <t>31,71</t>
  </si>
  <si>
    <t>20.304.021</t>
  </si>
  <si>
    <t>20.304.021,28</t>
  </si>
  <si>
    <t>CA1363851017</t>
  </si>
  <si>
    <t>B450X03</t>
  </si>
  <si>
    <t>MIZUHO FINANCIAL GROUP INC</t>
  </si>
  <si>
    <t>1,53</t>
  </si>
  <si>
    <t>13.296.353</t>
  </si>
  <si>
    <t>20.291.623</t>
  </si>
  <si>
    <t>20.291.623,05</t>
  </si>
  <si>
    <t>JP3885780001</t>
  </si>
  <si>
    <t>B466322</t>
  </si>
  <si>
    <t>GLEN</t>
  </si>
  <si>
    <t>GLENCORE PLC</t>
  </si>
  <si>
    <t>3,14</t>
  </si>
  <si>
    <t>6.460.864</t>
  </si>
  <si>
    <t>20.268.584</t>
  </si>
  <si>
    <t>20.268.583,85</t>
  </si>
  <si>
    <t>JE00B4T3BW64</t>
  </si>
  <si>
    <t>B4KPYX3</t>
  </si>
  <si>
    <t>MITSUBISHI CORP</t>
  </si>
  <si>
    <t>26,44</t>
  </si>
  <si>
    <t>20.261.760</t>
  </si>
  <si>
    <t>20.261.759,73</t>
  </si>
  <si>
    <t>JP3898400001</t>
  </si>
  <si>
    <t>B4L9T62</t>
  </si>
  <si>
    <t>HOYA CORP</t>
  </si>
  <si>
    <t>97,21</t>
  </si>
  <si>
    <t>20.162.970</t>
  </si>
  <si>
    <t>20.162.969,61</t>
  </si>
  <si>
    <t>JP3837800006</t>
  </si>
  <si>
    <t>B4TH690</t>
  </si>
  <si>
    <t>FDX</t>
  </si>
  <si>
    <t>FEDEX CORP</t>
  </si>
  <si>
    <t>156,63</t>
  </si>
  <si>
    <t>20.143.088</t>
  </si>
  <si>
    <t>20.143.087,89</t>
  </si>
  <si>
    <t>US31428X1063</t>
  </si>
  <si>
    <t>B4THGF6</t>
  </si>
  <si>
    <t>NTT DOCOMO INC</t>
  </si>
  <si>
    <t>28,06</t>
  </si>
  <si>
    <t>20.108.943</t>
  </si>
  <si>
    <t>20.108.943,04</t>
  </si>
  <si>
    <t>JP3165650007</t>
  </si>
  <si>
    <t>B4XRMZ4</t>
  </si>
  <si>
    <t>WOW</t>
  </si>
  <si>
    <t>WOOLWORTHS GROUP LTD</t>
  </si>
  <si>
    <t>26,12</t>
  </si>
  <si>
    <t>19.924.224</t>
  </si>
  <si>
    <t>19.924.224,32</t>
  </si>
  <si>
    <t>AU000000WOW2</t>
  </si>
  <si>
    <t>B53SCQ5</t>
  </si>
  <si>
    <t>TRV</t>
  </si>
  <si>
    <t>TRAVELERS COMPANIES INC</t>
  </si>
  <si>
    <t>135,51</t>
  </si>
  <si>
    <t>19.827.823</t>
  </si>
  <si>
    <t>19.827.823,20</t>
  </si>
  <si>
    <t>US89417E1091</t>
  </si>
  <si>
    <t>B55JM22</t>
  </si>
  <si>
    <t>TOKYO ELECTRON LTD</t>
  </si>
  <si>
    <t>226,73</t>
  </si>
  <si>
    <t>19.720.548</t>
  </si>
  <si>
    <t>19.720.547,65</t>
  </si>
  <si>
    <t>JP3571400005</t>
  </si>
  <si>
    <t>B58R0Z2</t>
  </si>
  <si>
    <t>DPW</t>
  </si>
  <si>
    <t>DEUTSCHE POST AG</t>
  </si>
  <si>
    <t>37,84</t>
  </si>
  <si>
    <t>19.619.363</t>
  </si>
  <si>
    <t>19.619.362,92</t>
  </si>
  <si>
    <t>DE0005552004</t>
  </si>
  <si>
    <t>B59FKK0</t>
  </si>
  <si>
    <t>MURATA MANUFACTURING LTD</t>
  </si>
  <si>
    <t>62,83</t>
  </si>
  <si>
    <t>19.579.941</t>
  </si>
  <si>
    <t>19.579.940,78</t>
  </si>
  <si>
    <t>JP3914400001</t>
  </si>
  <si>
    <t>B59QNS2</t>
  </si>
  <si>
    <t>ITX</t>
  </si>
  <si>
    <t>INDUSTRIA DE DISENO TEXTIL INDITEX</t>
  </si>
  <si>
    <t>35,09</t>
  </si>
  <si>
    <t>19.554.382</t>
  </si>
  <si>
    <t>19.554.381,80</t>
  </si>
  <si>
    <t>ES0148396007</t>
  </si>
  <si>
    <t>B61VK25</t>
  </si>
  <si>
    <t>TOKIO MARINE HOLDINGS INC</t>
  </si>
  <si>
    <t>55,15</t>
  </si>
  <si>
    <t>19.438.078</t>
  </si>
  <si>
    <t>19.438.077,98</t>
  </si>
  <si>
    <t>JP3910660004</t>
  </si>
  <si>
    <t>B620Y41</t>
  </si>
  <si>
    <t>NEM</t>
  </si>
  <si>
    <t>NEWMONT</t>
  </si>
  <si>
    <t>42,27</t>
  </si>
  <si>
    <t>19.351.164</t>
  </si>
  <si>
    <t>19.351.163,73</t>
  </si>
  <si>
    <t>US6516391066</t>
  </si>
  <si>
    <t>B684TD1</t>
  </si>
  <si>
    <t>CM</t>
  </si>
  <si>
    <t>CANADIAN IMPERIAL BANK OF COMMERCE</t>
  </si>
  <si>
    <t>82,59</t>
  </si>
  <si>
    <t>19.319.694</t>
  </si>
  <si>
    <t>19.319.694,38</t>
  </si>
  <si>
    <t>CA1360691010</t>
  </si>
  <si>
    <t>B6Y7DS7</t>
  </si>
  <si>
    <t>DAIICHI SANKYO LTD</t>
  </si>
  <si>
    <t>65,50</t>
  </si>
  <si>
    <t>19.306.099</t>
  </si>
  <si>
    <t>19.306.099,23</t>
  </si>
  <si>
    <t>JP3475350009</t>
  </si>
  <si>
    <t>B75FVJ4</t>
  </si>
  <si>
    <t>CSGN</t>
  </si>
  <si>
    <t>CREDIT SUISSE GROUP AG</t>
  </si>
  <si>
    <t>13,85</t>
  </si>
  <si>
    <t>1.385.726</t>
  </si>
  <si>
    <t>19.192.999</t>
  </si>
  <si>
    <t>19.192.999,21</t>
  </si>
  <si>
    <t>CH0012138530</t>
  </si>
  <si>
    <t>B7D5Y75</t>
  </si>
  <si>
    <t>ROP</t>
  </si>
  <si>
    <t>ROPER TECHNOLOGIES INC</t>
  </si>
  <si>
    <t>370,35</t>
  </si>
  <si>
    <t>18.634.531</t>
  </si>
  <si>
    <t>18.634.530,60</t>
  </si>
  <si>
    <t>US7766961061</t>
  </si>
  <si>
    <t>B819M05</t>
  </si>
  <si>
    <t>FANUC CORP</t>
  </si>
  <si>
    <t>188,66</t>
  </si>
  <si>
    <t>18.593.001</t>
  </si>
  <si>
    <t>18.593.000,82</t>
  </si>
  <si>
    <t>JP3802400006</t>
  </si>
  <si>
    <t>ORLY</t>
  </si>
  <si>
    <t>OREILLY AUTOMOTIVE INC</t>
  </si>
  <si>
    <t>436,85</t>
  </si>
  <si>
    <t>18.573.551</t>
  </si>
  <si>
    <t>18.573.551,45</t>
  </si>
  <si>
    <t>US67103H1077</t>
  </si>
  <si>
    <t>B2R9WZ2</t>
  </si>
  <si>
    <t>CP</t>
  </si>
  <si>
    <t>CANADIAN PACIFIC RAILWAY LTD</t>
  </si>
  <si>
    <t>258,44</t>
  </si>
  <si>
    <t>18.458.398</t>
  </si>
  <si>
    <t>18.458.397,81</t>
  </si>
  <si>
    <t>CA13645T1003</t>
  </si>
  <si>
    <t>IR</t>
  </si>
  <si>
    <t>INGERSOLL RAND PLC</t>
  </si>
  <si>
    <t>131,18</t>
  </si>
  <si>
    <t>18.410.588</t>
  </si>
  <si>
    <t>18.410.588,28</t>
  </si>
  <si>
    <t>IE00B6330302</t>
  </si>
  <si>
    <t>SREN</t>
  </si>
  <si>
    <t>SWISS RE AG</t>
  </si>
  <si>
    <t>110,76</t>
  </si>
  <si>
    <t>18.309.109</t>
  </si>
  <si>
    <t>18.309.108,66</t>
  </si>
  <si>
    <t>CH0126881561</t>
  </si>
  <si>
    <t>TEL</t>
  </si>
  <si>
    <t>TE CONNECTIVITY LTD</t>
  </si>
  <si>
    <t>98,07</t>
  </si>
  <si>
    <t>18.300.843</t>
  </si>
  <si>
    <t>18.300.842,70</t>
  </si>
  <si>
    <t>CH0102993182</t>
  </si>
  <si>
    <t>HONG KONG EXCHANGES AND CLEARING L</t>
  </si>
  <si>
    <t>0,07</t>
  </si>
  <si>
    <t>35,41</t>
  </si>
  <si>
    <t>18.189.470</t>
  </si>
  <si>
    <t>18.189.469,58</t>
  </si>
  <si>
    <t>HK0388045442</t>
  </si>
  <si>
    <t>WELL</t>
  </si>
  <si>
    <t>WELLTOWER INC</t>
  </si>
  <si>
    <t>82,80</t>
  </si>
  <si>
    <t>18.160.855</t>
  </si>
  <si>
    <t>18.160.855,20</t>
  </si>
  <si>
    <t>US95040Q1040</t>
  </si>
  <si>
    <t>DB1</t>
  </si>
  <si>
    <t>DEUTSCHE BOERSE AG</t>
  </si>
  <si>
    <t>160,20</t>
  </si>
  <si>
    <t>18.116.181</t>
  </si>
  <si>
    <t>18.116.181,48</t>
  </si>
  <si>
    <t>DE0005810055</t>
  </si>
  <si>
    <t>B1G9126</t>
  </si>
  <si>
    <t>ITOCHU CORP</t>
  </si>
  <si>
    <t>23,50</t>
  </si>
  <si>
    <t>18.058.675</t>
  </si>
  <si>
    <t>18.058.674,69</t>
  </si>
  <si>
    <t>JP3143600009</t>
  </si>
  <si>
    <t>CTSH</t>
  </si>
  <si>
    <t>COGNIZANT TECHNOLOGY SOLUTIONS COR</t>
  </si>
  <si>
    <t>60,64</t>
  </si>
  <si>
    <t>18.056.409</t>
  </si>
  <si>
    <t>18.056.408,96</t>
  </si>
  <si>
    <t>US1924461023</t>
  </si>
  <si>
    <t>HPQ</t>
  </si>
  <si>
    <t>HP INC</t>
  </si>
  <si>
    <t>21,38</t>
  </si>
  <si>
    <t>17.974.957</t>
  </si>
  <si>
    <t>17.974.957,06</t>
  </si>
  <si>
    <t>US40434L1052</t>
  </si>
  <si>
    <t>STZ</t>
  </si>
  <si>
    <t>CONSTELLATION BRANDS INC CLASS A</t>
  </si>
  <si>
    <t>188,38</t>
  </si>
  <si>
    <t>17.831.109</t>
  </si>
  <si>
    <t>17.831.108,90</t>
  </si>
  <si>
    <t>US21036P1084</t>
  </si>
  <si>
    <t>EA</t>
  </si>
  <si>
    <t>ELECTRONIC ARTS INC</t>
  </si>
  <si>
    <t>108,59</t>
  </si>
  <si>
    <t>17.785.087</t>
  </si>
  <si>
    <t>17.785.087,38</t>
  </si>
  <si>
    <t>US2855121099</t>
  </si>
  <si>
    <t>PSA</t>
  </si>
  <si>
    <t>PUBLIC STORAGE REIT</t>
  </si>
  <si>
    <t>215,82</t>
  </si>
  <si>
    <t>17.681.485</t>
  </si>
  <si>
    <t>17.681.485,14</t>
  </si>
  <si>
    <t>US74460D1090</t>
  </si>
  <si>
    <t>B4VDZ44</t>
  </si>
  <si>
    <t>F</t>
  </si>
  <si>
    <t>FORD MOTOR CO</t>
  </si>
  <si>
    <t>9,25</t>
  </si>
  <si>
    <t>1.908.302</t>
  </si>
  <si>
    <t>17.651.794</t>
  </si>
  <si>
    <t>17.651.793,50</t>
  </si>
  <si>
    <t>US3453708600</t>
  </si>
  <si>
    <t>WES</t>
  </si>
  <si>
    <t>WESFARMERS LTD</t>
  </si>
  <si>
    <t>30,32</t>
  </si>
  <si>
    <t>17.431.906</t>
  </si>
  <si>
    <t>17.431.905,62</t>
  </si>
  <si>
    <t>AU000000WES1</t>
  </si>
  <si>
    <t>JCI</t>
  </si>
  <si>
    <t>JOHNSON CONTROLS INTERNATIONAL PLC</t>
  </si>
  <si>
    <t>40,98</t>
  </si>
  <si>
    <t>17.390.847</t>
  </si>
  <si>
    <t>17.390.846,52</t>
  </si>
  <si>
    <t>IE00BY7QL619</t>
  </si>
  <si>
    <t>B3SYJL8</t>
  </si>
  <si>
    <t>XEL</t>
  </si>
  <si>
    <t>XCEL ENERGY INC</t>
  </si>
  <si>
    <t>62,64</t>
  </si>
  <si>
    <t>17.332.237</t>
  </si>
  <si>
    <t>17.332.237,44</t>
  </si>
  <si>
    <t>US98389B1008</t>
  </si>
  <si>
    <t>B5V7S33</t>
  </si>
  <si>
    <t>MITSUI LTD</t>
  </si>
  <si>
    <t>17,99</t>
  </si>
  <si>
    <t>17.323.360</t>
  </si>
  <si>
    <t>17.323.359,60</t>
  </si>
  <si>
    <t>JP3893600001</t>
  </si>
  <si>
    <t>BDVHRJ8</t>
  </si>
  <si>
    <t>EAST JAPAN RAILWAY</t>
  </si>
  <si>
    <t>17.293.655</t>
  </si>
  <si>
    <t>17.293.655,02</t>
  </si>
  <si>
    <t>JP3783600004</t>
  </si>
  <si>
    <t>ASTELLAS PHARMA INC</t>
  </si>
  <si>
    <t>17,16</t>
  </si>
  <si>
    <t>1.007.600</t>
  </si>
  <si>
    <t>17.289.960</t>
  </si>
  <si>
    <t>17.289.959,84</t>
  </si>
  <si>
    <t>JP3942400007</t>
  </si>
  <si>
    <t>APH</t>
  </si>
  <si>
    <t>AMPHENOL CORP CLASS A</t>
  </si>
  <si>
    <t>108,32</t>
  </si>
  <si>
    <t>17.251.693</t>
  </si>
  <si>
    <t>17.251.693,12</t>
  </si>
  <si>
    <t>US0320951017</t>
  </si>
  <si>
    <t>B18TH93</t>
  </si>
  <si>
    <t>YUM</t>
  </si>
  <si>
    <t>YUM BRANDS INC</t>
  </si>
  <si>
    <t>101,69</t>
  </si>
  <si>
    <t>17.249.370</t>
  </si>
  <si>
    <t>17.249.369,63</t>
  </si>
  <si>
    <t>US9884981013</t>
  </si>
  <si>
    <t>TROW</t>
  </si>
  <si>
    <t>T ROWE PRICE GROUP INC</t>
  </si>
  <si>
    <t>127,46</t>
  </si>
  <si>
    <t>17.238.583</t>
  </si>
  <si>
    <t>17.238.582,62</t>
  </si>
  <si>
    <t>US74144T1088</t>
  </si>
  <si>
    <t>BJ0JR20</t>
  </si>
  <si>
    <t>NIDEC CORP</t>
  </si>
  <si>
    <t>140,79</t>
  </si>
  <si>
    <t>17.232.749</t>
  </si>
  <si>
    <t>17.232.749,18</t>
  </si>
  <si>
    <t>JP3734800000</t>
  </si>
  <si>
    <t>D05</t>
  </si>
  <si>
    <t>DBS GROUP HOLDINGS LTD</t>
  </si>
  <si>
    <t>19,28</t>
  </si>
  <si>
    <t>17.165.110</t>
  </si>
  <si>
    <t>17.165.109,76</t>
  </si>
  <si>
    <t>SG1L01001701</t>
  </si>
  <si>
    <t>Singapore Exchange</t>
  </si>
  <si>
    <t>Singapur</t>
  </si>
  <si>
    <t>SGD</t>
  </si>
  <si>
    <t>B2R0YF9</t>
  </si>
  <si>
    <t>NIPPON TELEGRAPH AND TELEPHONE COR</t>
  </si>
  <si>
    <t>25,45</t>
  </si>
  <si>
    <t>17.037.440</t>
  </si>
  <si>
    <t>17.037.439,76</t>
  </si>
  <si>
    <t>JP3735400008</t>
  </si>
  <si>
    <t>SEVEN &amp; I HOLDINGS LTD</t>
  </si>
  <si>
    <t>38,07</t>
  </si>
  <si>
    <t>17.006.533</t>
  </si>
  <si>
    <t>17.006.532,97</t>
  </si>
  <si>
    <t>JP3422950000</t>
  </si>
  <si>
    <t>PPG</t>
  </si>
  <si>
    <t>PPG INDUSTRIES INC</t>
  </si>
  <si>
    <t>128,09</t>
  </si>
  <si>
    <t>16.869.453</t>
  </si>
  <si>
    <t>16.869.453,00</t>
  </si>
  <si>
    <t>US6935061076</t>
  </si>
  <si>
    <t>MQG</t>
  </si>
  <si>
    <t>MACQUARIE GROUP LTD DEF</t>
  </si>
  <si>
    <t>96,92</t>
  </si>
  <si>
    <t>16.824.116</t>
  </si>
  <si>
    <t>16.824.115,83</t>
  </si>
  <si>
    <t>AU000000MQG1</t>
  </si>
  <si>
    <t>TEF</t>
  </si>
  <si>
    <t>TELEFONICA SA</t>
  </si>
  <si>
    <t>6,87</t>
  </si>
  <si>
    <t>2.449.255</t>
  </si>
  <si>
    <t>16.819.112</t>
  </si>
  <si>
    <t>16.819.111,60</t>
  </si>
  <si>
    <t>ES0178430E18</t>
  </si>
  <si>
    <t>GIS</t>
  </si>
  <si>
    <t>GENERAL MILLS INC</t>
  </si>
  <si>
    <t>52,25</t>
  </si>
  <si>
    <t>16.796.442</t>
  </si>
  <si>
    <t>16.796.441,75</t>
  </si>
  <si>
    <t>US3703341046</t>
  </si>
  <si>
    <t>CRG</t>
  </si>
  <si>
    <t>CRH PLC</t>
  </si>
  <si>
    <t>38,92</t>
  </si>
  <si>
    <t>16.723.077</t>
  </si>
  <si>
    <t>16.723.076,56</t>
  </si>
  <si>
    <t>IE0001827041</t>
  </si>
  <si>
    <t>Irish Stock Exchange - All Market</t>
  </si>
  <si>
    <t>NTR</t>
  </si>
  <si>
    <t>NUTRIEN LTD</t>
  </si>
  <si>
    <t>47,23</t>
  </si>
  <si>
    <t>16.717.161</t>
  </si>
  <si>
    <t>16.717.160,94</t>
  </si>
  <si>
    <t>CA67077M1086</t>
  </si>
  <si>
    <t>REGN</t>
  </si>
  <si>
    <t>REGENERON PHARMACEUTICALS INC</t>
  </si>
  <si>
    <t>381,41</t>
  </si>
  <si>
    <t>16.707.665</t>
  </si>
  <si>
    <t>16.707.665,05</t>
  </si>
  <si>
    <t>US75886F1075</t>
  </si>
  <si>
    <t>SHISEIDO LTD</t>
  </si>
  <si>
    <t>72,61</t>
  </si>
  <si>
    <t>16.579.814</t>
  </si>
  <si>
    <t>16.579.814,49</t>
  </si>
  <si>
    <t>JP3351600006</t>
  </si>
  <si>
    <t>FAST RETAILING LTD</t>
  </si>
  <si>
    <t>565,81</t>
  </si>
  <si>
    <t>16.552.733</t>
  </si>
  <si>
    <t>16.552.733,21</t>
  </si>
  <si>
    <t>JP3802300008</t>
  </si>
  <si>
    <t>PEG</t>
  </si>
  <si>
    <t>PUBLIC SERVICE ENTERPRISE GROUP IN</t>
  </si>
  <si>
    <t>58,30</t>
  </si>
  <si>
    <t>16.458.323</t>
  </si>
  <si>
    <t>16.458.323,20</t>
  </si>
  <si>
    <t>US7445731067</t>
  </si>
  <si>
    <t>INFO</t>
  </si>
  <si>
    <t>IHS MARKIT LTD</t>
  </si>
  <si>
    <t>78,26</t>
  </si>
  <si>
    <t>16.423.878</t>
  </si>
  <si>
    <t>16.423.878,38</t>
  </si>
  <si>
    <t>BMG475671050</t>
  </si>
  <si>
    <t>STT</t>
  </si>
  <si>
    <t>STATE STREET CORP</t>
  </si>
  <si>
    <t>81,69</t>
  </si>
  <si>
    <t>16.347.721</t>
  </si>
  <si>
    <t>16.347.721,11</t>
  </si>
  <si>
    <t>US8574771031</t>
  </si>
  <si>
    <t>VFC</t>
  </si>
  <si>
    <t>VF CORP</t>
  </si>
  <si>
    <t>95,06</t>
  </si>
  <si>
    <t>16.302.030</t>
  </si>
  <si>
    <t>16.302.029,52</t>
  </si>
  <si>
    <t>US9182041080</t>
  </si>
  <si>
    <t>TSCO</t>
  </si>
  <si>
    <t>TESCO PLC</t>
  </si>
  <si>
    <t>3,26</t>
  </si>
  <si>
    <t>4.997.974</t>
  </si>
  <si>
    <t>16.279.844</t>
  </si>
  <si>
    <t>16.279.844,23</t>
  </si>
  <si>
    <t>GB0008847096</t>
  </si>
  <si>
    <t>B01KLZ0</t>
  </si>
  <si>
    <t>HLT</t>
  </si>
  <si>
    <t>HILTON WORLDWIDE HOLDINGS INC</t>
  </si>
  <si>
    <t>108,60</t>
  </si>
  <si>
    <t>16.248.949</t>
  </si>
  <si>
    <t>16.248.949,20</t>
  </si>
  <si>
    <t>US43300A2033</t>
  </si>
  <si>
    <t>B07ZFV3</t>
  </si>
  <si>
    <t>MSI</t>
  </si>
  <si>
    <t>MOTOROLA SOLUTIONS INC</t>
  </si>
  <si>
    <t>167,30</t>
  </si>
  <si>
    <t>16.233.956</t>
  </si>
  <si>
    <t>16.233.955,50</t>
  </si>
  <si>
    <t>US6200763075</t>
  </si>
  <si>
    <t>B23GZT2</t>
  </si>
  <si>
    <t>AD</t>
  </si>
  <si>
    <t>KONINKLIJKE AHOLD DELHAIZE NV</t>
  </si>
  <si>
    <t>16.169.968</t>
  </si>
  <si>
    <t>16.169.968,05</t>
  </si>
  <si>
    <t>NL0011794037</t>
  </si>
  <si>
    <t>B23GZV4</t>
  </si>
  <si>
    <t>SBAC</t>
  </si>
  <si>
    <t>SBA COMMUNICATIONS REIT CORP CLASS</t>
  </si>
  <si>
    <t>244,83</t>
  </si>
  <si>
    <t>16.168.818</t>
  </si>
  <si>
    <t>16.168.818,03</t>
  </si>
  <si>
    <t>US78410G1040</t>
  </si>
  <si>
    <t>B3XCR35</t>
  </si>
  <si>
    <t>ENGI</t>
  </si>
  <si>
    <t>ENGIE SA</t>
  </si>
  <si>
    <t>16,40</t>
  </si>
  <si>
    <t>16.118.122</t>
  </si>
  <si>
    <t>16.118.121,51</t>
  </si>
  <si>
    <t>FR0010208488</t>
  </si>
  <si>
    <t>B3XG9M0</t>
  </si>
  <si>
    <t>EXPN</t>
  </si>
  <si>
    <t>EXPERIAN PLC</t>
  </si>
  <si>
    <t>33,55</t>
  </si>
  <si>
    <t>16.074.866</t>
  </si>
  <si>
    <t>16.074.865,92</t>
  </si>
  <si>
    <t>GB00B19NLV48</t>
  </si>
  <si>
    <t>B427D96</t>
  </si>
  <si>
    <t>EQR</t>
  </si>
  <si>
    <t>EQUITY RESIDENTIAL REIT</t>
  </si>
  <si>
    <t>81,26</t>
  </si>
  <si>
    <t>16.032.110</t>
  </si>
  <si>
    <t>16.032.110,44</t>
  </si>
  <si>
    <t>US29476L1070</t>
  </si>
  <si>
    <t>B4JQJR6</t>
  </si>
  <si>
    <t>IFX</t>
  </si>
  <si>
    <t>INFINEON TECHNOLOGIES AG</t>
  </si>
  <si>
    <t>23,81</t>
  </si>
  <si>
    <t>15.926.076</t>
  </si>
  <si>
    <t>15.926.075,57</t>
  </si>
  <si>
    <t>DE0006231004</t>
  </si>
  <si>
    <t>B51R1H8</t>
  </si>
  <si>
    <t>ATD.B</t>
  </si>
  <si>
    <t>ALIMENTATION COUCHE TARD SUB VOTIN</t>
  </si>
  <si>
    <t>33,14</t>
  </si>
  <si>
    <t>15.832.486</t>
  </si>
  <si>
    <t>15.832.485,73</t>
  </si>
  <si>
    <t>CA01626P4033</t>
  </si>
  <si>
    <t>B52JNH7</t>
  </si>
  <si>
    <t>CANON INC</t>
  </si>
  <si>
    <t>0,06</t>
  </si>
  <si>
    <t>15.748.666</t>
  </si>
  <si>
    <t>15.748.665,94</t>
  </si>
  <si>
    <t>JP3242800005</t>
  </si>
  <si>
    <t>B64QPN3</t>
  </si>
  <si>
    <t>CENTRAL JAPAN RAILWAY</t>
  </si>
  <si>
    <t>200,07</t>
  </si>
  <si>
    <t>15.717.736</t>
  </si>
  <si>
    <t>15.717.736,40</t>
  </si>
  <si>
    <t>JP3566800003</t>
  </si>
  <si>
    <t>LSE</t>
  </si>
  <si>
    <t>LONDON STOCK EXCHANGE GROUP PLC</t>
  </si>
  <si>
    <t>99,94</t>
  </si>
  <si>
    <t>15.698.510</t>
  </si>
  <si>
    <t>15.698.509,58</t>
  </si>
  <si>
    <t>GB00B0SWJX34</t>
  </si>
  <si>
    <t>VIV</t>
  </si>
  <si>
    <t>VIVENDI SA</t>
  </si>
  <si>
    <t>28,78</t>
  </si>
  <si>
    <t>15.688.988</t>
  </si>
  <si>
    <t>15.688.987,96</t>
  </si>
  <si>
    <t>FR0000127771</t>
  </si>
  <si>
    <t>B59WFS4</t>
  </si>
  <si>
    <t>AAL</t>
  </si>
  <si>
    <t>ANGLO AMERICAN PLC</t>
  </si>
  <si>
    <t>28,28</t>
  </si>
  <si>
    <t>15.550.405</t>
  </si>
  <si>
    <t>15.550.404,85</t>
  </si>
  <si>
    <t>GB00B1XZS820</t>
  </si>
  <si>
    <t>BJ3WDM8</t>
  </si>
  <si>
    <t>EBAY</t>
  </si>
  <si>
    <t>EBAY INC</t>
  </si>
  <si>
    <t>34,89</t>
  </si>
  <si>
    <t>15.545.554</t>
  </si>
  <si>
    <t>15.545.553,51</t>
  </si>
  <si>
    <t>US2786421030</t>
  </si>
  <si>
    <t>B8P39Z7</t>
  </si>
  <si>
    <t>TSN</t>
  </si>
  <si>
    <t>TYSON FOODS INC CLASS A</t>
  </si>
  <si>
    <t>91,92</t>
  </si>
  <si>
    <t>15.537.238</t>
  </si>
  <si>
    <t>15.537.237,60</t>
  </si>
  <si>
    <t>US9024941034</t>
  </si>
  <si>
    <t>BHB9338</t>
  </si>
  <si>
    <t>WDAY</t>
  </si>
  <si>
    <t>WORKDAY INC CLASS A</t>
  </si>
  <si>
    <t>180,11</t>
  </si>
  <si>
    <t>15.381.214</t>
  </si>
  <si>
    <t>15.381.213,89</t>
  </si>
  <si>
    <t>US98138H1014</t>
  </si>
  <si>
    <t>B52KSP3</t>
  </si>
  <si>
    <t>SLF</t>
  </si>
  <si>
    <t>SUN LIFE FINANCIAL INC</t>
  </si>
  <si>
    <t>47,98</t>
  </si>
  <si>
    <t>15.331.405</t>
  </si>
  <si>
    <t>15.331.404,56</t>
  </si>
  <si>
    <t>CA8667961053</t>
  </si>
  <si>
    <t>ZBH</t>
  </si>
  <si>
    <t>ZIMMER BIOMET HOLDINGS INC</t>
  </si>
  <si>
    <t>149,99</t>
  </si>
  <si>
    <t>15.330.328</t>
  </si>
  <si>
    <t>15.330.327,91</t>
  </si>
  <si>
    <t>US98956P1021</t>
  </si>
  <si>
    <t>B4RHV31</t>
  </si>
  <si>
    <t>TCL</t>
  </si>
  <si>
    <t>TRANSURBAN GROUP STAPLED UNITS</t>
  </si>
  <si>
    <t>10,64</t>
  </si>
  <si>
    <t>1.439.282</t>
  </si>
  <si>
    <t>15.315.940</t>
  </si>
  <si>
    <t>15.315.940,21</t>
  </si>
  <si>
    <t>AU000000TCL6</t>
  </si>
  <si>
    <t>BTG8044</t>
  </si>
  <si>
    <t>AVB</t>
  </si>
  <si>
    <t>AVALONBAY COMMUNITIES REIT INC</t>
  </si>
  <si>
    <t>208,45</t>
  </si>
  <si>
    <t>15.285.222</t>
  </si>
  <si>
    <t>15.285.221,60</t>
  </si>
  <si>
    <t>US0534841012</t>
  </si>
  <si>
    <t>BVV6QH2</t>
  </si>
  <si>
    <t>MITSUBISHI ELECTRIC CORP</t>
  </si>
  <si>
    <t>13,86</t>
  </si>
  <si>
    <t>1.101.311</t>
  </si>
  <si>
    <t>15.269.180</t>
  </si>
  <si>
    <t>15.269.180,44</t>
  </si>
  <si>
    <t>JP3902400005</t>
  </si>
  <si>
    <t>BW9LF13</t>
  </si>
  <si>
    <t>MCHP</t>
  </si>
  <si>
    <t>MICROCHIP TECHNOLOGY INC</t>
  </si>
  <si>
    <t>110,83</t>
  </si>
  <si>
    <t>15.253.533</t>
  </si>
  <si>
    <t>15.253.532,90</t>
  </si>
  <si>
    <t>US5950171042</t>
  </si>
  <si>
    <t>B3QDJB7</t>
  </si>
  <si>
    <t>STAN</t>
  </si>
  <si>
    <t>STANDARD CHARTERED PLC</t>
  </si>
  <si>
    <t>9,28</t>
  </si>
  <si>
    <t>1.643.286</t>
  </si>
  <si>
    <t>15.250.994</t>
  </si>
  <si>
    <t>15.250.994,41</t>
  </si>
  <si>
    <t>GB0004082847</t>
  </si>
  <si>
    <t>BVHFB90</t>
  </si>
  <si>
    <t>AZO</t>
  </si>
  <si>
    <t>AUTOZONE INC</t>
  </si>
  <si>
    <t>1.132,22</t>
  </si>
  <si>
    <t>15.167.219</t>
  </si>
  <si>
    <t>15.167.219,12</t>
  </si>
  <si>
    <t>US0533321024</t>
  </si>
  <si>
    <t>B1FPYN7</t>
  </si>
  <si>
    <t>ED</t>
  </si>
  <si>
    <t>CONSOLIDATED EDISON INC</t>
  </si>
  <si>
    <t>87,49</t>
  </si>
  <si>
    <t>15.020.021</t>
  </si>
  <si>
    <t>15.020.020,73</t>
  </si>
  <si>
    <t>US2091151041</t>
  </si>
  <si>
    <t>B4JWBN4</t>
  </si>
  <si>
    <t>ABX</t>
  </si>
  <si>
    <t>BARRICK GOLD CORP</t>
  </si>
  <si>
    <t>17,84</t>
  </si>
  <si>
    <t>15.010.277</t>
  </si>
  <si>
    <t>15.010.276,96</t>
  </si>
  <si>
    <t>CA0679011084</t>
  </si>
  <si>
    <t>BYL7784</t>
  </si>
  <si>
    <t>WMB</t>
  </si>
  <si>
    <t>WILLIAMS INC</t>
  </si>
  <si>
    <t>14.980.451</t>
  </si>
  <si>
    <t>14.980.451,00</t>
  </si>
  <si>
    <t>US9694571004</t>
  </si>
  <si>
    <t>BZ0HMX2</t>
  </si>
  <si>
    <t>WEC</t>
  </si>
  <si>
    <t>WEC ENERGY GROUP INC</t>
  </si>
  <si>
    <t>92,54</t>
  </si>
  <si>
    <t>14.965.291</t>
  </si>
  <si>
    <t>14.965.291,18</t>
  </si>
  <si>
    <t>US92939U1060</t>
  </si>
  <si>
    <t>B5LGPG2</t>
  </si>
  <si>
    <t>TDG</t>
  </si>
  <si>
    <t>TRANSDIGM GROUP INC</t>
  </si>
  <si>
    <t>595,47</t>
  </si>
  <si>
    <t>14.893.300</t>
  </si>
  <si>
    <t>14.893.300,17</t>
  </si>
  <si>
    <t>US8936411003</t>
  </si>
  <si>
    <t>B62Q4K5</t>
  </si>
  <si>
    <t>OKE</t>
  </si>
  <si>
    <t>ONEOK INC</t>
  </si>
  <si>
    <t>75,53</t>
  </si>
  <si>
    <t>14.856.600</t>
  </si>
  <si>
    <t>14.856.599,94</t>
  </si>
  <si>
    <t>US6826801036</t>
  </si>
  <si>
    <t>BTG8088</t>
  </si>
  <si>
    <t>A</t>
  </si>
  <si>
    <t>AGILENT TECHNOLOGIES INC</t>
  </si>
  <si>
    <t>87,59</t>
  </si>
  <si>
    <t>14.843.965</t>
  </si>
  <si>
    <t>14.843.964,89</t>
  </si>
  <si>
    <t>US00846U1016</t>
  </si>
  <si>
    <t>ORA</t>
  </si>
  <si>
    <t>ORANGE SA</t>
  </si>
  <si>
    <t>14,58</t>
  </si>
  <si>
    <t>1.013.285</t>
  </si>
  <si>
    <t>14.774.619</t>
  </si>
  <si>
    <t>14.774.619,42</t>
  </si>
  <si>
    <t>FR0000133308</t>
  </si>
  <si>
    <t>B4PF9Z5</t>
  </si>
  <si>
    <t>ADM</t>
  </si>
  <si>
    <t>ARCHER DANIELS MIDLAND</t>
  </si>
  <si>
    <t>43,95</t>
  </si>
  <si>
    <t>14.763.728</t>
  </si>
  <si>
    <t>14.763.727,95</t>
  </si>
  <si>
    <t>US0394831020</t>
  </si>
  <si>
    <t>B4VJ489</t>
  </si>
  <si>
    <t>WLTW</t>
  </si>
  <si>
    <t>WILLIS TOWERS WATSON PLC</t>
  </si>
  <si>
    <t>205,00</t>
  </si>
  <si>
    <t>14.761.230</t>
  </si>
  <si>
    <t>14.761.230,00</t>
  </si>
  <si>
    <t>IE00BDB6Q211</t>
  </si>
  <si>
    <t>B4W6RJ1</t>
  </si>
  <si>
    <t>BMW</t>
  </si>
  <si>
    <t>BMW AG</t>
  </si>
  <si>
    <t>82,87</t>
  </si>
  <si>
    <t>14.742.344</t>
  </si>
  <si>
    <t>14.742.343,70</t>
  </si>
  <si>
    <t>DE0005190003</t>
  </si>
  <si>
    <t>B64W832</t>
  </si>
  <si>
    <t>MELI</t>
  </si>
  <si>
    <t>MERCADOLIBRE INC</t>
  </si>
  <si>
    <t>669,48</t>
  </si>
  <si>
    <t>14.710.484</t>
  </si>
  <si>
    <t>14.710.484,04</t>
  </si>
  <si>
    <t>US58733R1023</t>
  </si>
  <si>
    <t>BYY36X7</t>
  </si>
  <si>
    <t>UCG</t>
  </si>
  <si>
    <t>UNICREDIT</t>
  </si>
  <si>
    <t>14,89</t>
  </si>
  <si>
    <t>14.674.010</t>
  </si>
  <si>
    <t>14.674.010,23</t>
  </si>
  <si>
    <t>IT0005239360</t>
  </si>
  <si>
    <t>BD2YFQ1</t>
  </si>
  <si>
    <t>LVS</t>
  </si>
  <si>
    <t>LAS VEGAS SANDS CORP</t>
  </si>
  <si>
    <t>70,91</t>
  </si>
  <si>
    <t>14.669.648</t>
  </si>
  <si>
    <t>14.669.648,07</t>
  </si>
  <si>
    <t>US5178341070</t>
  </si>
  <si>
    <t>B0766H9</t>
  </si>
  <si>
    <t>SMC (JAPAN) CORP</t>
  </si>
  <si>
    <t>484,85</t>
  </si>
  <si>
    <t>14.664.242</t>
  </si>
  <si>
    <t>14.664.242,42</t>
  </si>
  <si>
    <t>JP3162600005</t>
  </si>
  <si>
    <t>BYWKWP4</t>
  </si>
  <si>
    <t>ORIENTAL LAND LTD</t>
  </si>
  <si>
    <t>145,26</t>
  </si>
  <si>
    <t>14.613.445</t>
  </si>
  <si>
    <t>14.613.444,69</t>
  </si>
  <si>
    <t>JP3198900007</t>
  </si>
  <si>
    <t>MCK</t>
  </si>
  <si>
    <t>MCKESSON CORP</t>
  </si>
  <si>
    <t>143,81</t>
  </si>
  <si>
    <t>14.490.296</t>
  </si>
  <si>
    <t>14.490.295,60</t>
  </si>
  <si>
    <t>US58155Q1031</t>
  </si>
  <si>
    <t>B02FVZ4</t>
  </si>
  <si>
    <t>HEIA</t>
  </si>
  <si>
    <t>HEINEKEN NV</t>
  </si>
  <si>
    <t>108,89</t>
  </si>
  <si>
    <t>14.467.788</t>
  </si>
  <si>
    <t>14.467.788,44</t>
  </si>
  <si>
    <t>NL0000009165</t>
  </si>
  <si>
    <t>PXD</t>
  </si>
  <si>
    <t>PIONEER NATURAL RESOURCE</t>
  </si>
  <si>
    <t>149,40</t>
  </si>
  <si>
    <t>14.458.932</t>
  </si>
  <si>
    <t>14.458.932,00</t>
  </si>
  <si>
    <t>US7237871071</t>
  </si>
  <si>
    <t>BV86QQ4</t>
  </si>
  <si>
    <t>PCAR</t>
  </si>
  <si>
    <t>PACCAR INC</t>
  </si>
  <si>
    <t>77,81</t>
  </si>
  <si>
    <t>14.429.242</t>
  </si>
  <si>
    <t>14.429.242,02</t>
  </si>
  <si>
    <t>US6937181088</t>
  </si>
  <si>
    <t>BDC68B3</t>
  </si>
  <si>
    <t>BA.</t>
  </si>
  <si>
    <t>BAE SYSTEMS PLC</t>
  </si>
  <si>
    <t>7,74</t>
  </si>
  <si>
    <t>1.861.963</t>
  </si>
  <si>
    <t>14.415.810</t>
  </si>
  <si>
    <t>14.415.809,85</t>
  </si>
  <si>
    <t>GB0002634946</t>
  </si>
  <si>
    <t>SUN HUNG KAI PROPERTIES LTD</t>
  </si>
  <si>
    <t>15,32</t>
  </si>
  <si>
    <t>14.395.376</t>
  </si>
  <si>
    <t>14.395.375,55</t>
  </si>
  <si>
    <t>HK0016000132</t>
  </si>
  <si>
    <t>EIX</t>
  </si>
  <si>
    <t>EDISON INTERNATIONAL</t>
  </si>
  <si>
    <t>75,50</t>
  </si>
  <si>
    <t>14.386.450</t>
  </si>
  <si>
    <t>14.386.449,50</t>
  </si>
  <si>
    <t>US2810201077</t>
  </si>
  <si>
    <t>BZ8VFD7</t>
  </si>
  <si>
    <t>VNA</t>
  </si>
  <si>
    <t>VONOVIA SE</t>
  </si>
  <si>
    <t>54,39</t>
  </si>
  <si>
    <t>14.283.001</t>
  </si>
  <si>
    <t>14.283.000,90</t>
  </si>
  <si>
    <t>DE000A1ML7J1</t>
  </si>
  <si>
    <t>B4ZW310</t>
  </si>
  <si>
    <t>GLE</t>
  </si>
  <si>
    <t>SOCIETE GENERALE SA</t>
  </si>
  <si>
    <t>34,94</t>
  </si>
  <si>
    <t>14.273.056</t>
  </si>
  <si>
    <t>14.273.056,15</t>
  </si>
  <si>
    <t>FR0000130809</t>
  </si>
  <si>
    <t>GIVN</t>
  </si>
  <si>
    <t>GIVAUDAN SA</t>
  </si>
  <si>
    <t>3.093,76</t>
  </si>
  <si>
    <t>14.259.131</t>
  </si>
  <si>
    <t>14.259.130,75</t>
  </si>
  <si>
    <t>CH0010645932</t>
  </si>
  <si>
    <t>B1VYT77</t>
  </si>
  <si>
    <t>LONN</t>
  </si>
  <si>
    <t>LONZA GROUP AG</t>
  </si>
  <si>
    <t>365,68</t>
  </si>
  <si>
    <t>14.230.880</t>
  </si>
  <si>
    <t>14.230.880,45</t>
  </si>
  <si>
    <t>CH0013841017</t>
  </si>
  <si>
    <t>B28TM84</t>
  </si>
  <si>
    <t>TMUS</t>
  </si>
  <si>
    <t>T MOBILE US INC</t>
  </si>
  <si>
    <t>79,00</t>
  </si>
  <si>
    <t>14.206.412</t>
  </si>
  <si>
    <t>14.206.412,00</t>
  </si>
  <si>
    <t>US8725901040</t>
  </si>
  <si>
    <t>B29LC34</t>
  </si>
  <si>
    <t>DFS</t>
  </si>
  <si>
    <t>DISCOVER FINANCIAL SERVICES</t>
  </si>
  <si>
    <t>82,68</t>
  </si>
  <si>
    <t>14.139.355</t>
  </si>
  <si>
    <t>14.139.354,84</t>
  </si>
  <si>
    <t>US2547091080</t>
  </si>
  <si>
    <t>B3P1NF4</t>
  </si>
  <si>
    <t>CMI</t>
  </si>
  <si>
    <t>CUMMINS INC</t>
  </si>
  <si>
    <t>171,43</t>
  </si>
  <si>
    <t>13.998.974</t>
  </si>
  <si>
    <t>13.998.973,80</t>
  </si>
  <si>
    <t>US2310211063</t>
  </si>
  <si>
    <t>B3TZB92</t>
  </si>
  <si>
    <t>PH</t>
  </si>
  <si>
    <t>PARKER-HANNIFIN CORP</t>
  </si>
  <si>
    <t>205,31</t>
  </si>
  <si>
    <t>13.998.446</t>
  </si>
  <si>
    <t>13.998.446,42</t>
  </si>
  <si>
    <t>US7010941042</t>
  </si>
  <si>
    <t>B3Y6VL2</t>
  </si>
  <si>
    <t>JAPAN TOBACCO INC</t>
  </si>
  <si>
    <t>22,05</t>
  </si>
  <si>
    <t>13.997.774</t>
  </si>
  <si>
    <t>13.997.774,00</t>
  </si>
  <si>
    <t>JP3726800000</t>
  </si>
  <si>
    <t>B44DPG3</t>
  </si>
  <si>
    <t>PPL</t>
  </si>
  <si>
    <t>PPL CORP</t>
  </si>
  <si>
    <t>35,44</t>
  </si>
  <si>
    <t>13.785.947</t>
  </si>
  <si>
    <t>13.785.947,36</t>
  </si>
  <si>
    <t>US69351T1060</t>
  </si>
  <si>
    <t>B4NZPZ9</t>
  </si>
  <si>
    <t>CNC</t>
  </si>
  <si>
    <t>CENTENE CORP</t>
  </si>
  <si>
    <t>64,48</t>
  </si>
  <si>
    <t>13.774.991</t>
  </si>
  <si>
    <t>13.774.991,36</t>
  </si>
  <si>
    <t>US15135B1017</t>
  </si>
  <si>
    <t>B4R3NW2</t>
  </si>
  <si>
    <t>ES</t>
  </si>
  <si>
    <t>EVERSOURCE ENERGY</t>
  </si>
  <si>
    <t>84,41</t>
  </si>
  <si>
    <t>13.764.908</t>
  </si>
  <si>
    <t>13.764.907,52</t>
  </si>
  <si>
    <t>US30040W1080</t>
  </si>
  <si>
    <t>B84Y5D1</t>
  </si>
  <si>
    <t>IQV</t>
  </si>
  <si>
    <t>IQVIA HOLDINGS INC</t>
  </si>
  <si>
    <t>159,30</t>
  </si>
  <si>
    <t>13.733.412</t>
  </si>
  <si>
    <t>13.733.412,30</t>
  </si>
  <si>
    <t>US46266C1053</t>
  </si>
  <si>
    <t>BD1FTB8</t>
  </si>
  <si>
    <t>LHN</t>
  </si>
  <si>
    <t>LAFARGEHOLCIM LTD</t>
  </si>
  <si>
    <t>54,09</t>
  </si>
  <si>
    <t>13.703.654</t>
  </si>
  <si>
    <t>13.703.653,70</t>
  </si>
  <si>
    <t>CH0012214059</t>
  </si>
  <si>
    <t>BYQ83C8</t>
  </si>
  <si>
    <t>PAYX</t>
  </si>
  <si>
    <t>PAYCHEX INC</t>
  </si>
  <si>
    <t>85,27</t>
  </si>
  <si>
    <t>13.694.277</t>
  </si>
  <si>
    <t>13.694.276,73</t>
  </si>
  <si>
    <t>US7043261079</t>
  </si>
  <si>
    <t>B24DSB5</t>
  </si>
  <si>
    <t>PANW</t>
  </si>
  <si>
    <t>PALO ALTO NETWORKS INC</t>
  </si>
  <si>
    <t>237,87</t>
  </si>
  <si>
    <t>13.670.627</t>
  </si>
  <si>
    <t>13.670.626,77</t>
  </si>
  <si>
    <t>US6974351057</t>
  </si>
  <si>
    <t>BD5BP36</t>
  </si>
  <si>
    <t>CTAS</t>
  </si>
  <si>
    <t>CINTAS CORP</t>
  </si>
  <si>
    <t>278,84</t>
  </si>
  <si>
    <t>13.644.757</t>
  </si>
  <si>
    <t>13.644.756,56</t>
  </si>
  <si>
    <t>US1729081059</t>
  </si>
  <si>
    <t>BZHJNL6</t>
  </si>
  <si>
    <t>SIKA</t>
  </si>
  <si>
    <t>SIKA AG</t>
  </si>
  <si>
    <t>181,35</t>
  </si>
  <si>
    <t>13.593.719</t>
  </si>
  <si>
    <t>13.593.718,98</t>
  </si>
  <si>
    <t>CH0418792922</t>
  </si>
  <si>
    <t>BD3H4Q2</t>
  </si>
  <si>
    <t>MNST</t>
  </si>
  <si>
    <t>MONSTER BEVERAGE CORP</t>
  </si>
  <si>
    <t>65,34</t>
  </si>
  <si>
    <t>13.536.815</t>
  </si>
  <si>
    <t>13.536.814,50</t>
  </si>
  <si>
    <t>US61174X1090</t>
  </si>
  <si>
    <t>BD3NFF6</t>
  </si>
  <si>
    <t>ERIC B</t>
  </si>
  <si>
    <t>ERICSSON B</t>
  </si>
  <si>
    <t>8,65</t>
  </si>
  <si>
    <t>1.561.740</t>
  </si>
  <si>
    <t>13.511.492</t>
  </si>
  <si>
    <t>13.511.491,90</t>
  </si>
  <si>
    <t>SE0000108656</t>
  </si>
  <si>
    <t>Nasdaq Omx Nordic</t>
  </si>
  <si>
    <t>Schweden</t>
  </si>
  <si>
    <t>SEK</t>
  </si>
  <si>
    <t>BDGMHZ4</t>
  </si>
  <si>
    <t>ROK</t>
  </si>
  <si>
    <t>ROCKWELL AUTOMATION INC</t>
  </si>
  <si>
    <t>13.465.594</t>
  </si>
  <si>
    <t>13.465.594,13</t>
  </si>
  <si>
    <t>US7739031091</t>
  </si>
  <si>
    <t>KLAC</t>
  </si>
  <si>
    <t>KLA CORP</t>
  </si>
  <si>
    <t>0,05</t>
  </si>
  <si>
    <t>173,01</t>
  </si>
  <si>
    <t>13.368.137</t>
  </si>
  <si>
    <t>13.368.136,68</t>
  </si>
  <si>
    <t>US4824801009</t>
  </si>
  <si>
    <t>BD2Z4Y5</t>
  </si>
  <si>
    <t>CK HUTCHISON HOLDINGS LTD</t>
  </si>
  <si>
    <t>9,53</t>
  </si>
  <si>
    <t>1.401.040</t>
  </si>
  <si>
    <t>13.358.185</t>
  </si>
  <si>
    <t>13.358.185,04</t>
  </si>
  <si>
    <t>KYG217651051</t>
  </si>
  <si>
    <t>BYN0LB2</t>
  </si>
  <si>
    <t>ALC</t>
  </si>
  <si>
    <t>ALCON AG</t>
  </si>
  <si>
    <t>57,16</t>
  </si>
  <si>
    <t>13.332.109</t>
  </si>
  <si>
    <t>13.332.108,89</t>
  </si>
  <si>
    <t>CH0432492467</t>
  </si>
  <si>
    <t>BYVJP97</t>
  </si>
  <si>
    <t>NTRS</t>
  </si>
  <si>
    <t>NORTHERN TRUST CORP</t>
  </si>
  <si>
    <t>106,99</t>
  </si>
  <si>
    <t>13.283.878</t>
  </si>
  <si>
    <t>13.283.878,40</t>
  </si>
  <si>
    <t>US6658591044</t>
  </si>
  <si>
    <t>BZ3FFP6</t>
  </si>
  <si>
    <t>ASSA B</t>
  </si>
  <si>
    <t>ASSA ABLOY B</t>
  </si>
  <si>
    <t>23,36</t>
  </si>
  <si>
    <t>13.263.460</t>
  </si>
  <si>
    <t>13.263.460,39</t>
  </si>
  <si>
    <t>SE0007100581</t>
  </si>
  <si>
    <t>AMP</t>
  </si>
  <si>
    <t>AMERIPRISE FINANCE INC</t>
  </si>
  <si>
    <t>169,16</t>
  </si>
  <si>
    <t>13.213.088</t>
  </si>
  <si>
    <t>13.213.087,60</t>
  </si>
  <si>
    <t>US03076C1062</t>
  </si>
  <si>
    <t>B3FJ9X8</t>
  </si>
  <si>
    <t>WCN</t>
  </si>
  <si>
    <t>WASTE CONNECTIONS INC</t>
  </si>
  <si>
    <t>93,82</t>
  </si>
  <si>
    <t>13.201.037</t>
  </si>
  <si>
    <t>13.201.036,92</t>
  </si>
  <si>
    <t>CA94106B1013</t>
  </si>
  <si>
    <t>B1YQ5Q1</t>
  </si>
  <si>
    <t>MITSUI FUDOSAN LTD</t>
  </si>
  <si>
    <t>25,03</t>
  </si>
  <si>
    <t>13.194.086</t>
  </si>
  <si>
    <t>13.194.085,54</t>
  </si>
  <si>
    <t>JP3893200000</t>
  </si>
  <si>
    <t>B5B4NF1</t>
  </si>
  <si>
    <t>APTV</t>
  </si>
  <si>
    <t>APTIV PLC</t>
  </si>
  <si>
    <t>89,51</t>
  </si>
  <si>
    <t>13.181.243</t>
  </si>
  <si>
    <t>13.181.242,60</t>
  </si>
  <si>
    <t>JE00B783TY65</t>
  </si>
  <si>
    <t>TWTR</t>
  </si>
  <si>
    <t>TWITTER INC</t>
  </si>
  <si>
    <t>32,78</t>
  </si>
  <si>
    <t>13.175.397</t>
  </si>
  <si>
    <t>13.175.396,52</t>
  </si>
  <si>
    <t>US90184L1026</t>
  </si>
  <si>
    <t>LGEN</t>
  </si>
  <si>
    <t>LEGAL AND GENERAL GROUP PLC</t>
  </si>
  <si>
    <t>4,00</t>
  </si>
  <si>
    <t>3.293.369</t>
  </si>
  <si>
    <t>13.166.293</t>
  </si>
  <si>
    <t>13.166.293,33</t>
  </si>
  <si>
    <t>GB0005603997</t>
  </si>
  <si>
    <t>RMD</t>
  </si>
  <si>
    <t>RESMED INC</t>
  </si>
  <si>
    <t>156,89</t>
  </si>
  <si>
    <t>13.140.636</t>
  </si>
  <si>
    <t>13.140.635,73</t>
  </si>
  <si>
    <t>US7611521078</t>
  </si>
  <si>
    <t>KYOCERA CORP</t>
  </si>
  <si>
    <t>69,94</t>
  </si>
  <si>
    <t>13.129.357</t>
  </si>
  <si>
    <t>13.129.357,27</t>
  </si>
  <si>
    <t>JP3249600002</t>
  </si>
  <si>
    <t>FE</t>
  </si>
  <si>
    <t>FIRSTENERGY CORP</t>
  </si>
  <si>
    <t>47,64</t>
  </si>
  <si>
    <t>13.120.247</t>
  </si>
  <si>
    <t>13.120.246,56</t>
  </si>
  <si>
    <t>US3379321074</t>
  </si>
  <si>
    <t>CMG</t>
  </si>
  <si>
    <t>CHIPOTLE MEXICAN GRILL INC</t>
  </si>
  <si>
    <t>857,77</t>
  </si>
  <si>
    <t>13.118.734</t>
  </si>
  <si>
    <t>13.118.734,38</t>
  </si>
  <si>
    <t>US1696561059</t>
  </si>
  <si>
    <t>HIG</t>
  </si>
  <si>
    <t>HARTFORD FINANCIAL SERVICES GROUP</t>
  </si>
  <si>
    <t>59,76</t>
  </si>
  <si>
    <t>13.073.874</t>
  </si>
  <si>
    <t>13.073.874,48</t>
  </si>
  <si>
    <t>US4165151048</t>
  </si>
  <si>
    <t>U11</t>
  </si>
  <si>
    <t>UNITED OVERSEAS BANK LTD</t>
  </si>
  <si>
    <t>19,85</t>
  </si>
  <si>
    <t>13.064.391</t>
  </si>
  <si>
    <t>13.064.391,33</t>
  </si>
  <si>
    <t>SG1M31001969</t>
  </si>
  <si>
    <t>DSV</t>
  </si>
  <si>
    <t>DSV PANALPINA</t>
  </si>
  <si>
    <t>110,94</t>
  </si>
  <si>
    <t>13.052.545</t>
  </si>
  <si>
    <t>13.052.545,45</t>
  </si>
  <si>
    <t>DK0060079531</t>
  </si>
  <si>
    <t>RIO TINTO LTD</t>
  </si>
  <si>
    <t>70,73</t>
  </si>
  <si>
    <t>13.010.776</t>
  </si>
  <si>
    <t>13.010.776,20</t>
  </si>
  <si>
    <t>AU000000RIO1</t>
  </si>
  <si>
    <t>FLT</t>
  </si>
  <si>
    <t>FLEETCOR TECHNOLOGIES INC</t>
  </si>
  <si>
    <t>292,40</t>
  </si>
  <si>
    <t>13.002.736</t>
  </si>
  <si>
    <t>13.002.735,60</t>
  </si>
  <si>
    <t>US3390411052</t>
  </si>
  <si>
    <t>B01WHX6</t>
  </si>
  <si>
    <t>XLNX</t>
  </si>
  <si>
    <t>XILINX INC</t>
  </si>
  <si>
    <t>99,47</t>
  </si>
  <si>
    <t>12.980.537</t>
  </si>
  <si>
    <t>12.980.536,59</t>
  </si>
  <si>
    <t>US9839191015</t>
  </si>
  <si>
    <t>B2QQVG8</t>
  </si>
  <si>
    <t>BLL</t>
  </si>
  <si>
    <t>BALL CORP</t>
  </si>
  <si>
    <t>66,27</t>
  </si>
  <si>
    <t>12.968.973</t>
  </si>
  <si>
    <t>12.968.972,73</t>
  </si>
  <si>
    <t>US0584981064</t>
  </si>
  <si>
    <t>B39RLP4</t>
  </si>
  <si>
    <t>ATCO A</t>
  </si>
  <si>
    <t>ATLAS COPCO CLASS A</t>
  </si>
  <si>
    <t>39,93</t>
  </si>
  <si>
    <t>12.956.621</t>
  </si>
  <si>
    <t>12.956.620,58</t>
  </si>
  <si>
    <t>SE0011166610</t>
  </si>
  <si>
    <t>B3NQMW1</t>
  </si>
  <si>
    <t>TERUMO CORP</t>
  </si>
  <si>
    <t>35,81</t>
  </si>
  <si>
    <t>12.951.343</t>
  </si>
  <si>
    <t>12.951.342,64</t>
  </si>
  <si>
    <t>JP3546800008</t>
  </si>
  <si>
    <t>B3SLYL4</t>
  </si>
  <si>
    <t>GLW</t>
  </si>
  <si>
    <t>CORNING INC</t>
  </si>
  <si>
    <t>30,11</t>
  </si>
  <si>
    <t>12.940.917</t>
  </si>
  <si>
    <t>12.940.916,68</t>
  </si>
  <si>
    <t>US2193501051</t>
  </si>
  <si>
    <t>B4ZL5B1</t>
  </si>
  <si>
    <t>VOLV B</t>
  </si>
  <si>
    <t>VOLVO CLASS B</t>
  </si>
  <si>
    <t>16,43</t>
  </si>
  <si>
    <t>12.936.562</t>
  </si>
  <si>
    <t>12.936.561,51</t>
  </si>
  <si>
    <t>SE0000115446</t>
  </si>
  <si>
    <t>B50Z5R1</t>
  </si>
  <si>
    <t>IMB</t>
  </si>
  <si>
    <t>IMPERIAL BRANDS PLC</t>
  </si>
  <si>
    <t>25,60</t>
  </si>
  <si>
    <t>12.924.851</t>
  </si>
  <si>
    <t>12.924.851,03</t>
  </si>
  <si>
    <t>GB0004544929</t>
  </si>
  <si>
    <t>BD8DZZ1</t>
  </si>
  <si>
    <t>AWK</t>
  </si>
  <si>
    <t>AMERICAN WATER WORKS INC</t>
  </si>
  <si>
    <t>122,56</t>
  </si>
  <si>
    <t>12.913.780</t>
  </si>
  <si>
    <t>12.913.779,52</t>
  </si>
  <si>
    <t>US0304201033</t>
  </si>
  <si>
    <t>BD9N4S6</t>
  </si>
  <si>
    <t>VRSK</t>
  </si>
  <si>
    <t>VERISK ANALYTICS INC</t>
  </si>
  <si>
    <t>157,32</t>
  </si>
  <si>
    <t>12.904.960</t>
  </si>
  <si>
    <t>12.904.959,60</t>
  </si>
  <si>
    <t>US92345Y1064</t>
  </si>
  <si>
    <t>BYY7YM4</t>
  </si>
  <si>
    <t>SWK</t>
  </si>
  <si>
    <t>STANLEY BLACK &amp; DECKER INC</t>
  </si>
  <si>
    <t>166,00</t>
  </si>
  <si>
    <t>12.887.410</t>
  </si>
  <si>
    <t>12.887.410,00</t>
  </si>
  <si>
    <t>US8545021011</t>
  </si>
  <si>
    <t>BZ5YBS6</t>
  </si>
  <si>
    <t>NOKIA</t>
  </si>
  <si>
    <t>4,06</t>
  </si>
  <si>
    <t>3.171.401</t>
  </si>
  <si>
    <t>12.876.894</t>
  </si>
  <si>
    <t>12.876.894,11</t>
  </si>
  <si>
    <t>FI0009000681</t>
  </si>
  <si>
    <t>Nasdaq Omx Helsinki Ltd.</t>
  </si>
  <si>
    <t>Finnland</t>
  </si>
  <si>
    <t>GPR 250</t>
  </si>
  <si>
    <t>GRT</t>
  </si>
  <si>
    <t>DLR</t>
  </si>
  <si>
    <t>DIGITAL REALTY TRUST REIT INC</t>
  </si>
  <si>
    <t>120,37</t>
  </si>
  <si>
    <t>12.851.303</t>
  </si>
  <si>
    <t>12.851.303,05</t>
  </si>
  <si>
    <t>US2538681030</t>
  </si>
  <si>
    <t>HYP</t>
  </si>
  <si>
    <t>O39</t>
  </si>
  <si>
    <t>OVERSEA-CHINESE BANKING LTD</t>
  </si>
  <si>
    <t>8,22</t>
  </si>
  <si>
    <t>1.558.751</t>
  </si>
  <si>
    <t>12.808.485</t>
  </si>
  <si>
    <t>12.808.484,93</t>
  </si>
  <si>
    <t>SG1S04926220</t>
  </si>
  <si>
    <t>RDF</t>
  </si>
  <si>
    <t>O</t>
  </si>
  <si>
    <t>REALTY INCOME REIT CORP</t>
  </si>
  <si>
    <t>73,74</t>
  </si>
  <si>
    <t>12.784.820</t>
  </si>
  <si>
    <t>12.784.819,98</t>
  </si>
  <si>
    <t>US7561091049</t>
  </si>
  <si>
    <t>RES</t>
  </si>
  <si>
    <t>INVE B</t>
  </si>
  <si>
    <t>INVESTOR B</t>
  </si>
  <si>
    <t>54,76</t>
  </si>
  <si>
    <t>12.725.135</t>
  </si>
  <si>
    <t>12.725.134,92</t>
  </si>
  <si>
    <t>SE0000107419</t>
  </si>
  <si>
    <t>FFB</t>
  </si>
  <si>
    <t>VIAC</t>
  </si>
  <si>
    <t>VIACOMCBS INC CLASS B</t>
  </si>
  <si>
    <t>40,31</t>
  </si>
  <si>
    <t>12.715.427</t>
  </si>
  <si>
    <t>12.715.426,71</t>
  </si>
  <si>
    <t>US92556H2067</t>
  </si>
  <si>
    <t>LULU</t>
  </si>
  <si>
    <t>LULULEMON ATHLETICA INC</t>
  </si>
  <si>
    <t>234,84</t>
  </si>
  <si>
    <t>12.712.124</t>
  </si>
  <si>
    <t>12.712.124,04</t>
  </si>
  <si>
    <t>US5500211090</t>
  </si>
  <si>
    <t>IDXX</t>
  </si>
  <si>
    <t>IDEXX LABORATORIES INC</t>
  </si>
  <si>
    <t>281,64</t>
  </si>
  <si>
    <t>12.713.793</t>
  </si>
  <si>
    <t>12.713.792,88</t>
  </si>
  <si>
    <t>US45168D1046</t>
  </si>
  <si>
    <t>FITB</t>
  </si>
  <si>
    <t>FIFTH THIRD BANCORP</t>
  </si>
  <si>
    <t>29,76</t>
  </si>
  <si>
    <t>12.697.699</t>
  </si>
  <si>
    <t>12.697.699,20</t>
  </si>
  <si>
    <t>US3167731005</t>
  </si>
  <si>
    <t>LYB</t>
  </si>
  <si>
    <t>LYONDELLBASELL INDUSTRIES NV CLASS</t>
  </si>
  <si>
    <t>89,43</t>
  </si>
  <si>
    <t>12.666.150</t>
  </si>
  <si>
    <t>12.666.149,76</t>
  </si>
  <si>
    <t>NL0009434992</t>
  </si>
  <si>
    <t>DSY</t>
  </si>
  <si>
    <t>DASSAULT SYSTEMES</t>
  </si>
  <si>
    <t>171,15</t>
  </si>
  <si>
    <t>12.588.955</t>
  </si>
  <si>
    <t>12.588.954,93</t>
  </si>
  <si>
    <t>FR0000130650</t>
  </si>
  <si>
    <t>RMS</t>
  </si>
  <si>
    <t>HERMES INTERNATIONAL</t>
  </si>
  <si>
    <t>765,72</t>
  </si>
  <si>
    <t>12.577.719</t>
  </si>
  <si>
    <t>12.577.719,18</t>
  </si>
  <si>
    <t>FR0000052292</t>
  </si>
  <si>
    <t>ALXN</t>
  </si>
  <si>
    <t>ALEXION PHARMACEUTICALS INC</t>
  </si>
  <si>
    <t>109,48</t>
  </si>
  <si>
    <t>12.512.360</t>
  </si>
  <si>
    <t>12.512.359,72</t>
  </si>
  <si>
    <t>US0153511094</t>
  </si>
  <si>
    <t>FNV</t>
  </si>
  <si>
    <t>FRANCO NEVADA CORP</t>
  </si>
  <si>
    <t>102,50</t>
  </si>
  <si>
    <t>12.475.063</t>
  </si>
  <si>
    <t>12.475.063,16</t>
  </si>
  <si>
    <t>CA3518581051</t>
  </si>
  <si>
    <t>IAC</t>
  </si>
  <si>
    <t>IAC INTERACTIVE</t>
  </si>
  <si>
    <t>265,17</t>
  </si>
  <si>
    <t>12.466.437</t>
  </si>
  <si>
    <t>12.466.437,21</t>
  </si>
  <si>
    <t>US44919P5089</t>
  </si>
  <si>
    <t>MSCI</t>
  </si>
  <si>
    <t>MSCI INC</t>
  </si>
  <si>
    <t>265,72</t>
  </si>
  <si>
    <t>12.422.941</t>
  </si>
  <si>
    <t>12.422.941,44</t>
  </si>
  <si>
    <t>US55354G1004</t>
  </si>
  <si>
    <t>REP</t>
  </si>
  <si>
    <t>REPSOL SA</t>
  </si>
  <si>
    <t>15,91</t>
  </si>
  <si>
    <t>12.405.839</t>
  </si>
  <si>
    <t>12.405.839,22</t>
  </si>
  <si>
    <t>ES0173516115</t>
  </si>
  <si>
    <t>AME</t>
  </si>
  <si>
    <t>AMETEK INC</t>
  </si>
  <si>
    <t>100,76</t>
  </si>
  <si>
    <t>12.396.100</t>
  </si>
  <si>
    <t>12.396.099,76</t>
  </si>
  <si>
    <t>US0311001004</t>
  </si>
  <si>
    <t>B033YN6</t>
  </si>
  <si>
    <t>SYF</t>
  </si>
  <si>
    <t>SYNCHRONY FINANCIAL</t>
  </si>
  <si>
    <t>35,47</t>
  </si>
  <si>
    <t>12.361.898</t>
  </si>
  <si>
    <t>12.361.897,99</t>
  </si>
  <si>
    <t>US87165B1035</t>
  </si>
  <si>
    <t>B03FYZ4</t>
  </si>
  <si>
    <t>VRSN</t>
  </si>
  <si>
    <t>VERISIGN INC</t>
  </si>
  <si>
    <t>209,12</t>
  </si>
  <si>
    <t>12.269.907</t>
  </si>
  <si>
    <t>12.269.906,88</t>
  </si>
  <si>
    <t>US92343E1029</t>
  </si>
  <si>
    <t>B03GQS4</t>
  </si>
  <si>
    <t>KR</t>
  </si>
  <si>
    <t>KROGER</t>
  </si>
  <si>
    <t>28,36</t>
  </si>
  <si>
    <t>12.265.501</t>
  </si>
  <si>
    <t>12.265.501,48</t>
  </si>
  <si>
    <t>US5010441013</t>
  </si>
  <si>
    <t>B44WZD7</t>
  </si>
  <si>
    <t>RACE</t>
  </si>
  <si>
    <t>FERRARI NV</t>
  </si>
  <si>
    <t>173,37</t>
  </si>
  <si>
    <t>12.188.473</t>
  </si>
  <si>
    <t>12.188.473,29</t>
  </si>
  <si>
    <t>NL0011585146</t>
  </si>
  <si>
    <t>NDA SE</t>
  </si>
  <si>
    <t>NORDEA BANK</t>
  </si>
  <si>
    <t>8,07</t>
  </si>
  <si>
    <t>1.501.902</t>
  </si>
  <si>
    <t>12.125.543</t>
  </si>
  <si>
    <t>12.125.543,10</t>
  </si>
  <si>
    <t>FI4000297767</t>
  </si>
  <si>
    <t>SQ</t>
  </si>
  <si>
    <t>SQUARE INC CLASS A</t>
  </si>
  <si>
    <t>67,99</t>
  </si>
  <si>
    <t>12.108.135</t>
  </si>
  <si>
    <t>12.108.135,13</t>
  </si>
  <si>
    <t>US8522341036</t>
  </si>
  <si>
    <t>ALGN</t>
  </si>
  <si>
    <t>ALIGN TECHNOLOGY INC</t>
  </si>
  <si>
    <t>293,33</t>
  </si>
  <si>
    <t>12.093.703</t>
  </si>
  <si>
    <t>12.093.702,57</t>
  </si>
  <si>
    <t>US0162551016</t>
  </si>
  <si>
    <t>B3M3278</t>
  </si>
  <si>
    <t>OLYMPUS CORP</t>
  </si>
  <si>
    <t>15,88</t>
  </si>
  <si>
    <t>12.084.392</t>
  </si>
  <si>
    <t>12.084.392,11</t>
  </si>
  <si>
    <t>JP3201200007</t>
  </si>
  <si>
    <t>G</t>
  </si>
  <si>
    <t>ASSICURAZIONI GENERALI</t>
  </si>
  <si>
    <t>20,60</t>
  </si>
  <si>
    <t>12.075.638</t>
  </si>
  <si>
    <t>12.075.637,70</t>
  </si>
  <si>
    <t>IT0000062072</t>
  </si>
  <si>
    <t>CSGP</t>
  </si>
  <si>
    <t>COSTAR GROUP INC</t>
  </si>
  <si>
    <t>645,13</t>
  </si>
  <si>
    <t>12.041.997</t>
  </si>
  <si>
    <t>12.041.996,58</t>
  </si>
  <si>
    <t>US22160N1090</t>
  </si>
  <si>
    <t>ORIX CORP</t>
  </si>
  <si>
    <t>16,96</t>
  </si>
  <si>
    <t>12.028.512</t>
  </si>
  <si>
    <t>12.028.511,91</t>
  </si>
  <si>
    <t>JP3200450009</t>
  </si>
  <si>
    <t>EOAN</t>
  </si>
  <si>
    <t>E.ON N</t>
  </si>
  <si>
    <t>10,75</t>
  </si>
  <si>
    <t>1.117.983</t>
  </si>
  <si>
    <t>12.014.689</t>
  </si>
  <si>
    <t>12.014.688,84</t>
  </si>
  <si>
    <t>DE000ENAG999</t>
  </si>
  <si>
    <t>BBY</t>
  </si>
  <si>
    <t>BEST BUY INC</t>
  </si>
  <si>
    <t>90,65</t>
  </si>
  <si>
    <t>11.991.635</t>
  </si>
  <si>
    <t>11.991.635,25</t>
  </si>
  <si>
    <t>US0865161014</t>
  </si>
  <si>
    <t>MTB</t>
  </si>
  <si>
    <t>M&amp;T BANK CORP</t>
  </si>
  <si>
    <t>165,99</t>
  </si>
  <si>
    <t>11.958.252</t>
  </si>
  <si>
    <t>11.958.251,58</t>
  </si>
  <si>
    <t>US55261F1049</t>
  </si>
  <si>
    <t>SAND</t>
  </si>
  <si>
    <t>SANDVIK</t>
  </si>
  <si>
    <t>19,27</t>
  </si>
  <si>
    <t>11.942.756</t>
  </si>
  <si>
    <t>11.942.756,26</t>
  </si>
  <si>
    <t>SE0000667891</t>
  </si>
  <si>
    <t>EISAI LTD</t>
  </si>
  <si>
    <t>75,46</t>
  </si>
  <si>
    <t>11.917.579</t>
  </si>
  <si>
    <t>11.917.579,23</t>
  </si>
  <si>
    <t>JP3160400002</t>
  </si>
  <si>
    <t>B5ZN1N8</t>
  </si>
  <si>
    <t>FTV</t>
  </si>
  <si>
    <t>FORTIVE CORP</t>
  </si>
  <si>
    <t>78,00</t>
  </si>
  <si>
    <t>11.906.154</t>
  </si>
  <si>
    <t>11.906.154,00</t>
  </si>
  <si>
    <t>US34959J1088</t>
  </si>
  <si>
    <t>B0PB4M7</t>
  </si>
  <si>
    <t>FRE</t>
  </si>
  <si>
    <t>FRESENIUS SE AND CO KGAA</t>
  </si>
  <si>
    <t>55,65</t>
  </si>
  <si>
    <t>11.886.002</t>
  </si>
  <si>
    <t>11.886.001,84</t>
  </si>
  <si>
    <t>DE0005785604</t>
  </si>
  <si>
    <t>DSM</t>
  </si>
  <si>
    <t>KONINKILIJKE DSM NV</t>
  </si>
  <si>
    <t>124,42</t>
  </si>
  <si>
    <t>11.868.629</t>
  </si>
  <si>
    <t>11.868.629,26</t>
  </si>
  <si>
    <t>NL0000009827</t>
  </si>
  <si>
    <t>CSU</t>
  </si>
  <si>
    <t>CONSTELLATION SOFTWARE INC</t>
  </si>
  <si>
    <t>1.036,19</t>
  </si>
  <si>
    <t>11.831.188</t>
  </si>
  <si>
    <t>11.831.187,86</t>
  </si>
  <si>
    <t>CA21037X1006</t>
  </si>
  <si>
    <t>HPE</t>
  </si>
  <si>
    <t>HEWLETT PACKARD ENTERPRISE</t>
  </si>
  <si>
    <t>15,47</t>
  </si>
  <si>
    <t>11.708.485</t>
  </si>
  <si>
    <t>11.708.484,97</t>
  </si>
  <si>
    <t>US42824C1099</t>
  </si>
  <si>
    <t>ANSS</t>
  </si>
  <si>
    <t>ANSYS INC</t>
  </si>
  <si>
    <t>260,80</t>
  </si>
  <si>
    <t>11.685.926</t>
  </si>
  <si>
    <t>11.685.926,40</t>
  </si>
  <si>
    <t>US03662Q1058</t>
  </si>
  <si>
    <t>WY</t>
  </si>
  <si>
    <t>WEYERHAEUSER REIT</t>
  </si>
  <si>
    <t>29,57</t>
  </si>
  <si>
    <t>11.674.709</t>
  </si>
  <si>
    <t>11.674.709,12</t>
  </si>
  <si>
    <t>US9621661043</t>
  </si>
  <si>
    <t>DTE ENERGY</t>
  </si>
  <si>
    <t>128,94</t>
  </si>
  <si>
    <t>11.649.600</t>
  </si>
  <si>
    <t>11.649.600,06</t>
  </si>
  <si>
    <t>US2333311072</t>
  </si>
  <si>
    <t>B011YD2</t>
  </si>
  <si>
    <t>SOFTBANK CORP</t>
  </si>
  <si>
    <t>13,48</t>
  </si>
  <si>
    <t>11.620.792</t>
  </si>
  <si>
    <t>11.620.792,26</t>
  </si>
  <si>
    <t>JP3732000009</t>
  </si>
  <si>
    <t>B1VP947</t>
  </si>
  <si>
    <t>ETR</t>
  </si>
  <si>
    <t>ENTERGY CORP</t>
  </si>
  <si>
    <t>120,61</t>
  </si>
  <si>
    <t>11.616.914</t>
  </si>
  <si>
    <t>11.616.913,98</t>
  </si>
  <si>
    <t>US29364G1031</t>
  </si>
  <si>
    <t>B8K7J65</t>
  </si>
  <si>
    <t>HSY</t>
  </si>
  <si>
    <t>HERSHEY FOODS</t>
  </si>
  <si>
    <t>148,13</t>
  </si>
  <si>
    <t>11.582.285</t>
  </si>
  <si>
    <t>11.582.284,70</t>
  </si>
  <si>
    <t>US4278661081</t>
  </si>
  <si>
    <t>B1YY4B3</t>
  </si>
  <si>
    <t>CERN</t>
  </si>
  <si>
    <t>CERNER CORP</t>
  </si>
  <si>
    <t>73,48</t>
  </si>
  <si>
    <t>11.562.298</t>
  </si>
  <si>
    <t>11.562.298,44</t>
  </si>
  <si>
    <t>US1567821046</t>
  </si>
  <si>
    <t>CTVA</t>
  </si>
  <si>
    <t>CORTEVA INC</t>
  </si>
  <si>
    <t>28,35</t>
  </si>
  <si>
    <t>11.518.577</t>
  </si>
  <si>
    <t>11.518.576,65</t>
  </si>
  <si>
    <t>US22052L1044</t>
  </si>
  <si>
    <t>RWE</t>
  </si>
  <si>
    <t>RWE AG</t>
  </si>
  <si>
    <t>32,52</t>
  </si>
  <si>
    <t>11.473.882</t>
  </si>
  <si>
    <t>11.473.881,87</t>
  </si>
  <si>
    <t>DE0007037129</t>
  </si>
  <si>
    <t>FUJIFILM HOLDINGS CORP</t>
  </si>
  <si>
    <t>53,33</t>
  </si>
  <si>
    <t>11.437.529</t>
  </si>
  <si>
    <t>11.437.528,50</t>
  </si>
  <si>
    <t>JP3814000000</t>
  </si>
  <si>
    <t>AKZA</t>
  </si>
  <si>
    <t>AKZO NOBEL NV</t>
  </si>
  <si>
    <t>99,55</t>
  </si>
  <si>
    <t>11.402.999</t>
  </si>
  <si>
    <t>11.402.999,12</t>
  </si>
  <si>
    <t>NL0013267909</t>
  </si>
  <si>
    <t>WPL</t>
  </si>
  <si>
    <t>WOODSIDE PETROLEUM LTD</t>
  </si>
  <si>
    <t>24,76</t>
  </si>
  <si>
    <t>11.400.199</t>
  </si>
  <si>
    <t>11.400.198,94</t>
  </si>
  <si>
    <t>AU000000WPL2</t>
  </si>
  <si>
    <t>B3DJHT2</t>
  </si>
  <si>
    <t>ML</t>
  </si>
  <si>
    <t>MICHELIN</t>
  </si>
  <si>
    <t>123,30</t>
  </si>
  <si>
    <t>11.388.014</t>
  </si>
  <si>
    <t>11.388.013,62</t>
  </si>
  <si>
    <t>FR0000121261</t>
  </si>
  <si>
    <t>B98BC67</t>
  </si>
  <si>
    <t>MITSUBISHI ESTATE CO LTD</t>
  </si>
  <si>
    <t>18,99</t>
  </si>
  <si>
    <t>11.374.291</t>
  </si>
  <si>
    <t>11.374.290,90</t>
  </si>
  <si>
    <t>JP3899600005</t>
  </si>
  <si>
    <t>SNPS</t>
  </si>
  <si>
    <t>SYNOPSYS INC</t>
  </si>
  <si>
    <t>148,46</t>
  </si>
  <si>
    <t>11.375.154</t>
  </si>
  <si>
    <t>11.375.153,66</t>
  </si>
  <si>
    <t>US8716071076</t>
  </si>
  <si>
    <t>BLZH0Z7</t>
  </si>
  <si>
    <t>FERG</t>
  </si>
  <si>
    <t>FERGUSON PLC</t>
  </si>
  <si>
    <t>92,44</t>
  </si>
  <si>
    <t>11.367.065</t>
  </si>
  <si>
    <t>11.367.065,02</t>
  </si>
  <si>
    <t>JE00BJVNSS43</t>
  </si>
  <si>
    <t>BMMVVX4</t>
  </si>
  <si>
    <t>GIB.A</t>
  </si>
  <si>
    <t>CGI INC</t>
  </si>
  <si>
    <t>85,78</t>
  </si>
  <si>
    <t>11.356.172</t>
  </si>
  <si>
    <t>11.356.172,32</t>
  </si>
  <si>
    <t>CA12532H1047</t>
  </si>
  <si>
    <t>SG1M77906915</t>
  </si>
  <si>
    <t>CDNS</t>
  </si>
  <si>
    <t>CADENCE DESIGN SYSTEMS INC</t>
  </si>
  <si>
    <t>73,03</t>
  </si>
  <si>
    <t>11.329.582</t>
  </si>
  <si>
    <t>11.329.582,08</t>
  </si>
  <si>
    <t>US1273871087</t>
  </si>
  <si>
    <t>B04PZ72</t>
  </si>
  <si>
    <t>MKC</t>
  </si>
  <si>
    <t>MCCORMICK &amp; CO NON-VOTING INC</t>
  </si>
  <si>
    <t>164,23</t>
  </si>
  <si>
    <t>11.300.009</t>
  </si>
  <si>
    <t>11.300.009,38</t>
  </si>
  <si>
    <t>US5797802064</t>
  </si>
  <si>
    <t>BRIDGESTONE CORP</t>
  </si>
  <si>
    <t>36,57</t>
  </si>
  <si>
    <t>11.295.783</t>
  </si>
  <si>
    <t>11.295.782,74</t>
  </si>
  <si>
    <t>JP3830800003</t>
  </si>
  <si>
    <t>LINK REAL ESTATE INVESTMENT TRUST-</t>
  </si>
  <si>
    <t>10,52</t>
  </si>
  <si>
    <t>1.073.483</t>
  </si>
  <si>
    <t>11.292.474</t>
  </si>
  <si>
    <t>11.292.473,63</t>
  </si>
  <si>
    <t>HK0823032773</t>
  </si>
  <si>
    <t>Z74</t>
  </si>
  <si>
    <t>SINGAPORE TELECOMMUNICATIONS LTD</t>
  </si>
  <si>
    <t>2,46</t>
  </si>
  <si>
    <t>4.577.076</t>
  </si>
  <si>
    <t>11.269.573</t>
  </si>
  <si>
    <t>11.269.573,06</t>
  </si>
  <si>
    <t>SG1T75931496</t>
  </si>
  <si>
    <t>TOSHIBA CORP</t>
  </si>
  <si>
    <t>34,87</t>
  </si>
  <si>
    <t>11.259.412</t>
  </si>
  <si>
    <t>11.259.411,65</t>
  </si>
  <si>
    <t>JP3592200004</t>
  </si>
  <si>
    <t>URW</t>
  </si>
  <si>
    <t>WFD UNIBAIL RODAMCO STAPLED UNITS</t>
  </si>
  <si>
    <t>146,42</t>
  </si>
  <si>
    <t>11.243.034</t>
  </si>
  <si>
    <t>11.243.033,95</t>
  </si>
  <si>
    <t>FR0013326246</t>
  </si>
  <si>
    <t>KOMATSU LTD</t>
  </si>
  <si>
    <t>23,88</t>
  </si>
  <si>
    <t>11.223.251</t>
  </si>
  <si>
    <t>11.223.251,26</t>
  </si>
  <si>
    <t>JP3304200003</t>
  </si>
  <si>
    <t>SPLK</t>
  </si>
  <si>
    <t>SPLUNK INC</t>
  </si>
  <si>
    <t>155,78</t>
  </si>
  <si>
    <t>11.182.667</t>
  </si>
  <si>
    <t>11.182.667,30</t>
  </si>
  <si>
    <t>US8486371045</t>
  </si>
  <si>
    <t>EUR CASH</t>
  </si>
  <si>
    <t>111,13</t>
  </si>
  <si>
    <t>10.058.711</t>
  </si>
  <si>
    <t>11.178.749</t>
  </si>
  <si>
    <t>11.178.748,54</t>
  </si>
  <si>
    <t>Europäische Union</t>
  </si>
  <si>
    <t>KEY</t>
  </si>
  <si>
    <t>KEYCORP</t>
  </si>
  <si>
    <t>19,45</t>
  </si>
  <si>
    <t>11.159.379</t>
  </si>
  <si>
    <t>11.159.379,15</t>
  </si>
  <si>
    <t>US4932671088</t>
  </si>
  <si>
    <t>HAL</t>
  </si>
  <si>
    <t>HALLIBURTON</t>
  </si>
  <si>
    <t>24,08</t>
  </si>
  <si>
    <t>11.082.290</t>
  </si>
  <si>
    <t>11.082.290,24</t>
  </si>
  <si>
    <t>US4062161017</t>
  </si>
  <si>
    <t>UPM</t>
  </si>
  <si>
    <t>UPM-KYMMENE</t>
  </si>
  <si>
    <t>33,20</t>
  </si>
  <si>
    <t>11.067.488</t>
  </si>
  <si>
    <t>11.067.488,18</t>
  </si>
  <si>
    <t>FI0009005987</t>
  </si>
  <si>
    <t>RSG</t>
  </si>
  <si>
    <t>REPUBLIC SERVICES INC</t>
  </si>
  <si>
    <t>90,89</t>
  </si>
  <si>
    <t>11.050.861</t>
  </si>
  <si>
    <t>11.050.860,65</t>
  </si>
  <si>
    <t>US7607591002</t>
  </si>
  <si>
    <t>FAST</t>
  </si>
  <si>
    <t>FASTENAL</t>
  </si>
  <si>
    <t>36,33</t>
  </si>
  <si>
    <t>11.021.541</t>
  </si>
  <si>
    <t>11.021.541,09</t>
  </si>
  <si>
    <t>US3119001044</t>
  </si>
  <si>
    <t>RCL</t>
  </si>
  <si>
    <t>ROYAL CARIBBEAN CRUISES LTD</t>
  </si>
  <si>
    <t>133,19</t>
  </si>
  <si>
    <t>11.012.282</t>
  </si>
  <si>
    <t>11.012.282,39</t>
  </si>
  <si>
    <t>LR0008862868</t>
  </si>
  <si>
    <t>CHUGAI PHARMACEUTICAL LTD</t>
  </si>
  <si>
    <t>95,38</t>
  </si>
  <si>
    <t>11.007.028</t>
  </si>
  <si>
    <t>11.007.028,11</t>
  </si>
  <si>
    <t>JP3519400000</t>
  </si>
  <si>
    <t>HEN3</t>
  </si>
  <si>
    <t>HENKEL &amp; KGAA PREF AG</t>
  </si>
  <si>
    <t>104,04</t>
  </si>
  <si>
    <t>10.978.577</t>
  </si>
  <si>
    <t>10.978.576,73</t>
  </si>
  <si>
    <t>DE0006048432</t>
  </si>
  <si>
    <t>SN.</t>
  </si>
  <si>
    <t>SMITH AND NEPHEW PLC</t>
  </si>
  <si>
    <t>24,37</t>
  </si>
  <si>
    <t>10.954.351</t>
  </si>
  <si>
    <t>10.954.350,84</t>
  </si>
  <si>
    <t>GB0009223206</t>
  </si>
  <si>
    <t>DXCM</t>
  </si>
  <si>
    <t>DEXCOM INC</t>
  </si>
  <si>
    <t>0,04</t>
  </si>
  <si>
    <t>237,30</t>
  </si>
  <si>
    <t>10.947.124</t>
  </si>
  <si>
    <t>10.947.123,60</t>
  </si>
  <si>
    <t>US2521311074</t>
  </si>
  <si>
    <t>MTD</t>
  </si>
  <si>
    <t>METTLER TOLEDO INC</t>
  </si>
  <si>
    <t>817,69</t>
  </si>
  <si>
    <t>10.888.360</t>
  </si>
  <si>
    <t>10.888.360,04</t>
  </si>
  <si>
    <t>US5926881054</t>
  </si>
  <si>
    <t>WKL</t>
  </si>
  <si>
    <t>WOLTERS KLUWER NV</t>
  </si>
  <si>
    <t>73,62</t>
  </si>
  <si>
    <t>10.860.984</t>
  </si>
  <si>
    <t>10.860.984,21</t>
  </si>
  <si>
    <t>NL0000395903</t>
  </si>
  <si>
    <t>BT.A</t>
  </si>
  <si>
    <t>BT GROUP PLC</t>
  </si>
  <si>
    <t>2,51</t>
  </si>
  <si>
    <t>4.305.764</t>
  </si>
  <si>
    <t>10.808.450</t>
  </si>
  <si>
    <t>10.808.449,78</t>
  </si>
  <si>
    <t>GB0030913577</t>
  </si>
  <si>
    <t>SWKS</t>
  </si>
  <si>
    <t>SKYWORKS SOLUTIONS INC</t>
  </si>
  <si>
    <t>120,08</t>
  </si>
  <si>
    <t>10.714.138</t>
  </si>
  <si>
    <t>10.714.138,00</t>
  </si>
  <si>
    <t>US83088M1027</t>
  </si>
  <si>
    <t>NLOK</t>
  </si>
  <si>
    <t>NORTONLIFELOCK INC</t>
  </si>
  <si>
    <t>26,49</t>
  </si>
  <si>
    <t>10.710.039</t>
  </si>
  <si>
    <t>10.710.039,45</t>
  </si>
  <si>
    <t>US6687711084</t>
  </si>
  <si>
    <t>AV.</t>
  </si>
  <si>
    <t>AVIVA PLC</t>
  </si>
  <si>
    <t>5,39</t>
  </si>
  <si>
    <t>1.982.823</t>
  </si>
  <si>
    <t>10.690.141</t>
  </si>
  <si>
    <t>10.690.141,16</t>
  </si>
  <si>
    <t>GB0002162385</t>
  </si>
  <si>
    <t>PANASONIC CORP</t>
  </si>
  <si>
    <t>9,50</t>
  </si>
  <si>
    <t>1.121.303</t>
  </si>
  <si>
    <t>10.654.221</t>
  </si>
  <si>
    <t>10.654.220,73</t>
  </si>
  <si>
    <t>JP3866800000</t>
  </si>
  <si>
    <t>DENSO CORP</t>
  </si>
  <si>
    <t>44,27</t>
  </si>
  <si>
    <t>10.630.646</t>
  </si>
  <si>
    <t>10.630.645,76</t>
  </si>
  <si>
    <t>JP3551500006</t>
  </si>
  <si>
    <t>HONG KONG AND CHINA GAS LTD</t>
  </si>
  <si>
    <t>1,97</t>
  </si>
  <si>
    <t>5.399.938</t>
  </si>
  <si>
    <t>10.623.900</t>
  </si>
  <si>
    <t>10.623.900,27</t>
  </si>
  <si>
    <t>HK0003000038</t>
  </si>
  <si>
    <t>CPRT</t>
  </si>
  <si>
    <t>COPART INC</t>
  </si>
  <si>
    <t>95,31</t>
  </si>
  <si>
    <t>10.598.377</t>
  </si>
  <si>
    <t>10.598.376,69</t>
  </si>
  <si>
    <t>US2172041061</t>
  </si>
  <si>
    <t>DLTR</t>
  </si>
  <si>
    <t>DOLLAR TREE INC</t>
  </si>
  <si>
    <t>91,35</t>
  </si>
  <si>
    <t>10.596.417</t>
  </si>
  <si>
    <t>10.596.417,30</t>
  </si>
  <si>
    <t>US2567461080</t>
  </si>
  <si>
    <t>BXP</t>
  </si>
  <si>
    <t>BOSTON PROPERTIES REIT INC</t>
  </si>
  <si>
    <t>135,08</t>
  </si>
  <si>
    <t>10.581.087</t>
  </si>
  <si>
    <t>10.581.086,56</t>
  </si>
  <si>
    <t>US1011211018</t>
  </si>
  <si>
    <t>IP</t>
  </si>
  <si>
    <t>INTERNATIONAL PAPER</t>
  </si>
  <si>
    <t>43,99</t>
  </si>
  <si>
    <t>10.578.055</t>
  </si>
  <si>
    <t>10.578.055,35</t>
  </si>
  <si>
    <t>US4601461035</t>
  </si>
  <si>
    <t>SHIONOGI LTD</t>
  </si>
  <si>
    <t>63,24</t>
  </si>
  <si>
    <t>10.559.199</t>
  </si>
  <si>
    <t>10.559.198,98</t>
  </si>
  <si>
    <t>JP3347200002</t>
  </si>
  <si>
    <t>GEBN</t>
  </si>
  <si>
    <t>GEBERIT AG</t>
  </si>
  <si>
    <t>559,16</t>
  </si>
  <si>
    <t>10.517.752</t>
  </si>
  <si>
    <t>10.517.751,86</t>
  </si>
  <si>
    <t>CH0030170408</t>
  </si>
  <si>
    <t>CLX</t>
  </si>
  <si>
    <t>CLOROX</t>
  </si>
  <si>
    <t>153,67</t>
  </si>
  <si>
    <t>10.514.562</t>
  </si>
  <si>
    <t>10.514.562,41</t>
  </si>
  <si>
    <t>US1890541097</t>
  </si>
  <si>
    <t>B02H871</t>
  </si>
  <si>
    <t>EQNR</t>
  </si>
  <si>
    <t>EQUINOR</t>
  </si>
  <si>
    <t>20,51</t>
  </si>
  <si>
    <t>10.515.259</t>
  </si>
  <si>
    <t>10.515.259,30</t>
  </si>
  <si>
    <t>NO0010096985</t>
  </si>
  <si>
    <t>Oslo Bors Asa</t>
  </si>
  <si>
    <t>Norwegen</t>
  </si>
  <si>
    <t>NOK</t>
  </si>
  <si>
    <t>B02HWR9</t>
  </si>
  <si>
    <t>WCG</t>
  </si>
  <si>
    <t>WELLCARE HEALTHCARE PLANS INC</t>
  </si>
  <si>
    <t>336,32</t>
  </si>
  <si>
    <t>10.468.633</t>
  </si>
  <si>
    <t>10.468.632,64</t>
  </si>
  <si>
    <t>US94946T1060</t>
  </si>
  <si>
    <t>B02T2D1</t>
  </si>
  <si>
    <t>VEEV</t>
  </si>
  <si>
    <t>VEEVA SYSTEMS INC CLASS A</t>
  </si>
  <si>
    <t>145,51</t>
  </si>
  <si>
    <t>10.458.822</t>
  </si>
  <si>
    <t>10.458.822,27</t>
  </si>
  <si>
    <t>US9224751084</t>
  </si>
  <si>
    <t>B0JL5L9</t>
  </si>
  <si>
    <t>RF</t>
  </si>
  <si>
    <t>REGIONS FINANCIAL CORP</t>
  </si>
  <si>
    <t>16,35</t>
  </si>
  <si>
    <t>10.411.418</t>
  </si>
  <si>
    <t>10.411.418,40</t>
  </si>
  <si>
    <t>US7591EP1005</t>
  </si>
  <si>
    <t>B1G3M58</t>
  </si>
  <si>
    <t>GBP CASH</t>
  </si>
  <si>
    <t>130,60</t>
  </si>
  <si>
    <t>7.945.508</t>
  </si>
  <si>
    <t>10.377.230</t>
  </si>
  <si>
    <t>10.377.230,40</t>
  </si>
  <si>
    <t>B28YD08</t>
  </si>
  <si>
    <t>FTS</t>
  </si>
  <si>
    <t>FORTIS INC</t>
  </si>
  <si>
    <t>41,99</t>
  </si>
  <si>
    <t>10.374.736</t>
  </si>
  <si>
    <t>10.374.736,08</t>
  </si>
  <si>
    <t>CA3495531079</t>
  </si>
  <si>
    <t>B3M7R64</t>
  </si>
  <si>
    <t>CARL B</t>
  </si>
  <si>
    <t>CARLSBERG AS CL B</t>
  </si>
  <si>
    <t>148,39</t>
  </si>
  <si>
    <t>10.369.813</t>
  </si>
  <si>
    <t>10.369.813,47</t>
  </si>
  <si>
    <t>DK0010181759</t>
  </si>
  <si>
    <t>B3N4753</t>
  </si>
  <si>
    <t>CDW</t>
  </si>
  <si>
    <t>CDW CORP</t>
  </si>
  <si>
    <t>142,36</t>
  </si>
  <si>
    <t>10.342.169</t>
  </si>
  <si>
    <t>10.342.169,28</t>
  </si>
  <si>
    <t>US12514G1085</t>
  </si>
  <si>
    <t>B3NTLD4</t>
  </si>
  <si>
    <t>LH</t>
  </si>
  <si>
    <t>LABORATORY CORPORATION OF AMERICA</t>
  </si>
  <si>
    <t>177,58</t>
  </si>
  <si>
    <t>10.342.792</t>
  </si>
  <si>
    <t>10.342.791,94</t>
  </si>
  <si>
    <t>US50540R4092</t>
  </si>
  <si>
    <t>B3PY1N7</t>
  </si>
  <si>
    <t>CBRE</t>
  </si>
  <si>
    <t>CBRE GROUP INC CLASS A</t>
  </si>
  <si>
    <t>60,24</t>
  </si>
  <si>
    <t>10.332.003</t>
  </si>
  <si>
    <t>10.332.003,36</t>
  </si>
  <si>
    <t>US12504L1098</t>
  </si>
  <si>
    <t>B4TC8L1</t>
  </si>
  <si>
    <t>CFG</t>
  </si>
  <si>
    <t>CITIZENS FINANCIAL GROUP INC</t>
  </si>
  <si>
    <t>39,52</t>
  </si>
  <si>
    <t>10.318.949</t>
  </si>
  <si>
    <t>10.318.948,64</t>
  </si>
  <si>
    <t>US1746101054</t>
  </si>
  <si>
    <t>B4ZG8D9</t>
  </si>
  <si>
    <t>DHI</t>
  </si>
  <si>
    <t>D R HORTON INC</t>
  </si>
  <si>
    <t>53,77</t>
  </si>
  <si>
    <t>10.309.967</t>
  </si>
  <si>
    <t>10.309.967,34</t>
  </si>
  <si>
    <t>US23331A1097</t>
  </si>
  <si>
    <t>B5LYMC1</t>
  </si>
  <si>
    <t>SAMPO</t>
  </si>
  <si>
    <t>43,90</t>
  </si>
  <si>
    <t>10.288.494</t>
  </si>
  <si>
    <t>10.288.494,33</t>
  </si>
  <si>
    <t>FI0009003305</t>
  </si>
  <si>
    <t>B5NLBP6</t>
  </si>
  <si>
    <t>CAP</t>
  </si>
  <si>
    <t>CAPGEMINI</t>
  </si>
  <si>
    <t>122,53</t>
  </si>
  <si>
    <t>10.280.082</t>
  </si>
  <si>
    <t>10.280.082,24</t>
  </si>
  <si>
    <t>FR0000125338</t>
  </si>
  <si>
    <t>B64B9P8</t>
  </si>
  <si>
    <t>LR</t>
  </si>
  <si>
    <t>LEGRAND SA</t>
  </si>
  <si>
    <t>80,48</t>
  </si>
  <si>
    <t>10.260.740</t>
  </si>
  <si>
    <t>10.260.739,98</t>
  </si>
  <si>
    <t>FR0010307819</t>
  </si>
  <si>
    <t>B64BRQ5</t>
  </si>
  <si>
    <t>VMC</t>
  </si>
  <si>
    <t>VULCAN MATERIALS</t>
  </si>
  <si>
    <t>143,16</t>
  </si>
  <si>
    <t>10.179.105</t>
  </si>
  <si>
    <t>10.179.105,48</t>
  </si>
  <si>
    <t>US9291601097</t>
  </si>
  <si>
    <t>B6S2DF5</t>
  </si>
  <si>
    <t>VTR</t>
  </si>
  <si>
    <t>VENTAS REIT INC</t>
  </si>
  <si>
    <t>10.169.031</t>
  </si>
  <si>
    <t>10.169.031,06</t>
  </si>
  <si>
    <t>US92276F1003</t>
  </si>
  <si>
    <t>B6SW913</t>
  </si>
  <si>
    <t>FUJITSU LTD</t>
  </si>
  <si>
    <t>101,54</t>
  </si>
  <si>
    <t>10.150.090</t>
  </si>
  <si>
    <t>10.150.090,13</t>
  </si>
  <si>
    <t>JP3818000006</t>
  </si>
  <si>
    <t>B7GBNW8</t>
  </si>
  <si>
    <t>SGO</t>
  </si>
  <si>
    <t>COMPAGNIE DE SAINT GOBAIN SA</t>
  </si>
  <si>
    <t>39,14</t>
  </si>
  <si>
    <t>10.126.988</t>
  </si>
  <si>
    <t>10.126.987,63</t>
  </si>
  <si>
    <t>FR0000125007</t>
  </si>
  <si>
    <t>B7QR337</t>
  </si>
  <si>
    <t>OMC</t>
  </si>
  <si>
    <t>OMNICOM GROUP INC</t>
  </si>
  <si>
    <t>10.086.385</t>
  </si>
  <si>
    <t>10.086.385,25</t>
  </si>
  <si>
    <t>US6819191064</t>
  </si>
  <si>
    <t>B7YRLH9</t>
  </si>
  <si>
    <t>PEMBINA PIPELINE CORP</t>
  </si>
  <si>
    <t>38,39</t>
  </si>
  <si>
    <t>10.053.905</t>
  </si>
  <si>
    <t>10.053.905,46</t>
  </si>
  <si>
    <t>CA7063271034</t>
  </si>
  <si>
    <t>B826YT8</t>
  </si>
  <si>
    <t>GWW</t>
  </si>
  <si>
    <t>WW GRAINGER INC</t>
  </si>
  <si>
    <t>341,31</t>
  </si>
  <si>
    <t>10.050.214</t>
  </si>
  <si>
    <t>10.050.214,26</t>
  </si>
  <si>
    <t>US3848021040</t>
  </si>
  <si>
    <t>B8XXZP1</t>
  </si>
  <si>
    <t>WDC</t>
  </si>
  <si>
    <t>WESTERN DIGITAL CORP</t>
  </si>
  <si>
    <t>67,94</t>
  </si>
  <si>
    <t>10.042.347</t>
  </si>
  <si>
    <t>10.042.347,28</t>
  </si>
  <si>
    <t>US9581021055</t>
  </si>
  <si>
    <t>B96FTB5</t>
  </si>
  <si>
    <t>ESSITY B</t>
  </si>
  <si>
    <t>ESSITY CLASS B</t>
  </si>
  <si>
    <t>32,22</t>
  </si>
  <si>
    <t>10.020.114</t>
  </si>
  <si>
    <t>10.020.114,04</t>
  </si>
  <si>
    <t>SE0009922164</t>
  </si>
  <si>
    <t>BBVHWR7</t>
  </si>
  <si>
    <t>KEYS</t>
  </si>
  <si>
    <t>KEYSIGHT TECHNOLOGIES INC</t>
  </si>
  <si>
    <t>100,36</t>
  </si>
  <si>
    <t>10.010.609</t>
  </si>
  <si>
    <t>10.010.608,92</t>
  </si>
  <si>
    <t>US49338L1035</t>
  </si>
  <si>
    <t>BC9S149</t>
  </si>
  <si>
    <t>KRZ</t>
  </si>
  <si>
    <t>KERRY GROUP PLC</t>
  </si>
  <si>
    <t>127,47</t>
  </si>
  <si>
    <t>10.011.001</t>
  </si>
  <si>
    <t>10.011.001,35</t>
  </si>
  <si>
    <t>IE0004906560</t>
  </si>
  <si>
    <t>BC9ZHL9</t>
  </si>
  <si>
    <t>ESS</t>
  </si>
  <si>
    <t>ESSEX PROPERTY TRUST REIT INC</t>
  </si>
  <si>
    <t>302,40</t>
  </si>
  <si>
    <t>10.011.557</t>
  </si>
  <si>
    <t>10.011.556,80</t>
  </si>
  <si>
    <t>US2971781057</t>
  </si>
  <si>
    <t>BCF5RR9</t>
  </si>
  <si>
    <t>VWS</t>
  </si>
  <si>
    <t>VESTAS WIND SYSTEMS</t>
  </si>
  <si>
    <t>94,73</t>
  </si>
  <si>
    <t>9.988.178</t>
  </si>
  <si>
    <t>9.988.178,19</t>
  </si>
  <si>
    <t>DK0010268606</t>
  </si>
  <si>
    <t>BCRYTK1</t>
  </si>
  <si>
    <t>TRU</t>
  </si>
  <si>
    <t>TRANSUNION</t>
  </si>
  <si>
    <t>91,02</t>
  </si>
  <si>
    <t>9.981.071</t>
  </si>
  <si>
    <t>9.981.071,16</t>
  </si>
  <si>
    <t>US89400J1079</t>
  </si>
  <si>
    <t>BDSV8H8</t>
  </si>
  <si>
    <t>KHC</t>
  </si>
  <si>
    <t>KRAFT HEINZ</t>
  </si>
  <si>
    <t>30,70</t>
  </si>
  <si>
    <t>9.967.031</t>
  </si>
  <si>
    <t>9.967.031,30</t>
  </si>
  <si>
    <t>US5007541064</t>
  </si>
  <si>
    <t>BF321D7</t>
  </si>
  <si>
    <t>MG</t>
  </si>
  <si>
    <t>MAGNA INTERNATIONAL INC</t>
  </si>
  <si>
    <t>53,29</t>
  </si>
  <si>
    <t>9.960.440</t>
  </si>
  <si>
    <t>9.960.440,33</t>
  </si>
  <si>
    <t>CA5592224011</t>
  </si>
  <si>
    <t>BFLY9C0</t>
  </si>
  <si>
    <t>HES</t>
  </si>
  <si>
    <t>HESS CORP</t>
  </si>
  <si>
    <t>68,51</t>
  </si>
  <si>
    <t>9.948.954</t>
  </si>
  <si>
    <t>9.948.953,69</t>
  </si>
  <si>
    <t>US42809H1077</t>
  </si>
  <si>
    <t>BFTDJL8</t>
  </si>
  <si>
    <t>CLP HOLDINGS LTD</t>
  </si>
  <si>
    <t>10,55</t>
  </si>
  <si>
    <t>9.919.775</t>
  </si>
  <si>
    <t>9.919.775,07</t>
  </si>
  <si>
    <t>HK0002007356</t>
  </si>
  <si>
    <t>BGH3F75</t>
  </si>
  <si>
    <t>KIRIN HOLDINGS LTD</t>
  </si>
  <si>
    <t>21,74</t>
  </si>
  <si>
    <t>9.852.383</t>
  </si>
  <si>
    <t>9.852.383,35</t>
  </si>
  <si>
    <t>JP3258000003</t>
  </si>
  <si>
    <t>BLRLR12</t>
  </si>
  <si>
    <t>KNEBV</t>
  </si>
  <si>
    <t>KONE</t>
  </si>
  <si>
    <t>65,19</t>
  </si>
  <si>
    <t>9.832.291</t>
  </si>
  <si>
    <t>9.832.291,11</t>
  </si>
  <si>
    <t>FI0009013403</t>
  </si>
  <si>
    <t>BMP8TL6</t>
  </si>
  <si>
    <t>COO</t>
  </si>
  <si>
    <t>COOPER INC</t>
  </si>
  <si>
    <t>333,65</t>
  </si>
  <si>
    <t>9.824.992</t>
  </si>
  <si>
    <t>9.824.991,55</t>
  </si>
  <si>
    <t>US2166484020</t>
  </si>
  <si>
    <t>BPBSZJ1</t>
  </si>
  <si>
    <t>CHD</t>
  </si>
  <si>
    <t>CHURCH AND DWIGHT INC</t>
  </si>
  <si>
    <t>70,10</t>
  </si>
  <si>
    <t>9.758.060</t>
  </si>
  <si>
    <t>9.758.060,20</t>
  </si>
  <si>
    <t>US1713401024</t>
  </si>
  <si>
    <t>BPH3N63</t>
  </si>
  <si>
    <t>SLHN</t>
  </si>
  <si>
    <t>SWISS LIFE HOLDING AG</t>
  </si>
  <si>
    <t>499,97</t>
  </si>
  <si>
    <t>9.741.500</t>
  </si>
  <si>
    <t>9.741.499,51</t>
  </si>
  <si>
    <t>CH0014852781</t>
  </si>
  <si>
    <t>BRWPYN2</t>
  </si>
  <si>
    <t>CINF</t>
  </si>
  <si>
    <t>CINCINNATI FINANCIAL CORP</t>
  </si>
  <si>
    <t>104,70</t>
  </si>
  <si>
    <t>9.723.070</t>
  </si>
  <si>
    <t>9.723.070,20</t>
  </si>
  <si>
    <t>US1720621010</t>
  </si>
  <si>
    <t>BSKRKJ5</t>
  </si>
  <si>
    <t>MAA</t>
  </si>
  <si>
    <t>MID AMERICA APARTMENT COMMUNITIES</t>
  </si>
  <si>
    <t>132,35</t>
  </si>
  <si>
    <t>9.712.505</t>
  </si>
  <si>
    <t>9.712.504,75</t>
  </si>
  <si>
    <t>US59522J1034</t>
  </si>
  <si>
    <t>BSL7HC6</t>
  </si>
  <si>
    <t>ARE</t>
  </si>
  <si>
    <t>ALEXANDRIA REAL ESTATE EQUITIES RE</t>
  </si>
  <si>
    <t>9.689.896</t>
  </si>
  <si>
    <t>9.689.895,56</t>
  </si>
  <si>
    <t>US0152711091</t>
  </si>
  <si>
    <t>BSR6J09</t>
  </si>
  <si>
    <t>JPY CASH</t>
  </si>
  <si>
    <t>0,91</t>
  </si>
  <si>
    <t>1.060.360.017</t>
  </si>
  <si>
    <t>9.678.350</t>
  </si>
  <si>
    <t>9.678.349,92</t>
  </si>
  <si>
    <t>BT9QF28</t>
  </si>
  <si>
    <t>FRC</t>
  </si>
  <si>
    <t>FIRST REPUBLIC BANK</t>
  </si>
  <si>
    <t>114,30</t>
  </si>
  <si>
    <t>9.587.255</t>
  </si>
  <si>
    <t>9.587.255,40</t>
  </si>
  <si>
    <t>US33616C1009</t>
  </si>
  <si>
    <t>BTPSGQ9</t>
  </si>
  <si>
    <t>DOV</t>
  </si>
  <si>
    <t>DOVER CORP</t>
  </si>
  <si>
    <t>115,77</t>
  </si>
  <si>
    <t>9.585.293</t>
  </si>
  <si>
    <t>9.585.292,92</t>
  </si>
  <si>
    <t>US2600031080</t>
  </si>
  <si>
    <t>BVSS693</t>
  </si>
  <si>
    <t>PFG</t>
  </si>
  <si>
    <t>PRINCIPAL FINANCIAL GROUP INC</t>
  </si>
  <si>
    <t>55,70</t>
  </si>
  <si>
    <t>9.553.608</t>
  </si>
  <si>
    <t>9.553.608,30</t>
  </si>
  <si>
    <t>US74251V1026</t>
  </si>
  <si>
    <t>JP3047660000</t>
  </si>
  <si>
    <t>AJG</t>
  </si>
  <si>
    <t>ARTHUR J GALLAGHER</t>
  </si>
  <si>
    <t>95,44</t>
  </si>
  <si>
    <t>9.546.195</t>
  </si>
  <si>
    <t>9.546.195,12</t>
  </si>
  <si>
    <t>US3635761097</t>
  </si>
  <si>
    <t>JP3047900000</t>
  </si>
  <si>
    <t>SSE</t>
  </si>
  <si>
    <t>SSE PLC</t>
  </si>
  <si>
    <t>18,61</t>
  </si>
  <si>
    <t>9.536.553</t>
  </si>
  <si>
    <t>9.536.552,79</t>
  </si>
  <si>
    <t>GB0007908733</t>
  </si>
  <si>
    <t>BYVVTJ1</t>
  </si>
  <si>
    <t>MGM</t>
  </si>
  <si>
    <t>MGM RESORTS INTERNATIONAL</t>
  </si>
  <si>
    <t>33,21</t>
  </si>
  <si>
    <t>9.534.691</t>
  </si>
  <si>
    <t>9.534.690,63</t>
  </si>
  <si>
    <t>US5529531015</t>
  </si>
  <si>
    <t>OTSUKA HOLDINGS LTD</t>
  </si>
  <si>
    <t>45,58</t>
  </si>
  <si>
    <t>9.503.278</t>
  </si>
  <si>
    <t>9.503.277,51</t>
  </si>
  <si>
    <t>JP3188220002</t>
  </si>
  <si>
    <t>FCX</t>
  </si>
  <si>
    <t>FREEPORT MCMORAN INC</t>
  </si>
  <si>
    <t>12,90</t>
  </si>
  <si>
    <t>9.488.556</t>
  </si>
  <si>
    <t>9.488.556,30</t>
  </si>
  <si>
    <t>US35671D8570</t>
  </si>
  <si>
    <t>BYSJJF4</t>
  </si>
  <si>
    <t>BFB</t>
  </si>
  <si>
    <t>BROWN FORMAN CORP CLASS B</t>
  </si>
  <si>
    <t>67,28</t>
  </si>
  <si>
    <t>9.473.226</t>
  </si>
  <si>
    <t>9.473.225,84</t>
  </si>
  <si>
    <t>US1156372096</t>
  </si>
  <si>
    <t>BY7QXS7</t>
  </si>
  <si>
    <t>ORSTED</t>
  </si>
  <si>
    <t>97,08</t>
  </si>
  <si>
    <t>9.472.680</t>
  </si>
  <si>
    <t>9.472.679,56</t>
  </si>
  <si>
    <t>DK0060094928</t>
  </si>
  <si>
    <t>MXCFFU000001</t>
  </si>
  <si>
    <t>CCL</t>
  </si>
  <si>
    <t>CARNIVAL CORP</t>
  </si>
  <si>
    <t>48,85</t>
  </si>
  <si>
    <t>9.460.144</t>
  </si>
  <si>
    <t>9.460.144,45</t>
  </si>
  <si>
    <t>PA1436583006</t>
  </si>
  <si>
    <t>B011205</t>
  </si>
  <si>
    <t>CXO</t>
  </si>
  <si>
    <t>CONCHO RESOURCES INC</t>
  </si>
  <si>
    <t>89,08</t>
  </si>
  <si>
    <t>9.443.994</t>
  </si>
  <si>
    <t>9.443.994,36</t>
  </si>
  <si>
    <t>US20605P1012</t>
  </si>
  <si>
    <t>BYVYHH4</t>
  </si>
  <si>
    <t>PGHN</t>
  </si>
  <si>
    <t>PARTNERS GROUP HOLDING AG</t>
  </si>
  <si>
    <t>937,07</t>
  </si>
  <si>
    <t>9.395.029</t>
  </si>
  <si>
    <t>9.395.029,03</t>
  </si>
  <si>
    <t>CH0024608827</t>
  </si>
  <si>
    <t>BZ22BK5</t>
  </si>
  <si>
    <t>AEE</t>
  </si>
  <si>
    <t>AMEREN CORP</t>
  </si>
  <si>
    <t>77,01</t>
  </si>
  <si>
    <t>9.368.421</t>
  </si>
  <si>
    <t>9.368.420,52</t>
  </si>
  <si>
    <t>US0236081024</t>
  </si>
  <si>
    <t>NOMURA HOLDINGS INC</t>
  </si>
  <si>
    <t>1.771.431</t>
  </si>
  <si>
    <t>9.355.148</t>
  </si>
  <si>
    <t>9.355.147,65</t>
  </si>
  <si>
    <t>JP3762600009</t>
  </si>
  <si>
    <t>KBC</t>
  </si>
  <si>
    <t>KBC GROEP</t>
  </si>
  <si>
    <t>75,24</t>
  </si>
  <si>
    <t>9.326.175</t>
  </si>
  <si>
    <t>9.326.175,25</t>
  </si>
  <si>
    <t>BE0003565737</t>
  </si>
  <si>
    <t>SECOM LTD</t>
  </si>
  <si>
    <t>9.322.498</t>
  </si>
  <si>
    <t>9.322.498,30</t>
  </si>
  <si>
    <t>JP3421800008</t>
  </si>
  <si>
    <t>M3 INC</t>
  </si>
  <si>
    <t>31,40</t>
  </si>
  <si>
    <t>9.319.022</t>
  </si>
  <si>
    <t>9.319.021,54</t>
  </si>
  <si>
    <t>JP3435750009</t>
  </si>
  <si>
    <t>SCG</t>
  </si>
  <si>
    <t>SCENTRE GROUP</t>
  </si>
  <si>
    <t>2,75</t>
  </si>
  <si>
    <t>3.387.802</t>
  </si>
  <si>
    <t>9.310.998</t>
  </si>
  <si>
    <t>9.310.997,75</t>
  </si>
  <si>
    <t>AU000000SCG8</t>
  </si>
  <si>
    <t>EVRG</t>
  </si>
  <si>
    <t>EVERGY INC</t>
  </si>
  <si>
    <t>64,51</t>
  </si>
  <si>
    <t>9.298.149</t>
  </si>
  <si>
    <t>9.298.148,85</t>
  </si>
  <si>
    <t>US30034W1062</t>
  </si>
  <si>
    <t>GMG</t>
  </si>
  <si>
    <t>GOODMAN GROUP UNITS</t>
  </si>
  <si>
    <t>9,69</t>
  </si>
  <si>
    <t>9.283.373</t>
  </si>
  <si>
    <t>9.283.372,87</t>
  </si>
  <si>
    <t>AU000000GMG2</t>
  </si>
  <si>
    <t>B020QY3</t>
  </si>
  <si>
    <t>HM B</t>
  </si>
  <si>
    <t>HENNES &amp; MAURITZ</t>
  </si>
  <si>
    <t>19,48</t>
  </si>
  <si>
    <t>9.282.582</t>
  </si>
  <si>
    <t>9.282.581,66</t>
  </si>
  <si>
    <t>SE0000106270</t>
  </si>
  <si>
    <t>B07NL19</t>
  </si>
  <si>
    <t>FER</t>
  </si>
  <si>
    <t>FERROVIAL SA</t>
  </si>
  <si>
    <t>30,85</t>
  </si>
  <si>
    <t>9.273.402</t>
  </si>
  <si>
    <t>9.273.401,53</t>
  </si>
  <si>
    <t>ES0118900010</t>
  </si>
  <si>
    <t>B0C5Q59</t>
  </si>
  <si>
    <t>RCI.B</t>
  </si>
  <si>
    <t>ROGERS COMMUNICATIONS NON-VOTING I</t>
  </si>
  <si>
    <t>49,52</t>
  </si>
  <si>
    <t>9.232.164</t>
  </si>
  <si>
    <t>9.232.163,87</t>
  </si>
  <si>
    <t>CA7751092007</t>
  </si>
  <si>
    <t>B0LNTF5</t>
  </si>
  <si>
    <t>DAIWA HOUSE INDUSTRY LTD</t>
  </si>
  <si>
    <t>31,03</t>
  </si>
  <si>
    <t>9.221.585</t>
  </si>
  <si>
    <t>9.221.584,52</t>
  </si>
  <si>
    <t>JP3505000004</t>
  </si>
  <si>
    <t>B0Z6WY0</t>
  </si>
  <si>
    <t>ASAHI GROUP HOLDINGS LTD</t>
  </si>
  <si>
    <t>45,22</t>
  </si>
  <si>
    <t>9.209.032</t>
  </si>
  <si>
    <t>9.209.032,02</t>
  </si>
  <si>
    <t>JP3116000005</t>
  </si>
  <si>
    <t>B15T1R2</t>
  </si>
  <si>
    <t>NA</t>
  </si>
  <si>
    <t>NATIONAL BANK OF CANADA</t>
  </si>
  <si>
    <t>55,30</t>
  </si>
  <si>
    <t>9.183.614</t>
  </si>
  <si>
    <t>9.183.614,34</t>
  </si>
  <si>
    <t>CA6330671034</t>
  </si>
  <si>
    <t>B182BB2</t>
  </si>
  <si>
    <t>K</t>
  </si>
  <si>
    <t>KELLOGG</t>
  </si>
  <si>
    <t>69,27</t>
  </si>
  <si>
    <t>9.184.994</t>
  </si>
  <si>
    <t>9.184.994,19</t>
  </si>
  <si>
    <t>US4878361082</t>
  </si>
  <si>
    <t>B1GF9P3</t>
  </si>
  <si>
    <t>DNB</t>
  </si>
  <si>
    <t>18,63</t>
  </si>
  <si>
    <t>9.166.276</t>
  </si>
  <si>
    <t>9.166.275,63</t>
  </si>
  <si>
    <t>NO0010031479</t>
  </si>
  <si>
    <t>B62WZW2</t>
  </si>
  <si>
    <t>EFX</t>
  </si>
  <si>
    <t>EQUIFAX INC</t>
  </si>
  <si>
    <t>146,72</t>
  </si>
  <si>
    <t>9.152.394</t>
  </si>
  <si>
    <t>9.152.393,60</t>
  </si>
  <si>
    <t>US2944291051</t>
  </si>
  <si>
    <t>B8BSRY1</t>
  </si>
  <si>
    <t>MS&amp;AD INSURANCE GROUP HOLDINGS INC</t>
  </si>
  <si>
    <t>33,50</t>
  </si>
  <si>
    <t>9.149.039</t>
  </si>
  <si>
    <t>9.149.039,34</t>
  </si>
  <si>
    <t>JP3890310000</t>
  </si>
  <si>
    <t>B8RBZV7</t>
  </si>
  <si>
    <t>EXAS</t>
  </si>
  <si>
    <t>EXACT SCIENCES CORP</t>
  </si>
  <si>
    <t>104,44</t>
  </si>
  <si>
    <t>9.147.064</t>
  </si>
  <si>
    <t>9.147.064,08</t>
  </si>
  <si>
    <t>US30063P1057</t>
  </si>
  <si>
    <t>BMJJVS6</t>
  </si>
  <si>
    <t>PEAK</t>
  </si>
  <si>
    <t>HEALTHPEAK PROPERTIES INC</t>
  </si>
  <si>
    <t>34,93</t>
  </si>
  <si>
    <t>9.118.232</t>
  </si>
  <si>
    <t>9.118.231,99</t>
  </si>
  <si>
    <t>US42250P1030</t>
  </si>
  <si>
    <t>B5143W8</t>
  </si>
  <si>
    <t>NTAP</t>
  </si>
  <si>
    <t>NETAPP INC</t>
  </si>
  <si>
    <t>63,13</t>
  </si>
  <si>
    <t>9.111.553</t>
  </si>
  <si>
    <t>9.111.552,90</t>
  </si>
  <si>
    <t>US64110D1046</t>
  </si>
  <si>
    <t>B24HH65</t>
  </si>
  <si>
    <t>DBK</t>
  </si>
  <si>
    <t>DEUTSCHE BANK AG</t>
  </si>
  <si>
    <t>8,55</t>
  </si>
  <si>
    <t>1.064.579</t>
  </si>
  <si>
    <t>9.104.107</t>
  </si>
  <si>
    <t>9.104.107,41</t>
  </si>
  <si>
    <t>DE0005140008</t>
  </si>
  <si>
    <t>BD8Q486</t>
  </si>
  <si>
    <t>STM</t>
  </si>
  <si>
    <t>STMICROELECTRONICS NV</t>
  </si>
  <si>
    <t>27,48</t>
  </si>
  <si>
    <t>9.080.335</t>
  </si>
  <si>
    <t>9.080.334,85</t>
  </si>
  <si>
    <t>NL0000226223</t>
  </si>
  <si>
    <t>LEN</t>
  </si>
  <si>
    <t>LENNAR A CORP</t>
  </si>
  <si>
    <t>59,72</t>
  </si>
  <si>
    <t>9.071.587</t>
  </si>
  <si>
    <t>9.071.587,44</t>
  </si>
  <si>
    <t>US5260571048</t>
  </si>
  <si>
    <t>MXIM</t>
  </si>
  <si>
    <t>MAXIM INTEGRATED PRODUCTS INC</t>
  </si>
  <si>
    <t>61,45</t>
  </si>
  <si>
    <t>9.070.512</t>
  </si>
  <si>
    <t>9.070.511,60</t>
  </si>
  <si>
    <t>US57772K1016</t>
  </si>
  <si>
    <t>CK ASSET HOLDINGS LTD</t>
  </si>
  <si>
    <t>7,19</t>
  </si>
  <si>
    <t>1.261.040</t>
  </si>
  <si>
    <t>9.068.259</t>
  </si>
  <si>
    <t>9.068.258,62</t>
  </si>
  <si>
    <t>KYG2177B1014</t>
  </si>
  <si>
    <t>WPP</t>
  </si>
  <si>
    <t>WPP PLC</t>
  </si>
  <si>
    <t>9.012.149</t>
  </si>
  <si>
    <t>9.012.148,56</t>
  </si>
  <si>
    <t>JE00B8KF9B49</t>
  </si>
  <si>
    <t>DAI-ICHI LIFE HOLDINGS INC</t>
  </si>
  <si>
    <t>16,08</t>
  </si>
  <si>
    <t>9.005.259</t>
  </si>
  <si>
    <t>9.005.258,76</t>
  </si>
  <si>
    <t>JP3476480003</t>
  </si>
  <si>
    <t>B00STP1</t>
  </si>
  <si>
    <t>MAS</t>
  </si>
  <si>
    <t>MASCO CORP</t>
  </si>
  <si>
    <t>47,28</t>
  </si>
  <si>
    <t>8.993.885</t>
  </si>
  <si>
    <t>8.993.885,28</t>
  </si>
  <si>
    <t>US5745991068</t>
  </si>
  <si>
    <t>B0XZXV3</t>
  </si>
  <si>
    <t>TTWO</t>
  </si>
  <si>
    <t>TAKE TWO INTERACTIVE SOFTWARE INC</t>
  </si>
  <si>
    <t>126,76</t>
  </si>
  <si>
    <t>8.988.932</t>
  </si>
  <si>
    <t>8.988.931,88</t>
  </si>
  <si>
    <t>US8740541094</t>
  </si>
  <si>
    <t>B1530B1</t>
  </si>
  <si>
    <t>NUE</t>
  </si>
  <si>
    <t>NUCOR CORP</t>
  </si>
  <si>
    <t>52,77</t>
  </si>
  <si>
    <t>8.960.346</t>
  </si>
  <si>
    <t>8.960.346,00</t>
  </si>
  <si>
    <t>US6703461052</t>
  </si>
  <si>
    <t>B2455Y3</t>
  </si>
  <si>
    <t>FME</t>
  </si>
  <si>
    <t>FRESENIUS MEDICAL CARE AG</t>
  </si>
  <si>
    <t>73,64</t>
  </si>
  <si>
    <t>8.939.512</t>
  </si>
  <si>
    <t>8.939.512,12</t>
  </si>
  <si>
    <t>DE0005785802</t>
  </si>
  <si>
    <t>B9GS088</t>
  </si>
  <si>
    <t>AMCR</t>
  </si>
  <si>
    <t>AMCOR PLC</t>
  </si>
  <si>
    <t>10,45</t>
  </si>
  <si>
    <t>8.924.990</t>
  </si>
  <si>
    <t>8.924.989,70</t>
  </si>
  <si>
    <t>JE00BJ1F3079</t>
  </si>
  <si>
    <t>BFSSCF9</t>
  </si>
  <si>
    <t>CAG</t>
  </si>
  <si>
    <t>CONAGRA BRANDS INC</t>
  </si>
  <si>
    <t>31,83</t>
  </si>
  <si>
    <t>8.923.604</t>
  </si>
  <si>
    <t>8.923.604,16</t>
  </si>
  <si>
    <t>US2058871029</t>
  </si>
  <si>
    <t>BG49KP9</t>
  </si>
  <si>
    <t>KMX</t>
  </si>
  <si>
    <t>CARMAX INC</t>
  </si>
  <si>
    <t>89,09</t>
  </si>
  <si>
    <t>8.864.366</t>
  </si>
  <si>
    <t>8.864.365,91</t>
  </si>
  <si>
    <t>US1431301027</t>
  </si>
  <si>
    <t>BMJ71D5</t>
  </si>
  <si>
    <t>SHB A</t>
  </si>
  <si>
    <t>SVENSKA HANDELSBANKEN-A SHS</t>
  </si>
  <si>
    <t>10,57</t>
  </si>
  <si>
    <t>8.848.136</t>
  </si>
  <si>
    <t>8.848.136,22</t>
  </si>
  <si>
    <t>SE0007100599</t>
  </si>
  <si>
    <t>BNGNB77</t>
  </si>
  <si>
    <t>EXPD</t>
  </si>
  <si>
    <t>EXPEDITORS INTERNATIONAL OF WASHIN</t>
  </si>
  <si>
    <t>77,21</t>
  </si>
  <si>
    <t>8.833.905</t>
  </si>
  <si>
    <t>8.833.904,94</t>
  </si>
  <si>
    <t>US3021301094</t>
  </si>
  <si>
    <t>BXRTX56</t>
  </si>
  <si>
    <t>UG</t>
  </si>
  <si>
    <t>PEUGEOT SA</t>
  </si>
  <si>
    <t>23,19</t>
  </si>
  <si>
    <t>8.792.195</t>
  </si>
  <si>
    <t>8.792.194,78</t>
  </si>
  <si>
    <t>FR0000121501</t>
  </si>
  <si>
    <t>BYYTSK6</t>
  </si>
  <si>
    <t>NESTE</t>
  </si>
  <si>
    <t>35,26</t>
  </si>
  <si>
    <t>8.789.301</t>
  </si>
  <si>
    <t>8.789.301,26</t>
  </si>
  <si>
    <t>FI0009013296</t>
  </si>
  <si>
    <t>JP3048180008</t>
  </si>
  <si>
    <t>GMAB</t>
  </si>
  <si>
    <t>GENMAB</t>
  </si>
  <si>
    <t>225,60</t>
  </si>
  <si>
    <t>8.777.116</t>
  </si>
  <si>
    <t>8.777.116,30</t>
  </si>
  <si>
    <t>DK0010272202</t>
  </si>
  <si>
    <t>US55303A1051</t>
  </si>
  <si>
    <t>CMS</t>
  </si>
  <si>
    <t>CMS ENERGY CORP</t>
  </si>
  <si>
    <t>63,06</t>
  </si>
  <si>
    <t>8.766.853</t>
  </si>
  <si>
    <t>8.766.853,44</t>
  </si>
  <si>
    <t>US1258961002</t>
  </si>
  <si>
    <t>US93964W1080</t>
  </si>
  <si>
    <t>GARTNER INC</t>
  </si>
  <si>
    <t>159,39</t>
  </si>
  <si>
    <t>8.735.688</t>
  </si>
  <si>
    <t>8.735.687,73</t>
  </si>
  <si>
    <t>US3666511072</t>
  </si>
  <si>
    <t>BYMYV82</t>
  </si>
  <si>
    <t>TFX</t>
  </si>
  <si>
    <t>TELEFLEX INC</t>
  </si>
  <si>
    <t>378,70</t>
  </si>
  <si>
    <t>8.676.017</t>
  </si>
  <si>
    <t>8.676.017,00</t>
  </si>
  <si>
    <t>US8793691069</t>
  </si>
  <si>
    <t>BD0PJ08</t>
  </si>
  <si>
    <t>NCM</t>
  </si>
  <si>
    <t>NEWCREST MINING LTD</t>
  </si>
  <si>
    <t>21,23</t>
  </si>
  <si>
    <t>8.673.390</t>
  </si>
  <si>
    <t>8.673.389,54</t>
  </si>
  <si>
    <t>AU000000NCM7</t>
  </si>
  <si>
    <t>BD3BX01</t>
  </si>
  <si>
    <t>SUI</t>
  </si>
  <si>
    <t>SUN COMMUNITIES REIT INC</t>
  </si>
  <si>
    <t>149,87</t>
  </si>
  <si>
    <t>8.606.584</t>
  </si>
  <si>
    <t>8.606.584,49</t>
  </si>
  <si>
    <t>US8666741041</t>
  </si>
  <si>
    <t>BZ6F133</t>
  </si>
  <si>
    <t>MKL</t>
  </si>
  <si>
    <t>MARKEL CORP</t>
  </si>
  <si>
    <t>1.162,21</t>
  </si>
  <si>
    <t>8.594.543</t>
  </si>
  <si>
    <t>8.594.542,95</t>
  </si>
  <si>
    <t>US5705351048</t>
  </si>
  <si>
    <t>BZ9NZY3</t>
  </si>
  <si>
    <t>CE</t>
  </si>
  <si>
    <t>CELANESE CORP</t>
  </si>
  <si>
    <t>117,01</t>
  </si>
  <si>
    <t>8.592.044</t>
  </si>
  <si>
    <t>8.592.044,30</t>
  </si>
  <si>
    <t>US1508701034</t>
  </si>
  <si>
    <t>BYW0PQ6</t>
  </si>
  <si>
    <t>CAH</t>
  </si>
  <si>
    <t>CARDINAL HEALTH INC</t>
  </si>
  <si>
    <t>50,63</t>
  </si>
  <si>
    <t>8.587.506</t>
  </si>
  <si>
    <t>8.587.506,19</t>
  </si>
  <si>
    <t>US14149Y1082</t>
  </si>
  <si>
    <t>CT SP</t>
  </si>
  <si>
    <t>ARISTOCRAT LEISURE LTD</t>
  </si>
  <si>
    <t>24,40</t>
  </si>
  <si>
    <t>8.541.753</t>
  </si>
  <si>
    <t>8.541.752,90</t>
  </si>
  <si>
    <t>AU000000ALL7</t>
  </si>
  <si>
    <t>GNL US</t>
  </si>
  <si>
    <t>FCA</t>
  </si>
  <si>
    <t>FIAT CHRYSLER AUTOMOBILES NV</t>
  </si>
  <si>
    <t>14,26</t>
  </si>
  <si>
    <t>8.535.153</t>
  </si>
  <si>
    <t>8.535.153,20</t>
  </si>
  <si>
    <t>NL0010877643</t>
  </si>
  <si>
    <t>GPOR LN</t>
  </si>
  <si>
    <t>FTNT</t>
  </si>
  <si>
    <t>FORTINET INC</t>
  </si>
  <si>
    <t>114,32</t>
  </si>
  <si>
    <t>8.522.785</t>
  </si>
  <si>
    <t>8.522.784,64</t>
  </si>
  <si>
    <t>US34959E1091</t>
  </si>
  <si>
    <t>LPT US</t>
  </si>
  <si>
    <t>SEB A</t>
  </si>
  <si>
    <t>SKANDINAVISKA ENSKILDA BANKEN</t>
  </si>
  <si>
    <t>9,44</t>
  </si>
  <si>
    <t>8.519.064</t>
  </si>
  <si>
    <t>8.519.063,61</t>
  </si>
  <si>
    <t>SE0000148884</t>
  </si>
  <si>
    <t>LSI US</t>
  </si>
  <si>
    <t>SUZUKI MOTOR CORP</t>
  </si>
  <si>
    <t>0,03</t>
  </si>
  <si>
    <t>41,79</t>
  </si>
  <si>
    <t>8.511.837</t>
  </si>
  <si>
    <t>8.511.837,46</t>
  </si>
  <si>
    <t>JP3397200001</t>
  </si>
  <si>
    <t>NRE US</t>
  </si>
  <si>
    <t>MRVL</t>
  </si>
  <si>
    <t>MARVELL TECHNOLOGY GROUP LTD</t>
  </si>
  <si>
    <t>26,50</t>
  </si>
  <si>
    <t>8.502.870</t>
  </si>
  <si>
    <t>8.502.869,50</t>
  </si>
  <si>
    <t>BMG5876H1051</t>
  </si>
  <si>
    <t>NSA US</t>
  </si>
  <si>
    <t>RR.</t>
  </si>
  <si>
    <t>ROLLS-ROYCE HOLDINGS PLC</t>
  </si>
  <si>
    <t>8,92</t>
  </si>
  <si>
    <t>8.458.582</t>
  </si>
  <si>
    <t>8.458.581,91</t>
  </si>
  <si>
    <t>GB00B63H8491</t>
  </si>
  <si>
    <t>QCP US</t>
  </si>
  <si>
    <t>SUBARU CORP</t>
  </si>
  <si>
    <t>24,53</t>
  </si>
  <si>
    <t>8.457.043</t>
  </si>
  <si>
    <t>8.457.042,72</t>
  </si>
  <si>
    <t>JP3814800003</t>
  </si>
  <si>
    <t>SRG US</t>
  </si>
  <si>
    <t>KUBOTA CORP</t>
  </si>
  <si>
    <t>15,57</t>
  </si>
  <si>
    <t>8.454.806</t>
  </si>
  <si>
    <t>8.454.805,82</t>
  </si>
  <si>
    <t>JP3266400005</t>
  </si>
  <si>
    <t>J055</t>
  </si>
  <si>
    <t>MNK</t>
  </si>
  <si>
    <t>INVH</t>
  </si>
  <si>
    <t>INVITATION HOMES INC</t>
  </si>
  <si>
    <t>30,06</t>
  </si>
  <si>
    <t>8.337.772</t>
  </si>
  <si>
    <t>8.337.772,26</t>
  </si>
  <si>
    <t>US46187W1071</t>
  </si>
  <si>
    <t>J135</t>
  </si>
  <si>
    <t>AFE</t>
  </si>
  <si>
    <t>BURL</t>
  </si>
  <si>
    <t>BURLINGTON STORES INC</t>
  </si>
  <si>
    <t>231,33</t>
  </si>
  <si>
    <t>8.329.962</t>
  </si>
  <si>
    <t>8.329.961,97</t>
  </si>
  <si>
    <t>US1220171060</t>
  </si>
  <si>
    <t>AFX</t>
  </si>
  <si>
    <t>GALAXY ENTERTAINMENT GROUP LTD</t>
  </si>
  <si>
    <t>7,91</t>
  </si>
  <si>
    <t>1.052.368</t>
  </si>
  <si>
    <t>8.319.704</t>
  </si>
  <si>
    <t>8.319.703,76</t>
  </si>
  <si>
    <t>HK0027032686</t>
  </si>
  <si>
    <t>OMN</t>
  </si>
  <si>
    <t>SUMITOMO CORP</t>
  </si>
  <si>
    <t>14,73</t>
  </si>
  <si>
    <t>8.315.503</t>
  </si>
  <si>
    <t>8.315.503,01</t>
  </si>
  <si>
    <t>JP3404600003</t>
  </si>
  <si>
    <t>SOL</t>
  </si>
  <si>
    <t>EXPE</t>
  </si>
  <si>
    <t>EXPEDIA GROUP INC</t>
  </si>
  <si>
    <t>110,69</t>
  </si>
  <si>
    <t>8.309.609</t>
  </si>
  <si>
    <t>8.309.608,99</t>
  </si>
  <si>
    <t>US30212P3038</t>
  </si>
  <si>
    <t>J150</t>
  </si>
  <si>
    <t>ANG</t>
  </si>
  <si>
    <t>ACGL</t>
  </si>
  <si>
    <t>ARCH CAPITAL GROUP LTD</t>
  </si>
  <si>
    <t>43,53</t>
  </si>
  <si>
    <t>8.296.818</t>
  </si>
  <si>
    <t>8.296.818,00</t>
  </si>
  <si>
    <t>BMG0450A1053</t>
  </si>
  <si>
    <t>GFI</t>
  </si>
  <si>
    <t>TWLO</t>
  </si>
  <si>
    <t>TWILIO INC CLASS A</t>
  </si>
  <si>
    <t>115,74</t>
  </si>
  <si>
    <t>8.293.465</t>
  </si>
  <si>
    <t>8.293.465,44</t>
  </si>
  <si>
    <t>US90138F1021</t>
  </si>
  <si>
    <t>HAR</t>
  </si>
  <si>
    <t>QRVO</t>
  </si>
  <si>
    <t>QUORVO INC</t>
  </si>
  <si>
    <t>113,42</t>
  </si>
  <si>
    <t>8.289.301</t>
  </si>
  <si>
    <t>8.289.300,70</t>
  </si>
  <si>
    <t>US74736K1016</t>
  </si>
  <si>
    <t>PAN</t>
  </si>
  <si>
    <t>LNT</t>
  </si>
  <si>
    <t>ALLIANT ENERGY CORP</t>
  </si>
  <si>
    <t>55,07</t>
  </si>
  <si>
    <t>8.246.237</t>
  </si>
  <si>
    <t>8.246.236,87</t>
  </si>
  <si>
    <t>US0188021085</t>
  </si>
  <si>
    <t>SGL</t>
  </si>
  <si>
    <t>MERCK</t>
  </si>
  <si>
    <t>126,36</t>
  </si>
  <si>
    <t>8.227.205</t>
  </si>
  <si>
    <t>8.227.205,47</t>
  </si>
  <si>
    <t>DE0006599905</t>
  </si>
  <si>
    <t>J151</t>
  </si>
  <si>
    <t>EXX</t>
  </si>
  <si>
    <t>CTXS</t>
  </si>
  <si>
    <t>CITRIX SYSTEMS INC</t>
  </si>
  <si>
    <t>113,74</t>
  </si>
  <si>
    <t>8.219.876</t>
  </si>
  <si>
    <t>8.219.876,06</t>
  </si>
  <si>
    <t>US1773761002</t>
  </si>
  <si>
    <t>J152</t>
  </si>
  <si>
    <t>TSX</t>
  </si>
  <si>
    <t>BMRN</t>
  </si>
  <si>
    <t>BIOMARIN PHARMACEUTICAL INC</t>
  </si>
  <si>
    <t>91,10</t>
  </si>
  <si>
    <t>8.219.771</t>
  </si>
  <si>
    <t>8.219.770,80</t>
  </si>
  <si>
    <t>US09061G1013</t>
  </si>
  <si>
    <t>J153</t>
  </si>
  <si>
    <t>KSU</t>
  </si>
  <si>
    <t>KANSAS CITY SOUTHERN</t>
  </si>
  <si>
    <t>158,25</t>
  </si>
  <si>
    <t>8.201.465</t>
  </si>
  <si>
    <t>8.201.464,50</t>
  </si>
  <si>
    <t>US4851703029</t>
  </si>
  <si>
    <t>IMP</t>
  </si>
  <si>
    <t>QSR</t>
  </si>
  <si>
    <t>RESTAURANTS BRANDS INTERNATIONAL I</t>
  </si>
  <si>
    <t>62,56</t>
  </si>
  <si>
    <t>8.195.717</t>
  </si>
  <si>
    <t>8.195.716,89</t>
  </si>
  <si>
    <t>CA76131D1033</t>
  </si>
  <si>
    <t>LON</t>
  </si>
  <si>
    <t>TRI</t>
  </si>
  <si>
    <t>THOMSON REUTERS CORP</t>
  </si>
  <si>
    <t>75,16</t>
  </si>
  <si>
    <t>8.185.102</t>
  </si>
  <si>
    <t>8.185.101,88</t>
  </si>
  <si>
    <t>CA8849037095</t>
  </si>
  <si>
    <t>NHM</t>
  </si>
  <si>
    <t>HBAN</t>
  </si>
  <si>
    <t>HUNTINGTON BANCSHARES INC</t>
  </si>
  <si>
    <t>14,38</t>
  </si>
  <si>
    <t>8.183.342</t>
  </si>
  <si>
    <t>8.183.341,64</t>
  </si>
  <si>
    <t>US4461501045</t>
  </si>
  <si>
    <t>RBP</t>
  </si>
  <si>
    <t>ATO</t>
  </si>
  <si>
    <t>ATMOS ENERGY CORP</t>
  </si>
  <si>
    <t>111,39</t>
  </si>
  <si>
    <t>8.176.360</t>
  </si>
  <si>
    <t>8.176.360,17</t>
  </si>
  <si>
    <t>US0495601058</t>
  </si>
  <si>
    <t>J154</t>
  </si>
  <si>
    <t>AGL</t>
  </si>
  <si>
    <t>COL</t>
  </si>
  <si>
    <t>COLES GROUP LTD</t>
  </si>
  <si>
    <t>10,81</t>
  </si>
  <si>
    <t>8.155.193</t>
  </si>
  <si>
    <t>8.155.193,25</t>
  </si>
  <si>
    <t>AU0000030678</t>
  </si>
  <si>
    <t>ARI</t>
  </si>
  <si>
    <t>MLM</t>
  </si>
  <si>
    <t>MARTIN MARIETTA MATERIALS INC</t>
  </si>
  <si>
    <t>276,87</t>
  </si>
  <si>
    <t>8.096.509</t>
  </si>
  <si>
    <t>8.096.509,41</t>
  </si>
  <si>
    <t>US5732841060</t>
  </si>
  <si>
    <t>BIL</t>
  </si>
  <si>
    <t>TECHTRONIC INDUSTRIES LTD</t>
  </si>
  <si>
    <t>8,16</t>
  </si>
  <si>
    <t>8.087.442</t>
  </si>
  <si>
    <t>8.087.442,30</t>
  </si>
  <si>
    <t>HK0669013440</t>
  </si>
  <si>
    <t>ASR</t>
  </si>
  <si>
    <t>AKAM</t>
  </si>
  <si>
    <t>AKAMAI TECHNOLOGIES INC</t>
  </si>
  <si>
    <t>93,53</t>
  </si>
  <si>
    <t>8.078.467</t>
  </si>
  <si>
    <t>8.078.466,69</t>
  </si>
  <si>
    <t>US00971T1016</t>
  </si>
  <si>
    <t>GLN</t>
  </si>
  <si>
    <t>LNG</t>
  </si>
  <si>
    <t>CHENIERE ENERGY INC</t>
  </si>
  <si>
    <t>63,73</t>
  </si>
  <si>
    <t>8.034.122</t>
  </si>
  <si>
    <t>8.034.122,45</t>
  </si>
  <si>
    <t>US16411R2085</t>
  </si>
  <si>
    <t>Nyse Mkt Llc</t>
  </si>
  <si>
    <t>S32</t>
  </si>
  <si>
    <t>JXTG HOLDINGS INC</t>
  </si>
  <si>
    <t>4,59</t>
  </si>
  <si>
    <t>1.748.528</t>
  </si>
  <si>
    <t>8.024.460</t>
  </si>
  <si>
    <t>8.024.460,37</t>
  </si>
  <si>
    <t>JP3386450005</t>
  </si>
  <si>
    <t>J173</t>
  </si>
  <si>
    <t>MND</t>
  </si>
  <si>
    <t>ABC</t>
  </si>
  <si>
    <t>AMERISOURCEBERGEN CORP</t>
  </si>
  <si>
    <t>87,04</t>
  </si>
  <si>
    <t>8.007.767</t>
  </si>
  <si>
    <t>8.007.767,04</t>
  </si>
  <si>
    <t>US03073E1055</t>
  </si>
  <si>
    <t>MNP</t>
  </si>
  <si>
    <t>L</t>
  </si>
  <si>
    <t>LOEWS CORP</t>
  </si>
  <si>
    <t>7.989.933</t>
  </si>
  <si>
    <t>7.989.933,22</t>
  </si>
  <si>
    <t>US5404241086</t>
  </si>
  <si>
    <t>ASAHI KASEI CORP</t>
  </si>
  <si>
    <t>10,90</t>
  </si>
  <si>
    <t>7.968.305</t>
  </si>
  <si>
    <t>7.968.304,97</t>
  </si>
  <si>
    <t>JP3111200006</t>
  </si>
  <si>
    <t>J175</t>
  </si>
  <si>
    <t>KIO</t>
  </si>
  <si>
    <t>SOON</t>
  </si>
  <si>
    <t>SONOVA HOLDING AG</t>
  </si>
  <si>
    <t>230,26</t>
  </si>
  <si>
    <t>7.961.220</t>
  </si>
  <si>
    <t>7.961.220,14</t>
  </si>
  <si>
    <t>CH0012549785</t>
  </si>
  <si>
    <t>ACL</t>
  </si>
  <si>
    <t>ACA</t>
  </si>
  <si>
    <t>CREDIT AGRICOLE SA</t>
  </si>
  <si>
    <t>14,31</t>
  </si>
  <si>
    <t>7.958.418</t>
  </si>
  <si>
    <t>7.958.417,78</t>
  </si>
  <si>
    <t>FR0000045072</t>
  </si>
  <si>
    <t>J177</t>
  </si>
  <si>
    <t>MTX</t>
  </si>
  <si>
    <t>MTU AERO ENGINES HOLDING AG</t>
  </si>
  <si>
    <t>298,73</t>
  </si>
  <si>
    <t>7.956.996</t>
  </si>
  <si>
    <t>7.956.995,72</t>
  </si>
  <si>
    <t>DE000A0D9PT0</t>
  </si>
  <si>
    <t>MITSUBISHI HEAVY INDUSTRIES LTD</t>
  </si>
  <si>
    <t>39,28</t>
  </si>
  <si>
    <t>7.940.636</t>
  </si>
  <si>
    <t>7.940.636,44</t>
  </si>
  <si>
    <t>JP3900000005</t>
  </si>
  <si>
    <t>CBOE</t>
  </si>
  <si>
    <t>CBOE GLOBAL MARKETS INC</t>
  </si>
  <si>
    <t>115,85</t>
  </si>
  <si>
    <t>7.933.176</t>
  </si>
  <si>
    <t>7.933.176,30</t>
  </si>
  <si>
    <t>US12503M1080</t>
  </si>
  <si>
    <t>Cboe BZX formerly known as BATS</t>
  </si>
  <si>
    <t>DGX</t>
  </si>
  <si>
    <t>QUEST DIAGNOSTICS INC</t>
  </si>
  <si>
    <t>106,85</t>
  </si>
  <si>
    <t>7.933.185</t>
  </si>
  <si>
    <t>7.933.185,10</t>
  </si>
  <si>
    <t>US74834L1008</t>
  </si>
  <si>
    <t>SUMITOMO MITSUI TRUST HOLDINGS INC</t>
  </si>
  <si>
    <t>39,04</t>
  </si>
  <si>
    <t>7.923.654</t>
  </si>
  <si>
    <t>7.923.653,90</t>
  </si>
  <si>
    <t>JP3892100003</t>
  </si>
  <si>
    <t>MOWI</t>
  </si>
  <si>
    <t>25,69</t>
  </si>
  <si>
    <t>7.882.791</t>
  </si>
  <si>
    <t>7.882.791,44</t>
  </si>
  <si>
    <t>NO0003054108</t>
  </si>
  <si>
    <t>SRG</t>
  </si>
  <si>
    <t>SNAM</t>
  </si>
  <si>
    <t>5,31</t>
  </si>
  <si>
    <t>1.481.238</t>
  </si>
  <si>
    <t>7.858.834</t>
  </si>
  <si>
    <t>7.858.833,97</t>
  </si>
  <si>
    <t>IT0003153415</t>
  </si>
  <si>
    <t>SGRO</t>
  </si>
  <si>
    <t>SEGRO REIT PLC</t>
  </si>
  <si>
    <t>11,37</t>
  </si>
  <si>
    <t>7.856.761</t>
  </si>
  <si>
    <t>7.856.761,22</t>
  </si>
  <si>
    <t>GB00B5ZN1N88</t>
  </si>
  <si>
    <t>KKR</t>
  </si>
  <si>
    <t>KKR AND CO INC CLASS A</t>
  </si>
  <si>
    <t>29,98</t>
  </si>
  <si>
    <t>7.840.040</t>
  </si>
  <si>
    <t>7.840.039,82</t>
  </si>
  <si>
    <t>US48251W1045</t>
  </si>
  <si>
    <t>PAYC</t>
  </si>
  <si>
    <t>PAYCOM SOFTWARE INC</t>
  </si>
  <si>
    <t>285,58</t>
  </si>
  <si>
    <t>7.826.605</t>
  </si>
  <si>
    <t>7.826.605,48</t>
  </si>
  <si>
    <t>US70432V1026</t>
  </si>
  <si>
    <t>HOLX</t>
  </si>
  <si>
    <t>HOLOGIC INC</t>
  </si>
  <si>
    <t>53,17</t>
  </si>
  <si>
    <t>7.820.244</t>
  </si>
  <si>
    <t>7.820.243,60</t>
  </si>
  <si>
    <t>US4364401012</t>
  </si>
  <si>
    <t>SOMPO HOLDINGS INC</t>
  </si>
  <si>
    <t>38,69</t>
  </si>
  <si>
    <t>7.806.709</t>
  </si>
  <si>
    <t>7.806.708,93</t>
  </si>
  <si>
    <t>JP3165000005</t>
  </si>
  <si>
    <t>STX</t>
  </si>
  <si>
    <t>SEAGATE TECHNOLOGY PLC</t>
  </si>
  <si>
    <t>59,98</t>
  </si>
  <si>
    <t>7.804.718</t>
  </si>
  <si>
    <t>7.804.717,56</t>
  </si>
  <si>
    <t>IE00B58JVZ52</t>
  </si>
  <si>
    <t>MRO</t>
  </si>
  <si>
    <t>MELROSE INDUSTRIES PLC</t>
  </si>
  <si>
    <t>3,10</t>
  </si>
  <si>
    <t>2.515.643</t>
  </si>
  <si>
    <t>7.796.623</t>
  </si>
  <si>
    <t>7.796.623,30</t>
  </si>
  <si>
    <t>GB00BZ1G4322</t>
  </si>
  <si>
    <t>BR</t>
  </si>
  <si>
    <t>BROADRIDGE FINANCIAL SOLUTIONS INC</t>
  </si>
  <si>
    <t>127,59</t>
  </si>
  <si>
    <t>7.787.711</t>
  </si>
  <si>
    <t>7.787.710,83</t>
  </si>
  <si>
    <t>US11133T1034</t>
  </si>
  <si>
    <t>AHT</t>
  </si>
  <si>
    <t>ASHTEAD GROUP PLC</t>
  </si>
  <si>
    <t>32,02</t>
  </si>
  <si>
    <t>7.779.963</t>
  </si>
  <si>
    <t>7.779.962,59</t>
  </si>
  <si>
    <t>GB0000536739</t>
  </si>
  <si>
    <t>TDK CORP</t>
  </si>
  <si>
    <t>114,55</t>
  </si>
  <si>
    <t>7.777.884</t>
  </si>
  <si>
    <t>7.777.884,26</t>
  </si>
  <si>
    <t>JP3538800008</t>
  </si>
  <si>
    <t>J200</t>
  </si>
  <si>
    <t>SANDS CHINA LTD</t>
  </si>
  <si>
    <t>5,58</t>
  </si>
  <si>
    <t>1.382.670</t>
  </si>
  <si>
    <t>7.717.551</t>
  </si>
  <si>
    <t>7.717.550,84</t>
  </si>
  <si>
    <t>KYG7800X1079</t>
  </si>
  <si>
    <t>FNF</t>
  </si>
  <si>
    <t>FIDELITY NATIONAL FINANCIAL INC</t>
  </si>
  <si>
    <t>45,77</t>
  </si>
  <si>
    <t>7.685.286</t>
  </si>
  <si>
    <t>7.685.286,47</t>
  </si>
  <si>
    <t>US31620R3030</t>
  </si>
  <si>
    <t>APN</t>
  </si>
  <si>
    <t>LDOS</t>
  </si>
  <si>
    <t>LEIDOS HOLDINGS INC</t>
  </si>
  <si>
    <t>101,02</t>
  </si>
  <si>
    <t>7.679.641</t>
  </si>
  <si>
    <t>7.679.641,42</t>
  </si>
  <si>
    <t>US5253271028</t>
  </si>
  <si>
    <t>RBS</t>
  </si>
  <si>
    <t>ROYAL BANK OF SCOTLAND GROUP PLC</t>
  </si>
  <si>
    <t>3,07</t>
  </si>
  <si>
    <t>2.497.935</t>
  </si>
  <si>
    <t>7.676.493</t>
  </si>
  <si>
    <t>7.676.493,10</t>
  </si>
  <si>
    <t>GB00B7T77214</t>
  </si>
  <si>
    <t>BVT</t>
  </si>
  <si>
    <t>SSNC</t>
  </si>
  <si>
    <t>SS AND C TECHNOLOGIES HOLDINGS INC</t>
  </si>
  <si>
    <t>62,19</t>
  </si>
  <si>
    <t>7.645.141</t>
  </si>
  <si>
    <t>7.645.141,08</t>
  </si>
  <si>
    <t>US78467J1007</t>
  </si>
  <si>
    <t>CPI</t>
  </si>
  <si>
    <t>WEST JAPAN RAILWAY</t>
  </si>
  <si>
    <t>86,26</t>
  </si>
  <si>
    <t>7.629.034</t>
  </si>
  <si>
    <t>7.629.034,22</t>
  </si>
  <si>
    <t>JP3659000008</t>
  </si>
  <si>
    <t>VIE</t>
  </si>
  <si>
    <t>VEOLIA ENVIRON. SA</t>
  </si>
  <si>
    <t>27,06</t>
  </si>
  <si>
    <t>7.627.221</t>
  </si>
  <si>
    <t>7.627.220,78</t>
  </si>
  <si>
    <t>FR0000124141</t>
  </si>
  <si>
    <t>FSR</t>
  </si>
  <si>
    <t>FANG</t>
  </si>
  <si>
    <t>DIAMONDBACK ENERGY INC</t>
  </si>
  <si>
    <t>92,26</t>
  </si>
  <si>
    <t>7.615.417</t>
  </si>
  <si>
    <t>7.615.417,18</t>
  </si>
  <si>
    <t>US25278X1090</t>
  </si>
  <si>
    <t>SGEN</t>
  </si>
  <si>
    <t>SEATTLE GENETICS INC</t>
  </si>
  <si>
    <t>112,44</t>
  </si>
  <si>
    <t>7.611.513</t>
  </si>
  <si>
    <t>7.611.513,36</t>
  </si>
  <si>
    <t>US8125781026</t>
  </si>
  <si>
    <t>INL</t>
  </si>
  <si>
    <t>GPC</t>
  </si>
  <si>
    <t>GENUINE PARTS</t>
  </si>
  <si>
    <t>98,90</t>
  </si>
  <si>
    <t>7.608.575</t>
  </si>
  <si>
    <t>7.608.574,80</t>
  </si>
  <si>
    <t>US3724601055</t>
  </si>
  <si>
    <t>INP</t>
  </si>
  <si>
    <t>DWNI</t>
  </si>
  <si>
    <t>DEUTSCHE WOHNEN</t>
  </si>
  <si>
    <t>40,26</t>
  </si>
  <si>
    <t>7.601.279</t>
  </si>
  <si>
    <t>7.601.278,98</t>
  </si>
  <si>
    <t>DE000A0HN5C6</t>
  </si>
  <si>
    <t>CHKP</t>
  </si>
  <si>
    <t>CHECK POINT SOFTWARE TECHNOLOGIES</t>
  </si>
  <si>
    <t>112,62</t>
  </si>
  <si>
    <t>7.598.471</t>
  </si>
  <si>
    <t>7.598.471,40</t>
  </si>
  <si>
    <t>IL0010824113</t>
  </si>
  <si>
    <t>Israel</t>
  </si>
  <si>
    <t>NVR</t>
  </si>
  <si>
    <t>NVR INC</t>
  </si>
  <si>
    <t>3.781,31</t>
  </si>
  <si>
    <t>7.592.870</t>
  </si>
  <si>
    <t>7.592.870,48</t>
  </si>
  <si>
    <t>US62944T1051</t>
  </si>
  <si>
    <t>MTN</t>
  </si>
  <si>
    <t>WPC</t>
  </si>
  <si>
    <t>W. P. CAREY REIT INC</t>
  </si>
  <si>
    <t>82,08</t>
  </si>
  <si>
    <t>7.567.201</t>
  </si>
  <si>
    <t>7.567.201,44</t>
  </si>
  <si>
    <t>US92936U1097</t>
  </si>
  <si>
    <t>NED</t>
  </si>
  <si>
    <t>STE</t>
  </si>
  <si>
    <t>STERIS</t>
  </si>
  <si>
    <t>151,01</t>
  </si>
  <si>
    <t>7.566.507</t>
  </si>
  <si>
    <t>7.566.507,06</t>
  </si>
  <si>
    <t>IE00BFY8C754</t>
  </si>
  <si>
    <t>NPN</t>
  </si>
  <si>
    <t>WAB</t>
  </si>
  <si>
    <t>WESTINGHOUSE AIR BRAKE TECHNOLOGIE</t>
  </si>
  <si>
    <t>77,69</t>
  </si>
  <si>
    <t>7.553.721</t>
  </si>
  <si>
    <t>7.553.721,01</t>
  </si>
  <si>
    <t>US9297401088</t>
  </si>
  <si>
    <t>NTC</t>
  </si>
  <si>
    <t>HANG SENG BANK LTD</t>
  </si>
  <si>
    <t>21,24</t>
  </si>
  <si>
    <t>7.544.402</t>
  </si>
  <si>
    <t>7.544.401,95</t>
  </si>
  <si>
    <t>HK0011000095</t>
  </si>
  <si>
    <t>IFC</t>
  </si>
  <si>
    <t>INTACT FINANCIAL CORP</t>
  </si>
  <si>
    <t>7.527.701</t>
  </si>
  <si>
    <t>7.527.700,72</t>
  </si>
  <si>
    <t>CA45823T1066</t>
  </si>
  <si>
    <t>REM</t>
  </si>
  <si>
    <t>POWER ASSETS HOLDINGS LTD</t>
  </si>
  <si>
    <t>7,44</t>
  </si>
  <si>
    <t>1.010.865</t>
  </si>
  <si>
    <t>7.523.031</t>
  </si>
  <si>
    <t>7.523.031,08</t>
  </si>
  <si>
    <t>HK0006000050</t>
  </si>
  <si>
    <t>RMH</t>
  </si>
  <si>
    <t>EPAM</t>
  </si>
  <si>
    <t>EPAM SYSTEMS INC</t>
  </si>
  <si>
    <t>223,08</t>
  </si>
  <si>
    <t>7.496.603</t>
  </si>
  <si>
    <t>7.496.603,40</t>
  </si>
  <si>
    <t>US29414B1044</t>
  </si>
  <si>
    <t>EXR</t>
  </si>
  <si>
    <t>EXTRA SPACE STORAGE REIT INC</t>
  </si>
  <si>
    <t>107,77</t>
  </si>
  <si>
    <t>7.452.942</t>
  </si>
  <si>
    <t>7.452.942,12</t>
  </si>
  <si>
    <t>US30225T1025</t>
  </si>
  <si>
    <t>SBK</t>
  </si>
  <si>
    <t>WDI</t>
  </si>
  <si>
    <t>WIRECARD AG</t>
  </si>
  <si>
    <t>123,25</t>
  </si>
  <si>
    <t>7.419.819</t>
  </si>
  <si>
    <t>7.419.819,14</t>
  </si>
  <si>
    <t>DE0007472060</t>
  </si>
  <si>
    <t>SHP</t>
  </si>
  <si>
    <t>COLO B</t>
  </si>
  <si>
    <t>COLOPLAST B</t>
  </si>
  <si>
    <t>120,90</t>
  </si>
  <si>
    <t>7.416.728</t>
  </si>
  <si>
    <t>7.416.727,56</t>
  </si>
  <si>
    <t>DK0060448595</t>
  </si>
  <si>
    <t>SLM</t>
  </si>
  <si>
    <t>DRI</t>
  </si>
  <si>
    <t>DARDEN RESTAURANTS INC</t>
  </si>
  <si>
    <t>7.412.760</t>
  </si>
  <si>
    <t>7.412.759,60</t>
  </si>
  <si>
    <t>US2371941053</t>
  </si>
  <si>
    <t>EDEN</t>
  </si>
  <si>
    <t>EDENRED SA</t>
  </si>
  <si>
    <t>52,36</t>
  </si>
  <si>
    <t>7.411.473</t>
  </si>
  <si>
    <t>7.411.472,68</t>
  </si>
  <si>
    <t>FR0010908533</t>
  </si>
  <si>
    <t>SPP</t>
  </si>
  <si>
    <t>WYNN</t>
  </si>
  <si>
    <t>WYNN RESORTS LTD</t>
  </si>
  <si>
    <t>143,01</t>
  </si>
  <si>
    <t>7.410.778</t>
  </si>
  <si>
    <t>7.410.778,20</t>
  </si>
  <si>
    <t>US9831341071</t>
  </si>
  <si>
    <t>TBS</t>
  </si>
  <si>
    <t>JAPAN POST HOLDINGS LTD</t>
  </si>
  <si>
    <t>9,32</t>
  </si>
  <si>
    <t>7.406.816</t>
  </si>
  <si>
    <t>7.406.816,36</t>
  </si>
  <si>
    <t>JP3752900005</t>
  </si>
  <si>
    <t>CON</t>
  </si>
  <si>
    <t>CONTINENTAL AG</t>
  </si>
  <si>
    <t>132,25</t>
  </si>
  <si>
    <t>7.400.085</t>
  </si>
  <si>
    <t>7.400.085,12</t>
  </si>
  <si>
    <t>DE0005439004</t>
  </si>
  <si>
    <t>WHL</t>
  </si>
  <si>
    <t>WPM</t>
  </si>
  <si>
    <t>WHEATON PRECIOUS METALS CORP</t>
  </si>
  <si>
    <t>27,79</t>
  </si>
  <si>
    <t>7.389.365</t>
  </si>
  <si>
    <t>7.389.364,65</t>
  </si>
  <si>
    <t>CA9628791027</t>
  </si>
  <si>
    <t>ULTA</t>
  </si>
  <si>
    <t>ULTA BEAUTY INC</t>
  </si>
  <si>
    <t>267,28</t>
  </si>
  <si>
    <t>7.381.204</t>
  </si>
  <si>
    <t>7.381.204,48</t>
  </si>
  <si>
    <t>US90384S3031</t>
  </si>
  <si>
    <t>BTI</t>
  </si>
  <si>
    <t>XYL</t>
  </si>
  <si>
    <t>XYLEM INC</t>
  </si>
  <si>
    <t>79,94</t>
  </si>
  <si>
    <t>7.376.543</t>
  </si>
  <si>
    <t>7.376.543,44</t>
  </si>
  <si>
    <t>US98419M1009</t>
  </si>
  <si>
    <t>WAT</t>
  </si>
  <si>
    <t>WATER CORP</t>
  </si>
  <si>
    <t>230,88</t>
  </si>
  <si>
    <t>7.374.769</t>
  </si>
  <si>
    <t>7.374.768,96</t>
  </si>
  <si>
    <t>US9418481035</t>
  </si>
  <si>
    <t>CLS</t>
  </si>
  <si>
    <t>IFF</t>
  </si>
  <si>
    <t>INTERNATIONAL FLAVORS &amp; FRAGRANCES</t>
  </si>
  <si>
    <t>125,99</t>
  </si>
  <si>
    <t>7.366.005</t>
  </si>
  <si>
    <t>7.366.005,35</t>
  </si>
  <si>
    <t>US4595061015</t>
  </si>
  <si>
    <t>LHC</t>
  </si>
  <si>
    <t>AEM</t>
  </si>
  <si>
    <t>AGNICO EAGLE MINES LTD</t>
  </si>
  <si>
    <t>59,33</t>
  </si>
  <si>
    <t>7.351.504</t>
  </si>
  <si>
    <t>7.351.504,42</t>
  </si>
  <si>
    <t>CA0084741085</t>
  </si>
  <si>
    <t>TFG</t>
  </si>
  <si>
    <t>UNICHARM CORP</t>
  </si>
  <si>
    <t>34,26</t>
  </si>
  <si>
    <t>7.329.140</t>
  </si>
  <si>
    <t>7.329.140,20</t>
  </si>
  <si>
    <t>JP3951600000</t>
  </si>
  <si>
    <t>MRP</t>
  </si>
  <si>
    <t>VAR</t>
  </si>
  <si>
    <t>VARIAN MEDICAL SYSTEMS INC</t>
  </si>
  <si>
    <t>146,62</t>
  </si>
  <si>
    <t>7.326.162</t>
  </si>
  <si>
    <t>7.326.161,54</t>
  </si>
  <si>
    <t>US92220P1057</t>
  </si>
  <si>
    <t>MEI</t>
  </si>
  <si>
    <t>EMA</t>
  </si>
  <si>
    <t>EMERA INC</t>
  </si>
  <si>
    <t>43,38</t>
  </si>
  <si>
    <t>7.307.522</t>
  </si>
  <si>
    <t>7.307.522,14</t>
  </si>
  <si>
    <t>CA2908761018</t>
  </si>
  <si>
    <t>BID</t>
  </si>
  <si>
    <t>UDR</t>
  </si>
  <si>
    <t>UDR REIT INC</t>
  </si>
  <si>
    <t>46,05</t>
  </si>
  <si>
    <t>7.302.931</t>
  </si>
  <si>
    <t>7.302.931,35</t>
  </si>
  <si>
    <t>US9026531049</t>
  </si>
  <si>
    <t>NRP</t>
  </si>
  <si>
    <t>OKTA</t>
  </si>
  <si>
    <t>OKTA INC CLASS A</t>
  </si>
  <si>
    <t>129,39</t>
  </si>
  <si>
    <t>7.304.324</t>
  </si>
  <si>
    <t>7.304.324,28</t>
  </si>
  <si>
    <t>US6792951054</t>
  </si>
  <si>
    <t>RNI</t>
  </si>
  <si>
    <t>SCHP</t>
  </si>
  <si>
    <t>SCHINDLER HOLDING PAR AG</t>
  </si>
  <si>
    <t>250,71</t>
  </si>
  <si>
    <t>7.272.742</t>
  </si>
  <si>
    <t>7.272.741,84</t>
  </si>
  <si>
    <t>CH0024638196</t>
  </si>
  <si>
    <t>OMU</t>
  </si>
  <si>
    <t>SGSN</t>
  </si>
  <si>
    <t>SGS SA</t>
  </si>
  <si>
    <t>2.687,90</t>
  </si>
  <si>
    <t>7.270.773</t>
  </si>
  <si>
    <t>7.270.773,18</t>
  </si>
  <si>
    <t>CH0002497458</t>
  </si>
  <si>
    <t>ABG</t>
  </si>
  <si>
    <t>FOXA</t>
  </si>
  <si>
    <t>FOX CORP CLASS A</t>
  </si>
  <si>
    <t>36,72</t>
  </si>
  <si>
    <t>7.270.266</t>
  </si>
  <si>
    <t>7.270.266,24</t>
  </si>
  <si>
    <t>US35137L1052</t>
  </si>
  <si>
    <t>J201</t>
  </si>
  <si>
    <t>TEP</t>
  </si>
  <si>
    <t>TELEPERFORMANCE</t>
  </si>
  <si>
    <t>246,50</t>
  </si>
  <si>
    <t>7.268.223</t>
  </si>
  <si>
    <t>7.268.223,22</t>
  </si>
  <si>
    <t>FR0000051807</t>
  </si>
  <si>
    <t>DRE</t>
  </si>
  <si>
    <t>DUKE REALTY REIT CORP</t>
  </si>
  <si>
    <t>34,92</t>
  </si>
  <si>
    <t>7.265.979</t>
  </si>
  <si>
    <t>7.265.979,00</t>
  </si>
  <si>
    <t>US2644115055</t>
  </si>
  <si>
    <t>YASKAWA ELECTRIC CORP</t>
  </si>
  <si>
    <t>40,30</t>
  </si>
  <si>
    <t>7.261.619</t>
  </si>
  <si>
    <t>7.261.619,20</t>
  </si>
  <si>
    <t>JP3932000007</t>
  </si>
  <si>
    <t>AVI</t>
  </si>
  <si>
    <t>MKTX</t>
  </si>
  <si>
    <t>MARKETAXESS HOLDINGS INC</t>
  </si>
  <si>
    <t>363,07</t>
  </si>
  <si>
    <t>7.256.680</t>
  </si>
  <si>
    <t>7.256.680,09</t>
  </si>
  <si>
    <t>US57060D1081</t>
  </si>
  <si>
    <t>BAT</t>
  </si>
  <si>
    <t>URI</t>
  </si>
  <si>
    <t>UNITED RENTALS INC</t>
  </si>
  <si>
    <t>159,47</t>
  </si>
  <si>
    <t>7.205.014</t>
  </si>
  <si>
    <t>7.205.014,07</t>
  </si>
  <si>
    <t>US9113631090</t>
  </si>
  <si>
    <t>BAW</t>
  </si>
  <si>
    <t>SWED A</t>
  </si>
  <si>
    <t>SWEDBANK</t>
  </si>
  <si>
    <t>14,37</t>
  </si>
  <si>
    <t>7.203.796</t>
  </si>
  <si>
    <t>7.203.795,75</t>
  </si>
  <si>
    <t>SE0000242455</t>
  </si>
  <si>
    <t>CML</t>
  </si>
  <si>
    <t>VNO</t>
  </si>
  <si>
    <t>VORNADO REALTY TRUST REIT</t>
  </si>
  <si>
    <t>66,43</t>
  </si>
  <si>
    <t>7.188.324</t>
  </si>
  <si>
    <t>7.188.323,87</t>
  </si>
  <si>
    <t>US9290421091</t>
  </si>
  <si>
    <t>DVN</t>
  </si>
  <si>
    <t>DEVON ENERGY CORP</t>
  </si>
  <si>
    <t>25,10</t>
  </si>
  <si>
    <t>7.136.382</t>
  </si>
  <si>
    <t>7.136.381,80</t>
  </si>
  <si>
    <t>US25179M1036</t>
  </si>
  <si>
    <t>FBR</t>
  </si>
  <si>
    <t>LBRDK</t>
  </si>
  <si>
    <t>LIBERTY BROADBAND CORP SERIES C</t>
  </si>
  <si>
    <t>128,62</t>
  </si>
  <si>
    <t>7.126.706</t>
  </si>
  <si>
    <t>7.126.705,58</t>
  </si>
  <si>
    <t>US5303073051</t>
  </si>
  <si>
    <t>SUMITOMO REALTY &amp; DEVELOPMENT LTD</t>
  </si>
  <si>
    <t>34,99</t>
  </si>
  <si>
    <t>7.111.342</t>
  </si>
  <si>
    <t>7.111.342,11</t>
  </si>
  <si>
    <t>JP3409000001</t>
  </si>
  <si>
    <t>LW</t>
  </si>
  <si>
    <t>LAMB WESTON HOLDINGS INC</t>
  </si>
  <si>
    <t>90,48</t>
  </si>
  <si>
    <t>7.099.061</t>
  </si>
  <si>
    <t>7.099.060,80</t>
  </si>
  <si>
    <t>US5132721045</t>
  </si>
  <si>
    <t>ORG</t>
  </si>
  <si>
    <t>ORIGIN ENERGY LTD</t>
  </si>
  <si>
    <t>6,03</t>
  </si>
  <si>
    <t>1.177.280</t>
  </si>
  <si>
    <t>7.097.234</t>
  </si>
  <si>
    <t>7.097.234,25</t>
  </si>
  <si>
    <t>AU000000ORG5</t>
  </si>
  <si>
    <t>AEON LTD</t>
  </si>
  <si>
    <t>20,81</t>
  </si>
  <si>
    <t>7.096.386</t>
  </si>
  <si>
    <t>7.096.385,54</t>
  </si>
  <si>
    <t>JP3388200002</t>
  </si>
  <si>
    <t>IPL</t>
  </si>
  <si>
    <t>INF</t>
  </si>
  <si>
    <t>INFORMA PLC</t>
  </si>
  <si>
    <t>7.072.491</t>
  </si>
  <si>
    <t>7.072.490,53</t>
  </si>
  <si>
    <t>GB00BMJ6DW54</t>
  </si>
  <si>
    <t>JSE</t>
  </si>
  <si>
    <t>HANKYU HANSHIN HOLDINGS INC</t>
  </si>
  <si>
    <t>43,04</t>
  </si>
  <si>
    <t>7.057.868</t>
  </si>
  <si>
    <t>7.057.867,83</t>
  </si>
  <si>
    <t>JP3774200004</t>
  </si>
  <si>
    <t>KAP</t>
  </si>
  <si>
    <t>SCMN</t>
  </si>
  <si>
    <t>SWISSCOM AG</t>
  </si>
  <si>
    <t>533,06</t>
  </si>
  <si>
    <t>7.056.106</t>
  </si>
  <si>
    <t>7.056.106,45</t>
  </si>
  <si>
    <t>CH0008742519</t>
  </si>
  <si>
    <t>LBH</t>
  </si>
  <si>
    <t>TIF</t>
  </si>
  <si>
    <t>TIFFANY</t>
  </si>
  <si>
    <t>133,83</t>
  </si>
  <si>
    <t>7.047.622</t>
  </si>
  <si>
    <t>7.047.621,63</t>
  </si>
  <si>
    <t>US8865471085</t>
  </si>
  <si>
    <t>MSM</t>
  </si>
  <si>
    <t>APA</t>
  </si>
  <si>
    <t>APA GROUP UNITS</t>
  </si>
  <si>
    <t>7,87</t>
  </si>
  <si>
    <t>7.046.643</t>
  </si>
  <si>
    <t>7.046.642,98</t>
  </si>
  <si>
    <t>AU000000APA1</t>
  </si>
  <si>
    <t>SEKISUI HOUSE LTD</t>
  </si>
  <si>
    <t>21,67</t>
  </si>
  <si>
    <t>7.016.539</t>
  </si>
  <si>
    <t>7.016.539,45</t>
  </si>
  <si>
    <t>JP3420600003</t>
  </si>
  <si>
    <t>NPK</t>
  </si>
  <si>
    <t>HST</t>
  </si>
  <si>
    <t>HOST HOTELS &amp; RESORTS REIT INC</t>
  </si>
  <si>
    <t>17,52</t>
  </si>
  <si>
    <t>7.003.883</t>
  </si>
  <si>
    <t>7.003.882,80</t>
  </si>
  <si>
    <t>US44107P1049</t>
  </si>
  <si>
    <t>FMC</t>
  </si>
  <si>
    <t>FMC CORP</t>
  </si>
  <si>
    <t>98,00</t>
  </si>
  <si>
    <t>6.987.988</t>
  </si>
  <si>
    <t>6.987.988,00</t>
  </si>
  <si>
    <t>US3024913036</t>
  </si>
  <si>
    <t>OCE</t>
  </si>
  <si>
    <t>LNC</t>
  </si>
  <si>
    <t>LINCOLN NATIONAL CORP</t>
  </si>
  <si>
    <t>58,98</t>
  </si>
  <si>
    <t>6.985.945</t>
  </si>
  <si>
    <t>6.985.945,08</t>
  </si>
  <si>
    <t>US5341871094</t>
  </si>
  <si>
    <t>PIK</t>
  </si>
  <si>
    <t>CCEP</t>
  </si>
  <si>
    <t>COCA COLA EUROPEAN PARTNERS PLC</t>
  </si>
  <si>
    <t>51,06</t>
  </si>
  <si>
    <t>6.983.272</t>
  </si>
  <si>
    <t>6.983.271,96</t>
  </si>
  <si>
    <t>GB00BDCPN049</t>
  </si>
  <si>
    <t>HEXA B</t>
  </si>
  <si>
    <t>HEXAGON B</t>
  </si>
  <si>
    <t>55,83</t>
  </si>
  <si>
    <t>6.977.845</t>
  </si>
  <si>
    <t>6.977.845,26</t>
  </si>
  <si>
    <t>SE0000103699</t>
  </si>
  <si>
    <t>RLO</t>
  </si>
  <si>
    <t>VMW</t>
  </si>
  <si>
    <t>VMWARE CLASS A INC</t>
  </si>
  <si>
    <t>6.965.508</t>
  </si>
  <si>
    <t>6.965.507,99</t>
  </si>
  <si>
    <t>US9285634021</t>
  </si>
  <si>
    <t>SAC</t>
  </si>
  <si>
    <t>AES</t>
  </si>
  <si>
    <t>AES CORP</t>
  </si>
  <si>
    <t>20,18</t>
  </si>
  <si>
    <t>6.939.559</t>
  </si>
  <si>
    <t>6.939.558,94</t>
  </si>
  <si>
    <t>US00130H1059</t>
  </si>
  <si>
    <t>SNT</t>
  </si>
  <si>
    <t>EDP</t>
  </si>
  <si>
    <t>EDP ENERGIAS DE PORTUGAL SA</t>
  </si>
  <si>
    <t>4,30</t>
  </si>
  <si>
    <t>1.607.251</t>
  </si>
  <si>
    <t>6.912.665</t>
  </si>
  <si>
    <t>6.912.665,20</t>
  </si>
  <si>
    <t>PTEDP0AM0009</t>
  </si>
  <si>
    <t>Nyse Euronext - Euronext Lisbon</t>
  </si>
  <si>
    <t>Portugal</t>
  </si>
  <si>
    <t>CNP</t>
  </si>
  <si>
    <t>CENTERPOINT ENERGY INC</t>
  </si>
  <si>
    <t>26,30</t>
  </si>
  <si>
    <t>6.905.933</t>
  </si>
  <si>
    <t>6.905.932,90</t>
  </si>
  <si>
    <t>US15189T1079</t>
  </si>
  <si>
    <t>FFH</t>
  </si>
  <si>
    <t>FAIRFAX FINANCIAL HOLDINGS SUB VOT</t>
  </si>
  <si>
    <t>465,54</t>
  </si>
  <si>
    <t>6.902.101</t>
  </si>
  <si>
    <t>6.902.101,37</t>
  </si>
  <si>
    <t>CA3039011026</t>
  </si>
  <si>
    <t>TKG</t>
  </si>
  <si>
    <t>INCY</t>
  </si>
  <si>
    <t>INCYTE CORP</t>
  </si>
  <si>
    <t>76,47</t>
  </si>
  <si>
    <t>6.893.006</t>
  </si>
  <si>
    <t>6.893.005,80</t>
  </si>
  <si>
    <t>US45337C1027</t>
  </si>
  <si>
    <t>TON</t>
  </si>
  <si>
    <t>IEX</t>
  </si>
  <si>
    <t>IDEX CORP</t>
  </si>
  <si>
    <t>172,07</t>
  </si>
  <si>
    <t>6.888.995</t>
  </si>
  <si>
    <t>6.888.994,52</t>
  </si>
  <si>
    <t>US45167R1041</t>
  </si>
  <si>
    <t>SIVB</t>
  </si>
  <si>
    <t>SVB FINANCIAL GROUP</t>
  </si>
  <si>
    <t>251,73</t>
  </si>
  <si>
    <t>6.887.836</t>
  </si>
  <si>
    <t>6.887.836,26</t>
  </si>
  <si>
    <t>US78486Q1013</t>
  </si>
  <si>
    <t>VKE</t>
  </si>
  <si>
    <t>AMTD</t>
  </si>
  <si>
    <t>TD AMERITRADE HOLDING CORP</t>
  </si>
  <si>
    <t>50,01</t>
  </si>
  <si>
    <t>6.875.387</t>
  </si>
  <si>
    <t>6.875.387,47</t>
  </si>
  <si>
    <t>US87236Y1082</t>
  </si>
  <si>
    <t>HCI</t>
  </si>
  <si>
    <t>LOBLAW COMPANIES LTD</t>
  </si>
  <si>
    <t>51,99</t>
  </si>
  <si>
    <t>6.853.310</t>
  </si>
  <si>
    <t>6.853.310,08</t>
  </si>
  <si>
    <t>CA5394811015</t>
  </si>
  <si>
    <t>AENA</t>
  </si>
  <si>
    <t>AENA SME SA</t>
  </si>
  <si>
    <t>190,71</t>
  </si>
  <si>
    <t>6.817.036</t>
  </si>
  <si>
    <t>6.817.036,01</t>
  </si>
  <si>
    <t>ES0105046009</t>
  </si>
  <si>
    <t>TELENOR</t>
  </si>
  <si>
    <t>17,81</t>
  </si>
  <si>
    <t>6.792.707</t>
  </si>
  <si>
    <t>6.792.706,80</t>
  </si>
  <si>
    <t>NO0010063308</t>
  </si>
  <si>
    <t>III</t>
  </si>
  <si>
    <t>3I GROUP PLC</t>
  </si>
  <si>
    <t>14,22</t>
  </si>
  <si>
    <t>6.776.339</t>
  </si>
  <si>
    <t>6.776.338,98</t>
  </si>
  <si>
    <t>GB00B1YW4409</t>
  </si>
  <si>
    <t>ITE</t>
  </si>
  <si>
    <t>NITORI HOLDINGS LTD</t>
  </si>
  <si>
    <t>158,82</t>
  </si>
  <si>
    <t>6.753.538</t>
  </si>
  <si>
    <t>6.753.537,79</t>
  </si>
  <si>
    <t>JP3756100008</t>
  </si>
  <si>
    <t>FFA</t>
  </si>
  <si>
    <t>CMA</t>
  </si>
  <si>
    <t>COMERICA INC</t>
  </si>
  <si>
    <t>68,42</t>
  </si>
  <si>
    <t>6.740.602</t>
  </si>
  <si>
    <t>6.740.601,56</t>
  </si>
  <si>
    <t>US2003401070</t>
  </si>
  <si>
    <t>CCO</t>
  </si>
  <si>
    <t>NEC CORP</t>
  </si>
  <si>
    <t>46,00</t>
  </si>
  <si>
    <t>6.725.520</t>
  </si>
  <si>
    <t>6.725.520,26</t>
  </si>
  <si>
    <t>JP3733000008</t>
  </si>
  <si>
    <t>GL</t>
  </si>
  <si>
    <t>GLOBE LIFE INC</t>
  </si>
  <si>
    <t>104,25</t>
  </si>
  <si>
    <t>6.704.005</t>
  </si>
  <si>
    <t>6.704.004,75</t>
  </si>
  <si>
    <t>US37959E1029</t>
  </si>
  <si>
    <t>ETFC</t>
  </si>
  <si>
    <t>E TRADE FINANCIAL CORP</t>
  </si>
  <si>
    <t>46,30</t>
  </si>
  <si>
    <t>6.685.952</t>
  </si>
  <si>
    <t>6.685.951,50</t>
  </si>
  <si>
    <t>US2692464017</t>
  </si>
  <si>
    <t>MMI</t>
  </si>
  <si>
    <t>ALLY</t>
  </si>
  <si>
    <t>ALLY FINANCIAL INC</t>
  </si>
  <si>
    <t>29,95</t>
  </si>
  <si>
    <t>6.672.381</t>
  </si>
  <si>
    <t>6.672.380,80</t>
  </si>
  <si>
    <t>US02005N1000</t>
  </si>
  <si>
    <t>TSH</t>
  </si>
  <si>
    <t>RNG</t>
  </si>
  <si>
    <t>RINGCENTRAL INC CLASS A</t>
  </si>
  <si>
    <t>183,48</t>
  </si>
  <si>
    <t>6.664.177</t>
  </si>
  <si>
    <t>6.664.177,08</t>
  </si>
  <si>
    <t>US76680R2067</t>
  </si>
  <si>
    <t>COH</t>
  </si>
  <si>
    <t>BKR</t>
  </si>
  <si>
    <t>BAKER HUGHES CLASS A</t>
  </si>
  <si>
    <t>24,86</t>
  </si>
  <si>
    <t>6.639.037</t>
  </si>
  <si>
    <t>6.639.037,02</t>
  </si>
  <si>
    <t>US05722G1004</t>
  </si>
  <si>
    <t>HEIO</t>
  </si>
  <si>
    <t>HEINEKEN HOLDING NV</t>
  </si>
  <si>
    <t>98,52</t>
  </si>
  <si>
    <t>6.633.037</t>
  </si>
  <si>
    <t>6.633.036,80</t>
  </si>
  <si>
    <t>NL0000008977</t>
  </si>
  <si>
    <t>NISSAN MOTOR LTD</t>
  </si>
  <si>
    <t>5,81</t>
  </si>
  <si>
    <t>1.138.026</t>
  </si>
  <si>
    <t>6.615.633</t>
  </si>
  <si>
    <t>6.615.633,07</t>
  </si>
  <si>
    <t>JP3672400003</t>
  </si>
  <si>
    <t>ITU</t>
  </si>
  <si>
    <t>NCLH</t>
  </si>
  <si>
    <t>NORWEGIAN CRUISE LINE HOLDINGS LTD</t>
  </si>
  <si>
    <t>57,96</t>
  </si>
  <si>
    <t>6.600.601</t>
  </si>
  <si>
    <t>6.600.600,72</t>
  </si>
  <si>
    <t>BMG667211046</t>
  </si>
  <si>
    <t>Z HOLDINGS CORP</t>
  </si>
  <si>
    <t>4,39</t>
  </si>
  <si>
    <t>1.502.300</t>
  </si>
  <si>
    <t>6.595.530</t>
  </si>
  <si>
    <t>6.595.530,30</t>
  </si>
  <si>
    <t>JP3933800009</t>
  </si>
  <si>
    <t>ATT</t>
  </si>
  <si>
    <t>SYSMEX CORP</t>
  </si>
  <si>
    <t>69,88</t>
  </si>
  <si>
    <t>6.590.128</t>
  </si>
  <si>
    <t>6.590.127,71</t>
  </si>
  <si>
    <t>JP3351100007</t>
  </si>
  <si>
    <t>RPL</t>
  </si>
  <si>
    <t>GRMN</t>
  </si>
  <si>
    <t>GARMIN LTD</t>
  </si>
  <si>
    <t>96,50</t>
  </si>
  <si>
    <t>6.575.124</t>
  </si>
  <si>
    <t>6.575.124,00</t>
  </si>
  <si>
    <t>CH0114405324</t>
  </si>
  <si>
    <t>KST</t>
  </si>
  <si>
    <t>ACS</t>
  </si>
  <si>
    <t>ACS ACTIVIDADES DE CONSTRUCCION Y</t>
  </si>
  <si>
    <t>37,92</t>
  </si>
  <si>
    <t>6.545.964</t>
  </si>
  <si>
    <t>6.545.964,28</t>
  </si>
  <si>
    <t>ES0167050915</t>
  </si>
  <si>
    <t>SNH</t>
  </si>
  <si>
    <t>ATCO B</t>
  </si>
  <si>
    <t>ATLAS COPCO CLASS B</t>
  </si>
  <si>
    <t>34,81</t>
  </si>
  <si>
    <t>6.543.315</t>
  </si>
  <si>
    <t>6.543.314,66</t>
  </si>
  <si>
    <t>SE0011166628</t>
  </si>
  <si>
    <t>GRP</t>
  </si>
  <si>
    <t>HII</t>
  </si>
  <si>
    <t>HUNTINGTON INGALLS INDUSTRIES INC</t>
  </si>
  <si>
    <t>270,94</t>
  </si>
  <si>
    <t>6.542.388</t>
  </si>
  <si>
    <t>6.542.388,18</t>
  </si>
  <si>
    <t>US4464131063</t>
  </si>
  <si>
    <t>EPP</t>
  </si>
  <si>
    <t>NLY</t>
  </si>
  <si>
    <t>ANNALY CAPITAL MANAGEMENT REIT INC</t>
  </si>
  <si>
    <t>9,54</t>
  </si>
  <si>
    <t>6.535.911</t>
  </si>
  <si>
    <t>6.535.911,24</t>
  </si>
  <si>
    <t>US0357104092</t>
  </si>
  <si>
    <t>DCP</t>
  </si>
  <si>
    <t>WU</t>
  </si>
  <si>
    <t>WESTERN UNION</t>
  </si>
  <si>
    <t>26,26</t>
  </si>
  <si>
    <t>6.485.012</t>
  </si>
  <si>
    <t>6.485.012,04</t>
  </si>
  <si>
    <t>US9598021098</t>
  </si>
  <si>
    <t>VVO</t>
  </si>
  <si>
    <t>ELISA</t>
  </si>
  <si>
    <t>55,26</t>
  </si>
  <si>
    <t>6.483.722</t>
  </si>
  <si>
    <t>6.483.721,57</t>
  </si>
  <si>
    <t>FI0009007884</t>
  </si>
  <si>
    <t>DGH</t>
  </si>
  <si>
    <t>ODFL</t>
  </si>
  <si>
    <t>OLD DOMINION FREIGHT LINE INC</t>
  </si>
  <si>
    <t>196,97</t>
  </si>
  <si>
    <t>6.468.298</t>
  </si>
  <si>
    <t>6.468.297,83</t>
  </si>
  <si>
    <t>US6795801009</t>
  </si>
  <si>
    <t>QLT</t>
  </si>
  <si>
    <t>ARNC</t>
  </si>
  <si>
    <t>ARCONIC INC</t>
  </si>
  <si>
    <t>28,85</t>
  </si>
  <si>
    <t>6.467.160</t>
  </si>
  <si>
    <t>6.467.160,25</t>
  </si>
  <si>
    <t>US03965L1008</t>
  </si>
  <si>
    <t>J202</t>
  </si>
  <si>
    <t>ACT</t>
  </si>
  <si>
    <t>RJF</t>
  </si>
  <si>
    <t>RAYMOND JAMES INC</t>
  </si>
  <si>
    <t>92,88</t>
  </si>
  <si>
    <t>6.445.872</t>
  </si>
  <si>
    <t>6.445.872,00</t>
  </si>
  <si>
    <t>US7547301090</t>
  </si>
  <si>
    <t>ADH</t>
  </si>
  <si>
    <t>OTEX</t>
  </si>
  <si>
    <t>OPEN TEXT CORP</t>
  </si>
  <si>
    <t>45,84</t>
  </si>
  <si>
    <t>6.434.951</t>
  </si>
  <si>
    <t>6.434.951,09</t>
  </si>
  <si>
    <t>CA6837151068</t>
  </si>
  <si>
    <t>AFT</t>
  </si>
  <si>
    <t>NXT</t>
  </si>
  <si>
    <t>NEXT PLC</t>
  </si>
  <si>
    <t>88,21</t>
  </si>
  <si>
    <t>6.429.231</t>
  </si>
  <si>
    <t>6.429.230,82</t>
  </si>
  <si>
    <t>GB0032089863</t>
  </si>
  <si>
    <t>UHS</t>
  </si>
  <si>
    <t>UNIVERSAL HEALTH SERVICES INC CLAS</t>
  </si>
  <si>
    <t>146,05</t>
  </si>
  <si>
    <t>6.427.222</t>
  </si>
  <si>
    <t>6.427.222,35</t>
  </si>
  <si>
    <t>US9139031002</t>
  </si>
  <si>
    <t>ARL</t>
  </si>
  <si>
    <t>ADEN</t>
  </si>
  <si>
    <t>ADECCO GROUP AG</t>
  </si>
  <si>
    <t>63,01</t>
  </si>
  <si>
    <t>6.427.936</t>
  </si>
  <si>
    <t>6.427.936,34</t>
  </si>
  <si>
    <t>CH0012138605</t>
  </si>
  <si>
    <t>BRN</t>
  </si>
  <si>
    <t>APACHE CORP</t>
  </si>
  <si>
    <t>32,38</t>
  </si>
  <si>
    <t>6.424.840</t>
  </si>
  <si>
    <t>6.424.839,60</t>
  </si>
  <si>
    <t>US0374111054</t>
  </si>
  <si>
    <t>CLH</t>
  </si>
  <si>
    <t>FORTUM</t>
  </si>
  <si>
    <t>23,77</t>
  </si>
  <si>
    <t>6.403.594</t>
  </si>
  <si>
    <t>6.403.593,61</t>
  </si>
  <si>
    <t>FI0009007132</t>
  </si>
  <si>
    <t>CSB</t>
  </si>
  <si>
    <t>BXB</t>
  </si>
  <si>
    <t>BRAMBLES LTD</t>
  </si>
  <si>
    <t>8,36</t>
  </si>
  <si>
    <t>6.396.755</t>
  </si>
  <si>
    <t>6.396.755,24</t>
  </si>
  <si>
    <t>AU000000BXB1</t>
  </si>
  <si>
    <t>DTC</t>
  </si>
  <si>
    <t>TELIA</t>
  </si>
  <si>
    <t>TELIA COMPANY</t>
  </si>
  <si>
    <t>1.480.375</t>
  </si>
  <si>
    <t>6.369.484</t>
  </si>
  <si>
    <t>6.369.483,92</t>
  </si>
  <si>
    <t>SE0000667925</t>
  </si>
  <si>
    <t>EMI</t>
  </si>
  <si>
    <t>J</t>
  </si>
  <si>
    <t>JACOBS ENGINEERING GROUP INC</t>
  </si>
  <si>
    <t>90,63</t>
  </si>
  <si>
    <t>6.355.701</t>
  </si>
  <si>
    <t>6.355.700,64</t>
  </si>
  <si>
    <t>US4698141078</t>
  </si>
  <si>
    <t>EOH</t>
  </si>
  <si>
    <t>XRAY</t>
  </si>
  <si>
    <t>DENTSPLY SIRONA INC</t>
  </si>
  <si>
    <t>57,79</t>
  </si>
  <si>
    <t>6.351.526</t>
  </si>
  <si>
    <t>6.351.525,53</t>
  </si>
  <si>
    <t>US24906P1093</t>
  </si>
  <si>
    <t>GND</t>
  </si>
  <si>
    <t>BOC HONG KONG HOLDINGS LTD</t>
  </si>
  <si>
    <t>3,59</t>
  </si>
  <si>
    <t>1.770.977</t>
  </si>
  <si>
    <t>6.350.530</t>
  </si>
  <si>
    <t>6.350.530,09</t>
  </si>
  <si>
    <t>HK2388011192</t>
  </si>
  <si>
    <t>HDC</t>
  </si>
  <si>
    <t>SHIMANO INC</t>
  </si>
  <si>
    <t>159,18</t>
  </si>
  <si>
    <t>6.350.573</t>
  </si>
  <si>
    <t>6.350.573,20</t>
  </si>
  <si>
    <t>JP3358000002</t>
  </si>
  <si>
    <t>HPB</t>
  </si>
  <si>
    <t>NDAQ</t>
  </si>
  <si>
    <t>NASDAQ INC</t>
  </si>
  <si>
    <t>106,84</t>
  </si>
  <si>
    <t>6.328.026</t>
  </si>
  <si>
    <t>6.328.026,36</t>
  </si>
  <si>
    <t>US6311031081</t>
  </si>
  <si>
    <t>IVT</t>
  </si>
  <si>
    <t>HRL</t>
  </si>
  <si>
    <t>HORMEL FOODS CORP</t>
  </si>
  <si>
    <t>44,90</t>
  </si>
  <si>
    <t>6.316.083</t>
  </si>
  <si>
    <t>6.316.083,00</t>
  </si>
  <si>
    <t>US4404521001</t>
  </si>
  <si>
    <t>LEW</t>
  </si>
  <si>
    <t>ELS</t>
  </si>
  <si>
    <t>EQUITY LIFESTYLE PROPERTIES REIT I</t>
  </si>
  <si>
    <t>69,81</t>
  </si>
  <si>
    <t>6.313.337</t>
  </si>
  <si>
    <t>6.313.337,16</t>
  </si>
  <si>
    <t>US29472R1086</t>
  </si>
  <si>
    <t>BEI</t>
  </si>
  <si>
    <t>BEIERSDORF AG</t>
  </si>
  <si>
    <t>119,69</t>
  </si>
  <si>
    <t>6.306.712</t>
  </si>
  <si>
    <t>6.306.711,98</t>
  </si>
  <si>
    <t>DE0005200000</t>
  </si>
  <si>
    <t>MTA</t>
  </si>
  <si>
    <t>CVE</t>
  </si>
  <si>
    <t>CENOVUS ENERGY INC</t>
  </si>
  <si>
    <t>9,90</t>
  </si>
  <si>
    <t>6.301.236</t>
  </si>
  <si>
    <t>6.301.235,90</t>
  </si>
  <si>
    <t>CA15135U1093</t>
  </si>
  <si>
    <t>MUR</t>
  </si>
  <si>
    <t>MYL</t>
  </si>
  <si>
    <t>MYLAN NV</t>
  </si>
  <si>
    <t>20,85</t>
  </si>
  <si>
    <t>6.291.925</t>
  </si>
  <si>
    <t>6.291.925,35</t>
  </si>
  <si>
    <t>NL0011031208</t>
  </si>
  <si>
    <t>OCT</t>
  </si>
  <si>
    <t>ABF</t>
  </si>
  <si>
    <t>ASSOCIATED BRITISH FOODS PLC</t>
  </si>
  <si>
    <t>34,23</t>
  </si>
  <si>
    <t>6.271.087</t>
  </si>
  <si>
    <t>6.271.086,79</t>
  </si>
  <si>
    <t>GB0006731235</t>
  </si>
  <si>
    <t>NBL</t>
  </si>
  <si>
    <t>NOBLE ENERGY INC</t>
  </si>
  <si>
    <t>22,26</t>
  </si>
  <si>
    <t>6.256.218</t>
  </si>
  <si>
    <t>6.256.217,52</t>
  </si>
  <si>
    <t>US6550441058</t>
  </si>
  <si>
    <t>BZFUT</t>
  </si>
  <si>
    <t>CASH COLLATERAL USD BZFUT</t>
  </si>
  <si>
    <t>Cash Collateral and Margins</t>
  </si>
  <si>
    <t>6.253.900</t>
  </si>
  <si>
    <t>6.253.900,00</t>
  </si>
  <si>
    <t>PPC</t>
  </si>
  <si>
    <t>VOYA</t>
  </si>
  <si>
    <t>VOYA FINANCIAL INC</t>
  </si>
  <si>
    <t>61,74</t>
  </si>
  <si>
    <t>6.242.778</t>
  </si>
  <si>
    <t>6.242.778,36</t>
  </si>
  <si>
    <t>US9290891004</t>
  </si>
  <si>
    <t>RBX</t>
  </si>
  <si>
    <t>CABK</t>
  </si>
  <si>
    <t>CAIXABANK SA</t>
  </si>
  <si>
    <t>2.017.620</t>
  </si>
  <si>
    <t>6.229.059</t>
  </si>
  <si>
    <t>6.229.059,36</t>
  </si>
  <si>
    <t>ES0140609019</t>
  </si>
  <si>
    <t>TRMB</t>
  </si>
  <si>
    <t>TRIMBLE INC</t>
  </si>
  <si>
    <t>42,10</t>
  </si>
  <si>
    <t>6.227.011</t>
  </si>
  <si>
    <t>6.227.011,00</t>
  </si>
  <si>
    <t>US8962391004</t>
  </si>
  <si>
    <t>SUR</t>
  </si>
  <si>
    <t>Y</t>
  </si>
  <si>
    <t>ALLEGHANY CORP</t>
  </si>
  <si>
    <t>788,86</t>
  </si>
  <si>
    <t>6.205.962</t>
  </si>
  <si>
    <t>6.205.961,62</t>
  </si>
  <si>
    <t>US0171751003</t>
  </si>
  <si>
    <t>TDH</t>
  </si>
  <si>
    <t>STO</t>
  </si>
  <si>
    <t>SANTOS LTD</t>
  </si>
  <si>
    <t>6,13</t>
  </si>
  <si>
    <t>1.009.835</t>
  </si>
  <si>
    <t>6.192.393</t>
  </si>
  <si>
    <t>6.192.393,05</t>
  </si>
  <si>
    <t>AU000000STO6</t>
  </si>
  <si>
    <t>TRE</t>
  </si>
  <si>
    <t>TXT</t>
  </si>
  <si>
    <t>TEXTRON INC</t>
  </si>
  <si>
    <t>44,29</t>
  </si>
  <si>
    <t>6.192.096</t>
  </si>
  <si>
    <t>6.192.096,32</t>
  </si>
  <si>
    <t>US8832031012</t>
  </si>
  <si>
    <t>WBO</t>
  </si>
  <si>
    <t>ANET</t>
  </si>
  <si>
    <t>ARISTA NETWORKS INC</t>
  </si>
  <si>
    <t>207,46</t>
  </si>
  <si>
    <t>6.189.777</t>
  </si>
  <si>
    <t>6.189.776,56</t>
  </si>
  <si>
    <t>US0404131064</t>
  </si>
  <si>
    <t>ZED</t>
  </si>
  <si>
    <t>CLNX</t>
  </si>
  <si>
    <t>CELLNEX TELECOM SA</t>
  </si>
  <si>
    <t>46,15</t>
  </si>
  <si>
    <t>6.133.684</t>
  </si>
  <si>
    <t>6.133.684,40</t>
  </si>
  <si>
    <t>ES0105066007</t>
  </si>
  <si>
    <t>ALLE</t>
  </si>
  <si>
    <t>ALLEGION PLC</t>
  </si>
  <si>
    <t>123,43</t>
  </si>
  <si>
    <t>6.103.860</t>
  </si>
  <si>
    <t>6.103.860,36</t>
  </si>
  <si>
    <t>IE00BFRT3W74</t>
  </si>
  <si>
    <t>MIX</t>
  </si>
  <si>
    <t>BAER</t>
  </si>
  <si>
    <t>JULIUS BAER GRUPPE AG</t>
  </si>
  <si>
    <t>51,31</t>
  </si>
  <si>
    <t>6.098.196</t>
  </si>
  <si>
    <t>6.098.196,11</t>
  </si>
  <si>
    <t>CH0102484968</t>
  </si>
  <si>
    <t>BLU</t>
  </si>
  <si>
    <t>IHG</t>
  </si>
  <si>
    <t>INTERCONTINENTAL HOTELS GROUP PLC</t>
  </si>
  <si>
    <t>65,56</t>
  </si>
  <si>
    <t>6.091.787</t>
  </si>
  <si>
    <t>6.091.786,55</t>
  </si>
  <si>
    <t>GB00BHJYC057</t>
  </si>
  <si>
    <t>AIP</t>
  </si>
  <si>
    <t>CTL</t>
  </si>
  <si>
    <t>CENTURYLINK INC</t>
  </si>
  <si>
    <t>0,02</t>
  </si>
  <si>
    <t>12,99</t>
  </si>
  <si>
    <t>6.069.928</t>
  </si>
  <si>
    <t>6.069.928,23</t>
  </si>
  <si>
    <t>US1567001060</t>
  </si>
  <si>
    <t>NT1</t>
  </si>
  <si>
    <t>JAPAN EXCHANGE GROUP INC</t>
  </si>
  <si>
    <t>18,19</t>
  </si>
  <si>
    <t>6.070.319</t>
  </si>
  <si>
    <t>6.070.318,55</t>
  </si>
  <si>
    <t>JP3183200009</t>
  </si>
  <si>
    <t>NN</t>
  </si>
  <si>
    <t>NN GROUP NV</t>
  </si>
  <si>
    <t>37,74</t>
  </si>
  <si>
    <t>6.051.237</t>
  </si>
  <si>
    <t>6.051.237,00</t>
  </si>
  <si>
    <t>NL0010773842</t>
  </si>
  <si>
    <t>BRBY</t>
  </si>
  <si>
    <t>BURBERRY GROUP PLC</t>
  </si>
  <si>
    <t>28,96</t>
  </si>
  <si>
    <t>6.046.613</t>
  </si>
  <si>
    <t>6.046.612,62</t>
  </si>
  <si>
    <t>GB0031743007</t>
  </si>
  <si>
    <t>CLR</t>
  </si>
  <si>
    <t>SKF B</t>
  </si>
  <si>
    <t>19,62</t>
  </si>
  <si>
    <t>6.046.042</t>
  </si>
  <si>
    <t>6.046.042,22</t>
  </si>
  <si>
    <t>SE0000108227</t>
  </si>
  <si>
    <t>IPF</t>
  </si>
  <si>
    <t>IAG</t>
  </si>
  <si>
    <t>INSURANCE AUSTRALIA GROUP LTD</t>
  </si>
  <si>
    <t>1.142.777</t>
  </si>
  <si>
    <t>6.036.957</t>
  </si>
  <si>
    <t>6.036.956,63</t>
  </si>
  <si>
    <t>AU000000IAG3</t>
  </si>
  <si>
    <t>REB</t>
  </si>
  <si>
    <t>SNAP</t>
  </si>
  <si>
    <t>SNAP INC CLASS A</t>
  </si>
  <si>
    <t>17,41</t>
  </si>
  <si>
    <t>6.005.632</t>
  </si>
  <si>
    <t>6.005.631,73</t>
  </si>
  <si>
    <t>US83304A1060</t>
  </si>
  <si>
    <t>MPT</t>
  </si>
  <si>
    <t>SY1</t>
  </si>
  <si>
    <t>SYMRISE AG</t>
  </si>
  <si>
    <t>100,07</t>
  </si>
  <si>
    <t>5.989.448</t>
  </si>
  <si>
    <t>5.989.447,68</t>
  </si>
  <si>
    <t>DE000SYM9999</t>
  </si>
  <si>
    <t>AWA</t>
  </si>
  <si>
    <t>CHRW</t>
  </si>
  <si>
    <t>CH ROBINSON WORLDWIDE INC</t>
  </si>
  <si>
    <t>80,12</t>
  </si>
  <si>
    <t>5.970.863</t>
  </si>
  <si>
    <t>5.970.862,88</t>
  </si>
  <si>
    <t>US12541W2098</t>
  </si>
  <si>
    <t>MSP</t>
  </si>
  <si>
    <t>GRF</t>
  </si>
  <si>
    <t>GRIFOLS SA CLASS A</t>
  </si>
  <si>
    <t>36,47</t>
  </si>
  <si>
    <t>5.955.667</t>
  </si>
  <si>
    <t>5.955.666,93</t>
  </si>
  <si>
    <t>ES0171996087</t>
  </si>
  <si>
    <t>TCP</t>
  </si>
  <si>
    <t>MTR CORPORATION CORP LTD</t>
  </si>
  <si>
    <t>5,97</t>
  </si>
  <si>
    <t>5.944.467</t>
  </si>
  <si>
    <t>5.944.466,98</t>
  </si>
  <si>
    <t>HK0066009694</t>
  </si>
  <si>
    <t>DLT</t>
  </si>
  <si>
    <t>RAND</t>
  </si>
  <si>
    <t>RANDSTAD HOLDING</t>
  </si>
  <si>
    <t>61,41</t>
  </si>
  <si>
    <t>5.932.147</t>
  </si>
  <si>
    <t>5.932.146,74</t>
  </si>
  <si>
    <t>NL0000379121</t>
  </si>
  <si>
    <t>IAP</t>
  </si>
  <si>
    <t>JKHY</t>
  </si>
  <si>
    <t>JACK HENRY ANS ASSOCIATES INC</t>
  </si>
  <si>
    <t>5.931.424</t>
  </si>
  <si>
    <t>5.931.424,13</t>
  </si>
  <si>
    <t>US4262811015</t>
  </si>
  <si>
    <t>ASC</t>
  </si>
  <si>
    <t>SIRI</t>
  </si>
  <si>
    <t>SIRIUS XM HOLDINGS INC</t>
  </si>
  <si>
    <t>7,00</t>
  </si>
  <si>
    <t>5.912.298</t>
  </si>
  <si>
    <t>5.912.298,00</t>
  </si>
  <si>
    <t>US82968B1035</t>
  </si>
  <si>
    <t>APF</t>
  </si>
  <si>
    <t>LUMI</t>
  </si>
  <si>
    <t>BANK LEUMI LE ISRAEL</t>
  </si>
  <si>
    <t>7,17</t>
  </si>
  <si>
    <t>5.905.604</t>
  </si>
  <si>
    <t>5.905.604,35</t>
  </si>
  <si>
    <t>IL0006046119</t>
  </si>
  <si>
    <t>Tel Aviv Stock Exchange</t>
  </si>
  <si>
    <t>ILS</t>
  </si>
  <si>
    <t>AFH</t>
  </si>
  <si>
    <t>MRU</t>
  </si>
  <si>
    <t>METRO INC</t>
  </si>
  <si>
    <t>41,45</t>
  </si>
  <si>
    <t>5.898.088</t>
  </si>
  <si>
    <t>5.898.087,58</t>
  </si>
  <si>
    <t>CA59162N1096</t>
  </si>
  <si>
    <t>TEX</t>
  </si>
  <si>
    <t>AVY</t>
  </si>
  <si>
    <t>AVERY DENNISON CORP</t>
  </si>
  <si>
    <t>128,51</t>
  </si>
  <si>
    <t>5.881.132</t>
  </si>
  <si>
    <t>5.881.131,64</t>
  </si>
  <si>
    <t>US0536111091</t>
  </si>
  <si>
    <t>EQU</t>
  </si>
  <si>
    <t>AAP</t>
  </si>
  <si>
    <t>ADVANCE AUTO PARTS INC</t>
  </si>
  <si>
    <t>149,01</t>
  </si>
  <si>
    <t>5.880.233</t>
  </si>
  <si>
    <t>5.880.232,62</t>
  </si>
  <si>
    <t>US00751Y1064</t>
  </si>
  <si>
    <t>AEL</t>
  </si>
  <si>
    <t>LKQ</t>
  </si>
  <si>
    <t>LKQ CORP</t>
  </si>
  <si>
    <t>34,09</t>
  </si>
  <si>
    <t>5.869.241</t>
  </si>
  <si>
    <t>5.869.241,21</t>
  </si>
  <si>
    <t>US5018892084</t>
  </si>
  <si>
    <t>RFG</t>
  </si>
  <si>
    <t>CNHI</t>
  </si>
  <si>
    <t>CNH INDUSTRIAL NV</t>
  </si>
  <si>
    <t>10,98</t>
  </si>
  <si>
    <t>5.868.966</t>
  </si>
  <si>
    <t>5.868.966,25</t>
  </si>
  <si>
    <t>NL0010545661</t>
  </si>
  <si>
    <t>DPZ</t>
  </si>
  <si>
    <t>DOMINOS PIZZA INC</t>
  </si>
  <si>
    <t>289,09</t>
  </si>
  <si>
    <t>5.845.689</t>
  </si>
  <si>
    <t>5.845.688,89</t>
  </si>
  <si>
    <t>US25754A2015</t>
  </si>
  <si>
    <t>STP</t>
  </si>
  <si>
    <t>ROKU</t>
  </si>
  <si>
    <t>ROKU INC CLASS A</t>
  </si>
  <si>
    <t>128,40</t>
  </si>
  <si>
    <t>5.840.788</t>
  </si>
  <si>
    <t>5.840.787,60</t>
  </si>
  <si>
    <t>US77543R1023</t>
  </si>
  <si>
    <t>MB</t>
  </si>
  <si>
    <t>MEDIOBANCA BANCA DI CREDITO FINANZ</t>
  </si>
  <si>
    <t>11,00</t>
  </si>
  <si>
    <t>5.833.210</t>
  </si>
  <si>
    <t>5.833.210,46</t>
  </si>
  <si>
    <t>IT0000062957</t>
  </si>
  <si>
    <t>CRP</t>
  </si>
  <si>
    <t>SJM</t>
  </si>
  <si>
    <t>JM SMUCKER</t>
  </si>
  <si>
    <t>104,38</t>
  </si>
  <si>
    <t>5.818.872</t>
  </si>
  <si>
    <t>5.818.871,86</t>
  </si>
  <si>
    <t>US8326964058</t>
  </si>
  <si>
    <t>CTK</t>
  </si>
  <si>
    <t>DANSKE</t>
  </si>
  <si>
    <t>DANSKE BANK</t>
  </si>
  <si>
    <t>16,22</t>
  </si>
  <si>
    <t>5.815.497</t>
  </si>
  <si>
    <t>5.815.497,27</t>
  </si>
  <si>
    <t>DK0010274414</t>
  </si>
  <si>
    <t>L2D</t>
  </si>
  <si>
    <t>ZBRA</t>
  </si>
  <si>
    <t>ZEBRA TECHNOLOGIES CORP CLASS A</t>
  </si>
  <si>
    <t>246,27</t>
  </si>
  <si>
    <t>5.814.927</t>
  </si>
  <si>
    <t>5.814.927,24</t>
  </si>
  <si>
    <t>US9892071054</t>
  </si>
  <si>
    <t>L4L</t>
  </si>
  <si>
    <t>MT</t>
  </si>
  <si>
    <t>ARCELORMITTAL SA</t>
  </si>
  <si>
    <t>16,58</t>
  </si>
  <si>
    <t>5.808.262</t>
  </si>
  <si>
    <t>5.808.261,71</t>
  </si>
  <si>
    <t>LU1598757687</t>
  </si>
  <si>
    <t>AIL</t>
  </si>
  <si>
    <t>HAS</t>
  </si>
  <si>
    <t>HASBRO INC</t>
  </si>
  <si>
    <t>101,68</t>
  </si>
  <si>
    <t>5.801.962</t>
  </si>
  <si>
    <t>5.801.962,48</t>
  </si>
  <si>
    <t>US4180561072</t>
  </si>
  <si>
    <t>SDO</t>
  </si>
  <si>
    <t>MARUBENI CORP</t>
  </si>
  <si>
    <t>7,49</t>
  </si>
  <si>
    <t>5.792.801</t>
  </si>
  <si>
    <t>5.792.800,95</t>
  </si>
  <si>
    <t>JP3877600001</t>
  </si>
  <si>
    <t>LBR</t>
  </si>
  <si>
    <t>ITRK</t>
  </si>
  <si>
    <t>INTERTEK GROUP PLC</t>
  </si>
  <si>
    <t>75,10</t>
  </si>
  <si>
    <t>5.792.675</t>
  </si>
  <si>
    <t>5.792.674,59</t>
  </si>
  <si>
    <t>GB0031638363</t>
  </si>
  <si>
    <t>J203</t>
  </si>
  <si>
    <t>NPN SJ Equity</t>
  </si>
  <si>
    <t>Naspers Ltd</t>
  </si>
  <si>
    <t>LBTYK</t>
  </si>
  <si>
    <t>LIBERTY GLOBAL PLC CLASS C</t>
  </si>
  <si>
    <t>19,86</t>
  </si>
  <si>
    <t>5.771.654</t>
  </si>
  <si>
    <t>5.771.653,62</t>
  </si>
  <si>
    <t>GB00B8W67B19</t>
  </si>
  <si>
    <t>BHP SJ Equity</t>
  </si>
  <si>
    <t>BHP Group PLC</t>
  </si>
  <si>
    <t>EMN</t>
  </si>
  <si>
    <t>EASTMAN CHEMICAL</t>
  </si>
  <si>
    <t>74,79</t>
  </si>
  <si>
    <t>5.743.573</t>
  </si>
  <si>
    <t>5.743.572,84</t>
  </si>
  <si>
    <t>US2774321002</t>
  </si>
  <si>
    <t>CFR SJ Equity</t>
  </si>
  <si>
    <t>Cie Financiere Richemont SA</t>
  </si>
  <si>
    <t>RE</t>
  </si>
  <si>
    <t>EVEREST RE GROUP LTD</t>
  </si>
  <si>
    <t>274,83</t>
  </si>
  <si>
    <t>5.729.931</t>
  </si>
  <si>
    <t>5.729.930,67</t>
  </si>
  <si>
    <t>BMG3223R1088</t>
  </si>
  <si>
    <t>AGL SJ Equity</t>
  </si>
  <si>
    <t>Anglo American PLC</t>
  </si>
  <si>
    <t>MARATHON OIL CORP</t>
  </si>
  <si>
    <t>13,18</t>
  </si>
  <si>
    <t>5.726.183</t>
  </si>
  <si>
    <t>5.726.182,80</t>
  </si>
  <si>
    <t>US5658491064</t>
  </si>
  <si>
    <t>SBK SJ Equity</t>
  </si>
  <si>
    <t>Standard Bank Group Ltd</t>
  </si>
  <si>
    <t>NZYM B</t>
  </si>
  <si>
    <t>NOVOZYMES B</t>
  </si>
  <si>
    <t>47,89</t>
  </si>
  <si>
    <t>5.724.875</t>
  </si>
  <si>
    <t>5.724.875,42</t>
  </si>
  <si>
    <t>DK0060336014</t>
  </si>
  <si>
    <t>FSR SJ Equity</t>
  </si>
  <si>
    <t>FirstRand Ltd</t>
  </si>
  <si>
    <t>EBS</t>
  </si>
  <si>
    <t>ERSTE GROUP BANK AG</t>
  </si>
  <si>
    <t>38,12</t>
  </si>
  <si>
    <t>5.715.914</t>
  </si>
  <si>
    <t>5.715.913,55</t>
  </si>
  <si>
    <t>AT0000652011</t>
  </si>
  <si>
    <t>Wiener Boerse Ag</t>
  </si>
  <si>
    <t>Österreich</t>
  </si>
  <si>
    <t>SOL SJ Equity</t>
  </si>
  <si>
    <t>Sasol Ltd</t>
  </si>
  <si>
    <t>MITSUBISHI CHEMICAL CORP</t>
  </si>
  <si>
    <t>7,40</t>
  </si>
  <si>
    <t>5.713.570</t>
  </si>
  <si>
    <t>5.713.569,77</t>
  </si>
  <si>
    <t>JP3897700005</t>
  </si>
  <si>
    <t>MTN SJ Equity</t>
  </si>
  <si>
    <t>MTN Group Ltd</t>
  </si>
  <si>
    <t>ATL</t>
  </si>
  <si>
    <t>ATLANTIA</t>
  </si>
  <si>
    <t>23,85</t>
  </si>
  <si>
    <t>5.686.382</t>
  </si>
  <si>
    <t>5.686.381,66</t>
  </si>
  <si>
    <t>IT0003506190</t>
  </si>
  <si>
    <t>BTI SJ Equity</t>
  </si>
  <si>
    <t>British American Tobacco PLC</t>
  </si>
  <si>
    <t>QBE</t>
  </si>
  <si>
    <t>QBE INSURANCE GROUP LTD</t>
  </si>
  <si>
    <t>9,11</t>
  </si>
  <si>
    <t>5.678.549</t>
  </si>
  <si>
    <t>5.678.548,96</t>
  </si>
  <si>
    <t>AU000000QBE9</t>
  </si>
  <si>
    <t>SLM SJ Equity</t>
  </si>
  <si>
    <t>Sanlam Ltd</t>
  </si>
  <si>
    <t>MNDI</t>
  </si>
  <si>
    <t>MONDI PLC</t>
  </si>
  <si>
    <t>21,92</t>
  </si>
  <si>
    <t>5.675.615</t>
  </si>
  <si>
    <t>5.675.615,36</t>
  </si>
  <si>
    <t>GB00B1CRLC47</t>
  </si>
  <si>
    <t>ABG SJ Equity</t>
  </si>
  <si>
    <t>Absa Group Ltd</t>
  </si>
  <si>
    <t>AGS</t>
  </si>
  <si>
    <t>AGEAS SA</t>
  </si>
  <si>
    <t>58,39</t>
  </si>
  <si>
    <t>5.673.730</t>
  </si>
  <si>
    <t>5.673.729,88</t>
  </si>
  <si>
    <t>BE0974264930</t>
  </si>
  <si>
    <t>MNP SJ Equity</t>
  </si>
  <si>
    <t>Mondi PLC</t>
  </si>
  <si>
    <t>CARNIVAL PLC</t>
  </si>
  <si>
    <t>46,12</t>
  </si>
  <si>
    <t>5.659.663</t>
  </si>
  <si>
    <t>5.659.662,86</t>
  </si>
  <si>
    <t>GB0031215220</t>
  </si>
  <si>
    <t>OMU SJ Equity</t>
  </si>
  <si>
    <t>Old Mutual Ltd</t>
  </si>
  <si>
    <t>SOLB</t>
  </si>
  <si>
    <t>SOLVAY SA</t>
  </si>
  <si>
    <t>113,25</t>
  </si>
  <si>
    <t>5.651.910</t>
  </si>
  <si>
    <t>5.651.909,57</t>
  </si>
  <si>
    <t>BE0003470755</t>
  </si>
  <si>
    <t>ANG SJ Equity</t>
  </si>
  <si>
    <t>AngloGold Ashanti Ltd</t>
  </si>
  <si>
    <t>SJR.B</t>
  </si>
  <si>
    <t>SHAW COMMUNICATIONS INC CLASS B</t>
  </si>
  <si>
    <t>20,30</t>
  </si>
  <si>
    <t>5.651.161</t>
  </si>
  <si>
    <t>5.651.160,79</t>
  </si>
  <si>
    <t>CA82028K2002</t>
  </si>
  <si>
    <t>ANH</t>
  </si>
  <si>
    <t>BID SJ Equity</t>
  </si>
  <si>
    <t>Bid Corp Ltd</t>
  </si>
  <si>
    <t>HEN</t>
  </si>
  <si>
    <t>HENKEL AG</t>
  </si>
  <si>
    <t>95,13</t>
  </si>
  <si>
    <t>5.644.917</t>
  </si>
  <si>
    <t>5.644.916,51</t>
  </si>
  <si>
    <t>DE0006048408</t>
  </si>
  <si>
    <t>NED SJ Equity</t>
  </si>
  <si>
    <t>Nedbank Group Ltd</t>
  </si>
  <si>
    <t>ON</t>
  </si>
  <si>
    <t>ON SEMICONDUCTOR CORP</t>
  </si>
  <si>
    <t>24,58</t>
  </si>
  <si>
    <t>5.639.783</t>
  </si>
  <si>
    <t>5.639.782,68</t>
  </si>
  <si>
    <t>US6821891057</t>
  </si>
  <si>
    <t>REM SJ Equity</t>
  </si>
  <si>
    <t>Remgro Ltd</t>
  </si>
  <si>
    <t>GDDY</t>
  </si>
  <si>
    <t>GODADDY INC CLASS A</t>
  </si>
  <si>
    <t>70,74</t>
  </si>
  <si>
    <t>5.629.843</t>
  </si>
  <si>
    <t>5.629.842,90</t>
  </si>
  <si>
    <t>US3802371076</t>
  </si>
  <si>
    <t>SHP SJ Equity</t>
  </si>
  <si>
    <t>Shoprite Holdings Ltd</t>
  </si>
  <si>
    <t>INPEX CORP</t>
  </si>
  <si>
    <t>10,68</t>
  </si>
  <si>
    <t>5.626.348</t>
  </si>
  <si>
    <t>5.626.348,03</t>
  </si>
  <si>
    <t>JP3294460005</t>
  </si>
  <si>
    <t>GRT SJ Equity</t>
  </si>
  <si>
    <t>Growthpoint Properties Ltd</t>
  </si>
  <si>
    <t>ALNY</t>
  </si>
  <si>
    <t>ALNYLAM PHARMACEUTICALS INC</t>
  </si>
  <si>
    <t>119,25</t>
  </si>
  <si>
    <t>5.611.786</t>
  </si>
  <si>
    <t>5.611.785,75</t>
  </si>
  <si>
    <t>US02043Q1076</t>
  </si>
  <si>
    <t>VOD SJ Equity</t>
  </si>
  <si>
    <t>Vodacom Group Ltd</t>
  </si>
  <si>
    <t>SUNCORP GROUP LTD</t>
  </si>
  <si>
    <t>9,16</t>
  </si>
  <si>
    <t>5.599.600</t>
  </si>
  <si>
    <t>5.599.600,14</t>
  </si>
  <si>
    <t>AU000000SUN6</t>
  </si>
  <si>
    <t>CPI SJ Equity</t>
  </si>
  <si>
    <t>Capitec Bank Holdings Ltd</t>
  </si>
  <si>
    <t>PUB</t>
  </si>
  <si>
    <t>PUBLICIS GROUPE SA</t>
  </si>
  <si>
    <t>46,59</t>
  </si>
  <si>
    <t>5.593.656</t>
  </si>
  <si>
    <t>5.593.656,42</t>
  </si>
  <si>
    <t>FR0000130577</t>
  </si>
  <si>
    <t>BVT SJ Equity</t>
  </si>
  <si>
    <t>Bidvest Group Ltd/The</t>
  </si>
  <si>
    <t>BCE</t>
  </si>
  <si>
    <t>BCE INC</t>
  </si>
  <si>
    <t>46,37</t>
  </si>
  <si>
    <t>5.590.756</t>
  </si>
  <si>
    <t>5.590.756,13</t>
  </si>
  <si>
    <t>CA05534B7604</t>
  </si>
  <si>
    <t>RMH SJ Equity</t>
  </si>
  <si>
    <t>RMB Holdings Ltd</t>
  </si>
  <si>
    <t>OMRON CORP</t>
  </si>
  <si>
    <t>59,24</t>
  </si>
  <si>
    <t>5.586.044</t>
  </si>
  <si>
    <t>5.586.044,18</t>
  </si>
  <si>
    <t>JP3197800000</t>
  </si>
  <si>
    <t>INP SJ Equity</t>
  </si>
  <si>
    <t>Investec PLC</t>
  </si>
  <si>
    <t>HEI</t>
  </si>
  <si>
    <t>HEIDELBERGCEMENT AG</t>
  </si>
  <si>
    <t>71,19</t>
  </si>
  <si>
    <t>5.583.389</t>
  </si>
  <si>
    <t>5.583.388,57</t>
  </si>
  <si>
    <t>DE0006047004</t>
  </si>
  <si>
    <t>GFI SJ Equity</t>
  </si>
  <si>
    <t>Gold Fields Ltd</t>
  </si>
  <si>
    <t>NIPPON BUILDING FUND REIT INC</t>
  </si>
  <si>
    <t>7.329,32</t>
  </si>
  <si>
    <t>5.570.281</t>
  </si>
  <si>
    <t>5.570.281,12</t>
  </si>
  <si>
    <t>JP3027670003</t>
  </si>
  <si>
    <t>MCG SJ Equity</t>
  </si>
  <si>
    <t>MultiChoice Group Ltd</t>
  </si>
  <si>
    <t>TLS</t>
  </si>
  <si>
    <t>TELSTRA CORPORATION LTD</t>
  </si>
  <si>
    <t>2,66</t>
  </si>
  <si>
    <t>2.082.579</t>
  </si>
  <si>
    <t>5.536.781</t>
  </si>
  <si>
    <t>5.536.780,97</t>
  </si>
  <si>
    <t>AU000000TLS2</t>
  </si>
  <si>
    <t>DSY SJ Equity</t>
  </si>
  <si>
    <t>Discovery Ltd</t>
  </si>
  <si>
    <t>SWMA</t>
  </si>
  <si>
    <t>SWEDISH MATCH</t>
  </si>
  <si>
    <t>55,49</t>
  </si>
  <si>
    <t>5.525.743</t>
  </si>
  <si>
    <t>5.525.743,35</t>
  </si>
  <si>
    <t>SE0000310336</t>
  </si>
  <si>
    <t>CLS SJ Equity</t>
  </si>
  <si>
    <t>Clicks Group Ltd</t>
  </si>
  <si>
    <t>PODD</t>
  </si>
  <si>
    <t>INSULET CORP</t>
  </si>
  <si>
    <t>182,53</t>
  </si>
  <si>
    <t>5.525.183</t>
  </si>
  <si>
    <t>5.525.183,10</t>
  </si>
  <si>
    <t>US45784P1012</t>
  </si>
  <si>
    <t>RDF SJ Equity</t>
  </si>
  <si>
    <t>Redefine Properties Ltd</t>
  </si>
  <si>
    <t>AUD CASH</t>
  </si>
  <si>
    <t>69,06</t>
  </si>
  <si>
    <t>7.995.941</t>
  </si>
  <si>
    <t>5.521.597</t>
  </si>
  <si>
    <t>5.521.596,93</t>
  </si>
  <si>
    <t>MRP SJ Equity</t>
  </si>
  <si>
    <t>Mr Price Group Ltd</t>
  </si>
  <si>
    <t>LYV</t>
  </si>
  <si>
    <t>LIVE NATION ENTERTAINMENT INC</t>
  </si>
  <si>
    <t>71,28</t>
  </si>
  <si>
    <t>5.514.078</t>
  </si>
  <si>
    <t>5.514.078,24</t>
  </si>
  <si>
    <t>US5380341090</t>
  </si>
  <si>
    <t>IMP SJ Equity</t>
  </si>
  <si>
    <t>Impala Platinum Holdings Ltd</t>
  </si>
  <si>
    <t>CAD CASH</t>
  </si>
  <si>
    <t>76,62</t>
  </si>
  <si>
    <t>7.181.466</t>
  </si>
  <si>
    <t>5.502.407</t>
  </si>
  <si>
    <t>5.502.406,80</t>
  </si>
  <si>
    <t>AMS SJ Equity</t>
  </si>
  <si>
    <t>Anglo American Platinum Ltd</t>
  </si>
  <si>
    <t>NRG</t>
  </si>
  <si>
    <t>NRG ENERGY INC</t>
  </si>
  <si>
    <t>37,31</t>
  </si>
  <si>
    <t>5.497.255</t>
  </si>
  <si>
    <t>5.497.255,40</t>
  </si>
  <si>
    <t>US6293775085</t>
  </si>
  <si>
    <t>NRP SJ Equity</t>
  </si>
  <si>
    <t>NEPI Rockcastle PLC</t>
  </si>
  <si>
    <t>IRM</t>
  </si>
  <si>
    <t>IRON MOUNTAIN INC</t>
  </si>
  <si>
    <t>30,66</t>
  </si>
  <si>
    <t>5.496.020</t>
  </si>
  <si>
    <t>5.496.019,62</t>
  </si>
  <si>
    <t>US46284V1017</t>
  </si>
  <si>
    <t>WHL SJ Equity</t>
  </si>
  <si>
    <t>Woolworths Holdings Ltd/South Africa</t>
  </si>
  <si>
    <t>UU.</t>
  </si>
  <si>
    <t>UNITED UTILITIES GROUP PLC</t>
  </si>
  <si>
    <t>12,37</t>
  </si>
  <si>
    <t>5.481.937</t>
  </si>
  <si>
    <t>5.481.936,89</t>
  </si>
  <si>
    <t>GB00B39J2M42</t>
  </si>
  <si>
    <t>EXX SJ Equity</t>
  </si>
  <si>
    <t>Exxaro Resources Ltd</t>
  </si>
  <si>
    <t>ZION</t>
  </si>
  <si>
    <t>ZIONS BANCORPORATION</t>
  </si>
  <si>
    <t>50,67</t>
  </si>
  <si>
    <t>5.450.471</t>
  </si>
  <si>
    <t>5.450.470,56</t>
  </si>
  <si>
    <t>US9897011071</t>
  </si>
  <si>
    <t>TFG SJ Equity</t>
  </si>
  <si>
    <t>Foschini Group Ltd/The</t>
  </si>
  <si>
    <t>UCB</t>
  </si>
  <si>
    <t>UCB SA</t>
  </si>
  <si>
    <t>86,04</t>
  </si>
  <si>
    <t>5.434.160</t>
  </si>
  <si>
    <t>5.434.159,60</t>
  </si>
  <si>
    <t>BE0003739530</t>
  </si>
  <si>
    <t>PSG SJ Equity</t>
  </si>
  <si>
    <t>PSG Group Ltd</t>
  </si>
  <si>
    <t>F34</t>
  </si>
  <si>
    <t>WILMAR INTERNATIONAL LTD</t>
  </si>
  <si>
    <t>3,22</t>
  </si>
  <si>
    <t>1.688.297</t>
  </si>
  <si>
    <t>5.434.003</t>
  </si>
  <si>
    <t>5.434.002,51</t>
  </si>
  <si>
    <t>SG1T56930848</t>
  </si>
  <si>
    <t>TBS SJ Equity</t>
  </si>
  <si>
    <t>Tiger Brands Ltd</t>
  </si>
  <si>
    <t>JBHT</t>
  </si>
  <si>
    <t>JB HUNT TRANSPORT SERVICES INC</t>
  </si>
  <si>
    <t>119,08</t>
  </si>
  <si>
    <t>5.431.953</t>
  </si>
  <si>
    <t>5.431.953,28</t>
  </si>
  <si>
    <t>US4456581077</t>
  </si>
  <si>
    <t>APN SJ Equity</t>
  </si>
  <si>
    <t>Aspen Pharmacare Holdings Ltd</t>
  </si>
  <si>
    <t>DISCK</t>
  </si>
  <si>
    <t>DISCOVERY INC SERIES C</t>
  </si>
  <si>
    <t>29,88</t>
  </si>
  <si>
    <t>5.431.168</t>
  </si>
  <si>
    <t>5.431.168,08</t>
  </si>
  <si>
    <t>US25470F3029</t>
  </si>
  <si>
    <t>MND SJ Equity</t>
  </si>
  <si>
    <t>Mondi Ltd</t>
  </si>
  <si>
    <t>BNZL</t>
  </si>
  <si>
    <t>BUNZL</t>
  </si>
  <si>
    <t>26,64</t>
  </si>
  <si>
    <t>5.429.689</t>
  </si>
  <si>
    <t>5.429.689,21</t>
  </si>
  <si>
    <t>GB00B0744B38</t>
  </si>
  <si>
    <t>SPP SJ Equity</t>
  </si>
  <si>
    <t>SPAR Group Ltd/The</t>
  </si>
  <si>
    <t>PAH3</t>
  </si>
  <si>
    <t>PORSCHE AUTOMOBIL HOLDING PREF</t>
  </si>
  <si>
    <t>77,64</t>
  </si>
  <si>
    <t>5.427.892</t>
  </si>
  <si>
    <t>5.427.891,55</t>
  </si>
  <si>
    <t>DE000PAH0038</t>
  </si>
  <si>
    <t>RNI SJ Equity</t>
  </si>
  <si>
    <t>Reinet Investments SCA</t>
  </si>
  <si>
    <t>AGNC</t>
  </si>
  <si>
    <t>AGNC INVESTMENT REIT CORP</t>
  </si>
  <si>
    <t>17,96</t>
  </si>
  <si>
    <t>5.423.220</t>
  </si>
  <si>
    <t>5.423.219,56</t>
  </si>
  <si>
    <t>US00123Q1040</t>
  </si>
  <si>
    <t>SGL SJ Equity</t>
  </si>
  <si>
    <t>Sibanye Gold Ltd</t>
  </si>
  <si>
    <t>KINTETSU GROUP HOLDINGS LTD</t>
  </si>
  <si>
    <t>54,49</t>
  </si>
  <si>
    <t>5.416.375</t>
  </si>
  <si>
    <t>5.416.374,59</t>
  </si>
  <si>
    <t>JP3260800002</t>
  </si>
  <si>
    <t>QLT SJ Equity</t>
  </si>
  <si>
    <t>Quilter PLC</t>
  </si>
  <si>
    <t>PHM</t>
  </si>
  <si>
    <t>PULTEGROUP INC</t>
  </si>
  <si>
    <t>39,99</t>
  </si>
  <si>
    <t>5.412.607</t>
  </si>
  <si>
    <t>5.412.606,51</t>
  </si>
  <si>
    <t>US7458671010</t>
  </si>
  <si>
    <t>LHC SJ Equity</t>
  </si>
  <si>
    <t>Life Healthcare Group Holdings Ltd</t>
  </si>
  <si>
    <t>FBHS</t>
  </si>
  <si>
    <t>FORTUNE BRANDS HOME AND SECURITY I</t>
  </si>
  <si>
    <t>66,96</t>
  </si>
  <si>
    <t>5.412.779</t>
  </si>
  <si>
    <t>5.412.778,56</t>
  </si>
  <si>
    <t>US34964C1062</t>
  </si>
  <si>
    <t>AVI SJ Equity</t>
  </si>
  <si>
    <t>AVI Ltd</t>
  </si>
  <si>
    <t>KPN</t>
  </si>
  <si>
    <t>KONINKLIJKE KPN NV</t>
  </si>
  <si>
    <t>2,96</t>
  </si>
  <si>
    <t>1.824.494</t>
  </si>
  <si>
    <t>5.407.746</t>
  </si>
  <si>
    <t>5.407.746,30</t>
  </si>
  <si>
    <t>NL0000009082</t>
  </si>
  <si>
    <t>SAP SJ Equity</t>
  </si>
  <si>
    <t>Sappi Ltd</t>
  </si>
  <si>
    <t>J36</t>
  </si>
  <si>
    <t>JARDINE MATHESON HOLDINGS LTD</t>
  </si>
  <si>
    <t>56,06</t>
  </si>
  <si>
    <t>5.387.534</t>
  </si>
  <si>
    <t>5.387.534,18</t>
  </si>
  <si>
    <t>BMG507361001</t>
  </si>
  <si>
    <t>ANH SJ Equity</t>
  </si>
  <si>
    <t>Anheuser-Busch InBev SA/NV</t>
  </si>
  <si>
    <t>NIPPON STEEL CORP</t>
  </si>
  <si>
    <t>15,00</t>
  </si>
  <si>
    <t>5.380.690</t>
  </si>
  <si>
    <t>5.380.690,03</t>
  </si>
  <si>
    <t>JP3381000003</t>
  </si>
  <si>
    <t>TRU SJ Equity</t>
  </si>
  <si>
    <t>Truworths International Ltd</t>
  </si>
  <si>
    <t>BNR</t>
  </si>
  <si>
    <t>BRENNTAG AG</t>
  </si>
  <si>
    <t>55,13</t>
  </si>
  <si>
    <t>5.378.770</t>
  </si>
  <si>
    <t>5.378.769,94</t>
  </si>
  <si>
    <t>DE000A1DAHH0</t>
  </si>
  <si>
    <t>INL SJ Equity</t>
  </si>
  <si>
    <t>Investec Ltd</t>
  </si>
  <si>
    <t>HO</t>
  </si>
  <si>
    <t>THALES SA</t>
  </si>
  <si>
    <t>106,60</t>
  </si>
  <si>
    <t>5.373.847</t>
  </si>
  <si>
    <t>5.373.847,48</t>
  </si>
  <si>
    <t>FR0000121329</t>
  </si>
  <si>
    <t>BAW SJ Equity</t>
  </si>
  <si>
    <t>Barloworld Ltd</t>
  </si>
  <si>
    <t>FMG</t>
  </si>
  <si>
    <t>FORTESCUE METALS GROUP LTD</t>
  </si>
  <si>
    <t>7,39</t>
  </si>
  <si>
    <t>5.374.276</t>
  </si>
  <si>
    <t>5.374.275,95</t>
  </si>
  <si>
    <t>AU000000FMG4</t>
  </si>
  <si>
    <t>TKG SJ Equity</t>
  </si>
  <si>
    <t>Telkom SA SOC Ltd</t>
  </si>
  <si>
    <t>SUMITOMO ELECTRIC INDUSTRIES LTD</t>
  </si>
  <si>
    <t>14,95</t>
  </si>
  <si>
    <t>5.368.756</t>
  </si>
  <si>
    <t>5.368.755,81</t>
  </si>
  <si>
    <t>JP3407400005</t>
  </si>
  <si>
    <t>GLN SJ Equity</t>
  </si>
  <si>
    <t>Glencore PLC</t>
  </si>
  <si>
    <t>AEGON NV</t>
  </si>
  <si>
    <t>4,47</t>
  </si>
  <si>
    <t>1.200.443</t>
  </si>
  <si>
    <t>5.367.134</t>
  </si>
  <si>
    <t>5.367.133,90</t>
  </si>
  <si>
    <t>NL0000303709</t>
  </si>
  <si>
    <t>RMI SJ Equity</t>
  </si>
  <si>
    <t>Rand Merchant Investment Holdings Ltd</t>
  </si>
  <si>
    <t>TOKYO GAS LTD</t>
  </si>
  <si>
    <t>24,03</t>
  </si>
  <si>
    <t>5.362.755</t>
  </si>
  <si>
    <t>5.362.754,82</t>
  </si>
  <si>
    <t>JP3573000001</t>
  </si>
  <si>
    <t>FFA SJ Equity</t>
  </si>
  <si>
    <t>Fortress REIT Ltd</t>
  </si>
  <si>
    <t>DXC</t>
  </si>
  <si>
    <t>DXC TECHNOLOGY</t>
  </si>
  <si>
    <t>35,74</t>
  </si>
  <si>
    <t>5.363.430</t>
  </si>
  <si>
    <t>5.363.430,32</t>
  </si>
  <si>
    <t>US23355L1061</t>
  </si>
  <si>
    <t>KIO SJ Equity</t>
  </si>
  <si>
    <t>Kumba Iron Ore Ltd</t>
  </si>
  <si>
    <t>WHR</t>
  </si>
  <si>
    <t>WHIRLPOOL CORP</t>
  </si>
  <si>
    <t>149,68</t>
  </si>
  <si>
    <t>5.348.964</t>
  </si>
  <si>
    <t>5.348.964,48</t>
  </si>
  <si>
    <t>US9633201069</t>
  </si>
  <si>
    <t>NTC SJ Equity</t>
  </si>
  <si>
    <t>Netcare Ltd</t>
  </si>
  <si>
    <t>HSIC</t>
  </si>
  <si>
    <t>HENRY SCHEIN INC</t>
  </si>
  <si>
    <t>66,62</t>
  </si>
  <si>
    <t>5.343.657</t>
  </si>
  <si>
    <t>5.343.656,82</t>
  </si>
  <si>
    <t>US8064071025</t>
  </si>
  <si>
    <t>PIK SJ Equity</t>
  </si>
  <si>
    <t>Pick n Pay Stores Ltd</t>
  </si>
  <si>
    <t>DOL</t>
  </si>
  <si>
    <t>DOLLARAMA INC</t>
  </si>
  <si>
    <t>34,71</t>
  </si>
  <si>
    <t>5.342.773</t>
  </si>
  <si>
    <t>5.342.772,55</t>
  </si>
  <si>
    <t>CA25675T1075</t>
  </si>
  <si>
    <t>MEI SJ Equity</t>
  </si>
  <si>
    <t>Mediclinic International PLC</t>
  </si>
  <si>
    <t>SUMITOMO METAL MINING LTD</t>
  </si>
  <si>
    <t>31,96</t>
  </si>
  <si>
    <t>5.327.860</t>
  </si>
  <si>
    <t>5.327.860,20</t>
  </si>
  <si>
    <t>JP3402600005</t>
  </si>
  <si>
    <t>NHM SJ Equity</t>
  </si>
  <si>
    <t>Northam Platinum Ltd</t>
  </si>
  <si>
    <t>TAP</t>
  </si>
  <si>
    <t>MOLSON COORS BREWING CLASS B</t>
  </si>
  <si>
    <t>5.322.571</t>
  </si>
  <si>
    <t>5.322.570,57</t>
  </si>
  <si>
    <t>US60871R2094</t>
  </si>
  <si>
    <t>ARI SJ Equity</t>
  </si>
  <si>
    <t>African Rainbow Minerals Ltd</t>
  </si>
  <si>
    <t>ASX</t>
  </si>
  <si>
    <t>ASX LTD</t>
  </si>
  <si>
    <t>56,74</t>
  </si>
  <si>
    <t>5.300.316</t>
  </si>
  <si>
    <t>5.300.316,32</t>
  </si>
  <si>
    <t>AU000000ASX7</t>
  </si>
  <si>
    <t>MMI SJ Equity</t>
  </si>
  <si>
    <t>MMI Holdings Ltd/South Africa</t>
  </si>
  <si>
    <t>WIX</t>
  </si>
  <si>
    <t>WIX.COM LTD</t>
  </si>
  <si>
    <t>140,26</t>
  </si>
  <si>
    <t>5.297.901</t>
  </si>
  <si>
    <t>5.297.900,72</t>
  </si>
  <si>
    <t>IL0011301780</t>
  </si>
  <si>
    <t>HYP SJ Equity</t>
  </si>
  <si>
    <t>Hyprop Investments Ltd</t>
  </si>
  <si>
    <t>BANDAI NAMCO HOLDINGS INC</t>
  </si>
  <si>
    <t>59,96</t>
  </si>
  <si>
    <t>5.282.301</t>
  </si>
  <si>
    <t>5.282.301,02</t>
  </si>
  <si>
    <t>JP3778630008</t>
  </si>
  <si>
    <t>HMN</t>
  </si>
  <si>
    <t>RES SJ Equity</t>
  </si>
  <si>
    <t>Resilient REIT Ltd</t>
  </si>
  <si>
    <t>PNW</t>
  </si>
  <si>
    <t>PINNACLE WEST CORP</t>
  </si>
  <si>
    <t>90,56</t>
  </si>
  <si>
    <t>5.263.257</t>
  </si>
  <si>
    <t>5.263.256,64</t>
  </si>
  <si>
    <t>US7234841010</t>
  </si>
  <si>
    <t>VKE SJ Equity</t>
  </si>
  <si>
    <t>Vukile Property Fund Ltd</t>
  </si>
  <si>
    <t>SVT</t>
  </si>
  <si>
    <t>SEVERN TRENT PLC</t>
  </si>
  <si>
    <t>32,12</t>
  </si>
  <si>
    <t>5.262.779</t>
  </si>
  <si>
    <t>5.262.779,03</t>
  </si>
  <si>
    <t>GB00B1FH8J72</t>
  </si>
  <si>
    <t>KAP SJ Equity</t>
  </si>
  <si>
    <t>KAP Industrial Holdings Ltd</t>
  </si>
  <si>
    <t>CF</t>
  </si>
  <si>
    <t>CF INDUSTRIES HOLDINGS INC</t>
  </si>
  <si>
    <t>44,77</t>
  </si>
  <si>
    <t>5.246.910</t>
  </si>
  <si>
    <t>5.246.909,69</t>
  </si>
  <si>
    <t>US1252691001</t>
  </si>
  <si>
    <t>HAR SJ Equity</t>
  </si>
  <si>
    <t>Harmony Gold Mining Co Ltd</t>
  </si>
  <si>
    <t>QIA</t>
  </si>
  <si>
    <t>QIAGEN NV</t>
  </si>
  <si>
    <t>35,01</t>
  </si>
  <si>
    <t>5.246.088</t>
  </si>
  <si>
    <t>5.246.087,67</t>
  </si>
  <si>
    <t>NL0012169213</t>
  </si>
  <si>
    <t>MTH SJ Equity</t>
  </si>
  <si>
    <t>Motus Holdings Ltd</t>
  </si>
  <si>
    <t>VAIL RESORTS INC</t>
  </si>
  <si>
    <t>251,40</t>
  </si>
  <si>
    <t>5.247.472</t>
  </si>
  <si>
    <t>5.247.472,20</t>
  </si>
  <si>
    <t>US91879Q1094</t>
  </si>
  <si>
    <t>SNT SJ Equity</t>
  </si>
  <si>
    <t>Santam Ltd</t>
  </si>
  <si>
    <t>NICE</t>
  </si>
  <si>
    <t>NICE LTD</t>
  </si>
  <si>
    <t>163,67</t>
  </si>
  <si>
    <t>5.233.838</t>
  </si>
  <si>
    <t>5.233.837,57</t>
  </si>
  <si>
    <t>IL0002730112</t>
  </si>
  <si>
    <t>CCO SJ Equity</t>
  </si>
  <si>
    <t>Capital &amp; Counties Properties PLC</t>
  </si>
  <si>
    <t>SHIMADZU CORP</t>
  </si>
  <si>
    <t>31,12</t>
  </si>
  <si>
    <t>5.233.615</t>
  </si>
  <si>
    <t>5.233.615,46</t>
  </si>
  <si>
    <t>JP3357200009</t>
  </si>
  <si>
    <t>LBH SJ Equity</t>
  </si>
  <si>
    <t>Liberty Holdings Ltd</t>
  </si>
  <si>
    <t>NOV</t>
  </si>
  <si>
    <t>NATIONAL OILWELL VARCO INC</t>
  </si>
  <si>
    <t>23,84</t>
  </si>
  <si>
    <t>5.233.142</t>
  </si>
  <si>
    <t>5.233.142,24</t>
  </si>
  <si>
    <t>US6370711011</t>
  </si>
  <si>
    <t>ITU SJ Equity</t>
  </si>
  <si>
    <t>Intu Properties PLC</t>
  </si>
  <si>
    <t>PKG</t>
  </si>
  <si>
    <t>PACKAGING CORP OF AMERICA</t>
  </si>
  <si>
    <t>105,68</t>
  </si>
  <si>
    <t>5.229.680</t>
  </si>
  <si>
    <t>5.229.680,48</t>
  </si>
  <si>
    <t>US6951561090</t>
  </si>
  <si>
    <t>PPH SJ Equity</t>
  </si>
  <si>
    <t>Pepkor Holdings Ltd</t>
  </si>
  <si>
    <t>STMN</t>
  </si>
  <si>
    <t>STRAUMANN HOLDING AG</t>
  </si>
  <si>
    <t>1.016,39</t>
  </si>
  <si>
    <t>5.229.318</t>
  </si>
  <si>
    <t>5.229.318,26</t>
  </si>
  <si>
    <t>CH0012280076</t>
  </si>
  <si>
    <t>SIX Swiss Exchange</t>
  </si>
  <si>
    <t>CML SJ Equity</t>
  </si>
  <si>
    <t>Coronation Fund Managers Ltd</t>
  </si>
  <si>
    <t>RTO</t>
  </si>
  <si>
    <t>RENTOKIL INITIAL PLC</t>
  </si>
  <si>
    <t>5,95</t>
  </si>
  <si>
    <t>5.226.800</t>
  </si>
  <si>
    <t>5.226.800,27</t>
  </si>
  <si>
    <t>GB00B082RF11</t>
  </si>
  <si>
    <t>ASR SJ Equity</t>
  </si>
  <si>
    <t>Assore Ltd</t>
  </si>
  <si>
    <t>HNR1</t>
  </si>
  <si>
    <t>HANNOVER RUECK</t>
  </si>
  <si>
    <t>192,60</t>
  </si>
  <si>
    <t>5.225.348</t>
  </si>
  <si>
    <t>5.225.347,99</t>
  </si>
  <si>
    <t>DE0008402215</t>
  </si>
  <si>
    <t>SPG SJ Equity</t>
  </si>
  <si>
    <t>Super Group Ltd/South Africa</t>
  </si>
  <si>
    <t>LISN</t>
  </si>
  <si>
    <t>CHOCOLADEFABRIKEN LINDT &amp; SPRUENGL</t>
  </si>
  <si>
    <t>90.007,71</t>
  </si>
  <si>
    <t>5.220.447</t>
  </si>
  <si>
    <t>5.220.446,96</t>
  </si>
  <si>
    <t>CH0010570759</t>
  </si>
  <si>
    <t>RLO SJ Equity</t>
  </si>
  <si>
    <t>Reunert Ltd</t>
  </si>
  <si>
    <t>ARMK</t>
  </si>
  <si>
    <t>ARAMARK</t>
  </si>
  <si>
    <t>5.209.612</t>
  </si>
  <si>
    <t>5.209.612,30</t>
  </si>
  <si>
    <t>US03852U1060</t>
  </si>
  <si>
    <t>JSE SJ Equity</t>
  </si>
  <si>
    <t>JSE Ltd</t>
  </si>
  <si>
    <t>TECK.B</t>
  </si>
  <si>
    <t>TECK RESOURCES SUBORDINATE VOTING</t>
  </si>
  <si>
    <t>15,84</t>
  </si>
  <si>
    <t>5.205.215</t>
  </si>
  <si>
    <t>5.205.215,34</t>
  </si>
  <si>
    <t>CA8787422044</t>
  </si>
  <si>
    <t>DGH SJ Equity</t>
  </si>
  <si>
    <t>Distell Group Holdings Ltd</t>
  </si>
  <si>
    <t>GALP</t>
  </si>
  <si>
    <t>GALP ENERGIA SGPS SA</t>
  </si>
  <si>
    <t>17,40</t>
  </si>
  <si>
    <t>5.203.153</t>
  </si>
  <si>
    <t>5.203.153,18</t>
  </si>
  <si>
    <t>PTGAL0AM0009</t>
  </si>
  <si>
    <t>FFB SJ Equity</t>
  </si>
  <si>
    <t>TEVA</t>
  </si>
  <si>
    <t>TEVA PHARMACEUTICAL INDUSTRIES LTD</t>
  </si>
  <si>
    <t>8,90</t>
  </si>
  <si>
    <t>5.178.136</t>
  </si>
  <si>
    <t>5.178.136,49</t>
  </si>
  <si>
    <t>IL0006290147</t>
  </si>
  <si>
    <t>AFE SJ Equity</t>
  </si>
  <si>
    <t>AECI Ltd</t>
  </si>
  <si>
    <t>IVZ</t>
  </si>
  <si>
    <t>INVESCO LTD</t>
  </si>
  <si>
    <t>17,70</t>
  </si>
  <si>
    <t>5.168.559</t>
  </si>
  <si>
    <t>5.168.559,30</t>
  </si>
  <si>
    <t>BMG491BT1088</t>
  </si>
  <si>
    <t>PFG SJ Equity</t>
  </si>
  <si>
    <t>Pioneer Foods Group Ltd</t>
  </si>
  <si>
    <t>SRPT</t>
  </si>
  <si>
    <t>SAREPTA THERAPEUTICS INC</t>
  </si>
  <si>
    <t>129,02</t>
  </si>
  <si>
    <t>5.168.025</t>
  </si>
  <si>
    <t>5.168.025,12</t>
  </si>
  <si>
    <t>US8036071004</t>
  </si>
  <si>
    <t>DCP SJ Equity</t>
  </si>
  <si>
    <t>Dis-Chem Pharmacies Ltd</t>
  </si>
  <si>
    <t>ONO PHARMACEUTICAL LTD</t>
  </si>
  <si>
    <t>23,60</t>
  </si>
  <si>
    <t>5.155.005</t>
  </si>
  <si>
    <t>5.155.005,48</t>
  </si>
  <si>
    <t>JP3197600004</t>
  </si>
  <si>
    <t>ATT SJ Equity</t>
  </si>
  <si>
    <t>Attacq Ltd</t>
  </si>
  <si>
    <t>TRACTOR SUPPLY</t>
  </si>
  <si>
    <t>91,27</t>
  </si>
  <si>
    <t>5.145.711</t>
  </si>
  <si>
    <t>5.145.711,33</t>
  </si>
  <si>
    <t>US8923561067</t>
  </si>
  <si>
    <t>EPP SJ Equity</t>
  </si>
  <si>
    <t>EPP NV</t>
  </si>
  <si>
    <t>LEA</t>
  </si>
  <si>
    <t>LEAR CORP</t>
  </si>
  <si>
    <t>136,41</t>
  </si>
  <si>
    <t>5.126.151</t>
  </si>
  <si>
    <t>5.126.151,39</t>
  </si>
  <si>
    <t>US5218652049</t>
  </si>
  <si>
    <t>LTE</t>
  </si>
  <si>
    <t>MSP SJ Equity</t>
  </si>
  <si>
    <t>MAS Real Estate Inc</t>
  </si>
  <si>
    <t>ATOS</t>
  </si>
  <si>
    <t>88,04</t>
  </si>
  <si>
    <t>5.114.310</t>
  </si>
  <si>
    <t>5.114.310,23</t>
  </si>
  <si>
    <t>FR0000051732</t>
  </si>
  <si>
    <t>MCG</t>
  </si>
  <si>
    <t>TCP SJ Equity</t>
  </si>
  <si>
    <t>Transaction Capital Ltd</t>
  </si>
  <si>
    <t>CA</t>
  </si>
  <si>
    <t>CARREFOUR SA</t>
  </si>
  <si>
    <t>16,69</t>
  </si>
  <si>
    <t>5.104.879</t>
  </si>
  <si>
    <t>5.104.879,33</t>
  </si>
  <si>
    <t>FR0000120172</t>
  </si>
  <si>
    <t>EQU SJ Equity</t>
  </si>
  <si>
    <t>Equites Property Fund Ltd</t>
  </si>
  <si>
    <t>SOUTH32 LTD</t>
  </si>
  <si>
    <t>1,93</t>
  </si>
  <si>
    <t>2.637.041</t>
  </si>
  <si>
    <t>5.098.824</t>
  </si>
  <si>
    <t>5.098.824,26</t>
  </si>
  <si>
    <t>AU000000S320</t>
  </si>
  <si>
    <t>IPL SJ Equity</t>
  </si>
  <si>
    <t>Imperial Logistics Ltd</t>
  </si>
  <si>
    <t>SGE</t>
  </si>
  <si>
    <t>SAGE GROUP PLC</t>
  </si>
  <si>
    <t>9,66</t>
  </si>
  <si>
    <t>5.095.247</t>
  </si>
  <si>
    <t>5.095.247,41</t>
  </si>
  <si>
    <t>GB00B8C3BL03</t>
  </si>
  <si>
    <t>FBR SJ Equity</t>
  </si>
  <si>
    <t>Famous Brands Ltd</t>
  </si>
  <si>
    <t>CGNX</t>
  </si>
  <si>
    <t>COGNEX CORP</t>
  </si>
  <si>
    <t>55,17</t>
  </si>
  <si>
    <t>5.092.191</t>
  </si>
  <si>
    <t>5.092.191,00</t>
  </si>
  <si>
    <t>US1924221039</t>
  </si>
  <si>
    <t>SAC SJ Equity</t>
  </si>
  <si>
    <t>SA Corporate Real Estate Ltd</t>
  </si>
  <si>
    <t>GLPG</t>
  </si>
  <si>
    <t>GALAPAGOS NV</t>
  </si>
  <si>
    <t>213,27</t>
  </si>
  <si>
    <t>5.075.353</t>
  </si>
  <si>
    <t>5.075.353,41</t>
  </si>
  <si>
    <t>BE0003818359</t>
  </si>
  <si>
    <t>PPC SJ Equity</t>
  </si>
  <si>
    <t>PPC Ltd</t>
  </si>
  <si>
    <t>FDS</t>
  </si>
  <si>
    <t>FACTSET RESEARCH SYSTEMS INC</t>
  </si>
  <si>
    <t>264,88</t>
  </si>
  <si>
    <t>5.075.101</t>
  </si>
  <si>
    <t>5.075.100,80</t>
  </si>
  <si>
    <t>US3030751057</t>
  </si>
  <si>
    <t>IPF SJ Equity</t>
  </si>
  <si>
    <t>Investec Property Fund Ltd</t>
  </si>
  <si>
    <t>RNO</t>
  </si>
  <si>
    <t>RENAULT SA</t>
  </si>
  <si>
    <t>46,50</t>
  </si>
  <si>
    <t>5.069.680</t>
  </si>
  <si>
    <t>5.069.680,32</t>
  </si>
  <si>
    <t>FR0000131906</t>
  </si>
  <si>
    <t>TSH SJ Equity</t>
  </si>
  <si>
    <t>Tsogo Sun Holdings Ltd</t>
  </si>
  <si>
    <t>HLMA</t>
  </si>
  <si>
    <t>HALMA PLC</t>
  </si>
  <si>
    <t>27,32</t>
  </si>
  <si>
    <t>5.066.341</t>
  </si>
  <si>
    <t>5.066.341,45</t>
  </si>
  <si>
    <t>GB0004052071</t>
  </si>
  <si>
    <t>NPK SJ Equity</t>
  </si>
  <si>
    <t>Nampak Ltd</t>
  </si>
  <si>
    <t>TRN</t>
  </si>
  <si>
    <t>TERNA RETE ELETTRICA NAZIONALE</t>
  </si>
  <si>
    <t>6,72</t>
  </si>
  <si>
    <t>5.044.028</t>
  </si>
  <si>
    <t>5.044.028,12</t>
  </si>
  <si>
    <t>IT0003242622</t>
  </si>
  <si>
    <t>ADH SJ Equity</t>
  </si>
  <si>
    <t>Advtech Ltd</t>
  </si>
  <si>
    <t>FTI</t>
  </si>
  <si>
    <t>TECHNIPFMC PLC</t>
  </si>
  <si>
    <t>21,01</t>
  </si>
  <si>
    <t>5.040.698</t>
  </si>
  <si>
    <t>5.040.698,19</t>
  </si>
  <si>
    <t>GB00BDSFG982</t>
  </si>
  <si>
    <t>S32 SJ Equity</t>
  </si>
  <si>
    <t>South32 Ltd</t>
  </si>
  <si>
    <t>WRK</t>
  </si>
  <si>
    <t>WESTROCK</t>
  </si>
  <si>
    <t>42,16</t>
  </si>
  <si>
    <t>5.031.585</t>
  </si>
  <si>
    <t>5.031.585,20</t>
  </si>
  <si>
    <t>US96145D1054</t>
  </si>
  <si>
    <t>MTH</t>
  </si>
  <si>
    <t>ITE SJ Equity</t>
  </si>
  <si>
    <t>Italtile Ltd</t>
  </si>
  <si>
    <t>DVA</t>
  </si>
  <si>
    <t>DAVITA INC</t>
  </si>
  <si>
    <t>75,95</t>
  </si>
  <si>
    <t>5.019.763</t>
  </si>
  <si>
    <t>5.019.763,35</t>
  </si>
  <si>
    <t>US23918K1088</t>
  </si>
  <si>
    <t>DTC SJ Equity</t>
  </si>
  <si>
    <t>DataTec Ltd</t>
  </si>
  <si>
    <t>NITTO DENKO CORP</t>
  </si>
  <si>
    <t>56,32</t>
  </si>
  <si>
    <t>5.019.517</t>
  </si>
  <si>
    <t>5.019.516,89</t>
  </si>
  <si>
    <t>JP3684000007</t>
  </si>
  <si>
    <t>MSM SJ Equity</t>
  </si>
  <si>
    <t>Massmart Holdings Ltd</t>
  </si>
  <si>
    <t>TEMN</t>
  </si>
  <si>
    <t>TEMENOS AG</t>
  </si>
  <si>
    <t>158,28</t>
  </si>
  <si>
    <t>5.021.405</t>
  </si>
  <si>
    <t>5.021.404,78</t>
  </si>
  <si>
    <t>CH0012453913</t>
  </si>
  <si>
    <t>ARL SJ Equity</t>
  </si>
  <si>
    <t>Astral Foods Ltd</t>
  </si>
  <si>
    <t>PSN</t>
  </si>
  <si>
    <t>PERSIMMON PLC</t>
  </si>
  <si>
    <t>35,34</t>
  </si>
  <si>
    <t>5.006.896</t>
  </si>
  <si>
    <t>5.006.895,82</t>
  </si>
  <si>
    <t>GB0006825383</t>
  </si>
  <si>
    <t>BAT SJ Equity</t>
  </si>
  <si>
    <t>Brait SE</t>
  </si>
  <si>
    <t>LII</t>
  </si>
  <si>
    <t>LENNOX INTERNATIONAL INC</t>
  </si>
  <si>
    <t>247,51</t>
  </si>
  <si>
    <t>4.988.812</t>
  </si>
  <si>
    <t>4.988.811,56</t>
  </si>
  <si>
    <t>US5261071071</t>
  </si>
  <si>
    <t>WBO SJ Equity</t>
  </si>
  <si>
    <t>Wilson Bayly Holmes-Ovcon Ltd</t>
  </si>
  <si>
    <t>EN</t>
  </si>
  <si>
    <t>BOUYGUES SA</t>
  </si>
  <si>
    <t>41,82</t>
  </si>
  <si>
    <t>4.980.188</t>
  </si>
  <si>
    <t>4.980.188,49</t>
  </si>
  <si>
    <t>FR0000120503</t>
  </si>
  <si>
    <t>HMN SJ Equity</t>
  </si>
  <si>
    <t>Hammerson PLC</t>
  </si>
  <si>
    <t>XPO</t>
  </si>
  <si>
    <t>XPO LOGISTICS INC</t>
  </si>
  <si>
    <t>78,06</t>
  </si>
  <si>
    <t>4.974.295</t>
  </si>
  <si>
    <t>4.974.295,44</t>
  </si>
  <si>
    <t>US9837931008</t>
  </si>
  <si>
    <t>AEL SJ Equity</t>
  </si>
  <si>
    <t>Allied Electronics Corp Ltd</t>
  </si>
  <si>
    <t>WH GROUP LTD</t>
  </si>
  <si>
    <t>1,12</t>
  </si>
  <si>
    <t>4.420.500</t>
  </si>
  <si>
    <t>4.968.868</t>
  </si>
  <si>
    <t>4.968.868,42</t>
  </si>
  <si>
    <t>KYG960071028</t>
  </si>
  <si>
    <t>CSB SJ Equity</t>
  </si>
  <si>
    <t>Cashbuild Ltd</t>
  </si>
  <si>
    <t>TORAY INDUSTRIES INC</t>
  </si>
  <si>
    <t>6,73</t>
  </si>
  <si>
    <t>4.952.025</t>
  </si>
  <si>
    <t>4.952.025,31</t>
  </si>
  <si>
    <t>JP3621000003</t>
  </si>
  <si>
    <t>OCE SJ Equity</t>
  </si>
  <si>
    <t>Oceana Group Ltd</t>
  </si>
  <si>
    <t>CCK</t>
  </si>
  <si>
    <t>CROWN HOLDINGS INC</t>
  </si>
  <si>
    <t>71,09</t>
  </si>
  <si>
    <t>4.949.641</t>
  </si>
  <si>
    <t>4.949.641,25</t>
  </si>
  <si>
    <t>US2283681060</t>
  </si>
  <si>
    <t>EMI SJ Equity</t>
  </si>
  <si>
    <t>Emira Property Fund Ltd</t>
  </si>
  <si>
    <t>GET</t>
  </si>
  <si>
    <t>GETLINK</t>
  </si>
  <si>
    <t>17,11</t>
  </si>
  <si>
    <t>4.946.636</t>
  </si>
  <si>
    <t>4.946.636,41</t>
  </si>
  <si>
    <t>FR0010533075</t>
  </si>
  <si>
    <t>SUI SJ Equity</t>
  </si>
  <si>
    <t>Sun International Ltd/South Africa</t>
  </si>
  <si>
    <t>COCHLEAR LTD</t>
  </si>
  <si>
    <t>160,68</t>
  </si>
  <si>
    <t>4.947.302</t>
  </si>
  <si>
    <t>4.947.302,12</t>
  </si>
  <si>
    <t>AU000000COH5</t>
  </si>
  <si>
    <t>HCI SJ Equity</t>
  </si>
  <si>
    <t>Hosken Consolidated Investments Ltd</t>
  </si>
  <si>
    <t>Z</t>
  </si>
  <si>
    <t>ZILLOW GROUP INC CLASS C</t>
  </si>
  <si>
    <t>45,59</t>
  </si>
  <si>
    <t>4.939.494</t>
  </si>
  <si>
    <t>4.939.494,14</t>
  </si>
  <si>
    <t>US98954M2008</t>
  </si>
  <si>
    <t>SRE SJ Equity</t>
  </si>
  <si>
    <t>Sirius Real Estate Ltd</t>
  </si>
  <si>
    <t>SLA</t>
  </si>
  <si>
    <t>STANDARD LIFE ABERDEEN PLC</t>
  </si>
  <si>
    <t>4,07</t>
  </si>
  <si>
    <t>1.210.184</t>
  </si>
  <si>
    <t>4.928.189</t>
  </si>
  <si>
    <t>4.928.188,62</t>
  </si>
  <si>
    <t>GB00BF8Q6K64</t>
  </si>
  <si>
    <t>SSS SJ Equity</t>
  </si>
  <si>
    <t>Stor-Age Property REIT Ltd</t>
  </si>
  <si>
    <t>CPB</t>
  </si>
  <si>
    <t>CAMPBELL SOUP</t>
  </si>
  <si>
    <t>47,73</t>
  </si>
  <si>
    <t>4.913.326</t>
  </si>
  <si>
    <t>4.913.326,20</t>
  </si>
  <si>
    <t>US1344291091</t>
  </si>
  <si>
    <t>MTA SJ Equity</t>
  </si>
  <si>
    <t>Metair Investments Ltd</t>
  </si>
  <si>
    <t>LPT</t>
  </si>
  <si>
    <t>LIBERTY PROPERTY REIT TRUST</t>
  </si>
  <si>
    <t>60,25</t>
  </si>
  <si>
    <t>4.904.290</t>
  </si>
  <si>
    <t>4.904.289,75</t>
  </si>
  <si>
    <t>US5311721048</t>
  </si>
  <si>
    <t>AIP SJ Equity</t>
  </si>
  <si>
    <t>Adcock Ingram Holdings Ltd</t>
  </si>
  <si>
    <t>UMI</t>
  </si>
  <si>
    <t>UMICORE SA</t>
  </si>
  <si>
    <t>48,18</t>
  </si>
  <si>
    <t>4.903.168</t>
  </si>
  <si>
    <t>4.903.168,29</t>
  </si>
  <si>
    <t>BE0974320526</t>
  </si>
  <si>
    <t>RBP SJ Equity</t>
  </si>
  <si>
    <t>Royal Bafokeng Platinum Ltd</t>
  </si>
  <si>
    <t>FLTR</t>
  </si>
  <si>
    <t>FLUTTER ENTERTAINMENT PLC</t>
  </si>
  <si>
    <t>122,69</t>
  </si>
  <si>
    <t>4.904.777</t>
  </si>
  <si>
    <t>4.904.776,97</t>
  </si>
  <si>
    <t>IE00BWT6H894</t>
  </si>
  <si>
    <t>PPH</t>
  </si>
  <si>
    <t>IAP SJ Equity</t>
  </si>
  <si>
    <t>Investec Australia Property Fund</t>
  </si>
  <si>
    <t>FWONK</t>
  </si>
  <si>
    <t>LIBERTY MEDIA FORMULA ONE CORP SER</t>
  </si>
  <si>
    <t>45,65</t>
  </si>
  <si>
    <t>4.900.208</t>
  </si>
  <si>
    <t>4.900.207,95</t>
  </si>
  <si>
    <t>US5312298541</t>
  </si>
  <si>
    <t>PSG</t>
  </si>
  <si>
    <t>COH SJ Equity</t>
  </si>
  <si>
    <t>Curro Holdings Ltd</t>
  </si>
  <si>
    <t>DAL</t>
  </si>
  <si>
    <t>DELTA AIR LINES INC</t>
  </si>
  <si>
    <t>4.899.089</t>
  </si>
  <si>
    <t>4.899.088,76</t>
  </si>
  <si>
    <t>US2473617023</t>
  </si>
  <si>
    <t>AFH SJ Equity</t>
  </si>
  <si>
    <t>Alexander Forbes Group Holdings Ltd</t>
  </si>
  <si>
    <t>ADYEN</t>
  </si>
  <si>
    <t>ADYEN NV</t>
  </si>
  <si>
    <t>832,40</t>
  </si>
  <si>
    <t>4.894.519</t>
  </si>
  <si>
    <t>4.894.518,76</t>
  </si>
  <si>
    <t>NL0012969182</t>
  </si>
  <si>
    <t>L4L SJ Equity</t>
  </si>
  <si>
    <t>Long4Life Ltd</t>
  </si>
  <si>
    <t>NLSN</t>
  </si>
  <si>
    <t>NIELSEN HOLDINGS PLC</t>
  </si>
  <si>
    <t>19,98</t>
  </si>
  <si>
    <t>4.886.309</t>
  </si>
  <si>
    <t>4.886.308,80</t>
  </si>
  <si>
    <t>GB00BWFY5505</t>
  </si>
  <si>
    <t>TRE SJ Equity</t>
  </si>
  <si>
    <t>Trencor Ltd</t>
  </si>
  <si>
    <t>KRX</t>
  </si>
  <si>
    <t>KINGSPAN GROUP PLC</t>
  </si>
  <si>
    <t>60,29</t>
  </si>
  <si>
    <t>4.886.745</t>
  </si>
  <si>
    <t>4.886.745,15</t>
  </si>
  <si>
    <t>IE0004927939</t>
  </si>
  <si>
    <t>MPT SJ Equity</t>
  </si>
  <si>
    <t>Mpact Ltd</t>
  </si>
  <si>
    <t>ADVANTEST CORP</t>
  </si>
  <si>
    <t>4.885.953</t>
  </si>
  <si>
    <t>4.885.952,90</t>
  </si>
  <si>
    <t>JP3122400009</t>
  </si>
  <si>
    <t>KST SJ Equity</t>
  </si>
  <si>
    <t>PSG Konsult Ltd</t>
  </si>
  <si>
    <t>SNA</t>
  </si>
  <si>
    <t>SNAP ON INC</t>
  </si>
  <si>
    <t>166,55</t>
  </si>
  <si>
    <t>4.878.749</t>
  </si>
  <si>
    <t>4.878.749,15</t>
  </si>
  <si>
    <t>US8330341012</t>
  </si>
  <si>
    <t>HDC SJ Equity</t>
  </si>
  <si>
    <t>Hudaco Industries Ltd</t>
  </si>
  <si>
    <t>REG</t>
  </si>
  <si>
    <t>REGENCY CENTERS REIT CORP</t>
  </si>
  <si>
    <t>61,92</t>
  </si>
  <si>
    <t>4.875.890</t>
  </si>
  <si>
    <t>4.875.890,40</t>
  </si>
  <si>
    <t>US7588491032</t>
  </si>
  <si>
    <t>CLH SJ Equity</t>
  </si>
  <si>
    <t>City Lodge Hotels Ltd</t>
  </si>
  <si>
    <t>SLG</t>
  </si>
  <si>
    <t>SL GREEN REALTY REIT CORP</t>
  </si>
  <si>
    <t>4.867.018</t>
  </si>
  <si>
    <t>4.867.017,50</t>
  </si>
  <si>
    <t>US78440X1019</t>
  </si>
  <si>
    <t>AWA SJ Equity</t>
  </si>
  <si>
    <t>Arrowhead Properties Ltd</t>
  </si>
  <si>
    <t>AGL ENERGY LTD</t>
  </si>
  <si>
    <t>14,14</t>
  </si>
  <si>
    <t>4.853.783</t>
  </si>
  <si>
    <t>4.853.783,26</t>
  </si>
  <si>
    <t>AU000000AGL7</t>
  </si>
  <si>
    <t>PGR SJ Equity</t>
  </si>
  <si>
    <t>Peregrine Holdings Ltd</t>
  </si>
  <si>
    <t>TRGP</t>
  </si>
  <si>
    <t>TARGA RESOURCES CORP</t>
  </si>
  <si>
    <t>39,65</t>
  </si>
  <si>
    <t>4.853.081</t>
  </si>
  <si>
    <t>4.853.080,70</t>
  </si>
  <si>
    <t>US87612G1013</t>
  </si>
  <si>
    <t>RPL SJ Equity</t>
  </si>
  <si>
    <t>RDI REIT PLC</t>
  </si>
  <si>
    <t>CHUBU ELECTRIC POWER INC</t>
  </si>
  <si>
    <t>13,44</t>
  </si>
  <si>
    <t>4.840.424</t>
  </si>
  <si>
    <t>4.840.423,74</t>
  </si>
  <si>
    <t>JP3526600006</t>
  </si>
  <si>
    <t>ZED SJ Equity</t>
  </si>
  <si>
    <t>Zeder Investments Ltd</t>
  </si>
  <si>
    <t>HANG LUNG PROPERTIES LTD</t>
  </si>
  <si>
    <t>2,39</t>
  </si>
  <si>
    <t>2.020.119</t>
  </si>
  <si>
    <t>4.832.752</t>
  </si>
  <si>
    <t>4.832.752,13</t>
  </si>
  <si>
    <t>HK0101000591</t>
  </si>
  <si>
    <t>RMI</t>
  </si>
  <si>
    <t>CLR SJ Equity</t>
  </si>
  <si>
    <t>Clover Industries Ltd</t>
  </si>
  <si>
    <t>RESONA HOLDINGS INC</t>
  </si>
  <si>
    <t>4,31</t>
  </si>
  <si>
    <t>1.121.000</t>
  </si>
  <si>
    <t>4.830.450</t>
  </si>
  <si>
    <t>4.830.449,98</t>
  </si>
  <si>
    <t>JP3500610005</t>
  </si>
  <si>
    <t>PAN SJ Equity</t>
  </si>
  <si>
    <t>Pan African Resources PLC</t>
  </si>
  <si>
    <t>YAR</t>
  </si>
  <si>
    <t>YARA INTERNATIONAL</t>
  </si>
  <si>
    <t>39,73</t>
  </si>
  <si>
    <t>4.815.879</t>
  </si>
  <si>
    <t>4.815.879,20</t>
  </si>
  <si>
    <t>NO0010208051</t>
  </si>
  <si>
    <t>AFX SJ Equity</t>
  </si>
  <si>
    <t>African Oxygen Ltd</t>
  </si>
  <si>
    <t>PNR</t>
  </si>
  <si>
    <t>PENTAIR</t>
  </si>
  <si>
    <t>45,26</t>
  </si>
  <si>
    <t>4.798.375</t>
  </si>
  <si>
    <t>4.798.374,68</t>
  </si>
  <si>
    <t>IE00BLS09M33</t>
  </si>
  <si>
    <t>OCT SJ Equity</t>
  </si>
  <si>
    <t>Octodec Investments Ltd</t>
  </si>
  <si>
    <t>EXO</t>
  </si>
  <si>
    <t>EXOR NV</t>
  </si>
  <si>
    <t>77,91</t>
  </si>
  <si>
    <t>4.796.260</t>
  </si>
  <si>
    <t>4.796.260,42</t>
  </si>
  <si>
    <t>NL0012059018</t>
  </si>
  <si>
    <t>BLU SJ Equity</t>
  </si>
  <si>
    <t>Blue Label Telecoms Ltd</t>
  </si>
  <si>
    <t>CCH</t>
  </si>
  <si>
    <t>COCA COLA HBC AG</t>
  </si>
  <si>
    <t>34,75</t>
  </si>
  <si>
    <t>4.794.556</t>
  </si>
  <si>
    <t>4.794.556,27</t>
  </si>
  <si>
    <t>CH0198251305</t>
  </si>
  <si>
    <t>LBR SJ Equity</t>
  </si>
  <si>
    <t>Libstar Holdings Ltd</t>
  </si>
  <si>
    <t>RL</t>
  </si>
  <si>
    <t>RALPH LAUREN CORP CLASS A</t>
  </si>
  <si>
    <t>117,96</t>
  </si>
  <si>
    <t>4.785.991</t>
  </si>
  <si>
    <t>4.785.991,08</t>
  </si>
  <si>
    <t>US7512121010</t>
  </si>
  <si>
    <t>MIX SJ Equity</t>
  </si>
  <si>
    <t>MiX Telematics Ltd</t>
  </si>
  <si>
    <t>WRB</t>
  </si>
  <si>
    <t>WR BERKLEY CORP</t>
  </si>
  <si>
    <t>67,86</t>
  </si>
  <si>
    <t>4.783.926</t>
  </si>
  <si>
    <t>4.783.926,42</t>
  </si>
  <si>
    <t>US0844231029</t>
  </si>
  <si>
    <t>MUR SJ Equity</t>
  </si>
  <si>
    <t>Murray &amp; Roberts Holdings Ltd</t>
  </si>
  <si>
    <t>MGGT</t>
  </si>
  <si>
    <t>MEGGITT PLC</t>
  </si>
  <si>
    <t>4.768.665</t>
  </si>
  <si>
    <t>4.768.664,84</t>
  </si>
  <si>
    <t>GB0005758098</t>
  </si>
  <si>
    <t>RBX SJ Equity</t>
  </si>
  <si>
    <t>Raubex Group Ltd</t>
  </si>
  <si>
    <t>SW</t>
  </si>
  <si>
    <t>SODEXO SA</t>
  </si>
  <si>
    <t>111,91</t>
  </si>
  <si>
    <t>4.758.091</t>
  </si>
  <si>
    <t>4.758.090,77</t>
  </si>
  <si>
    <t>FR0000121220</t>
  </si>
  <si>
    <t>L2D SJ Equity</t>
  </si>
  <si>
    <t>Liberty Two Degrees</t>
  </si>
  <si>
    <t>BHC</t>
  </si>
  <si>
    <t>BAUSCH HEALTH COMPANIES INC</t>
  </si>
  <si>
    <t>27,68</t>
  </si>
  <si>
    <t>4.751.476</t>
  </si>
  <si>
    <t>4.751.476,33</t>
  </si>
  <si>
    <t>CA0717341071</t>
  </si>
  <si>
    <t>LEW SJ Equity</t>
  </si>
  <si>
    <t>Lewis Group Ltd</t>
  </si>
  <si>
    <t>KL</t>
  </si>
  <si>
    <t>KIRKLAND LAKE GOLD LTD</t>
  </si>
  <si>
    <t>44,69</t>
  </si>
  <si>
    <t>4.750.555</t>
  </si>
  <si>
    <t>4.750.555,38</t>
  </si>
  <si>
    <t>CA49741E1007</t>
  </si>
  <si>
    <t>RCL SJ Equity</t>
  </si>
  <si>
    <t>RCL Foods Ltd/South Africa</t>
  </si>
  <si>
    <t>TYL</t>
  </si>
  <si>
    <t>TYLER TECHNOLOGIES INC</t>
  </si>
  <si>
    <t>310,23</t>
  </si>
  <si>
    <t>4.750.862</t>
  </si>
  <si>
    <t>4.750.862,22</t>
  </si>
  <si>
    <t>US9022521051</t>
  </si>
  <si>
    <t>GND SJ Equity</t>
  </si>
  <si>
    <t>Grindrod Ltd</t>
  </si>
  <si>
    <t>MGR</t>
  </si>
  <si>
    <t>MIRVAC GROUP STAPLED UNITS</t>
  </si>
  <si>
    <t>2,26</t>
  </si>
  <si>
    <t>2.097.361</t>
  </si>
  <si>
    <t>4.736.048</t>
  </si>
  <si>
    <t>4.736.047,73</t>
  </si>
  <si>
    <t>AU000000MGR9</t>
  </si>
  <si>
    <t>AFT SJ Equity</t>
  </si>
  <si>
    <t>Afrimat Ltd</t>
  </si>
  <si>
    <t>SEV</t>
  </si>
  <si>
    <t>SUEZ SA</t>
  </si>
  <si>
    <t>15,31</t>
  </si>
  <si>
    <t>4.724.785</t>
  </si>
  <si>
    <t>4.724.784,53</t>
  </si>
  <si>
    <t>FR0010613471</t>
  </si>
  <si>
    <t>EOH SJ Equity</t>
  </si>
  <si>
    <t>EOH Holdings Ltd</t>
  </si>
  <si>
    <t>SMIN</t>
  </si>
  <si>
    <t>SMITHS GROUP PLC</t>
  </si>
  <si>
    <t>22,77</t>
  </si>
  <si>
    <t>4.726.983</t>
  </si>
  <si>
    <t>4.726.982,56</t>
  </si>
  <si>
    <t>GB00B1WY2338</t>
  </si>
  <si>
    <t>RFG SJ Equity</t>
  </si>
  <si>
    <t>Rhodes Food Group Pty Ltd</t>
  </si>
  <si>
    <t>WST</t>
  </si>
  <si>
    <t>WEST PHARMACEUTICAL SERVICES INC</t>
  </si>
  <si>
    <t>152,63</t>
  </si>
  <si>
    <t>4.705.583</t>
  </si>
  <si>
    <t>4.705.582,90</t>
  </si>
  <si>
    <t>US9553061055</t>
  </si>
  <si>
    <t>SNH SJ Equity</t>
  </si>
  <si>
    <t>Steinhoff International Holdings NV</t>
  </si>
  <si>
    <t>IPG</t>
  </si>
  <si>
    <t>INTERPUBLIC GROUP OF COMPANIES INC</t>
  </si>
  <si>
    <t>23,12</t>
  </si>
  <si>
    <t>4.705.267</t>
  </si>
  <si>
    <t>4.705.266,80</t>
  </si>
  <si>
    <t>US4606901001</t>
  </si>
  <si>
    <t>SSS</t>
  </si>
  <si>
    <t>TGO SJ Equity</t>
  </si>
  <si>
    <t>Tsogo Sun Hotels Ltd</t>
  </si>
  <si>
    <t>IMO</t>
  </si>
  <si>
    <t>IMPERIAL OIL LTD</t>
  </si>
  <si>
    <t>26,90</t>
  </si>
  <si>
    <t>4.698.550</t>
  </si>
  <si>
    <t>4.698.550,05</t>
  </si>
  <si>
    <t>CA4530384086</t>
  </si>
  <si>
    <t>OMN SJ Equity</t>
  </si>
  <si>
    <t>Omnia Holdings Ltd</t>
  </si>
  <si>
    <t>BDEV</t>
  </si>
  <si>
    <t>BARRATT DEVELOPMENTS PLC</t>
  </si>
  <si>
    <t>9,88</t>
  </si>
  <si>
    <t>4.696.244</t>
  </si>
  <si>
    <t>4.696.243,98</t>
  </si>
  <si>
    <t>GB0000811801</t>
  </si>
  <si>
    <t>APF SJ Equity</t>
  </si>
  <si>
    <t>Accelerate Property Fund Ltd</t>
  </si>
  <si>
    <t>SEIC</t>
  </si>
  <si>
    <t>SEI INVESTMENTS</t>
  </si>
  <si>
    <t>65,33</t>
  </si>
  <si>
    <t>4.690.237</t>
  </si>
  <si>
    <t>4.690.236,69</t>
  </si>
  <si>
    <t>US7841171033</t>
  </si>
  <si>
    <t>AIL SJ Equity</t>
  </si>
  <si>
    <t>African Rainbow Capital Investments Ltd</t>
  </si>
  <si>
    <t>VER</t>
  </si>
  <si>
    <t>VEREIT INC</t>
  </si>
  <si>
    <t>9,26</t>
  </si>
  <si>
    <t>4.683.893</t>
  </si>
  <si>
    <t>4.683.893,20</t>
  </si>
  <si>
    <t>US92339V1008</t>
  </si>
  <si>
    <t>HPB SJ Equity</t>
  </si>
  <si>
    <t>Hospitality Property Fund Ltd</t>
  </si>
  <si>
    <t>MISUMI GROUP INC</t>
  </si>
  <si>
    <t>26,54</t>
  </si>
  <si>
    <t>4.684.757</t>
  </si>
  <si>
    <t>4.684.757,21</t>
  </si>
  <si>
    <t>JP3885400006</t>
  </si>
  <si>
    <t>LTE SJ Equity</t>
  </si>
  <si>
    <t>Lighthouse Capital Ltd</t>
  </si>
  <si>
    <t>1COV</t>
  </si>
  <si>
    <t>COVESTRO AG</t>
  </si>
  <si>
    <t>45,17</t>
  </si>
  <si>
    <t>4.677.902</t>
  </si>
  <si>
    <t>4.677.901,89</t>
  </si>
  <si>
    <t>DE0006062144</t>
  </si>
  <si>
    <t>SUR SJ Equity</t>
  </si>
  <si>
    <t>Spur Corp Ltd</t>
  </si>
  <si>
    <t>AIZ</t>
  </si>
  <si>
    <t>ASSURANT INC</t>
  </si>
  <si>
    <t>132,44</t>
  </si>
  <si>
    <t>4.669.172</t>
  </si>
  <si>
    <t>4.669.172,20</t>
  </si>
  <si>
    <t>US04621X1081</t>
  </si>
  <si>
    <t>BRN SJ Equity</t>
  </si>
  <si>
    <t>Brimstone Investment Corp Ltd</t>
  </si>
  <si>
    <t>ZAYO</t>
  </si>
  <si>
    <t>ZAYO GROUP HOLDINGS INC</t>
  </si>
  <si>
    <t>34,69</t>
  </si>
  <si>
    <t>4.658.277</t>
  </si>
  <si>
    <t>4.658.277,27</t>
  </si>
  <si>
    <t>US98919V1052</t>
  </si>
  <si>
    <t>TGO</t>
  </si>
  <si>
    <t>TON SJ Equity</t>
  </si>
  <si>
    <t>Tongaat Hulett Ltd</t>
  </si>
  <si>
    <t>BWA</t>
  </si>
  <si>
    <t>BORGWARNER INC</t>
  </si>
  <si>
    <t>41,42</t>
  </si>
  <si>
    <t>4.649.975</t>
  </si>
  <si>
    <t>4.649.974,88</t>
  </si>
  <si>
    <t>US0997241064</t>
  </si>
  <si>
    <t>IVT SJ Equity</t>
  </si>
  <si>
    <t>Invicta Holdings Ltd</t>
  </si>
  <si>
    <t>SBNY</t>
  </si>
  <si>
    <t>SIGNATURE BANK</t>
  </si>
  <si>
    <t>137,72</t>
  </si>
  <si>
    <t>4.647.361</t>
  </si>
  <si>
    <t>4.647.361,40</t>
  </si>
  <si>
    <t>US82669G1040</t>
  </si>
  <si>
    <t>ASC SJ Equity</t>
  </si>
  <si>
    <t>Ascendis Health Ltd</t>
  </si>
  <si>
    <t>CTC.A</t>
  </si>
  <si>
    <t>CANADIAN TIRE LTD CLASS A</t>
  </si>
  <si>
    <t>109,11</t>
  </si>
  <si>
    <t>4.645.962</t>
  </si>
  <si>
    <t>4.645.961,61</t>
  </si>
  <si>
    <t>CA1366812024</t>
  </si>
  <si>
    <t>CTK SJ Equity</t>
  </si>
  <si>
    <t>Cartrack Holdings Ltd</t>
  </si>
  <si>
    <t>PKI</t>
  </si>
  <si>
    <t>PERKINELMER INC</t>
  </si>
  <si>
    <t>100,34</t>
  </si>
  <si>
    <t>4.635.407</t>
  </si>
  <si>
    <t>4.635.406,98</t>
  </si>
  <si>
    <t>US7140461093</t>
  </si>
  <si>
    <t>STP SJ Equity</t>
  </si>
  <si>
    <t>Stenprop Ltd</t>
  </si>
  <si>
    <t>TPR</t>
  </si>
  <si>
    <t>TAPESTRY INC</t>
  </si>
  <si>
    <t>27,43</t>
  </si>
  <si>
    <t>4.629.690</t>
  </si>
  <si>
    <t>4.629.690,26</t>
  </si>
  <si>
    <t>US8760301072</t>
  </si>
  <si>
    <t>DLT SJ Equity</t>
  </si>
  <si>
    <t>Delta Property Fund Ltd</t>
  </si>
  <si>
    <t>LUV</t>
  </si>
  <si>
    <t>SOUTHWEST AIRLINES</t>
  </si>
  <si>
    <t>53,94</t>
  </si>
  <si>
    <t>4.604.372</t>
  </si>
  <si>
    <t>4.604.372,34</t>
  </si>
  <si>
    <t>US8447411088</t>
  </si>
  <si>
    <t>SDO SJ Equity</t>
  </si>
  <si>
    <t>Stadio Holdings Ltd</t>
  </si>
  <si>
    <t>CPT</t>
  </si>
  <si>
    <t>CAMDEN PROPERTY TRUST REIT</t>
  </si>
  <si>
    <t>106,22</t>
  </si>
  <si>
    <t>4.598.476</t>
  </si>
  <si>
    <t>4.598.476,24</t>
  </si>
  <si>
    <t>US1331311027</t>
  </si>
  <si>
    <t>ACT SJ Equity</t>
  </si>
  <si>
    <t>AfroCentric Investment Corp Ltd</t>
  </si>
  <si>
    <t>RGA</t>
  </si>
  <si>
    <t>REINSURANCE GROUP OF AMERICA INC</t>
  </si>
  <si>
    <t>156,16</t>
  </si>
  <si>
    <t>4.591.104</t>
  </si>
  <si>
    <t>4.591.104,00</t>
  </si>
  <si>
    <t>US7593516047</t>
  </si>
  <si>
    <t>ACL SJ Equity</t>
  </si>
  <si>
    <t>ArcelorMittal South Africa Ltd</t>
  </si>
  <si>
    <t>PTC</t>
  </si>
  <si>
    <t>PTC INC</t>
  </si>
  <si>
    <t>76,75</t>
  </si>
  <si>
    <t>4.592.874</t>
  </si>
  <si>
    <t>4.592.873,50</t>
  </si>
  <si>
    <t>US69370C1009</t>
  </si>
  <si>
    <t>TDH SJ Equity</t>
  </si>
  <si>
    <t>Tradehold Ltd</t>
  </si>
  <si>
    <t>NI</t>
  </si>
  <si>
    <t>NISOURCE INC</t>
  </si>
  <si>
    <t>27,64</t>
  </si>
  <si>
    <t>4.589.069</t>
  </si>
  <si>
    <t>4.589.069,20</t>
  </si>
  <si>
    <t>US65473P1057</t>
  </si>
  <si>
    <t>REB SJ Equity</t>
  </si>
  <si>
    <t>Rebosis Property Fund Ltd</t>
  </si>
  <si>
    <t>FFIV</t>
  </si>
  <si>
    <t>F5 NETWORKS INC</t>
  </si>
  <si>
    <t>135,15</t>
  </si>
  <si>
    <t>4.587.126</t>
  </si>
  <si>
    <t>4.587.126,15</t>
  </si>
  <si>
    <t>US3156161024</t>
  </si>
  <si>
    <t>J204</t>
  </si>
  <si>
    <t>ADR</t>
  </si>
  <si>
    <t>MDB</t>
  </si>
  <si>
    <t>MONGODB INC CLASS A</t>
  </si>
  <si>
    <t>149,23</t>
  </si>
  <si>
    <t>4.581.809</t>
  </si>
  <si>
    <t>4.581.808,69</t>
  </si>
  <si>
    <t>US60937P1066</t>
  </si>
  <si>
    <t>AEG</t>
  </si>
  <si>
    <t>JAZZ</t>
  </si>
  <si>
    <t>JAZZ PHARMACEUTICALS PLC</t>
  </si>
  <si>
    <t>146,68</t>
  </si>
  <si>
    <t>4.560.135</t>
  </si>
  <si>
    <t>4.560.134,52</t>
  </si>
  <si>
    <t>IE00B4Q5ZN47</t>
  </si>
  <si>
    <t>NWL</t>
  </si>
  <si>
    <t>NEWELL BRANDS INC</t>
  </si>
  <si>
    <t>19,24</t>
  </si>
  <si>
    <t>4.559.245</t>
  </si>
  <si>
    <t>4.559.245,08</t>
  </si>
  <si>
    <t>US6512291062</t>
  </si>
  <si>
    <t>ART</t>
  </si>
  <si>
    <t>OGE</t>
  </si>
  <si>
    <t>OGE ENERGY CORP</t>
  </si>
  <si>
    <t>44,21</t>
  </si>
  <si>
    <t>4.557.078</t>
  </si>
  <si>
    <t>4.557.078,38</t>
  </si>
  <si>
    <t>US6708371033</t>
  </si>
  <si>
    <t>BCF</t>
  </si>
  <si>
    <t>LAND</t>
  </si>
  <si>
    <t>LAND SECURITIES GROUP REIT PLC</t>
  </si>
  <si>
    <t>12,50</t>
  </si>
  <si>
    <t>4.557.558</t>
  </si>
  <si>
    <t>4.557.558,10</t>
  </si>
  <si>
    <t>GB00BYW0PQ60</t>
  </si>
  <si>
    <t>BEL</t>
  </si>
  <si>
    <t>JNPR</t>
  </si>
  <si>
    <t>JUNIPER NETWORKS INC</t>
  </si>
  <si>
    <t>24,16</t>
  </si>
  <si>
    <t>4.540.099</t>
  </si>
  <si>
    <t>4.540.098,88</t>
  </si>
  <si>
    <t>US48203R1041</t>
  </si>
  <si>
    <t>BSR</t>
  </si>
  <si>
    <t>UGI</t>
  </si>
  <si>
    <t>UGI CORP</t>
  </si>
  <si>
    <t>44,10</t>
  </si>
  <si>
    <t>4.532.995</t>
  </si>
  <si>
    <t>4.532.994,90</t>
  </si>
  <si>
    <t>US9026811052</t>
  </si>
  <si>
    <t>KNIN</t>
  </si>
  <si>
    <t>KUEHNE UND NAGEL INTERNATIONAL AG</t>
  </si>
  <si>
    <t>169,07</t>
  </si>
  <si>
    <t>4.523.709</t>
  </si>
  <si>
    <t>4.523.709,02</t>
  </si>
  <si>
    <t>CH0025238863</t>
  </si>
  <si>
    <t>CKS</t>
  </si>
  <si>
    <t>NEW WORLD DEVELOPMENT LTD</t>
  </si>
  <si>
    <t>1,39</t>
  </si>
  <si>
    <t>3.256.258</t>
  </si>
  <si>
    <t>4.511.313</t>
  </si>
  <si>
    <t>4.511.312,76</t>
  </si>
  <si>
    <t>HK0017000149</t>
  </si>
  <si>
    <t>CMH</t>
  </si>
  <si>
    <t>NTT DATA CORP</t>
  </si>
  <si>
    <t>14,18</t>
  </si>
  <si>
    <t>4.504.274</t>
  </si>
  <si>
    <t>4.504.273,82</t>
  </si>
  <si>
    <t>JP3165700000</t>
  </si>
  <si>
    <t>COM</t>
  </si>
  <si>
    <t>UBER</t>
  </si>
  <si>
    <t>UBER TECHNOLOGIES INC</t>
  </si>
  <si>
    <t>34,01</t>
  </si>
  <si>
    <t>4.489.592</t>
  </si>
  <si>
    <t>4.489.592,08</t>
  </si>
  <si>
    <t>US90353T1007</t>
  </si>
  <si>
    <t>DAW</t>
  </si>
  <si>
    <t>DISH</t>
  </si>
  <si>
    <t>DISH NETWORK CORP CLASS A</t>
  </si>
  <si>
    <t>35,36</t>
  </si>
  <si>
    <t>4.486.300</t>
  </si>
  <si>
    <t>4.486.300,00</t>
  </si>
  <si>
    <t>US25470M1099</t>
  </si>
  <si>
    <t>DRD</t>
  </si>
  <si>
    <t>C31</t>
  </si>
  <si>
    <t>CAPITALAND</t>
  </si>
  <si>
    <t>2,90</t>
  </si>
  <si>
    <t>1.545.880</t>
  </si>
  <si>
    <t>4.482.639</t>
  </si>
  <si>
    <t>4.482.639,28</t>
  </si>
  <si>
    <t>SG1J27887962</t>
  </si>
  <si>
    <t>ELR</t>
  </si>
  <si>
    <t>TWE</t>
  </si>
  <si>
    <t>TREASURY WINE ESTATES LTD</t>
  </si>
  <si>
    <t>11,70</t>
  </si>
  <si>
    <t>4.471.786</t>
  </si>
  <si>
    <t>4.471.786,13</t>
  </si>
  <si>
    <t>AU000000TWE9</t>
  </si>
  <si>
    <t>FVT</t>
  </si>
  <si>
    <t>SBI HOLDINGS INC</t>
  </si>
  <si>
    <t>4.461.260</t>
  </si>
  <si>
    <t>4.461.259,58</t>
  </si>
  <si>
    <t>JP3436120004</t>
  </si>
  <si>
    <t>MNG</t>
  </si>
  <si>
    <t>M&amp;G PLC</t>
  </si>
  <si>
    <t>3,18</t>
  </si>
  <si>
    <t>1.403.771</t>
  </si>
  <si>
    <t>4.458.817</t>
  </si>
  <si>
    <t>4.458.816,92</t>
  </si>
  <si>
    <t>GB00BKFB1C65</t>
  </si>
  <si>
    <t>HLM</t>
  </si>
  <si>
    <t>ONEX</t>
  </si>
  <si>
    <t>ONEX CORP</t>
  </si>
  <si>
    <t>66,58</t>
  </si>
  <si>
    <t>4.459.022</t>
  </si>
  <si>
    <t>4.459.022,33</t>
  </si>
  <si>
    <t>CA68272K1030</t>
  </si>
  <si>
    <t>HWN</t>
  </si>
  <si>
    <t>OMV</t>
  </si>
  <si>
    <t>OMV AG</t>
  </si>
  <si>
    <t>56,41</t>
  </si>
  <si>
    <t>4.455.543</t>
  </si>
  <si>
    <t>4.455.542,54</t>
  </si>
  <si>
    <t>AT0000743059</t>
  </si>
  <si>
    <t>MFL</t>
  </si>
  <si>
    <t>COG</t>
  </si>
  <si>
    <t>CABOT OIL &amp; GAS CORP</t>
  </si>
  <si>
    <t>17,49</t>
  </si>
  <si>
    <t>4.449.473</t>
  </si>
  <si>
    <t>4.449.473,49</t>
  </si>
  <si>
    <t>US1270971039</t>
  </si>
  <si>
    <t>MMG</t>
  </si>
  <si>
    <t>JHX</t>
  </si>
  <si>
    <t>JAMES HARDIE INDUSTRIES CDI PLC</t>
  </si>
  <si>
    <t>20,41</t>
  </si>
  <si>
    <t>4.442.733</t>
  </si>
  <si>
    <t>4.442.733,36</t>
  </si>
  <si>
    <t>AU000000JHX1</t>
  </si>
  <si>
    <t>MRF</t>
  </si>
  <si>
    <t>A17U</t>
  </si>
  <si>
    <t>ASCENDAS REAL ESTATE INVESTMENT TR</t>
  </si>
  <si>
    <t>2,28</t>
  </si>
  <si>
    <t>1.946.006</t>
  </si>
  <si>
    <t>4.430.613</t>
  </si>
  <si>
    <t>4.430.612,89</t>
  </si>
  <si>
    <t>MST</t>
  </si>
  <si>
    <t>DXS</t>
  </si>
  <si>
    <t>DEXUS STAPLED UNITS</t>
  </si>
  <si>
    <t>8,29</t>
  </si>
  <si>
    <t>4.427.895</t>
  </si>
  <si>
    <t>4.427.894,99</t>
  </si>
  <si>
    <t>AU000000DXS1</t>
  </si>
  <si>
    <t>SHIMIZU CORP</t>
  </si>
  <si>
    <t>10,30</t>
  </si>
  <si>
    <t>4.419.174</t>
  </si>
  <si>
    <t>4.419.173,71</t>
  </si>
  <si>
    <t>JP3358800005</t>
  </si>
  <si>
    <t>OLG</t>
  </si>
  <si>
    <t>CASIO COMPUTER LTD</t>
  </si>
  <si>
    <t>20,83</t>
  </si>
  <si>
    <t>4.407.368</t>
  </si>
  <si>
    <t>4.407.367,65</t>
  </si>
  <si>
    <t>JP3209000003</t>
  </si>
  <si>
    <t>POW</t>
  </si>
  <si>
    <t>POWER CORPORATION OF CANADA</t>
  </si>
  <si>
    <t>25,91</t>
  </si>
  <si>
    <t>4.399.561</t>
  </si>
  <si>
    <t>4.399.561,38</t>
  </si>
  <si>
    <t>CA7392391016</t>
  </si>
  <si>
    <t>PPE</t>
  </si>
  <si>
    <t>FRT</t>
  </si>
  <si>
    <t>FEDERAL REALTY INVESTMENT TRUST RE</t>
  </si>
  <si>
    <t>125,92</t>
  </si>
  <si>
    <t>4.400.148</t>
  </si>
  <si>
    <t>4.400.148,48</t>
  </si>
  <si>
    <t>US3137472060</t>
  </si>
  <si>
    <t>PPR</t>
  </si>
  <si>
    <t>DCC</t>
  </si>
  <si>
    <t>DCC PLC</t>
  </si>
  <si>
    <t>84,97</t>
  </si>
  <si>
    <t>4.399.745</t>
  </si>
  <si>
    <t>4.399.745,15</t>
  </si>
  <si>
    <t>IE0002424939</t>
  </si>
  <si>
    <t>SFN</t>
  </si>
  <si>
    <t>CPU</t>
  </si>
  <si>
    <t>COMPUTERSHARE LTD</t>
  </si>
  <si>
    <t>12,18</t>
  </si>
  <si>
    <t>4.394.527</t>
  </si>
  <si>
    <t>4.394.526,51</t>
  </si>
  <si>
    <t>AU000000CPU5</t>
  </si>
  <si>
    <t>SNV</t>
  </si>
  <si>
    <t>SHL</t>
  </si>
  <si>
    <t>SONIC HEALTHCARE LTD</t>
  </si>
  <si>
    <t>20,96</t>
  </si>
  <si>
    <t>4.391.705</t>
  </si>
  <si>
    <t>4.391.705,41</t>
  </si>
  <si>
    <t>AU000000SHL7</t>
  </si>
  <si>
    <t>TAS</t>
  </si>
  <si>
    <t>TOYOTA INDUSTRIES CORP</t>
  </si>
  <si>
    <t>57,78</t>
  </si>
  <si>
    <t>4.377.326</t>
  </si>
  <si>
    <t>4.377.325,58</t>
  </si>
  <si>
    <t>JP3634600005</t>
  </si>
  <si>
    <t>TAW</t>
  </si>
  <si>
    <t>JAPAN RETAIL FUND INVESTMENT REIT</t>
  </si>
  <si>
    <t>2.109,35</t>
  </si>
  <si>
    <t>4.374.785</t>
  </si>
  <si>
    <t>4.374.784,59</t>
  </si>
  <si>
    <t>JP3039710003</t>
  </si>
  <si>
    <t>TMT</t>
  </si>
  <si>
    <t>JAPAN REAL ESTATE INVESTMENT TRUST</t>
  </si>
  <si>
    <t>6.590,00</t>
  </si>
  <si>
    <t>4.369.168</t>
  </si>
  <si>
    <t>4.369.167,58</t>
  </si>
  <si>
    <t>JP3027680002</t>
  </si>
  <si>
    <t>TPC</t>
  </si>
  <si>
    <t>SPR</t>
  </si>
  <si>
    <t>SPIRIT AEROSYSTEMS INC CLASS A</t>
  </si>
  <si>
    <t>69,70</t>
  </si>
  <si>
    <t>4.362.662</t>
  </si>
  <si>
    <t>4.362.662,40</t>
  </si>
  <si>
    <t>US8485741099</t>
  </si>
  <si>
    <t>BEN</t>
  </si>
  <si>
    <t>FRANKLIN RESOURCES INC</t>
  </si>
  <si>
    <t>25,02</t>
  </si>
  <si>
    <t>4.357.458</t>
  </si>
  <si>
    <t>4.357.458,18</t>
  </si>
  <si>
    <t>US3546131018</t>
  </si>
  <si>
    <t>VLE</t>
  </si>
  <si>
    <t>CRDA</t>
  </si>
  <si>
    <t>CRODA INTERNATIONAL PLC</t>
  </si>
  <si>
    <t>66,09</t>
  </si>
  <si>
    <t>4.358.314</t>
  </si>
  <si>
    <t>4.358.314,19</t>
  </si>
  <si>
    <t>GB00BJFFLV09</t>
  </si>
  <si>
    <t>WSL</t>
  </si>
  <si>
    <t>TDY</t>
  </si>
  <si>
    <t>TELEDYNE TECHNOLOGIES INC</t>
  </si>
  <si>
    <t>365,55</t>
  </si>
  <si>
    <t>4.358.818</t>
  </si>
  <si>
    <t>4.358.818,20</t>
  </si>
  <si>
    <t>US8793601050</t>
  </si>
  <si>
    <t>YRK</t>
  </si>
  <si>
    <t>TER</t>
  </si>
  <si>
    <t>TERADYNE INC</t>
  </si>
  <si>
    <t>67,93</t>
  </si>
  <si>
    <t>4.359.544</t>
  </si>
  <si>
    <t>4.359.543,61</t>
  </si>
  <si>
    <t>US8807701029</t>
  </si>
  <si>
    <t>SOH</t>
  </si>
  <si>
    <t>KYOWA KIRIN LTD</t>
  </si>
  <si>
    <t>24,32</t>
  </si>
  <si>
    <t>4.337.363</t>
  </si>
  <si>
    <t>4.337.362,91</t>
  </si>
  <si>
    <t>JP3256000005</t>
  </si>
  <si>
    <t>IWE</t>
  </si>
  <si>
    <t>SK3</t>
  </si>
  <si>
    <t>SMURFIT KAPPA GROUP PLC</t>
  </si>
  <si>
    <t>36,76</t>
  </si>
  <si>
    <t>4.320.883</t>
  </si>
  <si>
    <t>4.320.882,75</t>
  </si>
  <si>
    <t>IE00B1RR8406</t>
  </si>
  <si>
    <t>HUG</t>
  </si>
  <si>
    <t>FGR</t>
  </si>
  <si>
    <t>EIFFAGE SA</t>
  </si>
  <si>
    <t>116,25</t>
  </si>
  <si>
    <t>4.320.328</t>
  </si>
  <si>
    <t>4.320.327,56</t>
  </si>
  <si>
    <t>FR0000130452</t>
  </si>
  <si>
    <t>RLF</t>
  </si>
  <si>
    <t>ODAKYU ELECTRIC RAILWAY LTD</t>
  </si>
  <si>
    <t>23,30</t>
  </si>
  <si>
    <t>4.311.019</t>
  </si>
  <si>
    <t>4.311.018,73</t>
  </si>
  <si>
    <t>JP3196000008</t>
  </si>
  <si>
    <t>ELI</t>
  </si>
  <si>
    <t>ORI</t>
  </si>
  <si>
    <t>ORICA LTD</t>
  </si>
  <si>
    <t>15,68</t>
  </si>
  <si>
    <t>4.307.686</t>
  </si>
  <si>
    <t>4.307.686,07</t>
  </si>
  <si>
    <t>AU000000ORI1</t>
  </si>
  <si>
    <t>FLIR</t>
  </si>
  <si>
    <t>FLIR SYSTEMS INC</t>
  </si>
  <si>
    <t>53,96</t>
  </si>
  <si>
    <t>4.308.274</t>
  </si>
  <si>
    <t>4.308.274,32</t>
  </si>
  <si>
    <t>US3024451011</t>
  </si>
  <si>
    <t>MZR</t>
  </si>
  <si>
    <t>HDS</t>
  </si>
  <si>
    <t>HD SUPPLY HOLDINGS INC</t>
  </si>
  <si>
    <t>39,96</t>
  </si>
  <si>
    <t>4.296.579</t>
  </si>
  <si>
    <t>4.296.579,12</t>
  </si>
  <si>
    <t>US40416M1053</t>
  </si>
  <si>
    <t>CGR</t>
  </si>
  <si>
    <t>AER</t>
  </si>
  <si>
    <t>AERCAP HOLDINGS NV</t>
  </si>
  <si>
    <t>60,53</t>
  </si>
  <si>
    <t>4.293.574</t>
  </si>
  <si>
    <t>4.293.574,49</t>
  </si>
  <si>
    <t>NL0000687663</t>
  </si>
  <si>
    <t>ISB</t>
  </si>
  <si>
    <t>BALN</t>
  </si>
  <si>
    <t>BALOISE HOLDING AG</t>
  </si>
  <si>
    <t>180,84</t>
  </si>
  <si>
    <t>4.290.729</t>
  </si>
  <si>
    <t>4.290.729,00</t>
  </si>
  <si>
    <t>CH0012410517</t>
  </si>
  <si>
    <t>SSK</t>
  </si>
  <si>
    <t>POLI</t>
  </si>
  <si>
    <t>BANK HAPOALIM BM</t>
  </si>
  <si>
    <t>4.287.131</t>
  </si>
  <si>
    <t>4.287.131,36</t>
  </si>
  <si>
    <t>IL0006625771</t>
  </si>
  <si>
    <t>ING</t>
  </si>
  <si>
    <t>BROTHER INDUSTRIES LTD</t>
  </si>
  <si>
    <t>21,11</t>
  </si>
  <si>
    <t>4.285.679</t>
  </si>
  <si>
    <t>4.285.679,08</t>
  </si>
  <si>
    <t>JP3830000000</t>
  </si>
  <si>
    <t>ARH</t>
  </si>
  <si>
    <t>MHK</t>
  </si>
  <si>
    <t>MOHAWK INDUSTRIES INC</t>
  </si>
  <si>
    <t>127,00</t>
  </si>
  <si>
    <t>4.283.202</t>
  </si>
  <si>
    <t>4.283.202,00</t>
  </si>
  <si>
    <t>US6081901042</t>
  </si>
  <si>
    <t>NTGY</t>
  </si>
  <si>
    <t>NATURGY ENERGY SA</t>
  </si>
  <si>
    <t>24,63</t>
  </si>
  <si>
    <t>4.279.770</t>
  </si>
  <si>
    <t>4.279.769,73</t>
  </si>
  <si>
    <t>ES0116870314</t>
  </si>
  <si>
    <t>DTA</t>
  </si>
  <si>
    <t>UHR</t>
  </si>
  <si>
    <t>THE SWATCH GROUP AG</t>
  </si>
  <si>
    <t>277,83</t>
  </si>
  <si>
    <t>4.280.836</t>
  </si>
  <si>
    <t>4.280.835,55</t>
  </si>
  <si>
    <t>CH0012255151</t>
  </si>
  <si>
    <t>SEP</t>
  </si>
  <si>
    <t>SENSATA TECHNOLOGIES HOLDING PLC</t>
  </si>
  <si>
    <t>51,47</t>
  </si>
  <si>
    <t>4.277.157</t>
  </si>
  <si>
    <t>4.277.157,00</t>
  </si>
  <si>
    <t>GB00BFMBMT84</t>
  </si>
  <si>
    <t>GPL</t>
  </si>
  <si>
    <t>TOKYU CORP</t>
  </si>
  <si>
    <t>18,03</t>
  </si>
  <si>
    <t>4.275.760</t>
  </si>
  <si>
    <t>4.275.759,63</t>
  </si>
  <si>
    <t>JP3574200006</t>
  </si>
  <si>
    <t>CIL</t>
  </si>
  <si>
    <t>ELAN</t>
  </si>
  <si>
    <t>ELANCO ANIMAL HEALTH INC</t>
  </si>
  <si>
    <t>28,73</t>
  </si>
  <si>
    <t>4.262.957</t>
  </si>
  <si>
    <t>4.262.957,40</t>
  </si>
  <si>
    <t>US28414H1032</t>
  </si>
  <si>
    <t>NIV</t>
  </si>
  <si>
    <t>ATH</t>
  </si>
  <si>
    <t>ATHENE HOLDING LTD CLASS A</t>
  </si>
  <si>
    <t>47,58</t>
  </si>
  <si>
    <t>4.263.787</t>
  </si>
  <si>
    <t>4.263.786,54</t>
  </si>
  <si>
    <t>BMG0684D1074</t>
  </si>
  <si>
    <t>MDI</t>
  </si>
  <si>
    <t>GFC</t>
  </si>
  <si>
    <t>GECINA REIT SA</t>
  </si>
  <si>
    <t>183,59</t>
  </si>
  <si>
    <t>4.256.100</t>
  </si>
  <si>
    <t>4.256.099,75</t>
  </si>
  <si>
    <t>FR0010040865</t>
  </si>
  <si>
    <t>TWR</t>
  </si>
  <si>
    <t>LI</t>
  </si>
  <si>
    <t>KLEPIERRE REIT SA</t>
  </si>
  <si>
    <t>36,49</t>
  </si>
  <si>
    <t>4.248.823</t>
  </si>
  <si>
    <t>4.248.823,48</t>
  </si>
  <si>
    <t>FR0000121964</t>
  </si>
  <si>
    <t>CSG</t>
  </si>
  <si>
    <t>RHC</t>
  </si>
  <si>
    <t>RAMSAY HEALTH CARE LTD</t>
  </si>
  <si>
    <t>51,65</t>
  </si>
  <si>
    <t>4.245.217</t>
  </si>
  <si>
    <t>4.245.216,62</t>
  </si>
  <si>
    <t>AU000000RHC8</t>
  </si>
  <si>
    <t>SAR</t>
  </si>
  <si>
    <t>SPSN</t>
  </si>
  <si>
    <t>SWISS PRIME SITE AG</t>
  </si>
  <si>
    <t>116,83</t>
  </si>
  <si>
    <t>4.243.320</t>
  </si>
  <si>
    <t>4.243.320,22</t>
  </si>
  <si>
    <t>CH0008038389</t>
  </si>
  <si>
    <t>ALP</t>
  </si>
  <si>
    <t>AC</t>
  </si>
  <si>
    <t>ACCOR SA</t>
  </si>
  <si>
    <t>44,99</t>
  </si>
  <si>
    <t>4.239.077</t>
  </si>
  <si>
    <t>4.239.077,25</t>
  </si>
  <si>
    <t>FR0000120404</t>
  </si>
  <si>
    <t>QFH</t>
  </si>
  <si>
    <t>ELE</t>
  </si>
  <si>
    <t>ENDESA SA</t>
  </si>
  <si>
    <t>4.236.603</t>
  </si>
  <si>
    <t>4.236.602,90</t>
  </si>
  <si>
    <t>ES0130670112</t>
  </si>
  <si>
    <t>ENX</t>
  </si>
  <si>
    <t>DELL</t>
  </si>
  <si>
    <t>DELL TECHNOLOGIES INC CLASS C</t>
  </si>
  <si>
    <t>49,51</t>
  </si>
  <si>
    <t>4.225.976</t>
  </si>
  <si>
    <t>4.225.975,56</t>
  </si>
  <si>
    <t>US24703L2025</t>
  </si>
  <si>
    <t>STLD</t>
  </si>
  <si>
    <t>STEEL DYNAMICS INC</t>
  </si>
  <si>
    <t>32,69</t>
  </si>
  <si>
    <t>4.221.292</t>
  </si>
  <si>
    <t>4.221.292,39</t>
  </si>
  <si>
    <t>US8581191009</t>
  </si>
  <si>
    <t>NVS</t>
  </si>
  <si>
    <t>FPH</t>
  </si>
  <si>
    <t>FISHER AND PAYKEL HEALTHCARE CORPO</t>
  </si>
  <si>
    <t>14,27</t>
  </si>
  <si>
    <t>4.212.416</t>
  </si>
  <si>
    <t>4.212.416,17</t>
  </si>
  <si>
    <t>NZFAPE0001S2</t>
  </si>
  <si>
    <t>New Zealand Exchange Ltd</t>
  </si>
  <si>
    <t>Neuseeland</t>
  </si>
  <si>
    <t>NZD</t>
  </si>
  <si>
    <t>SCP</t>
  </si>
  <si>
    <t>MONC</t>
  </si>
  <si>
    <t>MONCLER</t>
  </si>
  <si>
    <t>45,24</t>
  </si>
  <si>
    <t>4.203.759</t>
  </si>
  <si>
    <t>4.203.758,78</t>
  </si>
  <si>
    <t>IT0004965148</t>
  </si>
  <si>
    <t>KIM</t>
  </si>
  <si>
    <t>KIMCO REALTY REIT CORP</t>
  </si>
  <si>
    <t>19,40</t>
  </si>
  <si>
    <t>4.188.984</t>
  </si>
  <si>
    <t>4.188.983,80</t>
  </si>
  <si>
    <t>US49446R1095</t>
  </si>
  <si>
    <t>CHP</t>
  </si>
  <si>
    <t>CAE</t>
  </si>
  <si>
    <t>CAE INC</t>
  </si>
  <si>
    <t>29,66</t>
  </si>
  <si>
    <t>4.163.531</t>
  </si>
  <si>
    <t>4.163.530,92</t>
  </si>
  <si>
    <t>CA1247651088</t>
  </si>
  <si>
    <t>ILU</t>
  </si>
  <si>
    <t>ELUX B</t>
  </si>
  <si>
    <t>ELECTROLUX B</t>
  </si>
  <si>
    <t>24,67</t>
  </si>
  <si>
    <t>4.150.566</t>
  </si>
  <si>
    <t>4.150.565,70</t>
  </si>
  <si>
    <t>SE0000103814</t>
  </si>
  <si>
    <t>TBG</t>
  </si>
  <si>
    <t>SPX</t>
  </si>
  <si>
    <t>SPIRAX-SARCO ENGINEERING PLC</t>
  </si>
  <si>
    <t>116,43</t>
  </si>
  <si>
    <t>4.140.755</t>
  </si>
  <si>
    <t>4.140.755,06</t>
  </si>
  <si>
    <t>GB00BWFGQN14</t>
  </si>
  <si>
    <t>BWN</t>
  </si>
  <si>
    <t>NNN</t>
  </si>
  <si>
    <t>NATIONAL RETAIL PROPERTIES REIT IN</t>
  </si>
  <si>
    <t>53,52</t>
  </si>
  <si>
    <t>4.134.152</t>
  </si>
  <si>
    <t>4.134.152,40</t>
  </si>
  <si>
    <t>US6374171063</t>
  </si>
  <si>
    <t>SYG</t>
  </si>
  <si>
    <t>SRT3</t>
  </si>
  <si>
    <t>SARTORIUS PREF AG</t>
  </si>
  <si>
    <t>223,38</t>
  </si>
  <si>
    <t>4.133.449</t>
  </si>
  <si>
    <t>4.133.448,50</t>
  </si>
  <si>
    <t>DE0007165631</t>
  </si>
  <si>
    <t>TRL</t>
  </si>
  <si>
    <t>VST</t>
  </si>
  <si>
    <t>VISTRA ENERGY CORP</t>
  </si>
  <si>
    <t>22,76</t>
  </si>
  <si>
    <t>4.128.027</t>
  </si>
  <si>
    <t>4.128.026,72</t>
  </si>
  <si>
    <t>US92840M1027</t>
  </si>
  <si>
    <t>GAI</t>
  </si>
  <si>
    <t>HFC</t>
  </si>
  <si>
    <t>HOLLYFRONTIER CORP</t>
  </si>
  <si>
    <t>48,69</t>
  </si>
  <si>
    <t>4.120.537</t>
  </si>
  <si>
    <t>4.120.537,32</t>
  </si>
  <si>
    <t>US4361061082</t>
  </si>
  <si>
    <t>SGP</t>
  </si>
  <si>
    <t>STOCKLAND STAPLED UNITS LTD</t>
  </si>
  <si>
    <t>3,35</t>
  </si>
  <si>
    <t>1.226.306</t>
  </si>
  <si>
    <t>4.107.104</t>
  </si>
  <si>
    <t>4.107.104,20</t>
  </si>
  <si>
    <t>AU000000SGP0</t>
  </si>
  <si>
    <t>SCD</t>
  </si>
  <si>
    <t>ABMD</t>
  </si>
  <si>
    <t>ABIOMED INC</t>
  </si>
  <si>
    <t>189,06</t>
  </si>
  <si>
    <t>4.106.950</t>
  </si>
  <si>
    <t>4.106.950,38</t>
  </si>
  <si>
    <t>US0036541003</t>
  </si>
  <si>
    <t>CTA</t>
  </si>
  <si>
    <t>KSS</t>
  </si>
  <si>
    <t>KOHLS CORP</t>
  </si>
  <si>
    <t>46,36</t>
  </si>
  <si>
    <t>4.095.721</t>
  </si>
  <si>
    <t>4.095.720,56</t>
  </si>
  <si>
    <t>US5002551043</t>
  </si>
  <si>
    <t>EPE</t>
  </si>
  <si>
    <t>IONS</t>
  </si>
  <si>
    <t>IONIS PHARMACEUTICALS INC</t>
  </si>
  <si>
    <t>62,68</t>
  </si>
  <si>
    <t>4.092.315</t>
  </si>
  <si>
    <t>4.092.314,52</t>
  </si>
  <si>
    <t>US4622221004</t>
  </si>
  <si>
    <t>SEA</t>
  </si>
  <si>
    <t>NBIX</t>
  </si>
  <si>
    <t>NEUROCRINE BIOSCIENCES INC</t>
  </si>
  <si>
    <t>112,48</t>
  </si>
  <si>
    <t>4.070.426</t>
  </si>
  <si>
    <t>4.070.426,24</t>
  </si>
  <si>
    <t>US64125C1099</t>
  </si>
  <si>
    <t>EXG</t>
  </si>
  <si>
    <t>ALO</t>
  </si>
  <si>
    <t>ALSTOM SA</t>
  </si>
  <si>
    <t>4.061.627</t>
  </si>
  <si>
    <t>4.061.626,78</t>
  </si>
  <si>
    <t>FR0010220475</t>
  </si>
  <si>
    <t>GPA</t>
  </si>
  <si>
    <t>ZAL</t>
  </si>
  <si>
    <t>ZALANDO</t>
  </si>
  <si>
    <t>50,57</t>
  </si>
  <si>
    <t>4.051.129</t>
  </si>
  <si>
    <t>4.051.129,14</t>
  </si>
  <si>
    <t>DE000ZAL1111</t>
  </si>
  <si>
    <t>AXL</t>
  </si>
  <si>
    <t>MOS</t>
  </si>
  <si>
    <t>MOSAIC</t>
  </si>
  <si>
    <t>20,62</t>
  </si>
  <si>
    <t>4.046.964</t>
  </si>
  <si>
    <t>4.046.963,68</t>
  </si>
  <si>
    <t>US61945C1036</t>
  </si>
  <si>
    <t>AVV</t>
  </si>
  <si>
    <t>AXTA</t>
  </si>
  <si>
    <t>AXALTA COATING SYSTEMS LTD</t>
  </si>
  <si>
    <t>30,79</t>
  </si>
  <si>
    <t>4.043.497</t>
  </si>
  <si>
    <t>4.043.496,75</t>
  </si>
  <si>
    <t>BMG0750C1082</t>
  </si>
  <si>
    <t>PBG</t>
  </si>
  <si>
    <t>FR</t>
  </si>
  <si>
    <t>VALEO SA</t>
  </si>
  <si>
    <t>36,16</t>
  </si>
  <si>
    <t>4.039.769</t>
  </si>
  <si>
    <t>4.039.769,32</t>
  </si>
  <si>
    <t>FR0013176526</t>
  </si>
  <si>
    <t>SHG</t>
  </si>
  <si>
    <t>SKA B</t>
  </si>
  <si>
    <t>SKANSKA B</t>
  </si>
  <si>
    <t>4.035.795</t>
  </si>
  <si>
    <t>4.035.795,02</t>
  </si>
  <si>
    <t>SE0000113250</t>
  </si>
  <si>
    <t>UCP</t>
  </si>
  <si>
    <t>VICI</t>
  </si>
  <si>
    <t>VICI PPTYS INC</t>
  </si>
  <si>
    <t>25,37</t>
  </si>
  <si>
    <t>4.031.268</t>
  </si>
  <si>
    <t>4.031.267,63</t>
  </si>
  <si>
    <t>US9256521090</t>
  </si>
  <si>
    <t>GTR</t>
  </si>
  <si>
    <t>AT1</t>
  </si>
  <si>
    <t>AROUNDTOWN PROPERTY HOLDINGS SA</t>
  </si>
  <si>
    <t>8,83</t>
  </si>
  <si>
    <t>4.031.350</t>
  </si>
  <si>
    <t>4.031.350,34</t>
  </si>
  <si>
    <t>LU1673108939</t>
  </si>
  <si>
    <t>KAL</t>
  </si>
  <si>
    <t>EPI A</t>
  </si>
  <si>
    <t>EPIROC CLASS A</t>
  </si>
  <si>
    <t>12,32</t>
  </si>
  <si>
    <t>4.027.457</t>
  </si>
  <si>
    <t>4.027.457,23</t>
  </si>
  <si>
    <t>SE0011166933</t>
  </si>
  <si>
    <t>PFB</t>
  </si>
  <si>
    <t>ALB</t>
  </si>
  <si>
    <t>ALBEMARLE CORP</t>
  </si>
  <si>
    <t>72,10</t>
  </si>
  <si>
    <t>4.023.108</t>
  </si>
  <si>
    <t>4.023.107,90</t>
  </si>
  <si>
    <t>US0126531013</t>
  </si>
  <si>
    <t>SDC</t>
  </si>
  <si>
    <t>ERF</t>
  </si>
  <si>
    <t>EUROFINS SCIENTIFIC</t>
  </si>
  <si>
    <t>543,45</t>
  </si>
  <si>
    <t>4.016.097</t>
  </si>
  <si>
    <t>4.016.096,61</t>
  </si>
  <si>
    <t>FR0000038259</t>
  </si>
  <si>
    <t>EMH</t>
  </si>
  <si>
    <t>TW.</t>
  </si>
  <si>
    <t>TAYLOR WIMPEY PLC</t>
  </si>
  <si>
    <t>2,58</t>
  </si>
  <si>
    <t>1.554.253</t>
  </si>
  <si>
    <t>4.012.161</t>
  </si>
  <si>
    <t>4.012.160,86</t>
  </si>
  <si>
    <t>GB0008782301</t>
  </si>
  <si>
    <t>ESR</t>
  </si>
  <si>
    <t>SANTEN PHARMACEUTICAL LTD</t>
  </si>
  <si>
    <t>19,64</t>
  </si>
  <si>
    <t>4.011.803</t>
  </si>
  <si>
    <t>4.011.802,56</t>
  </si>
  <si>
    <t>JP3336000009</t>
  </si>
  <si>
    <t>CND</t>
  </si>
  <si>
    <t>TOTO LTD</t>
  </si>
  <si>
    <t>43,13</t>
  </si>
  <si>
    <t>4.013.274</t>
  </si>
  <si>
    <t>4.013.274,23</t>
  </si>
  <si>
    <t>JP3596200000</t>
  </si>
  <si>
    <t>FGL</t>
  </si>
  <si>
    <t>MINEBEA MITSUMI INC</t>
  </si>
  <si>
    <t>21,66</t>
  </si>
  <si>
    <t>4.010.231</t>
  </si>
  <si>
    <t>4.010.231,38</t>
  </si>
  <si>
    <t>JP3906000009</t>
  </si>
  <si>
    <t>VMK</t>
  </si>
  <si>
    <t>KANSAI ELECTRIC POWER INC</t>
  </si>
  <si>
    <t>11,26</t>
  </si>
  <si>
    <t>3.981.328</t>
  </si>
  <si>
    <t>3.981.328,22</t>
  </si>
  <si>
    <t>JP3228600007</t>
  </si>
  <si>
    <t>MCZ</t>
  </si>
  <si>
    <t>RICOH LTD</t>
  </si>
  <si>
    <t>11,38</t>
  </si>
  <si>
    <t>3.980.247</t>
  </si>
  <si>
    <t>3.980.247,35</t>
  </si>
  <si>
    <t>JP3973400009</t>
  </si>
  <si>
    <t>WIL</t>
  </si>
  <si>
    <t>UAL</t>
  </si>
  <si>
    <t>UNITED AIRLINES HOLDINGS INC</t>
  </si>
  <si>
    <t>87,31</t>
  </si>
  <si>
    <t>3.973.216</t>
  </si>
  <si>
    <t>3.973.216,17</t>
  </si>
  <si>
    <t>US9100471096</t>
  </si>
  <si>
    <t>HPR</t>
  </si>
  <si>
    <t>STJ</t>
  </si>
  <si>
    <t>ST JAMESS PLACE PLC</t>
  </si>
  <si>
    <t>14,88</t>
  </si>
  <si>
    <t>3.974.739</t>
  </si>
  <si>
    <t>3.974.738,89</t>
  </si>
  <si>
    <t>GB0007669376</t>
  </si>
  <si>
    <t>GSH</t>
  </si>
  <si>
    <t>JLL</t>
  </si>
  <si>
    <t>JONES LANG LASALLE INC</t>
  </si>
  <si>
    <t>170,54</t>
  </si>
  <si>
    <t>3.971.706</t>
  </si>
  <si>
    <t>3.971.706,06</t>
  </si>
  <si>
    <t>US48020Q1076</t>
  </si>
  <si>
    <t>GML</t>
  </si>
  <si>
    <t>MAKITA CORP</t>
  </si>
  <si>
    <t>37,38</t>
  </si>
  <si>
    <t>3.962.910</t>
  </si>
  <si>
    <t>3.962.910,46</t>
  </si>
  <si>
    <t>JP3862400003</t>
  </si>
  <si>
    <t>SVN</t>
  </si>
  <si>
    <t>AJINOMOTO INC</t>
  </si>
  <si>
    <t>16,61</t>
  </si>
  <si>
    <t>3.959.106</t>
  </si>
  <si>
    <t>3.959.106,45</t>
  </si>
  <si>
    <t>JP3119600009</t>
  </si>
  <si>
    <t>XRX</t>
  </si>
  <si>
    <t>XEROX HOLDINGS CORP</t>
  </si>
  <si>
    <t>36,65</t>
  </si>
  <si>
    <t>3.955.891</t>
  </si>
  <si>
    <t>3.955.891,05</t>
  </si>
  <si>
    <t>US98421M1062</t>
  </si>
  <si>
    <t>ANA</t>
  </si>
  <si>
    <t>PVH</t>
  </si>
  <si>
    <t>PVH CORP</t>
  </si>
  <si>
    <t>100,48</t>
  </si>
  <si>
    <t>3.951.778</t>
  </si>
  <si>
    <t>3.951.777,92</t>
  </si>
  <si>
    <t>US6936561009</t>
  </si>
  <si>
    <t>BAU</t>
  </si>
  <si>
    <t>T&amp;D HOLDINGS INC</t>
  </si>
  <si>
    <t>12,10</t>
  </si>
  <si>
    <t>3.950.466</t>
  </si>
  <si>
    <t>3.950.465,77</t>
  </si>
  <si>
    <t>JP3539220008</t>
  </si>
  <si>
    <t>BWZ</t>
  </si>
  <si>
    <t>YAMAHA MOTOR LTD</t>
  </si>
  <si>
    <t>3.921.227</t>
  </si>
  <si>
    <t>3.921.226,73</t>
  </si>
  <si>
    <t>JP3942800008</t>
  </si>
  <si>
    <t>CAC</t>
  </si>
  <si>
    <t>OCDO</t>
  </si>
  <si>
    <t>OCADO GROUP PLC</t>
  </si>
  <si>
    <t>16,45</t>
  </si>
  <si>
    <t>3.903.695</t>
  </si>
  <si>
    <t>3.903.694,70</t>
  </si>
  <si>
    <t>GB00B3MBS747</t>
  </si>
  <si>
    <t>CGN</t>
  </si>
  <si>
    <t>MEIJI HOLDINGS LTD</t>
  </si>
  <si>
    <t>68,82</t>
  </si>
  <si>
    <t>3.902.136</t>
  </si>
  <si>
    <t>3.902.135,82</t>
  </si>
  <si>
    <t>JP3918000005</t>
  </si>
  <si>
    <t>HEICO CORP CLASS A</t>
  </si>
  <si>
    <t>95,01</t>
  </si>
  <si>
    <t>3.886.099</t>
  </si>
  <si>
    <t>3.886.099,02</t>
  </si>
  <si>
    <t>US4228062083</t>
  </si>
  <si>
    <t>ECS</t>
  </si>
  <si>
    <t>COV</t>
  </si>
  <si>
    <t>COVIVIO SA</t>
  </si>
  <si>
    <t>113,80</t>
  </si>
  <si>
    <t>3.883.388</t>
  </si>
  <si>
    <t>3.883.387,64</t>
  </si>
  <si>
    <t>FR0000064578</t>
  </si>
  <si>
    <t>EFG</t>
  </si>
  <si>
    <t>WLN</t>
  </si>
  <si>
    <t>WORLDLINE SA</t>
  </si>
  <si>
    <t>72,40</t>
  </si>
  <si>
    <t>3.878.924</t>
  </si>
  <si>
    <t>3.878.923,73</t>
  </si>
  <si>
    <t>FR0011981968</t>
  </si>
  <si>
    <t>EUZ</t>
  </si>
  <si>
    <t>GBLB</t>
  </si>
  <si>
    <t>GROUPE BRUXELLES LAMBERT NV</t>
  </si>
  <si>
    <t>105,13</t>
  </si>
  <si>
    <t>3.872.180</t>
  </si>
  <si>
    <t>3.872.179,67</t>
  </si>
  <si>
    <t>BE0003797140</t>
  </si>
  <si>
    <t>HWA</t>
  </si>
  <si>
    <t>TAISEI CORP</t>
  </si>
  <si>
    <t>41,07</t>
  </si>
  <si>
    <t>3.869.031</t>
  </si>
  <si>
    <t>3.869.030,67</t>
  </si>
  <si>
    <t>JP3443600006</t>
  </si>
  <si>
    <t>JSC</t>
  </si>
  <si>
    <t>WSP</t>
  </si>
  <si>
    <t>WSP GLOBAL INC</t>
  </si>
  <si>
    <t>3.864.954</t>
  </si>
  <si>
    <t>3.864.954,37</t>
  </si>
  <si>
    <t>CA92938W2022</t>
  </si>
  <si>
    <t>KP2</t>
  </si>
  <si>
    <t>ITV</t>
  </si>
  <si>
    <t>ITV PLC</t>
  </si>
  <si>
    <t>1,92</t>
  </si>
  <si>
    <t>2.009.326</t>
  </si>
  <si>
    <t>3.862.940</t>
  </si>
  <si>
    <t>3.862.940,49</t>
  </si>
  <si>
    <t>GB0033986497</t>
  </si>
  <si>
    <t>LNF</t>
  </si>
  <si>
    <t>ABN</t>
  </si>
  <si>
    <t>ABN AMRO BANK NV</t>
  </si>
  <si>
    <t>18,47</t>
  </si>
  <si>
    <t>3.854.212</t>
  </si>
  <si>
    <t>3.854.212,41</t>
  </si>
  <si>
    <t>NL0011540547</t>
  </si>
  <si>
    <t>MMP</t>
  </si>
  <si>
    <t>CDK</t>
  </si>
  <si>
    <t>CDK GLOBAL INC</t>
  </si>
  <si>
    <t>55,63</t>
  </si>
  <si>
    <t>3.855.048</t>
  </si>
  <si>
    <t>3.855.047,74</t>
  </si>
  <si>
    <t>US12508E1010</t>
  </si>
  <si>
    <t>NCS</t>
  </si>
  <si>
    <t>AOS</t>
  </si>
  <si>
    <t>A O SMITH CORP</t>
  </si>
  <si>
    <t>47,62</t>
  </si>
  <si>
    <t>3.838.934</t>
  </si>
  <si>
    <t>3.838.933,92</t>
  </si>
  <si>
    <t>US8318652091</t>
  </si>
  <si>
    <t>ORN</t>
  </si>
  <si>
    <t>SUMITOMO CHEMICAL LTD</t>
  </si>
  <si>
    <t>4,40</t>
  </si>
  <si>
    <t>3.834.192</t>
  </si>
  <si>
    <t>3.834.192,10</t>
  </si>
  <si>
    <t>JP3401400001</t>
  </si>
  <si>
    <t>PMV</t>
  </si>
  <si>
    <t>BKG</t>
  </si>
  <si>
    <t>BERKELEY GROUP HOLDINGS (THE) PLC</t>
  </si>
  <si>
    <t>62,78</t>
  </si>
  <si>
    <t>3.836.472</t>
  </si>
  <si>
    <t>3.836.471,67</t>
  </si>
  <si>
    <t>GB00B02L3W35</t>
  </si>
  <si>
    <t>BN4</t>
  </si>
  <si>
    <t>KEPPEL LTD</t>
  </si>
  <si>
    <t>5,09</t>
  </si>
  <si>
    <t>3.829.675</t>
  </si>
  <si>
    <t>3.829.674,87</t>
  </si>
  <si>
    <t>SG1U68934629</t>
  </si>
  <si>
    <t>YOKOGAWA ELECTRIC CORP</t>
  </si>
  <si>
    <t>18,56</t>
  </si>
  <si>
    <t>3.826.256</t>
  </si>
  <si>
    <t>3.826.255,93</t>
  </si>
  <si>
    <t>JP3955000009</t>
  </si>
  <si>
    <t>OC</t>
  </si>
  <si>
    <t>OWENS CORNING</t>
  </si>
  <si>
    <t>64,93</t>
  </si>
  <si>
    <t>3.823.403</t>
  </si>
  <si>
    <t>3.823.403,05</t>
  </si>
  <si>
    <t>US6907421019</t>
  </si>
  <si>
    <t>SBV</t>
  </si>
  <si>
    <t>UNITED URBAN INVESTMENT REIT CORP</t>
  </si>
  <si>
    <t>1.860,17</t>
  </si>
  <si>
    <t>3.818.925</t>
  </si>
  <si>
    <t>3.818.924,79</t>
  </si>
  <si>
    <t>JP3045540006</t>
  </si>
  <si>
    <t>WEZ</t>
  </si>
  <si>
    <t>HL.</t>
  </si>
  <si>
    <t>HARGREAVES LANSDOWN PLC</t>
  </si>
  <si>
    <t>24,09</t>
  </si>
  <si>
    <t>3.817.894</t>
  </si>
  <si>
    <t>3.817.894,18</t>
  </si>
  <si>
    <t>GB00B1VZ0M25</t>
  </si>
  <si>
    <t>EEL</t>
  </si>
  <si>
    <t>LUPE</t>
  </si>
  <si>
    <t>LUNDIN PETROLEUM</t>
  </si>
  <si>
    <t>34,31</t>
  </si>
  <si>
    <t>3.814.651</t>
  </si>
  <si>
    <t>3.814.651,40</t>
  </si>
  <si>
    <t>SE0000825820</t>
  </si>
  <si>
    <t>J205</t>
  </si>
  <si>
    <t>DAITO TRUST CONSTRUCTION LTD</t>
  </si>
  <si>
    <t>118,66</t>
  </si>
  <si>
    <t>3.784.429</t>
  </si>
  <si>
    <t>3.784.428,62</t>
  </si>
  <si>
    <t>JP3486800000</t>
  </si>
  <si>
    <t>MPW</t>
  </si>
  <si>
    <t>MEDICAL PROPERTIES TRUST REIT INC</t>
  </si>
  <si>
    <t>21,28</t>
  </si>
  <si>
    <t>3.782.818</t>
  </si>
  <si>
    <t>3.782.817,92</t>
  </si>
  <si>
    <t>US58463J3041</t>
  </si>
  <si>
    <t>AZJ</t>
  </si>
  <si>
    <t>AURIZON HOLDINGS LTD</t>
  </si>
  <si>
    <t>3,80</t>
  </si>
  <si>
    <t>3.780.788</t>
  </si>
  <si>
    <t>3.780.788,22</t>
  </si>
  <si>
    <t>AU000000AZJ1</t>
  </si>
  <si>
    <t>DAIWA SECURITIES GROUP INC</t>
  </si>
  <si>
    <t>5,21</t>
  </si>
  <si>
    <t>3.775.322</t>
  </si>
  <si>
    <t>3.775.322,49</t>
  </si>
  <si>
    <t>JP3502200003</t>
  </si>
  <si>
    <t>TOBU RAILWAY LTD</t>
  </si>
  <si>
    <t>36,19</t>
  </si>
  <si>
    <t>3.774.639</t>
  </si>
  <si>
    <t>3.774.639,47</t>
  </si>
  <si>
    <t>JP3597800006</t>
  </si>
  <si>
    <t>VIFN</t>
  </si>
  <si>
    <t>VIFOR PHARMA AG</t>
  </si>
  <si>
    <t>186,75</t>
  </si>
  <si>
    <t>3.771.137</t>
  </si>
  <si>
    <t>3.771.137,43</t>
  </si>
  <si>
    <t>CH0364749348</t>
  </si>
  <si>
    <t>SIEMENS HEALTHINEERS AG</t>
  </si>
  <si>
    <t>48,48</t>
  </si>
  <si>
    <t>3.772.778</t>
  </si>
  <si>
    <t>3.772.777,77</t>
  </si>
  <si>
    <t>DE000SHL1006</t>
  </si>
  <si>
    <t>ATM</t>
  </si>
  <si>
    <t>THE A2 MILK COMPANY LTD</t>
  </si>
  <si>
    <t>9,89</t>
  </si>
  <si>
    <t>3.758.375</t>
  </si>
  <si>
    <t>3.758.374,76</t>
  </si>
  <si>
    <t>NZATME0002S8</t>
  </si>
  <si>
    <t>KNX</t>
  </si>
  <si>
    <t>KNIGHT-SWIFT TRANSPORTATION HOLDIN</t>
  </si>
  <si>
    <t>37,25</t>
  </si>
  <si>
    <t>3.757.594</t>
  </si>
  <si>
    <t>3.757.593,75</t>
  </si>
  <si>
    <t>US4990491049</t>
  </si>
  <si>
    <t>STERV</t>
  </si>
  <si>
    <t>STORA ENSO CLASS R</t>
  </si>
  <si>
    <t>13,71</t>
  </si>
  <si>
    <t>3.730.608</t>
  </si>
  <si>
    <t>3.730.608,04</t>
  </si>
  <si>
    <t>FI0009005961</t>
  </si>
  <si>
    <t>BLND</t>
  </si>
  <si>
    <t>BRITISH LAND REIT PLC</t>
  </si>
  <si>
    <t>3.731.865</t>
  </si>
  <si>
    <t>3.731.865,14</t>
  </si>
  <si>
    <t>GB0001367019</t>
  </si>
  <si>
    <t>OBIC LTD</t>
  </si>
  <si>
    <t>143,21</t>
  </si>
  <si>
    <t>3.726.876</t>
  </si>
  <si>
    <t>3.726.876,23</t>
  </si>
  <si>
    <t>JP3173400007</t>
  </si>
  <si>
    <t>WABCO HOLDINGS INC</t>
  </si>
  <si>
    <t>135,68</t>
  </si>
  <si>
    <t>3.703.928</t>
  </si>
  <si>
    <t>3.703.928,32</t>
  </si>
  <si>
    <t>US92927K1025</t>
  </si>
  <si>
    <t>RAKUTEN INC</t>
  </si>
  <si>
    <t>8,40</t>
  </si>
  <si>
    <t>3.690.681</t>
  </si>
  <si>
    <t>3.690.681,27</t>
  </si>
  <si>
    <t>JP3967200001</t>
  </si>
  <si>
    <t>JEF</t>
  </si>
  <si>
    <t>JEFFERIES FINANCIAL GROUP INC</t>
  </si>
  <si>
    <t>21,64</t>
  </si>
  <si>
    <t>3.681.310</t>
  </si>
  <si>
    <t>3.681.310,24</t>
  </si>
  <si>
    <t>US47233W1099</t>
  </si>
  <si>
    <t>RSA</t>
  </si>
  <si>
    <t>RSA INSURANCE GROUP PLC</t>
  </si>
  <si>
    <t>7,43</t>
  </si>
  <si>
    <t>3.675.762</t>
  </si>
  <si>
    <t>3.675.761,52</t>
  </si>
  <si>
    <t>GB00BKKMKR23</t>
  </si>
  <si>
    <t>KGF</t>
  </si>
  <si>
    <t>KINGFISHER PLC</t>
  </si>
  <si>
    <t>1.335.399</t>
  </si>
  <si>
    <t>3.669.582</t>
  </si>
  <si>
    <t>3.669.581,91</t>
  </si>
  <si>
    <t>GB0033195214</t>
  </si>
  <si>
    <t>TEL2 B</t>
  </si>
  <si>
    <t>TELE2 B</t>
  </si>
  <si>
    <t>14,94</t>
  </si>
  <si>
    <t>3.659.436</t>
  </si>
  <si>
    <t>3.659.436,27</t>
  </si>
  <si>
    <t>SE0005190238</t>
  </si>
  <si>
    <t>NOMURA REAL ESTATE MASTER FUND REI</t>
  </si>
  <si>
    <t>0,01</t>
  </si>
  <si>
    <t>1.678,53</t>
  </si>
  <si>
    <t>3.649.129</t>
  </si>
  <si>
    <t>3.649.129,24</t>
  </si>
  <si>
    <t>JP3048110005</t>
  </si>
  <si>
    <t>GWO</t>
  </si>
  <si>
    <t>GREAT WEST LIFECO INC</t>
  </si>
  <si>
    <t>26,02</t>
  </si>
  <si>
    <t>3.649.097</t>
  </si>
  <si>
    <t>3.649.096,52</t>
  </si>
  <si>
    <t>CA39138C1068</t>
  </si>
  <si>
    <t>LISP</t>
  </si>
  <si>
    <t>8.050,35</t>
  </si>
  <si>
    <t>3.646.807</t>
  </si>
  <si>
    <t>3.646.807,09</t>
  </si>
  <si>
    <t>CH0010570767</t>
  </si>
  <si>
    <t>GWRE</t>
  </si>
  <si>
    <t>GUIDEWIRE SOFTWARE INC</t>
  </si>
  <si>
    <t>112,50</t>
  </si>
  <si>
    <t>3.643.425</t>
  </si>
  <si>
    <t>3.643.425,00</t>
  </si>
  <si>
    <t>US40171V1008</t>
  </si>
  <si>
    <t>OSH</t>
  </si>
  <si>
    <t>OIL SEARCH LTD</t>
  </si>
  <si>
    <t>5,48</t>
  </si>
  <si>
    <t>3.639.736</t>
  </si>
  <si>
    <t>3.639.736,05</t>
  </si>
  <si>
    <t>PG0008579883</t>
  </si>
  <si>
    <t>DOCU</t>
  </si>
  <si>
    <t>DOCUSIGN INC</t>
  </si>
  <si>
    <t>74,83</t>
  </si>
  <si>
    <t>3.638.384</t>
  </si>
  <si>
    <t>3.638.384,26</t>
  </si>
  <si>
    <t>US2561631068</t>
  </si>
  <si>
    <t>EWBC</t>
  </si>
  <si>
    <t>EAST WEST BANCORP INC</t>
  </si>
  <si>
    <t>3.635.974</t>
  </si>
  <si>
    <t>3.635.973,84</t>
  </si>
  <si>
    <t>US27579R1041</t>
  </si>
  <si>
    <t>JSR CORP</t>
  </si>
  <si>
    <t>18,50</t>
  </si>
  <si>
    <t>3.635.501</t>
  </si>
  <si>
    <t>3.635.501,10</t>
  </si>
  <si>
    <t>JP3385980002</t>
  </si>
  <si>
    <t>ALFA</t>
  </si>
  <si>
    <t>ALFA LAVAL</t>
  </si>
  <si>
    <t>25,01</t>
  </si>
  <si>
    <t>3.633.570</t>
  </si>
  <si>
    <t>3.633.569,56</t>
  </si>
  <si>
    <t>SE0000695876</t>
  </si>
  <si>
    <t>AKE</t>
  </si>
  <si>
    <t>ARKEMA SA</t>
  </si>
  <si>
    <t>100,24</t>
  </si>
  <si>
    <t>3.629.927</t>
  </si>
  <si>
    <t>3.629.927,16</t>
  </si>
  <si>
    <t>FR0010313833</t>
  </si>
  <si>
    <t>CHR</t>
  </si>
  <si>
    <t>CHR HANSEN HOLDING</t>
  </si>
  <si>
    <t>76,80</t>
  </si>
  <si>
    <t>3.624.672</t>
  </si>
  <si>
    <t>3.624.672,06</t>
  </si>
  <si>
    <t>DK0060227585</t>
  </si>
  <si>
    <t>ORK</t>
  </si>
  <si>
    <t>ORKLA</t>
  </si>
  <si>
    <t>9,84</t>
  </si>
  <si>
    <t>3.615.502</t>
  </si>
  <si>
    <t>3.615.501,95</t>
  </si>
  <si>
    <t>NO0003733800</t>
  </si>
  <si>
    <t>OSAKA GAS LTD</t>
  </si>
  <si>
    <t>18,26</t>
  </si>
  <si>
    <t>3.603.681</t>
  </si>
  <si>
    <t>3.603.681,19</t>
  </si>
  <si>
    <t>JP3180400008</t>
  </si>
  <si>
    <t>PRGO</t>
  </si>
  <si>
    <t>PERRIGO PLC</t>
  </si>
  <si>
    <t>49,71</t>
  </si>
  <si>
    <t>3.603.428</t>
  </si>
  <si>
    <t>3.603.428,19</t>
  </si>
  <si>
    <t>IE00BGH1M568</t>
  </si>
  <si>
    <t>HOG</t>
  </si>
  <si>
    <t>HARLEY DAVIDSON INC</t>
  </si>
  <si>
    <t>34,84</t>
  </si>
  <si>
    <t>3.601.585</t>
  </si>
  <si>
    <t>3.601.585,00</t>
  </si>
  <si>
    <t>US4128221086</t>
  </si>
  <si>
    <t>BVI</t>
  </si>
  <si>
    <t>BUREAU VERITAS SA</t>
  </si>
  <si>
    <t>26,05</t>
  </si>
  <si>
    <t>3.594.255</t>
  </si>
  <si>
    <t>3.594.254,82</t>
  </si>
  <si>
    <t>FR0006174348</t>
  </si>
  <si>
    <t>BAH</t>
  </si>
  <si>
    <t>BOOZ ALLEN HAMILTON HOLDING CORP C</t>
  </si>
  <si>
    <t>76,66</t>
  </si>
  <si>
    <t>3.593.897</t>
  </si>
  <si>
    <t>3.593.897,46</t>
  </si>
  <si>
    <t>US0995021062</t>
  </si>
  <si>
    <t>CBK</t>
  </si>
  <si>
    <t>COMMERZBANK AG</t>
  </si>
  <si>
    <t>6,39</t>
  </si>
  <si>
    <t>3.590.919</t>
  </si>
  <si>
    <t>3.590.918,75</t>
  </si>
  <si>
    <t>DE000CBK1001</t>
  </si>
  <si>
    <t>PWF</t>
  </si>
  <si>
    <t>POWER FINANCIAL CORP</t>
  </si>
  <si>
    <t>26,92</t>
  </si>
  <si>
    <t>3.577.007</t>
  </si>
  <si>
    <t>3.577.007,31</t>
  </si>
  <si>
    <t>CA73927C1005</t>
  </si>
  <si>
    <t>AFG</t>
  </si>
  <si>
    <t>AMERICAN FINANCIAL GROUP INC</t>
  </si>
  <si>
    <t>109,68</t>
  </si>
  <si>
    <t>3.562.845</t>
  </si>
  <si>
    <t>3.562.845,12</t>
  </si>
  <si>
    <t>US0259321042</t>
  </si>
  <si>
    <t>EMSN</t>
  </si>
  <si>
    <t>EMS-CHEMIE HOLDING AG</t>
  </si>
  <si>
    <t>641,15</t>
  </si>
  <si>
    <t>3.563.516</t>
  </si>
  <si>
    <t>3.563.516,05</t>
  </si>
  <si>
    <t>CH0016440353</t>
  </si>
  <si>
    <t>UNM</t>
  </si>
  <si>
    <t>UNUM</t>
  </si>
  <si>
    <t>28,72</t>
  </si>
  <si>
    <t>3.552.607</t>
  </si>
  <si>
    <t>3.552.606,56</t>
  </si>
  <si>
    <t>US91529Y1064</t>
  </si>
  <si>
    <t>SABR</t>
  </si>
  <si>
    <t>SABRE CORP</t>
  </si>
  <si>
    <t>22,48</t>
  </si>
  <si>
    <t>3.546.153</t>
  </si>
  <si>
    <t>3.546.152,56</t>
  </si>
  <si>
    <t>US78573M1045</t>
  </si>
  <si>
    <t>BG</t>
  </si>
  <si>
    <t>BUNGE LTD</t>
  </si>
  <si>
    <t>55,66</t>
  </si>
  <si>
    <t>3.545.319</t>
  </si>
  <si>
    <t>3.545.319,36</t>
  </si>
  <si>
    <t>BMG169621056</t>
  </si>
  <si>
    <t>DENTSU GROUP INC</t>
  </si>
  <si>
    <t>34,55</t>
  </si>
  <si>
    <t>3.544.551</t>
  </si>
  <si>
    <t>3.544.550,93</t>
  </si>
  <si>
    <t>JP3551520004</t>
  </si>
  <si>
    <t>J206</t>
  </si>
  <si>
    <t>BARN</t>
  </si>
  <si>
    <t>BARRY CALLEBAUT AG</t>
  </si>
  <si>
    <t>2.170,05</t>
  </si>
  <si>
    <t>3.541.520</t>
  </si>
  <si>
    <t>3.541.519,65</t>
  </si>
  <si>
    <t>CH0009002962</t>
  </si>
  <si>
    <t>AISIN SEIKI LTD</t>
  </si>
  <si>
    <t>35,60</t>
  </si>
  <si>
    <t>3.538.264</t>
  </si>
  <si>
    <t>3.538.263,96</t>
  </si>
  <si>
    <t>JP3102000001</t>
  </si>
  <si>
    <t>TREND MICRO INC</t>
  </si>
  <si>
    <t>51,75</t>
  </si>
  <si>
    <t>3.523.256</t>
  </si>
  <si>
    <t>3.523.256,02</t>
  </si>
  <si>
    <t>JP3637300009</t>
  </si>
  <si>
    <t>PST</t>
  </si>
  <si>
    <t>POSTE ITALIANE</t>
  </si>
  <si>
    <t>11,35</t>
  </si>
  <si>
    <t>3.522.050</t>
  </si>
  <si>
    <t>3.522.049,94</t>
  </si>
  <si>
    <t>IT0003796171</t>
  </si>
  <si>
    <t>EDF</t>
  </si>
  <si>
    <t>ELECTRICITE DE FRANCE SA</t>
  </si>
  <si>
    <t>10,93</t>
  </si>
  <si>
    <t>3.519.635</t>
  </si>
  <si>
    <t>3.519.634,93</t>
  </si>
  <si>
    <t>FR0010242511</t>
  </si>
  <si>
    <t>DHER</t>
  </si>
  <si>
    <t>DELIVERY HERO</t>
  </si>
  <si>
    <t>72,90</t>
  </si>
  <si>
    <t>3.509.334</t>
  </si>
  <si>
    <t>3.509.333,90</t>
  </si>
  <si>
    <t>DE000A2E4K43</t>
  </si>
  <si>
    <t>UBI</t>
  </si>
  <si>
    <t>UBISOFT ENTERTAINMENT SA CAT A</t>
  </si>
  <si>
    <t>72,77</t>
  </si>
  <si>
    <t>3.506.698</t>
  </si>
  <si>
    <t>3.506.698,49</t>
  </si>
  <si>
    <t>FR0000054470</t>
  </si>
  <si>
    <t>ECA</t>
  </si>
  <si>
    <t>ENCANA</t>
  </si>
  <si>
    <t>4,35</t>
  </si>
  <si>
    <t>3.501.281</t>
  </si>
  <si>
    <t>3.501.280,56</t>
  </si>
  <si>
    <t>CA2925051047</t>
  </si>
  <si>
    <t>INTER PIPELINE LTD</t>
  </si>
  <si>
    <t>17,10</t>
  </si>
  <si>
    <t>3.498.878</t>
  </si>
  <si>
    <t>3.498.877,83</t>
  </si>
  <si>
    <t>CA45833V1094</t>
  </si>
  <si>
    <t>NISSHIN SEIFUN GROUP INC</t>
  </si>
  <si>
    <t>17,37</t>
  </si>
  <si>
    <t>3.498.213</t>
  </si>
  <si>
    <t>3.498.212,85</t>
  </si>
  <si>
    <t>JP3676800000</t>
  </si>
  <si>
    <t>SYD</t>
  </si>
  <si>
    <t>SYDNEY AIRPORT STAPLED UNITS LTD</t>
  </si>
  <si>
    <t>6,11</t>
  </si>
  <si>
    <t>3.486.388</t>
  </si>
  <si>
    <t>3.486.388,49</t>
  </si>
  <si>
    <t>AU000000SYD9</t>
  </si>
  <si>
    <t>USS LTD</t>
  </si>
  <si>
    <t>18,62</t>
  </si>
  <si>
    <t>3.487.514</t>
  </si>
  <si>
    <t>3.487.513,69</t>
  </si>
  <si>
    <t>JP3944130008</t>
  </si>
  <si>
    <t>ISUZU MOTORS LTD</t>
  </si>
  <si>
    <t>11,22</t>
  </si>
  <si>
    <t>3.487.551</t>
  </si>
  <si>
    <t>3.487.551,11</t>
  </si>
  <si>
    <t>JP3137200006</t>
  </si>
  <si>
    <t>CREDIT SAISON LTD</t>
  </si>
  <si>
    <t>17,57</t>
  </si>
  <si>
    <t>3.487.701</t>
  </si>
  <si>
    <t>3.487.700,80</t>
  </si>
  <si>
    <t>JP3271400008</t>
  </si>
  <si>
    <t>YAMATO HOLDINGS LTD</t>
  </si>
  <si>
    <t>17,19</t>
  </si>
  <si>
    <t>3.484.891</t>
  </si>
  <si>
    <t>3.484.890,58</t>
  </si>
  <si>
    <t>JP3940000007</t>
  </si>
  <si>
    <t>LLC</t>
  </si>
  <si>
    <t>LENDLEASE GROUP STAPLED UNITS</t>
  </si>
  <si>
    <t>12,65</t>
  </si>
  <si>
    <t>3.469.768</t>
  </si>
  <si>
    <t>3.469.768,41</t>
  </si>
  <si>
    <t>AU000000LLC3</t>
  </si>
  <si>
    <t>MAERSK B</t>
  </si>
  <si>
    <t>A P MOLLER MAERSK B</t>
  </si>
  <si>
    <t>1.343,48</t>
  </si>
  <si>
    <t>3.468.854</t>
  </si>
  <si>
    <t>3.468.853,94</t>
  </si>
  <si>
    <t>DK0010244508</t>
  </si>
  <si>
    <t>GPT</t>
  </si>
  <si>
    <t>GPT GROUP STAPLED UNITS</t>
  </si>
  <si>
    <t>4,01</t>
  </si>
  <si>
    <t>3.465.054</t>
  </si>
  <si>
    <t>3.465.054,08</t>
  </si>
  <si>
    <t>AU000000GPT8</t>
  </si>
  <si>
    <t>NOMURA RESEARCH INSTITUTE LTD</t>
  </si>
  <si>
    <t>3.463.640</t>
  </si>
  <si>
    <t>3.463.640,20</t>
  </si>
  <si>
    <t>JP3762800005</t>
  </si>
  <si>
    <t>RHI</t>
  </si>
  <si>
    <t>ROBERT HALF</t>
  </si>
  <si>
    <t>63,08</t>
  </si>
  <si>
    <t>3.460.127</t>
  </si>
  <si>
    <t>3.460.127,24</t>
  </si>
  <si>
    <t>US7703231032</t>
  </si>
  <si>
    <t>GVC</t>
  </si>
  <si>
    <t>GVC HOLDINGS PLC</t>
  </si>
  <si>
    <t>12,26</t>
  </si>
  <si>
    <t>3.457.450</t>
  </si>
  <si>
    <t>3.457.449,97</t>
  </si>
  <si>
    <t>IM00B5VQMV65</t>
  </si>
  <si>
    <t>BOL</t>
  </si>
  <si>
    <t>BOLIDEN</t>
  </si>
  <si>
    <t>3.439.901</t>
  </si>
  <si>
    <t>3.439.900,89</t>
  </si>
  <si>
    <t>SE0012455673</t>
  </si>
  <si>
    <t>WTB</t>
  </si>
  <si>
    <t>WHITBREAD PLC</t>
  </si>
  <si>
    <t>60,72</t>
  </si>
  <si>
    <t>3.436.168</t>
  </si>
  <si>
    <t>3.436.168,02</t>
  </si>
  <si>
    <t>GB00B1KJJ408</t>
  </si>
  <si>
    <t>LIXIL GROUP CORP</t>
  </si>
  <si>
    <t>3.431.339</t>
  </si>
  <si>
    <t>3.431.338,99</t>
  </si>
  <si>
    <t>JP3626800001</t>
  </si>
  <si>
    <t>AGC INC</t>
  </si>
  <si>
    <t>35,37</t>
  </si>
  <si>
    <t>3.424.119</t>
  </si>
  <si>
    <t>3.424.119,20</t>
  </si>
  <si>
    <t>JP3112000009</t>
  </si>
  <si>
    <t>WN</t>
  </si>
  <si>
    <t>GEORGE WESTON LTD</t>
  </si>
  <si>
    <t>79,48</t>
  </si>
  <si>
    <t>3.410.854</t>
  </si>
  <si>
    <t>3.410.854,45</t>
  </si>
  <si>
    <t>CA9611485090</t>
  </si>
  <si>
    <t>SAPUTO INC</t>
  </si>
  <si>
    <t>3.412.047</t>
  </si>
  <si>
    <t>3.412.046,65</t>
  </si>
  <si>
    <t>CA8029121057</t>
  </si>
  <si>
    <t>H</t>
  </si>
  <si>
    <t>HYDRO ONE LTD</t>
  </si>
  <si>
    <t>19,39</t>
  </si>
  <si>
    <t>3.382.230</t>
  </si>
  <si>
    <t>3.382.229,71</t>
  </si>
  <si>
    <t>CA4488112083</t>
  </si>
  <si>
    <t>BIRG</t>
  </si>
  <si>
    <t>BANK OF IRELAND GROUP PLC</t>
  </si>
  <si>
    <t>5,32</t>
  </si>
  <si>
    <t>3.358.606</t>
  </si>
  <si>
    <t>3.358.606,23</t>
  </si>
  <si>
    <t>IE00BD1RP616</t>
  </si>
  <si>
    <t>CYBR</t>
  </si>
  <si>
    <t>CYBER ARK SOFTWARE LTD</t>
  </si>
  <si>
    <t>136,22</t>
  </si>
  <si>
    <t>3.355.235</t>
  </si>
  <si>
    <t>3.355.234,82</t>
  </si>
  <si>
    <t>IL0011334468</t>
  </si>
  <si>
    <t>AUTO</t>
  </si>
  <si>
    <t>AUTO TRADER GROUP PLC</t>
  </si>
  <si>
    <t>3.352.739</t>
  </si>
  <si>
    <t>3.352.738,56</t>
  </si>
  <si>
    <t>GB00BVYVFW23</t>
  </si>
  <si>
    <t>J37</t>
  </si>
  <si>
    <t>JARDINE STRATEGIC HOLDINGS LTD</t>
  </si>
  <si>
    <t>31,41</t>
  </si>
  <si>
    <t>3.351.447</t>
  </si>
  <si>
    <t>3.351.447,00</t>
  </si>
  <si>
    <t>BMG507641022</t>
  </si>
  <si>
    <t>JFE HOLDINGS INC</t>
  </si>
  <si>
    <t>13,02</t>
  </si>
  <si>
    <t>3.343.304</t>
  </si>
  <si>
    <t>3.343.303,66</t>
  </si>
  <si>
    <t>JP3386030005</t>
  </si>
  <si>
    <t>TKA</t>
  </si>
  <si>
    <t>THYSSENKRUPP AG</t>
  </si>
  <si>
    <t>13,19</t>
  </si>
  <si>
    <t>3.334.762</t>
  </si>
  <si>
    <t>3.334.762,42</t>
  </si>
  <si>
    <t>DE0007500001</t>
  </si>
  <si>
    <t>PAN PACIFIC INTERNATIONAL HOLDINGS</t>
  </si>
  <si>
    <t>17,63</t>
  </si>
  <si>
    <t>3.328.274</t>
  </si>
  <si>
    <t>3.328.273,82</t>
  </si>
  <si>
    <t>JP3639650005</t>
  </si>
  <si>
    <t>EQH</t>
  </si>
  <si>
    <t>AXA EQUITABLE HOLDINGS INC</t>
  </si>
  <si>
    <t>25,79</t>
  </si>
  <si>
    <t>3.315.795</t>
  </si>
  <si>
    <t>3.315.794,51</t>
  </si>
  <si>
    <t>US0545611057</t>
  </si>
  <si>
    <t>NEXON LTD</t>
  </si>
  <si>
    <t>14,49</t>
  </si>
  <si>
    <t>3.314.825</t>
  </si>
  <si>
    <t>3.314.825,25</t>
  </si>
  <si>
    <t>JP3758190007</t>
  </si>
  <si>
    <t>RENESAS ELECTRONICS CORP</t>
  </si>
  <si>
    <t>3.312.925</t>
  </si>
  <si>
    <t>3.312.925,34</t>
  </si>
  <si>
    <t>JP3164720009</t>
  </si>
  <si>
    <t>CARL ZEISS MEDITEC AG</t>
  </si>
  <si>
    <t>130,58</t>
  </si>
  <si>
    <t>3.307.161</t>
  </si>
  <si>
    <t>3.307.160,89</t>
  </si>
  <si>
    <t>DE0005313704</t>
  </si>
  <si>
    <t>NGK INSULATORS LTD</t>
  </si>
  <si>
    <t>17,89</t>
  </si>
  <si>
    <t>3.306.024</t>
  </si>
  <si>
    <t>3.306.024,10</t>
  </si>
  <si>
    <t>JP3695200000</t>
  </si>
  <si>
    <t>UN01</t>
  </si>
  <si>
    <t>UNIPER</t>
  </si>
  <si>
    <t>31,65</t>
  </si>
  <si>
    <t>3.301.035</t>
  </si>
  <si>
    <t>3.301.035,26</t>
  </si>
  <si>
    <t>DE000UNSE018</t>
  </si>
  <si>
    <t>JMAT</t>
  </si>
  <si>
    <t>JOHNSON MATTHEY PLC</t>
  </si>
  <si>
    <t>38,38</t>
  </si>
  <si>
    <t>3.288.235</t>
  </si>
  <si>
    <t>3.288.234,71</t>
  </si>
  <si>
    <t>GB00BZ4BQC70</t>
  </si>
  <si>
    <t>PSON</t>
  </si>
  <si>
    <t>PEARSON PLC</t>
  </si>
  <si>
    <t>8,20</t>
  </si>
  <si>
    <t>3.279.974</t>
  </si>
  <si>
    <t>3.279.974,14</t>
  </si>
  <si>
    <t>GB0006776081</t>
  </si>
  <si>
    <t>WTR</t>
  </si>
  <si>
    <t>AQUA AMERICA INC</t>
  </si>
  <si>
    <t>46,82</t>
  </si>
  <si>
    <t>3.269.581</t>
  </si>
  <si>
    <t>3.269.581,06</t>
  </si>
  <si>
    <t>US03836W1036</t>
  </si>
  <si>
    <t>S63</t>
  </si>
  <si>
    <t>SINGAPORE TECHNOLOGIES ENGINEERING</t>
  </si>
  <si>
    <t>3,01</t>
  </si>
  <si>
    <t>1.084.200</t>
  </si>
  <si>
    <t>3.264.500</t>
  </si>
  <si>
    <t>3.264.500,15</t>
  </si>
  <si>
    <t>SG1F60858221</t>
  </si>
  <si>
    <t>SAB</t>
  </si>
  <si>
    <t>BANCO DE SABADELL SA</t>
  </si>
  <si>
    <t>1,13</t>
  </si>
  <si>
    <t>2.870.700</t>
  </si>
  <si>
    <t>3.257.350</t>
  </si>
  <si>
    <t>3.257.349,85</t>
  </si>
  <si>
    <t>ES0113860A34</t>
  </si>
  <si>
    <t>MRW</t>
  </si>
  <si>
    <t>MORRISON(WM.)SUPERMARKETS PLC</t>
  </si>
  <si>
    <t>2,45</t>
  </si>
  <si>
    <t>1.328.170</t>
  </si>
  <si>
    <t>3.259.419</t>
  </si>
  <si>
    <t>3.259.419,43</t>
  </si>
  <si>
    <t>GB0006043169</t>
  </si>
  <si>
    <t>DEMANT</t>
  </si>
  <si>
    <t>31,16</t>
  </si>
  <si>
    <t>3.258.079</t>
  </si>
  <si>
    <t>3.258.078,85</t>
  </si>
  <si>
    <t>DK0060738599</t>
  </si>
  <si>
    <t>HAKUHODO DY HOLDINGS INC</t>
  </si>
  <si>
    <t>15,95</t>
  </si>
  <si>
    <t>3.254.497</t>
  </si>
  <si>
    <t>3.254.497,08</t>
  </si>
  <si>
    <t>JP3766550002</t>
  </si>
  <si>
    <t>TIT</t>
  </si>
  <si>
    <t>TELECOM ITALIA</t>
  </si>
  <si>
    <t>5.551.883</t>
  </si>
  <si>
    <t>3.237.444</t>
  </si>
  <si>
    <t>3.237.443,69</t>
  </si>
  <si>
    <t>IT0003497168</t>
  </si>
  <si>
    <t>TOYOTA TSUSHO CORP</t>
  </si>
  <si>
    <t>34,78</t>
  </si>
  <si>
    <t>3.234.118</t>
  </si>
  <si>
    <t>3.234.118,29</t>
  </si>
  <si>
    <t>JP3635000007</t>
  </si>
  <si>
    <t>CTX</t>
  </si>
  <si>
    <t>CALTEX AUSTRALIA LTD</t>
  </si>
  <si>
    <t>24,65</t>
  </si>
  <si>
    <t>3.231.122</t>
  </si>
  <si>
    <t>3.231.122,26</t>
  </si>
  <si>
    <t>AU000000CTX1</t>
  </si>
  <si>
    <t>ROHM LTD</t>
  </si>
  <si>
    <t>81,23</t>
  </si>
  <si>
    <t>3.229.053</t>
  </si>
  <si>
    <t>3.229.052,57</t>
  </si>
  <si>
    <t>JP3982800009</t>
  </si>
  <si>
    <t>LSXMK</t>
  </si>
  <si>
    <t>LIBERTY MEDIA LIBERTY SIRIUSXM COR</t>
  </si>
  <si>
    <t>47,75</t>
  </si>
  <si>
    <t>3.224.749</t>
  </si>
  <si>
    <t>3.224.748,50</t>
  </si>
  <si>
    <t>US5312296073</t>
  </si>
  <si>
    <t>UTDI</t>
  </si>
  <si>
    <t>UNITED INTERNET AG</t>
  </si>
  <si>
    <t>3.221.781</t>
  </si>
  <si>
    <t>3.221.780,53</t>
  </si>
  <si>
    <t>DE0005089031</t>
  </si>
  <si>
    <t>CCL.B</t>
  </si>
  <si>
    <t>CCL INDUSTRIES INC CLASS B</t>
  </si>
  <si>
    <t>43,41</t>
  </si>
  <si>
    <t>3.210.885</t>
  </si>
  <si>
    <t>3.210.885,28</t>
  </si>
  <si>
    <t>CA1249003098</t>
  </si>
  <si>
    <t>MIDD</t>
  </si>
  <si>
    <t>MIDDLEBY CORP</t>
  </si>
  <si>
    <t>109,10</t>
  </si>
  <si>
    <t>3.207.758</t>
  </si>
  <si>
    <t>3.207.758,20</t>
  </si>
  <si>
    <t>US5962781010</t>
  </si>
  <si>
    <t>MPL</t>
  </si>
  <si>
    <t>MEDIBANK PRIVATE LTD</t>
  </si>
  <si>
    <t>2,27</t>
  </si>
  <si>
    <t>1.407.339</t>
  </si>
  <si>
    <t>3.187.628</t>
  </si>
  <si>
    <t>3.187.628,46</t>
  </si>
  <si>
    <t>AU000000MPL3</t>
  </si>
  <si>
    <t>FM</t>
  </si>
  <si>
    <t>FIRST QUANTUM MINERALS LTD</t>
  </si>
  <si>
    <t>9,68</t>
  </si>
  <si>
    <t>3.184.895</t>
  </si>
  <si>
    <t>3.184.894,55</t>
  </si>
  <si>
    <t>CA3359341052</t>
  </si>
  <si>
    <t>CPRI</t>
  </si>
  <si>
    <t>CAPRI HOLDINGS LTD</t>
  </si>
  <si>
    <t>35,84</t>
  </si>
  <si>
    <t>3.179.689</t>
  </si>
  <si>
    <t>3.179.688,96</t>
  </si>
  <si>
    <t>VGG1890L1076</t>
  </si>
  <si>
    <t>BSL</t>
  </si>
  <si>
    <t>BLUESCOPE STEEL LTD</t>
  </si>
  <si>
    <t>10,70</t>
  </si>
  <si>
    <t>3.179.228</t>
  </si>
  <si>
    <t>3.179.227,85</t>
  </si>
  <si>
    <t>AU000000BSL0</t>
  </si>
  <si>
    <t>SCR</t>
  </si>
  <si>
    <t>SCOR</t>
  </si>
  <si>
    <t>42,00</t>
  </si>
  <si>
    <t>3.169.919</t>
  </si>
  <si>
    <t>3.169.918,74</t>
  </si>
  <si>
    <t>FR0010411983</t>
  </si>
  <si>
    <t>SESG</t>
  </si>
  <si>
    <t>SES SA FDR</t>
  </si>
  <si>
    <t>13,99</t>
  </si>
  <si>
    <t>3.165.289</t>
  </si>
  <si>
    <t>3.165.288,80</t>
  </si>
  <si>
    <t>LU0088087324</t>
  </si>
  <si>
    <t>CNA</t>
  </si>
  <si>
    <t>CENTRICA PLC</t>
  </si>
  <si>
    <t>2.813.750</t>
  </si>
  <si>
    <t>3.150.858</t>
  </si>
  <si>
    <t>3.150.857,71</t>
  </si>
  <si>
    <t>GB00B033F229</t>
  </si>
  <si>
    <t>G1A</t>
  </si>
  <si>
    <t>GEA GROUP AG</t>
  </si>
  <si>
    <t>32,23</t>
  </si>
  <si>
    <t>3.138.700</t>
  </si>
  <si>
    <t>3.138.700,23</t>
  </si>
  <si>
    <t>DE0006602006</t>
  </si>
  <si>
    <t>SEKISUI CHEMICAL LTD</t>
  </si>
  <si>
    <t>3.135.978</t>
  </si>
  <si>
    <t>3.135.978,09</t>
  </si>
  <si>
    <t>JP3419400001</t>
  </si>
  <si>
    <t>WRT1V</t>
  </si>
  <si>
    <t>WARTSILA</t>
  </si>
  <si>
    <t>10,94</t>
  </si>
  <si>
    <t>3.126.591</t>
  </si>
  <si>
    <t>3.126.590,52</t>
  </si>
  <si>
    <t>FI0009003727</t>
  </si>
  <si>
    <t>BGNE</t>
  </si>
  <si>
    <t>BEIGENE ADR REPRESENTING LTD</t>
  </si>
  <si>
    <t>163,00</t>
  </si>
  <si>
    <t>3.124.547</t>
  </si>
  <si>
    <t>3.124.547,00</t>
  </si>
  <si>
    <t>US07725L1026</t>
  </si>
  <si>
    <t>TAH</t>
  </si>
  <si>
    <t>TABCORP HOLDINGS LTD</t>
  </si>
  <si>
    <t>3,21</t>
  </si>
  <si>
    <t>3.123.190</t>
  </si>
  <si>
    <t>3.123.190,12</t>
  </si>
  <si>
    <t>AU000000TAH8</t>
  </si>
  <si>
    <t>TOKYO ELECTRIC POWER HOLDINGS INC</t>
  </si>
  <si>
    <t>4,04</t>
  </si>
  <si>
    <t>3.117.902</t>
  </si>
  <si>
    <t>3.117.901,61</t>
  </si>
  <si>
    <t>JP3585800000</t>
  </si>
  <si>
    <t>GIL</t>
  </si>
  <si>
    <t>GILDAN ACTIVEWEAR INC</t>
  </si>
  <si>
    <t>28,33</t>
  </si>
  <si>
    <t>3.109.958</t>
  </si>
  <si>
    <t>3.109.958,07</t>
  </si>
  <si>
    <t>CA3759161035</t>
  </si>
  <si>
    <t>IDEMITSU KOSAN LTD</t>
  </si>
  <si>
    <t>27,52</t>
  </si>
  <si>
    <t>3.096.292</t>
  </si>
  <si>
    <t>3.096.291,62</t>
  </si>
  <si>
    <t>JP3142500002</t>
  </si>
  <si>
    <t>PRY</t>
  </si>
  <si>
    <t>PRYSMIAN</t>
  </si>
  <si>
    <t>3.086.937</t>
  </si>
  <si>
    <t>3.086.937,22</t>
  </si>
  <si>
    <t>IT0004176001</t>
  </si>
  <si>
    <t>ALLIANCE DATA SYSTEMS CORP</t>
  </si>
  <si>
    <t>112,07</t>
  </si>
  <si>
    <t>3.074.304</t>
  </si>
  <si>
    <t>3.074.304,24</t>
  </si>
  <si>
    <t>US0185811082</t>
  </si>
  <si>
    <t>BIO</t>
  </si>
  <si>
    <t>BIO RAD LABORATORIES INC CLASS A</t>
  </si>
  <si>
    <t>383,52</t>
  </si>
  <si>
    <t>3.068.160</t>
  </si>
  <si>
    <t>3.068.160,00</t>
  </si>
  <si>
    <t>US0905722072</t>
  </si>
  <si>
    <t>LION CORP</t>
  </si>
  <si>
    <t>19,15</t>
  </si>
  <si>
    <t>3.069.637</t>
  </si>
  <si>
    <t>3.069.636,73</t>
  </si>
  <si>
    <t>JP3965400009</t>
  </si>
  <si>
    <t>VCX</t>
  </si>
  <si>
    <t>VICINITY CENTRES</t>
  </si>
  <si>
    <t>1,73</t>
  </si>
  <si>
    <t>1.766.630</t>
  </si>
  <si>
    <t>3.062.065</t>
  </si>
  <si>
    <t>3.062.065,33</t>
  </si>
  <si>
    <t>AU000000VCX7</t>
  </si>
  <si>
    <t>BRO</t>
  </si>
  <si>
    <t>BROWN &amp; BROWN INC</t>
  </si>
  <si>
    <t>40,40</t>
  </si>
  <si>
    <t>3.051.331</t>
  </si>
  <si>
    <t>3.051.331,20</t>
  </si>
  <si>
    <t>US1152361010</t>
  </si>
  <si>
    <t>BKT</t>
  </si>
  <si>
    <t>BANKINTER SA</t>
  </si>
  <si>
    <t>7,13</t>
  </si>
  <si>
    <t>3.044.241</t>
  </si>
  <si>
    <t>3.044.240,84</t>
  </si>
  <si>
    <t>ES0113679I37</t>
  </si>
  <si>
    <t>DSCT</t>
  </si>
  <si>
    <t>ISRAEL DISCOUNT BANK LTD</t>
  </si>
  <si>
    <t>4,53</t>
  </si>
  <si>
    <t>3.036.835</t>
  </si>
  <si>
    <t>3.036.835,28</t>
  </si>
  <si>
    <t>IL0006912120</t>
  </si>
  <si>
    <t>MAZDA MOTOR CORP</t>
  </si>
  <si>
    <t>8,72</t>
  </si>
  <si>
    <t>3.030.791</t>
  </si>
  <si>
    <t>3.030.791,35</t>
  </si>
  <si>
    <t>JP3868400007</t>
  </si>
  <si>
    <t>H78</t>
  </si>
  <si>
    <t>HONGKONG LAND HOLDINGS LTD</t>
  </si>
  <si>
    <t>5,64</t>
  </si>
  <si>
    <t>3.021.636</t>
  </si>
  <si>
    <t>3.021.635,64</t>
  </si>
  <si>
    <t>BMG4587L1090</t>
  </si>
  <si>
    <t>NHY</t>
  </si>
  <si>
    <t>NORSK HYDRO</t>
  </si>
  <si>
    <t>3,66</t>
  </si>
  <si>
    <t>3.002.279</t>
  </si>
  <si>
    <t>3.002.279,49</t>
  </si>
  <si>
    <t>NO0005052605</t>
  </si>
  <si>
    <t>YAMAHA CORP</t>
  </si>
  <si>
    <t>56,86</t>
  </si>
  <si>
    <t>3.002.410</t>
  </si>
  <si>
    <t>3.002.409,64</t>
  </si>
  <si>
    <t>JP3942600002</t>
  </si>
  <si>
    <t>ASM PACIFIC TECHNOLOGY LTD</t>
  </si>
  <si>
    <t>14,85</t>
  </si>
  <si>
    <t>2.992.896</t>
  </si>
  <si>
    <t>2.992.896,46</t>
  </si>
  <si>
    <t>KYG0535Q1331</t>
  </si>
  <si>
    <t>HENDERSON LAND DEVELOPMENT LTD</t>
  </si>
  <si>
    <t>4,91</t>
  </si>
  <si>
    <t>2.991.614</t>
  </si>
  <si>
    <t>2.991.614,42</t>
  </si>
  <si>
    <t>HK0012000102</t>
  </si>
  <si>
    <t>SUNTORY BEVERAGE &amp; FOOD LTD</t>
  </si>
  <si>
    <t>41,53</t>
  </si>
  <si>
    <t>2.985.989</t>
  </si>
  <si>
    <t>2.985.989,41</t>
  </si>
  <si>
    <t>JP3336560002</t>
  </si>
  <si>
    <t>INGENICO GROUP SA</t>
  </si>
  <si>
    <t>108,73</t>
  </si>
  <si>
    <t>2.972.801</t>
  </si>
  <si>
    <t>2.972.800,79</t>
  </si>
  <si>
    <t>FR0000125346</t>
  </si>
  <si>
    <t>PNDORA</t>
  </si>
  <si>
    <t>PANDORA</t>
  </si>
  <si>
    <t>51,35</t>
  </si>
  <si>
    <t>2.970.021</t>
  </si>
  <si>
    <t>2.970.021,10</t>
  </si>
  <si>
    <t>DK0060252690</t>
  </si>
  <si>
    <t>OHI</t>
  </si>
  <si>
    <t>OMEGA HEALTHCARE INVESTORS REIT IN</t>
  </si>
  <si>
    <t>42,36</t>
  </si>
  <si>
    <t>2.966.556</t>
  </si>
  <si>
    <t>2.966.555,52</t>
  </si>
  <si>
    <t>US6819361006</t>
  </si>
  <si>
    <t>ARW</t>
  </si>
  <si>
    <t>ARROW ELECTRONICS INC</t>
  </si>
  <si>
    <t>84,47</t>
  </si>
  <si>
    <t>2.951.213</t>
  </si>
  <si>
    <t>2.951.212,86</t>
  </si>
  <si>
    <t>US0427351004</t>
  </si>
  <si>
    <t>MAN</t>
  </si>
  <si>
    <t>MANPOWER INC</t>
  </si>
  <si>
    <t>97,79</t>
  </si>
  <si>
    <t>2.929.299</t>
  </si>
  <si>
    <t>2.929.299,45</t>
  </si>
  <si>
    <t>US56418H1005</t>
  </si>
  <si>
    <t>DAI NIPPON PRINTING LTD</t>
  </si>
  <si>
    <t>2.929.223</t>
  </si>
  <si>
    <t>2.929.222,75</t>
  </si>
  <si>
    <t>JP3493800001</t>
  </si>
  <si>
    <t>INGR</t>
  </si>
  <si>
    <t>INGREDION INC</t>
  </si>
  <si>
    <t>91,51</t>
  </si>
  <si>
    <t>2.927.222</t>
  </si>
  <si>
    <t>2.927.221,88</t>
  </si>
  <si>
    <t>US4571871023</t>
  </si>
  <si>
    <t>NISSIN FOODS HOLDINGS LTD</t>
  </si>
  <si>
    <t>74,11</t>
  </si>
  <si>
    <t>2.927.528</t>
  </si>
  <si>
    <t>2.927.528,29</t>
  </si>
  <si>
    <t>JP3675600005</t>
  </si>
  <si>
    <t>TSURUHA HOLDINGS INC</t>
  </si>
  <si>
    <t>127,14</t>
  </si>
  <si>
    <t>2.924.334</t>
  </si>
  <si>
    <t>2.924.333,70</t>
  </si>
  <si>
    <t>JP3536150000</t>
  </si>
  <si>
    <t>MKS</t>
  </si>
  <si>
    <t>MARKS AND SPENCER GROUP PLC</t>
  </si>
  <si>
    <t>2,50</t>
  </si>
  <si>
    <t>1.169.950</t>
  </si>
  <si>
    <t>2.923.089</t>
  </si>
  <si>
    <t>2.923.089,25</t>
  </si>
  <si>
    <t>GB0031274896</t>
  </si>
  <si>
    <t>RNR</t>
  </si>
  <si>
    <t>RENAISSANCERE HOLDING LTD</t>
  </si>
  <si>
    <t>189,11</t>
  </si>
  <si>
    <t>2.919.291</t>
  </si>
  <si>
    <t>2.919.291,07</t>
  </si>
  <si>
    <t>BMG7496G1033</t>
  </si>
  <si>
    <t>AUTOLIV INC</t>
  </si>
  <si>
    <t>79,29</t>
  </si>
  <si>
    <t>2.911.370</t>
  </si>
  <si>
    <t>2.911.370,22</t>
  </si>
  <si>
    <t>US0528001094</t>
  </si>
  <si>
    <t>HUSQ B</t>
  </si>
  <si>
    <t>HUSQVARNA</t>
  </si>
  <si>
    <t>8,31</t>
  </si>
  <si>
    <t>2.907.173</t>
  </si>
  <si>
    <t>2.907.172,61</t>
  </si>
  <si>
    <t>SE0001662230</t>
  </si>
  <si>
    <t>WHEELOCK AND LTD</t>
  </si>
  <si>
    <t>6,91</t>
  </si>
  <si>
    <t>2.897.337</t>
  </si>
  <si>
    <t>2.897.336,94</t>
  </si>
  <si>
    <t>HK0020000177</t>
  </si>
  <si>
    <t>NIPPON PROLOGIS REIT INC</t>
  </si>
  <si>
    <t>2.547,46</t>
  </si>
  <si>
    <t>2.893.917</t>
  </si>
  <si>
    <t>2.893.917,49</t>
  </si>
  <si>
    <t>JP3047550003</t>
  </si>
  <si>
    <t>J210</t>
  </si>
  <si>
    <t>TELUS CORP</t>
  </si>
  <si>
    <t>38,52</t>
  </si>
  <si>
    <t>2.891.789</t>
  </si>
  <si>
    <t>2.891.788,62</t>
  </si>
  <si>
    <t>CA87971M1032</t>
  </si>
  <si>
    <t>MLCO</t>
  </si>
  <si>
    <t>MELCO RESORTS ENTERTAINMENT ADR LT</t>
  </si>
  <si>
    <t>22,97</t>
  </si>
  <si>
    <t>2.888.064</t>
  </si>
  <si>
    <t>2.888.064,04</t>
  </si>
  <si>
    <t>US5854641009</t>
  </si>
  <si>
    <t>HEICO CORP</t>
  </si>
  <si>
    <t>120,09</t>
  </si>
  <si>
    <t>2.884.081</t>
  </si>
  <si>
    <t>2.884.081,44</t>
  </si>
  <si>
    <t>US4228061093</t>
  </si>
  <si>
    <t>JAPAN POST INSURANCE LTD</t>
  </si>
  <si>
    <t>2.862.194</t>
  </si>
  <si>
    <t>2.862.194,23</t>
  </si>
  <si>
    <t>JP3233250004</t>
  </si>
  <si>
    <t>ADMIRAL GROUP PLC</t>
  </si>
  <si>
    <t>30,03</t>
  </si>
  <si>
    <t>2.858.514</t>
  </si>
  <si>
    <t>2.858.513,75</t>
  </si>
  <si>
    <t>GB00B02J6398</t>
  </si>
  <si>
    <t>HKT TRUST AND HKT UNITS LTD</t>
  </si>
  <si>
    <t>1,49</t>
  </si>
  <si>
    <t>1.920.223</t>
  </si>
  <si>
    <t>2.853.181</t>
  </si>
  <si>
    <t>2.853.181,07</t>
  </si>
  <si>
    <t>HK0000093390</t>
  </si>
  <si>
    <t>JWN</t>
  </si>
  <si>
    <t>NORDSTROM INC</t>
  </si>
  <si>
    <t>41,75</t>
  </si>
  <si>
    <t>2.841.589</t>
  </si>
  <si>
    <t>2.841.588,50</t>
  </si>
  <si>
    <t>US6556641008</t>
  </si>
  <si>
    <t>NIPPON PAINT HOLDINGS LTD</t>
  </si>
  <si>
    <t>50,84</t>
  </si>
  <si>
    <t>2.841.940</t>
  </si>
  <si>
    <t>2.841.940,49</t>
  </si>
  <si>
    <t>JP3749400002</t>
  </si>
  <si>
    <t>REE</t>
  </si>
  <si>
    <t>RED ELECTRICA SA</t>
  </si>
  <si>
    <t>19,32</t>
  </si>
  <si>
    <t>2.838.673</t>
  </si>
  <si>
    <t>2.838.672,80</t>
  </si>
  <si>
    <t>ES0173093024</t>
  </si>
  <si>
    <t>SEE</t>
  </si>
  <si>
    <t>SEALED AIR CORP</t>
  </si>
  <si>
    <t>38,49</t>
  </si>
  <si>
    <t>2.831.324</t>
  </si>
  <si>
    <t>2.831.324,40</t>
  </si>
  <si>
    <t>US81211K1007</t>
  </si>
  <si>
    <t>PROX</t>
  </si>
  <si>
    <t>PROXIMUS NV</t>
  </si>
  <si>
    <t>28,04</t>
  </si>
  <si>
    <t>2.821.629</t>
  </si>
  <si>
    <t>2.821.628,89</t>
  </si>
  <si>
    <t>BE0003810273</t>
  </si>
  <si>
    <t>J211</t>
  </si>
  <si>
    <t>SEIKO EPSON CORP</t>
  </si>
  <si>
    <t>14,80</t>
  </si>
  <si>
    <t>2.815.849</t>
  </si>
  <si>
    <t>2.815.848,85</t>
  </si>
  <si>
    <t>JP3414750004</t>
  </si>
  <si>
    <t>FLS</t>
  </si>
  <si>
    <t>FLOWSERVE CORP</t>
  </si>
  <si>
    <t>49,81</t>
  </si>
  <si>
    <t>2.810.878</t>
  </si>
  <si>
    <t>2.810.877,92</t>
  </si>
  <si>
    <t>US34354P1057</t>
  </si>
  <si>
    <t>ROL</t>
  </si>
  <si>
    <t>ROLLINS INC</t>
  </si>
  <si>
    <t>34,73</t>
  </si>
  <si>
    <t>2.810.178</t>
  </si>
  <si>
    <t>2.810.177,95</t>
  </si>
  <si>
    <t>US7757111049</t>
  </si>
  <si>
    <t>RPM</t>
  </si>
  <si>
    <t>RPM INTERNATIONAL INC</t>
  </si>
  <si>
    <t>73,04</t>
  </si>
  <si>
    <t>2.807.585</t>
  </si>
  <si>
    <t>2.807.584,56</t>
  </si>
  <si>
    <t>US7496851038</t>
  </si>
  <si>
    <t>JMT</t>
  </si>
  <si>
    <t>JERONIMO MARTINS SA</t>
  </si>
  <si>
    <t>16,73</t>
  </si>
  <si>
    <t>2.807.592</t>
  </si>
  <si>
    <t>2.807.591,52</t>
  </si>
  <si>
    <t>PTJMT0AE0001</t>
  </si>
  <si>
    <t>TEN</t>
  </si>
  <si>
    <t>TENARIS SA</t>
  </si>
  <si>
    <t>11,54</t>
  </si>
  <si>
    <t>2.800.490</t>
  </si>
  <si>
    <t>2.800.490,29</t>
  </si>
  <si>
    <t>LU0156801721</t>
  </si>
  <si>
    <t>W</t>
  </si>
  <si>
    <t>WAYFAIR INC CLASS A</t>
  </si>
  <si>
    <t>95,22</t>
  </si>
  <si>
    <t>2.788.708</t>
  </si>
  <si>
    <t>2.788.708,14</t>
  </si>
  <si>
    <t>US94419L1017</t>
  </si>
  <si>
    <t>EV</t>
  </si>
  <si>
    <t>EATON VANCE COM NON VOTING CORP</t>
  </si>
  <si>
    <t>47,14</t>
  </si>
  <si>
    <t>2.785.173</t>
  </si>
  <si>
    <t>2.785.172,62</t>
  </si>
  <si>
    <t>US2782651036</t>
  </si>
  <si>
    <t>FOX</t>
  </si>
  <si>
    <t>FOX CORP CLASS B</t>
  </si>
  <si>
    <t>36,09</t>
  </si>
  <si>
    <t>2.782.947</t>
  </si>
  <si>
    <t>2.782.947,37</t>
  </si>
  <si>
    <t>US35137L2043</t>
  </si>
  <si>
    <t>PUM</t>
  </si>
  <si>
    <t>PUMA</t>
  </si>
  <si>
    <t>80,41</t>
  </si>
  <si>
    <t>2.784.225</t>
  </si>
  <si>
    <t>2.784.224,54</t>
  </si>
  <si>
    <t>DE0006969603</t>
  </si>
  <si>
    <t>OBAYASHI CORP</t>
  </si>
  <si>
    <t>11,19</t>
  </si>
  <si>
    <t>2.777.098</t>
  </si>
  <si>
    <t>2.777.098,14</t>
  </si>
  <si>
    <t>JP3190000004</t>
  </si>
  <si>
    <t>KINV B</t>
  </si>
  <si>
    <t>KINNEVIK CLASS B</t>
  </si>
  <si>
    <t>24,02</t>
  </si>
  <si>
    <t>2.763.150</t>
  </si>
  <si>
    <t>2.763.150,40</t>
  </si>
  <si>
    <t>SE0013256682</t>
  </si>
  <si>
    <t>KIKKOMAN CORP</t>
  </si>
  <si>
    <t>49,65</t>
  </si>
  <si>
    <t>2.755.750</t>
  </si>
  <si>
    <t>2.755.750,27</t>
  </si>
  <si>
    <t>JP3240400006</t>
  </si>
  <si>
    <t>NWSA</t>
  </si>
  <si>
    <t>NEWS CORP CLASS A</t>
  </si>
  <si>
    <t>14,35</t>
  </si>
  <si>
    <t>2.751.842</t>
  </si>
  <si>
    <t>2.751.842,10</t>
  </si>
  <si>
    <t>US65249B1098</t>
  </si>
  <si>
    <t>DLG</t>
  </si>
  <si>
    <t>DIRECT LINE INSURANCE PLC</t>
  </si>
  <si>
    <t>4,26</t>
  </si>
  <si>
    <t>2.737.136</t>
  </si>
  <si>
    <t>2.737.135,74</t>
  </si>
  <si>
    <t>GB00BY9D0Y18</t>
  </si>
  <si>
    <t>TAIHEIYO CEMENT CORP</t>
  </si>
  <si>
    <t>28,84</t>
  </si>
  <si>
    <t>2.734.283</t>
  </si>
  <si>
    <t>2.734.282,58</t>
  </si>
  <si>
    <t>JP3449020001</t>
  </si>
  <si>
    <t>KINROSS GOLD CORP</t>
  </si>
  <si>
    <t>4,54</t>
  </si>
  <si>
    <t>2.729.063</t>
  </si>
  <si>
    <t>2.729.063,10</t>
  </si>
  <si>
    <t>CA4969024047</t>
  </si>
  <si>
    <t>CLARIANT AG</t>
  </si>
  <si>
    <t>22,08</t>
  </si>
  <si>
    <t>2.727.822</t>
  </si>
  <si>
    <t>2.727.822,36</t>
  </si>
  <si>
    <t>CH0012142631</t>
  </si>
  <si>
    <t>CPR</t>
  </si>
  <si>
    <t>DAVIDE CAMPARI MILANO</t>
  </si>
  <si>
    <t>9,02</t>
  </si>
  <si>
    <t>2.719.750</t>
  </si>
  <si>
    <t>2.719.749,80</t>
  </si>
  <si>
    <t>IT0005252207</t>
  </si>
  <si>
    <t>AWC</t>
  </si>
  <si>
    <t>ALUMINA LTD</t>
  </si>
  <si>
    <t>1,60</t>
  </si>
  <si>
    <t>1.700.628</t>
  </si>
  <si>
    <t>2.712.792</t>
  </si>
  <si>
    <t>2.712.791,62</t>
  </si>
  <si>
    <t>AU000000AWC3</t>
  </si>
  <si>
    <t>TOSOH CORP</t>
  </si>
  <si>
    <t>15,20</t>
  </si>
  <si>
    <t>2.706.613</t>
  </si>
  <si>
    <t>2.706.612,81</t>
  </si>
  <si>
    <t>JP3595200001</t>
  </si>
  <si>
    <t>SPK</t>
  </si>
  <si>
    <t>SPARK NEW ZEALAND LTD</t>
  </si>
  <si>
    <t>3,00</t>
  </si>
  <si>
    <t>2.704.043</t>
  </si>
  <si>
    <t>2.704.042,69</t>
  </si>
  <si>
    <t>NZTELE0001S4</t>
  </si>
  <si>
    <t>CHUGOKU ELECTRIC POWER INC</t>
  </si>
  <si>
    <t>2.681.525</t>
  </si>
  <si>
    <t>2.681.525,25</t>
  </si>
  <si>
    <t>JP3522200009</t>
  </si>
  <si>
    <t>AIA</t>
  </si>
  <si>
    <t>AUCKLAND INTERNATIONAL AIRPORT LTD</t>
  </si>
  <si>
    <t>5,91</t>
  </si>
  <si>
    <t>2.669.154</t>
  </si>
  <si>
    <t>2.669.153,50</t>
  </si>
  <si>
    <t>NZAIAE0002S6</t>
  </si>
  <si>
    <t>C61U</t>
  </si>
  <si>
    <t>CAPITALAND COMMERCIAL TRUST</t>
  </si>
  <si>
    <t>1,54</t>
  </si>
  <si>
    <t>1.726.052</t>
  </si>
  <si>
    <t>2.662.554</t>
  </si>
  <si>
    <t>2.662.554,26</t>
  </si>
  <si>
    <t>SG1P32918333</t>
  </si>
  <si>
    <t>J212</t>
  </si>
  <si>
    <t>TUI</t>
  </si>
  <si>
    <t>TUI AG</t>
  </si>
  <si>
    <t>12,15</t>
  </si>
  <si>
    <t>2.660.325</t>
  </si>
  <si>
    <t>2.660.324,66</t>
  </si>
  <si>
    <t>DE000TUAG000</t>
  </si>
  <si>
    <t>SONY FINANCIAL HOLDINGS INC</t>
  </si>
  <si>
    <t>24,19</t>
  </si>
  <si>
    <t>2.658.224</t>
  </si>
  <si>
    <t>2.658.223,80</t>
  </si>
  <si>
    <t>JP3435350008</t>
  </si>
  <si>
    <t>AEROPORTS DE PARIS SA</t>
  </si>
  <si>
    <t>194,93</t>
  </si>
  <si>
    <t>2.655.542</t>
  </si>
  <si>
    <t>2.655.542,15</t>
  </si>
  <si>
    <t>FR0010340141</t>
  </si>
  <si>
    <t>BKI</t>
  </si>
  <si>
    <t>BLACK KNIGHT INC</t>
  </si>
  <si>
    <t>64,85</t>
  </si>
  <si>
    <t>2.637.839</t>
  </si>
  <si>
    <t>2.637.838,60</t>
  </si>
  <si>
    <t>US09215C1053</t>
  </si>
  <si>
    <t>WHARF REAL ESTATE INVESTMENT COMPA</t>
  </si>
  <si>
    <t>2.635.365</t>
  </si>
  <si>
    <t>2.635.365,32</t>
  </si>
  <si>
    <t>KYG9593A1040</t>
  </si>
  <si>
    <t>MFG</t>
  </si>
  <si>
    <t>MAGELLAN FINANCIAL GROUP LTD</t>
  </si>
  <si>
    <t>43,43</t>
  </si>
  <si>
    <t>2.633.733</t>
  </si>
  <si>
    <t>2.633.732,87</t>
  </si>
  <si>
    <t>AU000000MFG4</t>
  </si>
  <si>
    <t>J.FRONT RETAILING LTD</t>
  </si>
  <si>
    <t>14,16</t>
  </si>
  <si>
    <t>2.627.470</t>
  </si>
  <si>
    <t>2.627.469,88</t>
  </si>
  <si>
    <t>JP3386380004</t>
  </si>
  <si>
    <t>FBK</t>
  </si>
  <si>
    <t>FINECOBANK BANCA FINECO</t>
  </si>
  <si>
    <t>12,45</t>
  </si>
  <si>
    <t>2.625.286</t>
  </si>
  <si>
    <t>2.625.285,77</t>
  </si>
  <si>
    <t>IT0000072170</t>
  </si>
  <si>
    <t>LXS</t>
  </si>
  <si>
    <t>LANXESS AG</t>
  </si>
  <si>
    <t>64,32</t>
  </si>
  <si>
    <t>2.624.072</t>
  </si>
  <si>
    <t>2.624.071,52</t>
  </si>
  <si>
    <t>DE0005470405</t>
  </si>
  <si>
    <t>FLEX</t>
  </si>
  <si>
    <t>FLEX LTD</t>
  </si>
  <si>
    <t>2.623.648</t>
  </si>
  <si>
    <t>2.623.647,82</t>
  </si>
  <si>
    <t>SG9999000020</t>
  </si>
  <si>
    <t>DIM</t>
  </si>
  <si>
    <t>SARTORIUS STEDIM BIOTECH SA</t>
  </si>
  <si>
    <t>170,26</t>
  </si>
  <si>
    <t>2.623.518</t>
  </si>
  <si>
    <t>2.623.518,16</t>
  </si>
  <si>
    <t>FR0013154002</t>
  </si>
  <si>
    <t>IPGP</t>
  </si>
  <si>
    <t>IPG PHOTONICS CORP</t>
  </si>
  <si>
    <t>135,27</t>
  </si>
  <si>
    <t>2.620.180</t>
  </si>
  <si>
    <t>2.620.179,90</t>
  </si>
  <si>
    <t>US44980X1090</t>
  </si>
  <si>
    <t>PBCT</t>
  </si>
  <si>
    <t>PEOPLES UNITED FINANCIAL INC</t>
  </si>
  <si>
    <t>16,32</t>
  </si>
  <si>
    <t>2.610.515</t>
  </si>
  <si>
    <t>2.610.514,56</t>
  </si>
  <si>
    <t>US7127041058</t>
  </si>
  <si>
    <t>KOITO MANUFACTURING LTD</t>
  </si>
  <si>
    <t>45,64</t>
  </si>
  <si>
    <t>2.610.442</t>
  </si>
  <si>
    <t>2.610.441,77</t>
  </si>
  <si>
    <t>JP3284600008</t>
  </si>
  <si>
    <t>SJM HLDGS LTD</t>
  </si>
  <si>
    <t>1,29</t>
  </si>
  <si>
    <t>2.014.000</t>
  </si>
  <si>
    <t>2.593.172</t>
  </si>
  <si>
    <t>2.593.172,00</t>
  </si>
  <si>
    <t>HK0880043028</t>
  </si>
  <si>
    <t>AYI</t>
  </si>
  <si>
    <t>ACUITY BRANDS INC</t>
  </si>
  <si>
    <t>121,24</t>
  </si>
  <si>
    <t>2.586.655</t>
  </si>
  <si>
    <t>2.586.655,40</t>
  </si>
  <si>
    <t>US00508Y1029</t>
  </si>
  <si>
    <t>J213</t>
  </si>
  <si>
    <t>MAERSK A</t>
  </si>
  <si>
    <t>A P MOLLER MAERSK</t>
  </si>
  <si>
    <t>1.271,50</t>
  </si>
  <si>
    <t>2.584.956</t>
  </si>
  <si>
    <t>2.584.956,17</t>
  </si>
  <si>
    <t>DK0010244425</t>
  </si>
  <si>
    <t>YAKULT HONSHA LTD</t>
  </si>
  <si>
    <t>55,04</t>
  </si>
  <si>
    <t>2.581.298</t>
  </si>
  <si>
    <t>2.581.297,92</t>
  </si>
  <si>
    <t>JP3931600005</t>
  </si>
  <si>
    <t>MCRO</t>
  </si>
  <si>
    <t>MICRO FOCUS INTERNATIONAL PLC</t>
  </si>
  <si>
    <t>13,98</t>
  </si>
  <si>
    <t>2.571.996</t>
  </si>
  <si>
    <t>2.571.996,11</t>
  </si>
  <si>
    <t>GB00BJ1F4N75</t>
  </si>
  <si>
    <t>SDR</t>
  </si>
  <si>
    <t>SCHRODERS PLC</t>
  </si>
  <si>
    <t>42,68</t>
  </si>
  <si>
    <t>2.570.762</t>
  </si>
  <si>
    <t>2.570.762,32</t>
  </si>
  <si>
    <t>GB0002405495</t>
  </si>
  <si>
    <t>C38U</t>
  </si>
  <si>
    <t>CAPITALAND MALL TRUST</t>
  </si>
  <si>
    <t>1,87</t>
  </si>
  <si>
    <t>1.373.976</t>
  </si>
  <si>
    <t>2.567.799</t>
  </si>
  <si>
    <t>2.567.798,52</t>
  </si>
  <si>
    <t>SG1M51904654</t>
  </si>
  <si>
    <t>BANK OF EAST ASIA LTD</t>
  </si>
  <si>
    <t>1.135.493</t>
  </si>
  <si>
    <t>2.567.325</t>
  </si>
  <si>
    <t>2.567.324,88</t>
  </si>
  <si>
    <t>HK0023000190</t>
  </si>
  <si>
    <t>LBTYA</t>
  </si>
  <si>
    <t>LIBERTY GLOBAL PLC CLASS A</t>
  </si>
  <si>
    <t>20,63</t>
  </si>
  <si>
    <t>2.565.650</t>
  </si>
  <si>
    <t>2.565.649,95</t>
  </si>
  <si>
    <t>GB00B8W67662</t>
  </si>
  <si>
    <t>SINO LAND LTD</t>
  </si>
  <si>
    <t>1,47</t>
  </si>
  <si>
    <t>1.748.703</t>
  </si>
  <si>
    <t>2.562.301</t>
  </si>
  <si>
    <t>2.562.301,17</t>
  </si>
  <si>
    <t>HK0083000502</t>
  </si>
  <si>
    <t>SECU B</t>
  </si>
  <si>
    <t>SECURITAS B</t>
  </si>
  <si>
    <t>17,01</t>
  </si>
  <si>
    <t>2.560.433</t>
  </si>
  <si>
    <t>2.560.432,84</t>
  </si>
  <si>
    <t>SE0000163594</t>
  </si>
  <si>
    <t>NIKON CORP</t>
  </si>
  <si>
    <t>12,60</t>
  </si>
  <si>
    <t>2.560.207</t>
  </si>
  <si>
    <t>2.560.207,11</t>
  </si>
  <si>
    <t>JP3657400002</t>
  </si>
  <si>
    <t>IA FINANCIAL INC</t>
  </si>
  <si>
    <t>56,09</t>
  </si>
  <si>
    <t>2.540.908</t>
  </si>
  <si>
    <t>2.540.908,39</t>
  </si>
  <si>
    <t>CA45075E1043</t>
  </si>
  <si>
    <t>PII</t>
  </si>
  <si>
    <t>POLARIS INDUSTRIES INC</t>
  </si>
  <si>
    <t>92,33</t>
  </si>
  <si>
    <t>2.539.998</t>
  </si>
  <si>
    <t>2.539.998,30</t>
  </si>
  <si>
    <t>US7310681025</t>
  </si>
  <si>
    <t>ANDR</t>
  </si>
  <si>
    <t>ANDRITZ AG</t>
  </si>
  <si>
    <t>42,56</t>
  </si>
  <si>
    <t>2.532.983</t>
  </si>
  <si>
    <t>2.532.983,03</t>
  </si>
  <si>
    <t>AT0000730007</t>
  </si>
  <si>
    <t>KAJIMA CORP</t>
  </si>
  <si>
    <t>13,05</t>
  </si>
  <si>
    <t>2.522.561</t>
  </si>
  <si>
    <t>2.522.561,24</t>
  </si>
  <si>
    <t>JP3210200006</t>
  </si>
  <si>
    <t>HULIC LTD</t>
  </si>
  <si>
    <t>12,17</t>
  </si>
  <si>
    <t>2.510.435</t>
  </si>
  <si>
    <t>2.510.434,67</t>
  </si>
  <si>
    <t>JP3360800001</t>
  </si>
  <si>
    <t>MF</t>
  </si>
  <si>
    <t>WENDEL</t>
  </si>
  <si>
    <t>131,69</t>
  </si>
  <si>
    <t>2.504.838</t>
  </si>
  <si>
    <t>2.504.838,42</t>
  </si>
  <si>
    <t>FR0000121204</t>
  </si>
  <si>
    <t>HITACHI CHEMICAL LTD</t>
  </si>
  <si>
    <t>41,89</t>
  </si>
  <si>
    <t>2.501.123</t>
  </si>
  <si>
    <t>2.501.122,67</t>
  </si>
  <si>
    <t>JP3785000005</t>
  </si>
  <si>
    <t>FAMILYMART LTD</t>
  </si>
  <si>
    <t>23,96</t>
  </si>
  <si>
    <t>2.491.785</t>
  </si>
  <si>
    <t>2.491.785,32</t>
  </si>
  <si>
    <t>JP3802600001</t>
  </si>
  <si>
    <t>KGX</t>
  </si>
  <si>
    <t>KION GROUP AG</t>
  </si>
  <si>
    <t>67,57</t>
  </si>
  <si>
    <t>2.468.605</t>
  </si>
  <si>
    <t>2.468.605,30</t>
  </si>
  <si>
    <t>DE000KGX8881</t>
  </si>
  <si>
    <t>DISCA</t>
  </si>
  <si>
    <t>DISCOVERY INC SERIES A</t>
  </si>
  <si>
    <t>31,85</t>
  </si>
  <si>
    <t>2.468.662</t>
  </si>
  <si>
    <t>2.468.661,65</t>
  </si>
  <si>
    <t>US25470F1049</t>
  </si>
  <si>
    <t>MARUI GROUP LTD</t>
  </si>
  <si>
    <t>25,34</t>
  </si>
  <si>
    <t>2.467.893</t>
  </si>
  <si>
    <t>2.467.893,39</t>
  </si>
  <si>
    <t>JP3870400003</t>
  </si>
  <si>
    <t>TIGO SDB</t>
  </si>
  <si>
    <t>MILLICOM INTERNATIONAL CELLULAR SD</t>
  </si>
  <si>
    <t>46,86</t>
  </si>
  <si>
    <t>2.464.415</t>
  </si>
  <si>
    <t>2.464.414,97</t>
  </si>
  <si>
    <t>SE0001174970</t>
  </si>
  <si>
    <t>HBI</t>
  </si>
  <si>
    <t>HANESBRANDS INC</t>
  </si>
  <si>
    <t>13,84</t>
  </si>
  <si>
    <t>2.463.838</t>
  </si>
  <si>
    <t>2.463.838,32</t>
  </si>
  <si>
    <t>US4103451021</t>
  </si>
  <si>
    <t>GJF</t>
  </si>
  <si>
    <t>GJENSIDIGE FORSIKRING</t>
  </si>
  <si>
    <t>20,73</t>
  </si>
  <si>
    <t>2.452.206</t>
  </si>
  <si>
    <t>2.452.206,29</t>
  </si>
  <si>
    <t>NO0010582521</t>
  </si>
  <si>
    <t>TSGI</t>
  </si>
  <si>
    <t>STARS GROUP INC</t>
  </si>
  <si>
    <t>25,84</t>
  </si>
  <si>
    <t>2.449.628</t>
  </si>
  <si>
    <t>2.449.627,84</t>
  </si>
  <si>
    <t>CA85570W1005</t>
  </si>
  <si>
    <t>GPS</t>
  </si>
  <si>
    <t>GAP INC</t>
  </si>
  <si>
    <t>17,80</t>
  </si>
  <si>
    <t>2.451.790</t>
  </si>
  <si>
    <t>2.451.789,80</t>
  </si>
  <si>
    <t>US3647601083</t>
  </si>
  <si>
    <t>SBRY</t>
  </si>
  <si>
    <t>SAINSBURY(J) PLC</t>
  </si>
  <si>
    <t>2,87</t>
  </si>
  <si>
    <t>2.450.824</t>
  </si>
  <si>
    <t>2.450.824,24</t>
  </si>
  <si>
    <t>GB00B019KW72</t>
  </si>
  <si>
    <t>AMUN</t>
  </si>
  <si>
    <t>AMUNDI SA</t>
  </si>
  <si>
    <t>78,24</t>
  </si>
  <si>
    <t>2.444.892</t>
  </si>
  <si>
    <t>2.444.891,76</t>
  </si>
  <si>
    <t>FR0004125920</t>
  </si>
  <si>
    <t>SCHN</t>
  </si>
  <si>
    <t>SCHINDLER HOLDING AG</t>
  </si>
  <si>
    <t>241,87</t>
  </si>
  <si>
    <t>2.431.761</t>
  </si>
  <si>
    <t>2.431.761,21</t>
  </si>
  <si>
    <t>CH0024638212</t>
  </si>
  <si>
    <t>GRUB</t>
  </si>
  <si>
    <t>GRUBHUB INC</t>
  </si>
  <si>
    <t>52,38</t>
  </si>
  <si>
    <t>2.419.223</t>
  </si>
  <si>
    <t>2.419.222,68</t>
  </si>
  <si>
    <t>US4001101025</t>
  </si>
  <si>
    <t>MTCH</t>
  </si>
  <si>
    <t>MATCH GROUP INC</t>
  </si>
  <si>
    <t>87,13</t>
  </si>
  <si>
    <t>2.396.075</t>
  </si>
  <si>
    <t>2.396.075,00</t>
  </si>
  <si>
    <t>US57665R1068</t>
  </si>
  <si>
    <t>J230</t>
  </si>
  <si>
    <t>IDQ</t>
  </si>
  <si>
    <t>ORNBV</t>
  </si>
  <si>
    <t>ORION CORP CLASS B</t>
  </si>
  <si>
    <t>46,47</t>
  </si>
  <si>
    <t>2.396.367</t>
  </si>
  <si>
    <t>2.396.367,47</t>
  </si>
  <si>
    <t>FI0009014377</t>
  </si>
  <si>
    <t>J231</t>
  </si>
  <si>
    <t>LAB</t>
  </si>
  <si>
    <t>FBU</t>
  </si>
  <si>
    <t>FLETCHER BUILDING LTD</t>
  </si>
  <si>
    <t>3,39</t>
  </si>
  <si>
    <t>2.396.805</t>
  </si>
  <si>
    <t>2.396.804,86</t>
  </si>
  <si>
    <t>NZFBUE0001S0</t>
  </si>
  <si>
    <t>J232</t>
  </si>
  <si>
    <t>ISA</t>
  </si>
  <si>
    <t>LEG</t>
  </si>
  <si>
    <t>LEGGETT &amp; PLATT INC</t>
  </si>
  <si>
    <t>49,45</t>
  </si>
  <si>
    <t>2.394.122</t>
  </si>
  <si>
    <t>2.394.121,75</t>
  </si>
  <si>
    <t>US5246601075</t>
  </si>
  <si>
    <t>JBL</t>
  </si>
  <si>
    <t>NAGOYA RAILROAD LTD</t>
  </si>
  <si>
    <t>30,94</t>
  </si>
  <si>
    <t>2.395.093</t>
  </si>
  <si>
    <t>2.395.092,55</t>
  </si>
  <si>
    <t>JP3649800004</t>
  </si>
  <si>
    <t>AVL</t>
  </si>
  <si>
    <t>CU</t>
  </si>
  <si>
    <t>CANADIAN UTILITIES LTD CLASS A</t>
  </si>
  <si>
    <t>30,30</t>
  </si>
  <si>
    <t>2.378.217</t>
  </si>
  <si>
    <t>2.378.216,71</t>
  </si>
  <si>
    <t>CA1367178326</t>
  </si>
  <si>
    <t>ACG</t>
  </si>
  <si>
    <t>NISSAN CHEMICAL CORP</t>
  </si>
  <si>
    <t>42,63</t>
  </si>
  <si>
    <t>2.374.215</t>
  </si>
  <si>
    <t>2.374.215,04</t>
  </si>
  <si>
    <t>JP3670800006</t>
  </si>
  <si>
    <t>NFP</t>
  </si>
  <si>
    <t>TOKYU FUDOSAN HOLDINGS CORP</t>
  </si>
  <si>
    <t>6,71</t>
  </si>
  <si>
    <t>2.374.487</t>
  </si>
  <si>
    <t>2.374.487,40</t>
  </si>
  <si>
    <t>JP3569200003</t>
  </si>
  <si>
    <t>REN</t>
  </si>
  <si>
    <t>KURARAY LTD</t>
  </si>
  <si>
    <t>11,80</t>
  </si>
  <si>
    <t>2.372.152</t>
  </si>
  <si>
    <t>2.372.152,25</t>
  </si>
  <si>
    <t>JP3269600007</t>
  </si>
  <si>
    <t>ALH</t>
  </si>
  <si>
    <t>MITSUI CHEMICALS INC</t>
  </si>
  <si>
    <t>23,56</t>
  </si>
  <si>
    <t>2.358.143</t>
  </si>
  <si>
    <t>2.358.142,57</t>
  </si>
  <si>
    <t>JP3888300005</t>
  </si>
  <si>
    <t>MAP</t>
  </si>
  <si>
    <t>KN</t>
  </si>
  <si>
    <t>NATIXIS SA</t>
  </si>
  <si>
    <t>2.352.488</t>
  </si>
  <si>
    <t>2.352.487,89</t>
  </si>
  <si>
    <t>FR0000120685</t>
  </si>
  <si>
    <t>SVB</t>
  </si>
  <si>
    <t>AMERICAN AIRLINES GROUP INC</t>
  </si>
  <si>
    <t>2.352.143</t>
  </si>
  <si>
    <t>2.352.142,72</t>
  </si>
  <si>
    <t>US02376R1023</t>
  </si>
  <si>
    <t>MLE</t>
  </si>
  <si>
    <t>ALPS ALPINE LTD</t>
  </si>
  <si>
    <t>2.346.983</t>
  </si>
  <si>
    <t>2.346.983,14</t>
  </si>
  <si>
    <t>JP3126400005</t>
  </si>
  <si>
    <t>ETO</t>
  </si>
  <si>
    <t>AMADA HOLDINGS LTD</t>
  </si>
  <si>
    <t>11,56</t>
  </si>
  <si>
    <t>2.343.417</t>
  </si>
  <si>
    <t>2.343.417,31</t>
  </si>
  <si>
    <t>JP3122800000</t>
  </si>
  <si>
    <t>ACE</t>
  </si>
  <si>
    <t>ANTO</t>
  </si>
  <si>
    <t>ANTOFAGASTA PLC</t>
  </si>
  <si>
    <t>12,34</t>
  </si>
  <si>
    <t>2.344.114</t>
  </si>
  <si>
    <t>2.344.114,11</t>
  </si>
  <si>
    <t>GB0000456144</t>
  </si>
  <si>
    <t>ADW</t>
  </si>
  <si>
    <t>REC</t>
  </si>
  <si>
    <t>RECORDATI INDUSTRIA CHIMICA E FARM</t>
  </si>
  <si>
    <t>43,09</t>
  </si>
  <si>
    <t>2.337.644</t>
  </si>
  <si>
    <t>2.337.644,24</t>
  </si>
  <si>
    <t>IT0003828271</t>
  </si>
  <si>
    <t>SUMITOMO RUBBER INDUSTRIES LTD</t>
  </si>
  <si>
    <t>11,77</t>
  </si>
  <si>
    <t>2.337.754</t>
  </si>
  <si>
    <t>2.337.753,74</t>
  </si>
  <si>
    <t>JP3404200002</t>
  </si>
  <si>
    <t>BUC</t>
  </si>
  <si>
    <t>JAPAN PRIME REALTY INVESTMENT REIT</t>
  </si>
  <si>
    <t>4.326,40</t>
  </si>
  <si>
    <t>2.331.928</t>
  </si>
  <si>
    <t>2.331.927,71</t>
  </si>
  <si>
    <t>JP3040890000</t>
  </si>
  <si>
    <t>GAM</t>
  </si>
  <si>
    <t>AMP LTD</t>
  </si>
  <si>
    <t>1,30</t>
  </si>
  <si>
    <t>1.796.710</t>
  </si>
  <si>
    <t>2.332.550</t>
  </si>
  <si>
    <t>2.332.550,01</t>
  </si>
  <si>
    <t>AU000000AMP6</t>
  </si>
  <si>
    <t>GBI</t>
  </si>
  <si>
    <t>TOHO (TOKYO) LTD</t>
  </si>
  <si>
    <t>40,94</t>
  </si>
  <si>
    <t>2.329.285</t>
  </si>
  <si>
    <t>2.329.285,32</t>
  </si>
  <si>
    <t>JP3598600009</t>
  </si>
  <si>
    <t>GLI</t>
  </si>
  <si>
    <t>T82U</t>
  </si>
  <si>
    <t>SUNTEC UNITS TRUST</t>
  </si>
  <si>
    <t>1.673.057</t>
  </si>
  <si>
    <t>2.320.244</t>
  </si>
  <si>
    <t>2.320.243,69</t>
  </si>
  <si>
    <t>SG1Q52922370</t>
  </si>
  <si>
    <t>HET</t>
  </si>
  <si>
    <t>NIPPON SHINYAKU LTD</t>
  </si>
  <si>
    <t>89,91</t>
  </si>
  <si>
    <t>2.310.560</t>
  </si>
  <si>
    <t>2.310.560,42</t>
  </si>
  <si>
    <t>JP3717600005</t>
  </si>
  <si>
    <t>ILE</t>
  </si>
  <si>
    <t>VERBUND AG</t>
  </si>
  <si>
    <t>48,99</t>
  </si>
  <si>
    <t>2.307.937</t>
  </si>
  <si>
    <t>2.307.937,17</t>
  </si>
  <si>
    <t>AT0000746409</t>
  </si>
  <si>
    <t>KBO</t>
  </si>
  <si>
    <t>ALA</t>
  </si>
  <si>
    <t>ALTAGAS LTD</t>
  </si>
  <si>
    <t>15,02</t>
  </si>
  <si>
    <t>2.306.587</t>
  </si>
  <si>
    <t>2.306.587,29</t>
  </si>
  <si>
    <t>CA0213611001</t>
  </si>
  <si>
    <t>NUT</t>
  </si>
  <si>
    <t>JTEKT CORP</t>
  </si>
  <si>
    <t>2.291.292</t>
  </si>
  <si>
    <t>2.291.292,44</t>
  </si>
  <si>
    <t>JP3292200007</t>
  </si>
  <si>
    <t>OAS</t>
  </si>
  <si>
    <t>ICAD</t>
  </si>
  <si>
    <t>ICADE REIT SA</t>
  </si>
  <si>
    <t>108,52</t>
  </si>
  <si>
    <t>2.277.471</t>
  </si>
  <si>
    <t>2.277.470,55</t>
  </si>
  <si>
    <t>FR0000035081</t>
  </si>
  <si>
    <t>PSV</t>
  </si>
  <si>
    <t>EPI B</t>
  </si>
  <si>
    <t>EPIROC CLASS B</t>
  </si>
  <si>
    <t>11,94</t>
  </si>
  <si>
    <t>2.265.982</t>
  </si>
  <si>
    <t>2.265.981,94</t>
  </si>
  <si>
    <t>SE0011166941</t>
  </si>
  <si>
    <t>UPL</t>
  </si>
  <si>
    <t>GFS</t>
  </si>
  <si>
    <t>G4S PLC</t>
  </si>
  <si>
    <t>2,65</t>
  </si>
  <si>
    <t>2.258.315</t>
  </si>
  <si>
    <t>2.258.314,77</t>
  </si>
  <si>
    <t>GB00B01FLG62</t>
  </si>
  <si>
    <t>VIS</t>
  </si>
  <si>
    <t>CAMECO CORP</t>
  </si>
  <si>
    <t>8,96</t>
  </si>
  <si>
    <t>2.257.129</t>
  </si>
  <si>
    <t>2.257.128,83</t>
  </si>
  <si>
    <t>CA13321L1085</t>
  </si>
  <si>
    <t>VUN</t>
  </si>
  <si>
    <t>G13</t>
  </si>
  <si>
    <t>GENTING SINGAPORE LTD</t>
  </si>
  <si>
    <t>3.252.540</t>
  </si>
  <si>
    <t>2.231.237</t>
  </si>
  <si>
    <t>2.231.236,65</t>
  </si>
  <si>
    <t>SGXE21576413</t>
  </si>
  <si>
    <t>WEA</t>
  </si>
  <si>
    <t>KEYERA CORP</t>
  </si>
  <si>
    <t>26,36</t>
  </si>
  <si>
    <t>2.231.146</t>
  </si>
  <si>
    <t>2.231.146,35</t>
  </si>
  <si>
    <t>CA4932711001</t>
  </si>
  <si>
    <t>NVE</t>
  </si>
  <si>
    <t>HIKARI TSUSHIN INC</t>
  </si>
  <si>
    <t>250,37</t>
  </si>
  <si>
    <t>2.228.249</t>
  </si>
  <si>
    <t>2.228.249,36</t>
  </si>
  <si>
    <t>JP3783420007</t>
  </si>
  <si>
    <t>J233</t>
  </si>
  <si>
    <t>AIR CANADA VOTING AND VARIABLE VOT</t>
  </si>
  <si>
    <t>39,00</t>
  </si>
  <si>
    <t>2.223.548</t>
  </si>
  <si>
    <t>2.223.547,87</t>
  </si>
  <si>
    <t>CA0089118776</t>
  </si>
  <si>
    <t>HAMAMATSU PHOTONICS</t>
  </si>
  <si>
    <t>41,35</t>
  </si>
  <si>
    <t>2.220.345</t>
  </si>
  <si>
    <t>2.220.345,02</t>
  </si>
  <si>
    <t>JP3771800004</t>
  </si>
  <si>
    <t>KEISEI ELECTRIC RAILWAY LTD</t>
  </si>
  <si>
    <t>39,48</t>
  </si>
  <si>
    <t>2.211.056</t>
  </si>
  <si>
    <t>2.211.055,59</t>
  </si>
  <si>
    <t>JP3278600006</t>
  </si>
  <si>
    <t>KONAMI HOLDINGS CORP</t>
  </si>
  <si>
    <t>40,85</t>
  </si>
  <si>
    <t>2.196.369</t>
  </si>
  <si>
    <t>2.196.368,88</t>
  </si>
  <si>
    <t>JP3300200007</t>
  </si>
  <si>
    <t>KEIHAN HOLDINGS LTD</t>
  </si>
  <si>
    <t>48,47</t>
  </si>
  <si>
    <t>2.180.464</t>
  </si>
  <si>
    <t>2.180.463,58</t>
  </si>
  <si>
    <t>JP3279400000</t>
  </si>
  <si>
    <t>ORIX JREIT REIT INC</t>
  </si>
  <si>
    <t>2.153,16</t>
  </si>
  <si>
    <t>2.172.537</t>
  </si>
  <si>
    <t>2.172.536,51</t>
  </si>
  <si>
    <t>JP3040880001</t>
  </si>
  <si>
    <t>CONCORDIA FINANCIAL GROUP LTD</t>
  </si>
  <si>
    <t>2.168.955</t>
  </si>
  <si>
    <t>2.168.954,91</t>
  </si>
  <si>
    <t>JP3305990008</t>
  </si>
  <si>
    <t>DAIFUKU LTD</t>
  </si>
  <si>
    <t>65,81</t>
  </si>
  <si>
    <t>2.158.525</t>
  </si>
  <si>
    <t>2.158.525,01</t>
  </si>
  <si>
    <t>JP3497400006</t>
  </si>
  <si>
    <t>PEPTIDREAM INC</t>
  </si>
  <si>
    <t>2.159.091</t>
  </si>
  <si>
    <t>2.159.090,91</t>
  </si>
  <si>
    <t>JP3836750004</t>
  </si>
  <si>
    <t>WYNN MACAU LTD</t>
  </si>
  <si>
    <t>2.156.139</t>
  </si>
  <si>
    <t>2.156.138,83</t>
  </si>
  <si>
    <t>KYG981491007</t>
  </si>
  <si>
    <t>ATC</t>
  </si>
  <si>
    <t>ALTICE EUROPE NV</t>
  </si>
  <si>
    <t>6,58</t>
  </si>
  <si>
    <t>2.139.172</t>
  </si>
  <si>
    <t>2.139.172,42</t>
  </si>
  <si>
    <t>NL0011333752</t>
  </si>
  <si>
    <t>TOHOKU ELECTRIC POWER INC</t>
  </si>
  <si>
    <t>9,47</t>
  </si>
  <si>
    <t>2.138.975</t>
  </si>
  <si>
    <t>2.138.975,41</t>
  </si>
  <si>
    <t>JP3605400005</t>
  </si>
  <si>
    <t>COCA-COLA AMATIL LTD</t>
  </si>
  <si>
    <t>8,04</t>
  </si>
  <si>
    <t>2.133.775</t>
  </si>
  <si>
    <t>2.133.774,95</t>
  </si>
  <si>
    <t>AU000000CCL2</t>
  </si>
  <si>
    <t>ATUS</t>
  </si>
  <si>
    <t>ALTICE USA INC CLASS A</t>
  </si>
  <si>
    <t>28,05</t>
  </si>
  <si>
    <t>2.132.221</t>
  </si>
  <si>
    <t>2.132.220,75</t>
  </si>
  <si>
    <t>US02156K1034</t>
  </si>
  <si>
    <t>J235</t>
  </si>
  <si>
    <t>KEIO CORP</t>
  </si>
  <si>
    <t>2.131.747</t>
  </si>
  <si>
    <t>2.131.746,99</t>
  </si>
  <si>
    <t>JP3277800003</t>
  </si>
  <si>
    <t>CIX</t>
  </si>
  <si>
    <t>CI FINANCIAL CORP</t>
  </si>
  <si>
    <t>17,62</t>
  </si>
  <si>
    <t>2.115.633</t>
  </si>
  <si>
    <t>2.115.633,45</t>
  </si>
  <si>
    <t>CA1254911003</t>
  </si>
  <si>
    <t>ALFRESA HOLDINGS CORP</t>
  </si>
  <si>
    <t>20,13</t>
  </si>
  <si>
    <t>2.115.138</t>
  </si>
  <si>
    <t>2.115.137,60</t>
  </si>
  <si>
    <t>JP3126340003</t>
  </si>
  <si>
    <t>DISCO CORP</t>
  </si>
  <si>
    <t>245,53</t>
  </si>
  <si>
    <t>2.111.537</t>
  </si>
  <si>
    <t>2.111.537,06</t>
  </si>
  <si>
    <t>JP3548600000</t>
  </si>
  <si>
    <t>J250</t>
  </si>
  <si>
    <t>SEK CASH</t>
  </si>
  <si>
    <t>10,53</t>
  </si>
  <si>
    <t>19.945.644</t>
  </si>
  <si>
    <t>2.100.304</t>
  </si>
  <si>
    <t>2.100.304,22</t>
  </si>
  <si>
    <t>SGRE</t>
  </si>
  <si>
    <t>SIEMENS GAMESA RENEWABLE ENERGY SA</t>
  </si>
  <si>
    <t>16,79</t>
  </si>
  <si>
    <t>2.092.559</t>
  </si>
  <si>
    <t>2.092.559,44</t>
  </si>
  <si>
    <t>ES0143416115</t>
  </si>
  <si>
    <t>EO</t>
  </si>
  <si>
    <t>FAURECIA</t>
  </si>
  <si>
    <t>53,08</t>
  </si>
  <si>
    <t>2.088.782</t>
  </si>
  <si>
    <t>2.088.781,52</t>
  </si>
  <si>
    <t>FR0000121147</t>
  </si>
  <si>
    <t>TEIJIN LTD</t>
  </si>
  <si>
    <t>18,31</t>
  </si>
  <si>
    <t>2.087.295</t>
  </si>
  <si>
    <t>2.087.294,63</t>
  </si>
  <si>
    <t>JP3544000007</t>
  </si>
  <si>
    <t>VOW</t>
  </si>
  <si>
    <t>VOLKSWAGEN AG</t>
  </si>
  <si>
    <t>203,49</t>
  </si>
  <si>
    <t>2.072.120</t>
  </si>
  <si>
    <t>2.072.120,19</t>
  </si>
  <si>
    <t>DE0007664005</t>
  </si>
  <si>
    <t>BUDWEISER BREWING COMPANY APAC LTD</t>
  </si>
  <si>
    <t>3,29</t>
  </si>
  <si>
    <t>2.071.226</t>
  </si>
  <si>
    <t>2.071.225,96</t>
  </si>
  <si>
    <t>KYG1674K1013</t>
  </si>
  <si>
    <t>EVK</t>
  </si>
  <si>
    <t>EVONIK INDUSTRIES AG</t>
  </si>
  <si>
    <t>29,62</t>
  </si>
  <si>
    <t>2.060.606</t>
  </si>
  <si>
    <t>2.060.606,38</t>
  </si>
  <si>
    <t>DE000EVNK013</t>
  </si>
  <si>
    <t>KBX</t>
  </si>
  <si>
    <t>KNORR BREMSE AG</t>
  </si>
  <si>
    <t>102,35</t>
  </si>
  <si>
    <t>2.058.263</t>
  </si>
  <si>
    <t>2.058.263,43</t>
  </si>
  <si>
    <t>DE000KBX1006</t>
  </si>
  <si>
    <t>JD.</t>
  </si>
  <si>
    <t>JD SPORTS FASHION PLC</t>
  </si>
  <si>
    <t>10,87</t>
  </si>
  <si>
    <t>2.058.019</t>
  </si>
  <si>
    <t>2.058.018,84</t>
  </si>
  <si>
    <t>GB00BYX91H57</t>
  </si>
  <si>
    <t>RYOHIN KEIKAKU LTD</t>
  </si>
  <si>
    <t>23,99</t>
  </si>
  <si>
    <t>2.052.076</t>
  </si>
  <si>
    <t>2.052.075,58</t>
  </si>
  <si>
    <t>JP3976300008</t>
  </si>
  <si>
    <t>V03</t>
  </si>
  <si>
    <t>VENTURE CORPORATION LTD</t>
  </si>
  <si>
    <t>12,24</t>
  </si>
  <si>
    <t>2.042.309</t>
  </si>
  <si>
    <t>2.042.309,40</t>
  </si>
  <si>
    <t>SG0531000230</t>
  </si>
  <si>
    <t>KOSE CORP</t>
  </si>
  <si>
    <t>160,55</t>
  </si>
  <si>
    <t>2.039.001</t>
  </si>
  <si>
    <t>2.039.001,46</t>
  </si>
  <si>
    <t>JP3283650004</t>
  </si>
  <si>
    <t>LUN</t>
  </si>
  <si>
    <t>LUNDIN MINING CORP</t>
  </si>
  <si>
    <t>5,90</t>
  </si>
  <si>
    <t>2.035.723</t>
  </si>
  <si>
    <t>2.035.722,71</t>
  </si>
  <si>
    <t>CA5503721063</t>
  </si>
  <si>
    <t>S</t>
  </si>
  <si>
    <t>SPRINT CORP</t>
  </si>
  <si>
    <t>4,88</t>
  </si>
  <si>
    <t>2.035.511</t>
  </si>
  <si>
    <t>2.035.511,44</t>
  </si>
  <si>
    <t>US85207U1051</t>
  </si>
  <si>
    <t>BLD</t>
  </si>
  <si>
    <t>BORAL LTD</t>
  </si>
  <si>
    <t>2.033.521</t>
  </si>
  <si>
    <t>2.033.520,73</t>
  </si>
  <si>
    <t>AU000000BLD2</t>
  </si>
  <si>
    <t>S68</t>
  </si>
  <si>
    <t>SINGAPORE EXCHANGE LTD</t>
  </si>
  <si>
    <t>6,52</t>
  </si>
  <si>
    <t>2.031.439</t>
  </si>
  <si>
    <t>2.031.439,14</t>
  </si>
  <si>
    <t>SG1J26887955</t>
  </si>
  <si>
    <t>VPK</t>
  </si>
  <si>
    <t>KONINKLIJKE VOPAK NV</t>
  </si>
  <si>
    <t>55,08</t>
  </si>
  <si>
    <t>2.028.982</t>
  </si>
  <si>
    <t>2.028.982,00</t>
  </si>
  <si>
    <t>NL0009432491</t>
  </si>
  <si>
    <t>BIM</t>
  </si>
  <si>
    <t>BIOMERIEUX SA</t>
  </si>
  <si>
    <t>2.023.258</t>
  </si>
  <si>
    <t>2.023.258,02</t>
  </si>
  <si>
    <t>FR0013280286</t>
  </si>
  <si>
    <t>NABTESCO CORP</t>
  </si>
  <si>
    <t>31,26</t>
  </si>
  <si>
    <t>2.022.363</t>
  </si>
  <si>
    <t>2.022.363,09</t>
  </si>
  <si>
    <t>JP3651210001</t>
  </si>
  <si>
    <t>CHEUNG KONG INFRASTRUCTURE HOLDING</t>
  </si>
  <si>
    <t>7,26</t>
  </si>
  <si>
    <t>2.018.811</t>
  </si>
  <si>
    <t>2.018.811,44</t>
  </si>
  <si>
    <t>BMG2178K1009</t>
  </si>
  <si>
    <t>AVEVA GROUP PLC</t>
  </si>
  <si>
    <t>61,96</t>
  </si>
  <si>
    <t>2.012.491</t>
  </si>
  <si>
    <t>2.012.490,67</t>
  </si>
  <si>
    <t>GB00BBG9VN75</t>
  </si>
  <si>
    <t>JAPAN POST BANK LTD</t>
  </si>
  <si>
    <t>9,45</t>
  </si>
  <si>
    <t>2.008.406</t>
  </si>
  <si>
    <t>2.008.406,35</t>
  </si>
  <si>
    <t>JP3946750001</t>
  </si>
  <si>
    <t>COTY</t>
  </si>
  <si>
    <t>COTY INC CLASS A</t>
  </si>
  <si>
    <t>10,60</t>
  </si>
  <si>
    <t>2.004.312</t>
  </si>
  <si>
    <t>2.004.311,60</t>
  </si>
  <si>
    <t>US2220702037</t>
  </si>
  <si>
    <t>ILD</t>
  </si>
  <si>
    <t>ILIAD SA</t>
  </si>
  <si>
    <t>131,53</t>
  </si>
  <si>
    <t>2.004.359</t>
  </si>
  <si>
    <t>2.004.359,34</t>
  </si>
  <si>
    <t>FR0004035913</t>
  </si>
  <si>
    <t>AM</t>
  </si>
  <si>
    <t>DASSAULT AVIATION SA</t>
  </si>
  <si>
    <t>1.242,48</t>
  </si>
  <si>
    <t>2.005.378</t>
  </si>
  <si>
    <t>2.005.377,73</t>
  </si>
  <si>
    <t>FR0000121725</t>
  </si>
  <si>
    <t>HINO MOTORS LTD</t>
  </si>
  <si>
    <t>10,49</t>
  </si>
  <si>
    <t>2.005.192</t>
  </si>
  <si>
    <t>2.005.191,68</t>
  </si>
  <si>
    <t>JP3792600003</t>
  </si>
  <si>
    <t>HOSHIZAKI CORP</t>
  </si>
  <si>
    <t>91,18</t>
  </si>
  <si>
    <t>2.006.024</t>
  </si>
  <si>
    <t>2.006.024,10</t>
  </si>
  <si>
    <t>JP3845770001</t>
  </si>
  <si>
    <t>ISS</t>
  </si>
  <si>
    <t>ISS A S</t>
  </si>
  <si>
    <t>24,69</t>
  </si>
  <si>
    <t>1.995.846</t>
  </si>
  <si>
    <t>1.995.846,14</t>
  </si>
  <si>
    <t>DK0060542181</t>
  </si>
  <si>
    <t>DUFN</t>
  </si>
  <si>
    <t>DUFRY AG</t>
  </si>
  <si>
    <t>98,64</t>
  </si>
  <si>
    <t>1.985.496</t>
  </si>
  <si>
    <t>1.985.496,02</t>
  </si>
  <si>
    <t>CH0023405456</t>
  </si>
  <si>
    <t>MZTF</t>
  </si>
  <si>
    <t>MIZRAHI TEFAHOT BANK LTD</t>
  </si>
  <si>
    <t>26,93</t>
  </si>
  <si>
    <t>1.980.898</t>
  </si>
  <si>
    <t>1.980.898,29</t>
  </si>
  <si>
    <t>IL0006954379</t>
  </si>
  <si>
    <t>HITACHI HIGH TECHNOLOGIES CORP</t>
  </si>
  <si>
    <t>72,29</t>
  </si>
  <si>
    <t>1.980.723</t>
  </si>
  <si>
    <t>1.980.722,89</t>
  </si>
  <si>
    <t>JP3678800008</t>
  </si>
  <si>
    <t>CHIBA BANK LTD</t>
  </si>
  <si>
    <t>5,80</t>
  </si>
  <si>
    <t>1.978.144</t>
  </si>
  <si>
    <t>1.978.144,40</t>
  </si>
  <si>
    <t>JP3511800009</t>
  </si>
  <si>
    <t>LUND B</t>
  </si>
  <si>
    <t>LUNDBERGFORETAGEN CLASS B</t>
  </si>
  <si>
    <t>44,12</t>
  </si>
  <si>
    <t>1.979.502</t>
  </si>
  <si>
    <t>1.979.501,50</t>
  </si>
  <si>
    <t>SE0000108847</t>
  </si>
  <si>
    <t>SQUARE ENIX HLDG LTD</t>
  </si>
  <si>
    <t>1.976.944</t>
  </si>
  <si>
    <t>1.976.944,14</t>
  </si>
  <si>
    <t>JP3164630000</t>
  </si>
  <si>
    <t>HSE</t>
  </si>
  <si>
    <t>HUSKY ENERGY INC</t>
  </si>
  <si>
    <t>7,84</t>
  </si>
  <si>
    <t>1.966.168</t>
  </si>
  <si>
    <t>1.966.168,14</t>
  </si>
  <si>
    <t>CA4480551031</t>
  </si>
  <si>
    <t>BOLLORE SA</t>
  </si>
  <si>
    <t>4,36</t>
  </si>
  <si>
    <t>1.966.294</t>
  </si>
  <si>
    <t>1.966.294,34</t>
  </si>
  <si>
    <t>FR0000039299</t>
  </si>
  <si>
    <t>NSK LTD</t>
  </si>
  <si>
    <t>9,36</t>
  </si>
  <si>
    <t>1.960.935</t>
  </si>
  <si>
    <t>1.960.934,65</t>
  </si>
  <si>
    <t>JP3720800006</t>
  </si>
  <si>
    <t>JAPAN AIRPORT TERMINAL LTD</t>
  </si>
  <si>
    <t>1.957.229</t>
  </si>
  <si>
    <t>1.957.228,92</t>
  </si>
  <si>
    <t>JP3699400002</t>
  </si>
  <si>
    <t>MEL</t>
  </si>
  <si>
    <t>MERIDIAN ENERGY LTD</t>
  </si>
  <si>
    <t>3,34</t>
  </si>
  <si>
    <t>1.944.475</t>
  </si>
  <si>
    <t>1.944.475,23</t>
  </si>
  <si>
    <t>NZMELE0002S7</t>
  </si>
  <si>
    <t>ASAHI INTECC LTD</t>
  </si>
  <si>
    <t>29,53</t>
  </si>
  <si>
    <t>1.942.890</t>
  </si>
  <si>
    <t>1.942.889,74</t>
  </si>
  <si>
    <t>JP3110650003</t>
  </si>
  <si>
    <t>ESLT</t>
  </si>
  <si>
    <t>ELBIT SYSTEMS LTD</t>
  </si>
  <si>
    <t>158,62</t>
  </si>
  <si>
    <t>1.932.935</t>
  </si>
  <si>
    <t>1.932.934,75</t>
  </si>
  <si>
    <t>IL0010811243</t>
  </si>
  <si>
    <t>ZOZO INC</t>
  </si>
  <si>
    <t>18,71</t>
  </si>
  <si>
    <t>1.929.126</t>
  </si>
  <si>
    <t>1.929.125,59</t>
  </si>
  <si>
    <t>JP3399310006</t>
  </si>
  <si>
    <t>SEEK LTD</t>
  </si>
  <si>
    <t>15,87</t>
  </si>
  <si>
    <t>1.920.955</t>
  </si>
  <si>
    <t>1.920.954,70</t>
  </si>
  <si>
    <t>AU000000SEK6</t>
  </si>
  <si>
    <t>AQN</t>
  </si>
  <si>
    <t>ALGONQUIN POWER UTILITIES CORP</t>
  </si>
  <si>
    <t>14,34</t>
  </si>
  <si>
    <t>1.913.734</t>
  </si>
  <si>
    <t>1.913.734,18</t>
  </si>
  <si>
    <t>CA0158571053</t>
  </si>
  <si>
    <t>NIPPON EXPRESS LTD</t>
  </si>
  <si>
    <t>58,05</t>
  </si>
  <si>
    <t>1.907.594</t>
  </si>
  <si>
    <t>1.907.593,65</t>
  </si>
  <si>
    <t>JP3729400006</t>
  </si>
  <si>
    <t>KEIKYU CORP</t>
  </si>
  <si>
    <t>19,19</t>
  </si>
  <si>
    <t>1.905.153</t>
  </si>
  <si>
    <t>1.905.153,34</t>
  </si>
  <si>
    <t>JP3280200001</t>
  </si>
  <si>
    <t>YAMADA DENKI LTD</t>
  </si>
  <si>
    <t>5,22</t>
  </si>
  <si>
    <t>1.905.622</t>
  </si>
  <si>
    <t>1.905.622,49</t>
  </si>
  <si>
    <t>JP3939000000</t>
  </si>
  <si>
    <t>FRA</t>
  </si>
  <si>
    <t>FRAPORT FRANKFURT AIRPORT SERVICES</t>
  </si>
  <si>
    <t>80,53</t>
  </si>
  <si>
    <t>1.904.175</t>
  </si>
  <si>
    <t>1.904.175,04</t>
  </si>
  <si>
    <t>DE0005773303</t>
  </si>
  <si>
    <t>PARKLAND FUEL CORP</t>
  </si>
  <si>
    <t>1.898.944</t>
  </si>
  <si>
    <t>1.898.943,65</t>
  </si>
  <si>
    <t>CA70137T1057</t>
  </si>
  <si>
    <t>ANA HOLDINGS INC</t>
  </si>
  <si>
    <t>32,75</t>
  </si>
  <si>
    <t>1.899.027</t>
  </si>
  <si>
    <t>1.899.026,62</t>
  </si>
  <si>
    <t>JP3429800000</t>
  </si>
  <si>
    <t>CONTINENTAL RESOURCES INC</t>
  </si>
  <si>
    <t>33,34</t>
  </si>
  <si>
    <t>1.895.346</t>
  </si>
  <si>
    <t>1.895.345,66</t>
  </si>
  <si>
    <t>US2120151012</t>
  </si>
  <si>
    <t>TITR</t>
  </si>
  <si>
    <t>TELECOM ITALIA SAVING</t>
  </si>
  <si>
    <t>0,57</t>
  </si>
  <si>
    <t>3.332.829</t>
  </si>
  <si>
    <t>1.893.454</t>
  </si>
  <si>
    <t>1.893.453,88</t>
  </si>
  <si>
    <t>IT0003497176</t>
  </si>
  <si>
    <t>WOR</t>
  </si>
  <si>
    <t>WORLEY LTD</t>
  </si>
  <si>
    <t>11,06</t>
  </si>
  <si>
    <t>1.888.138</t>
  </si>
  <si>
    <t>1.888.137,61</t>
  </si>
  <si>
    <t>AU000000WOR2</t>
  </si>
  <si>
    <t>ISETAN MITSUKOSHI HOLDINGS LTD</t>
  </si>
  <si>
    <t>9,15</t>
  </si>
  <si>
    <t>1.889.551</t>
  </si>
  <si>
    <t>1.889.550,93</t>
  </si>
  <si>
    <t>JP3894900004</t>
  </si>
  <si>
    <t>PINS</t>
  </si>
  <si>
    <t>PINTEREST INC CLASS A</t>
  </si>
  <si>
    <t>19,78</t>
  </si>
  <si>
    <t>1.887.882</t>
  </si>
  <si>
    <t>1.887.882,32</t>
  </si>
  <si>
    <t>US72352L1061</t>
  </si>
  <si>
    <t>EMP.A</t>
  </si>
  <si>
    <t>EMPIRE LTD CLASS A</t>
  </si>
  <si>
    <t>23,41</t>
  </si>
  <si>
    <t>1.876.473</t>
  </si>
  <si>
    <t>1.876.472,74</t>
  </si>
  <si>
    <t>CA2918434077</t>
  </si>
  <si>
    <t>TNET</t>
  </si>
  <si>
    <t>TELENET GROUP HOLDING NV</t>
  </si>
  <si>
    <t>44,70</t>
  </si>
  <si>
    <t>1.872.465</t>
  </si>
  <si>
    <t>1.872.464,74</t>
  </si>
  <si>
    <t>BE0003826436</t>
  </si>
  <si>
    <t>RYM</t>
  </si>
  <si>
    <t>RYMAN HEALTHCARE LTD</t>
  </si>
  <si>
    <t>10,82</t>
  </si>
  <si>
    <t>1.872.489</t>
  </si>
  <si>
    <t>1.872.489,05</t>
  </si>
  <si>
    <t>NZRYME0001S4</t>
  </si>
  <si>
    <t>SHIZUOKA BANK LTD</t>
  </si>
  <si>
    <t>7,30</t>
  </si>
  <si>
    <t>1.857.612</t>
  </si>
  <si>
    <t>1.857.612,27</t>
  </si>
  <si>
    <t>JP3351200005</t>
  </si>
  <si>
    <t>AKERBP</t>
  </si>
  <si>
    <t>AKER BP</t>
  </si>
  <si>
    <t>33,02</t>
  </si>
  <si>
    <t>1.856.212</t>
  </si>
  <si>
    <t>1.856.212,17</t>
  </si>
  <si>
    <t>NO0010345853</t>
  </si>
  <si>
    <t>OJI HOLDINGS CORP</t>
  </si>
  <si>
    <t>5,45</t>
  </si>
  <si>
    <t>1.857.043</t>
  </si>
  <si>
    <t>1.857.042,72</t>
  </si>
  <si>
    <t>JP3174410005</t>
  </si>
  <si>
    <t>DAIWA HOUSE REIT CORP</t>
  </si>
  <si>
    <t>2.551,11</t>
  </si>
  <si>
    <t>1.857.211</t>
  </si>
  <si>
    <t>1.857.210,66</t>
  </si>
  <si>
    <t>JP3046390005</t>
  </si>
  <si>
    <t>FPE3</t>
  </si>
  <si>
    <t>FUCHS PETROLUB PREF</t>
  </si>
  <si>
    <t>1.854.220</t>
  </si>
  <si>
    <t>1.854.220,24</t>
  </si>
  <si>
    <t>DE0005790430</t>
  </si>
  <si>
    <t>KYUSHU ELECTRIC POWER INC</t>
  </si>
  <si>
    <t>1.843.105</t>
  </si>
  <si>
    <t>1.843.104,84</t>
  </si>
  <si>
    <t>JP3246400000</t>
  </si>
  <si>
    <t>YOKOHAMA RUBBER LTD</t>
  </si>
  <si>
    <t>18,86</t>
  </si>
  <si>
    <t>1.827.267</t>
  </si>
  <si>
    <t>1.827.267,25</t>
  </si>
  <si>
    <t>JP3955800002</t>
  </si>
  <si>
    <t>C09</t>
  </si>
  <si>
    <t>CITY DEVELOPMENTS LTD</t>
  </si>
  <si>
    <t>8,42</t>
  </si>
  <si>
    <t>1.826.530</t>
  </si>
  <si>
    <t>1.826.530,29</t>
  </si>
  <si>
    <t>SG1R89002252</t>
  </si>
  <si>
    <t>REA</t>
  </si>
  <si>
    <t>REA GROUP LTD</t>
  </si>
  <si>
    <t>74,90</t>
  </si>
  <si>
    <t>1.815.579</t>
  </si>
  <si>
    <t>1.815.579,46</t>
  </si>
  <si>
    <t>AU000000REA9</t>
  </si>
  <si>
    <t>INDU C</t>
  </si>
  <si>
    <t>INDUSTRIVARDEN SERIES</t>
  </si>
  <si>
    <t>24,00</t>
  </si>
  <si>
    <t>1.809.679</t>
  </si>
  <si>
    <t>1.809.679,42</t>
  </si>
  <si>
    <t>SE0000107203</t>
  </si>
  <si>
    <t>WEIR</t>
  </si>
  <si>
    <t>WEIR GROUP PLC</t>
  </si>
  <si>
    <t>19,20</t>
  </si>
  <si>
    <t>1.810.882</t>
  </si>
  <si>
    <t>1.810.881,95</t>
  </si>
  <si>
    <t>GB0009465807</t>
  </si>
  <si>
    <t>ITOCHU TECHNO-SOLUTIONS CORP</t>
  </si>
  <si>
    <t>29,85</t>
  </si>
  <si>
    <t>1.811.692</t>
  </si>
  <si>
    <t>1.811.692,22</t>
  </si>
  <si>
    <t>JP3143900003</t>
  </si>
  <si>
    <t>MX</t>
  </si>
  <si>
    <t>METHANEX CORP</t>
  </si>
  <si>
    <t>38,40</t>
  </si>
  <si>
    <t>1.803.037</t>
  </si>
  <si>
    <t>1.803.037,38</t>
  </si>
  <si>
    <t>CA59151K1084</t>
  </si>
  <si>
    <t>ICA</t>
  </si>
  <si>
    <t>ICA GRUPPEN</t>
  </si>
  <si>
    <t>44,58</t>
  </si>
  <si>
    <t>1.803.938</t>
  </si>
  <si>
    <t>1.803.938,00</t>
  </si>
  <si>
    <t>SE0000652216</t>
  </si>
  <si>
    <t>LHA</t>
  </si>
  <si>
    <t>DEUTSCHE LUFTHANSA AG</t>
  </si>
  <si>
    <t>17,58</t>
  </si>
  <si>
    <t>1.801.540</t>
  </si>
  <si>
    <t>1.801.540,03</t>
  </si>
  <si>
    <t>DE0008232125</t>
  </si>
  <si>
    <t>SUMCO CORP</t>
  </si>
  <si>
    <t>17,17</t>
  </si>
  <si>
    <t>1.799.277</t>
  </si>
  <si>
    <t>1.799.277,11</t>
  </si>
  <si>
    <t>JP3322930003</t>
  </si>
  <si>
    <t>HVN</t>
  </si>
  <si>
    <t>HARVEY NORMAN HOLDINGS LTD</t>
  </si>
  <si>
    <t>3,05</t>
  </si>
  <si>
    <t>1.796.922</t>
  </si>
  <si>
    <t>1.796.921,64</t>
  </si>
  <si>
    <t>AU000000HVN7</t>
  </si>
  <si>
    <t>TOPPAN PRINTING LTD</t>
  </si>
  <si>
    <t>20,66</t>
  </si>
  <si>
    <t>1.795.950</t>
  </si>
  <si>
    <t>1.795.949,62</t>
  </si>
  <si>
    <t>JP3629000005</t>
  </si>
  <si>
    <t>WEED</t>
  </si>
  <si>
    <t>CANOPY GROWTH CORP</t>
  </si>
  <si>
    <t>20,54</t>
  </si>
  <si>
    <t>1.780.144</t>
  </si>
  <si>
    <t>1.780.143,74</t>
  </si>
  <si>
    <t>CA1380351009</t>
  </si>
  <si>
    <t>HR.UN</t>
  </si>
  <si>
    <t>HANDR REAL ESTATE INVESTMENT TRUST</t>
  </si>
  <si>
    <t>16,07</t>
  </si>
  <si>
    <t>1.768.065</t>
  </si>
  <si>
    <t>1.768.065,13</t>
  </si>
  <si>
    <t>CA4039254079</t>
  </si>
  <si>
    <t>UHAL</t>
  </si>
  <si>
    <t>AMERCO</t>
  </si>
  <si>
    <t>377,18</t>
  </si>
  <si>
    <t>1.766.711</t>
  </si>
  <si>
    <t>1.766.711,12</t>
  </si>
  <si>
    <t>US0235861004</t>
  </si>
  <si>
    <t>WTC</t>
  </si>
  <si>
    <t>WISETECHGLOBAL PTY LTD</t>
  </si>
  <si>
    <t>16,95</t>
  </si>
  <si>
    <t>1.758.480</t>
  </si>
  <si>
    <t>1.758.479,54</t>
  </si>
  <si>
    <t>AU000000WTC3</t>
  </si>
  <si>
    <t>SEIBU HOLDINGS INC</t>
  </si>
  <si>
    <t>1.755.964</t>
  </si>
  <si>
    <t>1.755.963,93</t>
  </si>
  <si>
    <t>JP3417200007</t>
  </si>
  <si>
    <t>ERIE</t>
  </si>
  <si>
    <t>ERIE INDEMNITY CLASS A</t>
  </si>
  <si>
    <t>164,58</t>
  </si>
  <si>
    <t>1.756.562</t>
  </si>
  <si>
    <t>1.756.562,34</t>
  </si>
  <si>
    <t>US29530P1021</t>
  </si>
  <si>
    <t>TRIP</t>
  </si>
  <si>
    <t>TRIPADVISOR INC</t>
  </si>
  <si>
    <t>30,12</t>
  </si>
  <si>
    <t>1.753.376</t>
  </si>
  <si>
    <t>1.753.375,56</t>
  </si>
  <si>
    <t>US8969452015</t>
  </si>
  <si>
    <t>INCITEC PIVOT LTD</t>
  </si>
  <si>
    <t>2,24</t>
  </si>
  <si>
    <t>1.745.573</t>
  </si>
  <si>
    <t>1.745.573,15</t>
  </si>
  <si>
    <t>AU000000IPL1</t>
  </si>
  <si>
    <t>SCHB</t>
  </si>
  <si>
    <t>SCHIBSTED B</t>
  </si>
  <si>
    <t>29,08</t>
  </si>
  <si>
    <t>1.736.539</t>
  </si>
  <si>
    <t>1.736.538,50</t>
  </si>
  <si>
    <t>NO0010736879</t>
  </si>
  <si>
    <t>VOE</t>
  </si>
  <si>
    <t>VOESTALPINE AG</t>
  </si>
  <si>
    <t>27,39</t>
  </si>
  <si>
    <t>1.733.925</t>
  </si>
  <si>
    <t>1.733.925,05</t>
  </si>
  <si>
    <t>AT0000937503</t>
  </si>
  <si>
    <t>BMW3</t>
  </si>
  <si>
    <t>BMW PREF AG</t>
  </si>
  <si>
    <t>63,12</t>
  </si>
  <si>
    <t>1.704.808</t>
  </si>
  <si>
    <t>1.704.808,23</t>
  </si>
  <si>
    <t>DE0005190037</t>
  </si>
  <si>
    <t>ENG</t>
  </si>
  <si>
    <t>ENAGAS SA</t>
  </si>
  <si>
    <t>25,52</t>
  </si>
  <si>
    <t>1.697.772</t>
  </si>
  <si>
    <t>1.697.772,23</t>
  </si>
  <si>
    <t>ES0130960018</t>
  </si>
  <si>
    <t>COLR</t>
  </si>
  <si>
    <t>ETABLISSEMENTEN FRANZ COLRUYT NV</t>
  </si>
  <si>
    <t>1.685.598</t>
  </si>
  <si>
    <t>1.685.597,85</t>
  </si>
  <si>
    <t>BE0974256852</t>
  </si>
  <si>
    <t>HK ELECTRIC INVESTMENTS UNITS LTD</t>
  </si>
  <si>
    <t>1,02</t>
  </si>
  <si>
    <t>1.654.500</t>
  </si>
  <si>
    <t>1.685.059</t>
  </si>
  <si>
    <t>1.685.059,00</t>
  </si>
  <si>
    <t>HK0000179108</t>
  </si>
  <si>
    <t>HKD CASH</t>
  </si>
  <si>
    <t>12,88</t>
  </si>
  <si>
    <t>12.911.618</t>
  </si>
  <si>
    <t>1.662.465</t>
  </si>
  <si>
    <t>1.662.465,07</t>
  </si>
  <si>
    <t>UAA</t>
  </si>
  <si>
    <t>UNDER ARMOUR INC CLASS A</t>
  </si>
  <si>
    <t>19,77</t>
  </si>
  <si>
    <t>1.654.156</t>
  </si>
  <si>
    <t>1.654.155,90</t>
  </si>
  <si>
    <t>US9043111072</t>
  </si>
  <si>
    <t>IPN</t>
  </si>
  <si>
    <t>IPSEN SA</t>
  </si>
  <si>
    <t>86,24</t>
  </si>
  <si>
    <t>1.651.338</t>
  </si>
  <si>
    <t>1.651.338,07</t>
  </si>
  <si>
    <t>FR0010259150</t>
  </si>
  <si>
    <t>DKK CASH</t>
  </si>
  <si>
    <t>14,87</t>
  </si>
  <si>
    <t>11.085.314</t>
  </si>
  <si>
    <t>1.648.533</t>
  </si>
  <si>
    <t>1.648.533,18</t>
  </si>
  <si>
    <t>S58</t>
  </si>
  <si>
    <t>SATS LTD</t>
  </si>
  <si>
    <t>3,78</t>
  </si>
  <si>
    <t>1.636.206</t>
  </si>
  <si>
    <t>1.636.205,87</t>
  </si>
  <si>
    <t>SG1I52882764</t>
  </si>
  <si>
    <t>LSXMA</t>
  </si>
  <si>
    <t>47,60</t>
  </si>
  <si>
    <t>1.621.018</t>
  </si>
  <si>
    <t>1.621.018,00</t>
  </si>
  <si>
    <t>US5312294094</t>
  </si>
  <si>
    <t>KYUSHU RAILWAY</t>
  </si>
  <si>
    <t>33,27</t>
  </si>
  <si>
    <t>1.603.587</t>
  </si>
  <si>
    <t>1.603.587,08</t>
  </si>
  <si>
    <t>JP3247010006</t>
  </si>
  <si>
    <t>SGD CASH</t>
  </si>
  <si>
    <t>74,16</t>
  </si>
  <si>
    <t>2.163.508</t>
  </si>
  <si>
    <t>1.604.500</t>
  </si>
  <si>
    <t>1.604.500,22</t>
  </si>
  <si>
    <t>CWN</t>
  </si>
  <si>
    <t>CROWN RESORTS LTD</t>
  </si>
  <si>
    <t>8,53</t>
  </si>
  <si>
    <t>1.601.571</t>
  </si>
  <si>
    <t>1.601.570,69</t>
  </si>
  <si>
    <t>AU000000CWN6</t>
  </si>
  <si>
    <t>BB</t>
  </si>
  <si>
    <t>BLACKBERRY LTD</t>
  </si>
  <si>
    <t>6,57</t>
  </si>
  <si>
    <t>1.601.421</t>
  </si>
  <si>
    <t>1.601.420,87</t>
  </si>
  <si>
    <t>CA09228F1036</t>
  </si>
  <si>
    <t>ACO.X</t>
  </si>
  <si>
    <t>ATCO LTD CLASS I</t>
  </si>
  <si>
    <t>38,36</t>
  </si>
  <si>
    <t>1.595.803</t>
  </si>
  <si>
    <t>1.595.802,62</t>
  </si>
  <si>
    <t>CA0467894006</t>
  </si>
  <si>
    <t>MEDIPAL HOLDINGS CORP</t>
  </si>
  <si>
    <t>22,18</t>
  </si>
  <si>
    <t>1.591.898</t>
  </si>
  <si>
    <t>1.591.898,41</t>
  </si>
  <si>
    <t>JP3268950007</t>
  </si>
  <si>
    <t>SWIRE PACIFIC LTD A</t>
  </si>
  <si>
    <t>9,35</t>
  </si>
  <si>
    <t>1.588.197</t>
  </si>
  <si>
    <t>1.588.197,15</t>
  </si>
  <si>
    <t>HK0019000162</t>
  </si>
  <si>
    <t>BS6</t>
  </si>
  <si>
    <t>YANGZIJIANG SHIPBUILDING HOLDINGS</t>
  </si>
  <si>
    <t>0,87</t>
  </si>
  <si>
    <t>1.824.400</t>
  </si>
  <si>
    <t>1.583.023</t>
  </si>
  <si>
    <t>1.583.022,84</t>
  </si>
  <si>
    <t>SG1U76934819</t>
  </si>
  <si>
    <t>CGF</t>
  </si>
  <si>
    <t>CHALLENGER LTD</t>
  </si>
  <si>
    <t>5,76</t>
  </si>
  <si>
    <t>1.578.213</t>
  </si>
  <si>
    <t>1.578.213,05</t>
  </si>
  <si>
    <t>AU000000CGF5</t>
  </si>
  <si>
    <t>ABC MART INC</t>
  </si>
  <si>
    <t>64,80</t>
  </si>
  <si>
    <t>1.580.392</t>
  </si>
  <si>
    <t>1.580.391,57</t>
  </si>
  <si>
    <t>JP3152740001</t>
  </si>
  <si>
    <t>WFT</t>
  </si>
  <si>
    <t>WEST FRASER TIMBER LTD</t>
  </si>
  <si>
    <t>1.569.478</t>
  </si>
  <si>
    <t>1.569.478,13</t>
  </si>
  <si>
    <t>CA9528451052</t>
  </si>
  <si>
    <t>SK</t>
  </si>
  <si>
    <t>SEB SA</t>
  </si>
  <si>
    <t>154,48</t>
  </si>
  <si>
    <t>1.560.533</t>
  </si>
  <si>
    <t>1.560.533,22</t>
  </si>
  <si>
    <t>FR0000121709</t>
  </si>
  <si>
    <t>GMO PAYMENT GATEWAY INC</t>
  </si>
  <si>
    <t>72,20</t>
  </si>
  <si>
    <t>1.559.474</t>
  </si>
  <si>
    <t>1.559.474,26</t>
  </si>
  <si>
    <t>JP3385890003</t>
  </si>
  <si>
    <t>TOYO SUISAN LTD</t>
  </si>
  <si>
    <t>41,85</t>
  </si>
  <si>
    <t>1.556.791</t>
  </si>
  <si>
    <t>1.556.790,80</t>
  </si>
  <si>
    <t>JP3613000003</t>
  </si>
  <si>
    <t>SHARP CORP</t>
  </si>
  <si>
    <t>15,83</t>
  </si>
  <si>
    <t>1.555.789</t>
  </si>
  <si>
    <t>1.555.788,61</t>
  </si>
  <si>
    <t>JP3359600008</t>
  </si>
  <si>
    <t>TRYG</t>
  </si>
  <si>
    <t>29,61</t>
  </si>
  <si>
    <t>1.539.777</t>
  </si>
  <si>
    <t>1.539.776,54</t>
  </si>
  <si>
    <t>DK0060636678</t>
  </si>
  <si>
    <t>OTSUKA CORP</t>
  </si>
  <si>
    <t>41,12</t>
  </si>
  <si>
    <t>1.541.388</t>
  </si>
  <si>
    <t>1.541.387,64</t>
  </si>
  <si>
    <t>JP3188200004</t>
  </si>
  <si>
    <t>EZJ</t>
  </si>
  <si>
    <t>EASYJET PLC</t>
  </si>
  <si>
    <t>19,58</t>
  </si>
  <si>
    <t>1.537.710</t>
  </si>
  <si>
    <t>1.537.710,04</t>
  </si>
  <si>
    <t>GB00B7KR2P84</t>
  </si>
  <si>
    <t>DAICEL CORP</t>
  </si>
  <si>
    <t>1.527.388</t>
  </si>
  <si>
    <t>1.527.387,73</t>
  </si>
  <si>
    <t>JP3485800001</t>
  </si>
  <si>
    <t>EURAZEO</t>
  </si>
  <si>
    <t>66,40</t>
  </si>
  <si>
    <t>1.526.609</t>
  </si>
  <si>
    <t>1.526.608,71</t>
  </si>
  <si>
    <t>FR0000121121</t>
  </si>
  <si>
    <t>U14</t>
  </si>
  <si>
    <t>UOL GROUP LTD</t>
  </si>
  <si>
    <t>6,27</t>
  </si>
  <si>
    <t>1.522.166</t>
  </si>
  <si>
    <t>1.522.165,60</t>
  </si>
  <si>
    <t>SG1S83002349</t>
  </si>
  <si>
    <t>REI.UN</t>
  </si>
  <si>
    <t>RIOCAN REAL ESTATE INVESTMENT TRUS</t>
  </si>
  <si>
    <t>20,52</t>
  </si>
  <si>
    <t>1.514.630</t>
  </si>
  <si>
    <t>1.514.629,94</t>
  </si>
  <si>
    <t>CA7669101031</t>
  </si>
  <si>
    <t>JAPAN AIRLINES LTD</t>
  </si>
  <si>
    <t>31,33</t>
  </si>
  <si>
    <t>1.512.417</t>
  </si>
  <si>
    <t>1.512.416,87</t>
  </si>
  <si>
    <t>JP3705200008</t>
  </si>
  <si>
    <t>KOBAYASHI PHARMACEUTICAL LTD</t>
  </si>
  <si>
    <t>84,06</t>
  </si>
  <si>
    <t>1.496.331</t>
  </si>
  <si>
    <t>1.496.330,78</t>
  </si>
  <si>
    <t>JP3301100008</t>
  </si>
  <si>
    <t>IGM</t>
  </si>
  <si>
    <t>IGM FINANCIAL INC</t>
  </si>
  <si>
    <t>1.493.572</t>
  </si>
  <si>
    <t>1.493.571,82</t>
  </si>
  <si>
    <t>CA4495861060</t>
  </si>
  <si>
    <t>UA</t>
  </si>
  <si>
    <t>UNDER ARMOUR INC CLASS C</t>
  </si>
  <si>
    <t>17,77</t>
  </si>
  <si>
    <t>1.488.611</t>
  </si>
  <si>
    <t>1.488.610,67</t>
  </si>
  <si>
    <t>US9043112062</t>
  </si>
  <si>
    <t>AZRG</t>
  </si>
  <si>
    <t>AZRIELI GROUP LTD</t>
  </si>
  <si>
    <t>74,00</t>
  </si>
  <si>
    <t>1.490.493</t>
  </si>
  <si>
    <t>1.490.492,89</t>
  </si>
  <si>
    <t>IL0011194789</t>
  </si>
  <si>
    <t>CHF CASH</t>
  </si>
  <si>
    <t>102,75</t>
  </si>
  <si>
    <t>1.446.086</t>
  </si>
  <si>
    <t>1.485.832</t>
  </si>
  <si>
    <t>1.485.832,26</t>
  </si>
  <si>
    <t>SWIRE PROPERTIES LTD</t>
  </si>
  <si>
    <t>3,32</t>
  </si>
  <si>
    <t>1.469.430</t>
  </si>
  <si>
    <t>1.469.429,80</t>
  </si>
  <si>
    <t>HK0000063609</t>
  </si>
  <si>
    <t>A5G</t>
  </si>
  <si>
    <t>AIB GROUP</t>
  </si>
  <si>
    <t>3,45</t>
  </si>
  <si>
    <t>1.469.912</t>
  </si>
  <si>
    <t>1.469.911,66</t>
  </si>
  <si>
    <t>IE00BF0L3536</t>
  </si>
  <si>
    <t>MAPFRE SA</t>
  </si>
  <si>
    <t>2,67</t>
  </si>
  <si>
    <t>1.452.360</t>
  </si>
  <si>
    <t>1.452.360,19</t>
  </si>
  <si>
    <t>ES0124244E34</t>
  </si>
  <si>
    <t>TYRES</t>
  </si>
  <si>
    <t>NOKIAN RENKAAT</t>
  </si>
  <si>
    <t>29,37</t>
  </si>
  <si>
    <t>1.442.536</t>
  </si>
  <si>
    <t>1.442.536,45</t>
  </si>
  <si>
    <t>FI0009005318</t>
  </si>
  <si>
    <t>MITSUBISHI UFJ LEASE &amp; FINANCE LTD</t>
  </si>
  <si>
    <t>6,48</t>
  </si>
  <si>
    <t>1.427.647</t>
  </si>
  <si>
    <t>1.427.646,95</t>
  </si>
  <si>
    <t>JP3499800005</t>
  </si>
  <si>
    <t>BENDIGO AND ADELAIDE BANK LTD</t>
  </si>
  <si>
    <t>6,95</t>
  </si>
  <si>
    <t>1.429.243</t>
  </si>
  <si>
    <t>1.429.243,29</t>
  </si>
  <si>
    <t>AU000000BEN6</t>
  </si>
  <si>
    <t>MITSUBISHI MOTORS CORP</t>
  </si>
  <si>
    <t>4,12</t>
  </si>
  <si>
    <t>1.426.891</t>
  </si>
  <si>
    <t>1.426.890,56</t>
  </si>
  <si>
    <t>JP3899800001</t>
  </si>
  <si>
    <t>C6L</t>
  </si>
  <si>
    <t>SINGAPORE AIRLINES LTD</t>
  </si>
  <si>
    <t>6,64</t>
  </si>
  <si>
    <t>1.422.296</t>
  </si>
  <si>
    <t>1.422.295,98</t>
  </si>
  <si>
    <t>SG1V61937297</t>
  </si>
  <si>
    <t>HOT</t>
  </si>
  <si>
    <t>HOCHTIEF AG</t>
  </si>
  <si>
    <t>126,92</t>
  </si>
  <si>
    <t>1.415.115</t>
  </si>
  <si>
    <t>1.415.115,30</t>
  </si>
  <si>
    <t>DE0006070006</t>
  </si>
  <si>
    <t>PCCW LTD</t>
  </si>
  <si>
    <t>2.310.000</t>
  </si>
  <si>
    <t>1.409.815</t>
  </si>
  <si>
    <t>1.409.815,17</t>
  </si>
  <si>
    <t>HK0008011667</t>
  </si>
  <si>
    <t>YUE YUEN INDUSTRIAL (HOLDINGS) LTD</t>
  </si>
  <si>
    <t>1.405.862</t>
  </si>
  <si>
    <t>1.405.862,32</t>
  </si>
  <si>
    <t>BMG988031446</t>
  </si>
  <si>
    <t>TAISHO PHARMACEUTICAL HOLDINGS LTD</t>
  </si>
  <si>
    <t>73,84</t>
  </si>
  <si>
    <t>1.403.714</t>
  </si>
  <si>
    <t>1.403.713,95</t>
  </si>
  <si>
    <t>JP3442850008</t>
  </si>
  <si>
    <t>RCO</t>
  </si>
  <si>
    <t>REMY COINTREAU SA</t>
  </si>
  <si>
    <t>122,91</t>
  </si>
  <si>
    <t>1.400.743</t>
  </si>
  <si>
    <t>1.400.742,87</t>
  </si>
  <si>
    <t>FR0000130395</t>
  </si>
  <si>
    <t>H LUNDBECK</t>
  </si>
  <si>
    <t>38,28</t>
  </si>
  <si>
    <t>1.398.324</t>
  </si>
  <si>
    <t>1.398.324,30</t>
  </si>
  <si>
    <t>DK0010287234</t>
  </si>
  <si>
    <t>J253</t>
  </si>
  <si>
    <t>WLK</t>
  </si>
  <si>
    <t>WESTLAKE CHEMICAL CORP</t>
  </si>
  <si>
    <t>67,69</t>
  </si>
  <si>
    <t>1.394.008</t>
  </si>
  <si>
    <t>1.394.007,86</t>
  </si>
  <si>
    <t>US9604131022</t>
  </si>
  <si>
    <t>MONOTARO LTD</t>
  </si>
  <si>
    <t>26,35</t>
  </si>
  <si>
    <t>1.386.055</t>
  </si>
  <si>
    <t>1.386.055,13</t>
  </si>
  <si>
    <t>JP3922950005</t>
  </si>
  <si>
    <t>LINE CORP</t>
  </si>
  <si>
    <t>49,11</t>
  </si>
  <si>
    <t>1.384.775</t>
  </si>
  <si>
    <t>1.384.775,47</t>
  </si>
  <si>
    <t>JP3966750006</t>
  </si>
  <si>
    <t>CNP ASSURANCES SA</t>
  </si>
  <si>
    <t>19,37</t>
  </si>
  <si>
    <t>1.372.733</t>
  </si>
  <si>
    <t>1.372.733,27</t>
  </si>
  <si>
    <t>FR0000120222</t>
  </si>
  <si>
    <t>BKIA</t>
  </si>
  <si>
    <t>BANKIA SA</t>
  </si>
  <si>
    <t>2,01</t>
  </si>
  <si>
    <t>1.372.637</t>
  </si>
  <si>
    <t>1.372.637,48</t>
  </si>
  <si>
    <t>ES0113307062</t>
  </si>
  <si>
    <t>C52</t>
  </si>
  <si>
    <t>COMFORTDELGRO CORPORATION LTD</t>
  </si>
  <si>
    <t>1,68</t>
  </si>
  <si>
    <t>1.365.805</t>
  </si>
  <si>
    <t>1.365.804,66</t>
  </si>
  <si>
    <t>SG1N31909426</t>
  </si>
  <si>
    <t>ORACLE JAPAN CORP</t>
  </si>
  <si>
    <t>90,73</t>
  </si>
  <si>
    <t>1.362.259</t>
  </si>
  <si>
    <t>1.362.259,04</t>
  </si>
  <si>
    <t>JP3689500001</t>
  </si>
  <si>
    <t>KONICA MINOLTA INC</t>
  </si>
  <si>
    <t>1.353.576</t>
  </si>
  <si>
    <t>1.353.576,12</t>
  </si>
  <si>
    <t>JP3300600008</t>
  </si>
  <si>
    <t>AOZORA BANK LTD</t>
  </si>
  <si>
    <t>26,76</t>
  </si>
  <si>
    <t>1.345.305</t>
  </si>
  <si>
    <t>1.345.305,22</t>
  </si>
  <si>
    <t>JP3711200000</t>
  </si>
  <si>
    <t>FCR.UN</t>
  </si>
  <si>
    <t>FIRST CAPITAL REALTY REAL ESTATE I</t>
  </si>
  <si>
    <t>15,48</t>
  </si>
  <si>
    <t>1.342.426</t>
  </si>
  <si>
    <t>1.342.425,93</t>
  </si>
  <si>
    <t>CA31890B1031</t>
  </si>
  <si>
    <t>SRU.UN</t>
  </si>
  <si>
    <t>SMARTCENTRES RL ESTATE INVESTMENT</t>
  </si>
  <si>
    <t>1.343.392</t>
  </si>
  <si>
    <t>1.343.392,48</t>
  </si>
  <si>
    <t>CA83179X1087</t>
  </si>
  <si>
    <t>PSK</t>
  </si>
  <si>
    <t>PRAIRIESKY ROYALTY LTD</t>
  </si>
  <si>
    <t>11,88</t>
  </si>
  <si>
    <t>1.340.804</t>
  </si>
  <si>
    <t>1.340.803,74</t>
  </si>
  <si>
    <t>CA7397211086</t>
  </si>
  <si>
    <t>FUJI ELECTRIC LTD</t>
  </si>
  <si>
    <t>30,49</t>
  </si>
  <si>
    <t>1.335.268</t>
  </si>
  <si>
    <t>1.335.268,35</t>
  </si>
  <si>
    <t>JP3820000002</t>
  </si>
  <si>
    <t>DEC</t>
  </si>
  <si>
    <t>JCDECAUX SA</t>
  </si>
  <si>
    <t>29,58</t>
  </si>
  <si>
    <t>1.327.647</t>
  </si>
  <si>
    <t>1.327.647,32</t>
  </si>
  <si>
    <t>FR0000077919</t>
  </si>
  <si>
    <t>PIGEON CORP</t>
  </si>
  <si>
    <t>38,20</t>
  </si>
  <si>
    <t>1.329.299</t>
  </si>
  <si>
    <t>1.329.299,01</t>
  </si>
  <si>
    <t>JP3801600002</t>
  </si>
  <si>
    <t>DBX</t>
  </si>
  <si>
    <t>DROPBOX INC CLASS A</t>
  </si>
  <si>
    <t>17,82</t>
  </si>
  <si>
    <t>1.329.140</t>
  </si>
  <si>
    <t>1.329.140,34</t>
  </si>
  <si>
    <t>US26210C1045</t>
  </si>
  <si>
    <t>CYBER AGENT INC</t>
  </si>
  <si>
    <t>35,69</t>
  </si>
  <si>
    <t>1.320.464</t>
  </si>
  <si>
    <t>1.320.463,67</t>
  </si>
  <si>
    <t>JP3311400000</t>
  </si>
  <si>
    <t>SANKYO LTD</t>
  </si>
  <si>
    <t>33,63</t>
  </si>
  <si>
    <t>1.313.294</t>
  </si>
  <si>
    <t>1.313.294,18</t>
  </si>
  <si>
    <t>JP3326410002</t>
  </si>
  <si>
    <t>KAMIGUMI LTD</t>
  </si>
  <si>
    <t>22,01</t>
  </si>
  <si>
    <t>1.307.169</t>
  </si>
  <si>
    <t>1.307.168,67</t>
  </si>
  <si>
    <t>JP3219000001</t>
  </si>
  <si>
    <t>SHOWA DENKO</t>
  </si>
  <si>
    <t>25,06</t>
  </si>
  <si>
    <t>1.290.790</t>
  </si>
  <si>
    <t>1.290.790,43</t>
  </si>
  <si>
    <t>JP3368000000</t>
  </si>
  <si>
    <t>PARG</t>
  </si>
  <si>
    <t>PARGESA HOLDING SA</t>
  </si>
  <si>
    <t>83,12</t>
  </si>
  <si>
    <t>1.282.513</t>
  </si>
  <si>
    <t>1.282.513,33</t>
  </si>
  <si>
    <t>CH0021783391</t>
  </si>
  <si>
    <t>J254</t>
  </si>
  <si>
    <t>LAWSON INC</t>
  </si>
  <si>
    <t>59,15</t>
  </si>
  <si>
    <t>1.245.016</t>
  </si>
  <si>
    <t>1.245.016,43</t>
  </si>
  <si>
    <t>JP3982100004</t>
  </si>
  <si>
    <t>WELCIA HOLDINGS LTD</t>
  </si>
  <si>
    <t>62,89</t>
  </si>
  <si>
    <t>1.245.181</t>
  </si>
  <si>
    <t>1.245.180,72</t>
  </si>
  <si>
    <t>JP3274280001</t>
  </si>
  <si>
    <t>UHRN</t>
  </si>
  <si>
    <t>52,30</t>
  </si>
  <si>
    <t>1.243.252</t>
  </si>
  <si>
    <t>1.243.251,79</t>
  </si>
  <si>
    <t>CH0012255144</t>
  </si>
  <si>
    <t>PIRC</t>
  </si>
  <si>
    <t>PIRELLI &amp; C</t>
  </si>
  <si>
    <t>5,89</t>
  </si>
  <si>
    <t>1.241.309</t>
  </si>
  <si>
    <t>1.241.308,94</t>
  </si>
  <si>
    <t>IT0005278236</t>
  </si>
  <si>
    <t>TOKYO CENTURY CORP</t>
  </si>
  <si>
    <t>53,03</t>
  </si>
  <si>
    <t>1.240.909</t>
  </si>
  <si>
    <t>1.240.909,09</t>
  </si>
  <si>
    <t>JP3424950008</t>
  </si>
  <si>
    <t>SUZUKEN LTD</t>
  </si>
  <si>
    <t>40,80</t>
  </si>
  <si>
    <t>1.237.492</t>
  </si>
  <si>
    <t>1.237.491,51</t>
  </si>
  <si>
    <t>JP3398000004</t>
  </si>
  <si>
    <t>HIROSE ELECTRIC LTD</t>
  </si>
  <si>
    <t>129,61</t>
  </si>
  <si>
    <t>1.224.808</t>
  </si>
  <si>
    <t>1.224.808,32</t>
  </si>
  <si>
    <t>JP3799000009</t>
  </si>
  <si>
    <t>SUNDRUG LTD</t>
  </si>
  <si>
    <t>36,46</t>
  </si>
  <si>
    <t>1.221.545</t>
  </si>
  <si>
    <t>1.221.545,27</t>
  </si>
  <si>
    <t>JP3336600006</t>
  </si>
  <si>
    <t>RBI</t>
  </si>
  <si>
    <t>RAIFFEISEN BANK INTERNATIONAL AG</t>
  </si>
  <si>
    <t>0,00</t>
  </si>
  <si>
    <t>25,16</t>
  </si>
  <si>
    <t>1.208.909</t>
  </si>
  <si>
    <t>1.208.908,84</t>
  </si>
  <si>
    <t>AT0000606306</t>
  </si>
  <si>
    <t>EVR</t>
  </si>
  <si>
    <t>EVRAZ</t>
  </si>
  <si>
    <t>5,11</t>
  </si>
  <si>
    <t>1.178.907</t>
  </si>
  <si>
    <t>1.178.907,31</t>
  </si>
  <si>
    <t>GB00B71N6K86</t>
  </si>
  <si>
    <t>ETL</t>
  </si>
  <si>
    <t>EUTELSAT COMMUNICATIONS SA</t>
  </si>
  <si>
    <t>15,78</t>
  </si>
  <si>
    <t>1.175.015</t>
  </si>
  <si>
    <t>1.175.015,00</t>
  </si>
  <si>
    <t>FR0010221234</t>
  </si>
  <si>
    <t>D01</t>
  </si>
  <si>
    <t>DAIRY FARM INTERNATIONAL HOLDINGS</t>
  </si>
  <si>
    <t>5,71</t>
  </si>
  <si>
    <t>1.170.550</t>
  </si>
  <si>
    <t>1.170.550,00</t>
  </si>
  <si>
    <t>BMG2624N1535</t>
  </si>
  <si>
    <t>CO</t>
  </si>
  <si>
    <t>CASINO GUICHARD PERRACHON SA</t>
  </si>
  <si>
    <t>42,01</t>
  </si>
  <si>
    <t>1.160.289</t>
  </si>
  <si>
    <t>1.160.289,41</t>
  </si>
  <si>
    <t>FR0000125585</t>
  </si>
  <si>
    <t>MARUICHI STEEL TUBE LTD</t>
  </si>
  <si>
    <t>28,16</t>
  </si>
  <si>
    <t>1.157.297</t>
  </si>
  <si>
    <t>1.157.297,37</t>
  </si>
  <si>
    <t>JP3871200006</t>
  </si>
  <si>
    <t>LDO</t>
  </si>
  <si>
    <t>LEONARDO FINMECCANICA SPA</t>
  </si>
  <si>
    <t>12,61</t>
  </si>
  <si>
    <t>1.154.236</t>
  </si>
  <si>
    <t>1.154.236,30</t>
  </si>
  <si>
    <t>IT0003856405</t>
  </si>
  <si>
    <t>NOMURA REAL ESTATE HOLDINGS INC</t>
  </si>
  <si>
    <t>24,12</t>
  </si>
  <si>
    <t>1.153.116</t>
  </si>
  <si>
    <t>1.153.116,10</t>
  </si>
  <si>
    <t>JP3762900003</t>
  </si>
  <si>
    <t>THK LTD</t>
  </si>
  <si>
    <t>1.150.427</t>
  </si>
  <si>
    <t>1.150.426,80</t>
  </si>
  <si>
    <t>JP3539250005</t>
  </si>
  <si>
    <t>MERCARI INC</t>
  </si>
  <si>
    <t>20,22</t>
  </si>
  <si>
    <t>1.138.230</t>
  </si>
  <si>
    <t>1.138.230,19</t>
  </si>
  <si>
    <t>JP3921290007</t>
  </si>
  <si>
    <t>AST</t>
  </si>
  <si>
    <t>AUSNET SERVICES</t>
  </si>
  <si>
    <t>1,20</t>
  </si>
  <si>
    <t>1.136.731</t>
  </si>
  <si>
    <t>1.136.730,60</t>
  </si>
  <si>
    <t>AU000000AST5</t>
  </si>
  <si>
    <t>PERSOL HOLDINGS LTD</t>
  </si>
  <si>
    <t>1.127.895</t>
  </si>
  <si>
    <t>1.127.895,22</t>
  </si>
  <si>
    <t>JP3547670004</t>
  </si>
  <si>
    <t>ICL</t>
  </si>
  <si>
    <t>ICL ISRAEL CHEMICALS LTD</t>
  </si>
  <si>
    <t>4,65</t>
  </si>
  <si>
    <t>1.104.585</t>
  </si>
  <si>
    <t>1.104.584,81</t>
  </si>
  <si>
    <t>IL0002810146</t>
  </si>
  <si>
    <t>J255</t>
  </si>
  <si>
    <t>KANSAI PAINT LTD</t>
  </si>
  <si>
    <t>24,30</t>
  </si>
  <si>
    <t>1.105.522</t>
  </si>
  <si>
    <t>1.105.522,09</t>
  </si>
  <si>
    <t>JP3229400001</t>
  </si>
  <si>
    <t>MITSUBISHI MATERIALS CORP</t>
  </si>
  <si>
    <t>26,45</t>
  </si>
  <si>
    <t>1.105.663</t>
  </si>
  <si>
    <t>1.105.662,65</t>
  </si>
  <si>
    <t>JP3903000002</t>
  </si>
  <si>
    <t>CPF</t>
  </si>
  <si>
    <t>HITACHI CONSTRUCTION MACHINERY LTD</t>
  </si>
  <si>
    <t>30,71</t>
  </si>
  <si>
    <t>1.068.839</t>
  </si>
  <si>
    <t>1.068.838,99</t>
  </si>
  <si>
    <t>JP3787000003</t>
  </si>
  <si>
    <t>FPT</t>
  </si>
  <si>
    <t>PARK24 LTD</t>
  </si>
  <si>
    <t>23,75</t>
  </si>
  <si>
    <t>1.052.105</t>
  </si>
  <si>
    <t>1.052.104,78</t>
  </si>
  <si>
    <t>JP3780100008</t>
  </si>
  <si>
    <t>J256</t>
  </si>
  <si>
    <t>NH FOODS LTD</t>
  </si>
  <si>
    <t>43,31</t>
  </si>
  <si>
    <t>1.039.430</t>
  </si>
  <si>
    <t>1.039.430,45</t>
  </si>
  <si>
    <t>JP3743000006</t>
  </si>
  <si>
    <t>PMM</t>
  </si>
  <si>
    <t>BBD.B</t>
  </si>
  <si>
    <t>BOMBARDIER INC CLASS B</t>
  </si>
  <si>
    <t>1.036.523</t>
  </si>
  <si>
    <t>1.036.522,64</t>
  </si>
  <si>
    <t>CA0977512007</t>
  </si>
  <si>
    <t>J257</t>
  </si>
  <si>
    <t>SUMITOMO HEAVY INDUSTRIES LTD</t>
  </si>
  <si>
    <t>28,89</t>
  </si>
  <si>
    <t>1.028.423</t>
  </si>
  <si>
    <t>1.028.422,78</t>
  </si>
  <si>
    <t>JP3405400007</t>
  </si>
  <si>
    <t>NOK CASH</t>
  </si>
  <si>
    <t>11,25</t>
  </si>
  <si>
    <t>9.120.045</t>
  </si>
  <si>
    <t>1.026.408</t>
  </si>
  <si>
    <t>1.026.407,96</t>
  </si>
  <si>
    <t>B4B</t>
  </si>
  <si>
    <t>METRO AG</t>
  </si>
  <si>
    <t>14,93</t>
  </si>
  <si>
    <t>1.000.422</t>
  </si>
  <si>
    <t>1.000.421,76</t>
  </si>
  <si>
    <t>DE000BFB0019</t>
  </si>
  <si>
    <t>METSO</t>
  </si>
  <si>
    <t>38,02</t>
  </si>
  <si>
    <t>966.069,99</t>
  </si>
  <si>
    <t>FI0009007835</t>
  </si>
  <si>
    <t>KAWASAKI HEAVY INDUSTRIES LTD</t>
  </si>
  <si>
    <t>21,75</t>
  </si>
  <si>
    <t>965.728,37</t>
  </si>
  <si>
    <t>JP3224200000</t>
  </si>
  <si>
    <t>NMC</t>
  </si>
  <si>
    <t>NMC HEALTH PLC</t>
  </si>
  <si>
    <t>956.322,73</t>
  </si>
  <si>
    <t>GB00B7FC0762</t>
  </si>
  <si>
    <t>KERRY PROPERTIES LTD</t>
  </si>
  <si>
    <t>3,17</t>
  </si>
  <si>
    <t>952.160,23</t>
  </si>
  <si>
    <t>BMG524401079</t>
  </si>
  <si>
    <t>ACOM LTD</t>
  </si>
  <si>
    <t>4,62</t>
  </si>
  <si>
    <t>934.853,01</t>
  </si>
  <si>
    <t>JP3108600002</t>
  </si>
  <si>
    <t>MITSUBISHI GAS CHEMICAL INC</t>
  </si>
  <si>
    <t>15,06</t>
  </si>
  <si>
    <t>926.204,82</t>
  </si>
  <si>
    <t>JP3896800004</t>
  </si>
  <si>
    <t>SG HOLDINGS LTD</t>
  </si>
  <si>
    <t>22,62</t>
  </si>
  <si>
    <t>911.495,07</t>
  </si>
  <si>
    <t>JP3162770006</t>
  </si>
  <si>
    <t>WASHINGTON H SOUL PATTINSON &amp; COMP</t>
  </si>
  <si>
    <t>15,22</t>
  </si>
  <si>
    <t>874.951,38</t>
  </si>
  <si>
    <t>AU000000SOL3</t>
  </si>
  <si>
    <t>O2D</t>
  </si>
  <si>
    <t>TELEFONICA DEUTSCHLAND HOLDING AG</t>
  </si>
  <si>
    <t>3,03</t>
  </si>
  <si>
    <t>875.133,89</t>
  </si>
  <si>
    <t>DE000A1J5RX9</t>
  </si>
  <si>
    <t>COCA-COLA BOTTLERS JAPAN HOLDINGS</t>
  </si>
  <si>
    <t>876.950,53</t>
  </si>
  <si>
    <t>JP3293200006</t>
  </si>
  <si>
    <t>DAINIPPON SUMITOMO PHARMA LTD</t>
  </si>
  <si>
    <t>870.714,68</t>
  </si>
  <si>
    <t>JP3495000006</t>
  </si>
  <si>
    <t>TPM</t>
  </si>
  <si>
    <t>TPG TELECOM LTD</t>
  </si>
  <si>
    <t>4,82</t>
  </si>
  <si>
    <t>848.914,91</t>
  </si>
  <si>
    <t>AU000000TPM6</t>
  </si>
  <si>
    <t>IHI CORP</t>
  </si>
  <si>
    <t>25,39</t>
  </si>
  <si>
    <t>840.744,98</t>
  </si>
  <si>
    <t>JP3134800006</t>
  </si>
  <si>
    <t>CIM</t>
  </si>
  <si>
    <t>CIMIC GROUP LTD</t>
  </si>
  <si>
    <t>22,57</t>
  </si>
  <si>
    <t>834.669,50</t>
  </si>
  <si>
    <t>AU000000CIM7</t>
  </si>
  <si>
    <t>ELECTRIC POWER DEVELOPMENT LTD</t>
  </si>
  <si>
    <t>23,32</t>
  </si>
  <si>
    <t>830.211,76</t>
  </si>
  <si>
    <t>JP3551200003</t>
  </si>
  <si>
    <t>KAKAKU.COM INC</t>
  </si>
  <si>
    <t>27,04</t>
  </si>
  <si>
    <t>821.234,56</t>
  </si>
  <si>
    <t>JP3206000006</t>
  </si>
  <si>
    <t>SEVEN BANK LTD</t>
  </si>
  <si>
    <t>802.855,06</t>
  </si>
  <si>
    <t>JP3105220002</t>
  </si>
  <si>
    <t>TOHO GAS LTD</t>
  </si>
  <si>
    <t>40,07</t>
  </si>
  <si>
    <t>783.115,74</t>
  </si>
  <si>
    <t>JP3600200004</t>
  </si>
  <si>
    <t>STANLEY ELECTRIC LTD</t>
  </si>
  <si>
    <t>28,43</t>
  </si>
  <si>
    <t>779.034,32</t>
  </si>
  <si>
    <t>JP3399400005</t>
  </si>
  <si>
    <t>MITSUI OSK LINES LTD</t>
  </si>
  <si>
    <t>26,57</t>
  </si>
  <si>
    <t>759.182,21</t>
  </si>
  <si>
    <t>JP3362700001</t>
  </si>
  <si>
    <t>SOHGO SECURITY SERVICES LTD</t>
  </si>
  <si>
    <t>54,67</t>
  </si>
  <si>
    <t>734.042,90</t>
  </si>
  <si>
    <t>JP3431900004</t>
  </si>
  <si>
    <t>HISAMITSU PHARMACEUTICAL INC</t>
  </si>
  <si>
    <t>51,11</t>
  </si>
  <si>
    <t>692.384,08</t>
  </si>
  <si>
    <t>JP3784600003</t>
  </si>
  <si>
    <t>AEON MALL LTD</t>
  </si>
  <si>
    <t>17,28</t>
  </si>
  <si>
    <t>690.160,57</t>
  </si>
  <si>
    <t>JP3131430005</t>
  </si>
  <si>
    <t>AEON FINANCIAL SERVICES LTD</t>
  </si>
  <si>
    <t>15,89</t>
  </si>
  <si>
    <t>684.895,03</t>
  </si>
  <si>
    <t>JP3131400008</t>
  </si>
  <si>
    <t>SHINSEI BANK LTD</t>
  </si>
  <si>
    <t>15,28</t>
  </si>
  <si>
    <t>678.003,61</t>
  </si>
  <si>
    <t>JP3729000004</t>
  </si>
  <si>
    <t>IBE.D</t>
  </si>
  <si>
    <t>IBERDROLA RIGHTS SA</t>
  </si>
  <si>
    <t>629.627,36</t>
  </si>
  <si>
    <t>ES06445809J6</t>
  </si>
  <si>
    <t>MCDONALDS HOLDINGS (JAPAN) LTD</t>
  </si>
  <si>
    <t>47,74</t>
  </si>
  <si>
    <t>627.256,30</t>
  </si>
  <si>
    <t>JP3750500005</t>
  </si>
  <si>
    <t>NWS HOLDINGS LTD</t>
  </si>
  <si>
    <t>625.591,98</t>
  </si>
  <si>
    <t>BMG668971101</t>
  </si>
  <si>
    <t>MEBUKI FINANCIAL GROUP INC</t>
  </si>
  <si>
    <t>606.997,01</t>
  </si>
  <si>
    <t>JP3117700009</t>
  </si>
  <si>
    <t>FUKUOKA FINANCIAL GROUP INC</t>
  </si>
  <si>
    <t>18,83</t>
  </si>
  <si>
    <t>599.053,32</t>
  </si>
  <si>
    <t>JP3805010000</t>
  </si>
  <si>
    <t>YAMAZAKI BAKING LTD</t>
  </si>
  <si>
    <t>18,23</t>
  </si>
  <si>
    <t>599.683,28</t>
  </si>
  <si>
    <t>JP3935600001</t>
  </si>
  <si>
    <t>NGK SPARK PLUG LTD</t>
  </si>
  <si>
    <t>19,30</t>
  </si>
  <si>
    <t>592.367,65</t>
  </si>
  <si>
    <t>JP3738600000</t>
  </si>
  <si>
    <t>ILS CASH</t>
  </si>
  <si>
    <t>28,86</t>
  </si>
  <si>
    <t>2.028.351</t>
  </si>
  <si>
    <t>585.399,60</t>
  </si>
  <si>
    <t>U96</t>
  </si>
  <si>
    <t>SEMBCORP INDUSTRIES LTD</t>
  </si>
  <si>
    <t>1,72</t>
  </si>
  <si>
    <t>584.473,45</t>
  </si>
  <si>
    <t>SG1R50925390</t>
  </si>
  <si>
    <t>NIPPON YUSEN</t>
  </si>
  <si>
    <t>17,54</t>
  </si>
  <si>
    <t>578.915,66</t>
  </si>
  <si>
    <t>JP3753000003</t>
  </si>
  <si>
    <t>JGC HOLDINGS CORP</t>
  </si>
  <si>
    <t>15,76</t>
  </si>
  <si>
    <t>567.469,88</t>
  </si>
  <si>
    <t>JP3667600005</t>
  </si>
  <si>
    <t>CRON</t>
  </si>
  <si>
    <t>CRONOS GROUP INC</t>
  </si>
  <si>
    <t>6,80</t>
  </si>
  <si>
    <t>564.315,27</t>
  </si>
  <si>
    <t>CA22717L1013</t>
  </si>
  <si>
    <t>NZD CASH</t>
  </si>
  <si>
    <t>66,39</t>
  </si>
  <si>
    <t>563.855,72</t>
  </si>
  <si>
    <t>CALBEE INC</t>
  </si>
  <si>
    <t>33,18</t>
  </si>
  <si>
    <t>530.850,68</t>
  </si>
  <si>
    <t>JP3220580009</t>
  </si>
  <si>
    <t>N2IU</t>
  </si>
  <si>
    <t>MAPLETREE COMMERCIAL UNITS TRUST</t>
  </si>
  <si>
    <t>1,81</t>
  </si>
  <si>
    <t>482.426,58</t>
  </si>
  <si>
    <t>SG2D18969584</t>
  </si>
  <si>
    <t>IIDA GROUP HOLDINGS LTD</t>
  </si>
  <si>
    <t>17,75</t>
  </si>
  <si>
    <t>477.551,11</t>
  </si>
  <si>
    <t>JP3131090007</t>
  </si>
  <si>
    <t>FLIGHT CENTRE TRAVEL GROUP LTD</t>
  </si>
  <si>
    <t>30,58</t>
  </si>
  <si>
    <t>464.106,11</t>
  </si>
  <si>
    <t>AU000000FLT9</t>
  </si>
  <si>
    <t>TOYO SEIKAN GROUP HOLDINGS LTD</t>
  </si>
  <si>
    <t>17,73</t>
  </si>
  <si>
    <t>459.325,48</t>
  </si>
  <si>
    <t>JP3613400005</t>
  </si>
  <si>
    <t>C07</t>
  </si>
  <si>
    <t>JARDINE CYCLE AND CARRIAGE LTD</t>
  </si>
  <si>
    <t>22,63</t>
  </si>
  <si>
    <t>451.518,13</t>
  </si>
  <si>
    <t>SG1B51001017</t>
  </si>
  <si>
    <t>ACB</t>
  </si>
  <si>
    <t>AURORA CANNABIS INC</t>
  </si>
  <si>
    <t>1,65</t>
  </si>
  <si>
    <t>434.057,35</t>
  </si>
  <si>
    <t>CA05156X1087</t>
  </si>
  <si>
    <t>HITACHI METALS LTD</t>
  </si>
  <si>
    <t>15,01</t>
  </si>
  <si>
    <t>406.895,76</t>
  </si>
  <si>
    <t>JP3786200000</t>
  </si>
  <si>
    <t>BANK OF KYOTO LTD</t>
  </si>
  <si>
    <t>42,26</t>
  </si>
  <si>
    <t>394.031,76</t>
  </si>
  <si>
    <t>JP3251200006</t>
  </si>
  <si>
    <t>POLA ORBIS HOLDINGS INC</t>
  </si>
  <si>
    <t>24,14</t>
  </si>
  <si>
    <t>376.615,55</t>
  </si>
  <si>
    <t>JP3855900001</t>
  </si>
  <si>
    <t>REPSM</t>
  </si>
  <si>
    <t>375.391,98</t>
  </si>
  <si>
    <t>ES0173516172</t>
  </si>
  <si>
    <t>SEGA SAMMY HOLDINGS INC</t>
  </si>
  <si>
    <t>14,45</t>
  </si>
  <si>
    <t>375.767,44</t>
  </si>
  <si>
    <t>JP3419050004</t>
  </si>
  <si>
    <t>RINNAI CORP</t>
  </si>
  <si>
    <t>77,67</t>
  </si>
  <si>
    <t>368.409,36</t>
  </si>
  <si>
    <t>JP3977400005</t>
  </si>
  <si>
    <t>TAIYO NIPPON SANSO CORP</t>
  </si>
  <si>
    <t>323.491,24</t>
  </si>
  <si>
    <t>JP3711600001</t>
  </si>
  <si>
    <t>KURITA WATER INDUSTRIES LTD</t>
  </si>
  <si>
    <t>300.255,48</t>
  </si>
  <si>
    <t>JP3270000007</t>
  </si>
  <si>
    <t>AIR WATER INC</t>
  </si>
  <si>
    <t>270.190,76</t>
  </si>
  <si>
    <t>JP3160670000</t>
  </si>
  <si>
    <t>TEVA PHARMACEUTICAL INDUSTRIES ADR</t>
  </si>
  <si>
    <t>9,01</t>
  </si>
  <si>
    <t>264.146,17</t>
  </si>
  <si>
    <t>US8816242098</t>
  </si>
  <si>
    <t>BENESSE HOLDINGS INC</t>
  </si>
  <si>
    <t>26,87</t>
  </si>
  <si>
    <t>227.920,85</t>
  </si>
  <si>
    <t>JP3835620000</t>
  </si>
  <si>
    <t>SHIMAMURA LTD</t>
  </si>
  <si>
    <t>75,76</t>
  </si>
  <si>
    <t>224.166,67</t>
  </si>
  <si>
    <t>JP3358200008</t>
  </si>
  <si>
    <t>NGT</t>
  </si>
  <si>
    <t>104.117,99</t>
  </si>
  <si>
    <t>123,00</t>
  </si>
  <si>
    <t>23,37</t>
  </si>
  <si>
    <t>TPH0</t>
  </si>
  <si>
    <t>TOPIX INDEX MAR 20</t>
  </si>
  <si>
    <t>Futures</t>
  </si>
  <si>
    <t>15,80</t>
  </si>
  <si>
    <t>8.373.767,80</t>
  </si>
  <si>
    <t>Osaka Securities Exchange</t>
  </si>
  <si>
    <t>Z H0</t>
  </si>
  <si>
    <t>FTSE 100 INDEX MAR 20</t>
  </si>
  <si>
    <t>9.833,87</t>
  </si>
  <si>
    <t>11.210.649,96</t>
  </si>
  <si>
    <t>GB00F7D1RN68</t>
  </si>
  <si>
    <t>IFLL</t>
  </si>
  <si>
    <t>MFSH0</t>
  </si>
  <si>
    <t>EMINI MSCI EAFE INDEX MAR 20</t>
  </si>
  <si>
    <t>2.032,90</t>
  </si>
  <si>
    <t>30.493.500,00</t>
  </si>
  <si>
    <t>Ice Futures U.S.</t>
  </si>
  <si>
    <t>ESH0</t>
  </si>
  <si>
    <t>S&amp;P500 EMINI MAR 20</t>
  </si>
  <si>
    <t>3.264,70</t>
  </si>
  <si>
    <t>76.557.215,00</t>
  </si>
  <si>
    <t>Index And Options Market</t>
  </si>
  <si>
    <t>VGH0</t>
  </si>
  <si>
    <t>EURO STOXX 50 MAR 20</t>
  </si>
  <si>
    <t>4.200,89</t>
  </si>
  <si>
    <t>14.493.115,35</t>
  </si>
  <si>
    <t>DE000C174QX9</t>
  </si>
  <si>
    <t>Eurex Deutschland</t>
  </si>
  <si>
    <t>J258</t>
  </si>
  <si>
    <t>J272</t>
  </si>
  <si>
    <t>J273</t>
  </si>
  <si>
    <t>J275</t>
  </si>
  <si>
    <t>J277</t>
  </si>
  <si>
    <t>J279</t>
  </si>
  <si>
    <t>J300</t>
  </si>
  <si>
    <t>J303</t>
  </si>
  <si>
    <t>J335</t>
  </si>
  <si>
    <t>J353</t>
  </si>
  <si>
    <t>J357</t>
  </si>
  <si>
    <t>J372</t>
  </si>
  <si>
    <t>J374</t>
  </si>
  <si>
    <t>AMA</t>
  </si>
  <si>
    <t>J376</t>
  </si>
  <si>
    <t>J378</t>
  </si>
  <si>
    <t>J400</t>
  </si>
  <si>
    <t>J403</t>
  </si>
  <si>
    <t>J433</t>
  </si>
  <si>
    <t>OML</t>
  </si>
  <si>
    <t>REI</t>
  </si>
  <si>
    <t>HSP</t>
  </si>
  <si>
    <t>DST</t>
  </si>
  <si>
    <t>CVH</t>
  </si>
  <si>
    <t>TTO</t>
  </si>
  <si>
    <t>BGA</t>
  </si>
  <si>
    <t>J453</t>
  </si>
  <si>
    <t>J457</t>
  </si>
  <si>
    <t>J500</t>
  </si>
  <si>
    <t>J510</t>
  </si>
  <si>
    <t>J520</t>
  </si>
  <si>
    <t>J530</t>
  </si>
  <si>
    <t>J533</t>
  </si>
  <si>
    <t>J537</t>
  </si>
  <si>
    <t>J540</t>
  </si>
  <si>
    <t>J550</t>
  </si>
  <si>
    <t>J555</t>
  </si>
  <si>
    <t>J560</t>
  </si>
  <si>
    <t>J575</t>
  </si>
  <si>
    <t>J580</t>
  </si>
  <si>
    <t>J590</t>
  </si>
  <si>
    <t>J653</t>
  </si>
  <si>
    <t>J657</t>
  </si>
  <si>
    <t>J835</t>
  </si>
  <si>
    <t>J853</t>
  </si>
  <si>
    <t>J857</t>
  </si>
  <si>
    <t>J863</t>
  </si>
  <si>
    <t>J867</t>
  </si>
  <si>
    <t>J873</t>
  </si>
  <si>
    <t>ACP</t>
  </si>
  <si>
    <t>CPL</t>
  </si>
  <si>
    <t>HPA</t>
  </si>
  <si>
    <t>SYC</t>
  </si>
  <si>
    <t>LBT</t>
  </si>
  <si>
    <t>PAP</t>
  </si>
  <si>
    <t>J877</t>
  </si>
  <si>
    <t>J898</t>
  </si>
  <si>
    <t>J953</t>
  </si>
  <si>
    <t>J957</t>
  </si>
  <si>
    <t>SAGILB</t>
  </si>
  <si>
    <t>SPGIVI</t>
  </si>
  <si>
    <t>STEFI</t>
  </si>
  <si>
    <t>STEFI Composite</t>
  </si>
  <si>
    <t>BONDS</t>
  </si>
  <si>
    <t>Nominal Holding</t>
  </si>
  <si>
    <t>EQ</t>
  </si>
  <si>
    <t>Variation Margin [BN90 19(2)]</t>
  </si>
  <si>
    <t>SAFEX [BN90 19(2)]</t>
  </si>
  <si>
    <t>Forex rate</t>
  </si>
  <si>
    <t>Effective equity exposure from swaps</t>
  </si>
  <si>
    <t>ALSI Cover</t>
  </si>
  <si>
    <t>Incl underlying UTs</t>
  </si>
  <si>
    <t>Effective equity exposure from swaps, after MtM</t>
  </si>
  <si>
    <t>UT</t>
  </si>
  <si>
    <t>Cash (incl MMFs, excl margin)</t>
  </si>
  <si>
    <t>Bonds (excl &gt; 13 month bonds)</t>
  </si>
  <si>
    <t>AAA</t>
  </si>
  <si>
    <t>Leverage (net effective exposure ÷ NAV)</t>
  </si>
  <si>
    <r>
      <rPr>
        <u/>
        <sz val="11"/>
        <color rgb="FF000000"/>
        <rFont val="Calibri"/>
        <family val="2"/>
        <scheme val="minor"/>
      </rPr>
      <t>excl</t>
    </r>
    <r>
      <rPr>
        <sz val="11"/>
        <color indexed="8"/>
        <rFont val="Calibri"/>
        <family val="2"/>
        <scheme val="minor"/>
      </rPr>
      <t xml:space="preserve"> MtM P&amp;L on internationally listed derivatives</t>
    </r>
  </si>
  <si>
    <r>
      <rPr>
        <u/>
        <sz val="11"/>
        <color rgb="FF000000"/>
        <rFont val="Calibri"/>
        <family val="2"/>
        <scheme val="minor"/>
      </rPr>
      <t>excl</t>
    </r>
    <r>
      <rPr>
        <sz val="11"/>
        <color indexed="8"/>
        <rFont val="Calibri"/>
        <family val="2"/>
        <scheme val="minor"/>
      </rPr>
      <t xml:space="preserve"> MtM P&amp;L on OTC swaps</t>
    </r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</si>
  <si>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rFont val="Calibri"/>
        <family val="2"/>
        <scheme val="minor"/>
      </rPr>
      <t xml:space="preserve"> Sold currency futures to be covered by cash [BN90 16(1)(i)] </t>
    </r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</si>
  <si>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rFont val="Calibri"/>
        <family val="2"/>
        <scheme val="minor"/>
      </rPr>
      <t xml:space="preserve"> Net negative MtM OTC derivative exposure [BN90 17(1)(a)]</t>
    </r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</si>
  <si>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rFont val="Calibri"/>
        <family val="2"/>
        <scheme val="minor"/>
      </rPr>
      <t xml:space="preserve"> Bought futures or calls &amp; sold puts to be covered by cash [BN90 16(1)(c)] </t>
    </r>
  </si>
  <si>
    <t>Mandate</t>
  </si>
  <si>
    <t>Total Equity</t>
  </si>
  <si>
    <t>REP OF SOUTH AFRICA</t>
  </si>
  <si>
    <t xml:space="preserve">Total property equity </t>
  </si>
  <si>
    <t>Property equity unit trusts</t>
  </si>
  <si>
    <t>Direct preference shares</t>
  </si>
  <si>
    <t>Direct property equity</t>
  </si>
  <si>
    <t>Direct equities, excl direct property equity</t>
  </si>
  <si>
    <t>Process:</t>
  </si>
  <si>
    <t>b) Locate "Entity ID", click on down arrow and  select "Favorite"</t>
  </si>
  <si>
    <t>c) click on ellipses (…) and then on Entity ID to select all favourites</t>
  </si>
  <si>
    <t>d) Enter prior working day's date in the calendar at bottom left of the screen</t>
  </si>
  <si>
    <t>e) Submit</t>
  </si>
  <si>
    <t>f) Hover over "Export" and then left click on "XLS Analysis Mode"</t>
  </si>
  <si>
    <t>h) Copy columns "A" through "G" from the "Derivative Exposure.xls" sheet</t>
  </si>
  <si>
    <r>
      <t xml:space="preserve">a) Queries -&gt; Portfolios -&gt; </t>
    </r>
    <r>
      <rPr>
        <b/>
        <sz val="10"/>
        <rFont val="Arial"/>
        <family val="2"/>
      </rPr>
      <t>Portfolio Analytics Report - New</t>
    </r>
    <r>
      <rPr>
        <sz val="10"/>
        <rFont val="Arial"/>
        <family val="2"/>
      </rPr>
      <t xml:space="preserve"> -&gt; Edit Criteria</t>
    </r>
  </si>
  <si>
    <r>
      <t xml:space="preserve">a) Queries -&gt; Portfolios -&gt; </t>
    </r>
    <r>
      <rPr>
        <b/>
        <sz val="10"/>
        <rFont val="Arial"/>
        <family val="2"/>
      </rPr>
      <t>Derivative Exposure</t>
    </r>
    <r>
      <rPr>
        <sz val="10"/>
        <rFont val="Arial"/>
        <family val="2"/>
      </rPr>
      <t xml:space="preserve"> -&gt; Edit Criteria</t>
    </r>
  </si>
  <si>
    <t>g) When it's done downloading, click on "Download Complete"</t>
  </si>
  <si>
    <t xml:space="preserve">2) </t>
  </si>
  <si>
    <t>h) Copy columns "A" through "G" from the "Portfolio Analytics Report - New.xls" sheet</t>
  </si>
  <si>
    <r>
      <t xml:space="preserve">i) Paste into cell "A1" of </t>
    </r>
    <r>
      <rPr>
        <b/>
        <sz val="10"/>
        <rFont val="Arial"/>
        <family val="2"/>
      </rPr>
      <t>sheet "D"</t>
    </r>
    <r>
      <rPr>
        <sz val="10"/>
        <rFont val="Arial"/>
        <family val="2"/>
      </rPr>
      <t xml:space="preserve"> in this file</t>
    </r>
  </si>
  <si>
    <r>
      <t xml:space="preserve">i) Paste into cell "A1" of </t>
    </r>
    <r>
      <rPr>
        <b/>
        <sz val="10"/>
        <rFont val="Arial"/>
        <family val="2"/>
      </rPr>
      <t>sheet "H"</t>
    </r>
    <r>
      <rPr>
        <sz val="10"/>
        <rFont val="Arial"/>
        <family val="2"/>
      </rPr>
      <t xml:space="preserve"> in this file</t>
    </r>
  </si>
  <si>
    <t>UT?</t>
  </si>
  <si>
    <t>Bonds (3 - 7 Years)</t>
  </si>
  <si>
    <t>VB</t>
  </si>
  <si>
    <t>GOVI</t>
  </si>
  <si>
    <t>R186</t>
  </si>
  <si>
    <t>Equity linked notes</t>
  </si>
  <si>
    <t>ii) Get the funds' holdings from Eagle</t>
  </si>
  <si>
    <t>i) Get the funds' derivative deltas from Eagle</t>
  </si>
  <si>
    <t>Bonds (Greater than 12 Years)</t>
  </si>
  <si>
    <t>PRIVATE COMPANY</t>
  </si>
  <si>
    <t>Private Company</t>
  </si>
  <si>
    <t>PRIVATE COMP</t>
  </si>
  <si>
    <t>OTHER</t>
  </si>
  <si>
    <t>Day of Reconciliation</t>
  </si>
  <si>
    <t>Christmas Day</t>
  </si>
  <si>
    <t>Boxing Day</t>
  </si>
  <si>
    <t>New Year's Day</t>
  </si>
  <si>
    <t>Human Rights Day</t>
  </si>
  <si>
    <t>Good Friday</t>
  </si>
  <si>
    <t>Family Day</t>
  </si>
  <si>
    <t>Freedom Day</t>
  </si>
  <si>
    <t>International Workers' Day</t>
  </si>
  <si>
    <t>Youth Day (in South Africa)</t>
  </si>
  <si>
    <t>National Women's Day</t>
  </si>
  <si>
    <t>Heritage Day</t>
  </si>
  <si>
    <t>Workers' Day</t>
  </si>
  <si>
    <t>Workers' Day Holiday</t>
  </si>
  <si>
    <t>Youth Day</t>
  </si>
  <si>
    <t>Day of Goodwill</t>
  </si>
  <si>
    <t>Back to links</t>
  </si>
  <si>
    <t>Election Day</t>
  </si>
  <si>
    <t>#</t>
  </si>
  <si>
    <t>Incl CLNs &amp; longer dated debt</t>
  </si>
  <si>
    <t>Total non-property equity</t>
  </si>
  <si>
    <t>Total equity, incl property equity</t>
  </si>
  <si>
    <t>LBK28 10.565% 150528</t>
  </si>
  <si>
    <t>LBK28</t>
  </si>
  <si>
    <t>AA+</t>
  </si>
  <si>
    <t>LANDBANK</t>
  </si>
  <si>
    <t>ZAG000151275</t>
  </si>
  <si>
    <t>TRANSNET SOC LTD</t>
  </si>
  <si>
    <t>RSA 8.50% R2037 310137</t>
  </si>
  <si>
    <t>R2037</t>
  </si>
  <si>
    <t>ZAG000107012</t>
  </si>
  <si>
    <t>Transnet 10.75% TN40 091040</t>
  </si>
  <si>
    <t>TN40</t>
  </si>
  <si>
    <t>CR</t>
  </si>
  <si>
    <t>ZAG000120320</t>
  </si>
  <si>
    <t>Inflation Linked Bonds</t>
  </si>
  <si>
    <t>I2038 2.25% 310138</t>
  </si>
  <si>
    <t>ILB</t>
  </si>
  <si>
    <t>ZAG000096595</t>
  </si>
  <si>
    <t>I2046 2.50% 310346</t>
  </si>
  <si>
    <t>ZAG000106980</t>
  </si>
  <si>
    <t>I2050 2.25% 2050</t>
  </si>
  <si>
    <t>ZAG000096603</t>
  </si>
  <si>
    <t>RSA 1.875% I2033 280233</t>
  </si>
  <si>
    <t>ZAG000125998</t>
  </si>
  <si>
    <t>Cash on Call</t>
  </si>
  <si>
    <t>Prescient Money Market Fund B3</t>
  </si>
  <si>
    <t>PRMFB3</t>
  </si>
  <si>
    <t>CIS</t>
  </si>
  <si>
    <t>ZAE000140885</t>
  </si>
  <si>
    <t>Unsettled Cash</t>
  </si>
  <si>
    <t>Audit Fee</t>
  </si>
  <si>
    <t>AUDITFEE</t>
  </si>
  <si>
    <t>EXP</t>
  </si>
  <si>
    <t>Management Fee</t>
  </si>
  <si>
    <t>MGMTFEE</t>
  </si>
  <si>
    <t>Other Fee</t>
  </si>
  <si>
    <t>OTHFEE</t>
  </si>
  <si>
    <t>COLLECTIVE INVESTMENT SCHEMES</t>
  </si>
  <si>
    <t>Domestic</t>
  </si>
  <si>
    <t>Prescient Flexible Fixed Interest Fund B3</t>
  </si>
  <si>
    <t>PFFB3</t>
  </si>
  <si>
    <t>ZAE000222469</t>
  </si>
  <si>
    <t>Prescient Income Plus Fund B3</t>
  </si>
  <si>
    <t>PLUSB3</t>
  </si>
  <si>
    <t>ZAE000284303</t>
  </si>
  <si>
    <t>Prescient Property Equity Fund B3</t>
  </si>
  <si>
    <t>PPEB3</t>
  </si>
  <si>
    <t>ZAE000140117</t>
  </si>
  <si>
    <t>DERIVATIVES</t>
  </si>
  <si>
    <t>DER</t>
  </si>
  <si>
    <t>FT</t>
  </si>
  <si>
    <t>IDXFT</t>
  </si>
  <si>
    <t>Prescient Clean Energy and Infrastructure Debt Fund Trust</t>
  </si>
  <si>
    <t>PIMEVOA</t>
  </si>
  <si>
    <t>UNKNOWN</t>
  </si>
  <si>
    <t>SYTH</t>
  </si>
  <si>
    <t>SYNCASHFUT</t>
  </si>
  <si>
    <t>Bonds (1 - 3 Years)</t>
  </si>
  <si>
    <t>BANKS</t>
  </si>
  <si>
    <t>AA</t>
  </si>
  <si>
    <t>NEDBANK LTD</t>
  </si>
  <si>
    <t>EQUITIES</t>
  </si>
  <si>
    <t>MONEY MARKET</t>
  </si>
  <si>
    <t>Money Market : Maturity (6-12) Months</t>
  </si>
  <si>
    <t>MM</t>
  </si>
  <si>
    <t>NCD</t>
  </si>
  <si>
    <t>Nedbank NCD 5.95% 140223</t>
  </si>
  <si>
    <t>NEDN140223</t>
  </si>
  <si>
    <t>ZAM000565282</t>
  </si>
  <si>
    <t>US Dollar</t>
  </si>
  <si>
    <t>CASHUSD</t>
  </si>
  <si>
    <t>Foreign</t>
  </si>
  <si>
    <t>DEVELOPMENT BANK OF SOUTHERN AFRICA</t>
  </si>
  <si>
    <t>Bonds (0 - 1 Years)</t>
  </si>
  <si>
    <t>EQUITY LINKED NOTES</t>
  </si>
  <si>
    <t>EQUITY - ELN</t>
  </si>
  <si>
    <t>Money Market : Maturity (3 - 6) Months</t>
  </si>
  <si>
    <t>INVESTEC BANK LTD</t>
  </si>
  <si>
    <t>FIRSTRAND BANK LTD</t>
  </si>
  <si>
    <t>Money Market : Maturity (1-3) Months</t>
  </si>
  <si>
    <t>Landbank Step-Up Quarter 110522 JB+890 (20220511)</t>
  </si>
  <si>
    <t>LANDSUN110522</t>
  </si>
  <si>
    <t>ZAM000564855</t>
  </si>
  <si>
    <t>Firstrand 10.75% FRX24 101224</t>
  </si>
  <si>
    <t>FRX24</t>
  </si>
  <si>
    <t>ZAG000073693</t>
  </si>
  <si>
    <t>Prescient Global Income Provider Fund C</t>
  </si>
  <si>
    <t>PGIFC</t>
  </si>
  <si>
    <t>IE00B1Y40J34</t>
  </si>
  <si>
    <t>Std (Eskom) Inflation Linked CLN 310125 CLN454 2.0%</t>
  </si>
  <si>
    <t>CLN454</t>
  </si>
  <si>
    <t>BB-</t>
  </si>
  <si>
    <t>ESKOM HOLDINGS LTD</t>
  </si>
  <si>
    <t>ZAG000138660</t>
  </si>
  <si>
    <t>Prescient Global Balanced Fund D</t>
  </si>
  <si>
    <t>PGPGBFD</t>
  </si>
  <si>
    <t>BNDFUT</t>
  </si>
  <si>
    <t>CASHBND</t>
  </si>
  <si>
    <t>BNP PARIBAS SECURITY SERVICES</t>
  </si>
  <si>
    <t>BNP Paribas Margin Account - USD</t>
  </si>
  <si>
    <t>BNPMARGUSD</t>
  </si>
  <si>
    <t>British Pound Sterling</t>
  </si>
  <si>
    <t>CASHGBP</t>
  </si>
  <si>
    <t>PIM Absolute Balanced</t>
  </si>
  <si>
    <t>PBAL</t>
  </si>
  <si>
    <t>BNP Paribas Margin Account - GBP</t>
  </si>
  <si>
    <t>BNPMARGGBP</t>
  </si>
  <si>
    <t>Prescient Core All Share Equity Fund B3</t>
  </si>
  <si>
    <t>PCALB3</t>
  </si>
  <si>
    <t>ZAE000282505</t>
  </si>
  <si>
    <t>Prescient Core Capped Equity Fund B3</t>
  </si>
  <si>
    <t>PCCFB3</t>
  </si>
  <si>
    <t>ZAE000268181</t>
  </si>
  <si>
    <t>Prescient Equity Fund B3</t>
  </si>
  <si>
    <t>PEAB3</t>
  </si>
  <si>
    <t>ZAE000121323</t>
  </si>
  <si>
    <t>Prescient Global Balanced Fund C</t>
  </si>
  <si>
    <t>PGPGBFC</t>
  </si>
  <si>
    <t>LONG GILT FUTURE Jun22</t>
  </si>
  <si>
    <t>G M2</t>
  </si>
  <si>
    <t>GB00JL6LY922</t>
  </si>
  <si>
    <t>US 10YR NOTE (CBT)Jun22</t>
  </si>
  <si>
    <t>TYM2</t>
  </si>
  <si>
    <t>Nedbank Ltd Structured Note NN049 (Top40 Total Return)</t>
  </si>
  <si>
    <t>NN049</t>
  </si>
  <si>
    <t>ZAG000168121</t>
  </si>
  <si>
    <t>Nedbank Structured Note NN048 (Capped Shareholder Weighted Top40 Total Return)</t>
  </si>
  <si>
    <t>NN048</t>
  </si>
  <si>
    <t>ZAG000168113</t>
  </si>
  <si>
    <t>Firstrand London FD 0.91% 071022</t>
  </si>
  <si>
    <t>FSRLFD071022</t>
  </si>
  <si>
    <t>FD</t>
  </si>
  <si>
    <t>Firstrand London FD 1.85% 170223</t>
  </si>
  <si>
    <t>FSRLFD170223</t>
  </si>
  <si>
    <t>Synthetic Cash_LONG GILT FUTURE Jun22</t>
  </si>
  <si>
    <t>SYNUSD</t>
  </si>
  <si>
    <t>Synthetic Cash_US 10YR NOTE (CBT)Jun22</t>
  </si>
  <si>
    <t>PIM Balanced</t>
  </si>
  <si>
    <t>Dbsa 10.00% DV23 270223</t>
  </si>
  <si>
    <t>PIMBAL</t>
  </si>
  <si>
    <t>ZAG000019779</t>
  </si>
  <si>
    <t>Japanese Yen</t>
  </si>
  <si>
    <t>CASHJPY</t>
  </si>
  <si>
    <t>Prescient Core Global Equity Fund - Class C</t>
  </si>
  <si>
    <t>PGPCGEC</t>
  </si>
  <si>
    <t>Nedbank Ltd Structured Note NN043 (Capped SWIX40 Total Return)</t>
  </si>
  <si>
    <t>NN043</t>
  </si>
  <si>
    <t>ZAG000167677</t>
  </si>
  <si>
    <t>FirstRand London FD 0.91% 180722</t>
  </si>
  <si>
    <t>FRSLFD180722</t>
  </si>
  <si>
    <t>PIM Defensive</t>
  </si>
  <si>
    <t>PABS</t>
  </si>
  <si>
    <t>Firstrand London FD 0.92% 121022</t>
  </si>
  <si>
    <t>FSRLFD121022</t>
  </si>
  <si>
    <t>PBAL Mandate</t>
  </si>
  <si>
    <t>PIMBAL Mandate</t>
  </si>
  <si>
    <t>PABS Mandate</t>
  </si>
  <si>
    <t>27four Life - Pos Ret</t>
  </si>
  <si>
    <t>PLPRNA</t>
  </si>
  <si>
    <t>RSA 10.50% R186 211226</t>
  </si>
  <si>
    <t>ZAG000016320</t>
  </si>
  <si>
    <t>Bonds (7 - 12 Years)</t>
  </si>
  <si>
    <t>Transnet 10.50% TN30 091030</t>
  </si>
  <si>
    <t>TN30</t>
  </si>
  <si>
    <t>ZAG000120312</t>
  </si>
  <si>
    <t>R2048 8.75% 280248</t>
  </si>
  <si>
    <t>R2048</t>
  </si>
  <si>
    <t>ZAG000096173</t>
  </si>
  <si>
    <t>Safex Margin Deposits</t>
  </si>
  <si>
    <t>SAFEX Margin</t>
  </si>
  <si>
    <t>SAFEX</t>
  </si>
  <si>
    <t>Margin Account</t>
  </si>
  <si>
    <t>MARGIN</t>
  </si>
  <si>
    <t>Variation Margin</t>
  </si>
  <si>
    <t>VARMARG</t>
  </si>
  <si>
    <t>15JUN22 ALSI</t>
  </si>
  <si>
    <t>ZAD000277663</t>
  </si>
  <si>
    <t>OP</t>
  </si>
  <si>
    <t>IDXOP</t>
  </si>
  <si>
    <t>15JUN22 ALSI 74000C</t>
  </si>
  <si>
    <t>ZADA00254565</t>
  </si>
  <si>
    <t>15SEP22 ALSI</t>
  </si>
  <si>
    <t>ZAD000277671</t>
  </si>
  <si>
    <t>15SEP22 ALSI 65000C</t>
  </si>
  <si>
    <t>PREFERENCE SHARES</t>
  </si>
  <si>
    <t>Preference Shares</t>
  </si>
  <si>
    <t>Absa Bank Ltd Preference Shares</t>
  </si>
  <si>
    <t>ABSP</t>
  </si>
  <si>
    <t>PREF</t>
  </si>
  <si>
    <t>ABSA BANK LTD</t>
  </si>
  <si>
    <t>ZAE000079810</t>
  </si>
  <si>
    <t>Discovery B Preference Shares</t>
  </si>
  <si>
    <t>DSBP</t>
  </si>
  <si>
    <t>ZAE000158564</t>
  </si>
  <si>
    <t>Investec Ltd Preference Share</t>
  </si>
  <si>
    <t>INPR</t>
  </si>
  <si>
    <t>ZAE000063814</t>
  </si>
  <si>
    <t>Netcare Preference Share Ltd</t>
  </si>
  <si>
    <t>NTCP</t>
  </si>
  <si>
    <t>ZAE000081121</t>
  </si>
  <si>
    <t>Standard Bank Group Ltd Preference Shares</t>
  </si>
  <si>
    <t>SBPP</t>
  </si>
  <si>
    <t>Standard Bank Group Ltd Pref</t>
  </si>
  <si>
    <t>STANDARD BANK LTD</t>
  </si>
  <si>
    <t>ZAE000056339</t>
  </si>
  <si>
    <t>Synthetic Cash_15JUN22 ALSI</t>
  </si>
  <si>
    <t>SYNZAR</t>
  </si>
  <si>
    <t>SYNCASHOPT</t>
  </si>
  <si>
    <t>Synthetic Cash_15JUN22 ALSI 74000C</t>
  </si>
  <si>
    <t>Synthetic Cash_15SEP22 ALSI</t>
  </si>
  <si>
    <t>27four Life - Pos Ret Med</t>
  </si>
  <si>
    <t>Nedbank Group Ltd FRN   NGT104  150125 JB3+450</t>
  </si>
  <si>
    <t>NGT104</t>
  </si>
  <si>
    <t>FRN</t>
  </si>
  <si>
    <t>PLMED</t>
  </si>
  <si>
    <t>ZAG000160441</t>
  </si>
  <si>
    <t>Standard Bank Group JB3+440 SBT103 310324</t>
  </si>
  <si>
    <t>SBT103</t>
  </si>
  <si>
    <t>ZAG000157157</t>
  </si>
  <si>
    <t>FINANCIALS</t>
  </si>
  <si>
    <t>Equites Property Fund Limited</t>
  </si>
  <si>
    <t>REAL ESTATE</t>
  </si>
  <si>
    <t>FINANCIAL SERVICES</t>
  </si>
  <si>
    <t>ZAE000188843</t>
  </si>
  <si>
    <t>Fortress Reit Limited A</t>
  </si>
  <si>
    <t>ZAE000248498</t>
  </si>
  <si>
    <t>ZAE000179420</t>
  </si>
  <si>
    <t>ZAE000190724</t>
  </si>
  <si>
    <t>MAS PLC</t>
  </si>
  <si>
    <t>VGG5884M1041</t>
  </si>
  <si>
    <t>Nepi Rockcastle PLC</t>
  </si>
  <si>
    <t>IM00BDD7WV31</t>
  </si>
  <si>
    <t>Redefine Properties Limited</t>
  </si>
  <si>
    <t>ZAE000190252</t>
  </si>
  <si>
    <t>Resilient REIT Limited</t>
  </si>
  <si>
    <t>Resilient Property Income Fund Ltd</t>
  </si>
  <si>
    <t>REIT</t>
  </si>
  <si>
    <t>ZAE000209557</t>
  </si>
  <si>
    <t>GG00B1W3VF54</t>
  </si>
  <si>
    <t>ZAE000180865</t>
  </si>
  <si>
    <t>ABSA NCD 5.95% 220223</t>
  </si>
  <si>
    <t>ABSAN220223A</t>
  </si>
  <si>
    <t>ZAM000566470</t>
  </si>
  <si>
    <t>Standard Bank NCD 5.325% 141222</t>
  </si>
  <si>
    <t>STDN141222</t>
  </si>
  <si>
    <t>ZAM000559558</t>
  </si>
  <si>
    <t>Money Market : Maturity 12+ Months</t>
  </si>
  <si>
    <t>Investec Tier1 FRN 12082024 Jb+425</t>
  </si>
  <si>
    <t>INLV01</t>
  </si>
  <si>
    <t>A-</t>
  </si>
  <si>
    <t>INVESTEC LTD</t>
  </si>
  <si>
    <t>ZAG000118647</t>
  </si>
  <si>
    <t>Standard bank NCD 6.51% 220224</t>
  </si>
  <si>
    <t>STDN220224</t>
  </si>
  <si>
    <t>ZAM000566447</t>
  </si>
  <si>
    <t>Absa MM Abs Ret Prud Fund</t>
  </si>
  <si>
    <t>ABMMABR</t>
  </si>
  <si>
    <t>Prescient Global Positive Return Fund G (ZAR)</t>
  </si>
  <si>
    <t>PGPRFG</t>
  </si>
  <si>
    <t>IE00BD8R8106</t>
  </si>
  <si>
    <t>RSA TB 0% 051022</t>
  </si>
  <si>
    <t>RSATB051022</t>
  </si>
  <si>
    <t>ZCB</t>
  </si>
  <si>
    <t>ZAM000553114</t>
  </si>
  <si>
    <t>ABSA MM Bond Fund</t>
  </si>
  <si>
    <t>DBSA 9.69% DV24 18022024</t>
  </si>
  <si>
    <t>DV24</t>
  </si>
  <si>
    <t>ABMMBND</t>
  </si>
  <si>
    <t>ZAG000112608</t>
  </si>
  <si>
    <t>Transnet 10.8% TN23 061123</t>
  </si>
  <si>
    <t>TN23</t>
  </si>
  <si>
    <t>ZAG000061003</t>
  </si>
  <si>
    <t>STD 10.05% SBS20 150526</t>
  </si>
  <si>
    <t>SBS20</t>
  </si>
  <si>
    <t>ZAG000095365</t>
  </si>
  <si>
    <t>Transnet 8.90% TN27 141127</t>
  </si>
  <si>
    <t>TN27</t>
  </si>
  <si>
    <t>ZAG000046681</t>
  </si>
  <si>
    <t>Transnet Ltd 9.5% TN25 190825</t>
  </si>
  <si>
    <t>TN25</t>
  </si>
  <si>
    <t>ZAG000079344</t>
  </si>
  <si>
    <t>Euro</t>
  </si>
  <si>
    <t>CASHEUR</t>
  </si>
  <si>
    <t>ABSA MULTI MAN EQ FUND PRESC</t>
  </si>
  <si>
    <t>iNguza Investments (RF) Limited IN494U 290422 Jb3+100</t>
  </si>
  <si>
    <t>IN494U</t>
  </si>
  <si>
    <t>ABMMEQU</t>
  </si>
  <si>
    <t>INGUZA INVESTMENTS PROPRIETARY LIMITED</t>
  </si>
  <si>
    <t>ZAG000180985</t>
  </si>
  <si>
    <t>Transnet Soc Ltd 0% TSP261 070223</t>
  </si>
  <si>
    <t>TSP261</t>
  </si>
  <si>
    <t>ZAG000183476</t>
  </si>
  <si>
    <t>Investec TRS Initial Margin Account JB3+95</t>
  </si>
  <si>
    <t>INVESTECINIMARG</t>
  </si>
  <si>
    <t>CD</t>
  </si>
  <si>
    <t>Investec TRS Variation Margin Account JB3+95</t>
  </si>
  <si>
    <t>INVESTECVARMARG</t>
  </si>
  <si>
    <t>Prescient Corporate Money market B3</t>
  </si>
  <si>
    <t>PCMMB3</t>
  </si>
  <si>
    <t>ZAE000280848</t>
  </si>
  <si>
    <t>BASIC MATERIALS</t>
  </si>
  <si>
    <t>CHEMICALS</t>
  </si>
  <si>
    <t>ZAE000000220</t>
  </si>
  <si>
    <t>MINING</t>
  </si>
  <si>
    <t>BASIC RESOURCES</t>
  </si>
  <si>
    <t>ZAE000054045</t>
  </si>
  <si>
    <t>DRD Gold Ltd</t>
  </si>
  <si>
    <t>ZAE000058723</t>
  </si>
  <si>
    <t>Harmony Gold Mining Company Ltd</t>
  </si>
  <si>
    <t>ZAE000015228</t>
  </si>
  <si>
    <t>INDUSTRIAL METALS</t>
  </si>
  <si>
    <t>ZAE000085346</t>
  </si>
  <si>
    <t>Mondi Plc</t>
  </si>
  <si>
    <t>FORESTRY &amp; PAPER</t>
  </si>
  <si>
    <t>Omnia Holdings Limited</t>
  </si>
  <si>
    <t>ZAE000005153</t>
  </si>
  <si>
    <t>Pan African Resource</t>
  </si>
  <si>
    <t>GB0004300496</t>
  </si>
  <si>
    <t>ZAE000149936</t>
  </si>
  <si>
    <t>ZAE000006284</t>
  </si>
  <si>
    <t>CONSUMER GOODS</t>
  </si>
  <si>
    <t>ANHEUSER-BUSCH INBEV SA/NV</t>
  </si>
  <si>
    <t>BEVERAGES</t>
  </si>
  <si>
    <t>FOOD &amp; BEVERAGE</t>
  </si>
  <si>
    <t>FOOD PRODUCERS</t>
  </si>
  <si>
    <t>ZAE000049433</t>
  </si>
  <si>
    <t>DISTELL GROUP HO</t>
  </si>
  <si>
    <t>ZAE000248811</t>
  </si>
  <si>
    <t>ZAE000071080</t>
  </si>
  <si>
    <t>CONSUMER SERVICES</t>
  </si>
  <si>
    <t>GENERAL RETAILERS</t>
  </si>
  <si>
    <t>RETAIL</t>
  </si>
  <si>
    <t>ZAE000031035</t>
  </si>
  <si>
    <t>Dis Chem Pharmacies Pty Ltd</t>
  </si>
  <si>
    <t>FOOD &amp; DRUG RETAILERS</t>
  </si>
  <si>
    <t>ZAE000227831</t>
  </si>
  <si>
    <t>ZAE000099123</t>
  </si>
  <si>
    <t>ZAE000261913</t>
  </si>
  <si>
    <t>Pepkor Holdings Limited</t>
  </si>
  <si>
    <t>ZAE000259479</t>
  </si>
  <si>
    <t>Pick 'n Pay Stores Ltd</t>
  </si>
  <si>
    <t>ZAE000005443</t>
  </si>
  <si>
    <t>The Foschini Group Limited</t>
  </si>
  <si>
    <t>ZAE000148466</t>
  </si>
  <si>
    <t>ZAE000028296</t>
  </si>
  <si>
    <t>Investec TOP40TR and Fund Linked Note 3</t>
  </si>
  <si>
    <t>IB176U</t>
  </si>
  <si>
    <t>Nedbank Structured Note NN110U Top 40 Index Total Return (J200T)</t>
  </si>
  <si>
    <t>NN110U</t>
  </si>
  <si>
    <t>Capital and Counties Properties Plc</t>
  </si>
  <si>
    <t>GB00B62G9D36</t>
  </si>
  <si>
    <t>GENERAL FINANCIAL</t>
  </si>
  <si>
    <t>ZAE000047353</t>
  </si>
  <si>
    <t>Investec Bank Ltd</t>
  </si>
  <si>
    <t>ZAE000081949</t>
  </si>
  <si>
    <t>ZAE000079711</t>
  </si>
  <si>
    <t>Momentum Metropolitan Holdings Limited</t>
  </si>
  <si>
    <t>MTM</t>
  </si>
  <si>
    <t>LIFE INSURANCE</t>
  </si>
  <si>
    <t>INSURANCE</t>
  </si>
  <si>
    <t>ZAE000269890</t>
  </si>
  <si>
    <t>Ninety One Ltd</t>
  </si>
  <si>
    <t>NY1</t>
  </si>
  <si>
    <t>NINETY ONE LTD</t>
  </si>
  <si>
    <t>ZAE000282356</t>
  </si>
  <si>
    <t>Ninety One Plc</t>
  </si>
  <si>
    <t>N91</t>
  </si>
  <si>
    <t>GB00BJHPLV88</t>
  </si>
  <si>
    <t>ZAE000013017</t>
  </si>
  <si>
    <t>Quilter Plc</t>
  </si>
  <si>
    <t>GB00BDCXV269</t>
  </si>
  <si>
    <t>EQ INVEST INSTRUMNTS</t>
  </si>
  <si>
    <t>INVESTMENT INSTRUMENTS</t>
  </si>
  <si>
    <t>ZAE000210688</t>
  </si>
  <si>
    <t>NONLIFE INSURANCE</t>
  </si>
  <si>
    <t>ZAE000093779</t>
  </si>
  <si>
    <t>ZAE000109815</t>
  </si>
  <si>
    <t>Transaction Capital Limited</t>
  </si>
  <si>
    <t>ZAE000167391</t>
  </si>
  <si>
    <t>HEALTH CARE</t>
  </si>
  <si>
    <t>Life Healthcare Group Holdings Limited</t>
  </si>
  <si>
    <t>HLTH CARE EQUIP SVC</t>
  </si>
  <si>
    <t>HEALTHCARE</t>
  </si>
  <si>
    <t>ZAE000145892</t>
  </si>
  <si>
    <t>Mediclinic International Plc</t>
  </si>
  <si>
    <t>GB00B8HX8Z88</t>
  </si>
  <si>
    <t>Netcare Limited</t>
  </si>
  <si>
    <t>ZAE000011953</t>
  </si>
  <si>
    <t>INDUSTRIALS</t>
  </si>
  <si>
    <t>Altron Limited</t>
  </si>
  <si>
    <t>ELECTRICAL EQUIPMENT</t>
  </si>
  <si>
    <t>INDUSTRIAL GOODS &amp; SERVICES</t>
  </si>
  <si>
    <t>ZAE000191342</t>
  </si>
  <si>
    <t>GENERAL INDUSTRIALS</t>
  </si>
  <si>
    <t>ZAE000026639</t>
  </si>
  <si>
    <t>Kap Industrials Holdings Limited</t>
  </si>
  <si>
    <t>ZAE000171963</t>
  </si>
  <si>
    <t>ZAE000057428</t>
  </si>
  <si>
    <t>Super Group Ltd</t>
  </si>
  <si>
    <t>INDUSTRIAL TRANSPORTATION</t>
  </si>
  <si>
    <t>ZAE000161832</t>
  </si>
  <si>
    <t>Textainer Group Holdings Ltd</t>
  </si>
  <si>
    <t>TEXTAINER GROUP</t>
  </si>
  <si>
    <t>BMG8766E1093</t>
  </si>
  <si>
    <t>TELECOMMUNICATIONS</t>
  </si>
  <si>
    <t>Telkom SA Ltd</t>
  </si>
  <si>
    <t>FIXED LINE TELECOMMUNICATIONS</t>
  </si>
  <si>
    <t>ZAE000044897</t>
  </si>
  <si>
    <t>RSA TB 0% 170822</t>
  </si>
  <si>
    <t>RSATB170822</t>
  </si>
  <si>
    <t>ZAM000549641</t>
  </si>
  <si>
    <t>Absa NCD 5.4% 021222</t>
  </si>
  <si>
    <t>ABSAN021222</t>
  </si>
  <si>
    <t>ZAM000558717</t>
  </si>
  <si>
    <t>RSA TB 0% 071222</t>
  </si>
  <si>
    <t>RSATB071222</t>
  </si>
  <si>
    <t>ZAM000558824</t>
  </si>
  <si>
    <t>RSA TB 0% 091122</t>
  </si>
  <si>
    <t>RSATB091122</t>
  </si>
  <si>
    <t>ZAM000556265</t>
  </si>
  <si>
    <t>RSA TB 0% 110123</t>
  </si>
  <si>
    <t>RSATB110123</t>
  </si>
  <si>
    <t>ZAM000561018</t>
  </si>
  <si>
    <t>RSA TB 0% 161122</t>
  </si>
  <si>
    <t>RSATB161122</t>
  </si>
  <si>
    <t>ZAM000556844</t>
  </si>
  <si>
    <t>RSA TB 0% 210922</t>
  </si>
  <si>
    <t>RSATB210922</t>
  </si>
  <si>
    <t>ZAM000552074</t>
  </si>
  <si>
    <t>RSA TB 0% 231122</t>
  </si>
  <si>
    <t>RSATB231122</t>
  </si>
  <si>
    <t>ZAM000557511</t>
  </si>
  <si>
    <t>SWAPS</t>
  </si>
  <si>
    <t>INVESTEC TRS 030822</t>
  </si>
  <si>
    <t>INVTRS030822</t>
  </si>
  <si>
    <t>INVESTEC TRS 030822 CONTRACT SWCOTR</t>
  </si>
  <si>
    <t>DERV</t>
  </si>
  <si>
    <t>SWP</t>
  </si>
  <si>
    <t>TRS</t>
  </si>
  <si>
    <t>INVESTEC TRS 030822_P</t>
  </si>
  <si>
    <t>INVESTEC TRS 030822_P PAY LEG X 0.000000 ACT/365 MONTHLY 20220905</t>
  </si>
  <si>
    <t>INVESTEC TRS 030822_R</t>
  </si>
  <si>
    <t>INVESTEC TRS 030822_R RECEIVE LEG F MONTHLY</t>
  </si>
  <si>
    <t>AFIL - Life Bond Fund</t>
  </si>
  <si>
    <t>SISLP</t>
  </si>
  <si>
    <t>HSBC Call</t>
  </si>
  <si>
    <t>HSBCCALL</t>
  </si>
  <si>
    <t>HSBC BANK</t>
  </si>
  <si>
    <t>Investec Call</t>
  </si>
  <si>
    <t>INVCALL</t>
  </si>
  <si>
    <t>Prescient Clean Energy and Infrastructure Debt Fund Trust B</t>
  </si>
  <si>
    <t>PIMEVOB</t>
  </si>
  <si>
    <t>AFIL - Pensioner</t>
  </si>
  <si>
    <t>PSPAM</t>
  </si>
  <si>
    <t>Custodian BCI Income Plus Fund</t>
  </si>
  <si>
    <t>SHNIPF</t>
  </si>
  <si>
    <t>Absa Bank Ltd 7.75% 280223</t>
  </si>
  <si>
    <t>ABN67</t>
  </si>
  <si>
    <t>ZAG000102559</t>
  </si>
  <si>
    <t>ABSA MTN ASN575 JB3+195 130223</t>
  </si>
  <si>
    <t>ASN575</t>
  </si>
  <si>
    <t>MOBILE TELEPHONE NETWORK HOLDINGS PTY LTD</t>
  </si>
  <si>
    <t>ZAG000174459</t>
  </si>
  <si>
    <t>Accelerate Property Fund Ltd JB3+214 APF06 240822</t>
  </si>
  <si>
    <t>APF06</t>
  </si>
  <si>
    <t>AA-</t>
  </si>
  <si>
    <t>ACCELERATE PROPERTY FUND LTD</t>
  </si>
  <si>
    <t>ZAG000146275</t>
  </si>
  <si>
    <t>African Bank FRN ABK12 200522 Jb3+400</t>
  </si>
  <si>
    <t>ABK12</t>
  </si>
  <si>
    <t>BBB</t>
  </si>
  <si>
    <t>AFRICAN BANK LTD (GB)</t>
  </si>
  <si>
    <t>ZAG000134537</t>
  </si>
  <si>
    <t>Barclays Africa Group Ltd BGL08  030922 JB3+360</t>
  </si>
  <si>
    <t>BGL08</t>
  </si>
  <si>
    <t>ABSA GROUP LIMITED</t>
  </si>
  <si>
    <t>ZAG000129396</t>
  </si>
  <si>
    <t>BNP Paribas Personal Finance SA Ltd FRN BPPF21 260223 Jb3+121</t>
  </si>
  <si>
    <t>BPPF21</t>
  </si>
  <si>
    <t>BNP PARIBAS PERSONAL FINANCE SA LIMITED</t>
  </si>
  <si>
    <t>ZAG000166539</t>
  </si>
  <si>
    <t>Development Bank of Southern Africa FRN 310123 Jb3+125</t>
  </si>
  <si>
    <t>DVFB27</t>
  </si>
  <si>
    <t>ZAG000165986</t>
  </si>
  <si>
    <t>Firstrand MTN CLN FRD38U 311022 Jb3+195</t>
  </si>
  <si>
    <t>FRD38U</t>
  </si>
  <si>
    <t>ZAG000173196</t>
  </si>
  <si>
    <t>Investec Bank IV046 210622 Jb3+390</t>
  </si>
  <si>
    <t>IV046</t>
  </si>
  <si>
    <t>A+</t>
  </si>
  <si>
    <t>ZAG000144585</t>
  </si>
  <si>
    <t>Investec Property Fund Ltd IVC206 6.1% 291122</t>
  </si>
  <si>
    <t>IVC206</t>
  </si>
  <si>
    <t>INVESTEC PROPERTY FUND LTD</t>
  </si>
  <si>
    <t>ZAG000182122</t>
  </si>
  <si>
    <t>Investec RSA CLN IVC186 7.4% 211222</t>
  </si>
  <si>
    <t>IVC186</t>
  </si>
  <si>
    <t>ZAG000172040</t>
  </si>
  <si>
    <t>Investec RSA IVC194 7.23% 310722 (310726)</t>
  </si>
  <si>
    <t>IVC194</t>
  </si>
  <si>
    <t>ZAG000176538</t>
  </si>
  <si>
    <t>Investec RSA IVC200 7.45% 310822</t>
  </si>
  <si>
    <t>IVC200</t>
  </si>
  <si>
    <t>ZAG000178211</t>
  </si>
  <si>
    <t>Liberty Group LTD FRN LGL07 041022 Jb3+228</t>
  </si>
  <si>
    <t>LGL07</t>
  </si>
  <si>
    <t>LIBERTY GROUP LTD</t>
  </si>
  <si>
    <t>ZAG000139544</t>
  </si>
  <si>
    <t>Mobile Telephone Networks 130722 JB3+200bps</t>
  </si>
  <si>
    <t>MTN07</t>
  </si>
  <si>
    <t>ZAG000145400</t>
  </si>
  <si>
    <t>Republic of South Africa RSA CLN766 7.4% 310722</t>
  </si>
  <si>
    <t>CLN766</t>
  </si>
  <si>
    <t>ZAG000179136</t>
  </si>
  <si>
    <t>Santam SNT04 270622 Jb3+210</t>
  </si>
  <si>
    <t>SNT04</t>
  </si>
  <si>
    <t>SANTAM LIMITED</t>
  </si>
  <si>
    <t>ZAG000144726</t>
  </si>
  <si>
    <t>Standard Bank Group SBT201 130223 Jb3+314</t>
  </si>
  <si>
    <t>SBT201</t>
  </si>
  <si>
    <t>STANDARD BANK GROUP</t>
  </si>
  <si>
    <t>ZAG000149519</t>
  </si>
  <si>
    <t>Absa Bank Ltd JB3+310 ASN264 200623</t>
  </si>
  <si>
    <t>ASN264</t>
  </si>
  <si>
    <t>ZAG000152356</t>
  </si>
  <si>
    <t>ABSA FRN JB3+110 300324</t>
  </si>
  <si>
    <t>ABFN49</t>
  </si>
  <si>
    <t>ZAG000173782</t>
  </si>
  <si>
    <t>Absa FRN JB3+185 ABFN22 300524</t>
  </si>
  <si>
    <t>ABFN22</t>
  </si>
  <si>
    <t>ZAG000144239</t>
  </si>
  <si>
    <t>Absa FRN JB3+475bps AGT01 101023</t>
  </si>
  <si>
    <t>AGT01</t>
  </si>
  <si>
    <t>ZAG000154527</t>
  </si>
  <si>
    <t>AECI Ltd FRN JB3+175 AECI02 110923</t>
  </si>
  <si>
    <t>AECI02</t>
  </si>
  <si>
    <t>AECI LIMITED</t>
  </si>
  <si>
    <t>ZAG000153982</t>
  </si>
  <si>
    <t>Capitec Bank Ltd CBL29 JB3+150 300424</t>
  </si>
  <si>
    <t>CBL29</t>
  </si>
  <si>
    <t>CAPITEC BANK LIMITED</t>
  </si>
  <si>
    <t>ZAG000158874</t>
  </si>
  <si>
    <t>Discovery Ltd JB3+205 DSY05 210823</t>
  </si>
  <si>
    <t>DSY05</t>
  </si>
  <si>
    <t>DISCOVERY LTD</t>
  </si>
  <si>
    <t>ZAG000164641</t>
  </si>
  <si>
    <t>Investec Property Fund FRN IPF30 250324 Jb3+160</t>
  </si>
  <si>
    <t>IPF30</t>
  </si>
  <si>
    <t>ZAG000157934</t>
  </si>
  <si>
    <t>Kap Holdings Ltd KAP018 Jb3+200 140424</t>
  </si>
  <si>
    <t>KAP018</t>
  </si>
  <si>
    <t>KAP INDUSTRIAL HOLDINGS LTD</t>
  </si>
  <si>
    <t>ZAG000175480</t>
  </si>
  <si>
    <t>Liberty Group FRN LGL09 280824 Jb3+245</t>
  </si>
  <si>
    <t>LGL09</t>
  </si>
  <si>
    <t>ZAG000146234</t>
  </si>
  <si>
    <t>MMI Group Ltd FRN JB3+175 MMIG07 180924</t>
  </si>
  <si>
    <t>MMIG07</t>
  </si>
  <si>
    <t>MMI GROUP LIMITED</t>
  </si>
  <si>
    <t>ZAG000157496</t>
  </si>
  <si>
    <t>Nedbank FRN NGL05 Jb3+258 260723</t>
  </si>
  <si>
    <t>NGL05</t>
  </si>
  <si>
    <t>ZAG000152687</t>
  </si>
  <si>
    <t>Old Mutual Life Assurance OML11 JB3+1.55% 110624</t>
  </si>
  <si>
    <t>OML11</t>
  </si>
  <si>
    <t>OLD MUTUAL</t>
  </si>
  <si>
    <t>ZAG000160094</t>
  </si>
  <si>
    <t>Standard Bank Ltd JB3+240 SBT202 031223</t>
  </si>
  <si>
    <t>SBT202</t>
  </si>
  <si>
    <t>ZAG000155680</t>
  </si>
  <si>
    <t>Absa Bank Ltd JB3+150 ABFN29 290825</t>
  </si>
  <si>
    <t>ABFN29</t>
  </si>
  <si>
    <t>ZAG000153727</t>
  </si>
  <si>
    <t>Barclays Africa Group Ltd BGL18 JB3+315 300927</t>
  </si>
  <si>
    <t>BGL18</t>
  </si>
  <si>
    <t>ZAG000147018</t>
  </si>
  <si>
    <t>Development Bank of Southern Africa FRN 310127 Jb3+154</t>
  </si>
  <si>
    <t>DVFB29</t>
  </si>
  <si>
    <t>ZAG000165960</t>
  </si>
  <si>
    <t>Development Bank of Southern Africa Ltd DV27 9.415% 020227</t>
  </si>
  <si>
    <t>DV27</t>
  </si>
  <si>
    <t>ZAG000183351</t>
  </si>
  <si>
    <t>Firstrand FRB30 8.155% 190426 (190431)</t>
  </si>
  <si>
    <t>FRB30</t>
  </si>
  <si>
    <t>ZAG000175563</t>
  </si>
  <si>
    <t>Growthpoint Properties Ltd FRN JB3+154bps GRT30 101225</t>
  </si>
  <si>
    <t>GRT30</t>
  </si>
  <si>
    <t>GROWTHPOINT PROPERTIES LIMITED</t>
  </si>
  <si>
    <t>ZAG000156001</t>
  </si>
  <si>
    <t>Hyprop Investments HILB09 290325 Jb3+190</t>
  </si>
  <si>
    <t>HILB09</t>
  </si>
  <si>
    <t>HYPROP INVESTMENTS LIMITED</t>
  </si>
  <si>
    <t>ZAG000150491</t>
  </si>
  <si>
    <t>Investec FRN INLV09 240826 JB3+440</t>
  </si>
  <si>
    <t>INLV09</t>
  </si>
  <si>
    <t>ZAG000176694</t>
  </si>
  <si>
    <t>Investec INLV11 Jb3+210 220327</t>
  </si>
  <si>
    <t>INLV11</t>
  </si>
  <si>
    <t>ZAG000182585</t>
  </si>
  <si>
    <t>Mobile Telephone Networks MTN23 8.27% 290126</t>
  </si>
  <si>
    <t>MTN23</t>
  </si>
  <si>
    <t>ZAG000169814</t>
  </si>
  <si>
    <t>Momentum Metropolitan Life Ltd 7.885% MML04 150328</t>
  </si>
  <si>
    <t>MML04</t>
  </si>
  <si>
    <t>MOMENTUM GROUP LIMITED</t>
  </si>
  <si>
    <t>ZAG000173857</t>
  </si>
  <si>
    <t>Nedbank NGL10 Jb3+200 271226 (20311227)</t>
  </si>
  <si>
    <t>NGL10</t>
  </si>
  <si>
    <t>ZAG000182726</t>
  </si>
  <si>
    <t>Nedbank NGT108 Jb3+467 080926</t>
  </si>
  <si>
    <t>NGT108</t>
  </si>
  <si>
    <t>ZAG000174624</t>
  </si>
  <si>
    <t>Nedbank NGT110 Jb3+391 271226</t>
  </si>
  <si>
    <t>NGT110</t>
  </si>
  <si>
    <t>ZAG000182718</t>
  </si>
  <si>
    <t>Standard Bank SA JB3+220 SBS21 150526</t>
  </si>
  <si>
    <t>SBS21</t>
  </si>
  <si>
    <t>ZAG000095373</t>
  </si>
  <si>
    <t>RSA 8% R2030 31012030</t>
  </si>
  <si>
    <t>R2030</t>
  </si>
  <si>
    <t>ZAG000106998</t>
  </si>
  <si>
    <t>Absa Bank Ltd CPI Bond 2% ABN61 310125</t>
  </si>
  <si>
    <t>ABN61</t>
  </si>
  <si>
    <t>ZAG000099565</t>
  </si>
  <si>
    <t>Investec CPI 2.60% IV019 030423</t>
  </si>
  <si>
    <t>IV019</t>
  </si>
  <si>
    <t>ZAG000094442</t>
  </si>
  <si>
    <t>RSA 5.50% R197 071223</t>
  </si>
  <si>
    <t>R197</t>
  </si>
  <si>
    <t>ZAG000018003</t>
  </si>
  <si>
    <t>Spear REIT Ltd</t>
  </si>
  <si>
    <t>ZAE000228995</t>
  </si>
  <si>
    <t>FORWARD RATE AGREEMENT</t>
  </si>
  <si>
    <t>FRA NEDBANK 191222 5.63%</t>
  </si>
  <si>
    <t>FRANED191222</t>
  </si>
  <si>
    <t>FRA NEDBANK 191222 5.63% CONTRACT SWCOIR</t>
  </si>
  <si>
    <t>FRA NEDBANK 191222 5.63%_P</t>
  </si>
  <si>
    <t>FRA NEDBANK 191222 5.63%_P PAY LEG X 0.000000 ACT/365 AT MATURITY 20221219</t>
  </si>
  <si>
    <t>FRA NEDBANK 191222 5.63%_R</t>
  </si>
  <si>
    <t>FRA NEDBANK 191222 5.63%_R RECEIVE LEG F 5.630000 ACT/365 AT MATURITY 20221219</t>
  </si>
  <si>
    <t>Standard Bank CLN Telkom SOC JB3+190 CLN634 090522</t>
  </si>
  <si>
    <t>CLN634</t>
  </si>
  <si>
    <t>TELKOM SA LTD</t>
  </si>
  <si>
    <t>ZAG000165200</t>
  </si>
  <si>
    <t>Absa Bank Ltd Naspers JB3+168.2 ASN203 200622</t>
  </si>
  <si>
    <t>ASN203</t>
  </si>
  <si>
    <t>ZAG000145962</t>
  </si>
  <si>
    <t>ABSA NCD 5.375% 111122</t>
  </si>
  <si>
    <t>ABSAN111122</t>
  </si>
  <si>
    <t>ZAM000556802</t>
  </si>
  <si>
    <t>Standard Bank FRN JB3+77.5 071122</t>
  </si>
  <si>
    <t>STDF071122</t>
  </si>
  <si>
    <t>ZAM000553502</t>
  </si>
  <si>
    <t>Absa Bank Ltd CLN Barclays JB3+253 ASN328 200624</t>
  </si>
  <si>
    <t>ASN328</t>
  </si>
  <si>
    <t>ZAG000158734</t>
  </si>
  <si>
    <t>Absa Bank Ltd CLN JB3+370 ASN310 201223</t>
  </si>
  <si>
    <t>ASN310</t>
  </si>
  <si>
    <t>ZAG000156431</t>
  </si>
  <si>
    <t>Absa Bank Ltd CLN Myriad JB3+173.8 ASN327 200624</t>
  </si>
  <si>
    <t>ASN327</t>
  </si>
  <si>
    <t>MYRIAD INTERNATIONAL HOLDINGS BV</t>
  </si>
  <si>
    <t>ZAG000158312</t>
  </si>
  <si>
    <t>FirstRand NCD 6.26% 270924</t>
  </si>
  <si>
    <t>FRSN270924</t>
  </si>
  <si>
    <t>ZAM000553056</t>
  </si>
  <si>
    <t>Nedbank NCD 5.215% 200323</t>
  </si>
  <si>
    <t>NEDN200323</t>
  </si>
  <si>
    <t>ZAM000537109</t>
  </si>
  <si>
    <t>Standard Bank  CLN577 200624 JB3+315</t>
  </si>
  <si>
    <t>CLN577</t>
  </si>
  <si>
    <t>ZAG000158437</t>
  </si>
  <si>
    <t>Standard Bank CLN DBSA JB3+175 CLN614 301123</t>
  </si>
  <si>
    <t>CLN614</t>
  </si>
  <si>
    <t>ZAG000162876</t>
  </si>
  <si>
    <t>Standard Bank Redefine Properties CLN568 110224 JB3+185</t>
  </si>
  <si>
    <t>CLN568</t>
  </si>
  <si>
    <t>ZAG000157751</t>
  </si>
  <si>
    <t>Firstrand Ltd B Preference Shares</t>
  </si>
  <si>
    <t>FSRP</t>
  </si>
  <si>
    <t>ZAE000060141</t>
  </si>
  <si>
    <t>ECIC Composite</t>
  </si>
  <si>
    <t>ECICBALC</t>
  </si>
  <si>
    <t>Prescient Global Balanced Feeder Fund B3</t>
  </si>
  <si>
    <t>PRGFB3</t>
  </si>
  <si>
    <t>Anglo American Plc</t>
  </si>
  <si>
    <t>Anglo Platinum Ltd</t>
  </si>
  <si>
    <t>ZAE000013181</t>
  </si>
  <si>
    <t>Anglogold Ashanti Ltd</t>
  </si>
  <si>
    <t>ZAE000043485</t>
  </si>
  <si>
    <t>ZAE000084992</t>
  </si>
  <si>
    <t>Glencore Xstrata Plc</t>
  </si>
  <si>
    <t>ZAE000018123</t>
  </si>
  <si>
    <t>ZAE000083648</t>
  </si>
  <si>
    <t>Northam Platinum Holdings Ltd</t>
  </si>
  <si>
    <t>NPH</t>
  </si>
  <si>
    <t>NORTHAM PLATINUM</t>
  </si>
  <si>
    <t>ZAE000298253</t>
  </si>
  <si>
    <t>ZAE000006896</t>
  </si>
  <si>
    <t>Sibanye Stillwater Ltd</t>
  </si>
  <si>
    <t>SSW</t>
  </si>
  <si>
    <t>ZAE000259701</t>
  </si>
  <si>
    <t>Thungela Resources Ltd</t>
  </si>
  <si>
    <t>TGA</t>
  </si>
  <si>
    <t>THUNGELA RESOURC</t>
  </si>
  <si>
    <t>ZAE000296554</t>
  </si>
  <si>
    <t>British American Tobacco Plc</t>
  </si>
  <si>
    <t>TOBACCO</t>
  </si>
  <si>
    <t>PERSONAL &amp; HOUSEHOLD GOODS</t>
  </si>
  <si>
    <t>Compagnie Financiere Richemont SA Depository Rec</t>
  </si>
  <si>
    <t>Richemont SA Depository Rec</t>
  </si>
  <si>
    <t>PERSONAL GOODS</t>
  </si>
  <si>
    <t>CH0045159024</t>
  </si>
  <si>
    <t>Bid Corporation Ltd</t>
  </si>
  <si>
    <t>ZAE000216537</t>
  </si>
  <si>
    <t>Clicks Group Limited</t>
  </si>
  <si>
    <t>ZAE000134854</t>
  </si>
  <si>
    <t>ZAE000200457</t>
  </si>
  <si>
    <t>Multichoice Group Ltd</t>
  </si>
  <si>
    <t>MEDIA</t>
  </si>
  <si>
    <t>ZAE000265971</t>
  </si>
  <si>
    <t>ZAE000012084</t>
  </si>
  <si>
    <t>The Spar Group Ltd</t>
  </si>
  <si>
    <t>ZAE000058517</t>
  </si>
  <si>
    <t>Woolworths Holdings Ltd</t>
  </si>
  <si>
    <t>ZAE000063863</t>
  </si>
  <si>
    <t>ZAE000255915</t>
  </si>
  <si>
    <t>ZAE000035861</t>
  </si>
  <si>
    <t>Discovery Holdings Ltd</t>
  </si>
  <si>
    <t>ZAE000022331</t>
  </si>
  <si>
    <t>Firstrand Ltd</t>
  </si>
  <si>
    <t>ZAE000066304</t>
  </si>
  <si>
    <t>Investec Plc</t>
  </si>
  <si>
    <t>GB00B17BBQ50</t>
  </si>
  <si>
    <t>Investec Property Fund Limited</t>
  </si>
  <si>
    <t>ZAE000180915</t>
  </si>
  <si>
    <t>ZAE000004875</t>
  </si>
  <si>
    <t>ZAE000255360</t>
  </si>
  <si>
    <t>Reinet Investments S.C.A</t>
  </si>
  <si>
    <t>LU0383812293</t>
  </si>
  <si>
    <t>ZAE000070660</t>
  </si>
  <si>
    <t>PHARMA &amp; BIOTECH</t>
  </si>
  <si>
    <t>ZAE000066692</t>
  </si>
  <si>
    <t>Basil Read Holdings Ltd</t>
  </si>
  <si>
    <t>CONSTRUCT &amp; MATERIAL</t>
  </si>
  <si>
    <t>CONSTRUCTION &amp; MATERIALS</t>
  </si>
  <si>
    <t>ZAE000029781</t>
  </si>
  <si>
    <t>ZAE000026480</t>
  </si>
  <si>
    <t>The Bidvest Group Ltd</t>
  </si>
  <si>
    <t>SUPPORT SERVICES</t>
  </si>
  <si>
    <t>ZAE000117321</t>
  </si>
  <si>
    <t>TECHNOLOGY</t>
  </si>
  <si>
    <t>Naspers Ltd - N Shares</t>
  </si>
  <si>
    <t>SOFTWRE &amp; CMPUTER SV</t>
  </si>
  <si>
    <t>ZAE000015889</t>
  </si>
  <si>
    <t>Prosus NV</t>
  </si>
  <si>
    <t>MOBILE TELECOMMUNICATIONS</t>
  </si>
  <si>
    <t>ZAE000042164</t>
  </si>
  <si>
    <t>Vodacom Group Limited</t>
  </si>
  <si>
    <t>ZAE000132577</t>
  </si>
  <si>
    <t>BHP Group Ltd</t>
  </si>
  <si>
    <t>BHG</t>
  </si>
  <si>
    <t>Comair Limited Unlisted</t>
  </si>
  <si>
    <t>UCOM</t>
  </si>
  <si>
    <t>ZAU000017287</t>
  </si>
  <si>
    <t>Group Five Limited Unlisted Zero price</t>
  </si>
  <si>
    <t>GRFU</t>
  </si>
  <si>
    <t>UTILITIES</t>
  </si>
  <si>
    <t>Montauk Renewables Inc</t>
  </si>
  <si>
    <t>MKR</t>
  </si>
  <si>
    <t>MONTAUK RENEWABL</t>
  </si>
  <si>
    <t>GAS WATR &amp; MULTIUTIL</t>
  </si>
  <si>
    <t>US61218C1036</t>
  </si>
  <si>
    <t>Electric Cont Indust Pens Fund</t>
  </si>
  <si>
    <t>ELCIPF</t>
  </si>
  <si>
    <t>Prescient Income Fund B3</t>
  </si>
  <si>
    <t>PRIFB3</t>
  </si>
  <si>
    <t>ZAE000273819</t>
  </si>
  <si>
    <t>15JUN22 DCAP</t>
  </si>
  <si>
    <t>ZAD000419547</t>
  </si>
  <si>
    <t>15JUN22 DCAR</t>
  </si>
  <si>
    <t>ZAD000420156</t>
  </si>
  <si>
    <t>ZAE000029757</t>
  </si>
  <si>
    <t>Irongate Group</t>
  </si>
  <si>
    <t>AU0000046005</t>
  </si>
  <si>
    <t>ABSA TRS 040822 A</t>
  </si>
  <si>
    <t>ABSATRS040822A</t>
  </si>
  <si>
    <t>ABSA TRS 040822 A CONTRACT SWCOTR</t>
  </si>
  <si>
    <t>ABSA TRS 040822 A_P</t>
  </si>
  <si>
    <t>ABSA TRS 040822 A_P PAY LEG X 0.000000 ACT/365 MONTHLY 20220804</t>
  </si>
  <si>
    <t>ABSA TRS 040822 A_R</t>
  </si>
  <si>
    <t>ABSA TRS 040822 A_R RECEIVE LEG F MONTHLY</t>
  </si>
  <si>
    <t>INVESTEC TRS 030822 B</t>
  </si>
  <si>
    <t>INVTRS030822B</t>
  </si>
  <si>
    <t>INVESTEC TRS 030822 B CONTRACT SWCOTR</t>
  </si>
  <si>
    <t>INVESTEC TRS 030822 B_P</t>
  </si>
  <si>
    <t>INVESTEC TRS 030822 B_P PAY LEG X 0.000000 ACT/365 MONTHLY 20220905</t>
  </si>
  <si>
    <t>INVESTEC TRS 030822 B_R</t>
  </si>
  <si>
    <t>INVESTEC TRS 030822 B_R RECEIVE LEG F MONTHLY</t>
  </si>
  <si>
    <t>Synthetic Cash_15JUN22 DCAP</t>
  </si>
  <si>
    <t>Synthetic Cash_15JUN22 DCAR</t>
  </si>
  <si>
    <t>EMBF - Positive Return Fund</t>
  </si>
  <si>
    <t>ENGENMBF</t>
  </si>
  <si>
    <t>FRB ITF GTC Wealth Preserver2</t>
  </si>
  <si>
    <t>GTCWP2</t>
  </si>
  <si>
    <t>Investec TOP40TR and Fund Linked Note 2</t>
  </si>
  <si>
    <t>IB175U</t>
  </si>
  <si>
    <t>FRB ITF Hollard Prime Income</t>
  </si>
  <si>
    <t>HOLDINC</t>
  </si>
  <si>
    <t>Firstrand FRN FRB23 200922 Jb3+315</t>
  </si>
  <si>
    <t>FRB23</t>
  </si>
  <si>
    <t>ZAG000146754</t>
  </si>
  <si>
    <t>Firstrand FRX23 7.75% 280223</t>
  </si>
  <si>
    <t>FRX23</t>
  </si>
  <si>
    <t>ZAG000104969</t>
  </si>
  <si>
    <t>Investec RSA CLN 7.39% 310822 (280231)</t>
  </si>
  <si>
    <t>IVC202</t>
  </si>
  <si>
    <t>ZAG000180167</t>
  </si>
  <si>
    <t>KAP Industrial FRN 290123 Jb3+155</t>
  </si>
  <si>
    <t>KAP016</t>
  </si>
  <si>
    <t>ZAG000165929</t>
  </si>
  <si>
    <t>Standard Bank Group SBT102 300922 JB3+545 (Perpetual 30092099)</t>
  </si>
  <si>
    <t>SBT102</t>
  </si>
  <si>
    <t>ZAG000146622</t>
  </si>
  <si>
    <t>Standard Bank RSA CLN754 7.4% 310722</t>
  </si>
  <si>
    <t>CLN754</t>
  </si>
  <si>
    <t>ZAG000177759</t>
  </si>
  <si>
    <t>ABSA AGL01 FRN 291123 Jb3+245bps</t>
  </si>
  <si>
    <t>AGL01</t>
  </si>
  <si>
    <t>ZAG000155615</t>
  </si>
  <si>
    <t>ABSA AGL02 FRN 110424 Jb3+240bps</t>
  </si>
  <si>
    <t>AGL02</t>
  </si>
  <si>
    <t>ZAG000158452</t>
  </si>
  <si>
    <t>Discovery Ltd JB3+191bps DSY02 211124</t>
  </si>
  <si>
    <t>DSY02</t>
  </si>
  <si>
    <t>ZAG000148347</t>
  </si>
  <si>
    <t>Firstrand Bond 6.250% 230423</t>
  </si>
  <si>
    <t>FSRFR230423</t>
  </si>
  <si>
    <t>XS1810806395</t>
  </si>
  <si>
    <t>Fortress Reit Ltd FRN FIFB17 150824 Jb3+190</t>
  </si>
  <si>
    <t>FIFB17</t>
  </si>
  <si>
    <t>FORTRESS INCOME FUND LIMITED</t>
  </si>
  <si>
    <t>ZAG000161753</t>
  </si>
  <si>
    <t>Growthpoint Properties Ltd JB3+145 GRT36 270624</t>
  </si>
  <si>
    <t>GRT36</t>
  </si>
  <si>
    <t>ZAG000160474</t>
  </si>
  <si>
    <t>Industrial Development Corp of SA IDCC15 121123 Jb3+170</t>
  </si>
  <si>
    <t>IDCG15</t>
  </si>
  <si>
    <t>INDUSTRIAL DEVELOPMENT CORPORATION SA LTD</t>
  </si>
  <si>
    <t>ZAG000155367</t>
  </si>
  <si>
    <t>Industrial Development Corp of SA IDCC22 181224 Jb3+165</t>
  </si>
  <si>
    <t>IDCG22</t>
  </si>
  <si>
    <t>ZAG000165408</t>
  </si>
  <si>
    <t>MTN Group Ltd JB3+170 MTN19 070325</t>
  </si>
  <si>
    <t>MTN19</t>
  </si>
  <si>
    <t>ZAG000162199</t>
  </si>
  <si>
    <t>Nedbank FRN JB3+110 150424</t>
  </si>
  <si>
    <t>NBKB62</t>
  </si>
  <si>
    <t>ZAG000175357</t>
  </si>
  <si>
    <t>Nedbank JB3+102.5 NN016 200324</t>
  </si>
  <si>
    <t>NN016</t>
  </si>
  <si>
    <t>ZAG000163122</t>
  </si>
  <si>
    <t>Redefine Properties Ltd JB3+167 RDFB22 290324</t>
  </si>
  <si>
    <t>RDFB22</t>
  </si>
  <si>
    <t>CORP</t>
  </si>
  <si>
    <t>REDEFINE PROPERTIES INTERNATIONAL LIMITED</t>
  </si>
  <si>
    <t>ZAG000158122</t>
  </si>
  <si>
    <t>Standard Bank Group Ltd JB3+240 SBT204 160424</t>
  </si>
  <si>
    <t>SBT204</t>
  </si>
  <si>
    <t>ZAG000158684</t>
  </si>
  <si>
    <t>Firstrand 10.19% FRB27 030626</t>
  </si>
  <si>
    <t>FRB27</t>
  </si>
  <si>
    <t>ZAG000159963</t>
  </si>
  <si>
    <t>Firstrand 9.50% 011026</t>
  </si>
  <si>
    <t>FRX26</t>
  </si>
  <si>
    <t>ZAG000112160</t>
  </si>
  <si>
    <t>Standard Bank SBT207 Jb3+375 250625 (20300625)</t>
  </si>
  <si>
    <t>SBT207</t>
  </si>
  <si>
    <t>ZAG000168964</t>
  </si>
  <si>
    <t>Std 9.785% SBS31 120627</t>
  </si>
  <si>
    <t>SBS31</t>
  </si>
  <si>
    <t>ZAG000116633</t>
  </si>
  <si>
    <t>Transet Soc Ltd TN29 10.26% 070229</t>
  </si>
  <si>
    <t>TN29</t>
  </si>
  <si>
    <t>ZAG000183526</t>
  </si>
  <si>
    <t>Prescient Flexible Global Income USD Fund ZAR Class D</t>
  </si>
  <si>
    <t>QIFFGIFD</t>
  </si>
  <si>
    <t>Stor-age Property Reit Ltd</t>
  </si>
  <si>
    <t>ZAE000208963</t>
  </si>
  <si>
    <t>FORWARDS</t>
  </si>
  <si>
    <t>USD/ZAR FWD 20220520 RMBTD</t>
  </si>
  <si>
    <t>RMBFWD20220520</t>
  </si>
  <si>
    <t>FWD</t>
  </si>
  <si>
    <t>ZAR/USD FWD 20220520 RMBTD</t>
  </si>
  <si>
    <t>Money Market : Maturity (0 - 1) Months</t>
  </si>
  <si>
    <t>INVESTEC PLC</t>
  </si>
  <si>
    <t>Standard Bank CLN DBSA JB3+160 CLN585 310522</t>
  </si>
  <si>
    <t>CLN585</t>
  </si>
  <si>
    <t>ZAG000159948</t>
  </si>
  <si>
    <t>Standard Bank DBSA CLN610 JB3+169 230722</t>
  </si>
  <si>
    <t>CLN610</t>
  </si>
  <si>
    <t>ZAG000162231</t>
  </si>
  <si>
    <t>Absa Ltd CLN Hyprop JB3+190 ASN383 150323</t>
  </si>
  <si>
    <t>ASN383</t>
  </si>
  <si>
    <t>ZAG000163908</t>
  </si>
  <si>
    <t>Absa Ltd CLN Hyprop JB3+190 ASN384 150323</t>
  </si>
  <si>
    <t>ASN384</t>
  </si>
  <si>
    <t>ZAG000163916</t>
  </si>
  <si>
    <t>Standardbank Bidvestco CLN CLN621 281022 Jb3+160</t>
  </si>
  <si>
    <t>CLN621</t>
  </si>
  <si>
    <t>BIDVESTCO LIMITED</t>
  </si>
  <si>
    <t>ZAG000163932</t>
  </si>
  <si>
    <t>Investec Growthpoint Ltd CLN JB3+170 IVC145 061220</t>
  </si>
  <si>
    <t>IVC145</t>
  </si>
  <si>
    <t>ZAG000155672</t>
  </si>
  <si>
    <t>Investec INVPLC CLN JB3+375 IVC152 151224</t>
  </si>
  <si>
    <t>IVC152</t>
  </si>
  <si>
    <t>ZAG000158882</t>
  </si>
  <si>
    <t>Standard Bank CLN Hyprop JB3+205 CLN575 150324</t>
  </si>
  <si>
    <t>CLN575</t>
  </si>
  <si>
    <t>ZAG000158148</t>
  </si>
  <si>
    <t>Standard Bank CLN MTN JB3+200 CLN612 070325</t>
  </si>
  <si>
    <t>CLN612</t>
  </si>
  <si>
    <t>ZAG000162637</t>
  </si>
  <si>
    <t>Standard Bank IDC CLN JB3+210bps CLN564 080224</t>
  </si>
  <si>
    <t>CLN564</t>
  </si>
  <si>
    <t>ZAG000157363</t>
  </si>
  <si>
    <t>Standard Bank MTN CLN JB3+200 CLN581 100524</t>
  </si>
  <si>
    <t>CLN581</t>
  </si>
  <si>
    <t>ZAG000159542</t>
  </si>
  <si>
    <t>Standard Bank NED CLN JB3+155bps CLN565 210224</t>
  </si>
  <si>
    <t>CLN565</t>
  </si>
  <si>
    <t>ZAG000157371</t>
  </si>
  <si>
    <t>Prescient Clean Energy and Infrastructure Debt Fund Trust  C</t>
  </si>
  <si>
    <t>PIMEVOC</t>
  </si>
  <si>
    <t>FRB ITF Hollard Prime Yld Pls</t>
  </si>
  <si>
    <t>HOLYPF</t>
  </si>
  <si>
    <t>Kap Industrial Holdings Ltd KAP11 JB3+200 241022</t>
  </si>
  <si>
    <t>KAP11</t>
  </si>
  <si>
    <t>ZAG000147703</t>
  </si>
  <si>
    <t>Landbank FRN 200921 Jb3+135</t>
  </si>
  <si>
    <t>LBK30</t>
  </si>
  <si>
    <t>ZAG000154196</t>
  </si>
  <si>
    <t>Nedbank FRN NGL08 Jb3+385 020725</t>
  </si>
  <si>
    <t>NGL08</t>
  </si>
  <si>
    <t>ZAG000169145</t>
  </si>
  <si>
    <t>Std CPI Note 5.5% 071223 SBSI11</t>
  </si>
  <si>
    <t>ZAG000075789</t>
  </si>
  <si>
    <t>Standard Bank Growthpoint CLN JB3+150 CLN584 180422</t>
  </si>
  <si>
    <t>CLN584</t>
  </si>
  <si>
    <t>ZAG000159666</t>
  </si>
  <si>
    <t>ABSA NCD 6.05% 280223</t>
  </si>
  <si>
    <t>ABSAN280223</t>
  </si>
  <si>
    <t>ZAM000567460</t>
  </si>
  <si>
    <t>Standard Bank DBSA CLN505 (callable) 241020 Jb3+170</t>
  </si>
  <si>
    <t>CLN505</t>
  </si>
  <si>
    <t>ZAG000147752</t>
  </si>
  <si>
    <t>Firstrand NCD 5.88% 200524</t>
  </si>
  <si>
    <t>FSRN200524</t>
  </si>
  <si>
    <t>ZAM000542513</t>
  </si>
  <si>
    <t>Standard Bank NCD 5.95% 190824</t>
  </si>
  <si>
    <t>STDN190824</t>
  </si>
  <si>
    <t>ZAM000549963</t>
  </si>
  <si>
    <t>Standard Bank Telkom CLN525 (callable) 240423 Jb3+225</t>
  </si>
  <si>
    <t>CLN525</t>
  </si>
  <si>
    <t>ZAG000151010</t>
  </si>
  <si>
    <t>FRB ITF IFM Inc Fund Pres</t>
  </si>
  <si>
    <t>AMMIPF</t>
  </si>
  <si>
    <t>GA Empolyees Medical BF</t>
  </si>
  <si>
    <t>GAEMBF</t>
  </si>
  <si>
    <t>Germiston Mun Ret Fund 2</t>
  </si>
  <si>
    <t>Calgro M3 CGR46 FRN 280223 Jb3+395</t>
  </si>
  <si>
    <t>CGR46</t>
  </si>
  <si>
    <t>GMRETF2</t>
  </si>
  <si>
    <t>CALGRO M3 DEVELOPMENTS</t>
  </si>
  <si>
    <t>ZAG000166653</t>
  </si>
  <si>
    <t>Germiston Municipal RF</t>
  </si>
  <si>
    <t>GMRETF</t>
  </si>
  <si>
    <t>Graviton SCI Flexible Income</t>
  </si>
  <si>
    <t>GRFINV</t>
  </si>
  <si>
    <t>Fortress Reit Ltd JB3+165 FIFB16 150822</t>
  </si>
  <si>
    <t>FIFB16</t>
  </si>
  <si>
    <t>ZAG000161746</t>
  </si>
  <si>
    <t>Investec Bank Ltd JB3+1.175 IBL133 120922</t>
  </si>
  <si>
    <t>IBL133</t>
  </si>
  <si>
    <t>ZAG000162496</t>
  </si>
  <si>
    <t>Nedbank Group Ltd FRN NGT106 050825 JB3+495</t>
  </si>
  <si>
    <t>NGT106</t>
  </si>
  <si>
    <t>ZAG000169970</t>
  </si>
  <si>
    <t>PIM Flexible Bond Fund B3</t>
  </si>
  <si>
    <t>PBQB3</t>
  </si>
  <si>
    <t>ZAE000140067</t>
  </si>
  <si>
    <t>ABSA NCD 5.425% 281222</t>
  </si>
  <si>
    <t>ABSAN281222</t>
  </si>
  <si>
    <t>ZAM000560366</t>
  </si>
  <si>
    <t>ABSA NCD 5.85% 080223</t>
  </si>
  <si>
    <t>ABSAN080223</t>
  </si>
  <si>
    <t>ZAM000564129</t>
  </si>
  <si>
    <t>Standard Bank NCD 5.4% 121222</t>
  </si>
  <si>
    <t>STDN121222A</t>
  </si>
  <si>
    <t>ZAM000559434</t>
  </si>
  <si>
    <t>Hangala Capital Abs Bal</t>
  </si>
  <si>
    <t>EMHPBQ</t>
  </si>
  <si>
    <t>NAD</t>
  </si>
  <si>
    <t>BANK WINDHOEK</t>
  </si>
  <si>
    <t>Namibia Dollar</t>
  </si>
  <si>
    <t>CASHNAD</t>
  </si>
  <si>
    <t>NAMIBIA</t>
  </si>
  <si>
    <t>IJG Balanced Fund</t>
  </si>
  <si>
    <t>IJGBAL</t>
  </si>
  <si>
    <t>Aug22 R2037 Bond Future</t>
  </si>
  <si>
    <t>2037Q2</t>
  </si>
  <si>
    <t>13JUN22 EEMI CSH</t>
  </si>
  <si>
    <t>ZAD000409035</t>
  </si>
  <si>
    <t>13JUN22 EEMI CSH DN</t>
  </si>
  <si>
    <t>ZAD000409324</t>
  </si>
  <si>
    <t>13JUN22 IWDAI CSH</t>
  </si>
  <si>
    <t>ZAD000411759</t>
  </si>
  <si>
    <t>13JUN22 IWDAI CSH DN</t>
  </si>
  <si>
    <t>ZAD000411783</t>
  </si>
  <si>
    <t>Firstrand Namibia FRN 100622 JB3+60bps</t>
  </si>
  <si>
    <t>FSRNF100622</t>
  </si>
  <si>
    <t>Bank Windhoek NCD 6.05% 020323</t>
  </si>
  <si>
    <t>BWNDN020323</t>
  </si>
  <si>
    <t>Nedbank Namibia NCD 6.025% 070323</t>
  </si>
  <si>
    <t>NEDNN070323</t>
  </si>
  <si>
    <t>Standardbank Namibia NCD 5.85% 030323</t>
  </si>
  <si>
    <t>STDNN030323</t>
  </si>
  <si>
    <t>Synthetic Cash_13JUN22 EEMI CSH</t>
  </si>
  <si>
    <t>Synthetic Cash_13JUN22 EEMI CSH DN</t>
  </si>
  <si>
    <t>Synthetic Cash_13JUN22 IWDAI CSH</t>
  </si>
  <si>
    <t>Synthetic Cash_13JUN22 IWDAI CSH DN</t>
  </si>
  <si>
    <t>Synthetic Cash_Aug22 R2037 Bond Future</t>
  </si>
  <si>
    <t>IJG Corporate Fund</t>
  </si>
  <si>
    <t>IJGCOR</t>
  </si>
  <si>
    <t xml:space="preserve"> IJG Income Provider Fund B1</t>
  </si>
  <si>
    <t>IGIIB1</t>
  </si>
  <si>
    <t>IJG Income Provider Fund</t>
  </si>
  <si>
    <t>Bank Windhoek FRN Bond 180822 BWJh22 Jb3+195</t>
  </si>
  <si>
    <t>BWJH22</t>
  </si>
  <si>
    <t>IJGIPF</t>
  </si>
  <si>
    <t>NA000A19LZD5</t>
  </si>
  <si>
    <t>BWJh22</t>
  </si>
  <si>
    <t>Bank Windhoek 5.06% 041223</t>
  </si>
  <si>
    <t>BWFL23</t>
  </si>
  <si>
    <t>NA000A283W26</t>
  </si>
  <si>
    <t>Bank Windhoek FRN JB3+0.95bps 041223</t>
  </si>
  <si>
    <t>BWJL23</t>
  </si>
  <si>
    <t>NA000A283W34</t>
  </si>
  <si>
    <t>Bankwindhoek FRN BWJI24  Jb3+150 300924</t>
  </si>
  <si>
    <t>BWJI24</t>
  </si>
  <si>
    <t>NA000A2R7580</t>
  </si>
  <si>
    <t>Investec Bank Republic of Namibia IVC190 JB3+220 151223 (20251215)</t>
  </si>
  <si>
    <t>IVC190</t>
  </si>
  <si>
    <t>ZAG000173261</t>
  </si>
  <si>
    <t>NAM 8.85% GC23 (R2023) 151023</t>
  </si>
  <si>
    <t>GC23</t>
  </si>
  <si>
    <t>NA000A1907G1</t>
  </si>
  <si>
    <t>Standard Bank Namibia FRN SBKN23 261023 Jb3+88</t>
  </si>
  <si>
    <t>SBKN23</t>
  </si>
  <si>
    <t>NA000A283WX5</t>
  </si>
  <si>
    <t>Standard Bank Namibia SBNA24 240524 JB3+115</t>
  </si>
  <si>
    <t>SBNA24</t>
  </si>
  <si>
    <t>NA000A3KRTP0</t>
  </si>
  <si>
    <t>FirstRand Republic of Namibia FRC363 JB3+236 010826</t>
  </si>
  <si>
    <t>FRC363</t>
  </si>
  <si>
    <t>ZAG000175399</t>
  </si>
  <si>
    <t>Standard Bank Namibia Ltd SBN03 JB3+176 030426</t>
  </si>
  <si>
    <t>SBN03</t>
  </si>
  <si>
    <t>ZAG000178427</t>
  </si>
  <si>
    <t>Prescient Income Provider Fund B3</t>
  </si>
  <si>
    <t>PIPFB3</t>
  </si>
  <si>
    <t>ZAE000087532</t>
  </si>
  <si>
    <t>NewFunds S&amp;P Namibia Bond ETF</t>
  </si>
  <si>
    <t>NFNAMB</t>
  </si>
  <si>
    <t>NEWFUNDS NAM ETF</t>
  </si>
  <si>
    <t>A311</t>
  </si>
  <si>
    <t>ZAE000276770</t>
  </si>
  <si>
    <t>Bank Windhoek NCD 5.83% 221222</t>
  </si>
  <si>
    <t>BWNDN221222</t>
  </si>
  <si>
    <t>Bank Windhoek NCD 5.85% 080223</t>
  </si>
  <si>
    <t>BWNDN080223</t>
  </si>
  <si>
    <t>Bank Windhoek NCD 6.1% 010323</t>
  </si>
  <si>
    <t>BWNDN010323</t>
  </si>
  <si>
    <t>Firstrand Namibia FRN Jb3+80 080223</t>
  </si>
  <si>
    <t>FSRNF080223</t>
  </si>
  <si>
    <t>Nedbank Namibia NCD 5.75% 020223</t>
  </si>
  <si>
    <t>NEDNN020223</t>
  </si>
  <si>
    <t>Standard Bank Namibia NCD 5.8% 110123</t>
  </si>
  <si>
    <t>STDNN110123</t>
  </si>
  <si>
    <t>Standard Bank Republic of Namibia CLN651 191122 JB3+150bps</t>
  </si>
  <si>
    <t>CLN651</t>
  </si>
  <si>
    <t>ZAG000166356</t>
  </si>
  <si>
    <t>Standardbank Namibia FRN Jb3+80 080223</t>
  </si>
  <si>
    <t>STDNF080223</t>
  </si>
  <si>
    <t>Liberty Group Ltd - TAA</t>
  </si>
  <si>
    <t>BNP Paribas Cash EUR Account</t>
  </si>
  <si>
    <t>BNPCASHEUR</t>
  </si>
  <si>
    <t>LIBTAA</t>
  </si>
  <si>
    <t>13JUN22 USDZAR</t>
  </si>
  <si>
    <t>CURFT</t>
  </si>
  <si>
    <t>13JUN22 USDZAR 14.5P</t>
  </si>
  <si>
    <t>CUROP</t>
  </si>
  <si>
    <t>ZAFA00026953</t>
  </si>
  <si>
    <t>13JUN22 USDZAR 15.5P</t>
  </si>
  <si>
    <t>ZAFA00026961</t>
  </si>
  <si>
    <t>13JUN22 USDZAR 18C</t>
  </si>
  <si>
    <t>ZAFA00026979</t>
  </si>
  <si>
    <t>Synthetic Cash_13JUN22 USDZAR</t>
  </si>
  <si>
    <t>Synthetic Cash_13JUN22 USDZAR 14.5P</t>
  </si>
  <si>
    <t>Synthetic Cash_13JUN22 USDZAR 15.5P</t>
  </si>
  <si>
    <t>Synthetic Cash_13JUN22 USDZAR 18C</t>
  </si>
  <si>
    <t>Medipos Medical Scheme Income</t>
  </si>
  <si>
    <t>MEDINC</t>
  </si>
  <si>
    <t>Absa NCD 6.1% 030323</t>
  </si>
  <si>
    <t>ABSAN030323</t>
  </si>
  <si>
    <t>ZAM000568013</t>
  </si>
  <si>
    <t>Mineworkers Prov Fund</t>
  </si>
  <si>
    <t>MWPFEQU</t>
  </si>
  <si>
    <t>Tiger Wheels Ltd 1</t>
  </si>
  <si>
    <t>TIW1</t>
  </si>
  <si>
    <t>AUTOMOBILES &amp; PARTS</t>
  </si>
  <si>
    <t>AUTO &amp; PARTS</t>
  </si>
  <si>
    <t>Investec TOP40TR and Fund Linked Note 5</t>
  </si>
  <si>
    <t>IB189U</t>
  </si>
  <si>
    <t>ABSA TRS 040822 B</t>
  </si>
  <si>
    <t>ABSATRS040822B</t>
  </si>
  <si>
    <t>ABSA TRS 040822 B CONTRACT SWCOTR</t>
  </si>
  <si>
    <t>ABSA TRS 040822 B_P</t>
  </si>
  <si>
    <t>ABSA TRS 040822 B_P PAY LEG X 0.000000 ACT/365 MONTHLY 20220804</t>
  </si>
  <si>
    <t>ABSA TRS 040822 B_R</t>
  </si>
  <si>
    <t>ABSA TRS 040822 B_R RECEIVE LEG F MONTHLY</t>
  </si>
  <si>
    <t>Momentum Group Ltd - Pos Ret</t>
  </si>
  <si>
    <t>MOMPRET</t>
  </si>
  <si>
    <t>Nestle Provident Fund - PIM</t>
  </si>
  <si>
    <t>NESEQU</t>
  </si>
  <si>
    <t>ZAE000028320</t>
  </si>
  <si>
    <t>Curro Holdings Limited</t>
  </si>
  <si>
    <t>ZAE000156253</t>
  </si>
  <si>
    <t>Tsogo Sun Hotels Limited</t>
  </si>
  <si>
    <t>TRAVEL &amp; LEISURE</t>
  </si>
  <si>
    <t>ZAE000272522</t>
  </si>
  <si>
    <t>Delta Property</t>
  </si>
  <si>
    <t>Delprop</t>
  </si>
  <si>
    <t>ZAE000194049</t>
  </si>
  <si>
    <t>Hammerson Plc</t>
  </si>
  <si>
    <t>GB00BK7YQK64</t>
  </si>
  <si>
    <t>Intu Properties Plc</t>
  </si>
  <si>
    <t>UITU</t>
  </si>
  <si>
    <t>ZAU000017030</t>
  </si>
  <si>
    <t>ABSA TRS 040822 D</t>
  </si>
  <si>
    <t>ABSATRS040822D</t>
  </si>
  <si>
    <t>ABSA TRS 040822 D CONTRACT SWCOTR</t>
  </si>
  <si>
    <t>ABSA TRS 040822 D_P</t>
  </si>
  <si>
    <t>ABSA TRS 040822 D_P PAY LEG X 0.000000 ACT/365 MONTHLY 20220804</t>
  </si>
  <si>
    <t>ABSA TRS 040822 D_R</t>
  </si>
  <si>
    <t>ABSA TRS 040822 D_R RECEIVE LEG F MONTHLY</t>
  </si>
  <si>
    <t>NFMW - Equity Fund</t>
  </si>
  <si>
    <t>NFMWEQU</t>
  </si>
  <si>
    <t>Investec CAPSHR40TR and Fund Linked Note 3</t>
  </si>
  <si>
    <t>IB186U</t>
  </si>
  <si>
    <t>Nedbank Structured Note NN109U Capped Shareholder Weighted Top 40 Total Return Index (J430TR)</t>
  </si>
  <si>
    <t>NN109U</t>
  </si>
  <si>
    <t>OMMM Income Fund No5 - PIM</t>
  </si>
  <si>
    <t>OMFLXI5</t>
  </si>
  <si>
    <t>Absa CPI Linked Note 5.5% 071223</t>
  </si>
  <si>
    <t>ABSI2</t>
  </si>
  <si>
    <t>ZAG000074378</t>
  </si>
  <si>
    <t>Eskom (GG) 1.9% EL29 19112029</t>
  </si>
  <si>
    <t>EL29</t>
  </si>
  <si>
    <t>ESKOM HOLDINGS LTD GG</t>
  </si>
  <si>
    <t>ZAG000101544</t>
  </si>
  <si>
    <t>Eskom (GG) 2.55% EL28 02052028</t>
  </si>
  <si>
    <t>ZAG000095019</t>
  </si>
  <si>
    <t>Firstrand Ltd 2.25% FRS108 310138</t>
  </si>
  <si>
    <t>FRS108</t>
  </si>
  <si>
    <t>ZAG000113515</t>
  </si>
  <si>
    <t>Firstrand Ltd 3.45% FRS109 071233</t>
  </si>
  <si>
    <t>FRS109</t>
  </si>
  <si>
    <t>ZAG000113564</t>
  </si>
  <si>
    <t>Firstrand Ltd 3.45% FRS112 071233</t>
  </si>
  <si>
    <t>FRS112</t>
  </si>
  <si>
    <t>ZAG000115395</t>
  </si>
  <si>
    <t>Standard Bank 3.45% SBSI14 071233</t>
  </si>
  <si>
    <t>SBSI14</t>
  </si>
  <si>
    <t>ZAG000133737</t>
  </si>
  <si>
    <t>Standardbank ILB 2.25% SSN043 310138</t>
  </si>
  <si>
    <t>SSN043</t>
  </si>
  <si>
    <t>ZAG000141896</t>
  </si>
  <si>
    <t>Residual Debt Services Ltd Senior Stub (Under Curatorship)</t>
  </si>
  <si>
    <t>RDSSEN</t>
  </si>
  <si>
    <t>RESIDUAL DEBT SERVICES LTD (UNDER CURATORSHIP)</t>
  </si>
  <si>
    <t>ZAU000014557</t>
  </si>
  <si>
    <t>Residual Debt Services Ltd Subordinated Stub (Under Curatorship)</t>
  </si>
  <si>
    <t>RDSSUB</t>
  </si>
  <si>
    <t>ZAU000014532</t>
  </si>
  <si>
    <t>June22 MSCI Emerging Markets Index Future</t>
  </si>
  <si>
    <t>MESM2</t>
  </si>
  <si>
    <t>FirstRand London FD 2% 100323</t>
  </si>
  <si>
    <t>FSRLFD100323</t>
  </si>
  <si>
    <t>Synthetic Cash_June22 MSCI Emerging Markets Index Future</t>
  </si>
  <si>
    <t>June22 MSCI World Index Future</t>
  </si>
  <si>
    <t>ZWPM2</t>
  </si>
  <si>
    <t>Synthetic Cash_June22 MSCI World Index Future</t>
  </si>
  <si>
    <t>PIM Core All Share Equity</t>
  </si>
  <si>
    <t>PCAEF</t>
  </si>
  <si>
    <t>Bytes Technology Group PLC</t>
  </si>
  <si>
    <t>BYI</t>
  </si>
  <si>
    <t>BYTES TECHNOLOGY</t>
  </si>
  <si>
    <t>GB00BMH18Q19</t>
  </si>
  <si>
    <t>RSA TB 0% 310822</t>
  </si>
  <si>
    <t>RSATB310822</t>
  </si>
  <si>
    <t>ZAM000550599</t>
  </si>
  <si>
    <t>RSA TB 0% 121022</t>
  </si>
  <si>
    <t>RSATB121022</t>
  </si>
  <si>
    <t>ZAM000553577</t>
  </si>
  <si>
    <t>ABSA TRS 040822 E</t>
  </si>
  <si>
    <t>ABSATRS040822E</t>
  </si>
  <si>
    <t>ABSA TRS 040822 E CONTRACT SWCOTR</t>
  </si>
  <si>
    <t>ABSA TRS 040822 E_P</t>
  </si>
  <si>
    <t>ABSA TRS 040822 E_P PAY LEG X 0.000000 ACT/365 MONTHLY 20220804</t>
  </si>
  <si>
    <t>ABSA TRS 040822 E_R</t>
  </si>
  <si>
    <t>ABSA TRS 040822 E_R RECEIVE LEG F MONTHLY</t>
  </si>
  <si>
    <t>PIM Core Capped Equity</t>
  </si>
  <si>
    <t>PCCEF</t>
  </si>
  <si>
    <t>Investec CAPSHR40TR and Fund Linked Note</t>
  </si>
  <si>
    <t>IB173U</t>
  </si>
  <si>
    <t>Investec CAPSHR40TR and Fund Linked Note 2</t>
  </si>
  <si>
    <t>IB185U</t>
  </si>
  <si>
    <t>RSA TB 0% 030822</t>
  </si>
  <si>
    <t>RSATB030822</t>
  </si>
  <si>
    <t>ZAM000548353</t>
  </si>
  <si>
    <t>PIM Core Equity</t>
  </si>
  <si>
    <t>PCEQTF</t>
  </si>
  <si>
    <t>15JUN22 DTOP</t>
  </si>
  <si>
    <t>ZAD000291466</t>
  </si>
  <si>
    <t>Investec JSHR40TR and Fund Linked Note</t>
  </si>
  <si>
    <t>IB174U</t>
  </si>
  <si>
    <t>NedbanK Ltd Structured Note NN037 (SWIX40 Total Return)</t>
  </si>
  <si>
    <t>NN037</t>
  </si>
  <si>
    <t>ZAG000166794</t>
  </si>
  <si>
    <t>Nedbank Structured Note NN051 (Shareholder Weighted Top40 Total Return Index)</t>
  </si>
  <si>
    <t>NN051</t>
  </si>
  <si>
    <t>ZAG000168865</t>
  </si>
  <si>
    <t>Southchester FRN Jb3+105 020622</t>
  </si>
  <si>
    <t>SOUTHF020622</t>
  </si>
  <si>
    <t>SOUTHCHESTER</t>
  </si>
  <si>
    <t>ZAM000567866</t>
  </si>
  <si>
    <t>ABSA TRS 040822 C</t>
  </si>
  <si>
    <t>ABSATRS040822C</t>
  </si>
  <si>
    <t>ABSA TRS 040822 C CONTRACT SWCOTR</t>
  </si>
  <si>
    <t>ABSA TRS 040822 C_P</t>
  </si>
  <si>
    <t>ABSA TRS 040822 C_P PAY LEG X 0.000000 ACT/365 MONTHLY 20220804</t>
  </si>
  <si>
    <t>ABSA TRS 040822 C_R</t>
  </si>
  <si>
    <t>ABSA TRS 040822 C_R RECEIVE LEG F MONTHLY</t>
  </si>
  <si>
    <t>INVESTEC TRS 030822 C</t>
  </si>
  <si>
    <t>INVTRS030822C</t>
  </si>
  <si>
    <t>INVESTEC TRS 030822 C CONTRACT SWCOTR</t>
  </si>
  <si>
    <t>INVESTEC TRS 030822 C_P</t>
  </si>
  <si>
    <t>INVESTEC TRS 030822 C_P PAY LEG X 0.000000 ACT/365 MONTHLY 20220905</t>
  </si>
  <si>
    <t>INVESTEC TRS 030822 C_R</t>
  </si>
  <si>
    <t>INVESTEC TRS 030822 C_R RECEIVE LEG F MONTHLY</t>
  </si>
  <si>
    <t>Synthetic Cash_15JUN22 DTOP</t>
  </si>
  <si>
    <t>PIM Core Global Equity Feeder</t>
  </si>
  <si>
    <t>PCGEF</t>
  </si>
  <si>
    <t>Prescient Core Global Equity Fund - Class B</t>
  </si>
  <si>
    <t>PGPCGEB</t>
  </si>
  <si>
    <t>PIM Core Top 40 Equity F</t>
  </si>
  <si>
    <t>PEQ</t>
  </si>
  <si>
    <t>Investec TOP40TR and Fund Linked Note 1</t>
  </si>
  <si>
    <t>IB172U</t>
  </si>
  <si>
    <t>Nedbank NCD 6.25% 160323</t>
  </si>
  <si>
    <t>NEDN160323</t>
  </si>
  <si>
    <t>ZAM000569557</t>
  </si>
  <si>
    <t>PIM Equity</t>
  </si>
  <si>
    <t>PEAQ</t>
  </si>
  <si>
    <t>Tiger Wheels Ltd (Suspended)</t>
  </si>
  <si>
    <t>TIW</t>
  </si>
  <si>
    <t>Group Five Limited Unlisted</t>
  </si>
  <si>
    <t>UGRF</t>
  </si>
  <si>
    <t>ZAU000016941</t>
  </si>
  <si>
    <t>RSA TB 0% 141222</t>
  </si>
  <si>
    <t>RSATB141222</t>
  </si>
  <si>
    <t>ZAM000559426</t>
  </si>
  <si>
    <t>PIM Flexible Bond Fund</t>
  </si>
  <si>
    <t>PBNDQ</t>
  </si>
  <si>
    <t>STD 10.13% SBS27 200224</t>
  </si>
  <si>
    <t>SBS27</t>
  </si>
  <si>
    <t>ZAG000112772</t>
  </si>
  <si>
    <t>Income Distribution</t>
  </si>
  <si>
    <t>INCDIST</t>
  </si>
  <si>
    <t>PIM Flexible Fixed Interest</t>
  </si>
  <si>
    <t>PFFIF</t>
  </si>
  <si>
    <t>Investec Transnet SOC CLN 6.8% 210223</t>
  </si>
  <si>
    <t>IVC211</t>
  </si>
  <si>
    <t>ZAG000183872</t>
  </si>
  <si>
    <t>Firstrand FRN FRB24 081123 Jb3+445</t>
  </si>
  <si>
    <t>FRB24</t>
  </si>
  <si>
    <t>ZAG000155102</t>
  </si>
  <si>
    <t>Nedbank 9.73% NBK13A 190324</t>
  </si>
  <si>
    <t>NBK13A</t>
  </si>
  <si>
    <t>ZAG000114232</t>
  </si>
  <si>
    <t>Nedbank Jb3+ 464 NGLT1B 201023</t>
  </si>
  <si>
    <t>NGLT1B</t>
  </si>
  <si>
    <t>ZAG000154667</t>
  </si>
  <si>
    <t>Standard Bank FRN JB3+423 310326</t>
  </si>
  <si>
    <t>SBT105</t>
  </si>
  <si>
    <t>ZAG000174830</t>
  </si>
  <si>
    <t>Transnet Soc Ltd TNF26U Jb3+270 130826</t>
  </si>
  <si>
    <t>TNF26U</t>
  </si>
  <si>
    <t>ZAG000176223</t>
  </si>
  <si>
    <t>SA National Roads Agency (GG) 10.365% 280830</t>
  </si>
  <si>
    <t>HWAY30</t>
  </si>
  <si>
    <t>SA NATIONAL ROADS AGENCY GG</t>
  </si>
  <si>
    <t>ZAG000170648</t>
  </si>
  <si>
    <t>RSA 8.875% R2035 280235</t>
  </si>
  <si>
    <t>R2035</t>
  </si>
  <si>
    <t>ZAG000125972</t>
  </si>
  <si>
    <t>Prescient Yield Quantplus Fund B3</t>
  </si>
  <si>
    <t>PCQFB3</t>
  </si>
  <si>
    <t>ZAE000121893</t>
  </si>
  <si>
    <t>Firstrand NCD 6.01% 220724</t>
  </si>
  <si>
    <t>FSRN220724</t>
  </si>
  <si>
    <t>ZAM000547678</t>
  </si>
  <si>
    <t>Nedbank NCD 5.92% 260724</t>
  </si>
  <si>
    <t>NEDN260724</t>
  </si>
  <si>
    <t>ZAM000548338</t>
  </si>
  <si>
    <t>Nedbank NCD 6.08% 190724</t>
  </si>
  <si>
    <t>NEDN190724</t>
  </si>
  <si>
    <t>ZAM000547637</t>
  </si>
  <si>
    <t>PIM Gbl Income Provider FF</t>
  </si>
  <si>
    <t>PGIF</t>
  </si>
  <si>
    <t>Prescient Global Income Provider Fund B</t>
  </si>
  <si>
    <t>PGIFB</t>
  </si>
  <si>
    <t>IE00B1Y40H10</t>
  </si>
  <si>
    <t>PIM Global Equity FF</t>
  </si>
  <si>
    <t>PGGF</t>
  </si>
  <si>
    <t>Prescient Global Equity Fund B</t>
  </si>
  <si>
    <t>PGGFB</t>
  </si>
  <si>
    <t>PIM Positive Ret QuantPlus</t>
  </si>
  <si>
    <t>PPOS</t>
  </si>
  <si>
    <t>PIM Property Equity</t>
  </si>
  <si>
    <t>PPEF</t>
  </si>
  <si>
    <t>06MAY22 BSK109 CSH</t>
  </si>
  <si>
    <t>ZAD000479533</t>
  </si>
  <si>
    <t>Investec JSAPYTR and Fund Linked Note</t>
  </si>
  <si>
    <t>IB209U</t>
  </si>
  <si>
    <t>Attacq Limited</t>
  </si>
  <si>
    <t>ZAE000177218</t>
  </si>
  <si>
    <t>Emira Property Fund Limited</t>
  </si>
  <si>
    <t>ZAE000203063</t>
  </si>
  <si>
    <t>Fortress Reit Limited B</t>
  </si>
  <si>
    <t>ZAE000248506</t>
  </si>
  <si>
    <t>ZAE000260576</t>
  </si>
  <si>
    <t>Liberty Two Degrees (Unlisted)</t>
  </si>
  <si>
    <t>UL2D</t>
  </si>
  <si>
    <t>ZAU000016412</t>
  </si>
  <si>
    <t>Lighthouse Properties Plc</t>
  </si>
  <si>
    <t>MU0461N00015</t>
  </si>
  <si>
    <t>SA Corporate Real Estate Fund</t>
  </si>
  <si>
    <t>ZAE000203238</t>
  </si>
  <si>
    <t>Fairvest Ltd</t>
  </si>
  <si>
    <t>FTB</t>
  </si>
  <si>
    <t>FAIRVEST LTD-B</t>
  </si>
  <si>
    <t>ZAE000304796</t>
  </si>
  <si>
    <t>Industrials REIT Ltd</t>
  </si>
  <si>
    <t>MLI</t>
  </si>
  <si>
    <t>INDUSTRIALS REIT</t>
  </si>
  <si>
    <t>GG00BFWMR296</t>
  </si>
  <si>
    <t>RSA TB 0% 191022</t>
  </si>
  <si>
    <t>RSATB191022</t>
  </si>
  <si>
    <t>ZAM000554047</t>
  </si>
  <si>
    <t>INVESTEC TRS 030822 A</t>
  </si>
  <si>
    <t>INVTRS030822A</t>
  </si>
  <si>
    <t>INVESTEC TRS 030822 A CONTRACT SWCOTR</t>
  </si>
  <si>
    <t>INVESTEC TRS 030822 A_P</t>
  </si>
  <si>
    <t>INVESTEC TRS 030822 A_P PAY LEG X 0.000000 ACT/365 MONTHLY 20220905</t>
  </si>
  <si>
    <t>INVESTEC TRS 030822 A_R</t>
  </si>
  <si>
    <t>INVESTEC TRS 030822 A_R RECEIVE LEG F MONTHLY</t>
  </si>
  <si>
    <t>Synthetic Cash_06MAY22 BSK109 CSH</t>
  </si>
  <si>
    <t>PIM SA Income Provider</t>
  </si>
  <si>
    <t>PSTIF</t>
  </si>
  <si>
    <t>PIM Specialist Income Fund</t>
  </si>
  <si>
    <t>PSIF</t>
  </si>
  <si>
    <t>FIRSTRAND BANK NCD 6.04% 130824</t>
  </si>
  <si>
    <t>FSRN130824</t>
  </si>
  <si>
    <t>ZAM000549617</t>
  </si>
  <si>
    <t>FirstRand NCD 5.99% 270824</t>
  </si>
  <si>
    <t>FSRN270824</t>
  </si>
  <si>
    <t>ZAM000550557</t>
  </si>
  <si>
    <t>PIM Yield QuantPlus</t>
  </si>
  <si>
    <t>Absa 9.675% 140522 ABS13</t>
  </si>
  <si>
    <t>ABS13</t>
  </si>
  <si>
    <t>PCSHQ</t>
  </si>
  <si>
    <t>ZAG000126152</t>
  </si>
  <si>
    <t>Industrial Development Corp of SA IDCC21 181222 Jb3+130</t>
  </si>
  <si>
    <t>IDCG21</t>
  </si>
  <si>
    <t>ZAG000165390</t>
  </si>
  <si>
    <t>KAP Industrial Holdings Ltd Jb3+150 KAP013 240522</t>
  </si>
  <si>
    <t>KAP013</t>
  </si>
  <si>
    <t>ZAG000159633</t>
  </si>
  <si>
    <t>Mercedes MBP038 JB3+132 021122</t>
  </si>
  <si>
    <t>MBP038</t>
  </si>
  <si>
    <t>MERCEDES-BENZ SOUTH AFRICA LIMITED</t>
  </si>
  <si>
    <t>ZAG000148057</t>
  </si>
  <si>
    <t>Standard Bank SBS56 8.95% 120622</t>
  </si>
  <si>
    <t>SBS56</t>
  </si>
  <si>
    <t>ZAG000144601</t>
  </si>
  <si>
    <t>Standardbank Bond 9.98% SBS41 121122</t>
  </si>
  <si>
    <t>SBS41</t>
  </si>
  <si>
    <t>ZAG000131202</t>
  </si>
  <si>
    <t>SPG006</t>
  </si>
  <si>
    <t>SUPER GROUP LTD</t>
  </si>
  <si>
    <t>ZAG000160227</t>
  </si>
  <si>
    <t>Mobile Telephone Networks FRN  MTN22 290723 Jb3+245</t>
  </si>
  <si>
    <t>MTN22</t>
  </si>
  <si>
    <t>ZAG000169798</t>
  </si>
  <si>
    <t>Nedbank NBK26A 10.68% 120523</t>
  </si>
  <si>
    <t>NBK26A</t>
  </si>
  <si>
    <t>ZAG000133513</t>
  </si>
  <si>
    <t>FRA NEDBANK 151222 5.68%</t>
  </si>
  <si>
    <t>FRANED151222</t>
  </si>
  <si>
    <t>FRA NEDBANK 151222 5.68%_P</t>
  </si>
  <si>
    <t>FRA NEDBANK 151222 5.68%_R</t>
  </si>
  <si>
    <t>Nedbank Semi-Annual Step-Up Note 160522 Jb3+110  (20240514)</t>
  </si>
  <si>
    <t>NEDSUN160522</t>
  </si>
  <si>
    <t>BNP PPFSA Jb3+180 030822</t>
  </si>
  <si>
    <t>BPPF25</t>
  </si>
  <si>
    <t>ZAG000169939</t>
  </si>
  <si>
    <t>FirstRand FRN Jb3+62.5 300922</t>
  </si>
  <si>
    <t>FSRF300922</t>
  </si>
  <si>
    <t>ZAM000553049</t>
  </si>
  <si>
    <t>RSA TB 0% 261022</t>
  </si>
  <si>
    <t>RSATB261022</t>
  </si>
  <si>
    <t>ZAM000554955</t>
  </si>
  <si>
    <t>ABSA NCD 4.745% 280823</t>
  </si>
  <si>
    <t>ABSAN280823</t>
  </si>
  <si>
    <t>ZAM000521996</t>
  </si>
  <si>
    <t>ABSA NCD 5.13% 030723</t>
  </si>
  <si>
    <t>ABSAN030723</t>
  </si>
  <si>
    <t>ZAM000516749</t>
  </si>
  <si>
    <t>Nedbank NCD 6% 100924</t>
  </si>
  <si>
    <t>NEDN100924</t>
  </si>
  <si>
    <t>ZAM000551506</t>
  </si>
  <si>
    <t>Post Office Retirement Fund</t>
  </si>
  <si>
    <t>PORFGPR</t>
  </si>
  <si>
    <t>PPS Balanced Composite</t>
  </si>
  <si>
    <t>PPSBAL_C</t>
  </si>
  <si>
    <t>R2023 7.75% 280223</t>
  </si>
  <si>
    <t>R2023</t>
  </si>
  <si>
    <t>ZAG000096165</t>
  </si>
  <si>
    <t>Eskom (GG) 7.85% ES26 020426</t>
  </si>
  <si>
    <t>GOVIG</t>
  </si>
  <si>
    <t>ZAG000038290</t>
  </si>
  <si>
    <t>Eskom (GG) 7.5% ES33 150933</t>
  </si>
  <si>
    <t>ZAG000029034</t>
  </si>
  <si>
    <t>RSA 7.00% R213 280231</t>
  </si>
  <si>
    <t>R213</t>
  </si>
  <si>
    <t>ZAG000077470</t>
  </si>
  <si>
    <t>RSA 8.25% R2032 310332</t>
  </si>
  <si>
    <t>R2032</t>
  </si>
  <si>
    <t>ZAG000107004</t>
  </si>
  <si>
    <t>Eskom 8.5% ES42 250442</t>
  </si>
  <si>
    <t>ZAG000107780</t>
  </si>
  <si>
    <t>R2040 9.00% 31012040</t>
  </si>
  <si>
    <t>R2040</t>
  </si>
  <si>
    <t>ZAG000125980</t>
  </si>
  <si>
    <t>R2044 8.75% 31012044</t>
  </si>
  <si>
    <t>R2044</t>
  </si>
  <si>
    <t>ZAG000106972</t>
  </si>
  <si>
    <t>RSA 6.25% R209 310336</t>
  </si>
  <si>
    <t>R209</t>
  </si>
  <si>
    <t>ZAG000030404</t>
  </si>
  <si>
    <t>RSA 6.5% R214 280241</t>
  </si>
  <si>
    <t>R214</t>
  </si>
  <si>
    <t>ZAG000077488</t>
  </si>
  <si>
    <t>I2025 2% 310125</t>
  </si>
  <si>
    <t>ZAG000096587</t>
  </si>
  <si>
    <t>I2029 1.875% 310329</t>
  </si>
  <si>
    <t>ZAG000137191</t>
  </si>
  <si>
    <t>RSA 2.60% R210 310328</t>
  </si>
  <si>
    <t>R210</t>
  </si>
  <si>
    <t>ZAG000041849</t>
  </si>
  <si>
    <t>RSA 3.45% R202 120733</t>
  </si>
  <si>
    <t>R202</t>
  </si>
  <si>
    <t>ZAG000019944</t>
  </si>
  <si>
    <t>Standard Chartered Bank - Call Account 3.25%</t>
  </si>
  <si>
    <t>SCB010</t>
  </si>
  <si>
    <t>STANDARD CHARTERED BANK</t>
  </si>
  <si>
    <t>MSCI EM ESG Ld NT June22</t>
  </si>
  <si>
    <t>LFOM2_T1</t>
  </si>
  <si>
    <t>MSCI World ESG Leaders NTR Index Future June22</t>
  </si>
  <si>
    <t>LFWM2_T1</t>
  </si>
  <si>
    <t>LIBSTAR HOLDINGS</t>
  </si>
  <si>
    <t>ZAE000250239</t>
  </si>
  <si>
    <t>RFG Holdings Ltd</t>
  </si>
  <si>
    <t>ZAE000191979</t>
  </si>
  <si>
    <t>Steinhoff International Holdings N.V.</t>
  </si>
  <si>
    <t>HOUSEHOLD GOODS</t>
  </si>
  <si>
    <t>NL0011375019</t>
  </si>
  <si>
    <t>ZAE000117792</t>
  </si>
  <si>
    <t>ZAE000053328</t>
  </si>
  <si>
    <t>ZAE000152617</t>
  </si>
  <si>
    <t>Sun International Ltd</t>
  </si>
  <si>
    <t>ZAE000097580</t>
  </si>
  <si>
    <t>Tsogo Sun Gaming Limited</t>
  </si>
  <si>
    <t>TSG</t>
  </si>
  <si>
    <t>ZAE000273116</t>
  </si>
  <si>
    <t>Investec CAPSHR40TR and Fund Linked Note 4</t>
  </si>
  <si>
    <t>IB187U</t>
  </si>
  <si>
    <t>ZAE000191516</t>
  </si>
  <si>
    <t>ZAE000003257</t>
  </si>
  <si>
    <t>UITUZ_1</t>
  </si>
  <si>
    <t>LONG4LIFE LIMITED</t>
  </si>
  <si>
    <t>ZAE000243119</t>
  </si>
  <si>
    <t>PSG Konsult Limited</t>
  </si>
  <si>
    <t>ZAE000191417</t>
  </si>
  <si>
    <t>ZAE000123436</t>
  </si>
  <si>
    <t>ZAE000086302</t>
  </si>
  <si>
    <t>INDUSTRIAL ENGINEER</t>
  </si>
  <si>
    <t>ZAE000003273</t>
  </si>
  <si>
    <t>ZAE000073441</t>
  </si>
  <si>
    <t>ZAE000093183</t>
  </si>
  <si>
    <t>Wilson Bayly Holmes - Ovcon Ltd</t>
  </si>
  <si>
    <t>ZAE000009932</t>
  </si>
  <si>
    <t>Nedbank London FD 0.51% 170522</t>
  </si>
  <si>
    <t>NEDLFD170522</t>
  </si>
  <si>
    <t>Firstrand London FD 1.23% 041122</t>
  </si>
  <si>
    <t>FSRLFD041122</t>
  </si>
  <si>
    <t>Firstrand London FD 1.58% 060223</t>
  </si>
  <si>
    <t>FSRLFD060223</t>
  </si>
  <si>
    <t>Synthetic Cash_MSCI EM ESG Ld NT June22</t>
  </si>
  <si>
    <t>Synthetic Cash_MSCI World ESG Leaders NTR Index Future June22</t>
  </si>
  <si>
    <t>PPS Nam Portable Fund c/o PIM</t>
  </si>
  <si>
    <t>NAMIGB 8 01/15/30</t>
  </si>
  <si>
    <t>GC30</t>
  </si>
  <si>
    <t>GC30 8.00 15012030</t>
  </si>
  <si>
    <t>PPSNAM</t>
  </si>
  <si>
    <t>NA000A1A2X54</t>
  </si>
  <si>
    <t>NAMIGB 9 04/15/32</t>
  </si>
  <si>
    <t>GC32</t>
  </si>
  <si>
    <t>GC32 9.0 15042032</t>
  </si>
  <si>
    <t>NA000A1HM716</t>
  </si>
  <si>
    <t>NAM 9.5% GC35 (R209) 150735</t>
  </si>
  <si>
    <t>GC35</t>
  </si>
  <si>
    <t>NA000A1HM724</t>
  </si>
  <si>
    <t>NAM 9.85% GC45 (R2044) 150745</t>
  </si>
  <si>
    <t>GC45</t>
  </si>
  <si>
    <t>NA000A1ZOJF6</t>
  </si>
  <si>
    <t>NAMIGB 10 1/4 07/15/50</t>
  </si>
  <si>
    <t>GC50</t>
  </si>
  <si>
    <t>GC50 10.25 15072050</t>
  </si>
  <si>
    <t>NA000A2R1294</t>
  </si>
  <si>
    <t>NAMIGB 9 1/2 07/15/37</t>
  </si>
  <si>
    <t>GC37</t>
  </si>
  <si>
    <t>GC37 9.5 15072037</t>
  </si>
  <si>
    <t>NA000A1ZLZM9</t>
  </si>
  <si>
    <t>NAMIGB 9.8 10/15/40</t>
  </si>
  <si>
    <t>GC40</t>
  </si>
  <si>
    <t>GC40 9.8 15102040</t>
  </si>
  <si>
    <t>NA000A1ZLZN7</t>
  </si>
  <si>
    <t>NAMIIL 3.55 10/15/22</t>
  </si>
  <si>
    <t>GI22</t>
  </si>
  <si>
    <t>GI22 ILB 3.55 15102022</t>
  </si>
  <si>
    <t>NA000A1Z5D94</t>
  </si>
  <si>
    <t>NAMIIL 3.8 07/15/25</t>
  </si>
  <si>
    <t>GI25</t>
  </si>
  <si>
    <t>GI25 ILB 3.80 15072025</t>
  </si>
  <si>
    <t>NA000A1Z5EA7</t>
  </si>
  <si>
    <t>NAMIIL 4 1/2 01/15/29</t>
  </si>
  <si>
    <t>GI29</t>
  </si>
  <si>
    <t>GI29 ILB 4.5 15012029</t>
  </si>
  <si>
    <t>NA000A19GED0</t>
  </si>
  <si>
    <t>NAMIIL 4 1/2 04/15/33</t>
  </si>
  <si>
    <t>GI33</t>
  </si>
  <si>
    <t>GI33 ILB 15042033</t>
  </si>
  <si>
    <t>NA000A1907H9</t>
  </si>
  <si>
    <t>NAMIIL 4.8 07/15/36</t>
  </si>
  <si>
    <t>GI36</t>
  </si>
  <si>
    <t>GI36 ILB 15072036</t>
  </si>
  <si>
    <t>NA000A2R1278</t>
  </si>
  <si>
    <t>04AUG22 2050 Bond Future</t>
  </si>
  <si>
    <t>2050Q2</t>
  </si>
  <si>
    <t>04AUG22 R248 Bond Future</t>
  </si>
  <si>
    <t>R248Q2</t>
  </si>
  <si>
    <t>13JUN22 ACWII CSH</t>
  </si>
  <si>
    <t>ZAD000409068</t>
  </si>
  <si>
    <t>13JUN22 ACWII CSH DN</t>
  </si>
  <si>
    <t>ZAD000409217</t>
  </si>
  <si>
    <t>CONSUMER STAPLES</t>
  </si>
  <si>
    <t>Namibia Breweries Ltd</t>
  </si>
  <si>
    <t>6614160</t>
  </si>
  <si>
    <t>NAMIBIA BREWERIE</t>
  </si>
  <si>
    <t>3533</t>
  </si>
  <si>
    <t>3500</t>
  </si>
  <si>
    <t>3000</t>
  </si>
  <si>
    <t>NA0009114944</t>
  </si>
  <si>
    <t>NBS NW</t>
  </si>
  <si>
    <t>Bank Windhoek NCD 6.42% 140323</t>
  </si>
  <si>
    <t>BWNDN140323</t>
  </si>
  <si>
    <t>Standard Bank Namibia NCD 5.9% 140323</t>
  </si>
  <si>
    <t>STDNN140323</t>
  </si>
  <si>
    <t>Bank Windhoek NCD 6.37% 160323</t>
  </si>
  <si>
    <t>BWNDN160323</t>
  </si>
  <si>
    <t>Synthetic Cash_04AUG22 2050 Bond Future</t>
  </si>
  <si>
    <t>Synthetic Cash_04AUG22 R248 Bond Future</t>
  </si>
  <si>
    <t>Synthetic Cash_13JUN22 ACWII CSH</t>
  </si>
  <si>
    <t>Synthetic Cash_13JUN22 ACWII CSH DN</t>
  </si>
  <si>
    <t>PPWAWU Nat Prov Fund - PIM</t>
  </si>
  <si>
    <t>PPWEQU</t>
  </si>
  <si>
    <t>Predikante Fund NGKSA c/o PIM</t>
  </si>
  <si>
    <t>NGKINC</t>
  </si>
  <si>
    <t>Standardbank NCD 5.45% 301222</t>
  </si>
  <si>
    <t>STDN301222</t>
  </si>
  <si>
    <t>ZAM000560481</t>
  </si>
  <si>
    <t>Prescient Optimised Inc Comp</t>
  </si>
  <si>
    <t>POIF_C</t>
  </si>
  <si>
    <t>Afrocentric Investment Corporation Ltd</t>
  </si>
  <si>
    <t>Afrocentric Investment Corp Ltd</t>
  </si>
  <si>
    <t>ZAE000078416</t>
  </si>
  <si>
    <t>ZAE000088431</t>
  </si>
  <si>
    <t>Bowler Metcalf Ltd</t>
  </si>
  <si>
    <t>ZAE000030797</t>
  </si>
  <si>
    <t>Datatec Ltd</t>
  </si>
  <si>
    <t>ZAE000017745</t>
  </si>
  <si>
    <t>SAAM BCI Cautious Fund</t>
  </si>
  <si>
    <t>SAAMCAU</t>
  </si>
  <si>
    <t>13JUN22 NDDUW 1</t>
  </si>
  <si>
    <t>ZAD000412153</t>
  </si>
  <si>
    <t>13JUN22 NDUEE 1</t>
  </si>
  <si>
    <t>ZAD000421519</t>
  </si>
  <si>
    <t>Synthetic Cash_13JUN22 NDDUW 1</t>
  </si>
  <si>
    <t>Synthetic Cash_13JUN22 NDUEE 1</t>
  </si>
  <si>
    <t>SAAM BCI Managed Fund</t>
  </si>
  <si>
    <t>SAAMMAN</t>
  </si>
  <si>
    <t>SAAM BCI Moderate Fund</t>
  </si>
  <si>
    <t>SAAMMOD</t>
  </si>
  <si>
    <t>SBSA itf Caleo BCI Active Inc</t>
  </si>
  <si>
    <t>CAPGIP</t>
  </si>
  <si>
    <t>SBSA itf Mom Best Blnd Flx Inc</t>
  </si>
  <si>
    <t>MOMBBF</t>
  </si>
  <si>
    <t>Firstrand FRN FRB25 190924 Jb3+440</t>
  </si>
  <si>
    <t>FRB25</t>
  </si>
  <si>
    <t>ZAG000157512</t>
  </si>
  <si>
    <t>Hyprop Investments FRN 150324 Jb3+170</t>
  </si>
  <si>
    <t>HILB12</t>
  </si>
  <si>
    <t>ZAG000157785</t>
  </si>
  <si>
    <t>Hyprop Investments HILB11 150324 Jb3+175</t>
  </si>
  <si>
    <t>HILB11</t>
  </si>
  <si>
    <t>ZAG000157793</t>
  </si>
  <si>
    <t>ABSA NCD 6.04% 110324</t>
  </si>
  <si>
    <t>ABSAN110324</t>
  </si>
  <si>
    <t>ZAM000536176</t>
  </si>
  <si>
    <t>SBSA ITF Mom SA Flex Fxd Int</t>
  </si>
  <si>
    <t>Discovery Limited DSY03 10.46% 211124</t>
  </si>
  <si>
    <t>DSY03</t>
  </si>
  <si>
    <t>MOMFLX</t>
  </si>
  <si>
    <t>ZAG000148354</t>
  </si>
  <si>
    <t>Telkom TL25 9.57% 040924</t>
  </si>
  <si>
    <t>TL25</t>
  </si>
  <si>
    <t>ZAG000146408</t>
  </si>
  <si>
    <t>Firstrand CPI 5.5% FRBI23 071223</t>
  </si>
  <si>
    <t>ZAG000076498</t>
  </si>
  <si>
    <t>Standard Bank SANRAL CLN628 9.25% 310734</t>
  </si>
  <si>
    <t>CLN628</t>
  </si>
  <si>
    <t>SA NATIONAL ROADS AGENCY</t>
  </si>
  <si>
    <t>ZAG000164369</t>
  </si>
  <si>
    <t>SBSA itf Momentum MOM Real Ret</t>
  </si>
  <si>
    <t>ADRRC</t>
  </si>
  <si>
    <t>SCB ATF FNB Multi Man Income</t>
  </si>
  <si>
    <t>ASHFLX</t>
  </si>
  <si>
    <t>SCB ATF FNB Multi Manager Bond</t>
  </si>
  <si>
    <t>ASHGFB</t>
  </si>
  <si>
    <t>SCB ATF PPS FLEX INC FUND PIM</t>
  </si>
  <si>
    <t>PPSFLEX</t>
  </si>
  <si>
    <t>SCB atf Stand Stanlib Bond</t>
  </si>
  <si>
    <t>STSBND</t>
  </si>
  <si>
    <t>SMMI Institutional Bond Fund</t>
  </si>
  <si>
    <t>SMMIBF</t>
  </si>
  <si>
    <t>Standard Insurance Limited EQ</t>
  </si>
  <si>
    <t>SILEQF</t>
  </si>
  <si>
    <t>Stanlib MM Absolute Income</t>
  </si>
  <si>
    <t>SMMAIF</t>
  </si>
  <si>
    <t>FirstRand NCD 6.64% 281024</t>
  </si>
  <si>
    <t>FSRN281024</t>
  </si>
  <si>
    <t>ZAM000555333</t>
  </si>
  <si>
    <t>Stanlib MM Bond Fund - PIM</t>
  </si>
  <si>
    <t>SMMBPR</t>
  </si>
  <si>
    <t>Stanlib MM Enhanced Yield-PIM</t>
  </si>
  <si>
    <t>SMMEYP</t>
  </si>
  <si>
    <t>Landbank FRN Jb3+300 121021 Coupn</t>
  </si>
  <si>
    <t>LBK15INTDEF</t>
  </si>
  <si>
    <t>ABSA FRN JB3+40 020622</t>
  </si>
  <si>
    <t>ABSAF020622</t>
  </si>
  <si>
    <t>ZAM000558709</t>
  </si>
  <si>
    <t>Standard Bank NCD 5.725% 070223</t>
  </si>
  <si>
    <t>STDN070223</t>
  </si>
  <si>
    <t>ZAM000564038</t>
  </si>
  <si>
    <t>Absa Bank NCD 7.615% 170323</t>
  </si>
  <si>
    <t>ABSAN170323</t>
  </si>
  <si>
    <t>ZAM000501121</t>
  </si>
  <si>
    <t>FirstRand NCD 6.07% 130924</t>
  </si>
  <si>
    <t>FSRN130924A</t>
  </si>
  <si>
    <t>ZAM000551753</t>
  </si>
  <si>
    <t>Nedbank NCD  6% 110324</t>
  </si>
  <si>
    <t>NEDN110324</t>
  </si>
  <si>
    <t>ZAM000536481</t>
  </si>
  <si>
    <t>Nedbank NCD 5.86% 020824</t>
  </si>
  <si>
    <t>NEDN020824</t>
  </si>
  <si>
    <t>ZAM000548619</t>
  </si>
  <si>
    <t>Nedbank NCD 5.99% 270824</t>
  </si>
  <si>
    <t>NEDN270824</t>
  </si>
  <si>
    <t>ZAM000550573</t>
  </si>
  <si>
    <t>Stanlib MM Real Return</t>
  </si>
  <si>
    <t>SMMRRF</t>
  </si>
  <si>
    <t>Nedbank NCD 6% 020323</t>
  </si>
  <si>
    <t>NEDN020323</t>
  </si>
  <si>
    <t>ZAM000567775</t>
  </si>
  <si>
    <t>Sygnia Life Swix Tracker Fund</t>
  </si>
  <si>
    <t>SWGSWX</t>
  </si>
  <si>
    <t>ABSA TRS 040822</t>
  </si>
  <si>
    <t>ABSATRS040822</t>
  </si>
  <si>
    <t>ABSA TRS 040822 CONTRACT SWCOTR</t>
  </si>
  <si>
    <t>ABSA TRS 040822_P</t>
  </si>
  <si>
    <t>ABSA TRS 040822_P PAY LEG X 0.000000 ACT/365 MONTHLY 20220804</t>
  </si>
  <si>
    <t>ABSA TRS 040822_R</t>
  </si>
  <si>
    <t>ABSA TRS 040822_R RECEIVE LEG F MONTHLY</t>
  </si>
  <si>
    <t>The Asbestos Relief Fund</t>
  </si>
  <si>
    <t>ASBTOS</t>
  </si>
  <si>
    <t>Toyota SA Prov Fund c/o PIM</t>
  </si>
  <si>
    <t>TOYCEF</t>
  </si>
  <si>
    <t>Investec JSHR40TR and Fund Linked Note 2</t>
  </si>
  <si>
    <t>IB184U</t>
  </si>
  <si>
    <t>Nedbank Structured Note NN108U Shareholder Weighted Top 40 Total Return Index (JSHR40TR)</t>
  </si>
  <si>
    <t>NN108U</t>
  </si>
  <si>
    <t>Tshwane Municipal Prov Fund</t>
  </si>
  <si>
    <t>TSHMPF</t>
  </si>
  <si>
    <t>No Data found for this Entity</t>
  </si>
  <si>
    <t>17MAR22 DCAP</t>
  </si>
  <si>
    <t>17MAR22 DCAR</t>
  </si>
  <si>
    <t>FRAs</t>
  </si>
  <si>
    <t>15DEC22 ALSI</t>
  </si>
  <si>
    <t>ZAD000277689</t>
  </si>
  <si>
    <t>15DEC22 ALSI 70000C</t>
  </si>
  <si>
    <t>ZADA00256149</t>
  </si>
  <si>
    <t>15JUN22 ALSI 75000C</t>
  </si>
  <si>
    <t>15SEP22 ALSI 70000C</t>
  </si>
  <si>
    <t>ZADA00256511</t>
  </si>
  <si>
    <t>Synthetic Cash_15DEC22 ALSI</t>
  </si>
  <si>
    <t>Synthetic Cash_15DEC22 ALSI 70000C</t>
  </si>
  <si>
    <t>Synthetic Cash_15SEP22 ALSI 70000C</t>
  </si>
  <si>
    <t>Standardbank NCD 6.30% 160323</t>
  </si>
  <si>
    <t>STDN160323</t>
  </si>
  <si>
    <t>ZAM000569979</t>
  </si>
  <si>
    <t>Investec INLV12 Jb3+220 250627 (20320325)</t>
  </si>
  <si>
    <t>INLV12</t>
  </si>
  <si>
    <t>ZAG000184672</t>
  </si>
  <si>
    <t>FirstRand London FD 2.2% 170323</t>
  </si>
  <si>
    <t>FSRLFD170323</t>
  </si>
  <si>
    <t>Super Group FRN SPG003 200622 Jb3+145</t>
  </si>
  <si>
    <t>Namibia TB 0% 161222</t>
  </si>
  <si>
    <t>NAMTB161222</t>
  </si>
  <si>
    <t>15SEP22 ALSI 69000C</t>
  </si>
  <si>
    <t>15SEP22 ALSI 77000C</t>
  </si>
  <si>
    <t>15JUN22 ATRI</t>
  </si>
  <si>
    <t>ZADA00259275</t>
  </si>
  <si>
    <t>ZADA00259283</t>
  </si>
  <si>
    <t>Synthetic Cash_15SEP22 ALSI 69000C</t>
  </si>
  <si>
    <t>Synthetic Cash_15SEP22 ALSI 77000C</t>
  </si>
  <si>
    <t>ABSA FRA 5.49% 251122</t>
  </si>
  <si>
    <t>FRAABSA251122</t>
  </si>
  <si>
    <t>ABSA FRA 5.49% 251122_P</t>
  </si>
  <si>
    <t>ABSA FRA 5.49% 251122_R</t>
  </si>
  <si>
    <t>NEDBANK FRA 5.48% 251122</t>
  </si>
  <si>
    <t>FRANED251122</t>
  </si>
  <si>
    <t>NEDBANK FRA 5.48% 251122_P</t>
  </si>
  <si>
    <t>NEDBANK FRA 5.48% 251122_R</t>
  </si>
  <si>
    <t>FirstRand London FD 2.48% 230323</t>
  </si>
  <si>
    <t>FSRLFD230323</t>
  </si>
  <si>
    <t>Firstrand London FD 2.49% 280323</t>
  </si>
  <si>
    <t>FSRLFD280323</t>
  </si>
  <si>
    <t>PLPRNA Mandate</t>
  </si>
  <si>
    <t>PLMED Mandate</t>
  </si>
  <si>
    <t>ABMMABR Mandate</t>
  </si>
  <si>
    <t>ABMMBND Mandate</t>
  </si>
  <si>
    <t>ABMMEQU Mandate</t>
  </si>
  <si>
    <t>SISLP Mandate</t>
  </si>
  <si>
    <t>PSPAM Mandate</t>
  </si>
  <si>
    <t>SHNIPF Mandate</t>
  </si>
  <si>
    <t>ECICBALC Mandate</t>
  </si>
  <si>
    <t>ELCIPF Mandate</t>
  </si>
  <si>
    <t>ENGENMBF Mandate</t>
  </si>
  <si>
    <t>GTCWP2 Mandate</t>
  </si>
  <si>
    <t>HOLDINC Mandate</t>
  </si>
  <si>
    <t>HOLYPF Mandate</t>
  </si>
  <si>
    <t>AMMIPF Mandate</t>
  </si>
  <si>
    <t>GAEMBF Mandate</t>
  </si>
  <si>
    <t>GMRETF2 Mandate</t>
  </si>
  <si>
    <t>GMRETF Mandate</t>
  </si>
  <si>
    <t>GRFINV Mandate</t>
  </si>
  <si>
    <t>EMHPBQ Mandate</t>
  </si>
  <si>
    <t>IJGBAL Mandate</t>
  </si>
  <si>
    <t>IJGCOR Mandate</t>
  </si>
  <si>
    <t>IJGIPF Mandate</t>
  </si>
  <si>
    <t>LIBTAA Mandate</t>
  </si>
  <si>
    <t>MEDINC Mandate</t>
  </si>
  <si>
    <t>MWPFEQU Mandate</t>
  </si>
  <si>
    <t>MOMPRET Mandate</t>
  </si>
  <si>
    <t>NESEQU Mandate</t>
  </si>
  <si>
    <t>NFMWEQU Mandate</t>
  </si>
  <si>
    <t>OMFLXI5 Mandate</t>
  </si>
  <si>
    <t>PCAEF Mandate</t>
  </si>
  <si>
    <t>PCCEF Mandate</t>
  </si>
  <si>
    <t>PCEQTF Mandate</t>
  </si>
  <si>
    <t>PCGEF Mandate</t>
  </si>
  <si>
    <t>PEQ Mandate</t>
  </si>
  <si>
    <t>PEAQ Mandate</t>
  </si>
  <si>
    <t>PBNDQ Mandate</t>
  </si>
  <si>
    <t>PFFIF Mandate</t>
  </si>
  <si>
    <t>PGIF Mandate</t>
  </si>
  <si>
    <t>PGGF Mandate</t>
  </si>
  <si>
    <t>PPOS Mandate</t>
  </si>
  <si>
    <t>PPEF Mandate</t>
  </si>
  <si>
    <t>PSTIF Mandate</t>
  </si>
  <si>
    <t>PSIF Mandate</t>
  </si>
  <si>
    <t>PCSHQ Mandate</t>
  </si>
  <si>
    <t>PORFGPR Mandate</t>
  </si>
  <si>
    <t>PPSBAL_C Mandate</t>
  </si>
  <si>
    <t>PPSNAM Mandate</t>
  </si>
  <si>
    <t>PPWEQU Mandate</t>
  </si>
  <si>
    <t>NGKINC Mandate</t>
  </si>
  <si>
    <t>POIF_C Mandate</t>
  </si>
  <si>
    <t>SAAMCAU Mandate</t>
  </si>
  <si>
    <t>SAAMMAN Mandate</t>
  </si>
  <si>
    <t>SAAMMOD Mandate</t>
  </si>
  <si>
    <t>CAPGIP Mandate</t>
  </si>
  <si>
    <t>MOMBBF Mandate</t>
  </si>
  <si>
    <t>MOMFLX Mandate</t>
  </si>
  <si>
    <t>ADRRC Mandate</t>
  </si>
  <si>
    <t>ASHFLX Mandate</t>
  </si>
  <si>
    <t>ASHGFB Mandate</t>
  </si>
  <si>
    <t>PPSFLEX Mandate</t>
  </si>
  <si>
    <t>STSBND Mandate</t>
  </si>
  <si>
    <t>SMMIBF Mandate</t>
  </si>
  <si>
    <t>SILEQF Mandate</t>
  </si>
  <si>
    <t>SMMAIF Mandate</t>
  </si>
  <si>
    <t>SMMBPR Mandate</t>
  </si>
  <si>
    <t>SMMEYP Mandate</t>
  </si>
  <si>
    <t>SMMRRF Mandate</t>
  </si>
  <si>
    <t>SWGSWX Mandate</t>
  </si>
  <si>
    <t>ASBTOS Mandate</t>
  </si>
  <si>
    <t>TOYCEF Mandate</t>
  </si>
  <si>
    <t>TSHMPF Mandate</t>
  </si>
  <si>
    <t>Total foreign</t>
  </si>
  <si>
    <t>&lt; 45%</t>
  </si>
  <si>
    <t>Direct foreign exposure excl foreign derivatives</t>
  </si>
  <si>
    <t>Direct foreign assets excl derivatives, cash, MMIs, 'SYNCASH', CISes</t>
  </si>
  <si>
    <t>Indirect foreign exposure from derivatives</t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</si>
  <si>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color indexed="8"/>
        <rFont val="Calibri"/>
        <family val="2"/>
        <scheme val="minor"/>
      </rPr>
      <t xml:space="preserve"> Foreign cash</t>
    </r>
  </si>
  <si>
    <t>"Additional foreign added by derivative"</t>
  </si>
  <si>
    <t>Synthetic cash</t>
  </si>
  <si>
    <t>Total Foreign</t>
  </si>
  <si>
    <t>Standard Bank NCD 6.35% 310323</t>
  </si>
  <si>
    <t>STDN310323</t>
  </si>
  <si>
    <t>ZAM000571397</t>
  </si>
  <si>
    <t>Investec Bank Ltd Absa CLN IVC214 Jb3+172.5 280423 (280428)</t>
  </si>
  <si>
    <t>IVC214</t>
  </si>
  <si>
    <t>ZAG000184805</t>
  </si>
  <si>
    <t>Nedbank NCD 6.35% 310323</t>
  </si>
  <si>
    <t>NEDN310323</t>
  </si>
  <si>
    <t>ZAM000571389</t>
  </si>
  <si>
    <t>Bank Windhoek NCD 6.45% 300323</t>
  </si>
  <si>
    <t>BWNDN300323</t>
  </si>
  <si>
    <t>Nedbank Namibia NCD 6.45% 300323</t>
  </si>
  <si>
    <t>NEDNN300323</t>
  </si>
  <si>
    <t>Nedbank NCD 6.45% 290323</t>
  </si>
  <si>
    <t>NEDN290323</t>
  </si>
  <si>
    <t>EXCHANGE TRADED FUNDS</t>
  </si>
  <si>
    <t>Prescient Core Global Equity Fund - Class D</t>
  </si>
  <si>
    <t>PGPCGED</t>
  </si>
  <si>
    <t>FirstRand London FD 2.53% 300323</t>
  </si>
  <si>
    <t>FSRLFD300323</t>
  </si>
  <si>
    <t>ABSA NCD 6.44% 300323</t>
  </si>
  <si>
    <t>ABSAN300323</t>
  </si>
  <si>
    <t>ZAM000571298</t>
  </si>
  <si>
    <t>Prescient Global Income Provider Fund E</t>
  </si>
  <si>
    <t>PGIFE</t>
  </si>
  <si>
    <t>Standard Bank Group Ltd SBT107 Jb3+379 080427</t>
  </si>
  <si>
    <t>SBT107</t>
  </si>
  <si>
    <t>ZAG000184896</t>
  </si>
  <si>
    <t>FirstRand NCD 6.225% 050423</t>
  </si>
  <si>
    <t>FSRN050423</t>
  </si>
  <si>
    <t>ZAM000571777</t>
  </si>
  <si>
    <t>Nedbank NCD 6.275% 050423</t>
  </si>
  <si>
    <t>NEDN050423</t>
  </si>
  <si>
    <t>ZAM000571736</t>
  </si>
  <si>
    <t>Standard Bank NCD 6.25% 050423</t>
  </si>
  <si>
    <t>STDN050423</t>
  </si>
  <si>
    <t>ZAM000571710</t>
  </si>
  <si>
    <t>Picbel Groepvoorsorgfonds</t>
  </si>
  <si>
    <t>PICPROV</t>
  </si>
  <si>
    <t>Prescient Positive Return Quantplus Fund B1</t>
  </si>
  <si>
    <t>PPRQB1</t>
  </si>
  <si>
    <t>ABS</t>
  </si>
  <si>
    <t>ZAE000139960</t>
  </si>
  <si>
    <t>NAM TB 0% 231222</t>
  </si>
  <si>
    <t>NAMTB231222</t>
  </si>
  <si>
    <t>NAM TB 0% 310323</t>
  </si>
  <si>
    <t>NAMTB310323</t>
  </si>
  <si>
    <t>Absa FRN JB3+450bps AGT02 281124</t>
  </si>
  <si>
    <t>AGT02</t>
  </si>
  <si>
    <t>ZAG000159476</t>
  </si>
  <si>
    <t>\\pim-cpt-statpro\SPC_602\Client\Profiles\PIM\Exports\PLPRNA Derv Calc 6Apr2022.xlsx</t>
  </si>
  <si>
    <t>\\pim-cpt-statpro\SPC_602\Client\Profiles\PIM\Exports\PLMED Derv Calc 6Apr2022.xlsx</t>
  </si>
  <si>
    <t>\\pim-cpt-statpro\SPC_602\Client\Profiles\PIM\Exports\ABMMABR Derv Calc 6Apr2022.xlsx</t>
  </si>
  <si>
    <t>\\pim-cpt-statpro\SPC_602\Client\Profiles\PIM\Exports\ABMMBND Derv Calc 6Apr2022.xlsx</t>
  </si>
  <si>
    <t>\\pim-cpt-statpro\SPC_602\Client\Profiles\PIM\Exports\ABMMEQU Derv Calc 6Apr2022.xlsx</t>
  </si>
  <si>
    <t>\\pim-cpt-statpro\SPC_602\Client\Profiles\PIM\Exports\SISLP Derv Calc 6Apr2022.xlsx</t>
  </si>
  <si>
    <t>\\pim-cpt-statpro\SPC_602\Client\Profiles\PIM\Exports\PSPAM Derv Calc 6Apr2022.xlsx</t>
  </si>
  <si>
    <t>\\pim-cpt-statpro\SPC_602\Client\Profiles\PIM\Exports\SHNIPF Derv Calc 6Apr2022.xlsx</t>
  </si>
  <si>
    <t>\\pim-cpt-statpro\SPC_602\Client\Profiles\PIM\Exports\ECICBALC Derv Calc 6Apr2022.xlsx</t>
  </si>
  <si>
    <t>\\pim-cpt-statpro\SPC_602\Client\Profiles\PIM\Exports\ELCIPF Derv Calc 6Apr2022.xlsx</t>
  </si>
  <si>
    <t>\\pim-cpt-statpro\SPC_602\Client\Profiles\PIM\Exports\ENGENMBF Derv Calc 6Apr2022.xlsx</t>
  </si>
  <si>
    <t>\\pim-cpt-statpro\SPC_602\Client\Profiles\PIM\Exports\GTCWP2 Derv Calc 6Apr2022.xlsx</t>
  </si>
  <si>
    <t>\\pim-cpt-statpro\SPC_602\Client\Profiles\PIM\Exports\HOLDINC Derv Calc 6Apr2022.xlsx</t>
  </si>
  <si>
    <t>\\pim-cpt-statpro\SPC_602\Client\Profiles\PIM\Exports\HOLYPF Derv Calc 6Apr2022.xlsx</t>
  </si>
  <si>
    <t>\\pim-cpt-statpro\SPC_602\Client\Profiles\PIM\Exports\AMMIPF Derv Calc 6Apr2022.xlsx</t>
  </si>
  <si>
    <t>\\pim-cpt-statpro\SPC_602\Client\Profiles\PIM\Exports\GAEMBF Derv Calc 6Apr2022.xlsx</t>
  </si>
  <si>
    <t>\\pim-cpt-statpro\SPC_602\Client\Profiles\PIM\Exports\GMRETF2 Derv Calc 6Apr2022.xlsx</t>
  </si>
  <si>
    <t>\\pim-cpt-statpro\SPC_602\Client\Profiles\PIM\Exports\GMRETF Derv Calc 6Apr2022.xlsx</t>
  </si>
  <si>
    <t>\\pim-cpt-statpro\SPC_602\Client\Profiles\PIM\Exports\GRFINV Derv Calc 6Apr2022.xlsx</t>
  </si>
  <si>
    <t>\\pim-cpt-statpro\SPC_602\Client\Profiles\PIM\Exports\EMHPBQ Derv Calc 6Apr2022.xlsx</t>
  </si>
  <si>
    <t>\\pim-cpt-statpro\SPC_602\Client\Profiles\PIM\Exports\IJGBAL Derv Calc 6Apr2022.xlsx</t>
  </si>
  <si>
    <t>\\pim-cpt-statpro\SPC_602\Client\Profiles\PIM\Exports\IJGCOR Derv Calc 6Apr2022.xlsx</t>
  </si>
  <si>
    <t>\\pim-cpt-statpro\SPC_602\Client\Profiles\PIM\Exports\IJGIPF Derv Calc 6Apr2022.xlsx</t>
  </si>
  <si>
    <t>\\pim-cpt-statpro\SPC_602\Client\Profiles\PIM\Exports\LIBTAA Derv Calc 6Apr2022.xlsx</t>
  </si>
  <si>
    <t>\\pim-cpt-statpro\SPC_602\Client\Profiles\PIM\Exports\MEDINC Derv Calc 6Apr2022.xlsx</t>
  </si>
  <si>
    <t>\\pim-cpt-statpro\SPC_602\Client\Profiles\PIM\Exports\MWPFEQU Derv Calc 6Apr2022.xlsx</t>
  </si>
  <si>
    <t>\\pim-cpt-statpro\SPC_602\Client\Profiles\PIM\Exports\MOMPRET Derv Calc 6Apr2022.xlsx</t>
  </si>
  <si>
    <t>\\pim-cpt-statpro\SPC_602\Client\Profiles\PIM\Exports\NESEQU Derv Calc 6Apr2022.xlsx</t>
  </si>
  <si>
    <t>\\pim-cpt-statpro\SPC_602\Client\Profiles\PIM\Exports\NFMWEQU Derv Calc 6Apr2022.xlsx</t>
  </si>
  <si>
    <t>\\pim-cpt-statpro\SPC_602\Client\Profiles\PIM\Exports\OMFLXI5 Derv Calc 6Apr2022.xlsx</t>
  </si>
  <si>
    <t>\\pim-cpt-statpro\SPC_602\Client\Profiles\PIM\Exports\PICPROV Derv Calc 6Apr2022.xlsx</t>
  </si>
  <si>
    <t>PICPROV Mandate</t>
  </si>
  <si>
    <t>\\pim-cpt-statpro\SPC_602\Client\Profiles\PIM\Exports\PBAL Derv Calc 6Apr2022.xlsx</t>
  </si>
  <si>
    <t>\\pim-cpt-statpro\SPC_602\Client\Profiles\PIM\Exports\PIMBAL Derv Calc 6Apr2022.xlsx</t>
  </si>
  <si>
    <t>\\pim-cpt-statpro\SPC_602\Client\Profiles\PIM\Exports\PCAEF Derv Calc 6Apr2022.xlsx</t>
  </si>
  <si>
    <t>\\pim-cpt-statpro\SPC_602\Client\Profiles\PIM\Exports\PCCEF Derv Calc 6Apr2022.xlsx</t>
  </si>
  <si>
    <t>\\pim-cpt-statpro\SPC_602\Client\Profiles\PIM\Exports\PCEQTF Derv Calc 6Apr2022.xlsx</t>
  </si>
  <si>
    <t>\\pim-cpt-statpro\SPC_602\Client\Profiles\PIM\Exports\PCGEF Derv Calc 6Apr2022.xlsx</t>
  </si>
  <si>
    <t>\\pim-cpt-statpro\SPC_602\Client\Profiles\PIM\Exports\PEQ Derv Calc 6Apr2022.xlsx</t>
  </si>
  <si>
    <t>\\pim-cpt-statpro\SPC_602\Client\Profiles\PIM\Exports\PABS Derv Calc 6Apr2022.xlsx</t>
  </si>
  <si>
    <t>\\pim-cpt-statpro\SPC_602\Client\Profiles\PIM\Exports\PEAQ Derv Calc 6Apr2022.xlsx</t>
  </si>
  <si>
    <t>\\pim-cpt-statpro\SPC_602\Client\Profiles\PIM\Exports\PBNDQ Derv Calc 6Apr2022.xlsx</t>
  </si>
  <si>
    <t>\\pim-cpt-statpro\SPC_602\Client\Profiles\PIM\Exports\PFFIF Derv Calc 6Apr2022.xlsx</t>
  </si>
  <si>
    <t>\\pim-cpt-statpro\SPC_602\Client\Profiles\PIM\Exports\PGIF Derv Calc 6Apr2022.xlsx</t>
  </si>
  <si>
    <t>\\pim-cpt-statpro\SPC_602\Client\Profiles\PIM\Exports\PGGF Derv Calc 6Apr2022.xlsx</t>
  </si>
  <si>
    <t>\\pim-cpt-statpro\SPC_602\Client\Profiles\PIM\Exports\PPOS Derv Calc 6Apr2022.xlsx</t>
  </si>
  <si>
    <t>\\pim-cpt-statpro\SPC_602\Client\Profiles\PIM\Exports\PPEF Derv Calc 6Apr2022.xlsx</t>
  </si>
  <si>
    <t>\\pim-cpt-statpro\SPC_602\Client\Profiles\PIM\Exports\PSTIF Derv Calc 6Apr2022.xlsx</t>
  </si>
  <si>
    <t>\\pim-cpt-statpro\SPC_602\Client\Profiles\PIM\Exports\PSIF Derv Calc 6Apr2022.xlsx</t>
  </si>
  <si>
    <t>\\pim-cpt-statpro\SPC_602\Client\Profiles\PIM\Exports\PCSHQ Derv Calc 6Apr2022.xlsx</t>
  </si>
  <si>
    <t>\\pim-cpt-statpro\SPC_602\Client\Profiles\PIM\Exports\PORFGPR Derv Calc 6Apr2022.xlsx</t>
  </si>
  <si>
    <t>\\pim-cpt-statpro\SPC_602\Client\Profiles\PIM\Exports\PPSBAL_C Derv Calc 6Apr2022.xlsx</t>
  </si>
  <si>
    <t>\\pim-cpt-statpro\SPC_602\Client\Profiles\PIM\Exports\PPSNAM Derv Calc 6Apr2022.xlsx</t>
  </si>
  <si>
    <t>\\pim-cpt-statpro\SPC_602\Client\Profiles\PIM\Exports\PPWEQU Derv Calc 6Apr2022.xlsx</t>
  </si>
  <si>
    <t>\\pim-cpt-statpro\SPC_602\Client\Profiles\PIM\Exports\NGKINC Derv Calc 6Apr2022.xlsx</t>
  </si>
  <si>
    <t>\\pim-cpt-statpro\SPC_602\Client\Profiles\PIM\Exports\POIF_C Derv Calc 6Apr2022.xlsx</t>
  </si>
  <si>
    <t>\\pim-cpt-statpro\SPC_602\Client\Profiles\PIM\Exports\SAAMCAU Derv Calc 6Apr2022.xlsx</t>
  </si>
  <si>
    <t>\\pim-cpt-statpro\SPC_602\Client\Profiles\PIM\Exports\SAAMMAN Derv Calc 6Apr2022.xlsx</t>
  </si>
  <si>
    <t>\\pim-cpt-statpro\SPC_602\Client\Profiles\PIM\Exports\SAAMMOD Derv Calc 6Apr2022.xlsx</t>
  </si>
  <si>
    <t>\\pim-cpt-statpro\SPC_602\Client\Profiles\PIM\Exports\CAPGIP Derv Calc 6Apr2022.xlsx</t>
  </si>
  <si>
    <t>\\pim-cpt-statpro\SPC_602\Client\Profiles\PIM\Exports\MOMBBF Derv Calc 6Apr2022.xlsx</t>
  </si>
  <si>
    <t>\\pim-cpt-statpro\SPC_602\Client\Profiles\PIM\Exports\MOMFLX Derv Calc 6Apr2022.xlsx</t>
  </si>
  <si>
    <t>\\pim-cpt-statpro\SPC_602\Client\Profiles\PIM\Exports\ADRRC Derv Calc 6Apr2022.xlsx</t>
  </si>
  <si>
    <t>\\pim-cpt-statpro\SPC_602\Client\Profiles\PIM\Exports\ASHFLX Derv Calc 6Apr2022.xlsx</t>
  </si>
  <si>
    <t>\\pim-cpt-statpro\SPC_602\Client\Profiles\PIM\Exports\ASHGFB Derv Calc 6Apr2022.xlsx</t>
  </si>
  <si>
    <t>\\pim-cpt-statpro\SPC_602\Client\Profiles\PIM\Exports\PPSFLEX Derv Calc 6Apr2022.xlsx</t>
  </si>
  <si>
    <t>\\pim-cpt-statpro\SPC_602\Client\Profiles\PIM\Exports\STSBND Derv Calc 6Apr2022.xlsx</t>
  </si>
  <si>
    <t>\\pim-cpt-statpro\SPC_602\Client\Profiles\PIM\Exports\SMMIBF Derv Calc 6Apr2022.xlsx</t>
  </si>
  <si>
    <t>\\pim-cpt-statpro\SPC_602\Client\Profiles\PIM\Exports\SILEQF Derv Calc 6Apr2022.xlsx</t>
  </si>
  <si>
    <t>\\pim-cpt-statpro\SPC_602\Client\Profiles\PIM\Exports\SMMAIF Derv Calc 6Apr2022.xlsx</t>
  </si>
  <si>
    <t>\\pim-cpt-statpro\SPC_602\Client\Profiles\PIM\Exports\SMMBPR Derv Calc 6Apr2022.xlsx</t>
  </si>
  <si>
    <t>\\pim-cpt-statpro\SPC_602\Client\Profiles\PIM\Exports\SMMEYP Derv Calc 6Apr2022.xlsx</t>
  </si>
  <si>
    <t>\\pim-cpt-statpro\SPC_602\Client\Profiles\PIM\Exports\SMMRRF Derv Calc 6Apr2022.xlsx</t>
  </si>
  <si>
    <t>\\pim-cpt-statpro\SPC_602\Client\Profiles\PIM\Exports\SWGSWX Derv Calc 6Apr2022.xlsx</t>
  </si>
  <si>
    <t>\\pim-cpt-statpro\SPC_602\Client\Profiles\PIM\Exports\ASBTOS Derv Calc 6Apr2022.xlsx</t>
  </si>
  <si>
    <t>\\pim-cpt-statpro\SPC_602\Client\Profiles\PIM\Exports\TOYCEF Derv Calc 6Apr2022.xlsx</t>
  </si>
  <si>
    <t>\\pim-cpt-statpro\SPC_602\Client\Profiles\PIM\Exports\TSHMPF Derv Calc 6Apr2022.xlsx</t>
  </si>
  <si>
    <t>FirstRand NCD 6.43% 110523</t>
  </si>
  <si>
    <t>FSRN110523</t>
  </si>
  <si>
    <t>ZAM000572718</t>
  </si>
  <si>
    <t>KAP Industrial Holdings Ltd KAP024 Jb3+150 120425</t>
  </si>
  <si>
    <t>KAP024</t>
  </si>
  <si>
    <t>ZAG000185182</t>
  </si>
  <si>
    <t>ABSA TRS 040822 F</t>
  </si>
  <si>
    <t>ABSATRS040822F</t>
  </si>
  <si>
    <t>ABSA TRS 040822 F CONTRACT SWCOTR</t>
  </si>
  <si>
    <t>ABSA TRS 040822 F_P</t>
  </si>
  <si>
    <t>ABSA TRS 040822 F_P PAY LEG X 0.000000 ACT/365 MONTHLY 20220804</t>
  </si>
  <si>
    <t>ABSA TRS 040822 F_R</t>
  </si>
  <si>
    <t>ABSA TRS 040822 F_R RECEIVE LEG F MONTHLY</t>
  </si>
  <si>
    <t>Umgeni Water 11.31% UG26 090326</t>
  </si>
  <si>
    <t>UG26</t>
  </si>
  <si>
    <t>UMGENI WATER</t>
  </si>
  <si>
    <t>ZAG000133760</t>
  </si>
  <si>
    <t>Northam Platinum Limited FRN JB3+400 250524</t>
  </si>
  <si>
    <t>NHM019</t>
  </si>
  <si>
    <t>NORTHAM PLATINUM LIMITED</t>
  </si>
  <si>
    <t>ZAG000168105</t>
  </si>
  <si>
    <t>ABSA FRN JB3+90 140423</t>
  </si>
  <si>
    <t>ABSAF140423</t>
  </si>
  <si>
    <t>ZAM000573161</t>
  </si>
  <si>
    <t>Nedbank London FD 1.96% 191022</t>
  </si>
  <si>
    <t>NEDLFD191022</t>
  </si>
  <si>
    <t>FirstRand London FD 2.72% 190423</t>
  </si>
  <si>
    <t>FSRLFD190423</t>
  </si>
  <si>
    <t>NAM TB 0% 130123</t>
  </si>
  <si>
    <t>NAMTB130123</t>
  </si>
  <si>
    <t>15JUN22 ALSI 63000P</t>
  </si>
  <si>
    <t>15SEP22 ALSI 74000C</t>
  </si>
  <si>
    <t>Impala Workers Prov Fund</t>
  </si>
  <si>
    <t>Transport Sector Retirement</t>
  </si>
  <si>
    <t>ZADA00255067</t>
  </si>
  <si>
    <t>ZADA00260075</t>
  </si>
  <si>
    <t>Synthetic Cash_15JUN22 ALSI 63000P</t>
  </si>
  <si>
    <t>Synthetic Cash_15SEP22 ALSI 74000C</t>
  </si>
  <si>
    <t>ABSA NCD 6.325% 200423</t>
  </si>
  <si>
    <t>ABSAN200423</t>
  </si>
  <si>
    <t>ZAM000573575</t>
  </si>
  <si>
    <t>IMPALA</t>
  </si>
  <si>
    <t>BNP Paribas SA JB3+121 BPPF19 191122</t>
  </si>
  <si>
    <t>BPPF19</t>
  </si>
  <si>
    <t>ZAG000164419</t>
  </si>
  <si>
    <t>Nedbank FRN JB3+200 NBK35B 100523</t>
  </si>
  <si>
    <t>NBK35B</t>
  </si>
  <si>
    <t>ZAG000136094</t>
  </si>
  <si>
    <t>Absa FRN JB+42.5 300522</t>
  </si>
  <si>
    <t>ABSAF300522</t>
  </si>
  <si>
    <t>ZAM000558477</t>
  </si>
  <si>
    <t>FirstRand NCD 6.25% 090323</t>
  </si>
  <si>
    <t>FSRN090323</t>
  </si>
  <si>
    <t>ZAM000568856</t>
  </si>
  <si>
    <t>TRSECRF</t>
  </si>
  <si>
    <t>Nedbank London FD 1.96% 191022 B</t>
  </si>
  <si>
    <t>NEDLFD191022B</t>
  </si>
  <si>
    <t>Nedbank London FD 1.96% 191022 C</t>
  </si>
  <si>
    <t>NEDLFD191022C</t>
  </si>
  <si>
    <t>FirstRand London FD 2.72% 190423 B</t>
  </si>
  <si>
    <t>FSRLFD190423B</t>
  </si>
  <si>
    <t>FirstRand London FD 2.72% 190423 C</t>
  </si>
  <si>
    <t>FSRLFD190423C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</si>
</sst>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* #,##0.00_);_(* \(#,##0.00\);_(* &quot;-&quot;??_);_(@_)"/>
    <numFmt numFmtId="165" formatCode="#,##0.0000"/>
    <numFmt numFmtId="166" formatCode="#,##0.000000"/>
    <numFmt numFmtId="167" formatCode="#,##0.00000000"/>
    <numFmt numFmtId="168" formatCode="#,##0.000000000000"/>
    <numFmt numFmtId="169" formatCode="#,##0.00000"/>
    <numFmt numFmtId="170" formatCode="0.0000%"/>
    <numFmt numFmtId="171" formatCode="&quot;R&quot;\ #,##0;[Red]&quot;R&quot;\ \-#,##0"/>
    <numFmt numFmtId="172" formatCode="#,##0.00\ \ ;\(#,##0.00\);\ * &quot;-  &quot;"/>
    <numFmt numFmtId="173" formatCode="_-* #,##0_-;\-* #,##0_-;_-* &quot;-&quot;??_-;_-@_-"/>
    <numFmt numFmtId="174" formatCode="_-* #,##0.0000_-;\-* #,##0.0000_-;_-* &quot;-&quot;??_-;_-@_-"/>
    <numFmt numFmtId="175" formatCode="0.00%\ ;\-0.00%\ ;&quot;-     &quot;"/>
    <numFmt numFmtId="176" formatCode="0.000%"/>
    <numFmt numFmtId="177" formatCode="&quot;R&quot;#,##0_);[Red]\(&quot;R&quot;#,##0\)"/>
    <numFmt numFmtId="178" formatCode="ddd\ d\ mmm\ yyyy"/>
    <numFmt numFmtId="179" formatCode="_(* #,##0_);_(* \(#,##0\);_(* &quot;-&quot;??_);_(@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name val="Trebuchet MS"/>
      <family val="2"/>
    </font>
    <font>
      <u/>
      <sz val="11"/>
      <color theme="10"/>
      <name val="Calibri"/>
      <family val="2"/>
    </font>
    <font>
      <sz val="8"/>
      <color indexed="8"/>
      <name val="Trebuchet MS"/>
      <family val="2"/>
    </font>
    <font>
      <b/>
      <u/>
      <sz val="8"/>
      <name val="Trebuchet MS"/>
      <family val="2"/>
    </font>
    <font>
      <sz val="8"/>
      <name val="Trebuchet MS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Trebuchet MS"/>
      <family val="2"/>
    </font>
    <font>
      <u/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</font>
    <font>
      <u/>
      <sz val="11"/>
      <color rgb="FF000000"/>
      <name val="Calibri"/>
      <family val="2"/>
      <scheme val="minor"/>
    </font>
    <font>
      <b/>
      <u/>
      <sz val="10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0">
    <xf numFmtId="0" fontId="0" fillId="0" borderId="0"/>
    <xf numFmtId="0" fontId="9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0" fontId="12" fillId="0" borderId="0" applyBorder="0"/>
    <xf numFmtId="9" fontId="12" fillId="0" borderId="0" applyFont="0" applyFill="0" applyBorder="0" applyAlignment="0" applyProtection="0"/>
    <xf numFmtId="0" fontId="8" fillId="0" borderId="0"/>
    <xf numFmtId="0" fontId="14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0" fontId="5" fillId="0" borderId="0"/>
    <xf numFmtId="0" fontId="4" fillId="0" borderId="0"/>
    <xf numFmtId="0" fontId="25" fillId="0" borderId="0" applyNumberFormat="0" applyFill="0" applyBorder="0" applyAlignment="0" applyProtection="0"/>
    <xf numFmtId="0" fontId="26" fillId="0" borderId="25" applyNumberFormat="0" applyFill="0" applyAlignment="0" applyProtection="0"/>
    <xf numFmtId="0" fontId="27" fillId="0" borderId="26" applyNumberFormat="0" applyFill="0" applyAlignment="0" applyProtection="0"/>
    <xf numFmtId="0" fontId="28" fillId="0" borderId="2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28" applyNumberFormat="0" applyAlignment="0" applyProtection="0"/>
    <xf numFmtId="0" fontId="33" fillId="12" borderId="29" applyNumberFormat="0" applyAlignment="0" applyProtection="0"/>
    <xf numFmtId="0" fontId="34" fillId="12" borderId="28" applyNumberFormat="0" applyAlignment="0" applyProtection="0"/>
    <xf numFmtId="0" fontId="35" fillId="0" borderId="30" applyNumberFormat="0" applyFill="0" applyAlignment="0" applyProtection="0"/>
    <xf numFmtId="0" fontId="36" fillId="13" borderId="3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1" fillId="0" borderId="33" applyNumberFormat="0" applyFill="0" applyAlignment="0" applyProtection="0"/>
    <xf numFmtId="0" fontId="3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9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14" borderId="32" applyNumberFormat="0" applyFont="0" applyAlignment="0" applyProtection="0"/>
    <xf numFmtId="9" fontId="46" fillId="0" borderId="0" applyFont="0" applyFill="0" applyBorder="0" applyAlignment="0" applyProtection="0"/>
    <xf numFmtId="0" fontId="2" fillId="14" borderId="32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1" fillId="14" borderId="32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217">
    <xf numFmtId="0" fontId="0" fillId="0" borderId="0" xfId="0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4" fontId="0" fillId="0" borderId="0" xfId="0" applyNumberFormat="1"/>
    <xf numFmtId="168" fontId="0" fillId="0" borderId="0" xfId="0" applyNumberFormat="1"/>
    <xf numFmtId="0" fontId="0" fillId="0" borderId="0" xfId="0" applyBorder="1"/>
    <xf numFmtId="0" fontId="8" fillId="0" borderId="0" xfId="0" applyFont="1"/>
    <xf numFmtId="0" fontId="11" fillId="3" borderId="0" xfId="3" quotePrefix="1" applyFont="1" applyFill="1"/>
    <xf numFmtId="0" fontId="13" fillId="0" borderId="0" xfId="5" applyFont="1"/>
    <xf numFmtId="0" fontId="15" fillId="0" borderId="1" xfId="3" applyFont="1" applyBorder="1"/>
    <xf numFmtId="0" fontId="15" fillId="0" borderId="3" xfId="3" applyFont="1" applyBorder="1"/>
    <xf numFmtId="0" fontId="12" fillId="0" borderId="0" xfId="3" applyBorder="1"/>
    <xf numFmtId="0" fontId="12" fillId="0" borderId="0" xfId="3"/>
    <xf numFmtId="0" fontId="16" fillId="4" borderId="0" xfId="5" applyFont="1" applyFill="1"/>
    <xf numFmtId="170" fontId="15" fillId="5" borderId="4" xfId="4" applyNumberFormat="1" applyFont="1" applyFill="1" applyBorder="1"/>
    <xf numFmtId="170" fontId="15" fillId="5" borderId="0" xfId="4" applyNumberFormat="1" applyFont="1" applyFill="1" applyBorder="1"/>
    <xf numFmtId="170" fontId="15" fillId="5" borderId="5" xfId="4" applyNumberFormat="1" applyFont="1" applyFill="1" applyBorder="1"/>
    <xf numFmtId="171" fontId="13" fillId="0" borderId="0" xfId="5" applyNumberFormat="1" applyFont="1" applyAlignment="1">
      <alignment horizontal="right"/>
    </xf>
    <xf numFmtId="164" fontId="17" fillId="4" borderId="6" xfId="7" applyFont="1" applyFill="1" applyBorder="1"/>
    <xf numFmtId="171" fontId="17" fillId="4" borderId="0" xfId="5" applyNumberFormat="1" applyFont="1" applyFill="1"/>
    <xf numFmtId="0" fontId="15" fillId="0" borderId="0" xfId="3" applyFont="1"/>
    <xf numFmtId="170" fontId="15" fillId="0" borderId="4" xfId="4" applyNumberFormat="1" applyFont="1" applyFill="1" applyBorder="1"/>
    <xf numFmtId="170" fontId="15" fillId="0" borderId="0" xfId="4" applyNumberFormat="1" applyFont="1" applyFill="1" applyBorder="1"/>
    <xf numFmtId="170" fontId="15" fillId="0" borderId="5" xfId="4" applyNumberFormat="1" applyFont="1" applyFill="1" applyBorder="1"/>
    <xf numFmtId="164" fontId="17" fillId="4" borderId="8" xfId="7" applyFont="1" applyFill="1" applyBorder="1"/>
    <xf numFmtId="171" fontId="17" fillId="4" borderId="0" xfId="5" applyNumberFormat="1" applyFont="1" applyFill="1" applyAlignment="1">
      <alignment horizontal="left" indent="1"/>
    </xf>
    <xf numFmtId="0" fontId="15" fillId="0" borderId="4" xfId="3" applyFont="1" applyBorder="1"/>
    <xf numFmtId="0" fontId="15" fillId="0" borderId="0" xfId="3" applyFont="1" applyBorder="1"/>
    <xf numFmtId="0" fontId="15" fillId="0" borderId="5" xfId="3" applyFont="1" applyBorder="1"/>
    <xf numFmtId="164" fontId="17" fillId="6" borderId="6" xfId="7" applyFont="1" applyFill="1" applyBorder="1"/>
    <xf numFmtId="164" fontId="17" fillId="4" borderId="9" xfId="7" applyFont="1" applyFill="1" applyBorder="1"/>
    <xf numFmtId="164" fontId="17" fillId="6" borderId="12" xfId="7" applyFont="1" applyFill="1" applyBorder="1"/>
    <xf numFmtId="10" fontId="17" fillId="6" borderId="15" xfId="4" applyNumberFormat="1" applyFont="1" applyFill="1" applyBorder="1"/>
    <xf numFmtId="170" fontId="15" fillId="5" borderId="10" xfId="4" applyNumberFormat="1" applyFont="1" applyFill="1" applyBorder="1"/>
    <xf numFmtId="170" fontId="15" fillId="5" borderId="11" xfId="4" applyNumberFormat="1" applyFont="1" applyFill="1" applyBorder="1"/>
    <xf numFmtId="164" fontId="17" fillId="4" borderId="9" xfId="7" quotePrefix="1" applyFont="1" applyFill="1" applyBorder="1"/>
    <xf numFmtId="0" fontId="6" fillId="0" borderId="0" xfId="3" applyFont="1"/>
    <xf numFmtId="0" fontId="6" fillId="7" borderId="15" xfId="3" applyFont="1" applyFill="1" applyBorder="1" applyAlignment="1">
      <alignment horizontal="right" wrapText="1"/>
    </xf>
    <xf numFmtId="0" fontId="6" fillId="7" borderId="15" xfId="3" applyFont="1" applyFill="1" applyBorder="1" applyAlignment="1">
      <alignment horizontal="center" wrapText="1"/>
    </xf>
    <xf numFmtId="164" fontId="6" fillId="7" borderId="15" xfId="7" applyFont="1" applyFill="1" applyBorder="1" applyAlignment="1">
      <alignment wrapText="1"/>
    </xf>
    <xf numFmtId="164" fontId="6" fillId="7" borderId="15" xfId="7" applyFont="1" applyFill="1" applyBorder="1" applyAlignment="1">
      <alignment horizontal="left" wrapText="1"/>
    </xf>
    <xf numFmtId="170" fontId="0" fillId="0" borderId="0" xfId="0" applyNumberFormat="1"/>
    <xf numFmtId="0" fontId="8" fillId="0" borderId="0" xfId="5"/>
    <xf numFmtId="0" fontId="15" fillId="0" borderId="2" xfId="3" quotePrefix="1" applyFont="1" applyBorder="1"/>
    <xf numFmtId="0" fontId="9" fillId="0" borderId="0" xfId="1"/>
    <xf numFmtId="0" fontId="21" fillId="0" borderId="0" xfId="9" applyFont="1"/>
    <xf numFmtId="164" fontId="21" fillId="0" borderId="0" xfId="7" applyFont="1"/>
    <xf numFmtId="0" fontId="14" fillId="0" borderId="0" xfId="6"/>
    <xf numFmtId="177" fontId="21" fillId="0" borderId="0" xfId="9" applyNumberFormat="1" applyFont="1"/>
    <xf numFmtId="0" fontId="22" fillId="0" borderId="18" xfId="9" applyFont="1" applyBorder="1"/>
    <xf numFmtId="0" fontId="22" fillId="0" borderId="19" xfId="9" applyFont="1" applyBorder="1"/>
    <xf numFmtId="0" fontId="23" fillId="0" borderId="19" xfId="9" applyFont="1" applyBorder="1"/>
    <xf numFmtId="0" fontId="22" fillId="0" borderId="20" xfId="9" applyFont="1" applyBorder="1"/>
    <xf numFmtId="0" fontId="22" fillId="0" borderId="21" xfId="9" applyFont="1" applyBorder="1"/>
    <xf numFmtId="0" fontId="22" fillId="0" borderId="0" xfId="9" applyFont="1"/>
    <xf numFmtId="0" fontId="23" fillId="0" borderId="0" xfId="9" applyFont="1"/>
    <xf numFmtId="0" fontId="22" fillId="0" borderId="22" xfId="9" applyFont="1" applyBorder="1"/>
    <xf numFmtId="0" fontId="22" fillId="0" borderId="23" xfId="9" applyFont="1" applyBorder="1"/>
    <xf numFmtId="0" fontId="22" fillId="0" borderId="7" xfId="9" applyFont="1" applyBorder="1"/>
    <xf numFmtId="0" fontId="23" fillId="0" borderId="7" xfId="9" applyFont="1" applyBorder="1"/>
    <xf numFmtId="0" fontId="22" fillId="0" borderId="24" xfId="9" applyFont="1" applyBorder="1"/>
    <xf numFmtId="0" fontId="24" fillId="0" borderId="0" xfId="0" applyFont="1"/>
    <xf numFmtId="0" fontId="40" fillId="0" borderId="0" xfId="3" applyFont="1"/>
    <xf numFmtId="172" fontId="40" fillId="0" borderId="0" xfId="3" applyNumberFormat="1" applyFont="1" applyBorder="1"/>
    <xf numFmtId="10" fontId="41" fillId="0" borderId="0" xfId="4" applyNumberFormat="1" applyFont="1" applyBorder="1"/>
    <xf numFmtId="10" fontId="41" fillId="0" borderId="16" xfId="4" applyNumberFormat="1" applyFont="1" applyBorder="1"/>
    <xf numFmtId="10" fontId="19" fillId="0" borderId="7" xfId="4" applyNumberFormat="1" applyFont="1" applyBorder="1"/>
    <xf numFmtId="10" fontId="19" fillId="0" borderId="0" xfId="4" applyNumberFormat="1" applyFont="1" applyBorder="1"/>
    <xf numFmtId="10" fontId="19" fillId="0" borderId="3" xfId="4" applyNumberFormat="1" applyFont="1" applyBorder="1"/>
    <xf numFmtId="10" fontId="19" fillId="0" borderId="5" xfId="4" applyNumberFormat="1" applyFont="1" applyBorder="1"/>
    <xf numFmtId="10" fontId="19" fillId="0" borderId="11" xfId="4" applyNumberFormat="1" applyFont="1" applyBorder="1"/>
    <xf numFmtId="10" fontId="19" fillId="0" borderId="14" xfId="4" applyNumberFormat="1" applyFont="1" applyBorder="1"/>
    <xf numFmtId="164" fontId="15" fillId="0" borderId="0" xfId="2" applyFont="1" applyBorder="1"/>
    <xf numFmtId="164" fontId="17" fillId="6" borderId="16" xfId="7" applyFont="1" applyFill="1" applyBorder="1"/>
    <xf numFmtId="22" fontId="0" fillId="0" borderId="0" xfId="0" applyNumberFormat="1" applyBorder="1"/>
    <xf numFmtId="4" fontId="8" fillId="0" borderId="0" xfId="5" applyNumberFormat="1"/>
    <xf numFmtId="169" fontId="8" fillId="0" borderId="0" xfId="5" applyNumberFormat="1"/>
    <xf numFmtId="164" fontId="42" fillId="7" borderId="15" xfId="7" applyFont="1" applyFill="1" applyBorder="1" applyAlignment="1">
      <alignment horizontal="right"/>
    </xf>
    <xf numFmtId="173" fontId="42" fillId="7" borderId="15" xfId="7" applyNumberFormat="1" applyFont="1" applyFill="1" applyBorder="1" applyAlignment="1"/>
    <xf numFmtId="164" fontId="42" fillId="7" borderId="15" xfId="7" applyFont="1" applyFill="1" applyBorder="1" applyAlignment="1">
      <alignment horizontal="center"/>
    </xf>
    <xf numFmtId="174" fontId="42" fillId="7" borderId="15" xfId="7" applyNumberFormat="1" applyFont="1" applyFill="1" applyBorder="1" applyAlignment="1"/>
    <xf numFmtId="0" fontId="12" fillId="0" borderId="15" xfId="3" applyFont="1" applyBorder="1"/>
    <xf numFmtId="164" fontId="42" fillId="7" borderId="0" xfId="7" applyFont="1" applyFill="1" applyBorder="1" applyAlignment="1">
      <alignment horizontal="right"/>
    </xf>
    <xf numFmtId="173" fontId="42" fillId="7" borderId="0" xfId="7" applyNumberFormat="1" applyFont="1" applyFill="1" applyBorder="1" applyAlignment="1"/>
    <xf numFmtId="164" fontId="42" fillId="7" borderId="0" xfId="7" applyFont="1" applyFill="1" applyBorder="1" applyAlignment="1">
      <alignment horizontal="center"/>
    </xf>
    <xf numFmtId="174" fontId="42" fillId="7" borderId="0" xfId="7" applyNumberFormat="1" applyFont="1" applyFill="1" applyBorder="1" applyAlignment="1"/>
    <xf numFmtId="0" fontId="12" fillId="0" borderId="0" xfId="3" applyFont="1" applyBorder="1"/>
    <xf numFmtId="164" fontId="42" fillId="0" borderId="15" xfId="7" applyFont="1" applyFill="1" applyBorder="1" applyAlignment="1">
      <alignment horizontal="right"/>
    </xf>
    <xf numFmtId="0" fontId="12" fillId="0" borderId="0" xfId="3" applyFont="1"/>
    <xf numFmtId="164" fontId="42" fillId="7" borderId="15" xfId="7" applyFont="1" applyFill="1" applyBorder="1"/>
    <xf numFmtId="164" fontId="42" fillId="7" borderId="15" xfId="7" applyFont="1" applyFill="1" applyBorder="1" applyAlignment="1">
      <alignment horizontal="left"/>
    </xf>
    <xf numFmtId="175" fontId="42" fillId="7" borderId="15" xfId="7" applyNumberFormat="1" applyFont="1" applyFill="1" applyBorder="1"/>
    <xf numFmtId="164" fontId="42" fillId="0" borderId="15" xfId="7" applyFont="1" applyFill="1" applyBorder="1" applyAlignment="1">
      <alignment horizontal="left"/>
    </xf>
    <xf numFmtId="164" fontId="42" fillId="7" borderId="0" xfId="7" applyFont="1" applyFill="1" applyBorder="1"/>
    <xf numFmtId="164" fontId="42" fillId="7" borderId="0" xfId="7" applyFont="1" applyFill="1" applyBorder="1" applyAlignment="1">
      <alignment horizontal="left"/>
    </xf>
    <xf numFmtId="175" fontId="42" fillId="7" borderId="0" xfId="7" applyNumberFormat="1" applyFont="1" applyFill="1" applyBorder="1"/>
    <xf numFmtId="0" fontId="40" fillId="0" borderId="0" xfId="3" applyFont="1" applyAlignment="1">
      <alignment horizontal="center"/>
    </xf>
    <xf numFmtId="0" fontId="40" fillId="0" borderId="0" xfId="3" applyFont="1" applyAlignment="1">
      <alignment horizontal="right"/>
    </xf>
    <xf numFmtId="164" fontId="40" fillId="0" borderId="16" xfId="3" applyNumberFormat="1" applyFont="1" applyBorder="1"/>
    <xf numFmtId="164" fontId="40" fillId="0" borderId="17" xfId="3" applyNumberFormat="1" applyFont="1" applyBorder="1"/>
    <xf numFmtId="164" fontId="40" fillId="0" borderId="12" xfId="3" applyNumberFormat="1" applyFont="1" applyBorder="1"/>
    <xf numFmtId="176" fontId="19" fillId="6" borderId="0" xfId="4" applyNumberFormat="1" applyFont="1" applyFill="1" applyBorder="1"/>
    <xf numFmtId="176" fontId="40" fillId="0" borderId="0" xfId="3" applyNumberFormat="1" applyFont="1"/>
    <xf numFmtId="164" fontId="40" fillId="0" borderId="0" xfId="3" applyNumberFormat="1" applyFont="1" applyBorder="1"/>
    <xf numFmtId="170" fontId="40" fillId="0" borderId="0" xfId="3" applyNumberFormat="1" applyFont="1" applyBorder="1"/>
    <xf numFmtId="0" fontId="40" fillId="0" borderId="0" xfId="3" applyFont="1" applyAlignment="1">
      <alignment horizontal="left" indent="1"/>
    </xf>
    <xf numFmtId="164" fontId="40" fillId="0" borderId="4" xfId="3" applyNumberFormat="1" applyFont="1" applyBorder="1"/>
    <xf numFmtId="164" fontId="40" fillId="0" borderId="10" xfId="3" applyNumberFormat="1" applyFont="1" applyBorder="1"/>
    <xf numFmtId="170" fontId="19" fillId="0" borderId="16" xfId="4" applyNumberFormat="1" applyFont="1" applyBorder="1"/>
    <xf numFmtId="170" fontId="19" fillId="0" borderId="17" xfId="4" applyNumberFormat="1" applyFont="1" applyBorder="1"/>
    <xf numFmtId="176" fontId="19" fillId="0" borderId="0" xfId="4" applyNumberFormat="1" applyFont="1" applyBorder="1"/>
    <xf numFmtId="165" fontId="8" fillId="0" borderId="0" xfId="5" applyNumberFormat="1"/>
    <xf numFmtId="166" fontId="8" fillId="0" borderId="0" xfId="5" applyNumberFormat="1"/>
    <xf numFmtId="167" fontId="8" fillId="0" borderId="0" xfId="5" applyNumberFormat="1"/>
    <xf numFmtId="14" fontId="8" fillId="0" borderId="0" xfId="5" applyNumberFormat="1"/>
    <xf numFmtId="168" fontId="8" fillId="0" borderId="0" xfId="5" applyNumberFormat="1"/>
    <xf numFmtId="0" fontId="41" fillId="2" borderId="0" xfId="3" applyFont="1" applyFill="1" applyBorder="1" applyAlignment="1">
      <alignment horizontal="center" wrapText="1"/>
    </xf>
    <xf numFmtId="0" fontId="11" fillId="3" borderId="34" xfId="6" applyFont="1" applyFill="1" applyBorder="1"/>
    <xf numFmtId="0" fontId="41" fillId="2" borderId="34" xfId="3" applyFont="1" applyFill="1" applyBorder="1" applyAlignment="1">
      <alignment horizontal="center" wrapText="1"/>
    </xf>
    <xf numFmtId="172" fontId="40" fillId="0" borderId="7" xfId="3" applyNumberFormat="1" applyFont="1" applyBorder="1"/>
    <xf numFmtId="172" fontId="40" fillId="0" borderId="2" xfId="3" applyNumberFormat="1" applyFont="1" applyBorder="1"/>
    <xf numFmtId="172" fontId="40" fillId="0" borderId="4" xfId="3" applyNumberFormat="1" applyFont="1" applyBorder="1"/>
    <xf numFmtId="172" fontId="40" fillId="0" borderId="10" xfId="3" applyNumberFormat="1" applyFont="1" applyBorder="1"/>
    <xf numFmtId="0" fontId="40" fillId="0" borderId="0" xfId="3" applyFont="1" applyAlignment="1">
      <alignment wrapText="1"/>
    </xf>
    <xf numFmtId="172" fontId="40" fillId="0" borderId="13" xfId="3" applyNumberFormat="1" applyFont="1" applyBorder="1"/>
    <xf numFmtId="0" fontId="40" fillId="0" borderId="0" xfId="3" applyFont="1" applyAlignment="1">
      <alignment horizontal="left"/>
    </xf>
    <xf numFmtId="172" fontId="40" fillId="0" borderId="10" xfId="3" quotePrefix="1" applyNumberFormat="1" applyFont="1" applyBorder="1"/>
    <xf numFmtId="172" fontId="41" fillId="0" borderId="0" xfId="3" applyNumberFormat="1" applyFont="1" applyBorder="1"/>
    <xf numFmtId="0" fontId="40" fillId="0" borderId="0" xfId="3" applyFont="1" applyAlignment="1">
      <alignment horizontal="left" indent="2"/>
    </xf>
    <xf numFmtId="0" fontId="40" fillId="0" borderId="0" xfId="3" applyFont="1" applyBorder="1"/>
    <xf numFmtId="172" fontId="41" fillId="0" borderId="16" xfId="3" applyNumberFormat="1" applyFont="1" applyBorder="1"/>
    <xf numFmtId="0" fontId="40" fillId="0" borderId="0" xfId="3" applyFont="1" applyBorder="1" applyAlignment="1">
      <alignment horizontal="left" indent="1"/>
    </xf>
    <xf numFmtId="0" fontId="40" fillId="0" borderId="0" xfId="3" applyFont="1" applyBorder="1" applyAlignment="1">
      <alignment horizontal="left" indent="2"/>
    </xf>
    <xf numFmtId="0" fontId="40" fillId="0" borderId="0" xfId="3" quotePrefix="1" applyFont="1"/>
    <xf numFmtId="0" fontId="9" fillId="0" borderId="0" xfId="1" applyBorder="1"/>
    <xf numFmtId="170" fontId="40" fillId="0" borderId="3" xfId="3" applyNumberFormat="1" applyFont="1" applyBorder="1"/>
    <xf numFmtId="170" fontId="40" fillId="0" borderId="5" xfId="3" applyNumberFormat="1" applyFont="1" applyBorder="1"/>
    <xf numFmtId="170" fontId="40" fillId="0" borderId="11" xfId="3" applyNumberFormat="1" applyFont="1" applyBorder="1"/>
    <xf numFmtId="170" fontId="40" fillId="0" borderId="0" xfId="3" applyNumberFormat="1" applyFont="1"/>
    <xf numFmtId="164" fontId="40" fillId="0" borderId="2" xfId="3" applyNumberFormat="1" applyFont="1" applyBorder="1"/>
    <xf numFmtId="0" fontId="45" fillId="0" borderId="0" xfId="0" applyFont="1" applyFill="1" applyBorder="1"/>
    <xf numFmtId="0" fontId="8" fillId="0" borderId="0" xfId="0" applyFont="1" applyBorder="1" applyAlignment="1">
      <alignment horizontal="left" indent="1"/>
    </xf>
    <xf numFmtId="0" fontId="8" fillId="0" borderId="0" xfId="0" applyFont="1" applyFill="1" applyBorder="1" applyAlignment="1">
      <alignment horizontal="left" indent="1"/>
    </xf>
    <xf numFmtId="0" fontId="8" fillId="0" borderId="0" xfId="0" applyFont="1" applyBorder="1" applyAlignment="1">
      <alignment horizontal="left" indent="2"/>
    </xf>
    <xf numFmtId="0" fontId="8" fillId="0" borderId="0" xfId="0" applyFont="1" applyFill="1" applyBorder="1" applyAlignment="1">
      <alignment horizontal="left" indent="2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9" fillId="0" borderId="0" xfId="1" applyAlignment="1">
      <alignment horizontal="left"/>
    </xf>
    <xf numFmtId="170" fontId="9" fillId="0" borderId="0" xfId="1" applyNumberFormat="1" applyAlignment="1">
      <alignment horizontal="left"/>
    </xf>
    <xf numFmtId="4" fontId="9" fillId="0" borderId="0" xfId="1" applyNumberFormat="1"/>
    <xf numFmtId="0" fontId="8" fillId="39" borderId="0" xfId="5" applyFill="1"/>
    <xf numFmtId="10" fontId="19" fillId="0" borderId="35" xfId="4" applyNumberFormat="1" applyFont="1" applyBorder="1"/>
    <xf numFmtId="172" fontId="40" fillId="0" borderId="0" xfId="3" quotePrefix="1" applyNumberFormat="1" applyFont="1" applyBorder="1"/>
    <xf numFmtId="172" fontId="40" fillId="0" borderId="35" xfId="3" applyNumberFormat="1" applyFont="1" applyBorder="1"/>
    <xf numFmtId="170" fontId="40" fillId="0" borderId="0" xfId="51" applyNumberFormat="1" applyFont="1"/>
    <xf numFmtId="169" fontId="0" fillId="0" borderId="0" xfId="0" applyNumberFormat="1"/>
    <xf numFmtId="178" fontId="0" fillId="0" borderId="0" xfId="0" applyNumberFormat="1"/>
    <xf numFmtId="0" fontId="8" fillId="0" borderId="0" xfId="0" applyFont="1" applyAlignment="1">
      <alignment vertical="center" wrapText="1"/>
    </xf>
    <xf numFmtId="14" fontId="0" fillId="0" borderId="0" xfId="0" applyNumberFormat="1" applyBorder="1"/>
    <xf numFmtId="0" fontId="44" fillId="0" borderId="36" xfId="1" applyFont="1" applyBorder="1"/>
    <xf numFmtId="0" fontId="44" fillId="3" borderId="0" xfId="1" applyFont="1" applyFill="1" applyBorder="1"/>
    <xf numFmtId="179" fontId="0" fillId="0" borderId="0" xfId="2" applyNumberFormat="1" applyFont="1"/>
    <xf numFmtId="179" fontId="8" fillId="0" borderId="0" xfId="2" applyNumberFormat="1" applyFont="1"/>
    <xf numFmtId="0" fontId="45" fillId="3" borderId="0" xfId="0" applyFont="1" applyFill="1" applyAlignment="1">
      <alignment horizontal="center" vertical="top" wrapText="1"/>
    </xf>
    <xf numFmtId="179" fontId="45" fillId="3" borderId="0" xfId="2" applyNumberFormat="1" applyFont="1" applyFill="1" applyAlignment="1">
      <alignment horizontal="center" vertical="top" wrapText="1"/>
    </xf>
    <xf numFmtId="0" fontId="45" fillId="3" borderId="0" xfId="0" applyFont="1" applyFill="1" applyAlignment="1">
      <alignment vertical="top" wrapText="1"/>
    </xf>
    <xf numFmtId="0" fontId="8" fillId="0" borderId="0" xfId="2" quotePrefix="1" applyNumberFormat="1" applyFont="1" applyAlignment="1">
      <alignment vertical="top"/>
    </xf>
    <xf numFmtId="0" fontId="0" fillId="0" borderId="0" xfId="0" applyAlignment="1">
      <alignment vertical="top"/>
    </xf>
    <xf numFmtId="0" fontId="45" fillId="3" borderId="0" xfId="0" applyFont="1" applyFill="1" applyAlignment="1">
      <alignment horizontal="left" wrapText="1"/>
    </xf>
    <xf numFmtId="0" fontId="47" fillId="0" borderId="0" xfId="1" applyFont="1" applyFill="1" applyBorder="1"/>
    <xf numFmtId="0" fontId="39" fillId="0" borderId="0" xfId="3" applyFont="1"/>
    <xf numFmtId="0" fontId="48" fillId="0" borderId="0" xfId="3" applyFont="1" applyAlignment="1">
      <alignment horizontal="center"/>
    </xf>
    <xf numFmtId="164" fontId="40" fillId="0" borderId="0" xfId="2" applyFont="1"/>
    <xf numFmtId="172" fontId="40" fillId="0" borderId="4" xfId="3" quotePrefix="1" applyNumberFormat="1" applyFont="1" applyBorder="1"/>
    <xf numFmtId="0" fontId="15" fillId="0" borderId="2" xfId="3" applyFont="1" applyBorder="1" applyAlignment="1">
      <alignment horizontal="right"/>
    </xf>
    <xf numFmtId="170" fontId="15" fillId="0" borderId="4" xfId="3" applyNumberFormat="1" applyFont="1" applyBorder="1"/>
    <xf numFmtId="0" fontId="15" fillId="0" borderId="4" xfId="3" applyFont="1" applyBorder="1" applyAlignment="1">
      <alignment horizontal="right"/>
    </xf>
    <xf numFmtId="170" fontId="15" fillId="0" borderId="10" xfId="3" applyNumberFormat="1" applyFont="1" applyBorder="1"/>
    <xf numFmtId="0" fontId="15" fillId="0" borderId="4" xfId="3" quotePrefix="1" applyFont="1" applyBorder="1"/>
    <xf numFmtId="43" fontId="40" fillId="0" borderId="0" xfId="3" applyNumberFormat="1" applyFont="1" applyBorder="1"/>
    <xf numFmtId="43" fontId="41" fillId="0" borderId="0" xfId="3" applyNumberFormat="1" applyFont="1" applyBorder="1"/>
    <xf numFmtId="170" fontId="41" fillId="0" borderId="0" xfId="3" applyNumberFormat="1" applyFont="1" applyBorder="1"/>
    <xf numFmtId="0" fontId="41" fillId="0" borderId="0" xfId="3" applyFont="1"/>
    <xf numFmtId="0" fontId="41" fillId="0" borderId="0" xfId="3" applyFont="1" applyAlignment="1">
      <alignment horizontal="left"/>
    </xf>
    <xf numFmtId="164" fontId="40" fillId="0" borderId="0" xfId="3" applyNumberFormat="1" applyFont="1"/>
    <xf numFmtId="164" fontId="40" fillId="0" borderId="2" xfId="2" applyFont="1" applyFill="1" applyBorder="1"/>
    <xf numFmtId="164" fontId="40" fillId="0" borderId="3" xfId="2" applyFont="1" applyFill="1" applyBorder="1"/>
    <xf numFmtId="164" fontId="40" fillId="0" borderId="4" xfId="2" applyFont="1" applyFill="1" applyBorder="1"/>
    <xf numFmtId="164" fontId="40" fillId="0" borderId="5" xfId="2" applyFont="1" applyFill="1" applyBorder="1"/>
    <xf numFmtId="164" fontId="40" fillId="0" borderId="10" xfId="2" applyFont="1" applyFill="1" applyBorder="1"/>
    <xf numFmtId="164" fontId="40" fillId="0" borderId="11" xfId="2" applyFont="1" applyFill="1" applyBorder="1"/>
    <xf numFmtId="164" fontId="40" fillId="0" borderId="3" xfId="3" applyNumberFormat="1" applyFont="1" applyBorder="1"/>
    <xf numFmtId="164" fontId="40" fillId="0" borderId="5" xfId="3" applyNumberFormat="1" applyFont="1" applyBorder="1"/>
    <xf numFmtId="164" fontId="40" fillId="0" borderId="11" xfId="3" applyNumberFormat="1" applyFont="1" applyBorder="1"/>
    <xf numFmtId="0" fontId="40" fillId="0" borderId="0" xfId="3" quotePrefix="1" applyFont="1" applyAlignment="1">
      <alignment horizontal="left" indent="1"/>
    </xf>
    <xf numFmtId="164" fontId="40" fillId="0" borderId="2" xfId="2" applyFont="1" applyBorder="1"/>
    <xf numFmtId="164" fontId="40" fillId="0" borderId="3" xfId="2" applyFont="1" applyBorder="1"/>
    <xf numFmtId="164" fontId="40" fillId="0" borderId="10" xfId="2" applyFont="1" applyBorder="1"/>
    <xf numFmtId="164" fontId="40" fillId="0" borderId="11" xfId="2" applyFont="1" applyBorder="1"/>
    <xf numFmtId="164" fontId="41" fillId="0" borderId="0" xfId="3" applyNumberFormat="1" applyFont="1"/>
    <xf numFmtId="0" fontId="48" fillId="0" borderId="0" xfId="3" applyFont="1" applyAlignment="1">
      <alignment horizontal="left"/>
    </xf>
    <xf numFmtId="0" fontId="15" fillId="0" borderId="9" xfId="3" applyFont="1" applyBorder="1"/>
    <xf numFmtId="170" fontId="15" fillId="5" borderId="37" xfId="4" applyNumberFormat="1" applyFont="1" applyFill="1" applyBorder="1"/>
    <xf numFmtId="0" fontId="45" fillId="3" borderId="0" xfId="2" quotePrefix="1" applyNumberFormat="1" applyFont="1" applyFill="1" applyAlignment="1">
      <alignment vertical="top" wrapText="1"/>
    </xf>
    <xf numFmtId="0" fontId="6" fillId="2" borderId="38" xfId="0" applyFont="1" applyFill="1" applyBorder="1" applyAlignment="1">
      <alignment horizontal="center"/>
    </xf>
    <xf numFmtId="0" fontId="12" fillId="0" borderId="0" xfId="3"/>
    <xf numFmtId="0" fontId="6" fillId="2" borderId="38" xfId="3" applyNumberFormat="1" applyFont="1" applyFill="1" applyBorder="1" applyAlignment="1" applyProtection="1">
      <alignment horizontal="center"/>
    </xf>
    <xf numFmtId="165" fontId="12" fillId="0" borderId="0" xfId="3" applyNumberFormat="1" applyFill="1" applyAlignment="1" applyProtection="1"/>
    <xf numFmtId="4" fontId="12" fillId="0" borderId="0" xfId="3" applyNumberFormat="1" applyFill="1" applyAlignment="1" applyProtection="1"/>
    <xf numFmtId="166" fontId="12" fillId="0" borderId="0" xfId="3" applyNumberFormat="1" applyFill="1" applyAlignment="1" applyProtection="1"/>
    <xf numFmtId="167" fontId="12" fillId="0" borderId="0" xfId="3" applyNumberFormat="1" applyFill="1" applyAlignment="1" applyProtection="1"/>
    <xf numFmtId="14" fontId="12" fillId="0" borderId="0" xfId="3" applyNumberFormat="1" applyFill="1" applyAlignment="1" applyProtection="1"/>
    <xf numFmtId="168" fontId="12" fillId="0" borderId="0" xfId="3" applyNumberFormat="1" applyFill="1" applyAlignment="1" applyProtection="1"/>
    <xf numFmtId="0" fontId="6" fillId="2" borderId="39" xfId="0" applyFont="1" applyFill="1" applyBorder="1" applyAlignment="1">
      <alignment horizontal="center"/>
    </xf>
  </cellXfs>
  <cellStyles count="90">
    <cellStyle name="20% - Accent1" xfId="27" builtinId="30" customBuiltin="1"/>
    <cellStyle name="20% - Accent1 2" xfId="53" xr:uid="{0F1DBE2A-1F0C-441E-B066-12EDC9A52619}"/>
    <cellStyle name="20% - Accent1 3" xfId="72" xr:uid="{2B6E5399-ECA6-44B6-B325-AE67120CE8F5}"/>
    <cellStyle name="20% - Accent2" xfId="31" builtinId="34" customBuiltin="1"/>
    <cellStyle name="20% - Accent2 2" xfId="56" xr:uid="{1DF1D605-1029-42C5-90D2-A9015A25F02F}"/>
    <cellStyle name="20% - Accent2 3" xfId="75" xr:uid="{8E1D0692-CC00-40A5-91AE-982B90B01C00}"/>
    <cellStyle name="20% - Accent3" xfId="35" builtinId="38" customBuiltin="1"/>
    <cellStyle name="20% - Accent3 2" xfId="59" xr:uid="{44F3CAAE-4529-400C-878A-F29C0BA666B3}"/>
    <cellStyle name="20% - Accent3 3" xfId="78" xr:uid="{65A64FCF-DFA4-4CEC-AF8E-49366A8E9DFC}"/>
    <cellStyle name="20% - Accent4" xfId="39" builtinId="42" customBuiltin="1"/>
    <cellStyle name="20% - Accent4 2" xfId="62" xr:uid="{E5423FB5-8E57-4753-8F42-41ED5F3F45D0}"/>
    <cellStyle name="20% - Accent4 3" xfId="81" xr:uid="{36531D5C-F92F-406E-A6BA-A943F9306356}"/>
    <cellStyle name="20% - Accent5" xfId="43" builtinId="46" customBuiltin="1"/>
    <cellStyle name="20% - Accent5 2" xfId="65" xr:uid="{0C2C12DB-554C-46F1-B3B8-FB3F3A226BFB}"/>
    <cellStyle name="20% - Accent5 3" xfId="84" xr:uid="{263D9220-C983-4E9C-9ABB-99250389925A}"/>
    <cellStyle name="20% - Accent6" xfId="47" builtinId="50" customBuiltin="1"/>
    <cellStyle name="20% - Accent6 2" xfId="68" xr:uid="{4596741C-90B3-4CEA-A68E-989B4B4B4C53}"/>
    <cellStyle name="20% - Accent6 3" xfId="87" xr:uid="{D8C236E0-8B3C-4258-98AD-59E6DDD30BD9}"/>
    <cellStyle name="40% - Accent1" xfId="28" builtinId="31" customBuiltin="1"/>
    <cellStyle name="40% - Accent1 2" xfId="54" xr:uid="{AC1593B2-183B-4ED1-94C2-85A7F52BC549}"/>
    <cellStyle name="40% - Accent1 3" xfId="73" xr:uid="{74D8D601-CA0D-4F4B-8176-7408B9B65298}"/>
    <cellStyle name="40% - Accent2" xfId="32" builtinId="35" customBuiltin="1"/>
    <cellStyle name="40% - Accent2 2" xfId="57" xr:uid="{DB051FC0-A55C-45F8-B1F3-9B111FE96EAA}"/>
    <cellStyle name="40% - Accent2 3" xfId="76" xr:uid="{A0ACAE9D-31BE-4B9B-B9C8-09184B50D83B}"/>
    <cellStyle name="40% - Accent3" xfId="36" builtinId="39" customBuiltin="1"/>
    <cellStyle name="40% - Accent3 2" xfId="60" xr:uid="{C87CD9B9-9F74-427E-8305-40CC46FED6CC}"/>
    <cellStyle name="40% - Accent3 3" xfId="79" xr:uid="{707EEDEB-9ABA-478D-B2C4-6422DF99B3E0}"/>
    <cellStyle name="40% - Accent4" xfId="40" builtinId="43" customBuiltin="1"/>
    <cellStyle name="40% - Accent4 2" xfId="63" xr:uid="{713BC0FE-EB95-47CB-8950-D2E6F6CFC197}"/>
    <cellStyle name="40% - Accent4 3" xfId="82" xr:uid="{571E096E-DA00-467A-A830-FADBEBCFBC08}"/>
    <cellStyle name="40% - Accent5" xfId="44" builtinId="47" customBuiltin="1"/>
    <cellStyle name="40% - Accent5 2" xfId="66" xr:uid="{AA056A2D-FE6B-41CE-928B-8CB115C674B1}"/>
    <cellStyle name="40% - Accent5 3" xfId="85" xr:uid="{E3584884-B69D-4E0E-AB04-8599C2636022}"/>
    <cellStyle name="40% - Accent6" xfId="48" builtinId="51" customBuiltin="1"/>
    <cellStyle name="40% - Accent6 2" xfId="69" xr:uid="{D8E11119-CABE-42B2-BA74-DE0AF87F5B86}"/>
    <cellStyle name="40% - Accent6 3" xfId="88" xr:uid="{68710B82-97DA-4A05-9092-1CE0C5A11F79}"/>
    <cellStyle name="60% - Accent1" xfId="29" builtinId="32" customBuiltin="1"/>
    <cellStyle name="60% - Accent1 2" xfId="55" xr:uid="{DA7E9FE1-4EA7-4944-86DD-66A0A606CB40}"/>
    <cellStyle name="60% - Accent1 3" xfId="74" xr:uid="{9BEC743C-EC7F-4254-9330-C124F1905D6D}"/>
    <cellStyle name="60% - Accent2" xfId="33" builtinId="36" customBuiltin="1"/>
    <cellStyle name="60% - Accent2 2" xfId="58" xr:uid="{F121DD5E-C29A-43F2-BBCF-0F293C84AD63}"/>
    <cellStyle name="60% - Accent2 3" xfId="77" xr:uid="{6C4C0AEC-7CDA-49EB-9944-DD7B1252A312}"/>
    <cellStyle name="60% - Accent3" xfId="37" builtinId="40" customBuiltin="1"/>
    <cellStyle name="60% - Accent3 2" xfId="61" xr:uid="{7AB7F617-1452-4B08-942E-3682E9B56C91}"/>
    <cellStyle name="60% - Accent3 3" xfId="80" xr:uid="{85E49440-FBC2-44C5-940C-742EF9A04A39}"/>
    <cellStyle name="60% - Accent4" xfId="41" builtinId="44" customBuiltin="1"/>
    <cellStyle name="60% - Accent4 2" xfId="64" xr:uid="{ECD9B0CD-2867-4B8C-9EE0-8C171472AEFF}"/>
    <cellStyle name="60% - Accent4 3" xfId="83" xr:uid="{825D297C-2BAC-41DE-823D-AF868A608FE2}"/>
    <cellStyle name="60% - Accent5" xfId="45" builtinId="48" customBuiltin="1"/>
    <cellStyle name="60% - Accent5 2" xfId="67" xr:uid="{57C529EE-720C-4AC8-913E-033EE515320B}"/>
    <cellStyle name="60% - Accent5 3" xfId="86" xr:uid="{560F356B-E410-4B7D-A685-DB1A7BECB38B}"/>
    <cellStyle name="60% - Accent6" xfId="49" builtinId="52" customBuiltin="1"/>
    <cellStyle name="60% - Accent6 2" xfId="70" xr:uid="{48ECBAA9-ACFE-4330-A896-7AC97736321C}"/>
    <cellStyle name="60% - Accent6 3" xfId="89" xr:uid="{F9E4ADB9-8287-43EF-B395-24F9D6A959FF}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" xfId="2" builtinId="3"/>
    <cellStyle name="Comma 2" xfId="7" xr:uid="{1F686FE8-E1A4-4E5C-9C48-EA06192BD89E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1" builtinId="8"/>
    <cellStyle name="Hyperlink 2" xfId="6" xr:uid="{BD16C4CB-BA31-4F7A-9159-DB96F74F80D8}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3" xr:uid="{1B1880E1-820D-4EF2-B675-A2FBBF275EA9}"/>
    <cellStyle name="Normal 2 2" xfId="5" xr:uid="{0DFD4AF9-D817-4402-85A0-88FD3AA104FE}"/>
    <cellStyle name="Normal 5" xfId="8" xr:uid="{74B7F916-7516-4E84-A025-51B82D9DD659}"/>
    <cellStyle name="Normal 5 2" xfId="9" xr:uid="{E3C1CA73-ACDC-42F6-B746-C40159E2B8E9}"/>
    <cellStyle name="Note 2" xfId="50" xr:uid="{F3D2F0BC-EB02-4F39-844E-F7C9C3043A3B}"/>
    <cellStyle name="Note 3" xfId="52" xr:uid="{0E069B5C-77F9-49C7-B6AA-6FA06AE47DEB}"/>
    <cellStyle name="Note 4" xfId="71" xr:uid="{FE9FE001-3685-4A34-837E-25244D218D51}"/>
    <cellStyle name="Output" xfId="19" builtinId="21" customBuiltin="1"/>
    <cellStyle name="Percent" xfId="51" builtinId="5"/>
    <cellStyle name="Percent 2" xfId="4" xr:uid="{084F6482-4B68-4BFB-BDA3-15160208314F}"/>
    <cellStyle name="Title" xfId="10" builtinId="15" customBuiltin="1"/>
    <cellStyle name="Total" xfId="25" builtinId="25" customBuiltin="1"/>
    <cellStyle name="Warning Text" xfId="23" builtinId="11" customBuiltin="1"/>
  </cellStyles>
  <dxfs count="43"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33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theme="0"/>
      </font>
    </dxf>
    <dxf>
      <font>
        <color theme="0"/>
      </font>
      <numFmt numFmtId="0" formatCode="General"/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1"/>
      </font>
      <fill>
        <patternFill patternType="solid">
          <fgColor auto="1"/>
          <bgColor rgb="FF00FF00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 patternType="solid">
          <fgColor auto="1"/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99C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76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74.xml"/><Relationship Id="rId89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87" Type="http://schemas.openxmlformats.org/officeDocument/2006/relationships/externalLink" Target="externalLinks/externalLink7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90" Type="http://schemas.openxmlformats.org/officeDocument/2006/relationships/sharedStrings" Target="sharedStrings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77" Type="http://schemas.openxmlformats.org/officeDocument/2006/relationships/externalLink" Target="externalLinks/externalLink6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83" Type="http://schemas.openxmlformats.org/officeDocument/2006/relationships/externalLink" Target="externalLinks/externalLink73.xml"/><Relationship Id="rId88" Type="http://schemas.openxmlformats.org/officeDocument/2006/relationships/theme" Target="theme/theme1.xml"/><Relationship Id="rId9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38100</xdr:rowOff>
        </xdr:from>
        <xdr:to>
          <xdr:col>0</xdr:col>
          <xdr:colOff>590550</xdr:colOff>
          <xdr:row>0</xdr:row>
          <xdr:rowOff>266700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2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ZA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23</xdr:row>
          <xdr:rowOff>19050</xdr:rowOff>
        </xdr:from>
        <xdr:to>
          <xdr:col>0</xdr:col>
          <xdr:colOff>3867150</xdr:colOff>
          <xdr:row>23</xdr:row>
          <xdr:rowOff>152400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ZA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Go!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123825</xdr:colOff>
      <xdr:row>0</xdr:row>
      <xdr:rowOff>0</xdr:rowOff>
    </xdr:from>
    <xdr:to>
      <xdr:col>24</xdr:col>
      <xdr:colOff>123244</xdr:colOff>
      <xdr:row>10</xdr:row>
      <xdr:rowOff>118985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0" y="0"/>
          <a:ext cx="4266619" cy="2290685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0</xdr:row>
      <xdr:rowOff>0</xdr:rowOff>
    </xdr:from>
    <xdr:to>
      <xdr:col>24</xdr:col>
      <xdr:colOff>123244</xdr:colOff>
      <xdr:row>10</xdr:row>
      <xdr:rowOff>118985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0" y="0"/>
          <a:ext cx="4266619" cy="22906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SBAL_C%20Derv%20Calc%206Apr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AEF%20Derv%20Calc%206Apr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DRRC%20Derv%20Calc%206Apr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OS%20Derv%20Calc%206Apr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BMMABR%20Derv%20Calc%206Apr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TCWP2%20Derv%20Calc%206Apr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IJGBAL%20Derv%20Calc%206Apr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CEF%20Derv%20Calc%206Apr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EQTF%20Derv%20Calc%206Apr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IMBAL%20Derv%20Calc%206Apr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EAQ%20Derv%20Calc%206Apr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BAL%20Derv%20Calc%206Apr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EF%20Derv%20Calc%206Apr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BMMEQU%20Derv%20Calc%206Apr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EQ%20Derv%20Calc%206Apr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AAMMAN%20Derv%20Calc%206Apr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AAMCAU%20Derv%20Calc%206Apr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ABS%20Derv%20Calc%206Apr202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AAMMOD%20Derv%20Calc%206Apr202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RRF%20Derv%20Calc%206Apr202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HOLDINC%20Derv%20Calc%206Apr202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CAPGIP%20Derv%20Calc%206Apr202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OMBBF%20Derv%20Calc%206Apr202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SFLEX%20Derv%20Calc%206Apr202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HOLYPF%20Derv%20Calc%206Apr202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AIF%20Derv%20Calc%206Apr202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RFINV%20Derv%20Calc%206Apr202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SHFLX%20Derv%20Calc%206Apr202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OMFLX%20Derv%20Calc%206Apr2022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IBF%20Derv%20Calc%206Apr202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BNDQ%20Derv%20Calc%206Apr202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OMFLXI5%20Derv%20Calc%206Apr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BPR%20Derv%20Calc%206Apr202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TSBND%20Derv%20Calc%206Apr2022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SHGFB%20Derv%20Calc%206Apr2022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BMMBND%20Derv%20Calc%206Apr202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GEF%20Derv%20Calc%206Apr202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GGF%20Derv%20Calc%206Apr202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IJGCOR%20Derv%20Calc%206Apr202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GIF%20Derv%20Calc%206Apr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FFIF%20Derv%20Calc%206Apr202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STIF%20Derv%20Calc%206Apr202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OIF_C%20Derv%20Calc%206Apr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IJGIPF%20Derv%20Calc%206Apr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SIF%20Derv%20Calc%206Apr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SHQ%20Derv%20Calc%206Apr202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EYP%20Derv%20Calc%206Apr202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MHPBQ%20Derv%20Calc%206Apr202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WGSWX%20Derv%20Calc%206Apr202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SBTOS%20Derv%20Calc%206Apr202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OMPRET%20Derv%20Calc%206Apr202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SPAM%20Derv%20Calc%206Apr2022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LPRNA%20Derv%20Calc%206Apr2022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ORFGPR%20Derv%20Calc%206Apr2022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MRETF%20Derv%20Calc%206Apr2022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MRETF2%20Derv%20Calc%206Apr2022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LCIPF%20Derv%20Calc%206Apr2022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TSHMPF%20Derv%20Calc%206Apr2022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NFMWEQU%20Derv%20Calc%206Apr202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WPFEQU%20Derv%20Calc%206Apr202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WEQU%20Derv%20Calc%206Apr2022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TOYCEF%20Derv%20Calc%206Apr2022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LIBTAA%20Derv%20Calc%206Apr2022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NESEQU%20Derv%20Calc%206Apr2022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SNAM%20Derv%20Calc%206Apr2022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NGENMBF%20Derv%20Calc%206Apr2022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LMED%20Derv%20Calc%206Apr202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AEMBF%20Derv%20Calc%206Apr2022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ICPROV%20Derv%20Calc%206Apr2022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CICBALC%20Derv%20Calc%206Apr202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ISLP%20Derv%20Calc%206Apr2022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ILEQF%20Derv%20Calc%206Apr2022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HNIPF%20Derv%20Calc%206Apr2022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NGKINC%20Derv%20Calc%206Apr2022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MMIPF%20Derv%20Calc%206Apr2022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EDINC%20Derv%20Calc%206Apr2022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fs\profile$\PProfile%20Operations\Legal\Legal%20and%20Compliance%20Framework\Hilton\PFS%20Daily%20Compliance\2A%20-%20Fund%20Codes,%20Breach%20Regi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10</v>
          </cell>
        </row>
        <row r="3">
          <cell r="G3" t="str">
            <v>UT</v>
          </cell>
        </row>
        <row r="6">
          <cell r="E6">
            <v>2.1755042583784343</v>
          </cell>
        </row>
        <row r="10">
          <cell r="E10">
            <v>1.963769909580583</v>
          </cell>
        </row>
        <row r="14">
          <cell r="E14">
            <v>19.157251498396658</v>
          </cell>
        </row>
        <row r="32">
          <cell r="C32">
            <v>0</v>
          </cell>
        </row>
        <row r="34">
          <cell r="C34">
            <v>0.23653505665893348</v>
          </cell>
          <cell r="E34">
            <v>23.653505665893352</v>
          </cell>
        </row>
        <row r="36">
          <cell r="C36">
            <v>0.18917392732605318</v>
          </cell>
        </row>
        <row r="40">
          <cell r="C40">
            <v>0.59271598518059099</v>
          </cell>
        </row>
        <row r="54">
          <cell r="C54">
            <v>20.109193630113332</v>
          </cell>
        </row>
      </sheetData>
      <sheetData sheetId="1">
        <row r="2">
          <cell r="D2">
            <v>9.5371566710000466E-2</v>
          </cell>
        </row>
        <row r="3">
          <cell r="D3">
            <v>9.5371566710000466E-2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10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1.7757482741471329</v>
          </cell>
        </row>
        <row r="14">
          <cell r="E14">
            <v>12.463344952779496</v>
          </cell>
        </row>
        <row r="32">
          <cell r="C32">
            <v>0</v>
          </cell>
        </row>
        <row r="34">
          <cell r="C34">
            <v>0.50252908513151706</v>
          </cell>
          <cell r="E34">
            <v>50.252908513151709</v>
          </cell>
        </row>
        <row r="36">
          <cell r="C36">
            <v>0</v>
          </cell>
        </row>
        <row r="40">
          <cell r="C40">
            <v>0.9922376655995595</v>
          </cell>
        </row>
        <row r="54">
          <cell r="C54">
            <v>0</v>
          </cell>
        </row>
      </sheetData>
      <sheetData sheetId="1">
        <row r="2">
          <cell r="D2">
            <v>6.6275317312725221E-2</v>
          </cell>
        </row>
        <row r="3">
          <cell r="D3">
            <v>6.6275317312725221E-2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1.5604779996808871E-2</v>
          </cell>
          <cell r="E34">
            <v>1.5604779996808915</v>
          </cell>
        </row>
        <row r="36">
          <cell r="C36">
            <v>0.19828812595179601</v>
          </cell>
        </row>
        <row r="40">
          <cell r="C40">
            <v>0.4073067318186121</v>
          </cell>
        </row>
        <row r="54">
          <cell r="C54">
            <v>0</v>
          </cell>
        </row>
      </sheetData>
      <sheetData sheetId="1">
        <row r="2">
          <cell r="D2">
            <v>0.94737803873616511</v>
          </cell>
        </row>
        <row r="3">
          <cell r="D3">
            <v>0.21091173482206221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2.9279105369438341E-2</v>
          </cell>
          <cell r="E34">
            <v>2.9279105369438341</v>
          </cell>
        </row>
        <row r="36">
          <cell r="C36">
            <v>0.20279072826825034</v>
          </cell>
        </row>
        <row r="40">
          <cell r="C40">
            <v>0.42110671375095821</v>
          </cell>
        </row>
        <row r="54">
          <cell r="C54">
            <v>0</v>
          </cell>
        </row>
      </sheetData>
      <sheetData sheetId="1">
        <row r="2">
          <cell r="D2">
            <v>1.0335818767582066</v>
          </cell>
        </row>
        <row r="3">
          <cell r="D3">
            <v>0.21834448550066982</v>
          </cell>
        </row>
      </sheetData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3.2542982612068061E-2</v>
          </cell>
          <cell r="E34">
            <v>3.2542982612067988</v>
          </cell>
        </row>
        <row r="36">
          <cell r="C36">
            <v>0.16070469494604495</v>
          </cell>
        </row>
        <row r="40">
          <cell r="C40">
            <v>0.35493861049995618</v>
          </cell>
        </row>
        <row r="54">
          <cell r="C54">
            <v>19.462522957253299</v>
          </cell>
        </row>
      </sheetData>
      <sheetData sheetId="1">
        <row r="2">
          <cell r="D2">
            <v>0.84041325489881757</v>
          </cell>
        </row>
        <row r="3">
          <cell r="D3">
            <v>0.18768625060149291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5.8168227204522971E-2</v>
          </cell>
          <cell r="E34">
            <v>5.8168227204522935</v>
          </cell>
        </row>
        <row r="36">
          <cell r="C36">
            <v>0</v>
          </cell>
        </row>
        <row r="40">
          <cell r="C40">
            <v>0.68959519643609468</v>
          </cell>
        </row>
        <row r="54">
          <cell r="C54">
            <v>0</v>
          </cell>
        </row>
      </sheetData>
      <sheetData sheetId="1">
        <row r="2">
          <cell r="D2">
            <v>1.7138448119015433</v>
          </cell>
        </row>
        <row r="3">
          <cell r="D3">
            <v>0.50317318432866365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0.19963363509387122</v>
          </cell>
        </row>
        <row r="34">
          <cell r="C34">
            <v>0.31947410280438526</v>
          </cell>
          <cell r="E34">
            <v>31.947410280438518</v>
          </cell>
        </row>
        <row r="36">
          <cell r="C36" t="str">
            <v/>
          </cell>
        </row>
        <row r="40">
          <cell r="C40">
            <v>2.9931068840343156</v>
          </cell>
        </row>
        <row r="54">
          <cell r="C54">
            <v>17.269107547955265</v>
          </cell>
        </row>
      </sheetData>
      <sheetData sheetId="1">
        <row r="2">
          <cell r="D2">
            <v>2.8153900269441308</v>
          </cell>
        </row>
        <row r="3">
          <cell r="D3">
            <v>2.8153900269441308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3.3255527177279522</v>
          </cell>
        </row>
        <row r="14">
          <cell r="E14">
            <v>17.587447240949587</v>
          </cell>
        </row>
        <row r="32">
          <cell r="C32">
            <v>0</v>
          </cell>
        </row>
        <row r="34">
          <cell r="C34">
            <v>0.25044271472610008</v>
          </cell>
          <cell r="E34">
            <v>25.044271472610006</v>
          </cell>
        </row>
        <row r="36">
          <cell r="C36">
            <v>0</v>
          </cell>
        </row>
        <row r="40">
          <cell r="C40">
            <v>0.99069313163669115</v>
          </cell>
        </row>
        <row r="54">
          <cell r="C54">
            <v>0</v>
          </cell>
        </row>
      </sheetData>
      <sheetData sheetId="1">
        <row r="2">
          <cell r="D2">
            <v>0.23999994847078149</v>
          </cell>
        </row>
        <row r="3">
          <cell r="D3">
            <v>0.23999994847078149</v>
          </cell>
        </row>
      </sheetData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1.9768545457934672</v>
          </cell>
        </row>
        <row r="14">
          <cell r="E14">
            <v>14.712864829139912</v>
          </cell>
        </row>
        <row r="32">
          <cell r="C32">
            <v>0</v>
          </cell>
        </row>
        <row r="34">
          <cell r="C34">
            <v>0.34681845383052823</v>
          </cell>
          <cell r="E34">
            <v>34.681845383052824</v>
          </cell>
        </row>
        <row r="36">
          <cell r="C36">
            <v>0</v>
          </cell>
        </row>
        <row r="40">
          <cell r="C40">
            <v>0.930185582673272</v>
          </cell>
        </row>
        <row r="54">
          <cell r="C54">
            <v>0</v>
          </cell>
        </row>
      </sheetData>
      <sheetData sheetId="1">
        <row r="2">
          <cell r="D2">
            <v>8.8422854792313293E-2</v>
          </cell>
        </row>
        <row r="3">
          <cell r="D3">
            <v>8.8422854792313293E-2</v>
          </cell>
        </row>
      </sheetData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6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7.1720338346592249E-3</v>
          </cell>
          <cell r="E34">
            <v>3.7108756948949218</v>
          </cell>
        </row>
        <row r="36">
          <cell r="C36">
            <v>0.12636503396140378</v>
          </cell>
        </row>
        <row r="40">
          <cell r="C40">
            <v>0.64844859272333244</v>
          </cell>
        </row>
        <row r="54">
          <cell r="C54">
            <v>43.82541509217522</v>
          </cell>
        </row>
      </sheetData>
      <sheetData sheetId="1">
        <row r="2">
          <cell r="D2">
            <v>2.8740154228607546E-2</v>
          </cell>
        </row>
        <row r="3">
          <cell r="D3">
            <v>2.8740154228607546E-2</v>
          </cell>
        </row>
      </sheetData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5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4.2280308550503527</v>
          </cell>
        </row>
        <row r="14">
          <cell r="E14">
            <v>21.361832763964632</v>
          </cell>
        </row>
        <row r="32">
          <cell r="C32">
            <v>0</v>
          </cell>
        </row>
        <row r="34">
          <cell r="C34">
            <v>0.47815719082889774</v>
          </cell>
          <cell r="E34">
            <v>47.815719082889778</v>
          </cell>
        </row>
        <row r="36">
          <cell r="C36">
            <v>0</v>
          </cell>
        </row>
        <row r="40">
          <cell r="C40">
            <v>0.98260703816086792</v>
          </cell>
        </row>
        <row r="54">
          <cell r="C54">
            <v>0</v>
          </cell>
        </row>
      </sheetData>
      <sheetData sheetId="1">
        <row r="2">
          <cell r="D2">
            <v>0.29444411066288712</v>
          </cell>
        </row>
        <row r="3">
          <cell r="D3">
            <v>0.29444411066288712</v>
          </cell>
        </row>
      </sheetData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7.784560094300591E-3</v>
          </cell>
          <cell r="E34">
            <v>5.2814815189091551</v>
          </cell>
        </row>
        <row r="36">
          <cell r="C36">
            <v>0.1589352034581247</v>
          </cell>
        </row>
        <row r="40">
          <cell r="C40">
            <v>0.66108883876446189</v>
          </cell>
        </row>
        <row r="54">
          <cell r="C54">
            <v>44.692990555950111</v>
          </cell>
        </row>
      </sheetData>
      <sheetData sheetId="1">
        <row r="2">
          <cell r="D2">
            <v>2.812014966904006E-2</v>
          </cell>
        </row>
        <row r="3">
          <cell r="D3">
            <v>2.812014966904006E-2</v>
          </cell>
        </row>
      </sheetData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1.7163906798883501</v>
          </cell>
        </row>
        <row r="14">
          <cell r="E14">
            <v>38.376814784895522</v>
          </cell>
        </row>
        <row r="32">
          <cell r="C32">
            <v>0</v>
          </cell>
        </row>
        <row r="34">
          <cell r="C34">
            <v>0.12496283330728392</v>
          </cell>
          <cell r="E34">
            <v>12.496283330728392</v>
          </cell>
        </row>
        <row r="36">
          <cell r="C36">
            <v>0</v>
          </cell>
        </row>
        <row r="40">
          <cell r="C40">
            <v>0.99371009133742394</v>
          </cell>
        </row>
        <row r="54">
          <cell r="C54">
            <v>0</v>
          </cell>
        </row>
      </sheetData>
      <sheetData sheetId="1">
        <row r="2">
          <cell r="D2">
            <v>0.3092736897789406</v>
          </cell>
        </row>
        <row r="3">
          <cell r="D3">
            <v>0.3092736897789406</v>
          </cell>
        </row>
      </sheetData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1.4180764122363887</v>
          </cell>
        </row>
        <row r="14">
          <cell r="E14">
            <v>11.70530259406755</v>
          </cell>
        </row>
        <row r="32">
          <cell r="C32">
            <v>0</v>
          </cell>
        </row>
        <row r="34">
          <cell r="C34">
            <v>0.36844941901963657</v>
          </cell>
          <cell r="E34">
            <v>36.844941901963658</v>
          </cell>
        </row>
        <row r="36">
          <cell r="C36">
            <v>0</v>
          </cell>
        </row>
        <row r="40">
          <cell r="C40">
            <v>0.99281601933131658</v>
          </cell>
        </row>
        <row r="54">
          <cell r="C54">
            <v>0</v>
          </cell>
        </row>
      </sheetData>
      <sheetData sheetId="1">
        <row r="2">
          <cell r="D2">
            <v>0.12444838236437988</v>
          </cell>
        </row>
        <row r="3">
          <cell r="D3">
            <v>0.12444838236437988</v>
          </cell>
        </row>
      </sheetData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0.46363122071181906</v>
          </cell>
          <cell r="E34">
            <v>46.363122071181905</v>
          </cell>
        </row>
        <row r="36">
          <cell r="C36">
            <v>0</v>
          </cell>
        </row>
        <row r="40">
          <cell r="C40">
            <v>0.99423061147177272</v>
          </cell>
        </row>
        <row r="54">
          <cell r="C54">
            <v>0</v>
          </cell>
        </row>
      </sheetData>
      <sheetData sheetId="1">
        <row r="2">
          <cell r="D2">
            <v>0.15333855704167892</v>
          </cell>
        </row>
        <row r="3">
          <cell r="D3">
            <v>0.15333855704167892</v>
          </cell>
        </row>
      </sheetData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6.4514804948632154E-3</v>
          </cell>
          <cell r="E34">
            <v>0.64514804948632332</v>
          </cell>
        </row>
        <row r="36">
          <cell r="C36">
            <v>0</v>
          </cell>
        </row>
        <row r="40">
          <cell r="C40">
            <v>4.5373425681166379</v>
          </cell>
        </row>
        <row r="54">
          <cell r="C54">
            <v>0</v>
          </cell>
        </row>
      </sheetData>
      <sheetData sheetId="1">
        <row r="2">
          <cell r="D2">
            <v>4.5373425681166379</v>
          </cell>
        </row>
        <row r="3">
          <cell r="D3">
            <v>4.5373425681166379</v>
          </cell>
        </row>
      </sheetData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8.7109861055939541E-3</v>
          </cell>
          <cell r="E34">
            <v>0.8710986105594003</v>
          </cell>
        </row>
        <row r="36">
          <cell r="C36">
            <v>0</v>
          </cell>
        </row>
        <row r="40">
          <cell r="C40">
            <v>4.8874986035305703</v>
          </cell>
        </row>
        <row r="54">
          <cell r="C54">
            <v>0</v>
          </cell>
        </row>
      </sheetData>
      <sheetData sheetId="1">
        <row r="2">
          <cell r="D2">
            <v>4.8874986035305703</v>
          </cell>
        </row>
        <row r="3">
          <cell r="D3">
            <v>4.8874986035305703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1.0002732848093054E-2</v>
          </cell>
          <cell r="E34">
            <v>10.72071914906445</v>
          </cell>
        </row>
        <row r="36">
          <cell r="C36">
            <v>0.29925093922767398</v>
          </cell>
        </row>
        <row r="40">
          <cell r="C40">
            <v>0.31714404250379247</v>
          </cell>
        </row>
        <row r="54">
          <cell r="C54">
            <v>43.613811116944809</v>
          </cell>
        </row>
      </sheetData>
      <sheetData sheetId="1">
        <row r="2">
          <cell r="D2">
            <v>9.2307134817465886E-3</v>
          </cell>
        </row>
        <row r="3">
          <cell r="D3">
            <v>9.2307134817465886E-3</v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1.1947853595659974E-2</v>
          </cell>
          <cell r="E34">
            <v>1.1947853595659979</v>
          </cell>
        </row>
        <row r="36">
          <cell r="C36">
            <v>0</v>
          </cell>
        </row>
        <row r="40">
          <cell r="C40">
            <v>4.5371611139734158</v>
          </cell>
        </row>
        <row r="54">
          <cell r="C54">
            <v>0</v>
          </cell>
        </row>
      </sheetData>
      <sheetData sheetId="1">
        <row r="2">
          <cell r="D2">
            <v>4.5371611139734158</v>
          </cell>
        </row>
        <row r="3">
          <cell r="D3">
            <v>4.5371611139734158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3.749167119073471E-3</v>
          </cell>
          <cell r="E34">
            <v>0.37491671190734621</v>
          </cell>
        </row>
        <row r="36">
          <cell r="C36">
            <v>9.9448085581634142E-3</v>
          </cell>
        </row>
        <row r="40">
          <cell r="C40">
            <v>0.35472693685821965</v>
          </cell>
        </row>
        <row r="54">
          <cell r="C54">
            <v>0</v>
          </cell>
        </row>
      </sheetData>
      <sheetData sheetId="1">
        <row r="2">
          <cell r="D2">
            <v>0.26707297282160175</v>
          </cell>
        </row>
        <row r="3">
          <cell r="D3">
            <v>0.26707297282160175</v>
          </cell>
        </row>
      </sheetData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13.03783354394322</v>
          </cell>
        </row>
        <row r="10">
          <cell r="E10">
            <v>0</v>
          </cell>
        </row>
        <row r="14">
          <cell r="E14">
            <v>0.20140446448520827</v>
          </cell>
        </row>
        <row r="32">
          <cell r="C32">
            <v>0</v>
          </cell>
        </row>
        <row r="34">
          <cell r="C34">
            <v>0.1648012594216347</v>
          </cell>
          <cell r="E34">
            <v>16.480125942163472</v>
          </cell>
        </row>
        <row r="36">
          <cell r="C36">
            <v>0.67706999194002071</v>
          </cell>
        </row>
        <row r="40">
          <cell r="C40">
            <v>4.7540832771816491E-2</v>
          </cell>
        </row>
        <row r="54">
          <cell r="C54">
            <v>5.1072566343036474</v>
          </cell>
        </row>
      </sheetData>
      <sheetData sheetId="1">
        <row r="2">
          <cell r="D2">
            <v>1.9583205377522245E-4</v>
          </cell>
        </row>
        <row r="3">
          <cell r="D3">
            <v>1.9413205223935812E-4</v>
          </cell>
        </row>
      </sheetData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5.7555137872754294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0.1873958953144978</v>
          </cell>
          <cell r="E34">
            <v>18.739589531449781</v>
          </cell>
        </row>
        <row r="36">
          <cell r="C36">
            <v>0.45405665299056419</v>
          </cell>
        </row>
        <row r="40">
          <cell r="C40">
            <v>5.7927489378739538E-2</v>
          </cell>
        </row>
        <row r="54">
          <cell r="C54">
            <v>8.4597345360063905</v>
          </cell>
        </row>
      </sheetData>
      <sheetData sheetId="1">
        <row r="2">
          <cell r="D2">
            <v>1.7937063474477867E-4</v>
          </cell>
        </row>
        <row r="3">
          <cell r="D3">
            <v>1.7781353339861659E-4</v>
          </cell>
        </row>
      </sheetData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11.040074124200345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0.18812216281602598</v>
          </cell>
          <cell r="E34">
            <v>18.812216281602598</v>
          </cell>
        </row>
        <row r="36">
          <cell r="C36">
            <v>0.66968045324609626</v>
          </cell>
        </row>
        <row r="40">
          <cell r="C40">
            <v>5.6875317890049605E-2</v>
          </cell>
        </row>
        <row r="54">
          <cell r="C54">
            <v>5.6319493639135212</v>
          </cell>
        </row>
      </sheetData>
      <sheetData sheetId="1">
        <row r="2">
          <cell r="D2">
            <v>2.3108087404710823E-4</v>
          </cell>
        </row>
        <row r="3">
          <cell r="D3">
            <v>2.2907488047651611E-4</v>
          </cell>
        </row>
      </sheetData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10.877985740640014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0.19016157926427946</v>
          </cell>
          <cell r="E34">
            <v>19.016157926427944</v>
          </cell>
        </row>
        <row r="36">
          <cell r="C36">
            <v>0.63298717694242035</v>
          </cell>
        </row>
        <row r="40">
          <cell r="C40">
            <v>5.7519799129596108E-2</v>
          </cell>
        </row>
        <row r="54">
          <cell r="C54">
            <v>7.8233252074520863</v>
          </cell>
        </row>
      </sheetData>
      <sheetData sheetId="1">
        <row r="2">
          <cell r="D2">
            <v>2.832435092994678E-4</v>
          </cell>
        </row>
        <row r="3">
          <cell r="D3">
            <v>2.8078469629337345E-4</v>
          </cell>
        </row>
      </sheetData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12.072133872455131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0.22456623983175411</v>
          </cell>
          <cell r="E34">
            <v>22.456623983175412</v>
          </cell>
        </row>
        <row r="36">
          <cell r="C36">
            <v>0.77463767500605041</v>
          </cell>
        </row>
        <row r="40">
          <cell r="C40">
            <v>1.3893527314458827E-4</v>
          </cell>
        </row>
        <row r="54">
          <cell r="C54">
            <v>-1.4970155760724961</v>
          </cell>
        </row>
      </sheetData>
      <sheetData sheetId="1">
        <row r="2">
          <cell r="D2">
            <v>1.4015192013825582E-4</v>
          </cell>
        </row>
        <row r="3">
          <cell r="D3">
            <v>1.3893527314458827E-4</v>
          </cell>
        </row>
      </sheetData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4.2692009347955828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0.22633957483425532</v>
          </cell>
          <cell r="E34">
            <v>22.633957483425533</v>
          </cell>
        </row>
        <row r="36">
          <cell r="C36">
            <v>0.57166136057632588</v>
          </cell>
        </row>
        <row r="40">
          <cell r="C40">
            <v>3.6006720961438296E-2</v>
          </cell>
        </row>
        <row r="54">
          <cell r="C54">
            <v>4.7421055316347971</v>
          </cell>
        </row>
      </sheetData>
      <sheetData sheetId="1">
        <row r="2">
          <cell r="D2">
            <v>1.6216990180869644E-4</v>
          </cell>
        </row>
        <row r="3">
          <cell r="D3">
            <v>1.6076211857387327E-4</v>
          </cell>
        </row>
      </sheetData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4.6830666521438511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0.29621998232157276</v>
          </cell>
          <cell r="E34">
            <v>29.621998232157274</v>
          </cell>
        </row>
        <row r="36">
          <cell r="C36">
            <v>0.39682892592583946</v>
          </cell>
        </row>
        <row r="40">
          <cell r="C40">
            <v>4.3889842300107604E-2</v>
          </cell>
        </row>
        <row r="54">
          <cell r="C54">
            <v>2.0980707726969676</v>
          </cell>
        </row>
      </sheetData>
      <sheetData sheetId="1">
        <row r="2">
          <cell r="D2">
            <v>3.9647872906449125E-4</v>
          </cell>
        </row>
        <row r="3">
          <cell r="D3">
            <v>3.9303693066962371E-4</v>
          </cell>
        </row>
      </sheetData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11.435549830290572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0.36241962834756325</v>
          </cell>
          <cell r="E34">
            <v>36.241962834756322</v>
          </cell>
        </row>
        <row r="36">
          <cell r="C36">
            <v>0.55031471002805266</v>
          </cell>
        </row>
        <row r="40">
          <cell r="C40">
            <v>3.8489006595728861E-2</v>
          </cell>
        </row>
        <row r="54">
          <cell r="C54">
            <v>1.975503189932363</v>
          </cell>
        </row>
      </sheetData>
      <sheetData sheetId="1">
        <row r="2">
          <cell r="D2">
            <v>2.6332107279023798E-4</v>
          </cell>
        </row>
        <row r="3">
          <cell r="D3">
            <v>2.6103520477456244E-4</v>
          </cell>
        </row>
      </sheetData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2.0567919934519818E-3</v>
          </cell>
          <cell r="E34">
            <v>0.20567919934519818</v>
          </cell>
        </row>
        <row r="36">
          <cell r="C36">
            <v>0.99794320800654801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2.3064704520936585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2.4365092889186406E-3</v>
          </cell>
          <cell r="E34">
            <v>0.24365092889186407</v>
          </cell>
        </row>
        <row r="36">
          <cell r="C36">
            <v>0.99756349071108141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3.0173300875988396E-3</v>
          </cell>
          <cell r="E34">
            <v>0.30173300875988396</v>
          </cell>
        </row>
        <row r="36">
          <cell r="C36">
            <v>0.99698266991240125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3.2614639035901112E-3</v>
          </cell>
          <cell r="E34">
            <v>0.32614639035901111</v>
          </cell>
        </row>
        <row r="36">
          <cell r="C36">
            <v>0.99673853609640994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0.64483780807543378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3.5404714804083575E-3</v>
          </cell>
          <cell r="E34">
            <v>0.35404714804083576</v>
          </cell>
        </row>
        <row r="36">
          <cell r="C36">
            <v>0.99645952851959174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1.5098339803486329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3.7745670525801372E-3</v>
          </cell>
          <cell r="E34">
            <v>0.37745670525801372</v>
          </cell>
        </row>
        <row r="36">
          <cell r="C36">
            <v>0.99622543294741983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4.2467954028573215E-3</v>
          </cell>
          <cell r="E34">
            <v>0.42467954028573218</v>
          </cell>
        </row>
        <row r="36">
          <cell r="C36">
            <v>0.99575320459714267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5.6691116156534615E-3</v>
          </cell>
          <cell r="E34">
            <v>0.56691116156534616</v>
          </cell>
        </row>
        <row r="36">
          <cell r="C36">
            <v>0.99433088838434658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9.444560637098233E-3</v>
          </cell>
          <cell r="E34">
            <v>0.94445606370982327</v>
          </cell>
        </row>
        <row r="36">
          <cell r="C36">
            <v>0</v>
          </cell>
        </row>
        <row r="40">
          <cell r="C40">
            <v>0.9905554393629018</v>
          </cell>
        </row>
        <row r="54">
          <cell r="C54">
            <v>99.055543936290178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1.0070441074043519E-2</v>
          </cell>
          <cell r="E34">
            <v>1.0070441074043519</v>
          </cell>
        </row>
        <row r="36">
          <cell r="C36">
            <v>0</v>
          </cell>
        </row>
        <row r="40">
          <cell r="C40">
            <v>0.98992955892595647</v>
          </cell>
        </row>
        <row r="54">
          <cell r="C54">
            <v>98.992955892595646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3.5793677091019438E-2</v>
          </cell>
          <cell r="E34">
            <v>3.5793677091019438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96.420632290898055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3.9919152221771323E-2</v>
          </cell>
          <cell r="E34">
            <v>3.9919152221771323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96.008084777822873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6.0509616695683253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0.11338492422161932</v>
          </cell>
          <cell r="E34">
            <v>11.338492422161933</v>
          </cell>
        </row>
        <row r="36">
          <cell r="C36">
            <v>0.68511498878296295</v>
          </cell>
        </row>
        <row r="40">
          <cell r="C40">
            <v>2.2371381349311381E-2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15.792862779843297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0.14451327254784388</v>
          </cell>
          <cell r="E34">
            <v>14.451327254784388</v>
          </cell>
        </row>
        <row r="36">
          <cell r="C36">
            <v>0.74948062068740895</v>
          </cell>
        </row>
        <row r="40">
          <cell r="C40">
            <v>4.0134910773338917E-2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4.6931226827195083</v>
          </cell>
        </row>
        <row r="14">
          <cell r="E14">
            <v>80.450020236838398</v>
          </cell>
        </row>
        <row r="32">
          <cell r="C32">
            <v>0</v>
          </cell>
        </row>
        <row r="34">
          <cell r="C34">
            <v>0.15540483718957582</v>
          </cell>
          <cell r="E34">
            <v>15.540483718957582</v>
          </cell>
        </row>
        <row r="36">
          <cell r="C36">
            <v>0</v>
          </cell>
        </row>
        <row r="40">
          <cell r="C40">
            <v>0.84459516281042402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5.4097084635874557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0.19236636326009787</v>
          </cell>
          <cell r="E34">
            <v>19.236636326009787</v>
          </cell>
        </row>
        <row r="36">
          <cell r="C36">
            <v>0.45836586739072971</v>
          </cell>
        </row>
        <row r="40">
          <cell r="C40">
            <v>7.0857989253251902E-2</v>
          </cell>
        </row>
        <row r="54">
          <cell r="C54">
            <v>22.561906836806681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8.7436614529622823</v>
          </cell>
        </row>
        <row r="10">
          <cell r="E10">
            <v>0</v>
          </cell>
        </row>
        <row r="14">
          <cell r="E14">
            <v>8.0769414899234102E-2</v>
          </cell>
        </row>
        <row r="32">
          <cell r="C32">
            <v>0</v>
          </cell>
        </row>
        <row r="34">
          <cell r="C34">
            <v>0.27139439327030362</v>
          </cell>
          <cell r="E34">
            <v>27.139439327030363</v>
          </cell>
        </row>
        <row r="36">
          <cell r="C36">
            <v>0.67762720673563359</v>
          </cell>
        </row>
        <row r="40">
          <cell r="C40">
            <v>5.0862439796568321E-2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0.41742216590388947</v>
          </cell>
          <cell r="E34">
            <v>41.742216590388949</v>
          </cell>
        </row>
        <row r="36">
          <cell r="C36">
            <v>0.58250211570675425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0.42282884267233301</v>
          </cell>
          <cell r="E34">
            <v>42.2828842672333</v>
          </cell>
        </row>
        <row r="36">
          <cell r="C36">
            <v>0.57700254111081595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</v>
          </cell>
          <cell r="E34">
            <v>100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10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2.0171586716861483</v>
          </cell>
        </row>
        <row r="14">
          <cell r="E14">
            <v>15.776626100309816</v>
          </cell>
        </row>
        <row r="32">
          <cell r="C32">
            <v>0.70086344400370415</v>
          </cell>
        </row>
        <row r="34">
          <cell r="C34">
            <v>0.69521514140528284</v>
          </cell>
          <cell r="E34">
            <v>69.521514140528296</v>
          </cell>
        </row>
        <row r="36">
          <cell r="C36" t="str">
            <v/>
          </cell>
        </row>
        <row r="40">
          <cell r="C40">
            <v>0.9949679615439192</v>
          </cell>
        </row>
        <row r="54">
          <cell r="C54">
            <v>0</v>
          </cell>
        </row>
      </sheetData>
      <sheetData sheetId="1">
        <row r="2">
          <cell r="D2">
            <v>0.13254017073249072</v>
          </cell>
        </row>
        <row r="3">
          <cell r="D3">
            <v>0.13254017073249072</v>
          </cell>
        </row>
      </sheetData>
      <sheetData sheetId="2"/>
      <sheetData sheetId="3"/>
      <sheetData sheetId="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19.864303934324344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0.25839678798506682</v>
          </cell>
        </row>
        <row r="34">
          <cell r="C34">
            <v>0.48600155045119847</v>
          </cell>
          <cell r="E34">
            <v>48.600155045119855</v>
          </cell>
        </row>
        <row r="36">
          <cell r="C36" t="str">
            <v/>
          </cell>
        </row>
        <row r="40">
          <cell r="C40">
            <v>0.42661143005733571</v>
          </cell>
        </row>
        <row r="54">
          <cell r="C54">
            <v>0</v>
          </cell>
        </row>
      </sheetData>
      <sheetData sheetId="1">
        <row r="2">
          <cell r="D2">
            <v>1.000373820850617</v>
          </cell>
        </row>
        <row r="3">
          <cell r="D3">
            <v>0.22442117930177471</v>
          </cell>
        </row>
      </sheetData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19.841457652584111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0.36585764153878225</v>
          </cell>
        </row>
        <row r="34">
          <cell r="C34">
            <v>0.48881221752642923</v>
          </cell>
          <cell r="E34">
            <v>48.881221752642929</v>
          </cell>
        </row>
        <row r="36">
          <cell r="C36" t="str">
            <v/>
          </cell>
        </row>
        <row r="40">
          <cell r="C40">
            <v>0.42530382324940469</v>
          </cell>
        </row>
        <row r="54">
          <cell r="C54">
            <v>0</v>
          </cell>
        </row>
      </sheetData>
      <sheetData sheetId="1">
        <row r="2">
          <cell r="D2">
            <v>1.0281698406621547</v>
          </cell>
        </row>
        <row r="3">
          <cell r="D3">
            <v>0.2264676322717922</v>
          </cell>
        </row>
      </sheetData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19.412023775220888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0.25850493338706015</v>
          </cell>
        </row>
        <row r="34">
          <cell r="C34">
            <v>0.49519551574974868</v>
          </cell>
          <cell r="E34">
            <v>49.519551574974869</v>
          </cell>
        </row>
        <row r="36">
          <cell r="C36" t="str">
            <v/>
          </cell>
        </row>
        <row r="40">
          <cell r="C40">
            <v>0.4124737671459891</v>
          </cell>
        </row>
        <row r="54">
          <cell r="C54">
            <v>0</v>
          </cell>
        </row>
      </sheetData>
      <sheetData sheetId="1">
        <row r="2">
          <cell r="D2">
            <v>1.0412001536954085</v>
          </cell>
        </row>
        <row r="3">
          <cell r="D3">
            <v>0.2166133046310641</v>
          </cell>
        </row>
      </sheetData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21.370953148378664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0.35113290380893103</v>
          </cell>
        </row>
        <row r="34">
          <cell r="C34">
            <v>0.49592281658773052</v>
          </cell>
          <cell r="E34">
            <v>49.59228165877304</v>
          </cell>
        </row>
        <row r="36">
          <cell r="C36" t="str">
            <v/>
          </cell>
        </row>
        <row r="40">
          <cell r="C40">
            <v>0.41970655838578264</v>
          </cell>
        </row>
        <row r="54">
          <cell r="C54">
            <v>0</v>
          </cell>
        </row>
      </sheetData>
      <sheetData sheetId="1">
        <row r="2">
          <cell r="D2">
            <v>1.0584310246381223</v>
          </cell>
        </row>
        <row r="3">
          <cell r="D3">
            <v>0.2202218332182462</v>
          </cell>
        </row>
      </sheetData>
      <sheetData sheetId="2"/>
      <sheetData sheetId="3"/>
      <sheetData sheetId="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15.955253775302763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0.43251844551350366</v>
          </cell>
        </row>
        <row r="34">
          <cell r="C34">
            <v>0.52590718088758481</v>
          </cell>
          <cell r="E34">
            <v>52.590718088758486</v>
          </cell>
        </row>
        <row r="36">
          <cell r="C36" t="str">
            <v/>
          </cell>
        </row>
        <row r="40">
          <cell r="C40">
            <v>0.36624658538094823</v>
          </cell>
        </row>
        <row r="54">
          <cell r="C54">
            <v>19.625627977745872</v>
          </cell>
        </row>
      </sheetData>
      <sheetData sheetId="1">
        <row r="2">
          <cell r="D2">
            <v>0.93497344049035991</v>
          </cell>
        </row>
        <row r="3">
          <cell r="D3">
            <v>0.18306943720193292</v>
          </cell>
        </row>
      </sheetData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16.722988684328076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0.44788332579617962</v>
          </cell>
        </row>
        <row r="34">
          <cell r="C34">
            <v>0.54325361408210993</v>
          </cell>
          <cell r="E34">
            <v>54.325361408211002</v>
          </cell>
        </row>
        <row r="36">
          <cell r="C36" t="str">
            <v/>
          </cell>
        </row>
        <row r="40">
          <cell r="C40">
            <v>0.37438532381995299</v>
          </cell>
        </row>
        <row r="54">
          <cell r="C54">
            <v>19.668501060798086</v>
          </cell>
        </row>
      </sheetData>
      <sheetData sheetId="1">
        <row r="2">
          <cell r="D2">
            <v>0.8622360576707212</v>
          </cell>
        </row>
        <row r="3">
          <cell r="D3">
            <v>0.20501827432131325</v>
          </cell>
        </row>
      </sheetData>
      <sheetData sheetId="2"/>
      <sheetData sheetId="3"/>
      <sheetData sheetId="4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16.554408407617984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0.45606053784436917</v>
          </cell>
        </row>
        <row r="34">
          <cell r="C34">
            <v>0.54757375282038989</v>
          </cell>
          <cell r="E34">
            <v>54.757375282038979</v>
          </cell>
        </row>
        <row r="36">
          <cell r="C36" t="str">
            <v/>
          </cell>
        </row>
        <row r="40">
          <cell r="C40">
            <v>0.38361174245399193</v>
          </cell>
        </row>
        <row r="54">
          <cell r="C54">
            <v>18.873764806389612</v>
          </cell>
        </row>
      </sheetData>
      <sheetData sheetId="1">
        <row r="2">
          <cell r="D2">
            <v>0.88747080727816008</v>
          </cell>
        </row>
        <row r="3">
          <cell r="D3">
            <v>0.22052143422848419</v>
          </cell>
        </row>
      </sheetData>
      <sheetData sheetId="2"/>
      <sheetData sheetId="3"/>
      <sheetData sheetId="4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8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3.3811282530387867</v>
          </cell>
        </row>
        <row r="14">
          <cell r="E14">
            <v>18.559154952318121</v>
          </cell>
        </row>
        <row r="32">
          <cell r="C32">
            <v>0</v>
          </cell>
        </row>
        <row r="34">
          <cell r="C34">
            <v>2.0179497581070072E-2</v>
          </cell>
          <cell r="E34">
            <v>2.0179497581070072</v>
          </cell>
        </row>
        <row r="36">
          <cell r="C36">
            <v>0</v>
          </cell>
        </row>
        <row r="40">
          <cell r="C40">
            <v>0.99149454072486121</v>
          </cell>
        </row>
        <row r="54">
          <cell r="C54">
            <v>0</v>
          </cell>
        </row>
      </sheetData>
      <sheetData sheetId="1">
        <row r="2">
          <cell r="D2">
            <v>0.15218442328480986</v>
          </cell>
        </row>
        <row r="3">
          <cell r="D3">
            <v>0.15218442328480986</v>
          </cell>
        </row>
      </sheetData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8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3.8791985711352854</v>
          </cell>
        </row>
        <row r="14">
          <cell r="E14">
            <v>19.91896807877794</v>
          </cell>
        </row>
        <row r="32">
          <cell r="C32">
            <v>0</v>
          </cell>
        </row>
        <row r="34">
          <cell r="C34">
            <v>3.6012352935663572E-2</v>
          </cell>
          <cell r="E34">
            <v>3.6012352935663507</v>
          </cell>
        </row>
        <row r="36">
          <cell r="C36">
            <v>0</v>
          </cell>
        </row>
        <row r="40">
          <cell r="C40">
            <v>0.99065848573954196</v>
          </cell>
        </row>
        <row r="54">
          <cell r="C54">
            <v>0</v>
          </cell>
        </row>
      </sheetData>
      <sheetData sheetId="1">
        <row r="2">
          <cell r="D2">
            <v>0.13466470706437381</v>
          </cell>
        </row>
        <row r="3">
          <cell r="D3">
            <v>0.13466470706437381</v>
          </cell>
        </row>
      </sheetData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8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4.145663354121651</v>
          </cell>
        </row>
        <row r="14">
          <cell r="E14">
            <v>20.559186659055577</v>
          </cell>
        </row>
        <row r="32">
          <cell r="C32">
            <v>0</v>
          </cell>
        </row>
        <row r="34">
          <cell r="C34">
            <v>8.2315026127079582E-2</v>
          </cell>
          <cell r="E34">
            <v>8.2315026127079562</v>
          </cell>
        </row>
        <row r="36">
          <cell r="C36">
            <v>0</v>
          </cell>
        </row>
        <row r="40">
          <cell r="C40">
            <v>0.99297479811736833</v>
          </cell>
        </row>
        <row r="54">
          <cell r="C54">
            <v>0</v>
          </cell>
        </row>
      </sheetData>
      <sheetData sheetId="1">
        <row r="2">
          <cell r="D2">
            <v>0.12791244304959171</v>
          </cell>
        </row>
        <row r="3">
          <cell r="D3">
            <v>0.12791244304959171</v>
          </cell>
        </row>
      </sheetData>
      <sheetData sheetId="2"/>
      <sheetData sheetId="3"/>
      <sheetData sheetId="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9.2714644163798737E-2</v>
          </cell>
          <cell r="E34">
            <v>9.2714644163798745</v>
          </cell>
        </row>
        <row r="36">
          <cell r="C36">
            <v>0</v>
          </cell>
        </row>
        <row r="40">
          <cell r="C40">
            <v>0.99600667585557257</v>
          </cell>
        </row>
        <row r="54">
          <cell r="C54">
            <v>0</v>
          </cell>
        </row>
      </sheetData>
      <sheetData sheetId="1">
        <row r="2">
          <cell r="D2">
            <v>0.1544112473221359</v>
          </cell>
        </row>
        <row r="3">
          <cell r="D3">
            <v>0.1544112473221359</v>
          </cell>
        </row>
      </sheetData>
      <sheetData sheetId="2"/>
      <sheetData sheetId="3"/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3.8332914291951572</v>
          </cell>
        </row>
        <row r="14">
          <cell r="E14">
            <v>19.039019484894109</v>
          </cell>
        </row>
        <row r="32">
          <cell r="C32">
            <v>0</v>
          </cell>
        </row>
        <row r="34">
          <cell r="C34">
            <v>0.10865401863136318</v>
          </cell>
          <cell r="E34">
            <v>10.865401863136318</v>
          </cell>
        </row>
        <row r="36">
          <cell r="C36">
            <v>0</v>
          </cell>
        </row>
        <row r="40">
          <cell r="C40">
            <v>0.99150556755435637</v>
          </cell>
        </row>
        <row r="54">
          <cell r="C54">
            <v>0</v>
          </cell>
        </row>
      </sheetData>
      <sheetData sheetId="1">
        <row r="2">
          <cell r="D2">
            <v>6.0655969237357596E-2</v>
          </cell>
        </row>
        <row r="3">
          <cell r="D3">
            <v>6.0655969237357596E-2</v>
          </cell>
        </row>
      </sheetData>
      <sheetData sheetId="2"/>
      <sheetData sheetId="3"/>
      <sheetData sheetId="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1.8937928306982594</v>
          </cell>
        </row>
        <row r="14">
          <cell r="E14">
            <v>15.724512279862751</v>
          </cell>
        </row>
        <row r="32">
          <cell r="C32">
            <v>0</v>
          </cell>
        </row>
        <row r="34">
          <cell r="C34">
            <v>0.18388093880294221</v>
          </cell>
          <cell r="E34">
            <v>18.388093880294218</v>
          </cell>
        </row>
        <row r="36">
          <cell r="C36">
            <v>0</v>
          </cell>
        </row>
        <row r="40">
          <cell r="C40">
            <v>0.99324049018150706</v>
          </cell>
        </row>
        <row r="54">
          <cell r="C54">
            <v>0</v>
          </cell>
        </row>
      </sheetData>
      <sheetData sheetId="1">
        <row r="2">
          <cell r="D2">
            <v>4.9272183880701828E-2</v>
          </cell>
        </row>
        <row r="3">
          <cell r="D3">
            <v>4.9272183880701828E-2</v>
          </cell>
        </row>
      </sheetData>
      <sheetData sheetId="2"/>
      <sheetData sheetId="3"/>
      <sheetData sheetId="4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6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-9.8724884401829467</v>
          </cell>
          <cell r="E34">
            <v>-987.24884401829456</v>
          </cell>
        </row>
        <row r="36">
          <cell r="C36" t="str">
            <v/>
          </cell>
        </row>
        <row r="40">
          <cell r="C40">
            <v>4.8229682585907572</v>
          </cell>
        </row>
        <row r="54">
          <cell r="C54">
            <v>0</v>
          </cell>
        </row>
      </sheetData>
      <sheetData sheetId="1">
        <row r="2">
          <cell r="D2">
            <v>4.8229682585907572</v>
          </cell>
        </row>
        <row r="3">
          <cell r="D3">
            <v>4.8229682585907572</v>
          </cell>
        </row>
      </sheetData>
      <sheetData sheetId="2"/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5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3.8329991626557507</v>
          </cell>
        </row>
        <row r="14">
          <cell r="E14">
            <v>19.845099581399904</v>
          </cell>
        </row>
        <row r="32">
          <cell r="C32">
            <v>0.61037529314338523</v>
          </cell>
        </row>
        <row r="34">
          <cell r="C34">
            <v>0.32332707183948056</v>
          </cell>
          <cell r="E34">
            <v>32.33270718394806</v>
          </cell>
        </row>
        <row r="36">
          <cell r="C36" t="str">
            <v/>
          </cell>
        </row>
        <row r="40">
          <cell r="C40">
            <v>0.99265782456107365</v>
          </cell>
        </row>
        <row r="54">
          <cell r="C54">
            <v>0</v>
          </cell>
        </row>
      </sheetData>
      <sheetData sheetId="1">
        <row r="2">
          <cell r="D2">
            <v>0.46525072678628832</v>
          </cell>
        </row>
        <row r="3">
          <cell r="D3">
            <v>0.46525072678628832</v>
          </cell>
        </row>
      </sheetData>
      <sheetData sheetId="2"/>
      <sheetData sheetId="3"/>
      <sheetData sheetId="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5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0.34005022483828184</v>
          </cell>
          <cell r="E34">
            <v>34.005022483828178</v>
          </cell>
        </row>
        <row r="36">
          <cell r="C36">
            <v>0.14896869404590798</v>
          </cell>
        </row>
        <row r="40">
          <cell r="C40">
            <v>2.257332545165263</v>
          </cell>
        </row>
        <row r="54">
          <cell r="C54">
            <v>20.716682234448101</v>
          </cell>
        </row>
      </sheetData>
      <sheetData sheetId="1">
        <row r="2">
          <cell r="D2">
            <v>2.219385566083218</v>
          </cell>
        </row>
        <row r="3">
          <cell r="D3">
            <v>2.219385566083218</v>
          </cell>
        </row>
      </sheetData>
      <sheetData sheetId="2"/>
      <sheetData sheetId="3"/>
      <sheetData sheetId="4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≠ UT</v>
          </cell>
        </row>
        <row r="6">
          <cell r="E6">
            <v>18.080560784416285</v>
          </cell>
        </row>
        <row r="10">
          <cell r="E10">
            <v>0.24552068617346434</v>
          </cell>
        </row>
        <row r="14">
          <cell r="E14">
            <v>7.726651745776528</v>
          </cell>
        </row>
        <row r="32">
          <cell r="C32">
            <v>0</v>
          </cell>
        </row>
        <row r="34">
          <cell r="C34">
            <v>2.6913899178684059E-2</v>
          </cell>
          <cell r="E34">
            <v>2.6913899178684062</v>
          </cell>
        </row>
        <row r="36">
          <cell r="C36">
            <v>0.53939459032003356</v>
          </cell>
        </row>
        <row r="40">
          <cell r="C40">
            <v>0.26617113709753332</v>
          </cell>
        </row>
        <row r="54">
          <cell r="C54">
            <v>0</v>
          </cell>
        </row>
      </sheetData>
      <sheetData sheetId="1">
        <row r="2">
          <cell r="D2">
            <v>0.40592790663552347</v>
          </cell>
        </row>
        <row r="3">
          <cell r="D3">
            <v>9.5009305894028326E-2</v>
          </cell>
        </row>
      </sheetData>
      <sheetData sheetId="2"/>
      <sheetData sheetId="3"/>
      <sheetData sheetId="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≠ UT</v>
          </cell>
        </row>
        <row r="6">
          <cell r="E6">
            <v>19.617423597439078</v>
          </cell>
        </row>
        <row r="10">
          <cell r="E10">
            <v>0.24544532771942168</v>
          </cell>
        </row>
        <row r="14">
          <cell r="E14">
            <v>7.7470100243151929</v>
          </cell>
        </row>
        <row r="32">
          <cell r="C32">
            <v>0</v>
          </cell>
        </row>
        <row r="34">
          <cell r="C34">
            <v>5.2054815566791146E-2</v>
          </cell>
          <cell r="E34">
            <v>5.2054815566791142</v>
          </cell>
        </row>
        <row r="36">
          <cell r="C36">
            <v>0.54928120973051187</v>
          </cell>
        </row>
        <row r="40">
          <cell r="C40">
            <v>0.23280053410809087</v>
          </cell>
        </row>
        <row r="54">
          <cell r="C54">
            <v>0</v>
          </cell>
        </row>
      </sheetData>
      <sheetData sheetId="1">
        <row r="2">
          <cell r="D2">
            <v>0.38805548996691258</v>
          </cell>
        </row>
        <row r="3">
          <cell r="D3">
            <v>7.7649449389764535E-2</v>
          </cell>
        </row>
      </sheetData>
      <sheetData sheetId="2"/>
      <sheetData sheetId="3"/>
      <sheetData sheetId="4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≠ UT</v>
          </cell>
        </row>
        <row r="6">
          <cell r="E6">
            <v>18.8723216770432</v>
          </cell>
        </row>
        <row r="10">
          <cell r="E10">
            <v>0.2472765174224415</v>
          </cell>
        </row>
        <row r="14">
          <cell r="E14">
            <v>7.7776726346302993</v>
          </cell>
        </row>
        <row r="32">
          <cell r="C32">
            <v>0</v>
          </cell>
        </row>
        <row r="34">
          <cell r="C34">
            <v>6.6435256197489551E-2</v>
          </cell>
          <cell r="E34">
            <v>6.6435256197489565</v>
          </cell>
        </row>
        <row r="36">
          <cell r="C36">
            <v>0.53472296414186282</v>
          </cell>
        </row>
        <row r="40">
          <cell r="C40">
            <v>0.23341990372194193</v>
          </cell>
        </row>
        <row r="54">
          <cell r="C54">
            <v>0</v>
          </cell>
        </row>
      </sheetData>
      <sheetData sheetId="1">
        <row r="2">
          <cell r="D2">
            <v>0.38630357641028418</v>
          </cell>
        </row>
        <row r="3">
          <cell r="D3">
            <v>7.708470969524707E-2</v>
          </cell>
        </row>
      </sheetData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2.2616534359339989E-4</v>
          </cell>
          <cell r="E34">
            <v>2.2616534359339989E-2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17.560308968043898</v>
          </cell>
        </row>
        <row r="14">
          <cell r="E14">
            <v>41.816658454898452</v>
          </cell>
        </row>
        <row r="32">
          <cell r="C32">
            <v>0</v>
          </cell>
        </row>
        <row r="34">
          <cell r="C34">
            <v>1.3665616217637087E-3</v>
          </cell>
          <cell r="E34">
            <v>0.13665616217637089</v>
          </cell>
        </row>
        <row r="36">
          <cell r="C36">
            <v>0.20375182256396532</v>
          </cell>
        </row>
        <row r="40">
          <cell r="C40">
            <v>0.79488161581427086</v>
          </cell>
        </row>
        <row r="54">
          <cell r="C54">
            <v>28.540720045533892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3.3739814544855619E-3</v>
          </cell>
          <cell r="E34">
            <v>0.33739814544855617</v>
          </cell>
        </row>
        <row r="36">
          <cell r="C36">
            <v>0.94846202065348939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40.608401499598699</v>
          </cell>
        </row>
        <row r="14">
          <cell r="E14">
            <v>91.193661568819863</v>
          </cell>
        </row>
        <row r="32">
          <cell r="C32">
            <v>0</v>
          </cell>
        </row>
        <row r="34">
          <cell r="C34">
            <v>3.773542327480609E-3</v>
          </cell>
          <cell r="E34">
            <v>0.3773542327480609</v>
          </cell>
        </row>
        <row r="36">
          <cell r="C36">
            <v>0</v>
          </cell>
        </row>
        <row r="40">
          <cell r="C40">
            <v>0.99622645767251916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8.492823755588411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0.24908775363343993</v>
          </cell>
          <cell r="E34">
            <v>24.908775363343992</v>
          </cell>
        </row>
        <row r="36">
          <cell r="C36">
            <v>0.69915416114403695</v>
          </cell>
        </row>
        <row r="40">
          <cell r="C40">
            <v>5.170602421472574E-2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8.6169346444363466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0.35447371101694414</v>
          </cell>
          <cell r="E34">
            <v>35.447371101694415</v>
          </cell>
        </row>
        <row r="36">
          <cell r="C36">
            <v>0.59734229462308497</v>
          </cell>
        </row>
        <row r="40">
          <cell r="C40">
            <v>4.8135573110101533E-2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25.836517033875822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0.44461666237146935</v>
          </cell>
          <cell r="E34">
            <v>44.461666237146936</v>
          </cell>
        </row>
        <row r="36">
          <cell r="C36">
            <v>0.55538333762853076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11.023489235247853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0.53402459447479511</v>
          </cell>
          <cell r="E34">
            <v>53.402459447479508</v>
          </cell>
        </row>
        <row r="36">
          <cell r="C36">
            <v>0.32152803490837717</v>
          </cell>
        </row>
        <row r="40">
          <cell r="C40">
            <v>9.470644618175672E-2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ds"/>
      <sheetName val="Indices"/>
      <sheetName val="Sttlmnt"/>
      <sheetName val="All funds ever"/>
      <sheetName val="PIM Credit Ratings 1Sep2019"/>
      <sheetName val="s122"/>
      <sheetName val="Dates"/>
      <sheetName val="Sent to Confluence"/>
    </sheetNames>
    <sheetDataSet>
      <sheetData sheetId="0">
        <row r="1">
          <cell r="A1" t="str">
            <v>Fund Code</v>
          </cell>
          <cell r="E1" t="str">
            <v>UT</v>
          </cell>
        </row>
        <row r="2">
          <cell r="A2" t="str">
            <v>ABMMABR</v>
          </cell>
          <cell r="E2" t="str">
            <v>UT</v>
          </cell>
        </row>
        <row r="3">
          <cell r="A3" t="str">
            <v>ABMMBND</v>
          </cell>
          <cell r="E3" t="str">
            <v>UT</v>
          </cell>
        </row>
        <row r="4">
          <cell r="A4" t="str">
            <v>ABMMBLIQ</v>
          </cell>
          <cell r="E4" t="str">
            <v>UT</v>
          </cell>
        </row>
        <row r="5">
          <cell r="A5" t="str">
            <v>ABMMEQU</v>
          </cell>
          <cell r="E5" t="str">
            <v>UT</v>
          </cell>
        </row>
        <row r="6">
          <cell r="A6" t="str">
            <v>ADRRC</v>
          </cell>
          <cell r="E6" t="str">
            <v>UT</v>
          </cell>
        </row>
        <row r="7">
          <cell r="A7" t="str">
            <v>ADVMB</v>
          </cell>
          <cell r="E7" t="str">
            <v>≠ UT</v>
          </cell>
        </row>
        <row r="8">
          <cell r="A8" t="str">
            <v>ADVMM</v>
          </cell>
          <cell r="E8" t="str">
            <v>UT</v>
          </cell>
        </row>
        <row r="9">
          <cell r="A9" t="str">
            <v>AFIINC</v>
          </cell>
          <cell r="E9" t="str">
            <v>≠ UT</v>
          </cell>
        </row>
        <row r="10">
          <cell r="A10" t="str">
            <v>ASBTOS</v>
          </cell>
          <cell r="E10" t="str">
            <v>≠ UT</v>
          </cell>
        </row>
        <row r="11">
          <cell r="A11" t="str">
            <v>ASHFLX</v>
          </cell>
          <cell r="E11" t="str">
            <v>UT</v>
          </cell>
        </row>
        <row r="12">
          <cell r="A12" t="str">
            <v>ASHCEIDF</v>
          </cell>
          <cell r="E12" t="str">
            <v>UT</v>
          </cell>
        </row>
        <row r="13">
          <cell r="A13" t="str">
            <v>ASHGFB</v>
          </cell>
          <cell r="E13" t="str">
            <v>UT</v>
          </cell>
        </row>
        <row r="14">
          <cell r="A14" t="str">
            <v>CAPGIP</v>
          </cell>
          <cell r="E14" t="str">
            <v>UT</v>
          </cell>
        </row>
        <row r="15">
          <cell r="A15" t="str">
            <v>CCTCSH</v>
          </cell>
          <cell r="E15" t="str">
            <v>≠ UT</v>
          </cell>
        </row>
        <row r="16">
          <cell r="A16" t="str">
            <v>CMPFCASH</v>
          </cell>
          <cell r="E16" t="str">
            <v>≠ UT</v>
          </cell>
        </row>
        <row r="17">
          <cell r="A17" t="str">
            <v>CMPFFLEX</v>
          </cell>
          <cell r="E17" t="str">
            <v>≠ UT</v>
          </cell>
        </row>
        <row r="18">
          <cell r="A18" t="str">
            <v>CSIRBQP</v>
          </cell>
          <cell r="E18" t="str">
            <v>≠ UT</v>
          </cell>
        </row>
        <row r="19">
          <cell r="A19" t="str">
            <v>ELCIPF</v>
          </cell>
          <cell r="E19" t="str">
            <v>≠ UT</v>
          </cell>
        </row>
        <row r="20">
          <cell r="A20" t="str">
            <v>EMHMMF</v>
          </cell>
          <cell r="E20" t="str">
            <v>UT</v>
          </cell>
        </row>
        <row r="21">
          <cell r="A21" t="str">
            <v>EMHPBQ</v>
          </cell>
          <cell r="E21" t="str">
            <v>UT</v>
          </cell>
        </row>
        <row r="22">
          <cell r="A22" t="str">
            <v>EMHPIP</v>
          </cell>
          <cell r="E22" t="str">
            <v>UT</v>
          </cell>
        </row>
        <row r="23">
          <cell r="A23" t="str">
            <v>HPCF</v>
          </cell>
          <cell r="E23" t="str">
            <v>UT</v>
          </cell>
        </row>
        <row r="24">
          <cell r="A24" t="str">
            <v>ECICBAL</v>
          </cell>
          <cell r="E24" t="str">
            <v>≠ UT</v>
          </cell>
        </row>
        <row r="25">
          <cell r="A25" t="str">
            <v>ECICBALA</v>
          </cell>
          <cell r="E25" t="str">
            <v>≠ UT</v>
          </cell>
        </row>
        <row r="26">
          <cell r="A26" t="str">
            <v>ECICBALE</v>
          </cell>
          <cell r="E26" t="str">
            <v>≠ UT</v>
          </cell>
        </row>
        <row r="27">
          <cell r="A27" t="str">
            <v>ENGENIP</v>
          </cell>
          <cell r="E27" t="str">
            <v>≠ UT</v>
          </cell>
        </row>
        <row r="28">
          <cell r="A28" t="str">
            <v>ENGENMBF</v>
          </cell>
          <cell r="E28" t="str">
            <v>≠ UT</v>
          </cell>
        </row>
        <row r="29">
          <cell r="A29" t="str">
            <v>GACASH</v>
          </cell>
          <cell r="E29" t="str">
            <v>≠ UT</v>
          </cell>
        </row>
        <row r="30">
          <cell r="A30" t="str">
            <v>GAEMBF</v>
          </cell>
          <cell r="E30" t="str">
            <v>≠ UT</v>
          </cell>
        </row>
        <row r="31">
          <cell r="A31" t="str">
            <v>GMRETF</v>
          </cell>
          <cell r="E31" t="str">
            <v>≠ UT</v>
          </cell>
        </row>
        <row r="32">
          <cell r="A32" t="str">
            <v>GMRETF2</v>
          </cell>
          <cell r="E32" t="str">
            <v>≠ UT</v>
          </cell>
        </row>
        <row r="33">
          <cell r="A33" t="str">
            <v>GRFINV</v>
          </cell>
          <cell r="E33" t="str">
            <v>UT</v>
          </cell>
        </row>
        <row r="34">
          <cell r="A34" t="str">
            <v>GTCWP2</v>
          </cell>
          <cell r="E34" t="str">
            <v>UT</v>
          </cell>
        </row>
        <row r="35">
          <cell r="A35" t="str">
            <v>HOLDINC</v>
          </cell>
          <cell r="E35" t="str">
            <v>UT</v>
          </cell>
        </row>
        <row r="36">
          <cell r="A36" t="str">
            <v>HOLDINCR</v>
          </cell>
          <cell r="E36" t="str">
            <v>UT</v>
          </cell>
        </row>
        <row r="37">
          <cell r="A37" t="str">
            <v>HOLMMF</v>
          </cell>
          <cell r="E37" t="str">
            <v>UT</v>
          </cell>
        </row>
        <row r="38">
          <cell r="A38" t="str">
            <v>HOLYPF</v>
          </cell>
          <cell r="E38" t="str">
            <v>UT</v>
          </cell>
        </row>
        <row r="39">
          <cell r="A39" t="str">
            <v>HOSMED</v>
          </cell>
          <cell r="E39" t="str">
            <v>≠ UT</v>
          </cell>
        </row>
        <row r="40">
          <cell r="A40" t="str">
            <v>IMPALA</v>
          </cell>
          <cell r="E40" t="str">
            <v>≠ UT</v>
          </cell>
        </row>
        <row r="41">
          <cell r="A41" t="str">
            <v>IPCASH</v>
          </cell>
          <cell r="E41" t="str">
            <v>≠ UT</v>
          </cell>
        </row>
        <row r="42">
          <cell r="A42" t="str">
            <v>ISPFP</v>
          </cell>
          <cell r="E42" t="str">
            <v>≠ UT</v>
          </cell>
        </row>
        <row r="43">
          <cell r="A43" t="str">
            <v>LIBTAAST</v>
          </cell>
          <cell r="E43" t="str">
            <v>≠ UT</v>
          </cell>
        </row>
        <row r="44">
          <cell r="A44" t="str">
            <v>LIBTAA</v>
          </cell>
          <cell r="E44" t="str">
            <v>≠ UT</v>
          </cell>
        </row>
        <row r="45">
          <cell r="A45" t="str">
            <v>LARETCH</v>
          </cell>
          <cell r="E45" t="str">
            <v>≠ UT</v>
          </cell>
        </row>
        <row r="46">
          <cell r="A46" t="str">
            <v>LARETLB</v>
          </cell>
          <cell r="E46" t="str">
            <v>≠ UT</v>
          </cell>
        </row>
        <row r="47">
          <cell r="A47" t="str">
            <v>LARETLE</v>
          </cell>
          <cell r="E47" t="str">
            <v>≠ UT</v>
          </cell>
        </row>
        <row r="48">
          <cell r="A48" t="str">
            <v>LARETOE</v>
          </cell>
          <cell r="E48" t="str">
            <v>≠ UT</v>
          </cell>
        </row>
        <row r="49">
          <cell r="A49" t="str">
            <v>LIBTAAUT</v>
          </cell>
          <cell r="E49" t="str">
            <v>≠ UT</v>
          </cell>
        </row>
        <row r="50">
          <cell r="A50" t="str">
            <v>NFMWAGG</v>
          </cell>
          <cell r="E50" t="str">
            <v>≠ UT</v>
          </cell>
        </row>
        <row r="51">
          <cell r="A51" t="str">
            <v>NFMWGF</v>
          </cell>
          <cell r="E51" t="str">
            <v>≠ UT</v>
          </cell>
        </row>
        <row r="52">
          <cell r="A52" t="str">
            <v>NFMWSTA</v>
          </cell>
          <cell r="E52" t="str">
            <v>≠ UT</v>
          </cell>
        </row>
        <row r="53">
          <cell r="A53" t="str">
            <v>LPIIFTAA</v>
          </cell>
          <cell r="E53" t="str">
            <v>≠ UT</v>
          </cell>
        </row>
        <row r="54">
          <cell r="A54" t="str">
            <v>MASAMMF</v>
          </cell>
          <cell r="E54" t="str">
            <v>≠ UT</v>
          </cell>
        </row>
        <row r="55">
          <cell r="A55" t="str">
            <v>MASASI</v>
          </cell>
          <cell r="E55" t="str">
            <v>≠ UT</v>
          </cell>
        </row>
        <row r="56">
          <cell r="A56" t="str">
            <v>MEDIPOS</v>
          </cell>
          <cell r="E56" t="str">
            <v>≠ UT</v>
          </cell>
        </row>
        <row r="57">
          <cell r="A57" t="str">
            <v>METGRP</v>
          </cell>
          <cell r="E57" t="str">
            <v>≠ UT</v>
          </cell>
        </row>
        <row r="58">
          <cell r="A58" t="str">
            <v>MOMABIL</v>
          </cell>
          <cell r="E58" t="str">
            <v>≠ UT</v>
          </cell>
        </row>
        <row r="59">
          <cell r="A59" t="str">
            <v>MOMBBF</v>
          </cell>
          <cell r="E59" t="str">
            <v>UT</v>
          </cell>
        </row>
        <row r="60">
          <cell r="A60" t="str">
            <v>MOMBBRF</v>
          </cell>
          <cell r="E60" t="str">
            <v>≠ UT</v>
          </cell>
        </row>
        <row r="61">
          <cell r="A61" t="str">
            <v>MOMFLX</v>
          </cell>
          <cell r="E61" t="str">
            <v>UT</v>
          </cell>
        </row>
        <row r="62">
          <cell r="A62" t="str">
            <v>MOMPRET</v>
          </cell>
          <cell r="E62" t="str">
            <v>≠ UT</v>
          </cell>
        </row>
        <row r="63">
          <cell r="A63" t="str">
            <v>MOMSGPR</v>
          </cell>
          <cell r="E63" t="str">
            <v>≠ UT</v>
          </cell>
        </row>
        <row r="64">
          <cell r="A64" t="str">
            <v>NFMWEQU</v>
          </cell>
          <cell r="E64" t="str">
            <v>≠ UT</v>
          </cell>
        </row>
        <row r="65">
          <cell r="A65" t="str">
            <v>MWPFEQU</v>
          </cell>
          <cell r="E65" t="str">
            <v>≠ UT</v>
          </cell>
        </row>
        <row r="66">
          <cell r="A66" t="str">
            <v>NEDMED</v>
          </cell>
          <cell r="E66" t="str">
            <v>≠ UT</v>
          </cell>
        </row>
        <row r="67">
          <cell r="A67" t="str">
            <v>NELSON</v>
          </cell>
          <cell r="E67" t="str">
            <v>≠ UT</v>
          </cell>
        </row>
        <row r="68">
          <cell r="A68" t="str">
            <v>OMLMMF</v>
          </cell>
          <cell r="E68" t="str">
            <v>UT</v>
          </cell>
        </row>
        <row r="69">
          <cell r="A69" t="str">
            <v>PABS</v>
          </cell>
          <cell r="E69" t="str">
            <v>UT</v>
          </cell>
        </row>
        <row r="70">
          <cell r="A70" t="str">
            <v>PBAL</v>
          </cell>
          <cell r="E70" t="str">
            <v>UT</v>
          </cell>
        </row>
        <row r="71">
          <cell r="A71" t="str">
            <v>PBNDQ</v>
          </cell>
          <cell r="E71" t="str">
            <v>UT</v>
          </cell>
        </row>
        <row r="72">
          <cell r="A72" t="str">
            <v>PCBF</v>
          </cell>
          <cell r="E72" t="str">
            <v>UT</v>
          </cell>
        </row>
        <row r="73">
          <cell r="A73" t="str">
            <v>PCEQTF</v>
          </cell>
          <cell r="E73" t="str">
            <v>UT</v>
          </cell>
        </row>
        <row r="74">
          <cell r="A74" t="str">
            <v>PCSHQ</v>
          </cell>
          <cell r="E74" t="str">
            <v>UT</v>
          </cell>
        </row>
        <row r="75">
          <cell r="A75" t="str">
            <v>PEAQ</v>
          </cell>
          <cell r="E75" t="str">
            <v>UT</v>
          </cell>
        </row>
        <row r="76">
          <cell r="A76" t="str">
            <v>PEQ</v>
          </cell>
          <cell r="E76" t="str">
            <v>UT</v>
          </cell>
        </row>
        <row r="77">
          <cell r="A77" t="str">
            <v>PFFIF</v>
          </cell>
          <cell r="E77" t="str">
            <v>UT</v>
          </cell>
        </row>
        <row r="78">
          <cell r="A78" t="str">
            <v>PGGF</v>
          </cell>
          <cell r="E78" t="str">
            <v>UT</v>
          </cell>
        </row>
        <row r="79">
          <cell r="A79" t="str">
            <v>PGIF</v>
          </cell>
          <cell r="E79" t="str">
            <v>UT</v>
          </cell>
        </row>
        <row r="80">
          <cell r="A80" t="str">
            <v>PICPROV</v>
          </cell>
          <cell r="E80" t="str">
            <v>≠ UT</v>
          </cell>
        </row>
        <row r="81">
          <cell r="A81" t="str">
            <v>PIMBAL</v>
          </cell>
          <cell r="E81" t="str">
            <v>UT</v>
          </cell>
        </row>
        <row r="82">
          <cell r="A82" t="str">
            <v>PIMEVO</v>
          </cell>
          <cell r="E82" t="str">
            <v>≠ UT</v>
          </cell>
        </row>
        <row r="83">
          <cell r="A83" t="str">
            <v>PIMIDF</v>
          </cell>
          <cell r="E83" t="str">
            <v>≠ UT</v>
          </cell>
        </row>
        <row r="84">
          <cell r="A84" t="str">
            <v>PIPF</v>
          </cell>
          <cell r="E84" t="str">
            <v>UT</v>
          </cell>
        </row>
        <row r="85">
          <cell r="A85" t="str">
            <v>PIPFP</v>
          </cell>
          <cell r="E85" t="str">
            <v>UT</v>
          </cell>
        </row>
        <row r="86">
          <cell r="A86" t="str">
            <v>PLIPF</v>
          </cell>
          <cell r="E86" t="str">
            <v>≠ UT</v>
          </cell>
        </row>
        <row r="87">
          <cell r="A87" t="str">
            <v>PLMED</v>
          </cell>
          <cell r="E87" t="str">
            <v>≠ UT</v>
          </cell>
        </row>
        <row r="88">
          <cell r="A88" t="str">
            <v>PLPRGR</v>
          </cell>
          <cell r="E88" t="str">
            <v>≠ UT</v>
          </cell>
        </row>
        <row r="89">
          <cell r="A89" t="str">
            <v>PLPRNA</v>
          </cell>
          <cell r="E89" t="str">
            <v>≠ UT</v>
          </cell>
        </row>
        <row r="90">
          <cell r="A90" t="str">
            <v>PMMF</v>
          </cell>
          <cell r="E90" t="str">
            <v>UT</v>
          </cell>
        </row>
        <row r="91">
          <cell r="A91" t="str">
            <v>POIF</v>
          </cell>
          <cell r="E91" t="str">
            <v>UT</v>
          </cell>
        </row>
        <row r="92">
          <cell r="A92" t="str">
            <v>PORFGPR</v>
          </cell>
          <cell r="E92" t="str">
            <v>≠ UT</v>
          </cell>
        </row>
        <row r="93">
          <cell r="A93" t="str">
            <v>PPEF</v>
          </cell>
          <cell r="E93" t="str">
            <v>UT</v>
          </cell>
        </row>
        <row r="94">
          <cell r="A94" t="str">
            <v>PPOS</v>
          </cell>
          <cell r="E94" t="str">
            <v>UT</v>
          </cell>
        </row>
        <row r="95">
          <cell r="A95" t="str">
            <v>PCAEF</v>
          </cell>
          <cell r="E95" t="str">
            <v>UT</v>
          </cell>
        </row>
        <row r="96">
          <cell r="A96" t="str">
            <v>PPSRBNQ</v>
          </cell>
          <cell r="E96" t="str">
            <v>UT</v>
          </cell>
        </row>
        <row r="97">
          <cell r="A97" t="str">
            <v>PPSFLEX</v>
          </cell>
          <cell r="E97" t="str">
            <v>UT</v>
          </cell>
        </row>
        <row r="98">
          <cell r="A98" t="str">
            <v>PPSFLXRF</v>
          </cell>
          <cell r="E98" t="str">
            <v>≠ UT</v>
          </cell>
        </row>
        <row r="99">
          <cell r="A99" t="str">
            <v>PSILB</v>
          </cell>
          <cell r="E99" t="str">
            <v>≠ UT</v>
          </cell>
        </row>
        <row r="100">
          <cell r="A100" t="str">
            <v>PPSBAL</v>
          </cell>
          <cell r="E100" t="str">
            <v>≠ UT</v>
          </cell>
        </row>
        <row r="101">
          <cell r="A101" t="str">
            <v>PSPAM</v>
          </cell>
          <cell r="E101" t="str">
            <v>≠ UT</v>
          </cell>
        </row>
        <row r="102">
          <cell r="A102" t="str">
            <v>PSTIF</v>
          </cell>
          <cell r="E102" t="str">
            <v>UT</v>
          </cell>
        </row>
        <row r="103">
          <cell r="A103" t="str">
            <v>PTIF</v>
          </cell>
          <cell r="E103" t="str">
            <v>≠ UT</v>
          </cell>
        </row>
        <row r="104">
          <cell r="A104" t="str">
            <v>SAAMCAU</v>
          </cell>
          <cell r="E104" t="str">
            <v>UT</v>
          </cell>
        </row>
        <row r="105">
          <cell r="A105" t="str">
            <v>SAAMMAN</v>
          </cell>
          <cell r="E105" t="str">
            <v>UT</v>
          </cell>
        </row>
        <row r="106">
          <cell r="A106" t="str">
            <v>SAAMMOD</v>
          </cell>
          <cell r="E106" t="str">
            <v>UT</v>
          </cell>
        </row>
        <row r="107">
          <cell r="A107" t="str">
            <v>SABCCSHF</v>
          </cell>
          <cell r="E107" t="str">
            <v>≠ UT</v>
          </cell>
        </row>
        <row r="108">
          <cell r="A108" t="str">
            <v>SISLP</v>
          </cell>
          <cell r="E108" t="str">
            <v>≠ UT</v>
          </cell>
        </row>
        <row r="109">
          <cell r="A109" t="str">
            <v>SISMMF</v>
          </cell>
          <cell r="E109" t="str">
            <v>UT</v>
          </cell>
        </row>
        <row r="110">
          <cell r="A110" t="str">
            <v>SMMAIF</v>
          </cell>
          <cell r="E110" t="str">
            <v>UT</v>
          </cell>
        </row>
        <row r="111">
          <cell r="A111" t="str">
            <v>SMMBPR</v>
          </cell>
          <cell r="E111" t="str">
            <v>UT</v>
          </cell>
        </row>
        <row r="112">
          <cell r="A112" t="str">
            <v>SMMEYP</v>
          </cell>
          <cell r="E112" t="str">
            <v>UT</v>
          </cell>
        </row>
        <row r="113">
          <cell r="A113" t="str">
            <v>SMMIBF</v>
          </cell>
          <cell r="E113" t="str">
            <v>UT</v>
          </cell>
        </row>
        <row r="114">
          <cell r="A114" t="str">
            <v>SMMRRF</v>
          </cell>
          <cell r="E114" t="str">
            <v>UT</v>
          </cell>
        </row>
        <row r="115">
          <cell r="A115" t="str">
            <v>SSLSP</v>
          </cell>
          <cell r="E115" t="str">
            <v>≠ UT</v>
          </cell>
        </row>
        <row r="116">
          <cell r="A116" t="str">
            <v>STBFIP</v>
          </cell>
          <cell r="E116" t="str">
            <v>≠ UT</v>
          </cell>
        </row>
        <row r="117">
          <cell r="A117" t="str">
            <v>STSBND</v>
          </cell>
          <cell r="E117" t="str">
            <v>UT</v>
          </cell>
        </row>
        <row r="118">
          <cell r="A118" t="str">
            <v>STSYPF</v>
          </cell>
          <cell r="E118" t="str">
            <v>≠ UT</v>
          </cell>
        </row>
        <row r="119">
          <cell r="A119" t="str">
            <v>SWGSWX</v>
          </cell>
          <cell r="E119" t="str">
            <v>≠ UT</v>
          </cell>
        </row>
        <row r="120">
          <cell r="A120" t="str">
            <v>SYGCSWX</v>
          </cell>
          <cell r="E120" t="str">
            <v>≠ UT</v>
          </cell>
        </row>
        <row r="121">
          <cell r="A121" t="str">
            <v>CCNPF</v>
          </cell>
          <cell r="E121" t="str">
            <v>≠ UT</v>
          </cell>
        </row>
        <row r="122">
          <cell r="A122" t="str">
            <v>SYMMMF</v>
          </cell>
          <cell r="E122" t="str">
            <v>UT</v>
          </cell>
        </row>
        <row r="123">
          <cell r="A123" t="str">
            <v>TRFINC</v>
          </cell>
          <cell r="E123" t="str">
            <v>≠ UT</v>
          </cell>
        </row>
        <row r="124">
          <cell r="A124" t="str">
            <v>TRFWLTH</v>
          </cell>
          <cell r="E124" t="str">
            <v>≠ UT</v>
          </cell>
        </row>
        <row r="125">
          <cell r="A125" t="str">
            <v>TRSECRF</v>
          </cell>
          <cell r="E125" t="str">
            <v>≠ UT</v>
          </cell>
        </row>
        <row r="126">
          <cell r="A126" t="str">
            <v>UCT3IP</v>
          </cell>
          <cell r="E126" t="str">
            <v>≠ UT</v>
          </cell>
        </row>
        <row r="127">
          <cell r="A127" t="str">
            <v>UCT3YQ</v>
          </cell>
          <cell r="E127" t="str">
            <v>≠ UT</v>
          </cell>
        </row>
        <row r="128">
          <cell r="A128" t="str">
            <v>UCTINC</v>
          </cell>
          <cell r="E128" t="str">
            <v>≠ UT</v>
          </cell>
        </row>
        <row r="129">
          <cell r="A129" t="str">
            <v>UCTRFBND</v>
          </cell>
          <cell r="E129" t="str">
            <v>≠ UT</v>
          </cell>
        </row>
        <row r="130">
          <cell r="A130" t="str">
            <v>UCTRFINC</v>
          </cell>
          <cell r="E130" t="str">
            <v>≠ UT</v>
          </cell>
        </row>
        <row r="131">
          <cell r="A131" t="str">
            <v>UNVFRS</v>
          </cell>
          <cell r="E131" t="str">
            <v>≠ UT</v>
          </cell>
        </row>
        <row r="132">
          <cell r="A132" t="str">
            <v>USAIPF</v>
          </cell>
          <cell r="E132" t="str">
            <v>≠ UT</v>
          </cell>
        </row>
        <row r="133">
          <cell r="A133" t="str">
            <v>USA41</v>
          </cell>
          <cell r="E133"/>
        </row>
        <row r="134">
          <cell r="A134" t="str">
            <v>PGBF</v>
          </cell>
          <cell r="E134" t="str">
            <v>UT</v>
          </cell>
        </row>
        <row r="135">
          <cell r="A135" t="str">
            <v>PIF</v>
          </cell>
          <cell r="E135" t="str">
            <v>UT</v>
          </cell>
        </row>
        <row r="136">
          <cell r="A136" t="str">
            <v>PCGEF</v>
          </cell>
          <cell r="E136" t="str">
            <v>UT</v>
          </cell>
        </row>
        <row r="137">
          <cell r="A137" t="str">
            <v>PCCEF</v>
          </cell>
          <cell r="E137" t="str">
            <v>UT</v>
          </cell>
        </row>
        <row r="138">
          <cell r="A138" t="str">
            <v>OMFLXI5</v>
          </cell>
          <cell r="E138" t="str">
            <v>UT</v>
          </cell>
        </row>
        <row r="139">
          <cell r="A139" t="str">
            <v>AMMIPF</v>
          </cell>
          <cell r="E139" t="str">
            <v>≠ UT</v>
          </cell>
        </row>
        <row r="140">
          <cell r="A140" t="str">
            <v>TOYCEF</v>
          </cell>
          <cell r="E140" t="str">
            <v>≠ UT</v>
          </cell>
        </row>
        <row r="141">
          <cell r="A141" t="str">
            <v>ACIMMF</v>
          </cell>
          <cell r="E141" t="str">
            <v>UT</v>
          </cell>
        </row>
        <row r="142">
          <cell r="A142" t="str">
            <v>SHNIPF</v>
          </cell>
          <cell r="E142" t="str">
            <v>≠ UT</v>
          </cell>
        </row>
        <row r="143">
          <cell r="A143" t="str">
            <v>TSHMPF</v>
          </cell>
          <cell r="E143" t="str">
            <v>≠ UT</v>
          </cell>
        </row>
        <row r="144">
          <cell r="A144" t="str">
            <v>MASAINC</v>
          </cell>
          <cell r="E144" t="str">
            <v>≠ UT</v>
          </cell>
        </row>
        <row r="145">
          <cell r="A145" t="str">
            <v>MASAINRF</v>
          </cell>
          <cell r="E145" t="str">
            <v>≠ UT</v>
          </cell>
        </row>
        <row r="146">
          <cell r="A146" t="str">
            <v>PCMMF</v>
          </cell>
          <cell r="E146" t="str">
            <v>UT</v>
          </cell>
        </row>
        <row r="147">
          <cell r="A147" t="str">
            <v>SILEQF</v>
          </cell>
          <cell r="E147" t="str">
            <v>≠ UT</v>
          </cell>
        </row>
        <row r="148">
          <cell r="A148" t="str">
            <v>SILAIF</v>
          </cell>
          <cell r="E148" t="str">
            <v>UT</v>
          </cell>
        </row>
        <row r="149">
          <cell r="A149" t="str">
            <v>NESEQU</v>
          </cell>
          <cell r="E149" t="str">
            <v>≠ UT</v>
          </cell>
        </row>
        <row r="150">
          <cell r="A150" t="str">
            <v>NGKINC</v>
          </cell>
          <cell r="E150" t="str">
            <v>≠ UT</v>
          </cell>
        </row>
        <row r="151">
          <cell r="A151" t="str">
            <v>PPWEQU</v>
          </cell>
          <cell r="E151" t="str">
            <v>≠ UT</v>
          </cell>
        </row>
        <row r="152">
          <cell r="A152" t="str">
            <v>AFPFLB</v>
          </cell>
          <cell r="E152" t="str">
            <v>UT</v>
          </cell>
        </row>
        <row r="153">
          <cell r="A153" t="str">
            <v>IJGMMF</v>
          </cell>
          <cell r="E153" t="str">
            <v>UT</v>
          </cell>
        </row>
        <row r="154">
          <cell r="A154" t="str">
            <v>IJGBAL</v>
          </cell>
          <cell r="E154" t="str">
            <v>UT</v>
          </cell>
        </row>
        <row r="155">
          <cell r="A155" t="str">
            <v>IJGIPF</v>
          </cell>
          <cell r="E155" t="str">
            <v>UT</v>
          </cell>
        </row>
        <row r="156">
          <cell r="A156" t="str">
            <v>IJGCOR</v>
          </cell>
          <cell r="E156" t="str">
            <v>UT</v>
          </cell>
        </row>
        <row r="157">
          <cell r="A157" t="str">
            <v>ABMMABRF</v>
          </cell>
          <cell r="E157" t="str">
            <v>UT</v>
          </cell>
        </row>
        <row r="158">
          <cell r="A158" t="str">
            <v>PGPGIF</v>
          </cell>
          <cell r="E158" t="str">
            <v>≠ UT</v>
          </cell>
        </row>
        <row r="159">
          <cell r="A159" t="str">
            <v>PGPRF</v>
          </cell>
          <cell r="E159" t="str">
            <v>≠ UT</v>
          </cell>
        </row>
        <row r="160">
          <cell r="A160" t="str">
            <v>PGPRF_C</v>
          </cell>
          <cell r="E160" t="str">
            <v>≠ UT</v>
          </cell>
        </row>
        <row r="161">
          <cell r="A161" t="str">
            <v>PGPGBF</v>
          </cell>
          <cell r="E161" t="str">
            <v>≠ UT</v>
          </cell>
        </row>
        <row r="162">
          <cell r="A162" t="str">
            <v>PGCBF</v>
          </cell>
          <cell r="E162" t="str">
            <v>≠ UT</v>
          </cell>
        </row>
        <row r="163">
          <cell r="A163" t="str">
            <v>PGCCF</v>
          </cell>
          <cell r="E163" t="str">
            <v>≠ UT</v>
          </cell>
        </row>
        <row r="164">
          <cell r="A164" t="str">
            <v>PGCEF</v>
          </cell>
          <cell r="E164" t="str">
            <v>≠ UT</v>
          </cell>
        </row>
        <row r="165">
          <cell r="A165" t="str">
            <v>PGPGGF</v>
          </cell>
          <cell r="E165" t="str">
            <v>≠ UT</v>
          </cell>
        </row>
        <row r="166">
          <cell r="A166" t="str">
            <v>PGPGBF_C</v>
          </cell>
          <cell r="E166" t="str">
            <v>≠ UT</v>
          </cell>
        </row>
        <row r="167">
          <cell r="A167" t="str">
            <v>PGPGIF_C</v>
          </cell>
          <cell r="E167" t="str">
            <v>≠ UT</v>
          </cell>
        </row>
        <row r="168">
          <cell r="A168" t="str">
            <v>PGPCGE</v>
          </cell>
          <cell r="E168" t="str">
            <v>≠ UT</v>
          </cell>
        </row>
        <row r="169">
          <cell r="A169" t="str">
            <v>QIFFGIF</v>
          </cell>
          <cell r="E169" t="str">
            <v>≠ UT</v>
          </cell>
        </row>
        <row r="170">
          <cell r="A170" t="str">
            <v>POIF_C</v>
          </cell>
          <cell r="E170" t="str">
            <v>UT</v>
          </cell>
        </row>
        <row r="171">
          <cell r="A171" t="str">
            <v>REG29_HOSMED</v>
          </cell>
          <cell r="E171" t="str">
            <v>≠ UT</v>
          </cell>
        </row>
        <row r="172">
          <cell r="A172" t="str">
            <v>REG29_Golden</v>
          </cell>
          <cell r="E172" t="str">
            <v>≠ UT</v>
          </cell>
        </row>
        <row r="173">
          <cell r="A173" t="str">
            <v>PPSBAL_C</v>
          </cell>
          <cell r="E173" t="str">
            <v>UT</v>
          </cell>
        </row>
        <row r="174">
          <cell r="A174" t="str">
            <v>ECICBALC</v>
          </cell>
          <cell r="E174" t="str">
            <v>≠ UT</v>
          </cell>
        </row>
        <row r="175">
          <cell r="A175" t="str">
            <v>MEDINC</v>
          </cell>
          <cell r="E175" t="str">
            <v>≠ UT</v>
          </cell>
        </row>
        <row r="176">
          <cell r="A176" t="str">
            <v>PPSNAM</v>
          </cell>
          <cell r="E176" t="str">
            <v>≠ UT</v>
          </cell>
        </row>
        <row r="177">
          <cell r="A177" t="str">
            <v>POIFEQT</v>
          </cell>
          <cell r="E177" t="str">
            <v>UT</v>
          </cell>
        </row>
        <row r="178">
          <cell r="A178" t="str">
            <v>PPSALBI</v>
          </cell>
          <cell r="E178" t="str">
            <v>≠ UT</v>
          </cell>
        </row>
        <row r="179">
          <cell r="A179" t="str">
            <v>PPSCILI</v>
          </cell>
          <cell r="E179" t="str">
            <v>≠ UT</v>
          </cell>
        </row>
        <row r="180">
          <cell r="A180" t="str">
            <v>PSIF</v>
          </cell>
          <cell r="E180" t="str">
            <v>UT</v>
          </cell>
        </row>
        <row r="181">
          <cell r="A181" t="str">
            <v>ADVTAA</v>
          </cell>
          <cell r="E181" t="str">
            <v>≠ UT</v>
          </cell>
        </row>
        <row r="182">
          <cell r="A182" t="str">
            <v>MOMBAL</v>
          </cell>
          <cell r="E182" t="str">
            <v>≠ UT</v>
          </cell>
        </row>
        <row r="183">
          <cell r="A183" t="str">
            <v>SNPFEQU</v>
          </cell>
          <cell r="E183" t="str">
            <v>≠ UT</v>
          </cell>
        </row>
        <row r="184">
          <cell r="A184" t="str">
            <v>CMPFINC</v>
          </cell>
          <cell r="E184" t="str">
            <v>≠ UT</v>
          </cell>
        </row>
        <row r="185">
          <cell r="A185" t="str">
            <v>PBBGPF</v>
          </cell>
          <cell r="E185" t="str">
            <v>≠ UT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file:///\\pim-cpt-fs\profile$\PProfile%20Operations\Legal\Legal%20and%20Compliance%20Framework\Hilton\Client%20Mandates\HOLDINC%20rules.docx" TargetMode="External"/><Relationship Id="rId117" Type="http://schemas.openxmlformats.org/officeDocument/2006/relationships/hyperlink" Target="file:///\\pim-cpt-statpro\SPC_602\Client\Profiles\PIM\Exports\CAPGIP%20Derv%20Calc%206Apr2022.xlsx" TargetMode="External"/><Relationship Id="rId21" Type="http://schemas.openxmlformats.org/officeDocument/2006/relationships/hyperlink" Target="file:///\\pim-cpt-statpro\SPC_602\Client\Profiles\PIM\Exports\ENGENMBF%20Derv%20Calc%206Apr2022.xlsx" TargetMode="External"/><Relationship Id="rId42" Type="http://schemas.openxmlformats.org/officeDocument/2006/relationships/hyperlink" Target="file:///\\pim-cpt-fs\profile$\PProfile%20Operations\Legal\Legal%20and%20Compliance%20Framework\Hilton\Client%20Mandates\IJGBAL%20rules.docx" TargetMode="External"/><Relationship Id="rId47" Type="http://schemas.openxmlformats.org/officeDocument/2006/relationships/hyperlink" Target="file:///\\pim-cpt-statpro\SPC_602\Client\Profiles\PIM\Exports\LIBTAA%20Derv%20Calc%206Apr2022.xlsx" TargetMode="External"/><Relationship Id="rId63" Type="http://schemas.openxmlformats.org/officeDocument/2006/relationships/hyperlink" Target="file:///\\pim-cpt-statpro\SPC_602\Client\Profiles\PIM\Exports\PBAL%20Derv%20Calc%206Apr2022.xlsx" TargetMode="External"/><Relationship Id="rId68" Type="http://schemas.openxmlformats.org/officeDocument/2006/relationships/hyperlink" Target="file:///\\pim-cpt-fs\profile$\PProfile%20Operations\Legal\Legal%20and%20Compliance%20Framework\Hilton\Client%20Mandates\PCAEF%20rules.docx" TargetMode="External"/><Relationship Id="rId84" Type="http://schemas.openxmlformats.org/officeDocument/2006/relationships/hyperlink" Target="file:///\\pim-cpt-fs\profile$\PProfile%20Operations\Legal\Legal%20and%20Compliance%20Framework\Hilton\Client%20Mandates\PFFIF%20rules.docx" TargetMode="External"/><Relationship Id="rId89" Type="http://schemas.openxmlformats.org/officeDocument/2006/relationships/hyperlink" Target="file:///\\pim-cpt-statpro\SPC_602\Client\Profiles\PIM\Exports\PPOS%20Derv%20Calc%206Apr2022.xlsx" TargetMode="External"/><Relationship Id="rId112" Type="http://schemas.openxmlformats.org/officeDocument/2006/relationships/hyperlink" Target="file:///\\pim-cpt-fs\profile$\PProfile%20Operations\Legal\Legal%20and%20Compliance%20Framework\Hilton\Client%20Mandates\SAAMCAU%20rules.docx" TargetMode="External"/><Relationship Id="rId133" Type="http://schemas.openxmlformats.org/officeDocument/2006/relationships/hyperlink" Target="file:///\\pim-cpt-statpro\SPC_602\Client\Profiles\PIM\Exports\SMMIBF%20Derv%20Calc%206Apr2022.xlsx" TargetMode="External"/><Relationship Id="rId138" Type="http://schemas.openxmlformats.org/officeDocument/2006/relationships/hyperlink" Target="file:///\\pim-cpt-fs\profile$\PProfile%20Operations\Legal\Legal%20and%20Compliance%20Framework\Hilton\Client%20Mandates\SMMAIF%20rules.docx" TargetMode="External"/><Relationship Id="rId154" Type="http://schemas.openxmlformats.org/officeDocument/2006/relationships/drawing" Target="../drawings/drawing1.xml"/><Relationship Id="rId16" Type="http://schemas.openxmlformats.org/officeDocument/2006/relationships/hyperlink" Target="file:///\\pim-cpt-fs\profile$\PProfile%20Operations\Legal\Legal%20and%20Compliance%20Framework\Hilton\Client%20Mandates\SHNIPF%20rules.docx" TargetMode="External"/><Relationship Id="rId107" Type="http://schemas.openxmlformats.org/officeDocument/2006/relationships/hyperlink" Target="file:///\\pim-cpt-statpro\SPC_602\Client\Profiles\PIM\Exports\NGKINC%20Derv%20Calc%206Apr2022.xlsx" TargetMode="External"/><Relationship Id="rId11" Type="http://schemas.openxmlformats.org/officeDocument/2006/relationships/hyperlink" Target="file:///\\pim-cpt-statpro\SPC_602\Client\Profiles\PIM\Exports\SISLP%20Derv%20Calc%206Apr2022.xlsx" TargetMode="External"/><Relationship Id="rId32" Type="http://schemas.openxmlformats.org/officeDocument/2006/relationships/hyperlink" Target="file:///\\pim-cpt-fs\profile$\PProfile%20Operations\Legal\Legal%20and%20Compliance%20Framework\Hilton\Client%20Mandates\GAEMBF%20rules.docx" TargetMode="External"/><Relationship Id="rId37" Type="http://schemas.openxmlformats.org/officeDocument/2006/relationships/hyperlink" Target="file:///\\pim-cpt-statpro\SPC_602\Client\Profiles\PIM\Exports\GRFINV%20Derv%20Calc%206Apr2022.xlsx" TargetMode="External"/><Relationship Id="rId53" Type="http://schemas.openxmlformats.org/officeDocument/2006/relationships/hyperlink" Target="file:///\\pim-cpt-statpro\SPC_602\Client\Profiles\PIM\Exports\MOMPRET%20Derv%20Calc%206Apr2022.xlsx" TargetMode="External"/><Relationship Id="rId58" Type="http://schemas.openxmlformats.org/officeDocument/2006/relationships/hyperlink" Target="file:///\\pim-cpt-fs\profile$\PProfile%20Operations\Legal\Legal%20and%20Compliance%20Framework\Hilton\Client%20Mandates\NFMWEQU%20rules.docx" TargetMode="External"/><Relationship Id="rId74" Type="http://schemas.openxmlformats.org/officeDocument/2006/relationships/hyperlink" Target="file:///\\pim-cpt-fs\profile$\PProfile%20Operations\Legal\Legal%20and%20Compliance%20Framework\Hilton\Client%20Mandates\PCGEF%20rules.docx" TargetMode="External"/><Relationship Id="rId79" Type="http://schemas.openxmlformats.org/officeDocument/2006/relationships/hyperlink" Target="file:///\\pim-cpt-statpro\SPC_602\Client\Profiles\PIM\Exports\PEAQ%20Derv%20Calc%206Apr2022.xlsx" TargetMode="External"/><Relationship Id="rId102" Type="http://schemas.openxmlformats.org/officeDocument/2006/relationships/hyperlink" Target="file:///\\pim-cpt-fs\profile$\PProfile%20Operations\Legal\Legal%20and%20Compliance%20Framework\Hilton\Client%20Mandates\PPSBAL_C%20rules.docx" TargetMode="External"/><Relationship Id="rId123" Type="http://schemas.openxmlformats.org/officeDocument/2006/relationships/hyperlink" Target="file:///\\pim-cpt-statpro\SPC_602\Client\Profiles\PIM\Exports\ADRRC%20Derv%20Calc%206Apr2022.xlsx" TargetMode="External"/><Relationship Id="rId128" Type="http://schemas.openxmlformats.org/officeDocument/2006/relationships/hyperlink" Target="file:///\\pim-cpt-fs\profile$\PProfile%20Operations\Legal\Legal%20and%20Compliance%20Framework\Hilton\Client%20Mandates\ASHGFB%20rules.docx" TargetMode="External"/><Relationship Id="rId144" Type="http://schemas.openxmlformats.org/officeDocument/2006/relationships/hyperlink" Target="file:///\\pim-cpt-fs\profile$\PProfile%20Operations\Legal\Legal%20and%20Compliance%20Framework\Hilton\Client%20Mandates\SMMRRF%20rules.docx" TargetMode="External"/><Relationship Id="rId149" Type="http://schemas.openxmlformats.org/officeDocument/2006/relationships/hyperlink" Target="file:///\\pim-cpt-statpro\SPC_602\Client\Profiles\PIM\Exports\TOYCEF%20Derv%20Calc%206Apr2022.xlsx" TargetMode="External"/><Relationship Id="rId5" Type="http://schemas.openxmlformats.org/officeDocument/2006/relationships/hyperlink" Target="file:///\\pim-cpt-statpro\SPC_602\Client\Profiles\PIM\Exports\ABMMABR%20Derv%20Calc%206Apr2022.xlsx" TargetMode="External"/><Relationship Id="rId90" Type="http://schemas.openxmlformats.org/officeDocument/2006/relationships/hyperlink" Target="file:///\\pim-cpt-fs\profile$\PProfile%20Operations\Legal\Legal%20and%20Compliance%20Framework\Hilton\Client%20Mandates\PPOS%20rules.docx" TargetMode="External"/><Relationship Id="rId95" Type="http://schemas.openxmlformats.org/officeDocument/2006/relationships/hyperlink" Target="file:///\\pim-cpt-statpro\SPC_602\Client\Profiles\PIM\Exports\PSIF%20Derv%20Calc%206Apr2022.xlsx" TargetMode="External"/><Relationship Id="rId22" Type="http://schemas.openxmlformats.org/officeDocument/2006/relationships/hyperlink" Target="file:///\\pim-cpt-fs\profile$\PProfile%20Operations\Legal\Legal%20and%20Compliance%20Framework\Hilton\Client%20Mandates\ENGENMBF%20rules.docx" TargetMode="External"/><Relationship Id="rId27" Type="http://schemas.openxmlformats.org/officeDocument/2006/relationships/hyperlink" Target="file:///\\pim-cpt-statpro\SPC_602\Client\Profiles\PIM\Exports\HOLYPF%20Derv%20Calc%206Apr2022.xlsx" TargetMode="External"/><Relationship Id="rId43" Type="http://schemas.openxmlformats.org/officeDocument/2006/relationships/hyperlink" Target="file:///\\pim-cpt-statpro\SPC_602\Client\Profiles\PIM\Exports\IJGCOR%20Derv%20Calc%206Apr2022.xlsx" TargetMode="External"/><Relationship Id="rId48" Type="http://schemas.openxmlformats.org/officeDocument/2006/relationships/hyperlink" Target="file:///\\pim-cpt-fs\profile$\PProfile%20Operations\Legal\Legal%20and%20Compliance%20Framework\Hilton\Client%20Mandates\LIBTAA%20rules.docx" TargetMode="External"/><Relationship Id="rId64" Type="http://schemas.openxmlformats.org/officeDocument/2006/relationships/hyperlink" Target="file:///\\pim-cpt-fs\profile$\PProfile%20Operations\Legal\Legal%20and%20Compliance%20Framework\Hilton\Client%20Mandates\PBAL%20rules.docx" TargetMode="External"/><Relationship Id="rId69" Type="http://schemas.openxmlformats.org/officeDocument/2006/relationships/hyperlink" Target="file:///\\pim-cpt-statpro\SPC_602\Client\Profiles\PIM\Exports\PCCEF%20Derv%20Calc%206Apr2022.xlsx" TargetMode="External"/><Relationship Id="rId113" Type="http://schemas.openxmlformats.org/officeDocument/2006/relationships/hyperlink" Target="file:///\\pim-cpt-statpro\SPC_602\Client\Profiles\PIM\Exports\SAAMMAN%20Derv%20Calc%206Apr2022.xlsx" TargetMode="External"/><Relationship Id="rId118" Type="http://schemas.openxmlformats.org/officeDocument/2006/relationships/hyperlink" Target="file:///\\pim-cpt-fs\profile$\PProfile%20Operations\Legal\Legal%20and%20Compliance%20Framework\Hilton\Client%20Mandates\CAPGIP%20rules.docx" TargetMode="External"/><Relationship Id="rId134" Type="http://schemas.openxmlformats.org/officeDocument/2006/relationships/hyperlink" Target="file:///\\pim-cpt-fs\profile$\PProfile%20Operations\Legal\Legal%20and%20Compliance%20Framework\Hilton\Client%20Mandates\SMMIBF%20rules.docx" TargetMode="External"/><Relationship Id="rId139" Type="http://schemas.openxmlformats.org/officeDocument/2006/relationships/hyperlink" Target="file:///\\pim-cpt-statpro\SPC_602\Client\Profiles\PIM\Exports\SMMBPR%20Derv%20Calc%206Apr2022.xlsx" TargetMode="External"/><Relationship Id="rId80" Type="http://schemas.openxmlformats.org/officeDocument/2006/relationships/hyperlink" Target="file:///\\pim-cpt-fs\profile$\PProfile%20Operations\Legal\Legal%20and%20Compliance%20Framework\Hilton\Client%20Mandates\PEAQ%20rules.docx" TargetMode="External"/><Relationship Id="rId85" Type="http://schemas.openxmlformats.org/officeDocument/2006/relationships/hyperlink" Target="file:///\\pim-cpt-statpro\SPC_602\Client\Profiles\PIM\Exports\PGIF%20Derv%20Calc%206Apr2022.xlsx" TargetMode="External"/><Relationship Id="rId150" Type="http://schemas.openxmlformats.org/officeDocument/2006/relationships/hyperlink" Target="file:///\\pim-cpt-fs\profile$\PProfile%20Operations\Legal\Legal%20and%20Compliance%20Framework\Hilton\Client%20Mandates\TOYCEF%20rules.docx" TargetMode="External"/><Relationship Id="rId155" Type="http://schemas.openxmlformats.org/officeDocument/2006/relationships/vmlDrawing" Target="../drawings/vmlDrawing1.vml"/><Relationship Id="rId12" Type="http://schemas.openxmlformats.org/officeDocument/2006/relationships/hyperlink" Target="file:///\\pim-cpt-fs\profile$\PProfile%20Operations\Legal\Legal%20and%20Compliance%20Framework\Hilton\Client%20Mandates\SISLP%20rules.docx" TargetMode="External"/><Relationship Id="rId17" Type="http://schemas.openxmlformats.org/officeDocument/2006/relationships/hyperlink" Target="file:///\\pim-cpt-statpro\SPC_602\Client\Profiles\PIM\Exports\ECICBALC%20Derv%20Calc%206Apr2022.xlsx" TargetMode="External"/><Relationship Id="rId25" Type="http://schemas.openxmlformats.org/officeDocument/2006/relationships/hyperlink" Target="file:///\\pim-cpt-statpro\SPC_602\Client\Profiles\PIM\Exports\HOLDINC%20Derv%20Calc%206Apr2022.xlsx" TargetMode="External"/><Relationship Id="rId33" Type="http://schemas.openxmlformats.org/officeDocument/2006/relationships/hyperlink" Target="file:///\\pim-cpt-statpro\SPC_602\Client\Profiles\PIM\Exports\GMRETF2%20Derv%20Calc%206Apr2022.xlsx" TargetMode="External"/><Relationship Id="rId38" Type="http://schemas.openxmlformats.org/officeDocument/2006/relationships/hyperlink" Target="file:///\\pim-cpt-fs\profile$\PProfile%20Operations\Legal\Legal%20and%20Compliance%20Framework\Hilton\Client%20Mandates\GRFINV%20rules.docx" TargetMode="External"/><Relationship Id="rId46" Type="http://schemas.openxmlformats.org/officeDocument/2006/relationships/hyperlink" Target="file:///\\pim-cpt-fs\profile$\PProfile%20Operations\Legal\Legal%20and%20Compliance%20Framework\Hilton\Client%20Mandates\IJGIPF%20rules.docx" TargetMode="External"/><Relationship Id="rId59" Type="http://schemas.openxmlformats.org/officeDocument/2006/relationships/hyperlink" Target="file:///\\pim-cpt-statpro\SPC_602\Client\Profiles\PIM\Exports\OMFLXI5%20Derv%20Calc%206Apr2022.xlsx" TargetMode="External"/><Relationship Id="rId67" Type="http://schemas.openxmlformats.org/officeDocument/2006/relationships/hyperlink" Target="file:///\\pim-cpt-statpro\SPC_602\Client\Profiles\PIM\Exports\PCAEF%20Derv%20Calc%206Apr2022.xlsx" TargetMode="External"/><Relationship Id="rId103" Type="http://schemas.openxmlformats.org/officeDocument/2006/relationships/hyperlink" Target="file:///\\pim-cpt-statpro\SPC_602\Client\Profiles\PIM\Exports\PPSNAM%20Derv%20Calc%206Apr2022.xlsx" TargetMode="External"/><Relationship Id="rId108" Type="http://schemas.openxmlformats.org/officeDocument/2006/relationships/hyperlink" Target="file:///\\pim-cpt-fs\profile$\PProfile%20Operations\Legal\Legal%20and%20Compliance%20Framework\Hilton\Client%20Mandates\NGKINC%20rules.docx" TargetMode="External"/><Relationship Id="rId116" Type="http://schemas.openxmlformats.org/officeDocument/2006/relationships/hyperlink" Target="file:///\\pim-cpt-fs\profile$\PProfile%20Operations\Legal\Legal%20and%20Compliance%20Framework\Hilton\Client%20Mandates\SAAMMOD%20rules.docx" TargetMode="External"/><Relationship Id="rId124" Type="http://schemas.openxmlformats.org/officeDocument/2006/relationships/hyperlink" Target="file:///\\pim-cpt-fs\profile$\PProfile%20Operations\Legal\Legal%20and%20Compliance%20Framework\Hilton\Client%20Mandates\ADRRC%20rules.docx" TargetMode="External"/><Relationship Id="rId129" Type="http://schemas.openxmlformats.org/officeDocument/2006/relationships/hyperlink" Target="file:///\\pim-cpt-statpro\SPC_602\Client\Profiles\PIM\Exports\PPSFLEX%20Derv%20Calc%206Apr2022.xlsx" TargetMode="External"/><Relationship Id="rId137" Type="http://schemas.openxmlformats.org/officeDocument/2006/relationships/hyperlink" Target="file:///\\pim-cpt-statpro\SPC_602\Client\Profiles\PIM\Exports\SMMAIF%20Derv%20Calc%206Apr2022.xlsx" TargetMode="External"/><Relationship Id="rId20" Type="http://schemas.openxmlformats.org/officeDocument/2006/relationships/hyperlink" Target="file:///\\pim-cpt-fs\profile$\PProfile%20Operations\Legal\Legal%20and%20Compliance%20Framework\Hilton\Client%20Mandates\ELCIPF%20rules.docx" TargetMode="External"/><Relationship Id="rId41" Type="http://schemas.openxmlformats.org/officeDocument/2006/relationships/hyperlink" Target="file:///\\pim-cpt-statpro\SPC_602\Client\Profiles\PIM\Exports\IJGBAL%20Derv%20Calc%206Apr2022.xlsx" TargetMode="External"/><Relationship Id="rId54" Type="http://schemas.openxmlformats.org/officeDocument/2006/relationships/hyperlink" Target="file:///\\pim-cpt-fs\profile$\PProfile%20Operations\Legal\Legal%20and%20Compliance%20Framework\Hilton\Client%20Mandates\MOMPRET%20rules.docx" TargetMode="External"/><Relationship Id="rId62" Type="http://schemas.openxmlformats.org/officeDocument/2006/relationships/hyperlink" Target="file:///\\pim-cpt-fs\profile$\PProfile%20Operations\Legal\Legal%20and%20Compliance%20Framework\Hilton\Client%20Mandates\PICPROV%20rules.docx" TargetMode="External"/><Relationship Id="rId70" Type="http://schemas.openxmlformats.org/officeDocument/2006/relationships/hyperlink" Target="file:///\\pim-cpt-fs\profile$\PProfile%20Operations\Legal\Legal%20and%20Compliance%20Framework\Hilton\Client%20Mandates\PCCEF%20rules.docx" TargetMode="External"/><Relationship Id="rId75" Type="http://schemas.openxmlformats.org/officeDocument/2006/relationships/hyperlink" Target="file:///\\pim-cpt-statpro\SPC_602\Client\Profiles\PIM\Exports\PEQ%20Derv%20Calc%206Apr2022.xlsx" TargetMode="External"/><Relationship Id="rId83" Type="http://schemas.openxmlformats.org/officeDocument/2006/relationships/hyperlink" Target="file:///\\pim-cpt-statpro\SPC_602\Client\Profiles\PIM\Exports\PFFIF%20Derv%20Calc%206Apr2022.xlsx" TargetMode="External"/><Relationship Id="rId88" Type="http://schemas.openxmlformats.org/officeDocument/2006/relationships/hyperlink" Target="file:///\\pim-cpt-fs\profile$\PProfile%20Operations\Legal\Legal%20and%20Compliance%20Framework\Hilton\Client%20Mandates\PGGF%20rules.docx" TargetMode="External"/><Relationship Id="rId91" Type="http://schemas.openxmlformats.org/officeDocument/2006/relationships/hyperlink" Target="file:///\\pim-cpt-statpro\SPC_602\Client\Profiles\PIM\Exports\PPEF%20Derv%20Calc%206Apr2022.xlsx" TargetMode="External"/><Relationship Id="rId96" Type="http://schemas.openxmlformats.org/officeDocument/2006/relationships/hyperlink" Target="file:///\\pim-cpt-fs\profile$\PProfile%20Operations\Legal\Legal%20and%20Compliance%20Framework\Hilton\Client%20Mandates\PSIF%20rules.docx" TargetMode="External"/><Relationship Id="rId111" Type="http://schemas.openxmlformats.org/officeDocument/2006/relationships/hyperlink" Target="file:///\\pim-cpt-statpro\SPC_602\Client\Profiles\PIM\Exports\SAAMCAU%20Derv%20Calc%206Apr2022.xlsx" TargetMode="External"/><Relationship Id="rId132" Type="http://schemas.openxmlformats.org/officeDocument/2006/relationships/hyperlink" Target="file:///\\pim-cpt-fs\profile$\PProfile%20Operations\Legal\Legal%20and%20Compliance%20Framework\Hilton\Client%20Mandates\STSBND%20rules.docx" TargetMode="External"/><Relationship Id="rId140" Type="http://schemas.openxmlformats.org/officeDocument/2006/relationships/hyperlink" Target="file:///\\pim-cpt-fs\profile$\PProfile%20Operations\Legal\Legal%20and%20Compliance%20Framework\Hilton\Client%20Mandates\SMMBPR%20rules.docx" TargetMode="External"/><Relationship Id="rId145" Type="http://schemas.openxmlformats.org/officeDocument/2006/relationships/hyperlink" Target="file:///\\pim-cpt-statpro\SPC_602\Client\Profiles\PIM\Exports\SWGSWX%20Derv%20Calc%206Apr2022.xlsx" TargetMode="External"/><Relationship Id="rId153" Type="http://schemas.openxmlformats.org/officeDocument/2006/relationships/printerSettings" Target="../printerSettings/printerSettings2.bin"/><Relationship Id="rId1" Type="http://schemas.openxmlformats.org/officeDocument/2006/relationships/hyperlink" Target="file:///\\pim-cpt-statpro\SPC_602\Client\Profiles\PIM\Exports\PLPRNA%20Derv%20Calc%206Apr2022.xlsx" TargetMode="External"/><Relationship Id="rId6" Type="http://schemas.openxmlformats.org/officeDocument/2006/relationships/hyperlink" Target="file:///\\pim-cpt-fs\profile$\PProfile%20Operations\Legal\Legal%20and%20Compliance%20Framework\Hilton\Client%20Mandates\ABMMABR%20rules.docx" TargetMode="External"/><Relationship Id="rId15" Type="http://schemas.openxmlformats.org/officeDocument/2006/relationships/hyperlink" Target="file:///\\pim-cpt-statpro\SPC_602\Client\Profiles\PIM\Exports\SHNIPF%20Derv%20Calc%206Apr2022.xlsx" TargetMode="External"/><Relationship Id="rId23" Type="http://schemas.openxmlformats.org/officeDocument/2006/relationships/hyperlink" Target="file:///\\pim-cpt-statpro\SPC_602\Client\Profiles\PIM\Exports\GTCWP2%20Derv%20Calc%206Apr2022.xlsx" TargetMode="External"/><Relationship Id="rId28" Type="http://schemas.openxmlformats.org/officeDocument/2006/relationships/hyperlink" Target="file:///\\pim-cpt-fs\profile$\PProfile%20Operations\Legal\Legal%20and%20Compliance%20Framework\Hilton\Client%20Mandates\HOLYPF%20rules.docx" TargetMode="External"/><Relationship Id="rId36" Type="http://schemas.openxmlformats.org/officeDocument/2006/relationships/hyperlink" Target="file:///\\pim-cpt-fs\profile$\PProfile%20Operations\Legal\Legal%20and%20Compliance%20Framework\Hilton\Client%20Mandates\GMRETF%20rules.docx" TargetMode="External"/><Relationship Id="rId49" Type="http://schemas.openxmlformats.org/officeDocument/2006/relationships/hyperlink" Target="file:///\\pim-cpt-statpro\SPC_602\Client\Profiles\PIM\Exports\MEDINC%20Derv%20Calc%206Apr2022.xlsx" TargetMode="External"/><Relationship Id="rId57" Type="http://schemas.openxmlformats.org/officeDocument/2006/relationships/hyperlink" Target="file:///\\pim-cpt-statpro\SPC_602\Client\Profiles\PIM\Exports\NFMWEQU%20Derv%20Calc%206Apr2022.xlsx" TargetMode="External"/><Relationship Id="rId106" Type="http://schemas.openxmlformats.org/officeDocument/2006/relationships/hyperlink" Target="file:///\\pim-cpt-fs\profile$\PProfile%20Operations\Legal\Legal%20and%20Compliance%20Framework\Hilton\Client%20Mandates\PPWEQU%20rules.docx" TargetMode="External"/><Relationship Id="rId114" Type="http://schemas.openxmlformats.org/officeDocument/2006/relationships/hyperlink" Target="file:///\\pim-cpt-fs\profile$\PProfile%20Operations\Legal\Legal%20and%20Compliance%20Framework\Hilton\Client%20Mandates\SAAMMAN%20rules.docx" TargetMode="External"/><Relationship Id="rId119" Type="http://schemas.openxmlformats.org/officeDocument/2006/relationships/hyperlink" Target="file:///\\pim-cpt-statpro\SPC_602\Client\Profiles\PIM\Exports\MOMBBF%20Derv%20Calc%206Apr2022.xlsx" TargetMode="External"/><Relationship Id="rId127" Type="http://schemas.openxmlformats.org/officeDocument/2006/relationships/hyperlink" Target="file:///\\pim-cpt-statpro\SPC_602\Client\Profiles\PIM\Exports\ASHGFB%20Derv%20Calc%206Apr2022.xlsx" TargetMode="External"/><Relationship Id="rId10" Type="http://schemas.openxmlformats.org/officeDocument/2006/relationships/hyperlink" Target="file:///\\pim-cpt-fs\profile$\PProfile%20Operations\Legal\Legal%20and%20Compliance%20Framework\Hilton\Client%20Mandates\ABMMEQU%20rules.docx" TargetMode="External"/><Relationship Id="rId31" Type="http://schemas.openxmlformats.org/officeDocument/2006/relationships/hyperlink" Target="file:///\\pim-cpt-statpro\SPC_602\Client\Profiles\PIM\Exports\GAEMBF%20Derv%20Calc%206Apr2022.xlsx" TargetMode="External"/><Relationship Id="rId44" Type="http://schemas.openxmlformats.org/officeDocument/2006/relationships/hyperlink" Target="file:///\\pim-cpt-fs\profile$\PProfile%20Operations\Legal\Legal%20and%20Compliance%20Framework\Hilton\Client%20Mandates\IJGCOR%20rules.docx" TargetMode="External"/><Relationship Id="rId52" Type="http://schemas.openxmlformats.org/officeDocument/2006/relationships/hyperlink" Target="file:///\\pim-cpt-fs\profile$\PProfile%20Operations\Legal\Legal%20and%20Compliance%20Framework\Hilton\Client%20Mandates\MWPFEQU%20rules.docx" TargetMode="External"/><Relationship Id="rId60" Type="http://schemas.openxmlformats.org/officeDocument/2006/relationships/hyperlink" Target="file:///\\pim-cpt-fs\profile$\PProfile%20Operations\Legal\Legal%20and%20Compliance%20Framework\Hilton\Client%20Mandates\OMFLXI5%20rules.docx" TargetMode="External"/><Relationship Id="rId65" Type="http://schemas.openxmlformats.org/officeDocument/2006/relationships/hyperlink" Target="file:///\\pim-cpt-statpro\SPC_602\Client\Profiles\PIM\Exports\PIMBAL%20Derv%20Calc%206Apr2022.xlsx" TargetMode="External"/><Relationship Id="rId73" Type="http://schemas.openxmlformats.org/officeDocument/2006/relationships/hyperlink" Target="file:///\\pim-cpt-statpro\SPC_602\Client\Profiles\PIM\Exports\PCGEF%20Derv%20Calc%206Apr2022.xlsx" TargetMode="External"/><Relationship Id="rId78" Type="http://schemas.openxmlformats.org/officeDocument/2006/relationships/hyperlink" Target="file:///\\pim-cpt-fs\profile$\PProfile%20Operations\Legal\Legal%20and%20Compliance%20Framework\Hilton\Client%20Mandates\PABS%20rules.docx" TargetMode="External"/><Relationship Id="rId81" Type="http://schemas.openxmlformats.org/officeDocument/2006/relationships/hyperlink" Target="file:///\\pim-cpt-statpro\SPC_602\Client\Profiles\PIM\Exports\PBNDQ%20Derv%20Calc%206Apr2022.xlsx" TargetMode="External"/><Relationship Id="rId86" Type="http://schemas.openxmlformats.org/officeDocument/2006/relationships/hyperlink" Target="file:///\\pim-cpt-fs\profile$\PProfile%20Operations\Legal\Legal%20and%20Compliance%20Framework\Hilton\Client%20Mandates\PGIF%20rules.docx" TargetMode="External"/><Relationship Id="rId94" Type="http://schemas.openxmlformats.org/officeDocument/2006/relationships/hyperlink" Target="file:///\\pim-cpt-fs\profile$\PProfile%20Operations\Legal\Legal%20and%20Compliance%20Framework\Hilton\Client%20Mandates\PSTIF%20rules.docx" TargetMode="External"/><Relationship Id="rId99" Type="http://schemas.openxmlformats.org/officeDocument/2006/relationships/hyperlink" Target="file:///\\pim-cpt-statpro\SPC_602\Client\Profiles\PIM\Exports\PORFGPR%20Derv%20Calc%206Apr2022.xlsx" TargetMode="External"/><Relationship Id="rId101" Type="http://schemas.openxmlformats.org/officeDocument/2006/relationships/hyperlink" Target="file:///\\pim-cpt-statpro\SPC_602\Client\Profiles\PIM\Exports\PPSBAL_C%20Derv%20Calc%206Apr2022.xlsx" TargetMode="External"/><Relationship Id="rId122" Type="http://schemas.openxmlformats.org/officeDocument/2006/relationships/hyperlink" Target="file:///\\pim-cpt-fs\profile$\PProfile%20Operations\Legal\Legal%20and%20Compliance%20Framework\Hilton\Client%20Mandates\MOMFLX%20rules.docx" TargetMode="External"/><Relationship Id="rId130" Type="http://schemas.openxmlformats.org/officeDocument/2006/relationships/hyperlink" Target="file:///\\pim-cpt-fs\profile$\PProfile%20Operations\Legal\Legal%20and%20Compliance%20Framework\Hilton\Client%20Mandates\PPSFLEX%20rules.docx" TargetMode="External"/><Relationship Id="rId135" Type="http://schemas.openxmlformats.org/officeDocument/2006/relationships/hyperlink" Target="file:///\\pim-cpt-statpro\SPC_602\Client\Profiles\PIM\Exports\SILEQF%20Derv%20Calc%206Apr2022.xlsx" TargetMode="External"/><Relationship Id="rId143" Type="http://schemas.openxmlformats.org/officeDocument/2006/relationships/hyperlink" Target="file:///\\pim-cpt-statpro\SPC_602\Client\Profiles\PIM\Exports\SMMRRF%20Derv%20Calc%206Apr2022.xlsx" TargetMode="External"/><Relationship Id="rId148" Type="http://schemas.openxmlformats.org/officeDocument/2006/relationships/hyperlink" Target="file:///\\pim-cpt-fs\profile$\PProfile%20Operations\Legal\Legal%20and%20Compliance%20Framework\Hilton\Client%20Mandates\ASBTOS%20rules.docx" TargetMode="External"/><Relationship Id="rId151" Type="http://schemas.openxmlformats.org/officeDocument/2006/relationships/hyperlink" Target="file:///\\pim-cpt-statpro\SPC_602\Client\Profiles\PIM\Exports\TSHMPF%20Derv%20Calc%206Apr2022.xlsx" TargetMode="External"/><Relationship Id="rId156" Type="http://schemas.openxmlformats.org/officeDocument/2006/relationships/ctrlProp" Target="../ctrlProps/ctrlProp1.xml"/><Relationship Id="rId4" Type="http://schemas.openxmlformats.org/officeDocument/2006/relationships/hyperlink" Target="file:///\\pim-cpt-fs\profile$\PProfile%20Operations\Legal\Legal%20and%20Compliance%20Framework\Hilton\Client%20Mandates\PLMED%20rules.docx" TargetMode="External"/><Relationship Id="rId9" Type="http://schemas.openxmlformats.org/officeDocument/2006/relationships/hyperlink" Target="file:///\\pim-cpt-statpro\SPC_602\Client\Profiles\PIM\Exports\ABMMEQU%20Derv%20Calc%206Apr2022.xlsx" TargetMode="External"/><Relationship Id="rId13" Type="http://schemas.openxmlformats.org/officeDocument/2006/relationships/hyperlink" Target="file:///\\pim-cpt-statpro\SPC_602\Client\Profiles\PIM\Exports\PSPAM%20Derv%20Calc%206Apr2022.xlsx" TargetMode="External"/><Relationship Id="rId18" Type="http://schemas.openxmlformats.org/officeDocument/2006/relationships/hyperlink" Target="file:///\\pim-cpt-fs\profile$\PProfile%20Operations\Legal\Legal%20and%20Compliance%20Framework\Hilton\Client%20Mandates\ECICBALC%20rules.docx" TargetMode="External"/><Relationship Id="rId39" Type="http://schemas.openxmlformats.org/officeDocument/2006/relationships/hyperlink" Target="file:///\\pim-cpt-statpro\SPC_602\Client\Profiles\PIM\Exports\EMHPBQ%20Derv%20Calc%206Apr2022.xlsx" TargetMode="External"/><Relationship Id="rId109" Type="http://schemas.openxmlformats.org/officeDocument/2006/relationships/hyperlink" Target="file:///\\pim-cpt-statpro\SPC_602\Client\Profiles\PIM\Exports\POIF_C%20Derv%20Calc%206Apr2022.xlsx" TargetMode="External"/><Relationship Id="rId34" Type="http://schemas.openxmlformats.org/officeDocument/2006/relationships/hyperlink" Target="file:///\\pim-cpt-fs\profile$\PProfile%20Operations\Legal\Legal%20and%20Compliance%20Framework\Hilton\Client%20Mandates\GMRETF2%20rules.docx" TargetMode="External"/><Relationship Id="rId50" Type="http://schemas.openxmlformats.org/officeDocument/2006/relationships/hyperlink" Target="file:///\\pim-cpt-fs\profile$\PProfile%20Operations\Legal\Legal%20and%20Compliance%20Framework\Hilton\Client%20Mandates\MEDINC%20rules.docx" TargetMode="External"/><Relationship Id="rId55" Type="http://schemas.openxmlformats.org/officeDocument/2006/relationships/hyperlink" Target="file:///\\pim-cpt-statpro\SPC_602\Client\Profiles\PIM\Exports\NESEQU%20Derv%20Calc%206Apr2022.xlsx" TargetMode="External"/><Relationship Id="rId76" Type="http://schemas.openxmlformats.org/officeDocument/2006/relationships/hyperlink" Target="file:///\\pim-cpt-fs\profile$\PProfile%20Operations\Legal\Legal%20and%20Compliance%20Framework\Hilton\Client%20Mandates\PEQ%20rules.docx" TargetMode="External"/><Relationship Id="rId97" Type="http://schemas.openxmlformats.org/officeDocument/2006/relationships/hyperlink" Target="file:///\\pim-cpt-statpro\SPC_602\Client\Profiles\PIM\Exports\PCSHQ%20Derv%20Calc%206Apr2022.xlsx" TargetMode="External"/><Relationship Id="rId104" Type="http://schemas.openxmlformats.org/officeDocument/2006/relationships/hyperlink" Target="file:///\\pim-cpt-fs\profile$\PProfile%20Operations\Legal\Legal%20and%20Compliance%20Framework\Hilton\Client%20Mandates\PPSNAM%20rules.docx" TargetMode="External"/><Relationship Id="rId120" Type="http://schemas.openxmlformats.org/officeDocument/2006/relationships/hyperlink" Target="file:///\\pim-cpt-fs\profile$\PProfile%20Operations\Legal\Legal%20and%20Compliance%20Framework\Hilton\Client%20Mandates\MOMBBF%20rules.docx" TargetMode="External"/><Relationship Id="rId125" Type="http://schemas.openxmlformats.org/officeDocument/2006/relationships/hyperlink" Target="file:///\\pim-cpt-statpro\SPC_602\Client\Profiles\PIM\Exports\ASHFLX%20Derv%20Calc%206Apr2022.xlsx" TargetMode="External"/><Relationship Id="rId141" Type="http://schemas.openxmlformats.org/officeDocument/2006/relationships/hyperlink" Target="file:///\\pim-cpt-statpro\SPC_602\Client\Profiles\PIM\Exports\SMMEYP%20Derv%20Calc%206Apr2022.xlsx" TargetMode="External"/><Relationship Id="rId146" Type="http://schemas.openxmlformats.org/officeDocument/2006/relationships/hyperlink" Target="file:///\\pim-cpt-fs\profile$\PProfile%20Operations\Legal\Legal%20and%20Compliance%20Framework\Hilton\Client%20Mandates\SWGSWX%20rules.docx" TargetMode="External"/><Relationship Id="rId7" Type="http://schemas.openxmlformats.org/officeDocument/2006/relationships/hyperlink" Target="file:///\\pim-cpt-statpro\SPC_602\Client\Profiles\PIM\Exports\ABMMBND%20Derv%20Calc%206Apr2022.xlsx" TargetMode="External"/><Relationship Id="rId71" Type="http://schemas.openxmlformats.org/officeDocument/2006/relationships/hyperlink" Target="file:///\\pim-cpt-statpro\SPC_602\Client\Profiles\PIM\Exports\PCEQTF%20Derv%20Calc%206Apr2022.xlsx" TargetMode="External"/><Relationship Id="rId92" Type="http://schemas.openxmlformats.org/officeDocument/2006/relationships/hyperlink" Target="file:///\\pim-cpt-fs\profile$\PProfile%20Operations\Legal\Legal%20and%20Compliance%20Framework\Hilton\Client%20Mandates\PPEF%20rules.docx" TargetMode="External"/><Relationship Id="rId2" Type="http://schemas.openxmlformats.org/officeDocument/2006/relationships/hyperlink" Target="file:///\\pim-cpt-fs\profile$\PProfile%20Operations\Legal\Legal%20and%20Compliance%20Framework\Hilton\Client%20Mandates\PLPRNA%20rules.docx" TargetMode="External"/><Relationship Id="rId29" Type="http://schemas.openxmlformats.org/officeDocument/2006/relationships/hyperlink" Target="file:///\\pim-cpt-statpro\SPC_602\Client\Profiles\PIM\Exports\AMMIPF%20Derv%20Calc%206Apr2022.xlsx" TargetMode="External"/><Relationship Id="rId24" Type="http://schemas.openxmlformats.org/officeDocument/2006/relationships/hyperlink" Target="file:///\\pim-cpt-fs\profile$\PProfile%20Operations\Legal\Legal%20and%20Compliance%20Framework\Hilton\Client%20Mandates\GTCWP2%20rules.docx" TargetMode="External"/><Relationship Id="rId40" Type="http://schemas.openxmlformats.org/officeDocument/2006/relationships/hyperlink" Target="file:///\\pim-cpt-fs\profile$\PProfile%20Operations\Legal\Legal%20and%20Compliance%20Framework\Hilton\Client%20Mandates\EMHPBQ%20rules.docx" TargetMode="External"/><Relationship Id="rId45" Type="http://schemas.openxmlformats.org/officeDocument/2006/relationships/hyperlink" Target="file:///\\pim-cpt-statpro\SPC_602\Client\Profiles\PIM\Exports\IJGIPF%20Derv%20Calc%206Apr2022.xlsx" TargetMode="External"/><Relationship Id="rId66" Type="http://schemas.openxmlformats.org/officeDocument/2006/relationships/hyperlink" Target="file:///\\pim-cpt-fs\profile$\PProfile%20Operations\Legal\Legal%20and%20Compliance%20Framework\Hilton\Client%20Mandates\PIMBAL%20rules.docx" TargetMode="External"/><Relationship Id="rId87" Type="http://schemas.openxmlformats.org/officeDocument/2006/relationships/hyperlink" Target="file:///\\pim-cpt-statpro\SPC_602\Client\Profiles\PIM\Exports\PGGF%20Derv%20Calc%206Apr2022.xlsx" TargetMode="External"/><Relationship Id="rId110" Type="http://schemas.openxmlformats.org/officeDocument/2006/relationships/hyperlink" Target="file:///\\pim-cpt-fs\profile$\PProfile%20Operations\Legal\Legal%20and%20Compliance%20Framework\Hilton\Client%20Mandates\POIF_C%20rules.docx" TargetMode="External"/><Relationship Id="rId115" Type="http://schemas.openxmlformats.org/officeDocument/2006/relationships/hyperlink" Target="file:///\\pim-cpt-statpro\SPC_602\Client\Profiles\PIM\Exports\SAAMMOD%20Derv%20Calc%206Apr2022.xlsx" TargetMode="External"/><Relationship Id="rId131" Type="http://schemas.openxmlformats.org/officeDocument/2006/relationships/hyperlink" Target="file:///\\pim-cpt-statpro\SPC_602\Client\Profiles\PIM\Exports\STSBND%20Derv%20Calc%206Apr2022.xlsx" TargetMode="External"/><Relationship Id="rId136" Type="http://schemas.openxmlformats.org/officeDocument/2006/relationships/hyperlink" Target="file:///\\pim-cpt-fs\profile$\PProfile%20Operations\Legal\Legal%20and%20Compliance%20Framework\Hilton\Client%20Mandates\SILEQF%20rules.docx" TargetMode="External"/><Relationship Id="rId61" Type="http://schemas.openxmlformats.org/officeDocument/2006/relationships/hyperlink" Target="file:///\\pim-cpt-statpro\SPC_602\Client\Profiles\PIM\Exports\PICPROV%20Derv%20Calc%206Apr2022.xlsx" TargetMode="External"/><Relationship Id="rId82" Type="http://schemas.openxmlformats.org/officeDocument/2006/relationships/hyperlink" Target="file:///\\pim-cpt-fs\profile$\PProfile%20Operations\Legal\Legal%20and%20Compliance%20Framework\Hilton\Client%20Mandates\PBNDQ%20rules.docx" TargetMode="External"/><Relationship Id="rId152" Type="http://schemas.openxmlformats.org/officeDocument/2006/relationships/hyperlink" Target="file:///\\pim-cpt-fs\profile$\PProfile%20Operations\Legal\Legal%20and%20Compliance%20Framework\Hilton\Client%20Mandates\TSHMPF%20rules.docx" TargetMode="External"/><Relationship Id="rId19" Type="http://schemas.openxmlformats.org/officeDocument/2006/relationships/hyperlink" Target="file:///\\pim-cpt-statpro\SPC_602\Client\Profiles\PIM\Exports\ELCIPF%20Derv%20Calc%206Apr2022.xlsx" TargetMode="External"/><Relationship Id="rId14" Type="http://schemas.openxmlformats.org/officeDocument/2006/relationships/hyperlink" Target="file:///\\pim-cpt-fs\profile$\PProfile%20Operations\Legal\Legal%20and%20Compliance%20Framework\Hilton\Client%20Mandates\PSPAM%20rules.docx" TargetMode="External"/><Relationship Id="rId30" Type="http://schemas.openxmlformats.org/officeDocument/2006/relationships/hyperlink" Target="file:///\\pim-cpt-fs\profile$\PProfile%20Operations\Legal\Legal%20and%20Compliance%20Framework\Hilton\Client%20Mandates\AMMIPF%20rules.docx" TargetMode="External"/><Relationship Id="rId35" Type="http://schemas.openxmlformats.org/officeDocument/2006/relationships/hyperlink" Target="file:///\\pim-cpt-statpro\SPC_602\Client\Profiles\PIM\Exports\GMRETF%20Derv%20Calc%206Apr2022.xlsx" TargetMode="External"/><Relationship Id="rId56" Type="http://schemas.openxmlformats.org/officeDocument/2006/relationships/hyperlink" Target="file:///\\pim-cpt-fs\profile$\PProfile%20Operations\Legal\Legal%20and%20Compliance%20Framework\Hilton\Client%20Mandates\NESEQU%20rules.docx" TargetMode="External"/><Relationship Id="rId77" Type="http://schemas.openxmlformats.org/officeDocument/2006/relationships/hyperlink" Target="file:///\\pim-cpt-statpro\SPC_602\Client\Profiles\PIM\Exports\PABS%20Derv%20Calc%206Apr2022.xlsx" TargetMode="External"/><Relationship Id="rId100" Type="http://schemas.openxmlformats.org/officeDocument/2006/relationships/hyperlink" Target="file:///\\pim-cpt-fs\profile$\PProfile%20Operations\Legal\Legal%20and%20Compliance%20Framework\Hilton\Client%20Mandates\PORFGPR%20rules.docx" TargetMode="External"/><Relationship Id="rId105" Type="http://schemas.openxmlformats.org/officeDocument/2006/relationships/hyperlink" Target="file:///\\pim-cpt-statpro\SPC_602\Client\Profiles\PIM\Exports\PPWEQU%20Derv%20Calc%206Apr2022.xlsx" TargetMode="External"/><Relationship Id="rId126" Type="http://schemas.openxmlformats.org/officeDocument/2006/relationships/hyperlink" Target="file:///\\pim-cpt-fs\profile$\PProfile%20Operations\Legal\Legal%20and%20Compliance%20Framework\Hilton\Client%20Mandates\ASHFLX%20rules.docx" TargetMode="External"/><Relationship Id="rId147" Type="http://schemas.openxmlformats.org/officeDocument/2006/relationships/hyperlink" Target="file:///\\pim-cpt-statpro\SPC_602\Client\Profiles\PIM\Exports\ASBTOS%20Derv%20Calc%206Apr2022.xlsx" TargetMode="External"/><Relationship Id="rId8" Type="http://schemas.openxmlformats.org/officeDocument/2006/relationships/hyperlink" Target="file:///\\pim-cpt-fs\profile$\PProfile%20Operations\Legal\Legal%20and%20Compliance%20Framework\Hilton\Client%20Mandates\ABMMBND%20rules.docx" TargetMode="External"/><Relationship Id="rId51" Type="http://schemas.openxmlformats.org/officeDocument/2006/relationships/hyperlink" Target="file:///\\pim-cpt-statpro\SPC_602\Client\Profiles\PIM\Exports\MWPFEQU%20Derv%20Calc%206Apr2022.xlsx" TargetMode="External"/><Relationship Id="rId72" Type="http://schemas.openxmlformats.org/officeDocument/2006/relationships/hyperlink" Target="file:///\\pim-cpt-fs\profile$\PProfile%20Operations\Legal\Legal%20and%20Compliance%20Framework\Hilton\Client%20Mandates\PCEQTF%20rules.docx" TargetMode="External"/><Relationship Id="rId93" Type="http://schemas.openxmlformats.org/officeDocument/2006/relationships/hyperlink" Target="file:///\\pim-cpt-statpro\SPC_602\Client\Profiles\PIM\Exports\PSTIF%20Derv%20Calc%206Apr2022.xlsx" TargetMode="External"/><Relationship Id="rId98" Type="http://schemas.openxmlformats.org/officeDocument/2006/relationships/hyperlink" Target="file:///\\pim-cpt-fs\profile$\PProfile%20Operations\Legal\Legal%20and%20Compliance%20Framework\Hilton\Client%20Mandates\PCSHQ%20rules.docx" TargetMode="External"/><Relationship Id="rId121" Type="http://schemas.openxmlformats.org/officeDocument/2006/relationships/hyperlink" Target="file:///\\pim-cpt-statpro\SPC_602\Client\Profiles\PIM\Exports\MOMFLX%20Derv%20Calc%206Apr2022.xlsx" TargetMode="External"/><Relationship Id="rId142" Type="http://schemas.openxmlformats.org/officeDocument/2006/relationships/hyperlink" Target="file:///\\pim-cpt-fs\profile$\PProfile%20Operations\Legal\Legal%20and%20Compliance%20Framework\Hilton\Client%20Mandates\SMMEYP%20rules.docx" TargetMode="External"/><Relationship Id="rId3" Type="http://schemas.openxmlformats.org/officeDocument/2006/relationships/hyperlink" Target="file:///\\pim-cpt-statpro\SPC_602\Client\Profiles\PIM\Exports\PLMED%20Derv%20Calc%206Apr2022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holidays.co.za/national-womens-day/" TargetMode="External"/><Relationship Id="rId3" Type="http://schemas.openxmlformats.org/officeDocument/2006/relationships/hyperlink" Target="https://publicholidays.co.za/easter/" TargetMode="External"/><Relationship Id="rId7" Type="http://schemas.openxmlformats.org/officeDocument/2006/relationships/hyperlink" Target="https://publicholidays.co.za/youth-day/" TargetMode="External"/><Relationship Id="rId12" Type="http://schemas.openxmlformats.org/officeDocument/2006/relationships/hyperlink" Target="https://publicholidays.co.za/day-of-goodwill/" TargetMode="External"/><Relationship Id="rId2" Type="http://schemas.openxmlformats.org/officeDocument/2006/relationships/hyperlink" Target="https://publicholidays.co.za/easter/" TargetMode="External"/><Relationship Id="rId1" Type="http://schemas.openxmlformats.org/officeDocument/2006/relationships/hyperlink" Target="https://publicholidays.co.za/human-rights-day/" TargetMode="External"/><Relationship Id="rId6" Type="http://schemas.openxmlformats.org/officeDocument/2006/relationships/hyperlink" Target="https://publicholidays.co.za/workers-day/" TargetMode="External"/><Relationship Id="rId11" Type="http://schemas.openxmlformats.org/officeDocument/2006/relationships/hyperlink" Target="https://publicholidays.co.za/christmas/" TargetMode="External"/><Relationship Id="rId5" Type="http://schemas.openxmlformats.org/officeDocument/2006/relationships/hyperlink" Target="https://publicholidays.co.za/workers-day/" TargetMode="External"/><Relationship Id="rId10" Type="http://schemas.openxmlformats.org/officeDocument/2006/relationships/hyperlink" Target="https://publicholidays.co.za/day-of-reconciliation/" TargetMode="External"/><Relationship Id="rId4" Type="http://schemas.openxmlformats.org/officeDocument/2006/relationships/hyperlink" Target="https://publicholidays.co.za/freedom-day/" TargetMode="External"/><Relationship Id="rId9" Type="http://schemas.openxmlformats.org/officeDocument/2006/relationships/hyperlink" Target="https://publicholidays.co.za/heritage-day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quant.stackexchange.com/questions/47142/where-to-get-msci-world-index-constituents-weigh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Holdings">
    <tabColor rgb="FFFFC000"/>
  </sheetPr>
  <dimension ref="A1:AQ3947"/>
  <sheetViews>
    <sheetView workbookViewId="0">
      <pane xSplit="4" ySplit="2" topLeftCell="AI3" activePane="bottomRight" state="frozen"/>
      <selection pane="topRight" activeCell="E1" sqref="E1"/>
      <selection pane="bottomLeft" activeCell="A3" sqref="A3"/>
      <selection pane="bottomRight" sqref="A1:XFD1048576"/>
    </sheetView>
  </sheetViews>
  <sheetFormatPr defaultRowHeight="12.75" x14ac:dyDescent="0.2"/>
  <cols>
    <col min="7" max="7" width="18.28515625" bestFit="1" customWidth="1"/>
    <col min="8" max="9" width="15.42578125" bestFit="1" customWidth="1"/>
    <col min="10" max="10" width="12.7109375" bestFit="1" customWidth="1"/>
    <col min="11" max="11" width="11.7109375" bestFit="1" customWidth="1"/>
    <col min="12" max="12" width="15.42578125" bestFit="1" customWidth="1"/>
    <col min="13" max="13" width="14.28515625" bestFit="1" customWidth="1"/>
    <col min="14" max="14" width="11.5703125" bestFit="1" customWidth="1"/>
    <col min="15" max="16" width="10.7109375" bestFit="1" customWidth="1"/>
    <col min="17" max="18" width="9.28515625" bestFit="1" customWidth="1"/>
    <col min="19" max="19" width="15.7109375" bestFit="1" customWidth="1"/>
    <col min="29" max="30" width="11.5703125" bestFit="1" customWidth="1"/>
    <col min="31" max="31" width="9.28515625" bestFit="1" customWidth="1"/>
    <col min="32" max="32" width="11.5703125" bestFit="1" customWidth="1"/>
    <col min="33" max="33" width="9.28515625" bestFit="1" customWidth="1"/>
    <col min="34" max="34" width="15.42578125" bestFit="1" customWidth="1"/>
    <col min="35" max="35" width="9.28515625" bestFit="1" customWidth="1"/>
    <col min="36" max="36" width="10.7109375" bestFit="1" customWidth="1"/>
    <col min="38" max="40" width="9.28515625" bestFit="1" customWidth="1"/>
  </cols>
  <sheetData>
    <row r="1" spans="1:43" ht="15" x14ac:dyDescent="0.25">
      <c r="A1" s="216" t="s">
        <v>0</v>
      </c>
      <c r="B1" s="216" t="s">
        <v>1</v>
      </c>
      <c r="C1" s="216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  <c r="R1" s="216" t="s">
        <v>17</v>
      </c>
      <c r="S1" s="216" t="s">
        <v>18</v>
      </c>
      <c r="T1" s="216" t="s">
        <v>19</v>
      </c>
      <c r="U1" s="216" t="s">
        <v>20</v>
      </c>
      <c r="V1" s="216" t="s">
        <v>21</v>
      </c>
      <c r="W1" s="216" t="s">
        <v>22</v>
      </c>
      <c r="X1" s="216" t="s">
        <v>23</v>
      </c>
      <c r="Y1" s="216" t="s">
        <v>24</v>
      </c>
      <c r="Z1" s="216" t="s">
        <v>25</v>
      </c>
      <c r="AA1" s="216" t="s">
        <v>26</v>
      </c>
      <c r="AB1" s="216" t="s">
        <v>27</v>
      </c>
      <c r="AC1" s="216" t="s">
        <v>28</v>
      </c>
      <c r="AD1" s="216" t="s">
        <v>29</v>
      </c>
      <c r="AE1" s="216" t="s">
        <v>30</v>
      </c>
      <c r="AF1" s="216" t="s">
        <v>31</v>
      </c>
      <c r="AG1" s="216" t="s">
        <v>32</v>
      </c>
      <c r="AH1" s="216" t="s">
        <v>33</v>
      </c>
      <c r="AI1" s="216" t="s">
        <v>34</v>
      </c>
      <c r="AJ1" s="216" t="s">
        <v>35</v>
      </c>
      <c r="AK1" s="216" t="s">
        <v>36</v>
      </c>
      <c r="AL1" s="216" t="s">
        <v>37</v>
      </c>
      <c r="AM1" s="216" t="s">
        <v>38</v>
      </c>
      <c r="AN1" s="216" t="s">
        <v>39</v>
      </c>
      <c r="AO1" s="216" t="s">
        <v>40</v>
      </c>
      <c r="AP1" s="216" t="s">
        <v>41</v>
      </c>
      <c r="AQ1" s="216" t="s">
        <v>42</v>
      </c>
    </row>
    <row r="2" spans="1:43" x14ac:dyDescent="0.2">
      <c r="A2" t="s">
        <v>11133</v>
      </c>
      <c r="B2" t="s">
        <v>10900</v>
      </c>
      <c r="C2" t="s">
        <v>10943</v>
      </c>
      <c r="D2" t="s">
        <v>10977</v>
      </c>
      <c r="E2" t="s">
        <v>10978</v>
      </c>
      <c r="F2" t="s">
        <v>10977</v>
      </c>
      <c r="G2" s="1">
        <v>712800</v>
      </c>
      <c r="H2" s="2">
        <v>723195.45</v>
      </c>
      <c r="I2" s="2">
        <v>669940.9</v>
      </c>
      <c r="J2" s="2">
        <v>32805.11</v>
      </c>
      <c r="K2" s="2">
        <v>0</v>
      </c>
      <c r="L2" s="2">
        <v>702746.01</v>
      </c>
      <c r="M2" s="3">
        <v>11.88</v>
      </c>
      <c r="N2" s="4">
        <v>1.5988199999999999E-3</v>
      </c>
      <c r="O2" s="5">
        <v>44697</v>
      </c>
      <c r="P2" s="5">
        <v>46888</v>
      </c>
      <c r="Q2" s="1">
        <v>10.565</v>
      </c>
      <c r="R2" s="2">
        <v>4.7300000000000004</v>
      </c>
      <c r="S2" s="6">
        <v>4.4668326030000003</v>
      </c>
      <c r="T2" t="s">
        <v>111</v>
      </c>
      <c r="U2" t="s">
        <v>111</v>
      </c>
      <c r="V2" t="s">
        <v>10944</v>
      </c>
      <c r="W2" t="s">
        <v>43</v>
      </c>
      <c r="X2" t="s">
        <v>44</v>
      </c>
      <c r="Y2" t="s">
        <v>44</v>
      </c>
      <c r="Z2" t="s">
        <v>44</v>
      </c>
      <c r="AA2" t="s">
        <v>10979</v>
      </c>
      <c r="AB2" t="s">
        <v>44</v>
      </c>
      <c r="AC2" s="4">
        <v>12.232836000000001</v>
      </c>
      <c r="AD2" s="4">
        <v>11.596213730000001</v>
      </c>
      <c r="AE2" s="2">
        <v>12.23</v>
      </c>
      <c r="AF2" s="4">
        <v>11.596213730000001</v>
      </c>
      <c r="AG2" s="2">
        <v>2.41</v>
      </c>
      <c r="AH2" s="2">
        <v>702746.01</v>
      </c>
      <c r="AI2" s="2">
        <v>0</v>
      </c>
      <c r="AJ2" s="5">
        <v>44673</v>
      </c>
      <c r="AK2" t="s">
        <v>11134</v>
      </c>
      <c r="AL2" s="2">
        <v>11.88</v>
      </c>
      <c r="AM2" s="2">
        <v>10.56</v>
      </c>
      <c r="AN2" s="2">
        <v>4.47</v>
      </c>
      <c r="AO2" t="s">
        <v>10980</v>
      </c>
      <c r="AP2" t="s">
        <v>10981</v>
      </c>
      <c r="AQ2" t="s">
        <v>10978</v>
      </c>
    </row>
    <row r="3" spans="1:43" x14ac:dyDescent="0.2">
      <c r="A3" t="s">
        <v>11133</v>
      </c>
      <c r="B3" t="s">
        <v>10900</v>
      </c>
      <c r="C3" t="s">
        <v>10943</v>
      </c>
      <c r="D3" t="s">
        <v>11135</v>
      </c>
      <c r="E3" t="s">
        <v>10946</v>
      </c>
      <c r="F3" t="s">
        <v>11135</v>
      </c>
      <c r="G3" s="1">
        <v>5700000</v>
      </c>
      <c r="H3" s="2">
        <v>6355488.9199999999</v>
      </c>
      <c r="I3" s="2">
        <v>6192648.1500000004</v>
      </c>
      <c r="J3" s="2">
        <v>201686.3</v>
      </c>
      <c r="K3" s="2">
        <v>0</v>
      </c>
      <c r="L3" s="2">
        <v>6394334.4500000002</v>
      </c>
      <c r="M3" s="3">
        <v>8.2249999999999996</v>
      </c>
      <c r="N3" s="4">
        <v>1.45478E-2</v>
      </c>
      <c r="O3" s="5">
        <v>44733</v>
      </c>
      <c r="P3" s="5">
        <v>46377</v>
      </c>
      <c r="Q3" s="1">
        <v>10.5</v>
      </c>
      <c r="R3" s="2">
        <v>3.72</v>
      </c>
      <c r="S3" s="6">
        <v>3.572672968</v>
      </c>
      <c r="T3" t="s">
        <v>111</v>
      </c>
      <c r="U3" t="s">
        <v>111</v>
      </c>
      <c r="V3" t="s">
        <v>10944</v>
      </c>
      <c r="W3" t="s">
        <v>43</v>
      </c>
      <c r="X3" t="s">
        <v>10945</v>
      </c>
      <c r="Y3" t="s">
        <v>44</v>
      </c>
      <c r="Z3" t="s">
        <v>44</v>
      </c>
      <c r="AA3" t="s">
        <v>10913</v>
      </c>
      <c r="AB3" t="s">
        <v>44</v>
      </c>
      <c r="AC3" s="4">
        <v>8.3941265600000001</v>
      </c>
      <c r="AD3" s="4">
        <v>8.0875032299999994</v>
      </c>
      <c r="AE3" s="2">
        <v>8.39</v>
      </c>
      <c r="AF3" s="4">
        <v>8.0875032299999994</v>
      </c>
      <c r="AG3" s="2">
        <v>21.96</v>
      </c>
      <c r="AH3" s="2">
        <v>6394334.4500000002</v>
      </c>
      <c r="AI3" s="2">
        <v>0.01</v>
      </c>
      <c r="AJ3" s="5">
        <v>44673</v>
      </c>
      <c r="AK3" t="s">
        <v>11134</v>
      </c>
      <c r="AL3" s="2">
        <v>8.23</v>
      </c>
      <c r="AM3" s="2">
        <v>10.5</v>
      </c>
      <c r="AN3" s="2">
        <v>3.57</v>
      </c>
      <c r="AO3" t="s">
        <v>10922</v>
      </c>
      <c r="AP3" t="s">
        <v>11136</v>
      </c>
      <c r="AQ3" t="s">
        <v>10946</v>
      </c>
    </row>
    <row r="4" spans="1:43" x14ac:dyDescent="0.2">
      <c r="A4" t="s">
        <v>11133</v>
      </c>
      <c r="B4" t="s">
        <v>10900</v>
      </c>
      <c r="C4" t="s">
        <v>11137</v>
      </c>
      <c r="D4" t="s">
        <v>11138</v>
      </c>
      <c r="E4" t="s">
        <v>11139</v>
      </c>
      <c r="F4" t="s">
        <v>11138</v>
      </c>
      <c r="G4" s="1">
        <v>250000</v>
      </c>
      <c r="H4" s="2">
        <v>249155.29</v>
      </c>
      <c r="I4" s="2">
        <v>239047.7</v>
      </c>
      <c r="J4" s="2">
        <v>863.01</v>
      </c>
      <c r="K4" s="2">
        <v>0</v>
      </c>
      <c r="L4" s="2">
        <v>239910.71</v>
      </c>
      <c r="M4" s="3">
        <v>11.316000000000001</v>
      </c>
      <c r="N4" s="4">
        <v>5.4582000000000003E-4</v>
      </c>
      <c r="O4" s="5">
        <v>44844</v>
      </c>
      <c r="P4" s="5">
        <v>47765</v>
      </c>
      <c r="Q4" s="1">
        <v>10.5</v>
      </c>
      <c r="R4" s="2">
        <v>5.71</v>
      </c>
      <c r="S4" s="6">
        <v>5.4077134439999996</v>
      </c>
      <c r="T4" t="s">
        <v>111</v>
      </c>
      <c r="U4" t="s">
        <v>111</v>
      </c>
      <c r="V4" t="s">
        <v>10944</v>
      </c>
      <c r="W4" t="s">
        <v>43</v>
      </c>
      <c r="X4" t="s">
        <v>44</v>
      </c>
      <c r="Y4" t="s">
        <v>44</v>
      </c>
      <c r="Z4" t="s">
        <v>44</v>
      </c>
      <c r="AA4" t="s">
        <v>10979</v>
      </c>
      <c r="AB4" t="s">
        <v>44</v>
      </c>
      <c r="AC4" s="4">
        <v>11.63612964</v>
      </c>
      <c r="AD4" s="4">
        <v>11.058095140000001</v>
      </c>
      <c r="AE4" s="2">
        <v>11.64</v>
      </c>
      <c r="AF4" s="4">
        <v>11.058095140000001</v>
      </c>
      <c r="AG4" s="2">
        <v>0.82</v>
      </c>
      <c r="AH4" s="2">
        <v>239910.71</v>
      </c>
      <c r="AI4" s="2">
        <v>0</v>
      </c>
      <c r="AJ4" s="5">
        <v>44673</v>
      </c>
      <c r="AK4" t="s">
        <v>11134</v>
      </c>
      <c r="AL4" s="2">
        <v>11.32</v>
      </c>
      <c r="AM4" s="2">
        <v>10.5</v>
      </c>
      <c r="AN4" s="2">
        <v>5.41</v>
      </c>
      <c r="AO4" t="s">
        <v>10982</v>
      </c>
      <c r="AP4" t="s">
        <v>11140</v>
      </c>
      <c r="AQ4" t="s">
        <v>11139</v>
      </c>
    </row>
    <row r="5" spans="1:43" x14ac:dyDescent="0.2">
      <c r="A5" t="s">
        <v>11133</v>
      </c>
      <c r="B5" t="s">
        <v>10900</v>
      </c>
      <c r="C5" t="s">
        <v>10950</v>
      </c>
      <c r="D5" t="s">
        <v>11141</v>
      </c>
      <c r="E5" t="s">
        <v>11142</v>
      </c>
      <c r="F5" t="s">
        <v>11141</v>
      </c>
      <c r="G5" s="1">
        <v>800000</v>
      </c>
      <c r="H5" s="2">
        <v>643705.51</v>
      </c>
      <c r="I5" s="2">
        <v>657589.12</v>
      </c>
      <c r="J5" s="2">
        <v>10571.92</v>
      </c>
      <c r="K5" s="2">
        <v>0</v>
      </c>
      <c r="L5" s="2">
        <v>668161.04</v>
      </c>
      <c r="M5" s="3">
        <v>10.805</v>
      </c>
      <c r="N5" s="4">
        <v>1.5201399999999999E-3</v>
      </c>
      <c r="O5" s="5">
        <v>44804</v>
      </c>
      <c r="P5" s="5">
        <v>54116</v>
      </c>
      <c r="Q5" s="1">
        <v>8.75</v>
      </c>
      <c r="R5" s="2">
        <v>9.2200000000000006</v>
      </c>
      <c r="S5" s="6">
        <v>8.7507641760000006</v>
      </c>
      <c r="T5" t="s">
        <v>111</v>
      </c>
      <c r="U5" t="s">
        <v>111</v>
      </c>
      <c r="V5" t="s">
        <v>10944</v>
      </c>
      <c r="W5" t="s">
        <v>43</v>
      </c>
      <c r="X5" t="s">
        <v>10945</v>
      </c>
      <c r="Y5" t="s">
        <v>44</v>
      </c>
      <c r="Z5" t="s">
        <v>44</v>
      </c>
      <c r="AA5" t="s">
        <v>10913</v>
      </c>
      <c r="AB5" t="s">
        <v>44</v>
      </c>
      <c r="AC5" s="4">
        <v>11.096870060000001</v>
      </c>
      <c r="AD5" s="4">
        <v>10.56950999</v>
      </c>
      <c r="AE5" s="2">
        <v>11.1</v>
      </c>
      <c r="AF5" s="4">
        <v>10.56950999</v>
      </c>
      <c r="AG5" s="2">
        <v>2.29</v>
      </c>
      <c r="AH5" s="2">
        <v>668161.04</v>
      </c>
      <c r="AI5" s="2">
        <v>0</v>
      </c>
      <c r="AJ5" s="5">
        <v>44673</v>
      </c>
      <c r="AK5" t="s">
        <v>11134</v>
      </c>
      <c r="AL5" s="2">
        <v>10.8</v>
      </c>
      <c r="AM5" s="2">
        <v>8.75</v>
      </c>
      <c r="AN5" s="2">
        <v>8.75</v>
      </c>
      <c r="AO5" t="s">
        <v>10922</v>
      </c>
      <c r="AP5" t="s">
        <v>11143</v>
      </c>
      <c r="AQ5" t="s">
        <v>11142</v>
      </c>
    </row>
    <row r="6" spans="1:43" x14ac:dyDescent="0.2">
      <c r="A6" t="s">
        <v>11133</v>
      </c>
      <c r="B6" t="s">
        <v>10900</v>
      </c>
      <c r="C6" t="s">
        <v>10950</v>
      </c>
      <c r="D6" t="s">
        <v>10983</v>
      </c>
      <c r="E6" t="s">
        <v>10984</v>
      </c>
      <c r="F6" t="s">
        <v>10983</v>
      </c>
      <c r="G6" s="1">
        <v>770000</v>
      </c>
      <c r="H6" s="2">
        <v>643445.5</v>
      </c>
      <c r="I6" s="2">
        <v>643822.03</v>
      </c>
      <c r="J6" s="2">
        <v>14494.25</v>
      </c>
      <c r="K6" s="2">
        <v>0</v>
      </c>
      <c r="L6" s="2">
        <v>658316.28</v>
      </c>
      <c r="M6" s="3">
        <v>10.734999999999999</v>
      </c>
      <c r="N6" s="4">
        <v>1.49774E-3</v>
      </c>
      <c r="O6" s="5">
        <v>44774</v>
      </c>
      <c r="P6" s="5">
        <v>50071</v>
      </c>
      <c r="Q6" s="1">
        <v>8.5</v>
      </c>
      <c r="R6" s="2">
        <v>7.91</v>
      </c>
      <c r="S6" s="6">
        <v>7.5106016819999999</v>
      </c>
      <c r="T6" t="s">
        <v>111</v>
      </c>
      <c r="U6" t="s">
        <v>111</v>
      </c>
      <c r="V6" t="s">
        <v>10944</v>
      </c>
      <c r="W6" t="s">
        <v>43</v>
      </c>
      <c r="X6" t="s">
        <v>10945</v>
      </c>
      <c r="Y6" t="s">
        <v>44</v>
      </c>
      <c r="Z6" t="s">
        <v>44</v>
      </c>
      <c r="AA6" t="s">
        <v>10913</v>
      </c>
      <c r="AB6" t="s">
        <v>44</v>
      </c>
      <c r="AC6" s="4">
        <v>11.02310056</v>
      </c>
      <c r="AD6" s="4">
        <v>10.50250368</v>
      </c>
      <c r="AE6" s="2">
        <v>11.02</v>
      </c>
      <c r="AF6" s="4">
        <v>10.50250368</v>
      </c>
      <c r="AG6" s="2">
        <v>2.2599999999999998</v>
      </c>
      <c r="AH6" s="2">
        <v>658316.28</v>
      </c>
      <c r="AI6" s="2">
        <v>0</v>
      </c>
      <c r="AJ6" s="5">
        <v>44673</v>
      </c>
      <c r="AK6" t="s">
        <v>11134</v>
      </c>
      <c r="AL6" s="2">
        <v>10.73</v>
      </c>
      <c r="AM6" s="2">
        <v>8.5</v>
      </c>
      <c r="AN6" s="2">
        <v>7.51</v>
      </c>
      <c r="AO6" t="s">
        <v>10922</v>
      </c>
      <c r="AP6" t="s">
        <v>10985</v>
      </c>
      <c r="AQ6" t="s">
        <v>10984</v>
      </c>
    </row>
    <row r="7" spans="1:43" x14ac:dyDescent="0.2">
      <c r="A7" t="s">
        <v>11133</v>
      </c>
      <c r="B7" t="s">
        <v>10900</v>
      </c>
      <c r="C7" t="s">
        <v>10950</v>
      </c>
      <c r="D7" t="s">
        <v>10986</v>
      </c>
      <c r="E7" t="s">
        <v>10987</v>
      </c>
      <c r="F7" t="s">
        <v>10986</v>
      </c>
      <c r="G7" s="1">
        <v>750000</v>
      </c>
      <c r="H7" s="2">
        <v>689768.42</v>
      </c>
      <c r="I7" s="2">
        <v>678319.58</v>
      </c>
      <c r="J7" s="2">
        <v>3092.47</v>
      </c>
      <c r="K7" s="2">
        <v>0</v>
      </c>
      <c r="L7" s="2">
        <v>681412.05</v>
      </c>
      <c r="M7" s="3">
        <v>12.05</v>
      </c>
      <c r="N7" s="4">
        <v>1.55029E-3</v>
      </c>
      <c r="O7" s="5">
        <v>44844</v>
      </c>
      <c r="P7" s="5">
        <v>51418</v>
      </c>
      <c r="Q7" s="1">
        <v>10.75</v>
      </c>
      <c r="R7" s="2">
        <v>7.89</v>
      </c>
      <c r="S7" s="6">
        <v>7.4432483840000003</v>
      </c>
      <c r="T7" t="s">
        <v>111</v>
      </c>
      <c r="U7" t="s">
        <v>111</v>
      </c>
      <c r="V7" t="s">
        <v>10944</v>
      </c>
      <c r="W7" t="s">
        <v>43</v>
      </c>
      <c r="X7" t="s">
        <v>10988</v>
      </c>
      <c r="Y7" t="s">
        <v>44</v>
      </c>
      <c r="Z7" t="s">
        <v>44</v>
      </c>
      <c r="AA7" t="s">
        <v>10979</v>
      </c>
      <c r="AB7" t="s">
        <v>44</v>
      </c>
      <c r="AC7" s="4">
        <v>12.41300625</v>
      </c>
      <c r="AD7" s="4">
        <v>11.758178470000001</v>
      </c>
      <c r="AE7" s="2">
        <v>12.41</v>
      </c>
      <c r="AF7" s="4">
        <v>11.758178470000001</v>
      </c>
      <c r="AG7" s="2">
        <v>2.34</v>
      </c>
      <c r="AH7" s="2">
        <v>681412.05</v>
      </c>
      <c r="AI7" s="2">
        <v>0</v>
      </c>
      <c r="AJ7" s="5">
        <v>44673</v>
      </c>
      <c r="AK7" t="s">
        <v>11134</v>
      </c>
      <c r="AL7" s="2">
        <v>12.05</v>
      </c>
      <c r="AM7" s="2">
        <v>10.75</v>
      </c>
      <c r="AN7" s="2">
        <v>7.44</v>
      </c>
      <c r="AO7" t="s">
        <v>10982</v>
      </c>
      <c r="AP7" t="s">
        <v>10989</v>
      </c>
      <c r="AQ7" t="s">
        <v>10987</v>
      </c>
    </row>
    <row r="8" spans="1:43" x14ac:dyDescent="0.2">
      <c r="A8" t="s">
        <v>11133</v>
      </c>
      <c r="B8" t="s">
        <v>10900</v>
      </c>
      <c r="C8" t="s">
        <v>10990</v>
      </c>
      <c r="D8" t="s">
        <v>10991</v>
      </c>
      <c r="E8" t="s">
        <v>1153</v>
      </c>
      <c r="F8" t="s">
        <v>10991</v>
      </c>
      <c r="G8" s="1">
        <v>560000</v>
      </c>
      <c r="H8" s="2">
        <v>721108.82</v>
      </c>
      <c r="I8" s="2">
        <v>724140.52</v>
      </c>
      <c r="J8" s="2">
        <v>4535.5600000000004</v>
      </c>
      <c r="K8" s="2">
        <v>0</v>
      </c>
      <c r="L8" s="2">
        <v>728676.08</v>
      </c>
      <c r="M8" s="3">
        <v>3.9</v>
      </c>
      <c r="N8" s="4">
        <v>1.65782E-3</v>
      </c>
      <c r="O8" s="5">
        <v>44774</v>
      </c>
      <c r="P8" s="5">
        <v>50436</v>
      </c>
      <c r="Q8" s="1">
        <v>2.25</v>
      </c>
      <c r="R8" s="2">
        <v>12.94</v>
      </c>
      <c r="S8" s="6">
        <v>12.689805079999999</v>
      </c>
      <c r="T8" t="s">
        <v>111</v>
      </c>
      <c r="U8" t="s">
        <v>111</v>
      </c>
      <c r="V8" t="s">
        <v>10992</v>
      </c>
      <c r="W8" t="s">
        <v>43</v>
      </c>
      <c r="X8" t="s">
        <v>10945</v>
      </c>
      <c r="Y8" t="s">
        <v>44</v>
      </c>
      <c r="Z8" t="s">
        <v>44</v>
      </c>
      <c r="AA8" t="s">
        <v>10913</v>
      </c>
      <c r="AB8" t="s">
        <v>44</v>
      </c>
      <c r="AC8" s="4">
        <v>3.9380250000000001</v>
      </c>
      <c r="AD8" s="4">
        <v>3.8686849699999999</v>
      </c>
      <c r="AE8" s="2">
        <v>3.94</v>
      </c>
      <c r="AF8" s="4">
        <v>3.8686849699999999</v>
      </c>
      <c r="AG8" s="2">
        <v>2.5</v>
      </c>
      <c r="AH8" s="2">
        <v>728676.08</v>
      </c>
      <c r="AI8" s="2">
        <v>0</v>
      </c>
      <c r="AJ8" s="5">
        <v>44673</v>
      </c>
      <c r="AK8" t="s">
        <v>11134</v>
      </c>
      <c r="AL8" s="2">
        <v>3.9</v>
      </c>
      <c r="AM8" s="2">
        <v>2.25</v>
      </c>
      <c r="AN8" s="2">
        <v>12.69</v>
      </c>
      <c r="AO8" t="s">
        <v>10922</v>
      </c>
      <c r="AP8" t="s">
        <v>10993</v>
      </c>
      <c r="AQ8" t="s">
        <v>1153</v>
      </c>
    </row>
    <row r="9" spans="1:43" x14ac:dyDescent="0.2">
      <c r="A9" t="s">
        <v>11133</v>
      </c>
      <c r="B9" t="s">
        <v>10900</v>
      </c>
      <c r="C9" t="s">
        <v>10990</v>
      </c>
      <c r="D9" t="s">
        <v>10994</v>
      </c>
      <c r="E9" t="s">
        <v>1190</v>
      </c>
      <c r="F9" t="s">
        <v>10994</v>
      </c>
      <c r="G9" s="1">
        <v>610000</v>
      </c>
      <c r="H9" s="2">
        <v>717046.87</v>
      </c>
      <c r="I9" s="2">
        <v>721712.48</v>
      </c>
      <c r="J9" s="2">
        <v>1451.21</v>
      </c>
      <c r="K9" s="2">
        <v>0</v>
      </c>
      <c r="L9" s="2">
        <v>723163.69</v>
      </c>
      <c r="M9" s="3">
        <v>3.9</v>
      </c>
      <c r="N9" s="4">
        <v>1.64528E-3</v>
      </c>
      <c r="O9" s="5">
        <v>44834</v>
      </c>
      <c r="P9" s="5">
        <v>53417</v>
      </c>
      <c r="Q9" s="1">
        <v>2.5</v>
      </c>
      <c r="R9" s="2">
        <v>17.22</v>
      </c>
      <c r="S9" s="6">
        <v>16.886631569999999</v>
      </c>
      <c r="T9" t="s">
        <v>111</v>
      </c>
      <c r="U9" t="s">
        <v>111</v>
      </c>
      <c r="V9" t="s">
        <v>10992</v>
      </c>
      <c r="W9" t="s">
        <v>43</v>
      </c>
      <c r="X9" t="s">
        <v>10945</v>
      </c>
      <c r="Y9" t="s">
        <v>44</v>
      </c>
      <c r="Z9" t="s">
        <v>44</v>
      </c>
      <c r="AA9" t="s">
        <v>10913</v>
      </c>
      <c r="AB9" t="s">
        <v>44</v>
      </c>
      <c r="AC9" s="4">
        <v>3.9380250000000001</v>
      </c>
      <c r="AD9" s="4">
        <v>3.8686849699999999</v>
      </c>
      <c r="AE9" s="2">
        <v>3.94</v>
      </c>
      <c r="AF9" s="4">
        <v>3.8686849699999999</v>
      </c>
      <c r="AG9" s="2">
        <v>2.48</v>
      </c>
      <c r="AH9" s="2">
        <v>723163.69</v>
      </c>
      <c r="AI9" s="2">
        <v>0</v>
      </c>
      <c r="AJ9" s="5">
        <v>44673</v>
      </c>
      <c r="AK9" t="s">
        <v>11134</v>
      </c>
      <c r="AL9" s="2">
        <v>3.9</v>
      </c>
      <c r="AM9" s="2">
        <v>2.5</v>
      </c>
      <c r="AN9" s="2">
        <v>16.89</v>
      </c>
      <c r="AO9" t="s">
        <v>10922</v>
      </c>
      <c r="AP9" t="s">
        <v>10995</v>
      </c>
      <c r="AQ9" t="s">
        <v>1190</v>
      </c>
    </row>
    <row r="10" spans="1:43" x14ac:dyDescent="0.2">
      <c r="A10" t="s">
        <v>11133</v>
      </c>
      <c r="B10" t="s">
        <v>10900</v>
      </c>
      <c r="C10" t="s">
        <v>10990</v>
      </c>
      <c r="D10" t="s">
        <v>10996</v>
      </c>
      <c r="E10" t="s">
        <v>1160</v>
      </c>
      <c r="F10" t="s">
        <v>10996</v>
      </c>
      <c r="G10" s="1">
        <v>670000</v>
      </c>
      <c r="H10" s="2">
        <v>799864.37</v>
      </c>
      <c r="I10" s="2">
        <v>814726.49</v>
      </c>
      <c r="J10" s="2">
        <v>8301.19</v>
      </c>
      <c r="K10" s="2">
        <v>0</v>
      </c>
      <c r="L10" s="2">
        <v>823027.68</v>
      </c>
      <c r="M10" s="3">
        <v>3.9</v>
      </c>
      <c r="N10" s="4">
        <v>1.8724799999999999E-3</v>
      </c>
      <c r="O10" s="5">
        <v>44742</v>
      </c>
      <c r="P10" s="5">
        <v>55153</v>
      </c>
      <c r="Q10" s="1">
        <v>2.5</v>
      </c>
      <c r="R10" s="2">
        <v>19.05</v>
      </c>
      <c r="S10" s="6">
        <v>18.689623709999999</v>
      </c>
      <c r="T10" t="s">
        <v>111</v>
      </c>
      <c r="U10" t="s">
        <v>111</v>
      </c>
      <c r="V10" t="s">
        <v>10992</v>
      </c>
      <c r="W10" t="s">
        <v>43</v>
      </c>
      <c r="X10" t="s">
        <v>10945</v>
      </c>
      <c r="Y10" t="s">
        <v>44</v>
      </c>
      <c r="Z10" t="s">
        <v>44</v>
      </c>
      <c r="AA10" t="s">
        <v>10913</v>
      </c>
      <c r="AB10" t="s">
        <v>44</v>
      </c>
      <c r="AC10" s="4">
        <v>3.9380250000000001</v>
      </c>
      <c r="AD10" s="4">
        <v>3.8686849699999999</v>
      </c>
      <c r="AE10" s="2">
        <v>3.94</v>
      </c>
      <c r="AF10" s="4">
        <v>3.8686849699999999</v>
      </c>
      <c r="AG10" s="2">
        <v>2.83</v>
      </c>
      <c r="AH10" s="2">
        <v>823027.68</v>
      </c>
      <c r="AI10" s="2">
        <v>0</v>
      </c>
      <c r="AJ10" s="5">
        <v>44673</v>
      </c>
      <c r="AK10" t="s">
        <v>11134</v>
      </c>
      <c r="AL10" s="2">
        <v>3.9</v>
      </c>
      <c r="AM10" s="2">
        <v>2.5</v>
      </c>
      <c r="AN10" s="2">
        <v>18.690000000000001</v>
      </c>
      <c r="AO10" t="s">
        <v>10922</v>
      </c>
      <c r="AP10" t="s">
        <v>10997</v>
      </c>
      <c r="AQ10" t="s">
        <v>1160</v>
      </c>
    </row>
    <row r="11" spans="1:43" x14ac:dyDescent="0.2">
      <c r="A11" t="s">
        <v>11133</v>
      </c>
      <c r="B11" t="s">
        <v>10900</v>
      </c>
      <c r="C11" t="s">
        <v>10990</v>
      </c>
      <c r="D11" t="s">
        <v>10998</v>
      </c>
      <c r="E11" t="s">
        <v>1197</v>
      </c>
      <c r="F11" t="s">
        <v>10998</v>
      </c>
      <c r="G11" s="1">
        <v>630000</v>
      </c>
      <c r="H11" s="2">
        <v>714819.35</v>
      </c>
      <c r="I11" s="2">
        <v>712992.51</v>
      </c>
      <c r="J11" s="2">
        <v>2387.12</v>
      </c>
      <c r="K11" s="2">
        <v>0</v>
      </c>
      <c r="L11" s="2">
        <v>715379.63</v>
      </c>
      <c r="M11" s="3">
        <v>3.82</v>
      </c>
      <c r="N11" s="4">
        <v>1.6275700000000001E-3</v>
      </c>
      <c r="O11" s="5">
        <v>44804</v>
      </c>
      <c r="P11" s="5">
        <v>48638</v>
      </c>
      <c r="Q11" s="1">
        <v>1.875</v>
      </c>
      <c r="R11" s="2">
        <v>9.7100000000000009</v>
      </c>
      <c r="S11" s="6">
        <v>9.5277218819999998</v>
      </c>
      <c r="T11" t="s">
        <v>111</v>
      </c>
      <c r="U11" t="s">
        <v>111</v>
      </c>
      <c r="V11" t="s">
        <v>10992</v>
      </c>
      <c r="W11" t="s">
        <v>43</v>
      </c>
      <c r="X11" t="s">
        <v>10945</v>
      </c>
      <c r="Y11" t="s">
        <v>44</v>
      </c>
      <c r="Z11" t="s">
        <v>44</v>
      </c>
      <c r="AA11" t="s">
        <v>10913</v>
      </c>
      <c r="AB11" t="s">
        <v>44</v>
      </c>
      <c r="AC11" s="4">
        <v>3.856481</v>
      </c>
      <c r="AD11" s="4">
        <v>3.7899492800000001</v>
      </c>
      <c r="AE11" s="2">
        <v>3.86</v>
      </c>
      <c r="AF11" s="4">
        <v>3.7899492800000001</v>
      </c>
      <c r="AG11" s="2">
        <v>2.46</v>
      </c>
      <c r="AH11" s="2">
        <v>715379.63</v>
      </c>
      <c r="AI11" s="2">
        <v>0</v>
      </c>
      <c r="AJ11" s="5">
        <v>44673</v>
      </c>
      <c r="AK11" t="s">
        <v>11134</v>
      </c>
      <c r="AL11" s="2">
        <v>3.82</v>
      </c>
      <c r="AM11" s="2">
        <v>1.88</v>
      </c>
      <c r="AN11" s="2">
        <v>9.5299999999999994</v>
      </c>
      <c r="AO11" t="s">
        <v>10922</v>
      </c>
      <c r="AP11" t="s">
        <v>10999</v>
      </c>
      <c r="AQ11" t="s">
        <v>1197</v>
      </c>
    </row>
    <row r="12" spans="1:43" x14ac:dyDescent="0.2">
      <c r="A12" t="s">
        <v>11133</v>
      </c>
      <c r="B12" t="s">
        <v>45</v>
      </c>
      <c r="C12" t="s">
        <v>11000</v>
      </c>
      <c r="D12" t="s">
        <v>11001</v>
      </c>
      <c r="E12" t="s">
        <v>11002</v>
      </c>
      <c r="F12" t="s">
        <v>11001</v>
      </c>
      <c r="G12" s="1">
        <v>641852.67000000004</v>
      </c>
      <c r="H12" s="2">
        <v>641852.68000000005</v>
      </c>
      <c r="I12" s="2">
        <v>641852.68000000005</v>
      </c>
      <c r="J12" s="2">
        <v>2058.36</v>
      </c>
      <c r="K12" s="2">
        <v>0</v>
      </c>
      <c r="L12" s="2">
        <v>643911.04</v>
      </c>
      <c r="M12" s="3"/>
      <c r="N12" s="4">
        <v>1.4649699999999999E-3</v>
      </c>
      <c r="O12" s="5">
        <v>40756</v>
      </c>
      <c r="P12" s="5">
        <v>73020</v>
      </c>
      <c r="Q12" s="1">
        <v>0</v>
      </c>
      <c r="R12" s="2"/>
      <c r="S12" s="6"/>
      <c r="T12" t="s">
        <v>111</v>
      </c>
      <c r="U12" t="s">
        <v>11003</v>
      </c>
      <c r="V12" t="s">
        <v>46</v>
      </c>
      <c r="W12" t="s">
        <v>43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s="4"/>
      <c r="AD12" s="4"/>
      <c r="AE12" s="2">
        <v>0</v>
      </c>
      <c r="AF12" s="4">
        <v>0</v>
      </c>
      <c r="AG12" s="2">
        <v>2.21</v>
      </c>
      <c r="AH12" s="2">
        <v>643911.04</v>
      </c>
      <c r="AI12" s="2">
        <v>0</v>
      </c>
      <c r="AJ12" s="5">
        <v>44673</v>
      </c>
      <c r="AK12" t="s">
        <v>11134</v>
      </c>
      <c r="AL12" s="2">
        <v>0</v>
      </c>
      <c r="AM12" s="2">
        <v>0</v>
      </c>
      <c r="AN12" s="2">
        <v>0</v>
      </c>
      <c r="AO12" t="s">
        <v>44</v>
      </c>
      <c r="AP12" t="s">
        <v>11004</v>
      </c>
      <c r="AQ12" t="s">
        <v>11002</v>
      </c>
    </row>
    <row r="13" spans="1:43" x14ac:dyDescent="0.2">
      <c r="A13" t="s">
        <v>11133</v>
      </c>
      <c r="B13" t="s">
        <v>45</v>
      </c>
      <c r="C13" t="s">
        <v>11144</v>
      </c>
      <c r="D13" t="s">
        <v>11145</v>
      </c>
      <c r="E13" t="s">
        <v>11146</v>
      </c>
      <c r="F13" t="s">
        <v>11147</v>
      </c>
      <c r="G13" s="1">
        <v>922517</v>
      </c>
      <c r="H13" s="2">
        <v>922517</v>
      </c>
      <c r="I13" s="2">
        <v>922517</v>
      </c>
      <c r="J13" s="2">
        <v>3253.23</v>
      </c>
      <c r="K13" s="2">
        <v>0</v>
      </c>
      <c r="L13" s="2">
        <v>925770.23</v>
      </c>
      <c r="M13" s="3">
        <v>6.88</v>
      </c>
      <c r="N13" s="4">
        <v>2.1062300000000002E-3</v>
      </c>
      <c r="O13" s="5" t="s">
        <v>44</v>
      </c>
      <c r="P13" s="5">
        <v>55153</v>
      </c>
      <c r="Q13" s="1">
        <v>6.88</v>
      </c>
      <c r="R13" s="2">
        <v>0.08</v>
      </c>
      <c r="S13" s="6">
        <v>2.6006750000000002E-3</v>
      </c>
      <c r="T13" t="s">
        <v>112</v>
      </c>
      <c r="U13" t="s">
        <v>46</v>
      </c>
      <c r="V13" t="s">
        <v>11148</v>
      </c>
      <c r="W13" t="s">
        <v>43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s="4"/>
      <c r="AD13" s="4"/>
      <c r="AE13" s="2">
        <v>0</v>
      </c>
      <c r="AF13" s="4">
        <v>0</v>
      </c>
      <c r="AG13" s="2">
        <v>3.18</v>
      </c>
      <c r="AH13" s="2">
        <v>925770.23</v>
      </c>
      <c r="AI13" s="2">
        <v>0</v>
      </c>
      <c r="AJ13" s="5">
        <v>44673</v>
      </c>
      <c r="AK13" t="s">
        <v>11134</v>
      </c>
      <c r="AL13" s="2">
        <v>0</v>
      </c>
      <c r="AM13" s="2">
        <v>6.88</v>
      </c>
      <c r="AN13" s="2">
        <v>0</v>
      </c>
      <c r="AO13" t="s">
        <v>11146</v>
      </c>
      <c r="AP13" t="s">
        <v>44</v>
      </c>
      <c r="AQ13" t="s">
        <v>11146</v>
      </c>
    </row>
    <row r="14" spans="1:43" x14ac:dyDescent="0.2">
      <c r="A14" t="s">
        <v>11133</v>
      </c>
      <c r="B14" t="s">
        <v>45</v>
      </c>
      <c r="C14" t="s">
        <v>47</v>
      </c>
      <c r="D14" t="s">
        <v>48</v>
      </c>
      <c r="E14" t="s">
        <v>49</v>
      </c>
      <c r="F14" t="s">
        <v>50</v>
      </c>
      <c r="G14" s="1">
        <v>0</v>
      </c>
      <c r="H14" s="2">
        <v>0</v>
      </c>
      <c r="I14" s="2">
        <v>0</v>
      </c>
      <c r="J14" s="2">
        <v>0</v>
      </c>
      <c r="K14" s="2">
        <v>0</v>
      </c>
      <c r="L14" s="2">
        <v>312.49</v>
      </c>
      <c r="M14" s="3"/>
      <c r="N14" s="4">
        <v>7.0999999999999998E-7</v>
      </c>
      <c r="O14" s="5" t="s">
        <v>44</v>
      </c>
      <c r="P14" s="5" t="s">
        <v>44</v>
      </c>
      <c r="Q14" s="1"/>
      <c r="R14" s="2">
        <v>0.08</v>
      </c>
      <c r="S14" s="6"/>
      <c r="T14" t="s">
        <v>45</v>
      </c>
      <c r="U14" t="s">
        <v>46</v>
      </c>
      <c r="V14" t="s">
        <v>44</v>
      </c>
      <c r="W14" t="s">
        <v>43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s="4">
        <v>5.1163389600000002</v>
      </c>
      <c r="AD14" s="4">
        <v>5.0001424999999999</v>
      </c>
      <c r="AE14" s="2">
        <v>5.12</v>
      </c>
      <c r="AF14" s="4">
        <v>5.0001424999999999</v>
      </c>
      <c r="AG14" s="2">
        <v>0</v>
      </c>
      <c r="AH14" s="2">
        <v>312.49</v>
      </c>
      <c r="AI14" s="2">
        <v>0</v>
      </c>
      <c r="AJ14" s="5">
        <v>44673</v>
      </c>
      <c r="AK14" t="s">
        <v>11134</v>
      </c>
      <c r="AL14" s="2">
        <v>5.05</v>
      </c>
      <c r="AM14" s="2">
        <v>0</v>
      </c>
      <c r="AN14" s="2">
        <v>0</v>
      </c>
      <c r="AO14" t="s">
        <v>44</v>
      </c>
      <c r="AP14" t="s">
        <v>44</v>
      </c>
      <c r="AQ14" t="s">
        <v>44</v>
      </c>
    </row>
    <row r="15" spans="1:43" x14ac:dyDescent="0.2">
      <c r="A15" t="s">
        <v>11133</v>
      </c>
      <c r="B15" t="s">
        <v>45</v>
      </c>
      <c r="C15" t="s">
        <v>47</v>
      </c>
      <c r="D15" t="s">
        <v>51</v>
      </c>
      <c r="E15" t="s">
        <v>52</v>
      </c>
      <c r="F15" t="s">
        <v>51</v>
      </c>
      <c r="G15" s="1">
        <v>311922.03999999998</v>
      </c>
      <c r="H15" s="2">
        <v>311921.48</v>
      </c>
      <c r="I15" s="2">
        <v>311922.03999999998</v>
      </c>
      <c r="J15" s="2">
        <v>0</v>
      </c>
      <c r="K15" s="2">
        <v>0</v>
      </c>
      <c r="L15" s="2">
        <v>311922.03999999998</v>
      </c>
      <c r="M15" s="3"/>
      <c r="N15" s="4">
        <v>7.0965999999999998E-4</v>
      </c>
      <c r="O15" s="5" t="s">
        <v>44</v>
      </c>
      <c r="P15" s="5" t="s">
        <v>44</v>
      </c>
      <c r="Q15" s="1"/>
      <c r="R15" s="2">
        <v>0.08</v>
      </c>
      <c r="S15" s="6"/>
      <c r="T15" t="s">
        <v>45</v>
      </c>
      <c r="U15" t="s">
        <v>53</v>
      </c>
      <c r="V15" t="s">
        <v>44</v>
      </c>
      <c r="W15" t="s">
        <v>43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s="4">
        <v>5.1163389600000002</v>
      </c>
      <c r="AD15" s="4">
        <v>5.0001424999999999</v>
      </c>
      <c r="AE15" s="2">
        <v>5.12</v>
      </c>
      <c r="AF15" s="4">
        <v>5.0001424999999999</v>
      </c>
      <c r="AG15" s="2">
        <v>1.07</v>
      </c>
      <c r="AH15" s="2">
        <v>311922.03999999998</v>
      </c>
      <c r="AI15" s="2">
        <v>0</v>
      </c>
      <c r="AJ15" s="5">
        <v>44673</v>
      </c>
      <c r="AK15" t="s">
        <v>11134</v>
      </c>
      <c r="AL15" s="2">
        <v>5.05</v>
      </c>
      <c r="AM15" s="2">
        <v>0</v>
      </c>
      <c r="AN15" s="2">
        <v>0</v>
      </c>
      <c r="AO15" t="s">
        <v>44</v>
      </c>
      <c r="AP15" t="s">
        <v>44</v>
      </c>
      <c r="AQ15" t="s">
        <v>43</v>
      </c>
    </row>
    <row r="16" spans="1:43" x14ac:dyDescent="0.2">
      <c r="A16" t="s">
        <v>11133</v>
      </c>
      <c r="B16" t="s">
        <v>45</v>
      </c>
      <c r="C16" t="s">
        <v>11005</v>
      </c>
      <c r="D16" t="s">
        <v>11006</v>
      </c>
      <c r="E16" t="s">
        <v>11007</v>
      </c>
      <c r="F16" t="s">
        <v>11006</v>
      </c>
      <c r="G16" s="1">
        <v>-12118.12</v>
      </c>
      <c r="H16" s="2">
        <v>-12118.12</v>
      </c>
      <c r="I16" s="2">
        <v>-12118.12</v>
      </c>
      <c r="J16" s="2">
        <v>0</v>
      </c>
      <c r="K16" s="2"/>
      <c r="L16" s="2">
        <v>-12118.12</v>
      </c>
      <c r="M16" s="3"/>
      <c r="N16" s="4">
        <v>-2.7569999999999999E-5</v>
      </c>
      <c r="O16" s="5" t="s">
        <v>44</v>
      </c>
      <c r="P16" s="5">
        <v>73051</v>
      </c>
      <c r="Q16" s="1">
        <v>0</v>
      </c>
      <c r="R16" s="2">
        <v>0.08</v>
      </c>
      <c r="S16" s="6"/>
      <c r="T16" t="s">
        <v>45</v>
      </c>
      <c r="U16" t="s">
        <v>11008</v>
      </c>
      <c r="V16" t="s">
        <v>44</v>
      </c>
      <c r="W16" t="s">
        <v>43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s="4">
        <v>5.1163389600000002</v>
      </c>
      <c r="AD16" s="4">
        <v>5.0001424999999999</v>
      </c>
      <c r="AE16" s="2">
        <v>5.12</v>
      </c>
      <c r="AF16" s="4">
        <v>5.0001424999999999</v>
      </c>
      <c r="AG16" s="2">
        <v>-0.04</v>
      </c>
      <c r="AH16" s="2">
        <v>-12118.12</v>
      </c>
      <c r="AI16" s="2">
        <v>0</v>
      </c>
      <c r="AJ16" s="5">
        <v>44673</v>
      </c>
      <c r="AK16" t="s">
        <v>11134</v>
      </c>
      <c r="AL16" s="2">
        <v>5.05</v>
      </c>
      <c r="AM16" s="2">
        <v>0</v>
      </c>
      <c r="AN16" s="2">
        <v>0</v>
      </c>
      <c r="AO16" t="s">
        <v>44</v>
      </c>
      <c r="AP16" t="s">
        <v>44</v>
      </c>
      <c r="AQ16" t="s">
        <v>44</v>
      </c>
    </row>
    <row r="17" spans="1:43" x14ac:dyDescent="0.2">
      <c r="A17" t="s">
        <v>11133</v>
      </c>
      <c r="B17" t="s">
        <v>45</v>
      </c>
      <c r="C17" t="s">
        <v>11005</v>
      </c>
      <c r="D17" t="s">
        <v>11009</v>
      </c>
      <c r="E17" t="s">
        <v>11010</v>
      </c>
      <c r="F17" t="s">
        <v>44</v>
      </c>
      <c r="G17" s="1">
        <v>-2499.98</v>
      </c>
      <c r="H17" s="2">
        <v>-2499.98</v>
      </c>
      <c r="I17" s="2">
        <v>-2499.98</v>
      </c>
      <c r="J17" s="2">
        <v>0</v>
      </c>
      <c r="K17" s="2"/>
      <c r="L17" s="2">
        <v>-2499.98</v>
      </c>
      <c r="M17" s="3"/>
      <c r="N17" s="4">
        <v>-5.6899999999999997E-6</v>
      </c>
      <c r="O17" s="5" t="s">
        <v>44</v>
      </c>
      <c r="P17" s="5">
        <v>73051</v>
      </c>
      <c r="Q17" s="1">
        <v>0</v>
      </c>
      <c r="R17" s="2">
        <v>0.08</v>
      </c>
      <c r="S17" s="6"/>
      <c r="T17" t="s">
        <v>45</v>
      </c>
      <c r="U17" t="s">
        <v>44</v>
      </c>
      <c r="V17" t="s">
        <v>44</v>
      </c>
      <c r="W17" t="s">
        <v>43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s="4">
        <v>5.1163389600000002</v>
      </c>
      <c r="AD17" s="4">
        <v>5.0001424999999999</v>
      </c>
      <c r="AE17" s="2">
        <v>5.12</v>
      </c>
      <c r="AF17" s="4">
        <v>5.0001424999999999</v>
      </c>
      <c r="AG17" s="2">
        <v>-0.01</v>
      </c>
      <c r="AH17" s="2">
        <v>-2499.98</v>
      </c>
      <c r="AI17" s="2">
        <v>0</v>
      </c>
      <c r="AJ17" s="5">
        <v>44673</v>
      </c>
      <c r="AK17" t="s">
        <v>11134</v>
      </c>
      <c r="AL17" s="2">
        <v>5.05</v>
      </c>
      <c r="AM17" s="2">
        <v>0</v>
      </c>
      <c r="AN17" s="2">
        <v>0</v>
      </c>
      <c r="AO17" t="s">
        <v>44</v>
      </c>
      <c r="AP17" t="s">
        <v>44</v>
      </c>
      <c r="AQ17" t="s">
        <v>44</v>
      </c>
    </row>
    <row r="18" spans="1:43" x14ac:dyDescent="0.2">
      <c r="A18" t="s">
        <v>11133</v>
      </c>
      <c r="B18" t="s">
        <v>45</v>
      </c>
      <c r="C18" t="s">
        <v>11005</v>
      </c>
      <c r="D18" t="s">
        <v>11011</v>
      </c>
      <c r="E18" t="s">
        <v>11012</v>
      </c>
      <c r="F18" t="s">
        <v>44</v>
      </c>
      <c r="G18" s="1">
        <v>-3039.6</v>
      </c>
      <c r="H18" s="2">
        <v>-3039.6</v>
      </c>
      <c r="I18" s="2">
        <v>-3039.6</v>
      </c>
      <c r="J18" s="2">
        <v>0</v>
      </c>
      <c r="K18" s="2"/>
      <c r="L18" s="2">
        <v>-3039.6</v>
      </c>
      <c r="M18" s="3"/>
      <c r="N18" s="4">
        <v>-6.9199999999999998E-6</v>
      </c>
      <c r="O18" s="5" t="s">
        <v>44</v>
      </c>
      <c r="P18" s="5">
        <v>73051</v>
      </c>
      <c r="Q18" s="1">
        <v>0</v>
      </c>
      <c r="R18" s="2">
        <v>0.08</v>
      </c>
      <c r="S18" s="6"/>
      <c r="T18" t="s">
        <v>45</v>
      </c>
      <c r="U18" t="s">
        <v>44</v>
      </c>
      <c r="V18" t="s">
        <v>44</v>
      </c>
      <c r="W18" t="s">
        <v>43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s="4">
        <v>5.1163389600000002</v>
      </c>
      <c r="AD18" s="4">
        <v>5.0001424999999999</v>
      </c>
      <c r="AE18" s="2">
        <v>5.12</v>
      </c>
      <c r="AF18" s="4">
        <v>5.0001424999999999</v>
      </c>
      <c r="AG18" s="2">
        <v>-0.01</v>
      </c>
      <c r="AH18" s="2">
        <v>-3039.6</v>
      </c>
      <c r="AI18" s="2">
        <v>0</v>
      </c>
      <c r="AJ18" s="5">
        <v>44673</v>
      </c>
      <c r="AK18" t="s">
        <v>11134</v>
      </c>
      <c r="AL18" s="2">
        <v>5.05</v>
      </c>
      <c r="AM18" s="2">
        <v>0</v>
      </c>
      <c r="AN18" s="2">
        <v>0</v>
      </c>
      <c r="AO18" t="s">
        <v>44</v>
      </c>
      <c r="AP18" t="s">
        <v>44</v>
      </c>
      <c r="AQ18" t="s">
        <v>44</v>
      </c>
    </row>
    <row r="19" spans="1:43" x14ac:dyDescent="0.2">
      <c r="A19" t="s">
        <v>11133</v>
      </c>
      <c r="B19" t="s">
        <v>45</v>
      </c>
      <c r="C19" t="s">
        <v>11005</v>
      </c>
      <c r="D19" t="s">
        <v>11149</v>
      </c>
      <c r="E19" t="s">
        <v>11150</v>
      </c>
      <c r="F19" t="s">
        <v>44</v>
      </c>
      <c r="G19" s="1">
        <v>-270103.09999999998</v>
      </c>
      <c r="H19" s="2">
        <v>-270103.09999999998</v>
      </c>
      <c r="I19" s="2">
        <v>-270103.09999999998</v>
      </c>
      <c r="J19" s="2">
        <v>0</v>
      </c>
      <c r="K19" s="2"/>
      <c r="L19" s="2">
        <v>-270103.09999999998</v>
      </c>
      <c r="M19" s="3"/>
      <c r="N19" s="4">
        <v>-6.1450999999999997E-4</v>
      </c>
      <c r="O19" s="5" t="s">
        <v>44</v>
      </c>
      <c r="P19" s="5">
        <v>73051</v>
      </c>
      <c r="Q19" s="1">
        <v>0</v>
      </c>
      <c r="R19" s="2">
        <v>0.08</v>
      </c>
      <c r="S19" s="6"/>
      <c r="T19" t="s">
        <v>45</v>
      </c>
      <c r="U19" t="s">
        <v>44</v>
      </c>
      <c r="V19" t="s">
        <v>44</v>
      </c>
      <c r="W19" t="s">
        <v>43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s="4">
        <v>5.1163389600000002</v>
      </c>
      <c r="AD19" s="4">
        <v>5.0001424999999999</v>
      </c>
      <c r="AE19" s="2">
        <v>5.12</v>
      </c>
      <c r="AF19" s="4">
        <v>5.0001424999999999</v>
      </c>
      <c r="AG19" s="2">
        <v>-0.93</v>
      </c>
      <c r="AH19" s="2">
        <v>-270103.09999999998</v>
      </c>
      <c r="AI19" s="2">
        <v>0</v>
      </c>
      <c r="AJ19" s="5">
        <v>44673</v>
      </c>
      <c r="AK19" t="s">
        <v>11134</v>
      </c>
      <c r="AL19" s="2">
        <v>5.05</v>
      </c>
      <c r="AM19" s="2">
        <v>0</v>
      </c>
      <c r="AN19" s="2">
        <v>0</v>
      </c>
      <c r="AO19" t="s">
        <v>44</v>
      </c>
      <c r="AP19" t="s">
        <v>44</v>
      </c>
      <c r="AQ19" t="s">
        <v>44</v>
      </c>
    </row>
    <row r="20" spans="1:43" x14ac:dyDescent="0.2">
      <c r="A20" t="s">
        <v>11133</v>
      </c>
      <c r="B20" t="s">
        <v>11013</v>
      </c>
      <c r="C20" t="s">
        <v>11014</v>
      </c>
      <c r="D20" t="s">
        <v>11015</v>
      </c>
      <c r="E20" t="s">
        <v>11016</v>
      </c>
      <c r="F20" t="s">
        <v>11015</v>
      </c>
      <c r="G20" s="1">
        <v>4898432.2182</v>
      </c>
      <c r="H20" s="2">
        <v>5152718.5999999996</v>
      </c>
      <c r="I20" s="2">
        <v>5088001.55</v>
      </c>
      <c r="J20" s="2">
        <v>0</v>
      </c>
      <c r="K20" s="2">
        <v>0</v>
      </c>
      <c r="L20" s="2">
        <v>5088001.55</v>
      </c>
      <c r="M20" s="3">
        <v>1.0387</v>
      </c>
      <c r="N20" s="4">
        <v>1.1575749999999999E-2</v>
      </c>
      <c r="O20" s="5" t="s">
        <v>44</v>
      </c>
      <c r="P20" s="5" t="s">
        <v>44</v>
      </c>
      <c r="Q20" s="1"/>
      <c r="R20" s="2"/>
      <c r="S20" s="6"/>
      <c r="T20" t="s">
        <v>10902</v>
      </c>
      <c r="U20" t="s">
        <v>11003</v>
      </c>
      <c r="V20" t="s">
        <v>11003</v>
      </c>
      <c r="W20" t="s">
        <v>43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s="4"/>
      <c r="AD20" s="4"/>
      <c r="AE20" s="2">
        <v>0</v>
      </c>
      <c r="AF20" s="4">
        <v>0</v>
      </c>
      <c r="AG20" s="2">
        <v>17.48</v>
      </c>
      <c r="AH20" s="2">
        <v>5088001.55</v>
      </c>
      <c r="AI20" s="2">
        <v>0.01</v>
      </c>
      <c r="AJ20" s="5">
        <v>44673</v>
      </c>
      <c r="AK20" t="s">
        <v>11134</v>
      </c>
      <c r="AL20" s="2">
        <v>0</v>
      </c>
      <c r="AM20" s="2">
        <v>0</v>
      </c>
      <c r="AN20" s="2">
        <v>0</v>
      </c>
      <c r="AO20" t="s">
        <v>44</v>
      </c>
      <c r="AP20" t="s">
        <v>11017</v>
      </c>
      <c r="AQ20" t="s">
        <v>11016</v>
      </c>
    </row>
    <row r="21" spans="1:43" x14ac:dyDescent="0.2">
      <c r="A21" t="s">
        <v>11133</v>
      </c>
      <c r="B21" t="s">
        <v>11013</v>
      </c>
      <c r="C21" t="s">
        <v>11014</v>
      </c>
      <c r="D21" t="s">
        <v>11018</v>
      </c>
      <c r="E21" t="s">
        <v>11019</v>
      </c>
      <c r="F21" t="s">
        <v>11018</v>
      </c>
      <c r="G21" s="1">
        <v>2968566.7415999998</v>
      </c>
      <c r="H21" s="2">
        <v>2974464.88</v>
      </c>
      <c r="I21" s="2">
        <v>2985190.72</v>
      </c>
      <c r="J21" s="2">
        <v>0</v>
      </c>
      <c r="K21" s="2">
        <v>0</v>
      </c>
      <c r="L21" s="2">
        <v>2985190.72</v>
      </c>
      <c r="M21" s="3">
        <v>1.0056</v>
      </c>
      <c r="N21" s="4">
        <v>6.7916299999999999E-3</v>
      </c>
      <c r="O21" s="5" t="s">
        <v>44</v>
      </c>
      <c r="P21" s="5" t="s">
        <v>44</v>
      </c>
      <c r="Q21" s="1"/>
      <c r="R21" s="2"/>
      <c r="S21" s="6"/>
      <c r="T21" t="s">
        <v>10902</v>
      </c>
      <c r="U21" t="s">
        <v>11003</v>
      </c>
      <c r="V21" t="s">
        <v>11003</v>
      </c>
      <c r="W21" t="s">
        <v>43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s="4"/>
      <c r="AD21" s="4"/>
      <c r="AE21" s="2">
        <v>0</v>
      </c>
      <c r="AF21" s="4">
        <v>0</v>
      </c>
      <c r="AG21" s="2">
        <v>10.25</v>
      </c>
      <c r="AH21" s="2">
        <v>2985190.72</v>
      </c>
      <c r="AI21" s="2">
        <v>0.01</v>
      </c>
      <c r="AJ21" s="5">
        <v>44673</v>
      </c>
      <c r="AK21" t="s">
        <v>11134</v>
      </c>
      <c r="AL21" s="2">
        <v>0</v>
      </c>
      <c r="AM21" s="2">
        <v>0</v>
      </c>
      <c r="AN21" s="2">
        <v>0</v>
      </c>
      <c r="AO21" t="s">
        <v>44</v>
      </c>
      <c r="AP21" t="s">
        <v>11020</v>
      </c>
      <c r="AQ21" t="s">
        <v>11019</v>
      </c>
    </row>
    <row r="22" spans="1:43" x14ac:dyDescent="0.2">
      <c r="A22" t="s">
        <v>11133</v>
      </c>
      <c r="B22" t="s">
        <v>11013</v>
      </c>
      <c r="C22" t="s">
        <v>11014</v>
      </c>
      <c r="D22" t="s">
        <v>11021</v>
      </c>
      <c r="E22" t="s">
        <v>11022</v>
      </c>
      <c r="F22" t="s">
        <v>11021</v>
      </c>
      <c r="G22" s="1">
        <v>2338538.5860000001</v>
      </c>
      <c r="H22" s="2">
        <v>1974323.79</v>
      </c>
      <c r="I22" s="2">
        <v>2347892.7400000002</v>
      </c>
      <c r="J22" s="2">
        <v>0</v>
      </c>
      <c r="K22" s="2">
        <v>0</v>
      </c>
      <c r="L22" s="2">
        <v>2347892.7400000002</v>
      </c>
      <c r="M22" s="3">
        <v>1.004</v>
      </c>
      <c r="N22" s="4">
        <v>5.3417100000000004E-3</v>
      </c>
      <c r="O22" s="5" t="s">
        <v>44</v>
      </c>
      <c r="P22" s="5" t="s">
        <v>44</v>
      </c>
      <c r="Q22" s="1"/>
      <c r="R22" s="2"/>
      <c r="S22" s="6"/>
      <c r="T22" t="s">
        <v>10902</v>
      </c>
      <c r="U22" t="s">
        <v>11003</v>
      </c>
      <c r="V22" t="s">
        <v>11003</v>
      </c>
      <c r="W22" t="s">
        <v>43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s="4"/>
      <c r="AD22" s="4"/>
      <c r="AE22" s="2">
        <v>0</v>
      </c>
      <c r="AF22" s="4">
        <v>0</v>
      </c>
      <c r="AG22" s="2">
        <v>8.06</v>
      </c>
      <c r="AH22" s="2">
        <v>2347892.7400000002</v>
      </c>
      <c r="AI22" s="2">
        <v>0.01</v>
      </c>
      <c r="AJ22" s="5">
        <v>44673</v>
      </c>
      <c r="AK22" t="s">
        <v>11134</v>
      </c>
      <c r="AL22" s="2">
        <v>0</v>
      </c>
      <c r="AM22" s="2">
        <v>0</v>
      </c>
      <c r="AN22" s="2">
        <v>0</v>
      </c>
      <c r="AO22" t="s">
        <v>44</v>
      </c>
      <c r="AP22" t="s">
        <v>11023</v>
      </c>
      <c r="AQ22" t="s">
        <v>11022</v>
      </c>
    </row>
    <row r="23" spans="1:43" x14ac:dyDescent="0.2">
      <c r="A23" t="s">
        <v>11133</v>
      </c>
      <c r="B23" t="s">
        <v>11024</v>
      </c>
      <c r="C23" t="s">
        <v>57</v>
      </c>
      <c r="D23" t="s">
        <v>12717</v>
      </c>
      <c r="E23" t="s">
        <v>12717</v>
      </c>
      <c r="F23" t="s">
        <v>12717</v>
      </c>
      <c r="G23" s="1">
        <v>-12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3">
        <v>65943</v>
      </c>
      <c r="N23" s="4">
        <v>0</v>
      </c>
      <c r="O23" s="5" t="s">
        <v>44</v>
      </c>
      <c r="P23" s="5">
        <v>44910</v>
      </c>
      <c r="Q23" s="1"/>
      <c r="R23" s="2"/>
      <c r="S23" s="6"/>
      <c r="T23" t="s">
        <v>11026</v>
      </c>
      <c r="U23" t="s">
        <v>11025</v>
      </c>
      <c r="V23" t="s">
        <v>11027</v>
      </c>
      <c r="W23" t="s">
        <v>43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s="4"/>
      <c r="AD23" s="4"/>
      <c r="AE23" s="2">
        <v>0</v>
      </c>
      <c r="AF23" s="4">
        <v>0</v>
      </c>
      <c r="AG23" s="2">
        <v>0</v>
      </c>
      <c r="AH23" s="2">
        <v>-7913160</v>
      </c>
      <c r="AI23" s="2">
        <v>-0.02</v>
      </c>
      <c r="AJ23" s="5">
        <v>44673</v>
      </c>
      <c r="AK23" t="s">
        <v>11134</v>
      </c>
      <c r="AL23" s="2">
        <v>0</v>
      </c>
      <c r="AM23" s="2">
        <v>0</v>
      </c>
      <c r="AN23" s="2">
        <v>0</v>
      </c>
      <c r="AO23" t="s">
        <v>44</v>
      </c>
      <c r="AP23" t="s">
        <v>12718</v>
      </c>
      <c r="AQ23" t="s">
        <v>12717</v>
      </c>
    </row>
    <row r="24" spans="1:43" x14ac:dyDescent="0.2">
      <c r="A24" t="s">
        <v>11133</v>
      </c>
      <c r="B24" t="s">
        <v>11024</v>
      </c>
      <c r="C24" t="s">
        <v>57</v>
      </c>
      <c r="D24" t="s">
        <v>12719</v>
      </c>
      <c r="E24" t="s">
        <v>12719</v>
      </c>
      <c r="F24" t="s">
        <v>12719</v>
      </c>
      <c r="G24" s="1">
        <v>21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3">
        <v>23175</v>
      </c>
      <c r="N24" s="4">
        <v>0</v>
      </c>
      <c r="O24" s="5" t="s">
        <v>44</v>
      </c>
      <c r="P24" s="5">
        <v>44910</v>
      </c>
      <c r="Q24" s="1"/>
      <c r="R24" s="2"/>
      <c r="S24" s="6"/>
      <c r="T24" t="s">
        <v>11153</v>
      </c>
      <c r="U24" t="s">
        <v>11025</v>
      </c>
      <c r="V24" t="s">
        <v>11154</v>
      </c>
      <c r="W24" t="s">
        <v>43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s="4"/>
      <c r="AD24" s="4"/>
      <c r="AE24" s="2">
        <v>0</v>
      </c>
      <c r="AF24" s="4">
        <v>0</v>
      </c>
      <c r="AG24" s="2">
        <v>0</v>
      </c>
      <c r="AH24" s="2">
        <v>5146819.75</v>
      </c>
      <c r="AI24" s="2">
        <v>0.01</v>
      </c>
      <c r="AJ24" s="5">
        <v>44673</v>
      </c>
      <c r="AK24" t="s">
        <v>11134</v>
      </c>
      <c r="AL24" s="2">
        <v>0</v>
      </c>
      <c r="AM24" s="2">
        <v>0</v>
      </c>
      <c r="AN24" s="2">
        <v>0</v>
      </c>
      <c r="AO24" t="s">
        <v>44</v>
      </c>
      <c r="AP24" t="s">
        <v>12720</v>
      </c>
      <c r="AQ24" t="s">
        <v>12719</v>
      </c>
    </row>
    <row r="25" spans="1:43" x14ac:dyDescent="0.2">
      <c r="A25" t="s">
        <v>11133</v>
      </c>
      <c r="B25" t="s">
        <v>11024</v>
      </c>
      <c r="C25" t="s">
        <v>57</v>
      </c>
      <c r="D25" t="s">
        <v>11151</v>
      </c>
      <c r="E25" t="s">
        <v>11151</v>
      </c>
      <c r="F25" t="s">
        <v>11151</v>
      </c>
      <c r="G25" s="1">
        <v>15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65704</v>
      </c>
      <c r="N25" s="4">
        <v>0</v>
      </c>
      <c r="O25" s="5" t="s">
        <v>44</v>
      </c>
      <c r="P25" s="5">
        <v>44727</v>
      </c>
      <c r="Q25" s="1"/>
      <c r="R25" s="2"/>
      <c r="S25" s="6"/>
      <c r="T25" t="s">
        <v>11026</v>
      </c>
      <c r="U25" t="s">
        <v>11025</v>
      </c>
      <c r="V25" t="s">
        <v>11027</v>
      </c>
      <c r="W25" t="s">
        <v>43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s="4"/>
      <c r="AD25" s="4"/>
      <c r="AE25" s="2">
        <v>0</v>
      </c>
      <c r="AF25" s="4">
        <v>0</v>
      </c>
      <c r="AG25" s="2">
        <v>0</v>
      </c>
      <c r="AH25" s="2">
        <v>9855600</v>
      </c>
      <c r="AI25" s="2">
        <v>0.02</v>
      </c>
      <c r="AJ25" s="5">
        <v>44673</v>
      </c>
      <c r="AK25" t="s">
        <v>11134</v>
      </c>
      <c r="AL25" s="2">
        <v>0</v>
      </c>
      <c r="AM25" s="2">
        <v>0</v>
      </c>
      <c r="AN25" s="2">
        <v>0</v>
      </c>
      <c r="AO25" t="s">
        <v>44</v>
      </c>
      <c r="AP25" t="s">
        <v>11152</v>
      </c>
      <c r="AQ25" t="s">
        <v>11151</v>
      </c>
    </row>
    <row r="26" spans="1:43" x14ac:dyDescent="0.2">
      <c r="A26" t="s">
        <v>11133</v>
      </c>
      <c r="B26" t="s">
        <v>11024</v>
      </c>
      <c r="C26" t="s">
        <v>57</v>
      </c>
      <c r="D26" t="s">
        <v>12995</v>
      </c>
      <c r="E26" t="s">
        <v>12995</v>
      </c>
      <c r="F26" t="s">
        <v>12995</v>
      </c>
      <c r="G26" s="1">
        <v>-4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3">
        <v>11809</v>
      </c>
      <c r="N26" s="4">
        <v>0</v>
      </c>
      <c r="O26" s="5" t="s">
        <v>44</v>
      </c>
      <c r="P26" s="5">
        <v>44727</v>
      </c>
      <c r="Q26" s="1"/>
      <c r="R26" s="2"/>
      <c r="S26" s="6"/>
      <c r="T26" t="s">
        <v>11153</v>
      </c>
      <c r="U26" t="s">
        <v>11025</v>
      </c>
      <c r="V26" t="s">
        <v>11154</v>
      </c>
      <c r="W26" t="s">
        <v>43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s="4"/>
      <c r="AD26" s="4"/>
      <c r="AE26" s="2">
        <v>0</v>
      </c>
      <c r="AF26" s="4">
        <v>0</v>
      </c>
      <c r="AG26" s="2">
        <v>0</v>
      </c>
      <c r="AH26" s="2">
        <v>795312.24</v>
      </c>
      <c r="AI26" s="2">
        <v>0</v>
      </c>
      <c r="AJ26" s="5">
        <v>44673</v>
      </c>
      <c r="AK26" t="s">
        <v>11134</v>
      </c>
      <c r="AL26" s="2">
        <v>0</v>
      </c>
      <c r="AM26" s="2">
        <v>0</v>
      </c>
      <c r="AN26" s="2">
        <v>0</v>
      </c>
      <c r="AO26" t="s">
        <v>44</v>
      </c>
      <c r="AP26" t="s">
        <v>12999</v>
      </c>
      <c r="AQ26" t="s">
        <v>12995</v>
      </c>
    </row>
    <row r="27" spans="1:43" x14ac:dyDescent="0.2">
      <c r="A27" t="s">
        <v>11133</v>
      </c>
      <c r="B27" t="s">
        <v>11024</v>
      </c>
      <c r="C27" t="s">
        <v>57</v>
      </c>
      <c r="D27" t="s">
        <v>11155</v>
      </c>
      <c r="E27" t="s">
        <v>11155</v>
      </c>
      <c r="F27" t="s">
        <v>11155</v>
      </c>
      <c r="G27" s="1">
        <v>-10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3">
        <v>615</v>
      </c>
      <c r="N27" s="4">
        <v>0</v>
      </c>
      <c r="O27" s="5" t="s">
        <v>44</v>
      </c>
      <c r="P27" s="5">
        <v>44727</v>
      </c>
      <c r="Q27" s="1"/>
      <c r="R27" s="2"/>
      <c r="S27" s="6"/>
      <c r="T27" t="s">
        <v>11153</v>
      </c>
      <c r="U27" t="s">
        <v>11025</v>
      </c>
      <c r="V27" t="s">
        <v>11154</v>
      </c>
      <c r="W27" t="s">
        <v>43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s="4"/>
      <c r="AD27" s="4"/>
      <c r="AE27" s="2">
        <v>0</v>
      </c>
      <c r="AF27" s="4">
        <v>0</v>
      </c>
      <c r="AG27" s="2">
        <v>0</v>
      </c>
      <c r="AH27" s="2">
        <v>-241880.94</v>
      </c>
      <c r="AI27" s="2">
        <v>0</v>
      </c>
      <c r="AJ27" s="5">
        <v>44673</v>
      </c>
      <c r="AK27" t="s">
        <v>11134</v>
      </c>
      <c r="AL27" s="2">
        <v>0</v>
      </c>
      <c r="AM27" s="2">
        <v>0</v>
      </c>
      <c r="AN27" s="2">
        <v>0</v>
      </c>
      <c r="AO27" t="s">
        <v>44</v>
      </c>
      <c r="AP27" t="s">
        <v>11156</v>
      </c>
      <c r="AQ27" t="s">
        <v>11155</v>
      </c>
    </row>
    <row r="28" spans="1:43" x14ac:dyDescent="0.2">
      <c r="A28" t="s">
        <v>11133</v>
      </c>
      <c r="B28" t="s">
        <v>11024</v>
      </c>
      <c r="C28" t="s">
        <v>57</v>
      </c>
      <c r="D28" t="s">
        <v>11157</v>
      </c>
      <c r="E28" t="s">
        <v>11157</v>
      </c>
      <c r="F28" t="s">
        <v>11157</v>
      </c>
      <c r="G28" s="1">
        <v>-4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3">
        <v>65741</v>
      </c>
      <c r="N28" s="4">
        <v>0</v>
      </c>
      <c r="O28" s="5" t="s">
        <v>44</v>
      </c>
      <c r="P28" s="5">
        <v>44819</v>
      </c>
      <c r="Q28" s="1"/>
      <c r="R28" s="2"/>
      <c r="S28" s="6"/>
      <c r="T28" t="s">
        <v>11026</v>
      </c>
      <c r="U28" t="s">
        <v>11025</v>
      </c>
      <c r="V28" t="s">
        <v>11027</v>
      </c>
      <c r="W28" t="s">
        <v>43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s="4"/>
      <c r="AD28" s="4"/>
      <c r="AE28" s="2">
        <v>0</v>
      </c>
      <c r="AF28" s="4">
        <v>0</v>
      </c>
      <c r="AG28" s="2">
        <v>0</v>
      </c>
      <c r="AH28" s="2">
        <v>-2629640</v>
      </c>
      <c r="AI28" s="2">
        <v>-0.01</v>
      </c>
      <c r="AJ28" s="5">
        <v>44673</v>
      </c>
      <c r="AK28" t="s">
        <v>11134</v>
      </c>
      <c r="AL28" s="2">
        <v>0</v>
      </c>
      <c r="AM28" s="2">
        <v>0</v>
      </c>
      <c r="AN28" s="2">
        <v>0</v>
      </c>
      <c r="AO28" t="s">
        <v>44</v>
      </c>
      <c r="AP28" t="s">
        <v>11158</v>
      </c>
      <c r="AQ28" t="s">
        <v>11157</v>
      </c>
    </row>
    <row r="29" spans="1:43" x14ac:dyDescent="0.2">
      <c r="A29" t="s">
        <v>11133</v>
      </c>
      <c r="B29" t="s">
        <v>11024</v>
      </c>
      <c r="C29" t="s">
        <v>57</v>
      </c>
      <c r="D29" t="s">
        <v>12738</v>
      </c>
      <c r="E29" t="s">
        <v>12738</v>
      </c>
      <c r="F29" t="s">
        <v>12738</v>
      </c>
      <c r="G29" s="1">
        <v>11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3">
        <v>17668</v>
      </c>
      <c r="N29" s="4">
        <v>0</v>
      </c>
      <c r="O29" s="5" t="s">
        <v>44</v>
      </c>
      <c r="P29" s="5">
        <v>44819</v>
      </c>
      <c r="Q29" s="1"/>
      <c r="R29" s="2"/>
      <c r="S29" s="6"/>
      <c r="T29" t="s">
        <v>11153</v>
      </c>
      <c r="U29" t="s">
        <v>11025</v>
      </c>
      <c r="V29" t="s">
        <v>11154</v>
      </c>
      <c r="W29" t="s">
        <v>43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s="4"/>
      <c r="AD29" s="4"/>
      <c r="AE29" s="2">
        <v>0</v>
      </c>
      <c r="AF29" s="4">
        <v>0</v>
      </c>
      <c r="AG29" s="2">
        <v>0</v>
      </c>
      <c r="AH29" s="2">
        <v>2607657.73</v>
      </c>
      <c r="AI29" s="2">
        <v>0.01</v>
      </c>
      <c r="AJ29" s="5">
        <v>44673</v>
      </c>
      <c r="AK29" t="s">
        <v>11134</v>
      </c>
      <c r="AL29" s="2">
        <v>0</v>
      </c>
      <c r="AM29" s="2">
        <v>0</v>
      </c>
      <c r="AN29" s="2">
        <v>0</v>
      </c>
      <c r="AO29" t="s">
        <v>44</v>
      </c>
      <c r="AP29" t="s">
        <v>12741</v>
      </c>
      <c r="AQ29" t="s">
        <v>12738</v>
      </c>
    </row>
    <row r="30" spans="1:43" x14ac:dyDescent="0.2">
      <c r="A30" t="s">
        <v>11133</v>
      </c>
      <c r="B30" t="s">
        <v>11024</v>
      </c>
      <c r="C30" t="s">
        <v>57</v>
      </c>
      <c r="D30" t="s">
        <v>12722</v>
      </c>
      <c r="E30" t="s">
        <v>12722</v>
      </c>
      <c r="F30" t="s">
        <v>12722</v>
      </c>
      <c r="G30" s="1">
        <v>12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3">
        <v>14076</v>
      </c>
      <c r="N30" s="4">
        <v>0</v>
      </c>
      <c r="O30" s="5" t="s">
        <v>44</v>
      </c>
      <c r="P30" s="5">
        <v>44819</v>
      </c>
      <c r="Q30" s="1"/>
      <c r="R30" s="2"/>
      <c r="S30" s="6"/>
      <c r="T30" t="s">
        <v>11153</v>
      </c>
      <c r="U30" t="s">
        <v>11025</v>
      </c>
      <c r="V30" t="s">
        <v>11154</v>
      </c>
      <c r="W30" t="s">
        <v>43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s="4"/>
      <c r="AD30" s="4"/>
      <c r="AE30" s="2">
        <v>0</v>
      </c>
      <c r="AF30" s="4">
        <v>0</v>
      </c>
      <c r="AG30" s="2">
        <v>0</v>
      </c>
      <c r="AH30" s="2">
        <v>2449487.0099999998</v>
      </c>
      <c r="AI30" s="2">
        <v>0.01</v>
      </c>
      <c r="AJ30" s="5">
        <v>44673</v>
      </c>
      <c r="AK30" t="s">
        <v>11134</v>
      </c>
      <c r="AL30" s="2">
        <v>0</v>
      </c>
      <c r="AM30" s="2">
        <v>0</v>
      </c>
      <c r="AN30" s="2">
        <v>0</v>
      </c>
      <c r="AO30" t="s">
        <v>44</v>
      </c>
      <c r="AP30" t="s">
        <v>12723</v>
      </c>
      <c r="AQ30" t="s">
        <v>12722</v>
      </c>
    </row>
    <row r="31" spans="1:43" x14ac:dyDescent="0.2">
      <c r="A31" t="s">
        <v>11133</v>
      </c>
      <c r="B31" t="s">
        <v>11024</v>
      </c>
      <c r="C31" t="s">
        <v>57</v>
      </c>
      <c r="D31" t="s">
        <v>12996</v>
      </c>
      <c r="E31" t="s">
        <v>12996</v>
      </c>
      <c r="F31" t="s">
        <v>12996</v>
      </c>
      <c r="G31" s="1">
        <v>-11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3">
        <v>5097</v>
      </c>
      <c r="N31" s="4">
        <v>0</v>
      </c>
      <c r="O31" s="5" t="s">
        <v>44</v>
      </c>
      <c r="P31" s="5">
        <v>44819</v>
      </c>
      <c r="Q31" s="1"/>
      <c r="R31" s="2"/>
      <c r="S31" s="6"/>
      <c r="T31" t="s">
        <v>11153</v>
      </c>
      <c r="U31" t="s">
        <v>11025</v>
      </c>
      <c r="V31" t="s">
        <v>11154</v>
      </c>
      <c r="W31" t="s">
        <v>43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s="4"/>
      <c r="AD31" s="4"/>
      <c r="AE31" s="2">
        <v>0</v>
      </c>
      <c r="AF31" s="4">
        <v>0</v>
      </c>
      <c r="AG31" s="2">
        <v>0</v>
      </c>
      <c r="AH31" s="2">
        <v>-1062695.79</v>
      </c>
      <c r="AI31" s="2">
        <v>0</v>
      </c>
      <c r="AJ31" s="5">
        <v>44673</v>
      </c>
      <c r="AK31" t="s">
        <v>11134</v>
      </c>
      <c r="AL31" s="2">
        <v>0</v>
      </c>
      <c r="AM31" s="2">
        <v>0</v>
      </c>
      <c r="AN31" s="2">
        <v>0</v>
      </c>
      <c r="AO31" t="s">
        <v>44</v>
      </c>
      <c r="AP31" t="s">
        <v>13000</v>
      </c>
      <c r="AQ31" t="s">
        <v>12996</v>
      </c>
    </row>
    <row r="32" spans="1:43" x14ac:dyDescent="0.2">
      <c r="A32" t="s">
        <v>11133</v>
      </c>
      <c r="B32" t="s">
        <v>11024</v>
      </c>
      <c r="C32" t="s">
        <v>57</v>
      </c>
      <c r="D32" t="s">
        <v>12739</v>
      </c>
      <c r="E32" t="s">
        <v>12739</v>
      </c>
      <c r="F32" t="s">
        <v>12739</v>
      </c>
      <c r="G32" s="1">
        <v>-11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3">
        <v>2268</v>
      </c>
      <c r="N32" s="4">
        <v>0</v>
      </c>
      <c r="O32" s="5" t="s">
        <v>44</v>
      </c>
      <c r="P32" s="5">
        <v>44819</v>
      </c>
      <c r="Q32" s="1"/>
      <c r="R32" s="2"/>
      <c r="S32" s="6"/>
      <c r="T32" t="s">
        <v>11153</v>
      </c>
      <c r="U32" t="s">
        <v>11025</v>
      </c>
      <c r="V32" t="s">
        <v>11154</v>
      </c>
      <c r="W32" t="s">
        <v>43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s="4"/>
      <c r="AD32" s="4"/>
      <c r="AE32" s="2">
        <v>0</v>
      </c>
      <c r="AF32" s="4">
        <v>0</v>
      </c>
      <c r="AG32" s="2">
        <v>0</v>
      </c>
      <c r="AH32" s="2">
        <v>-546227.36</v>
      </c>
      <c r="AI32" s="2">
        <v>0</v>
      </c>
      <c r="AJ32" s="5">
        <v>44673</v>
      </c>
      <c r="AK32" t="s">
        <v>11134</v>
      </c>
      <c r="AL32" s="2">
        <v>0</v>
      </c>
      <c r="AM32" s="2">
        <v>0</v>
      </c>
      <c r="AN32" s="2">
        <v>0</v>
      </c>
      <c r="AO32" t="s">
        <v>44</v>
      </c>
      <c r="AP32" t="s">
        <v>12742</v>
      </c>
      <c r="AQ32" t="s">
        <v>12739</v>
      </c>
    </row>
    <row r="33" spans="1:43" x14ac:dyDescent="0.2">
      <c r="A33" t="s">
        <v>11133</v>
      </c>
      <c r="B33" t="s">
        <v>11160</v>
      </c>
      <c r="C33" t="s">
        <v>11161</v>
      </c>
      <c r="D33" t="s">
        <v>11162</v>
      </c>
      <c r="E33" t="s">
        <v>11163</v>
      </c>
      <c r="F33" t="s">
        <v>11162</v>
      </c>
      <c r="G33" s="1">
        <v>1444</v>
      </c>
      <c r="H33" s="2">
        <v>953083.22</v>
      </c>
      <c r="I33" s="2">
        <v>1299600</v>
      </c>
      <c r="J33" s="2">
        <v>0</v>
      </c>
      <c r="K33" s="2">
        <v>36014.94</v>
      </c>
      <c r="L33" s="2">
        <v>1335614.94</v>
      </c>
      <c r="M33" s="3">
        <v>90000</v>
      </c>
      <c r="N33" s="4">
        <v>3.0386699999999998E-3</v>
      </c>
      <c r="O33" s="5" t="s">
        <v>44</v>
      </c>
      <c r="P33" s="5" t="s">
        <v>44</v>
      </c>
      <c r="Q33" s="1"/>
      <c r="R33" s="2"/>
      <c r="S33" s="6"/>
      <c r="T33" t="s">
        <v>10902</v>
      </c>
      <c r="U33" t="s">
        <v>10902</v>
      </c>
      <c r="V33" t="s">
        <v>11164</v>
      </c>
      <c r="W33" t="s">
        <v>43</v>
      </c>
      <c r="X33" t="s">
        <v>44</v>
      </c>
      <c r="Y33" t="s">
        <v>44</v>
      </c>
      <c r="Z33" t="s">
        <v>44</v>
      </c>
      <c r="AA33" t="s">
        <v>10979</v>
      </c>
      <c r="AB33" t="s">
        <v>44</v>
      </c>
      <c r="AC33" s="4"/>
      <c r="AD33" s="4"/>
      <c r="AE33" s="2">
        <v>0</v>
      </c>
      <c r="AF33" s="4">
        <v>0</v>
      </c>
      <c r="AG33" s="2">
        <v>4.59</v>
      </c>
      <c r="AH33" s="2">
        <v>1335614.94</v>
      </c>
      <c r="AI33" s="2">
        <v>0</v>
      </c>
      <c r="AJ33" s="5">
        <v>44673</v>
      </c>
      <c r="AK33" t="s">
        <v>11134</v>
      </c>
      <c r="AL33" s="2">
        <v>0</v>
      </c>
      <c r="AM33" s="2">
        <v>0</v>
      </c>
      <c r="AN33" s="2">
        <v>0</v>
      </c>
      <c r="AO33" t="s">
        <v>11165</v>
      </c>
      <c r="AP33" t="s">
        <v>11166</v>
      </c>
      <c r="AQ33" t="s">
        <v>11163</v>
      </c>
    </row>
    <row r="34" spans="1:43" x14ac:dyDescent="0.2">
      <c r="A34" t="s">
        <v>11133</v>
      </c>
      <c r="B34" t="s">
        <v>11160</v>
      </c>
      <c r="C34" t="s">
        <v>11161</v>
      </c>
      <c r="D34" t="s">
        <v>11167</v>
      </c>
      <c r="E34" t="s">
        <v>11168</v>
      </c>
      <c r="F34" t="s">
        <v>11167</v>
      </c>
      <c r="G34" s="1">
        <v>9852</v>
      </c>
      <c r="H34" s="2">
        <v>878996.99</v>
      </c>
      <c r="I34" s="2">
        <v>952195.8</v>
      </c>
      <c r="J34" s="2">
        <v>0</v>
      </c>
      <c r="K34" s="2">
        <v>0</v>
      </c>
      <c r="L34" s="2">
        <v>952195.8</v>
      </c>
      <c r="M34" s="3">
        <v>9665</v>
      </c>
      <c r="N34" s="4">
        <v>2.16635E-3</v>
      </c>
      <c r="O34" s="5" t="s">
        <v>44</v>
      </c>
      <c r="P34" s="5" t="s">
        <v>44</v>
      </c>
      <c r="Q34" s="1"/>
      <c r="R34" s="2"/>
      <c r="S34" s="6"/>
      <c r="T34" t="s">
        <v>10902</v>
      </c>
      <c r="U34" t="s">
        <v>10902</v>
      </c>
      <c r="V34" t="s">
        <v>11164</v>
      </c>
      <c r="W34" t="s">
        <v>43</v>
      </c>
      <c r="X34" t="s">
        <v>11164</v>
      </c>
      <c r="Y34" t="s">
        <v>44</v>
      </c>
      <c r="Z34" t="s">
        <v>44</v>
      </c>
      <c r="AA34" t="s">
        <v>44</v>
      </c>
      <c r="AB34" t="s">
        <v>44</v>
      </c>
      <c r="AC34" s="4"/>
      <c r="AD34" s="4"/>
      <c r="AE34" s="2">
        <v>0</v>
      </c>
      <c r="AF34" s="4">
        <v>0</v>
      </c>
      <c r="AG34" s="2">
        <v>3.27</v>
      </c>
      <c r="AH34" s="2">
        <v>952195.8</v>
      </c>
      <c r="AI34" s="2">
        <v>0</v>
      </c>
      <c r="AJ34" s="5">
        <v>44673</v>
      </c>
      <c r="AK34" t="s">
        <v>11134</v>
      </c>
      <c r="AL34" s="2">
        <v>0</v>
      </c>
      <c r="AM34" s="2">
        <v>0</v>
      </c>
      <c r="AN34" s="2">
        <v>0</v>
      </c>
      <c r="AO34" t="s">
        <v>44</v>
      </c>
      <c r="AP34" t="s">
        <v>11169</v>
      </c>
      <c r="AQ34" t="s">
        <v>11168</v>
      </c>
    </row>
    <row r="35" spans="1:43" x14ac:dyDescent="0.2">
      <c r="A35" t="s">
        <v>11133</v>
      </c>
      <c r="B35" t="s">
        <v>11160</v>
      </c>
      <c r="C35" t="s">
        <v>11161</v>
      </c>
      <c r="D35" t="s">
        <v>11170</v>
      </c>
      <c r="E35" t="s">
        <v>11171</v>
      </c>
      <c r="F35" t="s">
        <v>11170</v>
      </c>
      <c r="G35" s="1">
        <v>7038</v>
      </c>
      <c r="H35" s="2">
        <v>516804.31</v>
      </c>
      <c r="I35" s="2">
        <v>678040.92</v>
      </c>
      <c r="J35" s="2">
        <v>0</v>
      </c>
      <c r="K35" s="2">
        <v>0</v>
      </c>
      <c r="L35" s="2">
        <v>678040.92</v>
      </c>
      <c r="M35" s="3">
        <v>9634</v>
      </c>
      <c r="N35" s="4">
        <v>1.54262E-3</v>
      </c>
      <c r="O35" s="5" t="s">
        <v>44</v>
      </c>
      <c r="P35" s="5" t="s">
        <v>44</v>
      </c>
      <c r="Q35" s="1"/>
      <c r="R35" s="2"/>
      <c r="S35" s="6"/>
      <c r="T35" t="s">
        <v>10902</v>
      </c>
      <c r="U35" t="s">
        <v>10902</v>
      </c>
      <c r="V35" t="s">
        <v>11164</v>
      </c>
      <c r="W35" t="s">
        <v>43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s="4"/>
      <c r="AD35" s="4"/>
      <c r="AE35" s="2">
        <v>0</v>
      </c>
      <c r="AF35" s="4">
        <v>0</v>
      </c>
      <c r="AG35" s="2">
        <v>2.33</v>
      </c>
      <c r="AH35" s="2">
        <v>678040.92</v>
      </c>
      <c r="AI35" s="2">
        <v>0</v>
      </c>
      <c r="AJ35" s="5">
        <v>44673</v>
      </c>
      <c r="AK35" t="s">
        <v>11134</v>
      </c>
      <c r="AL35" s="2">
        <v>0</v>
      </c>
      <c r="AM35" s="2">
        <v>0</v>
      </c>
      <c r="AN35" s="2">
        <v>0</v>
      </c>
      <c r="AO35" t="s">
        <v>44</v>
      </c>
      <c r="AP35" t="s">
        <v>11172</v>
      </c>
      <c r="AQ35" t="s">
        <v>11171</v>
      </c>
    </row>
    <row r="36" spans="1:43" x14ac:dyDescent="0.2">
      <c r="A36" t="s">
        <v>11133</v>
      </c>
      <c r="B36" t="s">
        <v>11160</v>
      </c>
      <c r="C36" t="s">
        <v>11161</v>
      </c>
      <c r="D36" t="s">
        <v>11173</v>
      </c>
      <c r="E36" t="s">
        <v>11174</v>
      </c>
      <c r="F36" t="s">
        <v>11173</v>
      </c>
      <c r="G36" s="1">
        <v>2312</v>
      </c>
      <c r="H36" s="2">
        <v>179077.7</v>
      </c>
      <c r="I36" s="2">
        <v>198832</v>
      </c>
      <c r="J36" s="2">
        <v>0</v>
      </c>
      <c r="K36" s="2">
        <v>0</v>
      </c>
      <c r="L36" s="2">
        <v>198832</v>
      </c>
      <c r="M36" s="3">
        <v>8600</v>
      </c>
      <c r="N36" s="4">
        <v>4.5236000000000001E-4</v>
      </c>
      <c r="O36" s="5" t="s">
        <v>44</v>
      </c>
      <c r="P36" s="5" t="s">
        <v>44</v>
      </c>
      <c r="Q36" s="1"/>
      <c r="R36" s="2"/>
      <c r="S36" s="6"/>
      <c r="T36" t="s">
        <v>10902</v>
      </c>
      <c r="U36" t="s">
        <v>10902</v>
      </c>
      <c r="V36" t="s">
        <v>11164</v>
      </c>
      <c r="W36" t="s">
        <v>43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s="4"/>
      <c r="AD36" s="4"/>
      <c r="AE36" s="2">
        <v>0</v>
      </c>
      <c r="AF36" s="4">
        <v>0</v>
      </c>
      <c r="AG36" s="2">
        <v>0.68</v>
      </c>
      <c r="AH36" s="2">
        <v>198832</v>
      </c>
      <c r="AI36" s="2">
        <v>0</v>
      </c>
      <c r="AJ36" s="5">
        <v>44673</v>
      </c>
      <c r="AK36" t="s">
        <v>11134</v>
      </c>
      <c r="AL36" s="2">
        <v>0</v>
      </c>
      <c r="AM36" s="2">
        <v>0</v>
      </c>
      <c r="AN36" s="2">
        <v>0</v>
      </c>
      <c r="AO36" t="s">
        <v>44</v>
      </c>
      <c r="AP36" t="s">
        <v>11175</v>
      </c>
      <c r="AQ36" t="s">
        <v>11174</v>
      </c>
    </row>
    <row r="37" spans="1:43" x14ac:dyDescent="0.2">
      <c r="A37" t="s">
        <v>11133</v>
      </c>
      <c r="B37" t="s">
        <v>11160</v>
      </c>
      <c r="C37" t="s">
        <v>11161</v>
      </c>
      <c r="D37" t="s">
        <v>11176</v>
      </c>
      <c r="E37" t="s">
        <v>11177</v>
      </c>
      <c r="F37" t="s">
        <v>11178</v>
      </c>
      <c r="G37" s="1">
        <v>5006</v>
      </c>
      <c r="H37" s="2">
        <v>378277.66</v>
      </c>
      <c r="I37" s="2">
        <v>462504.34</v>
      </c>
      <c r="J37" s="2">
        <v>0</v>
      </c>
      <c r="K37" s="2">
        <v>0</v>
      </c>
      <c r="L37" s="2">
        <v>462504.34</v>
      </c>
      <c r="M37" s="3">
        <v>9239</v>
      </c>
      <c r="N37" s="4">
        <v>1.05225E-3</v>
      </c>
      <c r="O37" s="5" t="s">
        <v>44</v>
      </c>
      <c r="P37" s="5" t="s">
        <v>44</v>
      </c>
      <c r="Q37" s="1"/>
      <c r="R37" s="2"/>
      <c r="S37" s="6"/>
      <c r="T37" t="s">
        <v>10902</v>
      </c>
      <c r="U37" t="s">
        <v>10902</v>
      </c>
      <c r="V37" t="s">
        <v>11164</v>
      </c>
      <c r="W37" t="s">
        <v>43</v>
      </c>
      <c r="X37" t="s">
        <v>44</v>
      </c>
      <c r="Y37" t="s">
        <v>44</v>
      </c>
      <c r="Z37" t="s">
        <v>44</v>
      </c>
      <c r="AA37" t="s">
        <v>10979</v>
      </c>
      <c r="AB37" t="s">
        <v>44</v>
      </c>
      <c r="AC37" s="4"/>
      <c r="AD37" s="4"/>
      <c r="AE37" s="2">
        <v>0</v>
      </c>
      <c r="AF37" s="4">
        <v>0</v>
      </c>
      <c r="AG37" s="2">
        <v>1.59</v>
      </c>
      <c r="AH37" s="2">
        <v>462504.34</v>
      </c>
      <c r="AI37" s="2">
        <v>0</v>
      </c>
      <c r="AJ37" s="5">
        <v>44673</v>
      </c>
      <c r="AK37" t="s">
        <v>11134</v>
      </c>
      <c r="AL37" s="2">
        <v>0</v>
      </c>
      <c r="AM37" s="2">
        <v>0</v>
      </c>
      <c r="AN37" s="2">
        <v>0</v>
      </c>
      <c r="AO37" t="s">
        <v>11179</v>
      </c>
      <c r="AP37" t="s">
        <v>11180</v>
      </c>
      <c r="AQ37" t="s">
        <v>11177</v>
      </c>
    </row>
    <row r="38" spans="1:43" x14ac:dyDescent="0.2">
      <c r="A38" t="s">
        <v>11133</v>
      </c>
      <c r="B38" t="s">
        <v>10951</v>
      </c>
      <c r="C38" t="s">
        <v>10952</v>
      </c>
      <c r="D38" t="s">
        <v>11028</v>
      </c>
      <c r="E38" t="s">
        <v>11029</v>
      </c>
      <c r="F38" t="s">
        <v>11028</v>
      </c>
      <c r="G38" s="1">
        <v>1457674.9587000001</v>
      </c>
      <c r="H38" s="2">
        <v>1465981.42</v>
      </c>
      <c r="I38" s="2">
        <v>1459569.94</v>
      </c>
      <c r="J38" s="2">
        <v>0</v>
      </c>
      <c r="K38" s="2">
        <v>0</v>
      </c>
      <c r="L38" s="2">
        <v>1459569.94</v>
      </c>
      <c r="M38" s="3">
        <v>1.0013000000000001</v>
      </c>
      <c r="N38" s="4">
        <v>3.3206799999999999E-3</v>
      </c>
      <c r="O38" s="5" t="s">
        <v>44</v>
      </c>
      <c r="P38" s="5" t="s">
        <v>44</v>
      </c>
      <c r="Q38" s="1"/>
      <c r="R38" s="2"/>
      <c r="S38" s="6"/>
      <c r="T38" t="s">
        <v>10902</v>
      </c>
      <c r="U38" t="s">
        <v>10953</v>
      </c>
      <c r="V38" t="s">
        <v>10954</v>
      </c>
      <c r="W38" t="s">
        <v>43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s="4"/>
      <c r="AD38" s="4"/>
      <c r="AE38" s="2">
        <v>0</v>
      </c>
      <c r="AF38" s="4">
        <v>0</v>
      </c>
      <c r="AG38" s="2">
        <v>5.01</v>
      </c>
      <c r="AH38" s="2">
        <v>1459569.94</v>
      </c>
      <c r="AI38" s="2">
        <v>0</v>
      </c>
      <c r="AJ38" s="5">
        <v>44673</v>
      </c>
      <c r="AK38" t="s">
        <v>11134</v>
      </c>
      <c r="AL38" s="2">
        <v>0</v>
      </c>
      <c r="AM38" s="2">
        <v>0</v>
      </c>
      <c r="AN38" s="2">
        <v>0</v>
      </c>
      <c r="AO38" t="s">
        <v>44</v>
      </c>
      <c r="AP38" t="s">
        <v>44</v>
      </c>
      <c r="AQ38" t="s">
        <v>11029</v>
      </c>
    </row>
    <row r="39" spans="1:43" x14ac:dyDescent="0.2">
      <c r="A39" t="s">
        <v>11133</v>
      </c>
      <c r="B39" t="s">
        <v>11030</v>
      </c>
      <c r="C39" t="s">
        <v>11030</v>
      </c>
      <c r="D39" t="s">
        <v>12724</v>
      </c>
      <c r="E39" t="s">
        <v>12717</v>
      </c>
      <c r="F39" t="s">
        <v>12724</v>
      </c>
      <c r="G39" s="1">
        <v>-12</v>
      </c>
      <c r="H39" s="2"/>
      <c r="I39" s="2">
        <v>0</v>
      </c>
      <c r="J39" s="2"/>
      <c r="K39" s="2"/>
      <c r="L39" s="2">
        <v>0</v>
      </c>
      <c r="M39" s="3"/>
      <c r="N39" s="4">
        <v>0</v>
      </c>
      <c r="O39" s="5" t="s">
        <v>44</v>
      </c>
      <c r="P39" s="5" t="s">
        <v>44</v>
      </c>
      <c r="Q39" s="1"/>
      <c r="R39" s="2"/>
      <c r="S39" s="6"/>
      <c r="T39" t="s">
        <v>11031</v>
      </c>
      <c r="U39" t="s">
        <v>11032</v>
      </c>
      <c r="V39" t="s">
        <v>45</v>
      </c>
      <c r="W39" t="s">
        <v>43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s="4"/>
      <c r="AD39" s="4"/>
      <c r="AE39" s="2">
        <v>0</v>
      </c>
      <c r="AF39" s="4">
        <v>0</v>
      </c>
      <c r="AG39" s="2">
        <v>0</v>
      </c>
      <c r="AH39" s="2">
        <v>7913160</v>
      </c>
      <c r="AI39" s="2">
        <v>0.02</v>
      </c>
      <c r="AJ39" s="5">
        <v>44673</v>
      </c>
      <c r="AK39" t="s">
        <v>11134</v>
      </c>
      <c r="AL39" s="2">
        <v>0</v>
      </c>
      <c r="AM39" s="2">
        <v>0</v>
      </c>
      <c r="AN39" s="2">
        <v>0</v>
      </c>
      <c r="AO39" t="s">
        <v>44</v>
      </c>
      <c r="AP39" t="s">
        <v>44</v>
      </c>
      <c r="AQ39" t="s">
        <v>11182</v>
      </c>
    </row>
    <row r="40" spans="1:43" x14ac:dyDescent="0.2">
      <c r="A40" t="s">
        <v>11133</v>
      </c>
      <c r="B40" t="s">
        <v>11030</v>
      </c>
      <c r="C40" t="s">
        <v>11030</v>
      </c>
      <c r="D40" t="s">
        <v>12725</v>
      </c>
      <c r="E40" t="s">
        <v>12719</v>
      </c>
      <c r="F40" t="s">
        <v>12725</v>
      </c>
      <c r="G40" s="1">
        <v>21</v>
      </c>
      <c r="H40" s="2"/>
      <c r="I40" s="2">
        <v>0</v>
      </c>
      <c r="J40" s="2"/>
      <c r="K40" s="2"/>
      <c r="L40" s="2">
        <v>0</v>
      </c>
      <c r="M40" s="3"/>
      <c r="N40" s="4">
        <v>0</v>
      </c>
      <c r="O40" s="5" t="s">
        <v>44</v>
      </c>
      <c r="P40" s="5" t="s">
        <v>44</v>
      </c>
      <c r="Q40" s="1"/>
      <c r="R40" s="2"/>
      <c r="S40" s="6"/>
      <c r="T40" t="s">
        <v>11031</v>
      </c>
      <c r="U40" t="s">
        <v>11183</v>
      </c>
      <c r="V40" t="s">
        <v>45</v>
      </c>
      <c r="W40" t="s">
        <v>43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s="4"/>
      <c r="AD40" s="4"/>
      <c r="AE40" s="2">
        <v>0</v>
      </c>
      <c r="AF40" s="4">
        <v>0</v>
      </c>
      <c r="AG40" s="2">
        <v>0</v>
      </c>
      <c r="AH40" s="2">
        <v>-5146819.75</v>
      </c>
      <c r="AI40" s="2">
        <v>-0.01</v>
      </c>
      <c r="AJ40" s="5">
        <v>44673</v>
      </c>
      <c r="AK40" t="s">
        <v>11134</v>
      </c>
      <c r="AL40" s="2">
        <v>0</v>
      </c>
      <c r="AM40" s="2">
        <v>0</v>
      </c>
      <c r="AN40" s="2">
        <v>0</v>
      </c>
      <c r="AO40" t="s">
        <v>44</v>
      </c>
      <c r="AP40" t="s">
        <v>44</v>
      </c>
      <c r="AQ40" t="s">
        <v>11182</v>
      </c>
    </row>
    <row r="41" spans="1:43" x14ac:dyDescent="0.2">
      <c r="A41" t="s">
        <v>11133</v>
      </c>
      <c r="B41" t="s">
        <v>11030</v>
      </c>
      <c r="C41" t="s">
        <v>11030</v>
      </c>
      <c r="D41" t="s">
        <v>11181</v>
      </c>
      <c r="E41" t="s">
        <v>11151</v>
      </c>
      <c r="F41" t="s">
        <v>11181</v>
      </c>
      <c r="G41" s="1">
        <v>15</v>
      </c>
      <c r="H41" s="2"/>
      <c r="I41" s="2">
        <v>0</v>
      </c>
      <c r="J41" s="2"/>
      <c r="K41" s="2"/>
      <c r="L41" s="2">
        <v>0</v>
      </c>
      <c r="M41" s="3"/>
      <c r="N41" s="4">
        <v>0</v>
      </c>
      <c r="O41" s="5" t="s">
        <v>44</v>
      </c>
      <c r="P41" s="5" t="s">
        <v>44</v>
      </c>
      <c r="Q41" s="1"/>
      <c r="R41" s="2"/>
      <c r="S41" s="6"/>
      <c r="T41" t="s">
        <v>11031</v>
      </c>
      <c r="U41" t="s">
        <v>11032</v>
      </c>
      <c r="V41" t="s">
        <v>45</v>
      </c>
      <c r="W41" t="s">
        <v>43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s="4"/>
      <c r="AD41" s="4"/>
      <c r="AE41" s="2">
        <v>0</v>
      </c>
      <c r="AF41" s="4">
        <v>0</v>
      </c>
      <c r="AG41" s="2">
        <v>0</v>
      </c>
      <c r="AH41" s="2">
        <v>-9855600</v>
      </c>
      <c r="AI41" s="2">
        <v>-0.02</v>
      </c>
      <c r="AJ41" s="5">
        <v>44673</v>
      </c>
      <c r="AK41" t="s">
        <v>11134</v>
      </c>
      <c r="AL41" s="2">
        <v>0</v>
      </c>
      <c r="AM41" s="2">
        <v>0</v>
      </c>
      <c r="AN41" s="2">
        <v>0</v>
      </c>
      <c r="AO41" t="s">
        <v>44</v>
      </c>
      <c r="AP41" t="s">
        <v>44</v>
      </c>
      <c r="AQ41" t="s">
        <v>11182</v>
      </c>
    </row>
    <row r="42" spans="1:43" x14ac:dyDescent="0.2">
      <c r="A42" t="s">
        <v>11133</v>
      </c>
      <c r="B42" t="s">
        <v>11030</v>
      </c>
      <c r="C42" t="s">
        <v>11030</v>
      </c>
      <c r="D42" t="s">
        <v>13001</v>
      </c>
      <c r="E42" t="s">
        <v>12995</v>
      </c>
      <c r="F42" t="s">
        <v>13001</v>
      </c>
      <c r="G42" s="1">
        <v>-4</v>
      </c>
      <c r="H42" s="2"/>
      <c r="I42" s="2">
        <v>0</v>
      </c>
      <c r="J42" s="2"/>
      <c r="K42" s="2"/>
      <c r="L42" s="2">
        <v>0</v>
      </c>
      <c r="M42" s="3"/>
      <c r="N42" s="4">
        <v>0</v>
      </c>
      <c r="O42" s="5" t="s">
        <v>44</v>
      </c>
      <c r="P42" s="5" t="s">
        <v>44</v>
      </c>
      <c r="Q42" s="1"/>
      <c r="R42" s="2"/>
      <c r="S42" s="6"/>
      <c r="T42" t="s">
        <v>11031</v>
      </c>
      <c r="U42" t="s">
        <v>11183</v>
      </c>
      <c r="V42" t="s">
        <v>45</v>
      </c>
      <c r="W42" t="s">
        <v>43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s="4"/>
      <c r="AD42" s="4"/>
      <c r="AE42" s="2">
        <v>0</v>
      </c>
      <c r="AF42" s="4">
        <v>0</v>
      </c>
      <c r="AG42" s="2">
        <v>0</v>
      </c>
      <c r="AH42" s="2">
        <v>-795312.24</v>
      </c>
      <c r="AI42" s="2">
        <v>0</v>
      </c>
      <c r="AJ42" s="5">
        <v>44673</v>
      </c>
      <c r="AK42" t="s">
        <v>11134</v>
      </c>
      <c r="AL42" s="2">
        <v>0</v>
      </c>
      <c r="AM42" s="2">
        <v>0</v>
      </c>
      <c r="AN42" s="2">
        <v>0</v>
      </c>
      <c r="AO42" t="s">
        <v>44</v>
      </c>
      <c r="AP42" t="s">
        <v>44</v>
      </c>
      <c r="AQ42" t="s">
        <v>11182</v>
      </c>
    </row>
    <row r="43" spans="1:43" x14ac:dyDescent="0.2">
      <c r="A43" t="s">
        <v>11133</v>
      </c>
      <c r="B43" t="s">
        <v>11030</v>
      </c>
      <c r="C43" t="s">
        <v>11030</v>
      </c>
      <c r="D43" t="s">
        <v>11184</v>
      </c>
      <c r="E43" t="s">
        <v>11155</v>
      </c>
      <c r="F43" t="s">
        <v>11184</v>
      </c>
      <c r="G43" s="1">
        <v>-10</v>
      </c>
      <c r="H43" s="2"/>
      <c r="I43" s="2">
        <v>0</v>
      </c>
      <c r="J43" s="2"/>
      <c r="K43" s="2"/>
      <c r="L43" s="2">
        <v>0</v>
      </c>
      <c r="M43" s="3"/>
      <c r="N43" s="4">
        <v>0</v>
      </c>
      <c r="O43" s="5" t="s">
        <v>44</v>
      </c>
      <c r="P43" s="5" t="s">
        <v>44</v>
      </c>
      <c r="Q43" s="1"/>
      <c r="R43" s="2"/>
      <c r="S43" s="6"/>
      <c r="T43" t="s">
        <v>11031</v>
      </c>
      <c r="U43" t="s">
        <v>11183</v>
      </c>
      <c r="V43" t="s">
        <v>45</v>
      </c>
      <c r="W43" t="s">
        <v>43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s="4"/>
      <c r="AD43" s="4"/>
      <c r="AE43" s="2">
        <v>0</v>
      </c>
      <c r="AF43" s="4">
        <v>0</v>
      </c>
      <c r="AG43" s="2">
        <v>0</v>
      </c>
      <c r="AH43" s="2">
        <v>241880.94</v>
      </c>
      <c r="AI43" s="2">
        <v>0</v>
      </c>
      <c r="AJ43" s="5">
        <v>44673</v>
      </c>
      <c r="AK43" t="s">
        <v>11134</v>
      </c>
      <c r="AL43" s="2">
        <v>0</v>
      </c>
      <c r="AM43" s="2">
        <v>0</v>
      </c>
      <c r="AN43" s="2">
        <v>0</v>
      </c>
      <c r="AO43" t="s">
        <v>44</v>
      </c>
      <c r="AP43" t="s">
        <v>44</v>
      </c>
      <c r="AQ43" t="s">
        <v>11182</v>
      </c>
    </row>
    <row r="44" spans="1:43" x14ac:dyDescent="0.2">
      <c r="A44" t="s">
        <v>11133</v>
      </c>
      <c r="B44" t="s">
        <v>11030</v>
      </c>
      <c r="C44" t="s">
        <v>11030</v>
      </c>
      <c r="D44" t="s">
        <v>11185</v>
      </c>
      <c r="E44" t="s">
        <v>11157</v>
      </c>
      <c r="F44" t="s">
        <v>11185</v>
      </c>
      <c r="G44" s="1">
        <v>-4</v>
      </c>
      <c r="H44" s="2"/>
      <c r="I44" s="2">
        <v>0</v>
      </c>
      <c r="J44" s="2"/>
      <c r="K44" s="2"/>
      <c r="L44" s="2">
        <v>0</v>
      </c>
      <c r="M44" s="3"/>
      <c r="N44" s="4">
        <v>0</v>
      </c>
      <c r="O44" s="5" t="s">
        <v>44</v>
      </c>
      <c r="P44" s="5" t="s">
        <v>44</v>
      </c>
      <c r="Q44" s="1"/>
      <c r="R44" s="2"/>
      <c r="S44" s="6"/>
      <c r="T44" t="s">
        <v>11031</v>
      </c>
      <c r="U44" t="s">
        <v>11032</v>
      </c>
      <c r="V44" t="s">
        <v>45</v>
      </c>
      <c r="W44" t="s">
        <v>43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s="4"/>
      <c r="AD44" s="4"/>
      <c r="AE44" s="2">
        <v>0</v>
      </c>
      <c r="AF44" s="4">
        <v>0</v>
      </c>
      <c r="AG44" s="2">
        <v>0</v>
      </c>
      <c r="AH44" s="2">
        <v>2629640</v>
      </c>
      <c r="AI44" s="2">
        <v>0.01</v>
      </c>
      <c r="AJ44" s="5">
        <v>44673</v>
      </c>
      <c r="AK44" t="s">
        <v>11134</v>
      </c>
      <c r="AL44" s="2">
        <v>0</v>
      </c>
      <c r="AM44" s="2">
        <v>0</v>
      </c>
      <c r="AN44" s="2">
        <v>0</v>
      </c>
      <c r="AO44" t="s">
        <v>44</v>
      </c>
      <c r="AP44" t="s">
        <v>44</v>
      </c>
      <c r="AQ44" t="s">
        <v>11182</v>
      </c>
    </row>
    <row r="45" spans="1:43" x14ac:dyDescent="0.2">
      <c r="A45" t="s">
        <v>11133</v>
      </c>
      <c r="B45" t="s">
        <v>11030</v>
      </c>
      <c r="C45" t="s">
        <v>11030</v>
      </c>
      <c r="D45" t="s">
        <v>12743</v>
      </c>
      <c r="E45" t="s">
        <v>12738</v>
      </c>
      <c r="F45" t="s">
        <v>12743</v>
      </c>
      <c r="G45" s="1">
        <v>11</v>
      </c>
      <c r="H45" s="2"/>
      <c r="I45" s="2">
        <v>0</v>
      </c>
      <c r="J45" s="2"/>
      <c r="K45" s="2"/>
      <c r="L45" s="2">
        <v>0</v>
      </c>
      <c r="M45" s="3"/>
      <c r="N45" s="4">
        <v>0</v>
      </c>
      <c r="O45" s="5" t="s">
        <v>44</v>
      </c>
      <c r="P45" s="5" t="s">
        <v>44</v>
      </c>
      <c r="Q45" s="1"/>
      <c r="R45" s="2"/>
      <c r="S45" s="6"/>
      <c r="T45" t="s">
        <v>11031</v>
      </c>
      <c r="U45" t="s">
        <v>11183</v>
      </c>
      <c r="V45" t="s">
        <v>45</v>
      </c>
      <c r="W45" t="s">
        <v>43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s="4"/>
      <c r="AD45" s="4"/>
      <c r="AE45" s="2">
        <v>0</v>
      </c>
      <c r="AF45" s="4">
        <v>0</v>
      </c>
      <c r="AG45" s="2">
        <v>0</v>
      </c>
      <c r="AH45" s="2">
        <v>-2607657.73</v>
      </c>
      <c r="AI45" s="2">
        <v>-0.01</v>
      </c>
      <c r="AJ45" s="5">
        <v>44673</v>
      </c>
      <c r="AK45" t="s">
        <v>11134</v>
      </c>
      <c r="AL45" s="2">
        <v>0</v>
      </c>
      <c r="AM45" s="2">
        <v>0</v>
      </c>
      <c r="AN45" s="2">
        <v>0</v>
      </c>
      <c r="AO45" t="s">
        <v>44</v>
      </c>
      <c r="AP45" t="s">
        <v>44</v>
      </c>
      <c r="AQ45" t="s">
        <v>11182</v>
      </c>
    </row>
    <row r="46" spans="1:43" x14ac:dyDescent="0.2">
      <c r="A46" t="s">
        <v>11133</v>
      </c>
      <c r="B46" t="s">
        <v>11030</v>
      </c>
      <c r="C46" t="s">
        <v>11030</v>
      </c>
      <c r="D46" t="s">
        <v>12726</v>
      </c>
      <c r="E46" t="s">
        <v>12722</v>
      </c>
      <c r="F46" t="s">
        <v>12726</v>
      </c>
      <c r="G46" s="1">
        <v>12</v>
      </c>
      <c r="H46" s="2"/>
      <c r="I46" s="2">
        <v>0</v>
      </c>
      <c r="J46" s="2"/>
      <c r="K46" s="2"/>
      <c r="L46" s="2">
        <v>0</v>
      </c>
      <c r="M46" s="3"/>
      <c r="N46" s="4">
        <v>0</v>
      </c>
      <c r="O46" s="5" t="s">
        <v>44</v>
      </c>
      <c r="P46" s="5" t="s">
        <v>44</v>
      </c>
      <c r="Q46" s="1"/>
      <c r="R46" s="2"/>
      <c r="S46" s="6"/>
      <c r="T46" t="s">
        <v>11031</v>
      </c>
      <c r="U46" t="s">
        <v>11183</v>
      </c>
      <c r="V46" t="s">
        <v>45</v>
      </c>
      <c r="W46" t="s">
        <v>43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s="4"/>
      <c r="AD46" s="4"/>
      <c r="AE46" s="2">
        <v>0</v>
      </c>
      <c r="AF46" s="4">
        <v>0</v>
      </c>
      <c r="AG46" s="2">
        <v>0</v>
      </c>
      <c r="AH46" s="2">
        <v>-2449487.0099999998</v>
      </c>
      <c r="AI46" s="2">
        <v>-0.01</v>
      </c>
      <c r="AJ46" s="5">
        <v>44673</v>
      </c>
      <c r="AK46" t="s">
        <v>11134</v>
      </c>
      <c r="AL46" s="2">
        <v>0</v>
      </c>
      <c r="AM46" s="2">
        <v>0</v>
      </c>
      <c r="AN46" s="2">
        <v>0</v>
      </c>
      <c r="AO46" t="s">
        <v>44</v>
      </c>
      <c r="AP46" t="s">
        <v>44</v>
      </c>
      <c r="AQ46" t="s">
        <v>11182</v>
      </c>
    </row>
    <row r="47" spans="1:43" x14ac:dyDescent="0.2">
      <c r="A47" t="s">
        <v>11133</v>
      </c>
      <c r="B47" t="s">
        <v>11030</v>
      </c>
      <c r="C47" t="s">
        <v>11030</v>
      </c>
      <c r="D47" t="s">
        <v>13002</v>
      </c>
      <c r="E47" t="s">
        <v>12996</v>
      </c>
      <c r="F47" t="s">
        <v>13002</v>
      </c>
      <c r="G47" s="1">
        <v>-11</v>
      </c>
      <c r="H47" s="2"/>
      <c r="I47" s="2">
        <v>0</v>
      </c>
      <c r="J47" s="2"/>
      <c r="K47" s="2"/>
      <c r="L47" s="2">
        <v>0</v>
      </c>
      <c r="M47" s="3"/>
      <c r="N47" s="4">
        <v>0</v>
      </c>
      <c r="O47" s="5" t="s">
        <v>44</v>
      </c>
      <c r="P47" s="5" t="s">
        <v>44</v>
      </c>
      <c r="Q47" s="1"/>
      <c r="R47" s="2"/>
      <c r="S47" s="6"/>
      <c r="T47" t="s">
        <v>11031</v>
      </c>
      <c r="U47" t="s">
        <v>11183</v>
      </c>
      <c r="V47" t="s">
        <v>45</v>
      </c>
      <c r="W47" t="s">
        <v>43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s="4"/>
      <c r="AD47" s="4"/>
      <c r="AE47" s="2">
        <v>0</v>
      </c>
      <c r="AF47" s="4">
        <v>0</v>
      </c>
      <c r="AG47" s="2">
        <v>0</v>
      </c>
      <c r="AH47" s="2">
        <v>1062695.79</v>
      </c>
      <c r="AI47" s="2">
        <v>0</v>
      </c>
      <c r="AJ47" s="5">
        <v>44673</v>
      </c>
      <c r="AK47" t="s">
        <v>11134</v>
      </c>
      <c r="AL47" s="2">
        <v>0</v>
      </c>
      <c r="AM47" s="2">
        <v>0</v>
      </c>
      <c r="AN47" s="2">
        <v>0</v>
      </c>
      <c r="AO47" t="s">
        <v>44</v>
      </c>
      <c r="AP47" t="s">
        <v>44</v>
      </c>
      <c r="AQ47" t="s">
        <v>11182</v>
      </c>
    </row>
    <row r="48" spans="1:43" x14ac:dyDescent="0.2">
      <c r="A48" t="s">
        <v>11133</v>
      </c>
      <c r="B48" t="s">
        <v>11030</v>
      </c>
      <c r="C48" t="s">
        <v>11030</v>
      </c>
      <c r="D48" t="s">
        <v>12744</v>
      </c>
      <c r="E48" t="s">
        <v>12739</v>
      </c>
      <c r="F48" t="s">
        <v>12744</v>
      </c>
      <c r="G48" s="1">
        <v>-11</v>
      </c>
      <c r="H48" s="2"/>
      <c r="I48" s="2">
        <v>0</v>
      </c>
      <c r="J48" s="2"/>
      <c r="K48" s="2"/>
      <c r="L48" s="2">
        <v>0</v>
      </c>
      <c r="M48" s="3"/>
      <c r="N48" s="4">
        <v>0</v>
      </c>
      <c r="O48" s="5" t="s">
        <v>44</v>
      </c>
      <c r="P48" s="5" t="s">
        <v>44</v>
      </c>
      <c r="Q48" s="1"/>
      <c r="R48" s="2"/>
      <c r="S48" s="6"/>
      <c r="T48" t="s">
        <v>11031</v>
      </c>
      <c r="U48" t="s">
        <v>11183</v>
      </c>
      <c r="V48" t="s">
        <v>45</v>
      </c>
      <c r="W48" t="s">
        <v>43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s="4"/>
      <c r="AD48" s="4"/>
      <c r="AE48" s="2">
        <v>0</v>
      </c>
      <c r="AF48" s="4">
        <v>0</v>
      </c>
      <c r="AG48" s="2">
        <v>0</v>
      </c>
      <c r="AH48" s="2">
        <v>546227.36</v>
      </c>
      <c r="AI48" s="2">
        <v>0</v>
      </c>
      <c r="AJ48" s="5">
        <v>44673</v>
      </c>
      <c r="AK48" t="s">
        <v>11134</v>
      </c>
      <c r="AL48" s="2">
        <v>0</v>
      </c>
      <c r="AM48" s="2">
        <v>0</v>
      </c>
      <c r="AN48" s="2">
        <v>0</v>
      </c>
      <c r="AO48" t="s">
        <v>44</v>
      </c>
      <c r="AP48" t="s">
        <v>44</v>
      </c>
      <c r="AQ48" t="s">
        <v>11182</v>
      </c>
    </row>
    <row r="49" spans="1:43" x14ac:dyDescent="0.2">
      <c r="A49" t="s">
        <v>11186</v>
      </c>
      <c r="B49" t="s">
        <v>10900</v>
      </c>
      <c r="C49" t="s">
        <v>11033</v>
      </c>
      <c r="D49" t="s">
        <v>11187</v>
      </c>
      <c r="E49" t="s">
        <v>11188</v>
      </c>
      <c r="F49" t="s">
        <v>11187</v>
      </c>
      <c r="G49" s="1">
        <v>5200000</v>
      </c>
      <c r="H49" s="2">
        <v>5308605.6399999997</v>
      </c>
      <c r="I49" s="2">
        <v>5406405.1500000004</v>
      </c>
      <c r="J49" s="2">
        <v>5062.09</v>
      </c>
      <c r="K49" s="2">
        <v>0</v>
      </c>
      <c r="L49" s="2">
        <v>5411467.2400000002</v>
      </c>
      <c r="M49" s="3">
        <v>7.1638799999999998</v>
      </c>
      <c r="N49" s="4">
        <v>1.231167E-2</v>
      </c>
      <c r="O49" s="5">
        <v>44757</v>
      </c>
      <c r="P49" s="5">
        <v>45672</v>
      </c>
      <c r="Q49" s="1">
        <v>8.8829999999999991</v>
      </c>
      <c r="R49" s="2">
        <v>0.22</v>
      </c>
      <c r="S49" s="6">
        <v>0.20744314818000001</v>
      </c>
      <c r="T49" t="s">
        <v>111</v>
      </c>
      <c r="U49" t="s">
        <v>111</v>
      </c>
      <c r="V49" t="s">
        <v>11189</v>
      </c>
      <c r="W49" t="s">
        <v>43</v>
      </c>
      <c r="X49" t="s">
        <v>11034</v>
      </c>
      <c r="Y49" t="s">
        <v>44</v>
      </c>
      <c r="Z49" t="s">
        <v>44</v>
      </c>
      <c r="AA49" t="s">
        <v>11035</v>
      </c>
      <c r="AB49" t="s">
        <v>44</v>
      </c>
      <c r="AC49" s="4">
        <v>7.2921833700000001</v>
      </c>
      <c r="AD49" s="4">
        <v>7.0592439100000002</v>
      </c>
      <c r="AE49" s="2">
        <v>7.29</v>
      </c>
      <c r="AF49" s="4">
        <v>7.0592439100000002</v>
      </c>
      <c r="AG49" s="2">
        <v>5.04</v>
      </c>
      <c r="AH49" s="2">
        <v>5411467.2400000002</v>
      </c>
      <c r="AI49" s="2">
        <v>0.01</v>
      </c>
      <c r="AJ49" s="5">
        <v>44673</v>
      </c>
      <c r="AK49" t="s">
        <v>11190</v>
      </c>
      <c r="AL49" s="2">
        <v>7.16</v>
      </c>
      <c r="AM49" s="2">
        <v>8.8800000000000008</v>
      </c>
      <c r="AN49" s="2">
        <v>0.21</v>
      </c>
      <c r="AO49" t="s">
        <v>11036</v>
      </c>
      <c r="AP49" t="s">
        <v>11191</v>
      </c>
      <c r="AQ49" t="s">
        <v>11188</v>
      </c>
    </row>
    <row r="50" spans="1:43" x14ac:dyDescent="0.2">
      <c r="A50" t="s">
        <v>11186</v>
      </c>
      <c r="B50" t="s">
        <v>10900</v>
      </c>
      <c r="C50" t="s">
        <v>10943</v>
      </c>
      <c r="D50" t="s">
        <v>10977</v>
      </c>
      <c r="E50" t="s">
        <v>10978</v>
      </c>
      <c r="F50" t="s">
        <v>10977</v>
      </c>
      <c r="G50" s="1">
        <v>3207600</v>
      </c>
      <c r="H50" s="2">
        <v>3254953.32</v>
      </c>
      <c r="I50" s="2">
        <v>3014734.07</v>
      </c>
      <c r="J50" s="2">
        <v>147622.98000000001</v>
      </c>
      <c r="K50" s="2">
        <v>0</v>
      </c>
      <c r="L50" s="2">
        <v>3162357.05</v>
      </c>
      <c r="M50" s="3">
        <v>11.88</v>
      </c>
      <c r="N50" s="4">
        <v>7.1947000000000001E-3</v>
      </c>
      <c r="O50" s="5">
        <v>44697</v>
      </c>
      <c r="P50" s="5">
        <v>46888</v>
      </c>
      <c r="Q50" s="1">
        <v>10.565</v>
      </c>
      <c r="R50" s="2">
        <v>4.7300000000000004</v>
      </c>
      <c r="S50" s="6">
        <v>4.4668326030000003</v>
      </c>
      <c r="T50" t="s">
        <v>111</v>
      </c>
      <c r="U50" t="s">
        <v>111</v>
      </c>
      <c r="V50" t="s">
        <v>10944</v>
      </c>
      <c r="W50" t="s">
        <v>43</v>
      </c>
      <c r="X50" t="s">
        <v>44</v>
      </c>
      <c r="Y50" t="s">
        <v>44</v>
      </c>
      <c r="Z50" t="s">
        <v>44</v>
      </c>
      <c r="AA50" t="s">
        <v>10979</v>
      </c>
      <c r="AB50" t="s">
        <v>44</v>
      </c>
      <c r="AC50" s="4">
        <v>12.232836000000001</v>
      </c>
      <c r="AD50" s="4">
        <v>11.596213730000001</v>
      </c>
      <c r="AE50" s="2">
        <v>12.23</v>
      </c>
      <c r="AF50" s="4">
        <v>11.596213730000001</v>
      </c>
      <c r="AG50" s="2">
        <v>2.94</v>
      </c>
      <c r="AH50" s="2">
        <v>3162357.05</v>
      </c>
      <c r="AI50" s="2">
        <v>0.01</v>
      </c>
      <c r="AJ50" s="5">
        <v>44673</v>
      </c>
      <c r="AK50" t="s">
        <v>11190</v>
      </c>
      <c r="AL50" s="2">
        <v>11.88</v>
      </c>
      <c r="AM50" s="2">
        <v>10.56</v>
      </c>
      <c r="AN50" s="2">
        <v>4.47</v>
      </c>
      <c r="AO50" t="s">
        <v>10980</v>
      </c>
      <c r="AP50" t="s">
        <v>10981</v>
      </c>
      <c r="AQ50" t="s">
        <v>10978</v>
      </c>
    </row>
    <row r="51" spans="1:43" x14ac:dyDescent="0.2">
      <c r="A51" t="s">
        <v>11186</v>
      </c>
      <c r="B51" t="s">
        <v>10900</v>
      </c>
      <c r="C51" t="s">
        <v>10943</v>
      </c>
      <c r="D51" t="s">
        <v>11135</v>
      </c>
      <c r="E51" t="s">
        <v>10946</v>
      </c>
      <c r="F51" t="s">
        <v>11135</v>
      </c>
      <c r="G51" s="1">
        <v>19200000</v>
      </c>
      <c r="H51" s="2">
        <v>21438549.23</v>
      </c>
      <c r="I51" s="2">
        <v>20859446.399999999</v>
      </c>
      <c r="J51" s="2">
        <v>679364.38</v>
      </c>
      <c r="K51" s="2">
        <v>0</v>
      </c>
      <c r="L51" s="2">
        <v>21538810.780000001</v>
      </c>
      <c r="M51" s="3">
        <v>8.2249999999999996</v>
      </c>
      <c r="N51" s="4">
        <v>4.9003110000000002E-2</v>
      </c>
      <c r="O51" s="5">
        <v>44733</v>
      </c>
      <c r="P51" s="5">
        <v>46377</v>
      </c>
      <c r="Q51" s="1">
        <v>10.5</v>
      </c>
      <c r="R51" s="2">
        <v>3.72</v>
      </c>
      <c r="S51" s="6">
        <v>3.572672968</v>
      </c>
      <c r="T51" t="s">
        <v>111</v>
      </c>
      <c r="U51" t="s">
        <v>111</v>
      </c>
      <c r="V51" t="s">
        <v>10944</v>
      </c>
      <c r="W51" t="s">
        <v>43</v>
      </c>
      <c r="X51" t="s">
        <v>10945</v>
      </c>
      <c r="Y51" t="s">
        <v>44</v>
      </c>
      <c r="Z51" t="s">
        <v>44</v>
      </c>
      <c r="AA51" t="s">
        <v>10913</v>
      </c>
      <c r="AB51" t="s">
        <v>44</v>
      </c>
      <c r="AC51" s="4">
        <v>8.3941265600000001</v>
      </c>
      <c r="AD51" s="4">
        <v>8.0875032299999994</v>
      </c>
      <c r="AE51" s="2">
        <v>8.39</v>
      </c>
      <c r="AF51" s="4">
        <v>8.0875032299999994</v>
      </c>
      <c r="AG51" s="2">
        <v>20.05</v>
      </c>
      <c r="AH51" s="2">
        <v>21538810.780000001</v>
      </c>
      <c r="AI51" s="2">
        <v>0.05</v>
      </c>
      <c r="AJ51" s="5">
        <v>44673</v>
      </c>
      <c r="AK51" t="s">
        <v>11190</v>
      </c>
      <c r="AL51" s="2">
        <v>8.23</v>
      </c>
      <c r="AM51" s="2">
        <v>10.5</v>
      </c>
      <c r="AN51" s="2">
        <v>3.57</v>
      </c>
      <c r="AO51" t="s">
        <v>10922</v>
      </c>
      <c r="AP51" t="s">
        <v>11136</v>
      </c>
      <c r="AQ51" t="s">
        <v>10946</v>
      </c>
    </row>
    <row r="52" spans="1:43" x14ac:dyDescent="0.2">
      <c r="A52" t="s">
        <v>11186</v>
      </c>
      <c r="B52" t="s">
        <v>10900</v>
      </c>
      <c r="C52" t="s">
        <v>10943</v>
      </c>
      <c r="D52" t="s">
        <v>12863</v>
      </c>
      <c r="E52" t="s">
        <v>12864</v>
      </c>
      <c r="F52" t="s">
        <v>12863</v>
      </c>
      <c r="G52" s="1">
        <v>2260000</v>
      </c>
      <c r="H52" s="2">
        <v>2260000</v>
      </c>
      <c r="I52" s="2">
        <v>2262567.13</v>
      </c>
      <c r="J52" s="2">
        <v>8081.02</v>
      </c>
      <c r="K52" s="2">
        <v>0</v>
      </c>
      <c r="L52" s="2">
        <v>2270648.15</v>
      </c>
      <c r="M52" s="3">
        <v>8.0409749999999995</v>
      </c>
      <c r="N52" s="4">
        <v>5.1659699999999998E-3</v>
      </c>
      <c r="O52" s="5">
        <v>44750</v>
      </c>
      <c r="P52" s="5">
        <v>46485</v>
      </c>
      <c r="Q52" s="1">
        <v>8.157</v>
      </c>
      <c r="R52" s="2">
        <v>0.2</v>
      </c>
      <c r="S52" s="6">
        <v>9.4975697833E-2</v>
      </c>
      <c r="T52" t="s">
        <v>111</v>
      </c>
      <c r="U52" t="s">
        <v>111</v>
      </c>
      <c r="V52" t="s">
        <v>11189</v>
      </c>
      <c r="W52" t="s">
        <v>43</v>
      </c>
      <c r="X52" t="s">
        <v>11034</v>
      </c>
      <c r="Y52" t="s">
        <v>44</v>
      </c>
      <c r="Z52" t="s">
        <v>44</v>
      </c>
      <c r="AA52" t="s">
        <v>11035</v>
      </c>
      <c r="AB52" t="s">
        <v>44</v>
      </c>
      <c r="AC52" s="4">
        <v>8.2026182599999995</v>
      </c>
      <c r="AD52" s="4">
        <v>7.9094905600000001</v>
      </c>
      <c r="AE52" s="2">
        <v>8.1999999999999993</v>
      </c>
      <c r="AF52" s="4">
        <v>7.9094905600000001</v>
      </c>
      <c r="AG52" s="2">
        <v>2.11</v>
      </c>
      <c r="AH52" s="2">
        <v>2270648.15</v>
      </c>
      <c r="AI52" s="2">
        <v>0.01</v>
      </c>
      <c r="AJ52" s="5">
        <v>44673</v>
      </c>
      <c r="AK52" t="s">
        <v>11190</v>
      </c>
      <c r="AL52" s="2">
        <v>8.0399999999999991</v>
      </c>
      <c r="AM52" s="2">
        <v>8.16</v>
      </c>
      <c r="AN52" s="2">
        <v>0.09</v>
      </c>
      <c r="AO52" t="s">
        <v>11496</v>
      </c>
      <c r="AP52" t="s">
        <v>12865</v>
      </c>
      <c r="AQ52" t="s">
        <v>12864</v>
      </c>
    </row>
    <row r="53" spans="1:43" x14ac:dyDescent="0.2">
      <c r="A53" t="s">
        <v>11186</v>
      </c>
      <c r="B53" t="s">
        <v>10900</v>
      </c>
      <c r="C53" t="s">
        <v>11137</v>
      </c>
      <c r="D53" t="s">
        <v>11138</v>
      </c>
      <c r="E53" t="s">
        <v>11139</v>
      </c>
      <c r="F53" t="s">
        <v>11138</v>
      </c>
      <c r="G53" s="1">
        <v>2700000</v>
      </c>
      <c r="H53" s="2">
        <v>2698288.14</v>
      </c>
      <c r="I53" s="2">
        <v>2581715.16</v>
      </c>
      <c r="J53" s="2">
        <v>9320.5499999999993</v>
      </c>
      <c r="K53" s="2">
        <v>0</v>
      </c>
      <c r="L53" s="2">
        <v>2591035.71</v>
      </c>
      <c r="M53" s="3">
        <v>11.316000000000001</v>
      </c>
      <c r="N53" s="4">
        <v>5.8948899999999999E-3</v>
      </c>
      <c r="O53" s="5">
        <v>44844</v>
      </c>
      <c r="P53" s="5">
        <v>47765</v>
      </c>
      <c r="Q53" s="1">
        <v>10.5</v>
      </c>
      <c r="R53" s="2">
        <v>5.71</v>
      </c>
      <c r="S53" s="6">
        <v>5.4077134439999996</v>
      </c>
      <c r="T53" t="s">
        <v>111</v>
      </c>
      <c r="U53" t="s">
        <v>111</v>
      </c>
      <c r="V53" t="s">
        <v>10944</v>
      </c>
      <c r="W53" t="s">
        <v>43</v>
      </c>
      <c r="X53" t="s">
        <v>44</v>
      </c>
      <c r="Y53" t="s">
        <v>44</v>
      </c>
      <c r="Z53" t="s">
        <v>44</v>
      </c>
      <c r="AA53" t="s">
        <v>10979</v>
      </c>
      <c r="AB53" t="s">
        <v>44</v>
      </c>
      <c r="AC53" s="4">
        <v>11.63612964</v>
      </c>
      <c r="AD53" s="4">
        <v>11.058095140000001</v>
      </c>
      <c r="AE53" s="2">
        <v>11.64</v>
      </c>
      <c r="AF53" s="4">
        <v>11.058095140000001</v>
      </c>
      <c r="AG53" s="2">
        <v>2.41</v>
      </c>
      <c r="AH53" s="2">
        <v>2591035.71</v>
      </c>
      <c r="AI53" s="2">
        <v>0.01</v>
      </c>
      <c r="AJ53" s="5">
        <v>44673</v>
      </c>
      <c r="AK53" t="s">
        <v>11190</v>
      </c>
      <c r="AL53" s="2">
        <v>11.32</v>
      </c>
      <c r="AM53" s="2">
        <v>10.5</v>
      </c>
      <c r="AN53" s="2">
        <v>5.41</v>
      </c>
      <c r="AO53" t="s">
        <v>10982</v>
      </c>
      <c r="AP53" t="s">
        <v>11140</v>
      </c>
      <c r="AQ53" t="s">
        <v>11139</v>
      </c>
    </row>
    <row r="54" spans="1:43" x14ac:dyDescent="0.2">
      <c r="A54" t="s">
        <v>11186</v>
      </c>
      <c r="B54" t="s">
        <v>10900</v>
      </c>
      <c r="C54" t="s">
        <v>10950</v>
      </c>
      <c r="D54" t="s">
        <v>11141</v>
      </c>
      <c r="E54" t="s">
        <v>11142</v>
      </c>
      <c r="F54" t="s">
        <v>11141</v>
      </c>
      <c r="G54" s="1">
        <v>3100000</v>
      </c>
      <c r="H54" s="2">
        <v>2494267.29</v>
      </c>
      <c r="I54" s="2">
        <v>2548157.84</v>
      </c>
      <c r="J54" s="2">
        <v>40993.17</v>
      </c>
      <c r="K54" s="2">
        <v>0</v>
      </c>
      <c r="L54" s="2">
        <v>2589151.0099999998</v>
      </c>
      <c r="M54" s="3">
        <v>10.805</v>
      </c>
      <c r="N54" s="4">
        <v>5.8906000000000002E-3</v>
      </c>
      <c r="O54" s="5">
        <v>44804</v>
      </c>
      <c r="P54" s="5">
        <v>54116</v>
      </c>
      <c r="Q54" s="1">
        <v>8.75</v>
      </c>
      <c r="R54" s="2">
        <v>9.2200000000000006</v>
      </c>
      <c r="S54" s="6">
        <v>8.7507641760000006</v>
      </c>
      <c r="T54" t="s">
        <v>111</v>
      </c>
      <c r="U54" t="s">
        <v>111</v>
      </c>
      <c r="V54" t="s">
        <v>10944</v>
      </c>
      <c r="W54" t="s">
        <v>43</v>
      </c>
      <c r="X54" t="s">
        <v>10945</v>
      </c>
      <c r="Y54" t="s">
        <v>44</v>
      </c>
      <c r="Z54" t="s">
        <v>44</v>
      </c>
      <c r="AA54" t="s">
        <v>10913</v>
      </c>
      <c r="AB54" t="s">
        <v>44</v>
      </c>
      <c r="AC54" s="4">
        <v>11.096870060000001</v>
      </c>
      <c r="AD54" s="4">
        <v>10.56950999</v>
      </c>
      <c r="AE54" s="2">
        <v>11.1</v>
      </c>
      <c r="AF54" s="4">
        <v>10.56950999</v>
      </c>
      <c r="AG54" s="2">
        <v>2.41</v>
      </c>
      <c r="AH54" s="2">
        <v>2589151.0099999998</v>
      </c>
      <c r="AI54" s="2">
        <v>0.01</v>
      </c>
      <c r="AJ54" s="5">
        <v>44673</v>
      </c>
      <c r="AK54" t="s">
        <v>11190</v>
      </c>
      <c r="AL54" s="2">
        <v>10.8</v>
      </c>
      <c r="AM54" s="2">
        <v>8.75</v>
      </c>
      <c r="AN54" s="2">
        <v>8.75</v>
      </c>
      <c r="AO54" t="s">
        <v>10922</v>
      </c>
      <c r="AP54" t="s">
        <v>11143</v>
      </c>
      <c r="AQ54" t="s">
        <v>11142</v>
      </c>
    </row>
    <row r="55" spans="1:43" x14ac:dyDescent="0.2">
      <c r="A55" t="s">
        <v>11186</v>
      </c>
      <c r="B55" t="s">
        <v>10900</v>
      </c>
      <c r="C55" t="s">
        <v>10950</v>
      </c>
      <c r="D55" t="s">
        <v>10983</v>
      </c>
      <c r="E55" t="s">
        <v>10984</v>
      </c>
      <c r="F55" t="s">
        <v>10983</v>
      </c>
      <c r="G55" s="1">
        <v>2800000</v>
      </c>
      <c r="H55" s="2">
        <v>2334932.79</v>
      </c>
      <c r="I55" s="2">
        <v>2341171</v>
      </c>
      <c r="J55" s="2">
        <v>52630.16</v>
      </c>
      <c r="K55" s="2">
        <v>0</v>
      </c>
      <c r="L55" s="2">
        <v>2393801.16</v>
      </c>
      <c r="M55" s="3">
        <v>10.734999999999999</v>
      </c>
      <c r="N55" s="4">
        <v>5.4461600000000002E-3</v>
      </c>
      <c r="O55" s="5">
        <v>44774</v>
      </c>
      <c r="P55" s="5">
        <v>50071</v>
      </c>
      <c r="Q55" s="1">
        <v>8.5</v>
      </c>
      <c r="R55" s="2">
        <v>7.91</v>
      </c>
      <c r="S55" s="6">
        <v>7.5106016819999999</v>
      </c>
      <c r="T55" t="s">
        <v>111</v>
      </c>
      <c r="U55" t="s">
        <v>111</v>
      </c>
      <c r="V55" t="s">
        <v>10944</v>
      </c>
      <c r="W55" t="s">
        <v>43</v>
      </c>
      <c r="X55" t="s">
        <v>10945</v>
      </c>
      <c r="Y55" t="s">
        <v>44</v>
      </c>
      <c r="Z55" t="s">
        <v>44</v>
      </c>
      <c r="AA55" t="s">
        <v>10913</v>
      </c>
      <c r="AB55" t="s">
        <v>44</v>
      </c>
      <c r="AC55" s="4">
        <v>11.02310056</v>
      </c>
      <c r="AD55" s="4">
        <v>10.50250368</v>
      </c>
      <c r="AE55" s="2">
        <v>11.02</v>
      </c>
      <c r="AF55" s="4">
        <v>10.50250368</v>
      </c>
      <c r="AG55" s="2">
        <v>2.23</v>
      </c>
      <c r="AH55" s="2">
        <v>2393801.16</v>
      </c>
      <c r="AI55" s="2">
        <v>0.01</v>
      </c>
      <c r="AJ55" s="5">
        <v>44673</v>
      </c>
      <c r="AK55" t="s">
        <v>11190</v>
      </c>
      <c r="AL55" s="2">
        <v>10.73</v>
      </c>
      <c r="AM55" s="2">
        <v>8.5</v>
      </c>
      <c r="AN55" s="2">
        <v>7.51</v>
      </c>
      <c r="AO55" t="s">
        <v>10922</v>
      </c>
      <c r="AP55" t="s">
        <v>10985</v>
      </c>
      <c r="AQ55" t="s">
        <v>10984</v>
      </c>
    </row>
    <row r="56" spans="1:43" x14ac:dyDescent="0.2">
      <c r="A56" t="s">
        <v>11186</v>
      </c>
      <c r="B56" t="s">
        <v>10900</v>
      </c>
      <c r="C56" t="s">
        <v>10990</v>
      </c>
      <c r="D56" t="s">
        <v>10991</v>
      </c>
      <c r="E56" t="s">
        <v>1153</v>
      </c>
      <c r="F56" t="s">
        <v>10991</v>
      </c>
      <c r="G56" s="1">
        <v>2050000</v>
      </c>
      <c r="H56" s="2">
        <v>2639906.9300000002</v>
      </c>
      <c r="I56" s="2">
        <v>2650871.5499999998</v>
      </c>
      <c r="J56" s="2">
        <v>16603.38</v>
      </c>
      <c r="K56" s="2">
        <v>0</v>
      </c>
      <c r="L56" s="2">
        <v>2667474.9300000002</v>
      </c>
      <c r="M56" s="3">
        <v>3.9</v>
      </c>
      <c r="N56" s="4">
        <v>6.0687900000000001E-3</v>
      </c>
      <c r="O56" s="5">
        <v>44774</v>
      </c>
      <c r="P56" s="5">
        <v>50436</v>
      </c>
      <c r="Q56" s="1">
        <v>2.25</v>
      </c>
      <c r="R56" s="2">
        <v>12.94</v>
      </c>
      <c r="S56" s="6">
        <v>12.689805079999999</v>
      </c>
      <c r="T56" t="s">
        <v>111</v>
      </c>
      <c r="U56" t="s">
        <v>111</v>
      </c>
      <c r="V56" t="s">
        <v>10992</v>
      </c>
      <c r="W56" t="s">
        <v>43</v>
      </c>
      <c r="X56" t="s">
        <v>10945</v>
      </c>
      <c r="Y56" t="s">
        <v>44</v>
      </c>
      <c r="Z56" t="s">
        <v>44</v>
      </c>
      <c r="AA56" t="s">
        <v>10913</v>
      </c>
      <c r="AB56" t="s">
        <v>44</v>
      </c>
      <c r="AC56" s="4">
        <v>3.9380250000000001</v>
      </c>
      <c r="AD56" s="4">
        <v>3.8686849699999999</v>
      </c>
      <c r="AE56" s="2">
        <v>3.94</v>
      </c>
      <c r="AF56" s="4">
        <v>3.8686849699999999</v>
      </c>
      <c r="AG56" s="2">
        <v>2.48</v>
      </c>
      <c r="AH56" s="2">
        <v>2667474.9300000002</v>
      </c>
      <c r="AI56" s="2">
        <v>0.01</v>
      </c>
      <c r="AJ56" s="5">
        <v>44673</v>
      </c>
      <c r="AK56" t="s">
        <v>11190</v>
      </c>
      <c r="AL56" s="2">
        <v>3.9</v>
      </c>
      <c r="AM56" s="2">
        <v>2.25</v>
      </c>
      <c r="AN56" s="2">
        <v>12.69</v>
      </c>
      <c r="AO56" t="s">
        <v>10922</v>
      </c>
      <c r="AP56" t="s">
        <v>10993</v>
      </c>
      <c r="AQ56" t="s">
        <v>1153</v>
      </c>
    </row>
    <row r="57" spans="1:43" x14ac:dyDescent="0.2">
      <c r="A57" t="s">
        <v>11186</v>
      </c>
      <c r="B57" t="s">
        <v>10900</v>
      </c>
      <c r="C57" t="s">
        <v>10990</v>
      </c>
      <c r="D57" t="s">
        <v>10994</v>
      </c>
      <c r="E57" t="s">
        <v>1190</v>
      </c>
      <c r="F57" t="s">
        <v>10994</v>
      </c>
      <c r="G57" s="1">
        <v>2230000</v>
      </c>
      <c r="H57" s="2">
        <v>2621833.7999999998</v>
      </c>
      <c r="I57" s="2">
        <v>2638391.54</v>
      </c>
      <c r="J57" s="2">
        <v>5305.26</v>
      </c>
      <c r="K57" s="2">
        <v>0</v>
      </c>
      <c r="L57" s="2">
        <v>2643696.7999999998</v>
      </c>
      <c r="M57" s="3">
        <v>3.9</v>
      </c>
      <c r="N57" s="4">
        <v>6.0146899999999996E-3</v>
      </c>
      <c r="O57" s="5">
        <v>44834</v>
      </c>
      <c r="P57" s="5">
        <v>53417</v>
      </c>
      <c r="Q57" s="1">
        <v>2.5</v>
      </c>
      <c r="R57" s="2">
        <v>17.22</v>
      </c>
      <c r="S57" s="6">
        <v>16.886631569999999</v>
      </c>
      <c r="T57" t="s">
        <v>111</v>
      </c>
      <c r="U57" t="s">
        <v>111</v>
      </c>
      <c r="V57" t="s">
        <v>10992</v>
      </c>
      <c r="W57" t="s">
        <v>43</v>
      </c>
      <c r="X57" t="s">
        <v>10945</v>
      </c>
      <c r="Y57" t="s">
        <v>44</v>
      </c>
      <c r="Z57" t="s">
        <v>44</v>
      </c>
      <c r="AA57" t="s">
        <v>10913</v>
      </c>
      <c r="AB57" t="s">
        <v>44</v>
      </c>
      <c r="AC57" s="4">
        <v>3.9380250000000001</v>
      </c>
      <c r="AD57" s="4">
        <v>3.8686849699999999</v>
      </c>
      <c r="AE57" s="2">
        <v>3.94</v>
      </c>
      <c r="AF57" s="4">
        <v>3.8686849699999999</v>
      </c>
      <c r="AG57" s="2">
        <v>2.46</v>
      </c>
      <c r="AH57" s="2">
        <v>2643696.7999999998</v>
      </c>
      <c r="AI57" s="2">
        <v>0.01</v>
      </c>
      <c r="AJ57" s="5">
        <v>44673</v>
      </c>
      <c r="AK57" t="s">
        <v>11190</v>
      </c>
      <c r="AL57" s="2">
        <v>3.9</v>
      </c>
      <c r="AM57" s="2">
        <v>2.5</v>
      </c>
      <c r="AN57" s="2">
        <v>16.89</v>
      </c>
      <c r="AO57" t="s">
        <v>10922</v>
      </c>
      <c r="AP57" t="s">
        <v>10995</v>
      </c>
      <c r="AQ57" t="s">
        <v>1190</v>
      </c>
    </row>
    <row r="58" spans="1:43" x14ac:dyDescent="0.2">
      <c r="A58" t="s">
        <v>11186</v>
      </c>
      <c r="B58" t="s">
        <v>10900</v>
      </c>
      <c r="C58" t="s">
        <v>10990</v>
      </c>
      <c r="D58" t="s">
        <v>10996</v>
      </c>
      <c r="E58" t="s">
        <v>1160</v>
      </c>
      <c r="F58" t="s">
        <v>10996</v>
      </c>
      <c r="G58" s="1">
        <v>2460000</v>
      </c>
      <c r="H58" s="2">
        <v>2990480.52</v>
      </c>
      <c r="I58" s="2">
        <v>2991383.85</v>
      </c>
      <c r="J58" s="2">
        <v>30478.98</v>
      </c>
      <c r="K58" s="2">
        <v>0</v>
      </c>
      <c r="L58" s="2">
        <v>3021862.83</v>
      </c>
      <c r="M58" s="3">
        <v>3.9</v>
      </c>
      <c r="N58" s="4">
        <v>6.8750599999999997E-3</v>
      </c>
      <c r="O58" s="5">
        <v>44742</v>
      </c>
      <c r="P58" s="5">
        <v>55153</v>
      </c>
      <c r="Q58" s="1">
        <v>2.5</v>
      </c>
      <c r="R58" s="2">
        <v>19.05</v>
      </c>
      <c r="S58" s="6">
        <v>18.689623709999999</v>
      </c>
      <c r="T58" t="s">
        <v>111</v>
      </c>
      <c r="U58" t="s">
        <v>111</v>
      </c>
      <c r="V58" t="s">
        <v>10992</v>
      </c>
      <c r="W58" t="s">
        <v>43</v>
      </c>
      <c r="X58" t="s">
        <v>10945</v>
      </c>
      <c r="Y58" t="s">
        <v>44</v>
      </c>
      <c r="Z58" t="s">
        <v>44</v>
      </c>
      <c r="AA58" t="s">
        <v>10913</v>
      </c>
      <c r="AB58" t="s">
        <v>44</v>
      </c>
      <c r="AC58" s="4">
        <v>3.9380250000000001</v>
      </c>
      <c r="AD58" s="4">
        <v>3.8686849699999999</v>
      </c>
      <c r="AE58" s="2">
        <v>3.94</v>
      </c>
      <c r="AF58" s="4">
        <v>3.8686849699999999</v>
      </c>
      <c r="AG58" s="2">
        <v>2.81</v>
      </c>
      <c r="AH58" s="2">
        <v>3021862.83</v>
      </c>
      <c r="AI58" s="2">
        <v>0.01</v>
      </c>
      <c r="AJ58" s="5">
        <v>44673</v>
      </c>
      <c r="AK58" t="s">
        <v>11190</v>
      </c>
      <c r="AL58" s="2">
        <v>3.9</v>
      </c>
      <c r="AM58" s="2">
        <v>2.5</v>
      </c>
      <c r="AN58" s="2">
        <v>18.690000000000001</v>
      </c>
      <c r="AO58" t="s">
        <v>10922</v>
      </c>
      <c r="AP58" t="s">
        <v>10997</v>
      </c>
      <c r="AQ58" t="s">
        <v>1160</v>
      </c>
    </row>
    <row r="59" spans="1:43" x14ac:dyDescent="0.2">
      <c r="A59" t="s">
        <v>11186</v>
      </c>
      <c r="B59" t="s">
        <v>10900</v>
      </c>
      <c r="C59" t="s">
        <v>10990</v>
      </c>
      <c r="D59" t="s">
        <v>10998</v>
      </c>
      <c r="E59" t="s">
        <v>1197</v>
      </c>
      <c r="F59" t="s">
        <v>10998</v>
      </c>
      <c r="G59" s="1">
        <v>2340000</v>
      </c>
      <c r="H59" s="2">
        <v>2656052.46</v>
      </c>
      <c r="I59" s="2">
        <v>2648257.89</v>
      </c>
      <c r="J59" s="2">
        <v>8866.44</v>
      </c>
      <c r="K59" s="2">
        <v>0</v>
      </c>
      <c r="L59" s="2">
        <v>2657124.33</v>
      </c>
      <c r="M59" s="3">
        <v>3.82</v>
      </c>
      <c r="N59" s="4">
        <v>6.0452400000000003E-3</v>
      </c>
      <c r="O59" s="5">
        <v>44804</v>
      </c>
      <c r="P59" s="5">
        <v>48638</v>
      </c>
      <c r="Q59" s="1">
        <v>1.875</v>
      </c>
      <c r="R59" s="2">
        <v>9.7100000000000009</v>
      </c>
      <c r="S59" s="6">
        <v>9.5277218819999998</v>
      </c>
      <c r="T59" t="s">
        <v>111</v>
      </c>
      <c r="U59" t="s">
        <v>111</v>
      </c>
      <c r="V59" t="s">
        <v>10992</v>
      </c>
      <c r="W59" t="s">
        <v>43</v>
      </c>
      <c r="X59" t="s">
        <v>10945</v>
      </c>
      <c r="Y59" t="s">
        <v>44</v>
      </c>
      <c r="Z59" t="s">
        <v>44</v>
      </c>
      <c r="AA59" t="s">
        <v>10913</v>
      </c>
      <c r="AB59" t="s">
        <v>44</v>
      </c>
      <c r="AC59" s="4">
        <v>3.856481</v>
      </c>
      <c r="AD59" s="4">
        <v>3.7899492800000001</v>
      </c>
      <c r="AE59" s="2">
        <v>3.86</v>
      </c>
      <c r="AF59" s="4">
        <v>3.7899492800000001</v>
      </c>
      <c r="AG59" s="2">
        <v>2.4700000000000002</v>
      </c>
      <c r="AH59" s="2">
        <v>2657124.33</v>
      </c>
      <c r="AI59" s="2">
        <v>0.01</v>
      </c>
      <c r="AJ59" s="5">
        <v>44673</v>
      </c>
      <c r="AK59" t="s">
        <v>11190</v>
      </c>
      <c r="AL59" s="2">
        <v>3.82</v>
      </c>
      <c r="AM59" s="2">
        <v>1.88</v>
      </c>
      <c r="AN59" s="2">
        <v>9.5299999999999994</v>
      </c>
      <c r="AO59" t="s">
        <v>10922</v>
      </c>
      <c r="AP59" t="s">
        <v>10999</v>
      </c>
      <c r="AQ59" t="s">
        <v>1197</v>
      </c>
    </row>
    <row r="60" spans="1:43" x14ac:dyDescent="0.2">
      <c r="A60" t="s">
        <v>11186</v>
      </c>
      <c r="B60" t="s">
        <v>45</v>
      </c>
      <c r="C60" t="s">
        <v>11000</v>
      </c>
      <c r="D60" t="s">
        <v>11273</v>
      </c>
      <c r="E60" t="s">
        <v>11274</v>
      </c>
      <c r="F60" t="s">
        <v>11273</v>
      </c>
      <c r="G60" s="1">
        <v>0</v>
      </c>
      <c r="H60" s="2">
        <v>0</v>
      </c>
      <c r="I60" s="2">
        <v>0</v>
      </c>
      <c r="J60" s="2">
        <v>0</v>
      </c>
      <c r="K60" s="2">
        <v>0</v>
      </c>
      <c r="L60" s="2">
        <v>0.03</v>
      </c>
      <c r="M60" s="3"/>
      <c r="N60" s="4">
        <v>0</v>
      </c>
      <c r="O60" s="5">
        <v>44378</v>
      </c>
      <c r="P60" s="5">
        <v>55153</v>
      </c>
      <c r="Q60" s="1">
        <v>0</v>
      </c>
      <c r="R60" s="2"/>
      <c r="S60" s="6"/>
      <c r="T60" t="s">
        <v>111</v>
      </c>
      <c r="U60" t="s">
        <v>11003</v>
      </c>
      <c r="V60" t="s">
        <v>46</v>
      </c>
      <c r="W60" t="s">
        <v>43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s="4"/>
      <c r="AD60" s="4"/>
      <c r="AE60" s="2">
        <v>0</v>
      </c>
      <c r="AF60" s="4">
        <v>0</v>
      </c>
      <c r="AG60" s="2">
        <v>0</v>
      </c>
      <c r="AH60" s="2">
        <v>0.03</v>
      </c>
      <c r="AI60" s="2">
        <v>0</v>
      </c>
      <c r="AJ60" s="5">
        <v>44673</v>
      </c>
      <c r="AK60" t="s">
        <v>11190</v>
      </c>
      <c r="AL60" s="2">
        <v>0</v>
      </c>
      <c r="AM60" s="2">
        <v>0</v>
      </c>
      <c r="AN60" s="2">
        <v>0</v>
      </c>
      <c r="AO60" t="s">
        <v>44</v>
      </c>
      <c r="AP60" t="s">
        <v>11275</v>
      </c>
      <c r="AQ60" t="s">
        <v>11274</v>
      </c>
    </row>
    <row r="61" spans="1:43" x14ac:dyDescent="0.2">
      <c r="A61" t="s">
        <v>11186</v>
      </c>
      <c r="B61" t="s">
        <v>45</v>
      </c>
      <c r="C61" t="s">
        <v>11000</v>
      </c>
      <c r="D61" t="s">
        <v>11001</v>
      </c>
      <c r="E61" t="s">
        <v>11002</v>
      </c>
      <c r="F61" t="s">
        <v>11001</v>
      </c>
      <c r="G61" s="1">
        <v>3930133.23</v>
      </c>
      <c r="H61" s="2">
        <v>3930133.2</v>
      </c>
      <c r="I61" s="2">
        <v>3930133.2</v>
      </c>
      <c r="J61" s="2">
        <v>14851.47</v>
      </c>
      <c r="K61" s="2">
        <v>0</v>
      </c>
      <c r="L61" s="2">
        <v>3944984.67</v>
      </c>
      <c r="M61" s="3"/>
      <c r="N61" s="4">
        <v>8.9752600000000005E-3</v>
      </c>
      <c r="O61" s="5">
        <v>40756</v>
      </c>
      <c r="P61" s="5">
        <v>73020</v>
      </c>
      <c r="Q61" s="1">
        <v>0</v>
      </c>
      <c r="R61" s="2"/>
      <c r="S61" s="6"/>
      <c r="T61" t="s">
        <v>111</v>
      </c>
      <c r="U61" t="s">
        <v>11003</v>
      </c>
      <c r="V61" t="s">
        <v>46</v>
      </c>
      <c r="W61" t="s">
        <v>43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s="4"/>
      <c r="AD61" s="4"/>
      <c r="AE61" s="2">
        <v>0</v>
      </c>
      <c r="AF61" s="4">
        <v>0</v>
      </c>
      <c r="AG61" s="2">
        <v>3.67</v>
      </c>
      <c r="AH61" s="2">
        <v>3944984.67</v>
      </c>
      <c r="AI61" s="2">
        <v>0.01</v>
      </c>
      <c r="AJ61" s="5">
        <v>44673</v>
      </c>
      <c r="AK61" t="s">
        <v>11190</v>
      </c>
      <c r="AL61" s="2">
        <v>0</v>
      </c>
      <c r="AM61" s="2">
        <v>0</v>
      </c>
      <c r="AN61" s="2">
        <v>0</v>
      </c>
      <c r="AO61" t="s">
        <v>44</v>
      </c>
      <c r="AP61" t="s">
        <v>11004</v>
      </c>
      <c r="AQ61" t="s">
        <v>11002</v>
      </c>
    </row>
    <row r="62" spans="1:43" x14ac:dyDescent="0.2">
      <c r="A62" t="s">
        <v>11186</v>
      </c>
      <c r="B62" t="s">
        <v>45</v>
      </c>
      <c r="C62" t="s">
        <v>11144</v>
      </c>
      <c r="D62" t="s">
        <v>11145</v>
      </c>
      <c r="E62" t="s">
        <v>11146</v>
      </c>
      <c r="F62" t="s">
        <v>11147</v>
      </c>
      <c r="G62" s="1">
        <v>1413566</v>
      </c>
      <c r="H62" s="2">
        <v>1413566</v>
      </c>
      <c r="I62" s="2">
        <v>1413566</v>
      </c>
      <c r="J62" s="2">
        <v>4988.92</v>
      </c>
      <c r="K62" s="2">
        <v>0</v>
      </c>
      <c r="L62" s="2">
        <v>1418554.92</v>
      </c>
      <c r="M62" s="3">
        <v>6.88</v>
      </c>
      <c r="N62" s="4">
        <v>3.2273699999999998E-3</v>
      </c>
      <c r="O62" s="5" t="s">
        <v>44</v>
      </c>
      <c r="P62" s="5">
        <v>55153</v>
      </c>
      <c r="Q62" s="1">
        <v>6.88</v>
      </c>
      <c r="R62" s="2">
        <v>0.08</v>
      </c>
      <c r="S62" s="6">
        <v>2.6006750000000002E-3</v>
      </c>
      <c r="T62" t="s">
        <v>112</v>
      </c>
      <c r="U62" t="s">
        <v>46</v>
      </c>
      <c r="V62" t="s">
        <v>11148</v>
      </c>
      <c r="W62" t="s">
        <v>43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s="4"/>
      <c r="AD62" s="4"/>
      <c r="AE62" s="2">
        <v>0</v>
      </c>
      <c r="AF62" s="4">
        <v>0</v>
      </c>
      <c r="AG62" s="2">
        <v>1.32</v>
      </c>
      <c r="AH62" s="2">
        <v>1418554.92</v>
      </c>
      <c r="AI62" s="2">
        <v>0</v>
      </c>
      <c r="AJ62" s="5">
        <v>44673</v>
      </c>
      <c r="AK62" t="s">
        <v>11190</v>
      </c>
      <c r="AL62" s="2">
        <v>0</v>
      </c>
      <c r="AM62" s="2">
        <v>6.88</v>
      </c>
      <c r="AN62" s="2">
        <v>0</v>
      </c>
      <c r="AO62" t="s">
        <v>11146</v>
      </c>
      <c r="AP62" t="s">
        <v>44</v>
      </c>
      <c r="AQ62" t="s">
        <v>11146</v>
      </c>
    </row>
    <row r="63" spans="1:43" x14ac:dyDescent="0.2">
      <c r="A63" t="s">
        <v>11186</v>
      </c>
      <c r="B63" t="s">
        <v>45</v>
      </c>
      <c r="C63" t="s">
        <v>47</v>
      </c>
      <c r="D63" t="s">
        <v>48</v>
      </c>
      <c r="E63" t="s">
        <v>49</v>
      </c>
      <c r="F63" t="s">
        <v>50</v>
      </c>
      <c r="G63" s="1">
        <v>0</v>
      </c>
      <c r="H63" s="2">
        <v>0</v>
      </c>
      <c r="I63" s="2">
        <v>0</v>
      </c>
      <c r="J63" s="2">
        <v>0</v>
      </c>
      <c r="K63" s="2">
        <v>0</v>
      </c>
      <c r="L63" s="2">
        <v>738.27</v>
      </c>
      <c r="M63" s="3"/>
      <c r="N63" s="4">
        <v>1.68E-6</v>
      </c>
      <c r="O63" s="5" t="s">
        <v>44</v>
      </c>
      <c r="P63" s="5" t="s">
        <v>44</v>
      </c>
      <c r="Q63" s="1"/>
      <c r="R63" s="2">
        <v>0.08</v>
      </c>
      <c r="S63" s="6"/>
      <c r="T63" t="s">
        <v>45</v>
      </c>
      <c r="U63" t="s">
        <v>46</v>
      </c>
      <c r="V63" t="s">
        <v>44</v>
      </c>
      <c r="W63" t="s">
        <v>43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s="4">
        <v>5.1163389600000002</v>
      </c>
      <c r="AD63" s="4">
        <v>5.0001424999999999</v>
      </c>
      <c r="AE63" s="2">
        <v>5.12</v>
      </c>
      <c r="AF63" s="4">
        <v>5.0001424999999999</v>
      </c>
      <c r="AG63" s="2">
        <v>0</v>
      </c>
      <c r="AH63" s="2">
        <v>738.27</v>
      </c>
      <c r="AI63" s="2">
        <v>0</v>
      </c>
      <c r="AJ63" s="5">
        <v>44673</v>
      </c>
      <c r="AK63" t="s">
        <v>11190</v>
      </c>
      <c r="AL63" s="2">
        <v>5.05</v>
      </c>
      <c r="AM63" s="2">
        <v>0</v>
      </c>
      <c r="AN63" s="2">
        <v>0</v>
      </c>
      <c r="AO63" t="s">
        <v>44</v>
      </c>
      <c r="AP63" t="s">
        <v>44</v>
      </c>
      <c r="AQ63" t="s">
        <v>44</v>
      </c>
    </row>
    <row r="64" spans="1:43" x14ac:dyDescent="0.2">
      <c r="A64" t="s">
        <v>11186</v>
      </c>
      <c r="B64" t="s">
        <v>45</v>
      </c>
      <c r="C64" t="s">
        <v>47</v>
      </c>
      <c r="D64" t="s">
        <v>51</v>
      </c>
      <c r="E64" t="s">
        <v>52</v>
      </c>
      <c r="F64" t="s">
        <v>51</v>
      </c>
      <c r="G64" s="1">
        <v>587348.87</v>
      </c>
      <c r="H64" s="2">
        <v>587348.07999999996</v>
      </c>
      <c r="I64" s="2">
        <v>587348.87</v>
      </c>
      <c r="J64" s="2">
        <v>0</v>
      </c>
      <c r="K64" s="2">
        <v>0</v>
      </c>
      <c r="L64" s="2">
        <v>587348.87</v>
      </c>
      <c r="M64" s="3"/>
      <c r="N64" s="4">
        <v>1.33628E-3</v>
      </c>
      <c r="O64" s="5" t="s">
        <v>44</v>
      </c>
      <c r="P64" s="5" t="s">
        <v>44</v>
      </c>
      <c r="Q64" s="1"/>
      <c r="R64" s="2">
        <v>0.08</v>
      </c>
      <c r="S64" s="6"/>
      <c r="T64" t="s">
        <v>45</v>
      </c>
      <c r="U64" t="s">
        <v>53</v>
      </c>
      <c r="V64" t="s">
        <v>44</v>
      </c>
      <c r="W64" t="s">
        <v>43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s="4">
        <v>5.1163389600000002</v>
      </c>
      <c r="AD64" s="4">
        <v>5.0001424999999999</v>
      </c>
      <c r="AE64" s="2">
        <v>5.12</v>
      </c>
      <c r="AF64" s="4">
        <v>5.0001424999999999</v>
      </c>
      <c r="AG64" s="2">
        <v>0.55000000000000004</v>
      </c>
      <c r="AH64" s="2">
        <v>587348.87</v>
      </c>
      <c r="AI64" s="2">
        <v>0</v>
      </c>
      <c r="AJ64" s="5">
        <v>44673</v>
      </c>
      <c r="AK64" t="s">
        <v>11190</v>
      </c>
      <c r="AL64" s="2">
        <v>5.05</v>
      </c>
      <c r="AM64" s="2">
        <v>0</v>
      </c>
      <c r="AN64" s="2">
        <v>0</v>
      </c>
      <c r="AO64" t="s">
        <v>44</v>
      </c>
      <c r="AP64" t="s">
        <v>44</v>
      </c>
      <c r="AQ64" t="s">
        <v>43</v>
      </c>
    </row>
    <row r="65" spans="1:43" x14ac:dyDescent="0.2">
      <c r="A65" t="s">
        <v>11186</v>
      </c>
      <c r="B65" t="s">
        <v>45</v>
      </c>
      <c r="C65" t="s">
        <v>11005</v>
      </c>
      <c r="D65" t="s">
        <v>11009</v>
      </c>
      <c r="E65" t="s">
        <v>11010</v>
      </c>
      <c r="F65" t="s">
        <v>44</v>
      </c>
      <c r="G65" s="1">
        <v>-24355.13</v>
      </c>
      <c r="H65" s="2">
        <v>-24355.13</v>
      </c>
      <c r="I65" s="2">
        <v>-24355.13</v>
      </c>
      <c r="J65" s="2">
        <v>0</v>
      </c>
      <c r="K65" s="2"/>
      <c r="L65" s="2">
        <v>-24355.13</v>
      </c>
      <c r="M65" s="3"/>
      <c r="N65" s="4">
        <v>-5.541E-5</v>
      </c>
      <c r="O65" s="5" t="s">
        <v>44</v>
      </c>
      <c r="P65" s="5">
        <v>73051</v>
      </c>
      <c r="Q65" s="1">
        <v>0</v>
      </c>
      <c r="R65" s="2">
        <v>0.08</v>
      </c>
      <c r="S65" s="6"/>
      <c r="T65" t="s">
        <v>45</v>
      </c>
      <c r="U65" t="s">
        <v>44</v>
      </c>
      <c r="V65" t="s">
        <v>44</v>
      </c>
      <c r="W65" t="s">
        <v>43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s="4">
        <v>5.1163389600000002</v>
      </c>
      <c r="AD65" s="4">
        <v>5.0001424999999999</v>
      </c>
      <c r="AE65" s="2">
        <v>5.12</v>
      </c>
      <c r="AF65" s="4">
        <v>5.0001424999999999</v>
      </c>
      <c r="AG65" s="2">
        <v>-0.02</v>
      </c>
      <c r="AH65" s="2">
        <v>-24355.13</v>
      </c>
      <c r="AI65" s="2">
        <v>0</v>
      </c>
      <c r="AJ65" s="5">
        <v>44673</v>
      </c>
      <c r="AK65" t="s">
        <v>11190</v>
      </c>
      <c r="AL65" s="2">
        <v>5.05</v>
      </c>
      <c r="AM65" s="2">
        <v>0</v>
      </c>
      <c r="AN65" s="2">
        <v>0</v>
      </c>
      <c r="AO65" t="s">
        <v>44</v>
      </c>
      <c r="AP65" t="s">
        <v>44</v>
      </c>
      <c r="AQ65" t="s">
        <v>44</v>
      </c>
    </row>
    <row r="66" spans="1:43" x14ac:dyDescent="0.2">
      <c r="A66" t="s">
        <v>11186</v>
      </c>
      <c r="B66" t="s">
        <v>45</v>
      </c>
      <c r="C66" t="s">
        <v>11005</v>
      </c>
      <c r="D66" t="s">
        <v>11011</v>
      </c>
      <c r="E66" t="s">
        <v>11012</v>
      </c>
      <c r="F66" t="s">
        <v>44</v>
      </c>
      <c r="G66" s="1">
        <v>-11154.51</v>
      </c>
      <c r="H66" s="2">
        <v>-11154.51</v>
      </c>
      <c r="I66" s="2">
        <v>-11154.51</v>
      </c>
      <c r="J66" s="2">
        <v>0</v>
      </c>
      <c r="K66" s="2"/>
      <c r="L66" s="2">
        <v>-11154.51</v>
      </c>
      <c r="M66" s="3"/>
      <c r="N66" s="4">
        <v>-2.5380000000000001E-5</v>
      </c>
      <c r="O66" s="5" t="s">
        <v>44</v>
      </c>
      <c r="P66" s="5">
        <v>73051</v>
      </c>
      <c r="Q66" s="1">
        <v>0</v>
      </c>
      <c r="R66" s="2">
        <v>0.08</v>
      </c>
      <c r="S66" s="6"/>
      <c r="T66" t="s">
        <v>45</v>
      </c>
      <c r="U66" t="s">
        <v>44</v>
      </c>
      <c r="V66" t="s">
        <v>44</v>
      </c>
      <c r="W66" t="s">
        <v>43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s="4">
        <v>5.1163389600000002</v>
      </c>
      <c r="AD66" s="4">
        <v>5.0001424999999999</v>
      </c>
      <c r="AE66" s="2">
        <v>5.12</v>
      </c>
      <c r="AF66" s="4">
        <v>5.0001424999999999</v>
      </c>
      <c r="AG66" s="2">
        <v>-0.01</v>
      </c>
      <c r="AH66" s="2">
        <v>-11154.51</v>
      </c>
      <c r="AI66" s="2">
        <v>0</v>
      </c>
      <c r="AJ66" s="5">
        <v>44673</v>
      </c>
      <c r="AK66" t="s">
        <v>11190</v>
      </c>
      <c r="AL66" s="2">
        <v>5.05</v>
      </c>
      <c r="AM66" s="2">
        <v>0</v>
      </c>
      <c r="AN66" s="2">
        <v>0</v>
      </c>
      <c r="AO66" t="s">
        <v>44</v>
      </c>
      <c r="AP66" t="s">
        <v>44</v>
      </c>
      <c r="AQ66" t="s">
        <v>44</v>
      </c>
    </row>
    <row r="67" spans="1:43" x14ac:dyDescent="0.2">
      <c r="A67" t="s">
        <v>11186</v>
      </c>
      <c r="B67" t="s">
        <v>45</v>
      </c>
      <c r="C67" t="s">
        <v>11005</v>
      </c>
      <c r="D67" t="s">
        <v>11149</v>
      </c>
      <c r="E67" t="s">
        <v>11150</v>
      </c>
      <c r="F67" t="s">
        <v>44</v>
      </c>
      <c r="G67" s="1">
        <v>-393235</v>
      </c>
      <c r="H67" s="2">
        <v>-393235</v>
      </c>
      <c r="I67" s="2">
        <v>-393235</v>
      </c>
      <c r="J67" s="2">
        <v>0</v>
      </c>
      <c r="K67" s="2"/>
      <c r="L67" s="2">
        <v>-393235</v>
      </c>
      <c r="M67" s="3"/>
      <c r="N67" s="4">
        <v>-8.9464999999999998E-4</v>
      </c>
      <c r="O67" s="5" t="s">
        <v>44</v>
      </c>
      <c r="P67" s="5">
        <v>73051</v>
      </c>
      <c r="Q67" s="1">
        <v>0</v>
      </c>
      <c r="R67" s="2">
        <v>0.08</v>
      </c>
      <c r="S67" s="6"/>
      <c r="T67" t="s">
        <v>45</v>
      </c>
      <c r="U67" t="s">
        <v>44</v>
      </c>
      <c r="V67" t="s">
        <v>44</v>
      </c>
      <c r="W67" t="s">
        <v>43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s="4">
        <v>5.1163389600000002</v>
      </c>
      <c r="AD67" s="4">
        <v>5.0001424999999999</v>
      </c>
      <c r="AE67" s="2">
        <v>5.12</v>
      </c>
      <c r="AF67" s="4">
        <v>5.0001424999999999</v>
      </c>
      <c r="AG67" s="2">
        <v>-0.37</v>
      </c>
      <c r="AH67" s="2">
        <v>-393235</v>
      </c>
      <c r="AI67" s="2">
        <v>0</v>
      </c>
      <c r="AJ67" s="5">
        <v>44673</v>
      </c>
      <c r="AK67" t="s">
        <v>11190</v>
      </c>
      <c r="AL67" s="2">
        <v>5.05</v>
      </c>
      <c r="AM67" s="2">
        <v>0</v>
      </c>
      <c r="AN67" s="2">
        <v>0</v>
      </c>
      <c r="AO67" t="s">
        <v>44</v>
      </c>
      <c r="AP67" t="s">
        <v>44</v>
      </c>
      <c r="AQ67" t="s">
        <v>44</v>
      </c>
    </row>
    <row r="68" spans="1:43" x14ac:dyDescent="0.2">
      <c r="A68" t="s">
        <v>11186</v>
      </c>
      <c r="B68" t="s">
        <v>11024</v>
      </c>
      <c r="C68" t="s">
        <v>57</v>
      </c>
      <c r="D68" t="s">
        <v>11151</v>
      </c>
      <c r="E68" t="s">
        <v>11151</v>
      </c>
      <c r="F68" t="s">
        <v>11151</v>
      </c>
      <c r="G68" s="1">
        <v>24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3">
        <v>65704</v>
      </c>
      <c r="N68" s="4">
        <v>0</v>
      </c>
      <c r="O68" s="5" t="s">
        <v>44</v>
      </c>
      <c r="P68" s="5">
        <v>44727</v>
      </c>
      <c r="Q68" s="1"/>
      <c r="R68" s="2"/>
      <c r="S68" s="6"/>
      <c r="T68" t="s">
        <v>11026</v>
      </c>
      <c r="U68" t="s">
        <v>11025</v>
      </c>
      <c r="V68" t="s">
        <v>11027</v>
      </c>
      <c r="W68" t="s">
        <v>43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s="4"/>
      <c r="AD68" s="4"/>
      <c r="AE68" s="2">
        <v>0</v>
      </c>
      <c r="AF68" s="4">
        <v>0</v>
      </c>
      <c r="AG68" s="2">
        <v>0</v>
      </c>
      <c r="AH68" s="2">
        <v>15768960</v>
      </c>
      <c r="AI68" s="2">
        <v>0.04</v>
      </c>
      <c r="AJ68" s="5">
        <v>44673</v>
      </c>
      <c r="AK68" t="s">
        <v>11190</v>
      </c>
      <c r="AL68" s="2">
        <v>0</v>
      </c>
      <c r="AM68" s="2">
        <v>0</v>
      </c>
      <c r="AN68" s="2">
        <v>0</v>
      </c>
      <c r="AO68" t="s">
        <v>44</v>
      </c>
      <c r="AP68" t="s">
        <v>11152</v>
      </c>
      <c r="AQ68" t="s">
        <v>11151</v>
      </c>
    </row>
    <row r="69" spans="1:43" x14ac:dyDescent="0.2">
      <c r="A69" t="s">
        <v>11186</v>
      </c>
      <c r="B69" t="s">
        <v>11024</v>
      </c>
      <c r="C69" t="s">
        <v>57</v>
      </c>
      <c r="D69" t="s">
        <v>11157</v>
      </c>
      <c r="E69" t="s">
        <v>11157</v>
      </c>
      <c r="F69" t="s">
        <v>11157</v>
      </c>
      <c r="G69" s="1">
        <v>-18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3">
        <v>65741</v>
      </c>
      <c r="N69" s="4">
        <v>0</v>
      </c>
      <c r="O69" s="5" t="s">
        <v>44</v>
      </c>
      <c r="P69" s="5">
        <v>44819</v>
      </c>
      <c r="Q69" s="1"/>
      <c r="R69" s="2"/>
      <c r="S69" s="6"/>
      <c r="T69" t="s">
        <v>11026</v>
      </c>
      <c r="U69" t="s">
        <v>11025</v>
      </c>
      <c r="V69" t="s">
        <v>11027</v>
      </c>
      <c r="W69" t="s">
        <v>43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s="4"/>
      <c r="AD69" s="4"/>
      <c r="AE69" s="2">
        <v>0</v>
      </c>
      <c r="AF69" s="4">
        <v>0</v>
      </c>
      <c r="AG69" s="2">
        <v>0</v>
      </c>
      <c r="AH69" s="2">
        <v>-11833380</v>
      </c>
      <c r="AI69" s="2">
        <v>-0.03</v>
      </c>
      <c r="AJ69" s="5">
        <v>44673</v>
      </c>
      <c r="AK69" t="s">
        <v>11190</v>
      </c>
      <c r="AL69" s="2">
        <v>0</v>
      </c>
      <c r="AM69" s="2">
        <v>0</v>
      </c>
      <c r="AN69" s="2">
        <v>0</v>
      </c>
      <c r="AO69" t="s">
        <v>44</v>
      </c>
      <c r="AP69" t="s">
        <v>11158</v>
      </c>
      <c r="AQ69" t="s">
        <v>11157</v>
      </c>
    </row>
    <row r="70" spans="1:43" x14ac:dyDescent="0.2">
      <c r="A70" t="s">
        <v>11186</v>
      </c>
      <c r="B70" t="s">
        <v>11024</v>
      </c>
      <c r="C70" t="s">
        <v>57</v>
      </c>
      <c r="D70" t="s">
        <v>12738</v>
      </c>
      <c r="E70" t="s">
        <v>12738</v>
      </c>
      <c r="F70" t="s">
        <v>12738</v>
      </c>
      <c r="G70" s="1">
        <v>35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3">
        <v>17668</v>
      </c>
      <c r="N70" s="4">
        <v>0</v>
      </c>
      <c r="O70" s="5" t="s">
        <v>44</v>
      </c>
      <c r="P70" s="5">
        <v>44819</v>
      </c>
      <c r="Q70" s="1"/>
      <c r="R70" s="2"/>
      <c r="S70" s="6"/>
      <c r="T70" t="s">
        <v>11153</v>
      </c>
      <c r="U70" t="s">
        <v>11025</v>
      </c>
      <c r="V70" t="s">
        <v>11154</v>
      </c>
      <c r="W70" t="s">
        <v>43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s="4"/>
      <c r="AD70" s="4"/>
      <c r="AE70" s="2">
        <v>0</v>
      </c>
      <c r="AF70" s="4">
        <v>0</v>
      </c>
      <c r="AG70" s="2">
        <v>0</v>
      </c>
      <c r="AH70" s="2">
        <v>8297092.7699999996</v>
      </c>
      <c r="AI70" s="2">
        <v>0.02</v>
      </c>
      <c r="AJ70" s="5">
        <v>44673</v>
      </c>
      <c r="AK70" t="s">
        <v>11190</v>
      </c>
      <c r="AL70" s="2">
        <v>0</v>
      </c>
      <c r="AM70" s="2">
        <v>0</v>
      </c>
      <c r="AN70" s="2">
        <v>0</v>
      </c>
      <c r="AO70" t="s">
        <v>44</v>
      </c>
      <c r="AP70" t="s">
        <v>12741</v>
      </c>
      <c r="AQ70" t="s">
        <v>12738</v>
      </c>
    </row>
    <row r="71" spans="1:43" x14ac:dyDescent="0.2">
      <c r="A71" t="s">
        <v>11186</v>
      </c>
      <c r="B71" t="s">
        <v>11024</v>
      </c>
      <c r="C71" t="s">
        <v>57</v>
      </c>
      <c r="D71" t="s">
        <v>12722</v>
      </c>
      <c r="E71" t="s">
        <v>12722</v>
      </c>
      <c r="F71" t="s">
        <v>12722</v>
      </c>
      <c r="G71" s="1">
        <v>36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3">
        <v>14076</v>
      </c>
      <c r="N71" s="4">
        <v>0</v>
      </c>
      <c r="O71" s="5" t="s">
        <v>44</v>
      </c>
      <c r="P71" s="5">
        <v>44819</v>
      </c>
      <c r="Q71" s="1"/>
      <c r="R71" s="2"/>
      <c r="S71" s="6"/>
      <c r="T71" t="s">
        <v>11153</v>
      </c>
      <c r="U71" t="s">
        <v>11025</v>
      </c>
      <c r="V71" t="s">
        <v>11154</v>
      </c>
      <c r="W71" t="s">
        <v>43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s="4"/>
      <c r="AD71" s="4"/>
      <c r="AE71" s="2">
        <v>0</v>
      </c>
      <c r="AF71" s="4">
        <v>0</v>
      </c>
      <c r="AG71" s="2">
        <v>0</v>
      </c>
      <c r="AH71" s="2">
        <v>7348461.04</v>
      </c>
      <c r="AI71" s="2">
        <v>0.02</v>
      </c>
      <c r="AJ71" s="5">
        <v>44673</v>
      </c>
      <c r="AK71" t="s">
        <v>11190</v>
      </c>
      <c r="AL71" s="2">
        <v>0</v>
      </c>
      <c r="AM71" s="2">
        <v>0</v>
      </c>
      <c r="AN71" s="2">
        <v>0</v>
      </c>
      <c r="AO71" t="s">
        <v>44</v>
      </c>
      <c r="AP71" t="s">
        <v>12723</v>
      </c>
      <c r="AQ71" t="s">
        <v>12722</v>
      </c>
    </row>
    <row r="72" spans="1:43" x14ac:dyDescent="0.2">
      <c r="A72" t="s">
        <v>11186</v>
      </c>
      <c r="B72" t="s">
        <v>11024</v>
      </c>
      <c r="C72" t="s">
        <v>57</v>
      </c>
      <c r="D72" t="s">
        <v>12996</v>
      </c>
      <c r="E72" t="s">
        <v>12996</v>
      </c>
      <c r="F72" t="s">
        <v>12996</v>
      </c>
      <c r="G72" s="1">
        <v>-35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3">
        <v>5097</v>
      </c>
      <c r="N72" s="4">
        <v>0</v>
      </c>
      <c r="O72" s="5" t="s">
        <v>44</v>
      </c>
      <c r="P72" s="5">
        <v>44819</v>
      </c>
      <c r="Q72" s="1"/>
      <c r="R72" s="2"/>
      <c r="S72" s="6"/>
      <c r="T72" t="s">
        <v>11153</v>
      </c>
      <c r="U72" t="s">
        <v>11025</v>
      </c>
      <c r="V72" t="s">
        <v>11154</v>
      </c>
      <c r="W72" t="s">
        <v>43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s="4"/>
      <c r="AD72" s="4"/>
      <c r="AE72" s="2">
        <v>0</v>
      </c>
      <c r="AF72" s="4">
        <v>0</v>
      </c>
      <c r="AG72" s="2">
        <v>0</v>
      </c>
      <c r="AH72" s="2">
        <v>-3381304.79</v>
      </c>
      <c r="AI72" s="2">
        <v>-0.01</v>
      </c>
      <c r="AJ72" s="5">
        <v>44673</v>
      </c>
      <c r="AK72" t="s">
        <v>11190</v>
      </c>
      <c r="AL72" s="2">
        <v>0</v>
      </c>
      <c r="AM72" s="2">
        <v>0</v>
      </c>
      <c r="AN72" s="2">
        <v>0</v>
      </c>
      <c r="AO72" t="s">
        <v>44</v>
      </c>
      <c r="AP72" t="s">
        <v>13000</v>
      </c>
      <c r="AQ72" t="s">
        <v>12996</v>
      </c>
    </row>
    <row r="73" spans="1:43" x14ac:dyDescent="0.2">
      <c r="A73" t="s">
        <v>11186</v>
      </c>
      <c r="B73" t="s">
        <v>11037</v>
      </c>
      <c r="C73" t="s">
        <v>11195</v>
      </c>
      <c r="D73" t="s">
        <v>11196</v>
      </c>
      <c r="E73" t="s">
        <v>5755</v>
      </c>
      <c r="F73" t="s">
        <v>11196</v>
      </c>
      <c r="G73" s="1">
        <v>26629</v>
      </c>
      <c r="H73" s="2">
        <v>528747.44999999995</v>
      </c>
      <c r="I73" s="2">
        <v>574653.81999999995</v>
      </c>
      <c r="J73" s="2">
        <v>0</v>
      </c>
      <c r="K73" s="2">
        <v>0</v>
      </c>
      <c r="L73" s="2">
        <v>574653.81999999995</v>
      </c>
      <c r="M73" s="3">
        <v>2158</v>
      </c>
      <c r="N73" s="4">
        <v>1.3074E-3</v>
      </c>
      <c r="O73" s="5" t="s">
        <v>44</v>
      </c>
      <c r="P73" s="5" t="s">
        <v>44</v>
      </c>
      <c r="Q73" s="1"/>
      <c r="R73" s="2"/>
      <c r="S73" s="6"/>
      <c r="T73" t="s">
        <v>10902</v>
      </c>
      <c r="U73" t="s">
        <v>10902</v>
      </c>
      <c r="V73" t="s">
        <v>10902</v>
      </c>
      <c r="W73" t="s">
        <v>43</v>
      </c>
      <c r="X73" t="s">
        <v>11197</v>
      </c>
      <c r="Y73" t="s">
        <v>11198</v>
      </c>
      <c r="Z73" t="s">
        <v>11195</v>
      </c>
      <c r="AA73" t="s">
        <v>44</v>
      </c>
      <c r="AB73" t="s">
        <v>44</v>
      </c>
      <c r="AC73" s="4"/>
      <c r="AD73" s="4"/>
      <c r="AE73" s="2">
        <v>0</v>
      </c>
      <c r="AF73" s="4">
        <v>0</v>
      </c>
      <c r="AG73" s="2">
        <v>0.53</v>
      </c>
      <c r="AH73" s="2">
        <v>574653.81999999995</v>
      </c>
      <c r="AI73" s="2">
        <v>0</v>
      </c>
      <c r="AJ73" s="5">
        <v>44673</v>
      </c>
      <c r="AK73" t="s">
        <v>11190</v>
      </c>
      <c r="AL73" s="2">
        <v>0</v>
      </c>
      <c r="AM73" s="2">
        <v>0</v>
      </c>
      <c r="AN73" s="2">
        <v>0</v>
      </c>
      <c r="AO73" t="s">
        <v>44</v>
      </c>
      <c r="AP73" t="s">
        <v>11199</v>
      </c>
      <c r="AQ73" t="s">
        <v>5755</v>
      </c>
    </row>
    <row r="74" spans="1:43" x14ac:dyDescent="0.2">
      <c r="A74" t="s">
        <v>11186</v>
      </c>
      <c r="B74" t="s">
        <v>11037</v>
      </c>
      <c r="C74" t="s">
        <v>11195</v>
      </c>
      <c r="D74" t="s">
        <v>11200</v>
      </c>
      <c r="E74" t="s">
        <v>5277</v>
      </c>
      <c r="F74" t="s">
        <v>11200</v>
      </c>
      <c r="G74" s="1">
        <v>46426</v>
      </c>
      <c r="H74" s="2">
        <v>646759.91</v>
      </c>
      <c r="I74" s="2">
        <v>578932.22</v>
      </c>
      <c r="J74" s="2">
        <v>0</v>
      </c>
      <c r="K74" s="2">
        <v>0</v>
      </c>
      <c r="L74" s="2">
        <v>578932.22</v>
      </c>
      <c r="M74" s="3">
        <v>1247</v>
      </c>
      <c r="N74" s="4">
        <v>1.3171299999999999E-3</v>
      </c>
      <c r="O74" s="5" t="s">
        <v>44</v>
      </c>
      <c r="P74" s="5" t="s">
        <v>44</v>
      </c>
      <c r="Q74" s="1"/>
      <c r="R74" s="2"/>
      <c r="S74" s="6"/>
      <c r="T74" t="s">
        <v>10902</v>
      </c>
      <c r="U74" t="s">
        <v>10902</v>
      </c>
      <c r="V74" t="s">
        <v>10902</v>
      </c>
      <c r="W74" t="s">
        <v>43</v>
      </c>
      <c r="X74" t="s">
        <v>11197</v>
      </c>
      <c r="Y74" t="s">
        <v>11198</v>
      </c>
      <c r="Z74" t="s">
        <v>11195</v>
      </c>
      <c r="AA74" t="s">
        <v>44</v>
      </c>
      <c r="AB74" t="s">
        <v>44</v>
      </c>
      <c r="AC74" s="4"/>
      <c r="AD74" s="4"/>
      <c r="AE74" s="2">
        <v>0</v>
      </c>
      <c r="AF74" s="4">
        <v>0</v>
      </c>
      <c r="AG74" s="2">
        <v>0.54</v>
      </c>
      <c r="AH74" s="2">
        <v>578932.22</v>
      </c>
      <c r="AI74" s="2">
        <v>0</v>
      </c>
      <c r="AJ74" s="5">
        <v>44673</v>
      </c>
      <c r="AK74" t="s">
        <v>11190</v>
      </c>
      <c r="AL74" s="2">
        <v>0</v>
      </c>
      <c r="AM74" s="2">
        <v>0</v>
      </c>
      <c r="AN74" s="2">
        <v>0</v>
      </c>
      <c r="AO74" t="s">
        <v>44</v>
      </c>
      <c r="AP74" t="s">
        <v>11201</v>
      </c>
      <c r="AQ74" t="s">
        <v>5277</v>
      </c>
    </row>
    <row r="75" spans="1:43" x14ac:dyDescent="0.2">
      <c r="A75" t="s">
        <v>11186</v>
      </c>
      <c r="B75" t="s">
        <v>11037</v>
      </c>
      <c r="C75" t="s">
        <v>11195</v>
      </c>
      <c r="D75" t="s">
        <v>5988</v>
      </c>
      <c r="E75" t="s">
        <v>3145</v>
      </c>
      <c r="F75" t="s">
        <v>5988</v>
      </c>
      <c r="G75" s="1">
        <v>132480</v>
      </c>
      <c r="H75" s="2">
        <v>1925365.3</v>
      </c>
      <c r="I75" s="2">
        <v>1854720</v>
      </c>
      <c r="J75" s="2">
        <v>0</v>
      </c>
      <c r="K75" s="2">
        <v>0</v>
      </c>
      <c r="L75" s="2">
        <v>1854720</v>
      </c>
      <c r="M75" s="3">
        <v>1400</v>
      </c>
      <c r="N75" s="4">
        <v>4.2196899999999999E-3</v>
      </c>
      <c r="O75" s="5" t="s">
        <v>44</v>
      </c>
      <c r="P75" s="5" t="s">
        <v>44</v>
      </c>
      <c r="Q75" s="1"/>
      <c r="R75" s="2"/>
      <c r="S75" s="6"/>
      <c r="T75" t="s">
        <v>10902</v>
      </c>
      <c r="U75" t="s">
        <v>10902</v>
      </c>
      <c r="V75" t="s">
        <v>10902</v>
      </c>
      <c r="W75" t="s">
        <v>43</v>
      </c>
      <c r="X75" t="s">
        <v>11197</v>
      </c>
      <c r="Y75" t="s">
        <v>11198</v>
      </c>
      <c r="Z75" t="s">
        <v>11195</v>
      </c>
      <c r="AA75" t="s">
        <v>44</v>
      </c>
      <c r="AB75" t="s">
        <v>44</v>
      </c>
      <c r="AC75" s="4"/>
      <c r="AD75" s="4"/>
      <c r="AE75" s="2">
        <v>0</v>
      </c>
      <c r="AF75" s="4">
        <v>0</v>
      </c>
      <c r="AG75" s="2">
        <v>1.73</v>
      </c>
      <c r="AH75" s="2">
        <v>1854720</v>
      </c>
      <c r="AI75" s="2">
        <v>0</v>
      </c>
      <c r="AJ75" s="5">
        <v>44673</v>
      </c>
      <c r="AK75" t="s">
        <v>11190</v>
      </c>
      <c r="AL75" s="2">
        <v>0</v>
      </c>
      <c r="AM75" s="2">
        <v>0</v>
      </c>
      <c r="AN75" s="2">
        <v>0</v>
      </c>
      <c r="AO75" t="s">
        <v>44</v>
      </c>
      <c r="AP75" t="s">
        <v>11202</v>
      </c>
      <c r="AQ75" t="s">
        <v>3145</v>
      </c>
    </row>
    <row r="76" spans="1:43" x14ac:dyDescent="0.2">
      <c r="A76" t="s">
        <v>11186</v>
      </c>
      <c r="B76" t="s">
        <v>11037</v>
      </c>
      <c r="C76" t="s">
        <v>11195</v>
      </c>
      <c r="D76" t="s">
        <v>6332</v>
      </c>
      <c r="E76" t="s">
        <v>3152</v>
      </c>
      <c r="F76" t="s">
        <v>6332</v>
      </c>
      <c r="G76" s="1">
        <v>13420</v>
      </c>
      <c r="H76" s="2">
        <v>395089.72</v>
      </c>
      <c r="I76" s="2">
        <v>484193.6</v>
      </c>
      <c r="J76" s="2">
        <v>0</v>
      </c>
      <c r="K76" s="2">
        <v>0</v>
      </c>
      <c r="L76" s="2">
        <v>484193.6</v>
      </c>
      <c r="M76" s="3">
        <v>3608</v>
      </c>
      <c r="N76" s="4">
        <v>1.1015899999999999E-3</v>
      </c>
      <c r="O76" s="5" t="s">
        <v>44</v>
      </c>
      <c r="P76" s="5" t="s">
        <v>44</v>
      </c>
      <c r="Q76" s="1"/>
      <c r="R76" s="2"/>
      <c r="S76" s="6"/>
      <c r="T76" t="s">
        <v>10902</v>
      </c>
      <c r="U76" t="s">
        <v>10902</v>
      </c>
      <c r="V76" t="s">
        <v>10902</v>
      </c>
      <c r="W76" t="s">
        <v>43</v>
      </c>
      <c r="X76" t="s">
        <v>11197</v>
      </c>
      <c r="Y76" t="s">
        <v>11198</v>
      </c>
      <c r="Z76" t="s">
        <v>11195</v>
      </c>
      <c r="AA76" t="s">
        <v>44</v>
      </c>
      <c r="AB76" t="s">
        <v>44</v>
      </c>
      <c r="AC76" s="4"/>
      <c r="AD76" s="4"/>
      <c r="AE76" s="2">
        <v>0</v>
      </c>
      <c r="AF76" s="4">
        <v>0</v>
      </c>
      <c r="AG76" s="2">
        <v>0.45</v>
      </c>
      <c r="AH76" s="2">
        <v>484193.6</v>
      </c>
      <c r="AI76" s="2">
        <v>0</v>
      </c>
      <c r="AJ76" s="5">
        <v>44673</v>
      </c>
      <c r="AK76" t="s">
        <v>11190</v>
      </c>
      <c r="AL76" s="2">
        <v>0</v>
      </c>
      <c r="AM76" s="2">
        <v>0</v>
      </c>
      <c r="AN76" s="2">
        <v>0</v>
      </c>
      <c r="AO76" t="s">
        <v>44</v>
      </c>
      <c r="AP76" t="s">
        <v>11203</v>
      </c>
      <c r="AQ76" t="s">
        <v>3152</v>
      </c>
    </row>
    <row r="77" spans="1:43" x14ac:dyDescent="0.2">
      <c r="A77" t="s">
        <v>11186</v>
      </c>
      <c r="B77" t="s">
        <v>11037</v>
      </c>
      <c r="C77" t="s">
        <v>11195</v>
      </c>
      <c r="D77" t="s">
        <v>11204</v>
      </c>
      <c r="E77" t="s">
        <v>5699</v>
      </c>
      <c r="F77" t="s">
        <v>11204</v>
      </c>
      <c r="G77" s="1">
        <v>16755</v>
      </c>
      <c r="H77" s="2">
        <v>311413.71000000002</v>
      </c>
      <c r="I77" s="2">
        <v>366599.4</v>
      </c>
      <c r="J77" s="2">
        <v>0</v>
      </c>
      <c r="K77" s="2">
        <v>0</v>
      </c>
      <c r="L77" s="2">
        <v>366599.4</v>
      </c>
      <c r="M77" s="3">
        <v>2188</v>
      </c>
      <c r="N77" s="4">
        <v>8.3405000000000003E-4</v>
      </c>
      <c r="O77" s="5" t="s">
        <v>44</v>
      </c>
      <c r="P77" s="5" t="s">
        <v>44</v>
      </c>
      <c r="Q77" s="1"/>
      <c r="R77" s="2"/>
      <c r="S77" s="6"/>
      <c r="T77" t="s">
        <v>10902</v>
      </c>
      <c r="U77" t="s">
        <v>10902</v>
      </c>
      <c r="V77" t="s">
        <v>10902</v>
      </c>
      <c r="W77" t="s">
        <v>43</v>
      </c>
      <c r="X77" t="s">
        <v>11197</v>
      </c>
      <c r="Y77" t="s">
        <v>11198</v>
      </c>
      <c r="Z77" t="s">
        <v>11195</v>
      </c>
      <c r="AA77" t="s">
        <v>44</v>
      </c>
      <c r="AB77" t="s">
        <v>44</v>
      </c>
      <c r="AC77" s="4"/>
      <c r="AD77" s="4"/>
      <c r="AE77" s="2">
        <v>0</v>
      </c>
      <c r="AF77" s="4">
        <v>0</v>
      </c>
      <c r="AG77" s="2">
        <v>0.34</v>
      </c>
      <c r="AH77" s="2">
        <v>366599.4</v>
      </c>
      <c r="AI77" s="2">
        <v>0</v>
      </c>
      <c r="AJ77" s="5">
        <v>44673</v>
      </c>
      <c r="AK77" t="s">
        <v>11190</v>
      </c>
      <c r="AL77" s="2">
        <v>0</v>
      </c>
      <c r="AM77" s="2">
        <v>0</v>
      </c>
      <c r="AN77" s="2">
        <v>0</v>
      </c>
      <c r="AO77" t="s">
        <v>44</v>
      </c>
      <c r="AP77" t="s">
        <v>11205</v>
      </c>
      <c r="AQ77" t="s">
        <v>5699</v>
      </c>
    </row>
    <row r="78" spans="1:43" x14ac:dyDescent="0.2">
      <c r="A78" t="s">
        <v>11186</v>
      </c>
      <c r="B78" t="s">
        <v>11037</v>
      </c>
      <c r="C78" t="s">
        <v>11195</v>
      </c>
      <c r="D78" t="s">
        <v>11206</v>
      </c>
      <c r="E78" t="s">
        <v>5005</v>
      </c>
      <c r="F78" t="s">
        <v>11206</v>
      </c>
      <c r="G78" s="1">
        <v>17768</v>
      </c>
      <c r="H78" s="2">
        <v>1726534.07</v>
      </c>
      <c r="I78" s="2">
        <v>1711058.4</v>
      </c>
      <c r="J78" s="2">
        <v>0</v>
      </c>
      <c r="K78" s="2">
        <v>0</v>
      </c>
      <c r="L78" s="2">
        <v>1711058.4</v>
      </c>
      <c r="M78" s="3">
        <v>9630</v>
      </c>
      <c r="N78" s="4">
        <v>3.8928399999999998E-3</v>
      </c>
      <c r="O78" s="5" t="s">
        <v>44</v>
      </c>
      <c r="P78" s="5" t="s">
        <v>44</v>
      </c>
      <c r="Q78" s="1"/>
      <c r="R78" s="2"/>
      <c r="S78" s="6"/>
      <c r="T78" t="s">
        <v>10902</v>
      </c>
      <c r="U78" t="s">
        <v>10902</v>
      </c>
      <c r="V78" t="s">
        <v>10902</v>
      </c>
      <c r="W78" t="s">
        <v>43</v>
      </c>
      <c r="X78" t="s">
        <v>11197</v>
      </c>
      <c r="Y78" t="s">
        <v>11198</v>
      </c>
      <c r="Z78" t="s">
        <v>11195</v>
      </c>
      <c r="AA78" t="s">
        <v>44</v>
      </c>
      <c r="AB78" t="s">
        <v>44</v>
      </c>
      <c r="AC78" s="4"/>
      <c r="AD78" s="4"/>
      <c r="AE78" s="2">
        <v>0</v>
      </c>
      <c r="AF78" s="4">
        <v>0</v>
      </c>
      <c r="AG78" s="2">
        <v>1.59</v>
      </c>
      <c r="AH78" s="2">
        <v>1711058.4</v>
      </c>
      <c r="AI78" s="2">
        <v>0</v>
      </c>
      <c r="AJ78" s="5">
        <v>44673</v>
      </c>
      <c r="AK78" t="s">
        <v>11190</v>
      </c>
      <c r="AL78" s="2">
        <v>0</v>
      </c>
      <c r="AM78" s="2">
        <v>0</v>
      </c>
      <c r="AN78" s="2">
        <v>0</v>
      </c>
      <c r="AO78" t="s">
        <v>44</v>
      </c>
      <c r="AP78" t="s">
        <v>11207</v>
      </c>
      <c r="AQ78" t="s">
        <v>5005</v>
      </c>
    </row>
    <row r="79" spans="1:43" x14ac:dyDescent="0.2">
      <c r="A79" t="s">
        <v>11186</v>
      </c>
      <c r="B79" t="s">
        <v>11037</v>
      </c>
      <c r="C79" t="s">
        <v>11195</v>
      </c>
      <c r="D79" t="s">
        <v>11208</v>
      </c>
      <c r="E79" t="s">
        <v>3160</v>
      </c>
      <c r="F79" t="s">
        <v>11208</v>
      </c>
      <c r="G79" s="1">
        <v>264712</v>
      </c>
      <c r="H79" s="2">
        <v>1170003.02</v>
      </c>
      <c r="I79" s="2">
        <v>1172674.1599999999</v>
      </c>
      <c r="J79" s="2">
        <v>0</v>
      </c>
      <c r="K79" s="2">
        <v>0</v>
      </c>
      <c r="L79" s="2">
        <v>1172674.1599999999</v>
      </c>
      <c r="M79" s="3">
        <v>443</v>
      </c>
      <c r="N79" s="4">
        <v>2.66796E-3</v>
      </c>
      <c r="O79" s="5" t="s">
        <v>44</v>
      </c>
      <c r="P79" s="5" t="s">
        <v>44</v>
      </c>
      <c r="Q79" s="1"/>
      <c r="R79" s="2"/>
      <c r="S79" s="6"/>
      <c r="T79" t="s">
        <v>10902</v>
      </c>
      <c r="U79" t="s">
        <v>10902</v>
      </c>
      <c r="V79" t="s">
        <v>10902</v>
      </c>
      <c r="W79" t="s">
        <v>43</v>
      </c>
      <c r="X79" t="s">
        <v>11197</v>
      </c>
      <c r="Y79" t="s">
        <v>11198</v>
      </c>
      <c r="Z79" t="s">
        <v>11195</v>
      </c>
      <c r="AA79" t="s">
        <v>44</v>
      </c>
      <c r="AB79" t="s">
        <v>44</v>
      </c>
      <c r="AC79" s="4"/>
      <c r="AD79" s="4"/>
      <c r="AE79" s="2">
        <v>0</v>
      </c>
      <c r="AF79" s="4">
        <v>0</v>
      </c>
      <c r="AG79" s="2">
        <v>1.0900000000000001</v>
      </c>
      <c r="AH79" s="2">
        <v>1172674.1599999999</v>
      </c>
      <c r="AI79" s="2">
        <v>0</v>
      </c>
      <c r="AJ79" s="5">
        <v>44673</v>
      </c>
      <c r="AK79" t="s">
        <v>11190</v>
      </c>
      <c r="AL79" s="2">
        <v>0</v>
      </c>
      <c r="AM79" s="2">
        <v>0</v>
      </c>
      <c r="AN79" s="2">
        <v>0</v>
      </c>
      <c r="AO79" t="s">
        <v>44</v>
      </c>
      <c r="AP79" t="s">
        <v>11209</v>
      </c>
      <c r="AQ79" t="s">
        <v>3160</v>
      </c>
    </row>
    <row r="80" spans="1:43" x14ac:dyDescent="0.2">
      <c r="A80" t="s">
        <v>11186</v>
      </c>
      <c r="B80" t="s">
        <v>11037</v>
      </c>
      <c r="C80" t="s">
        <v>11195</v>
      </c>
      <c r="D80" t="s">
        <v>11210</v>
      </c>
      <c r="E80" t="s">
        <v>3167</v>
      </c>
      <c r="F80" t="s">
        <v>11211</v>
      </c>
      <c r="G80" s="1">
        <v>12721</v>
      </c>
      <c r="H80" s="2">
        <v>701874.93</v>
      </c>
      <c r="I80" s="2">
        <v>744178.5</v>
      </c>
      <c r="J80" s="2">
        <v>0</v>
      </c>
      <c r="K80" s="2">
        <v>0</v>
      </c>
      <c r="L80" s="2">
        <v>744178.5</v>
      </c>
      <c r="M80" s="3">
        <v>5850</v>
      </c>
      <c r="N80" s="4">
        <v>1.69309E-3</v>
      </c>
      <c r="O80" s="5" t="s">
        <v>44</v>
      </c>
      <c r="P80" s="5" t="s">
        <v>44</v>
      </c>
      <c r="Q80" s="1"/>
      <c r="R80" s="2"/>
      <c r="S80" s="6"/>
      <c r="T80" t="s">
        <v>10902</v>
      </c>
      <c r="U80" t="s">
        <v>10902</v>
      </c>
      <c r="V80" t="s">
        <v>11212</v>
      </c>
      <c r="W80" t="s">
        <v>43</v>
      </c>
      <c r="X80" t="s">
        <v>11197</v>
      </c>
      <c r="Y80" t="s">
        <v>11198</v>
      </c>
      <c r="Z80" t="s">
        <v>11195</v>
      </c>
      <c r="AA80" t="s">
        <v>44</v>
      </c>
      <c r="AB80" t="s">
        <v>44</v>
      </c>
      <c r="AC80" s="4"/>
      <c r="AD80" s="4"/>
      <c r="AE80" s="2">
        <v>0</v>
      </c>
      <c r="AF80" s="4">
        <v>0</v>
      </c>
      <c r="AG80" s="2">
        <v>0.69</v>
      </c>
      <c r="AH80" s="2">
        <v>744178.5</v>
      </c>
      <c r="AI80" s="2">
        <v>0</v>
      </c>
      <c r="AJ80" s="5">
        <v>44673</v>
      </c>
      <c r="AK80" t="s">
        <v>11190</v>
      </c>
      <c r="AL80" s="2">
        <v>0</v>
      </c>
      <c r="AM80" s="2">
        <v>0</v>
      </c>
      <c r="AN80" s="2">
        <v>0</v>
      </c>
      <c r="AO80" t="s">
        <v>44</v>
      </c>
      <c r="AP80" t="s">
        <v>11213</v>
      </c>
      <c r="AQ80" t="s">
        <v>3167</v>
      </c>
    </row>
    <row r="81" spans="1:43" x14ac:dyDescent="0.2">
      <c r="A81" t="s">
        <v>11186</v>
      </c>
      <c r="B81" t="s">
        <v>11037</v>
      </c>
      <c r="C81" t="s">
        <v>11195</v>
      </c>
      <c r="D81" t="s">
        <v>6710</v>
      </c>
      <c r="E81" t="s">
        <v>1780</v>
      </c>
      <c r="F81" t="s">
        <v>6710</v>
      </c>
      <c r="G81" s="1">
        <v>11674</v>
      </c>
      <c r="H81" s="2">
        <v>241977.23</v>
      </c>
      <c r="I81" s="2">
        <v>277841.2</v>
      </c>
      <c r="J81" s="2">
        <v>0</v>
      </c>
      <c r="K81" s="2">
        <v>0</v>
      </c>
      <c r="L81" s="2">
        <v>277841.2</v>
      </c>
      <c r="M81" s="3">
        <v>2380</v>
      </c>
      <c r="N81" s="4">
        <v>6.3212000000000001E-4</v>
      </c>
      <c r="O81" s="5" t="s">
        <v>44</v>
      </c>
      <c r="P81" s="5" t="s">
        <v>44</v>
      </c>
      <c r="Q81" s="1"/>
      <c r="R81" s="2"/>
      <c r="S81" s="6"/>
      <c r="T81" t="s">
        <v>10902</v>
      </c>
      <c r="U81" t="s">
        <v>10902</v>
      </c>
      <c r="V81" t="s">
        <v>10902</v>
      </c>
      <c r="W81" t="s">
        <v>43</v>
      </c>
      <c r="X81" t="s">
        <v>11197</v>
      </c>
      <c r="Y81" t="s">
        <v>11198</v>
      </c>
      <c r="Z81" t="s">
        <v>11195</v>
      </c>
      <c r="AA81" t="s">
        <v>44</v>
      </c>
      <c r="AB81" t="s">
        <v>44</v>
      </c>
      <c r="AC81" s="4"/>
      <c r="AD81" s="4"/>
      <c r="AE81" s="2">
        <v>0</v>
      </c>
      <c r="AF81" s="4">
        <v>0</v>
      </c>
      <c r="AG81" s="2">
        <v>0.26</v>
      </c>
      <c r="AH81" s="2">
        <v>277841.2</v>
      </c>
      <c r="AI81" s="2">
        <v>0</v>
      </c>
      <c r="AJ81" s="5">
        <v>44673</v>
      </c>
      <c r="AK81" t="s">
        <v>11190</v>
      </c>
      <c r="AL81" s="2">
        <v>0</v>
      </c>
      <c r="AM81" s="2">
        <v>0</v>
      </c>
      <c r="AN81" s="2">
        <v>0</v>
      </c>
      <c r="AO81" t="s">
        <v>44</v>
      </c>
      <c r="AP81" t="s">
        <v>11214</v>
      </c>
      <c r="AQ81" t="s">
        <v>1780</v>
      </c>
    </row>
    <row r="82" spans="1:43" x14ac:dyDescent="0.2">
      <c r="A82" t="s">
        <v>11186</v>
      </c>
      <c r="B82" t="s">
        <v>11037</v>
      </c>
      <c r="C82" t="s">
        <v>11195</v>
      </c>
      <c r="D82" t="s">
        <v>6348</v>
      </c>
      <c r="E82" t="s">
        <v>5241</v>
      </c>
      <c r="F82" t="s">
        <v>6348</v>
      </c>
      <c r="G82" s="1">
        <v>34824</v>
      </c>
      <c r="H82" s="2">
        <v>419546.28</v>
      </c>
      <c r="I82" s="2">
        <v>466641.6</v>
      </c>
      <c r="J82" s="2">
        <v>0</v>
      </c>
      <c r="K82" s="2">
        <v>0</v>
      </c>
      <c r="L82" s="2">
        <v>466641.6</v>
      </c>
      <c r="M82" s="3">
        <v>1340</v>
      </c>
      <c r="N82" s="4">
        <v>1.0616600000000001E-3</v>
      </c>
      <c r="O82" s="5" t="s">
        <v>44</v>
      </c>
      <c r="P82" s="5" t="s">
        <v>44</v>
      </c>
      <c r="Q82" s="1"/>
      <c r="R82" s="2"/>
      <c r="S82" s="6"/>
      <c r="T82" t="s">
        <v>10902</v>
      </c>
      <c r="U82" t="s">
        <v>10902</v>
      </c>
      <c r="V82" t="s">
        <v>10902</v>
      </c>
      <c r="W82" t="s">
        <v>43</v>
      </c>
      <c r="X82" t="s">
        <v>11197</v>
      </c>
      <c r="Y82" t="s">
        <v>11198</v>
      </c>
      <c r="Z82" t="s">
        <v>11195</v>
      </c>
      <c r="AA82" t="s">
        <v>44</v>
      </c>
      <c r="AB82" t="s">
        <v>44</v>
      </c>
      <c r="AC82" s="4"/>
      <c r="AD82" s="4"/>
      <c r="AE82" s="2">
        <v>0</v>
      </c>
      <c r="AF82" s="4">
        <v>0</v>
      </c>
      <c r="AG82" s="2">
        <v>0.43</v>
      </c>
      <c r="AH82" s="2">
        <v>466641.6</v>
      </c>
      <c r="AI82" s="2">
        <v>0</v>
      </c>
      <c r="AJ82" s="5">
        <v>44673</v>
      </c>
      <c r="AK82" t="s">
        <v>11190</v>
      </c>
      <c r="AL82" s="2">
        <v>0</v>
      </c>
      <c r="AM82" s="2">
        <v>0</v>
      </c>
      <c r="AN82" s="2">
        <v>0</v>
      </c>
      <c r="AO82" t="s">
        <v>44</v>
      </c>
      <c r="AP82" t="s">
        <v>11215</v>
      </c>
      <c r="AQ82" t="s">
        <v>5241</v>
      </c>
    </row>
    <row r="83" spans="1:43" x14ac:dyDescent="0.2">
      <c r="A83" t="s">
        <v>11186</v>
      </c>
      <c r="B83" t="s">
        <v>11038</v>
      </c>
      <c r="C83" t="s">
        <v>11039</v>
      </c>
      <c r="D83" t="s">
        <v>11216</v>
      </c>
      <c r="E83" t="s">
        <v>11217</v>
      </c>
      <c r="F83" t="s">
        <v>11216</v>
      </c>
      <c r="G83" s="1">
        <v>7000000</v>
      </c>
      <c r="H83" s="2">
        <v>7000000</v>
      </c>
      <c r="I83" s="2">
        <v>6991828.0899999999</v>
      </c>
      <c r="J83" s="2">
        <v>68465.75</v>
      </c>
      <c r="K83" s="2">
        <v>0</v>
      </c>
      <c r="L83" s="2">
        <v>7060293.8399999999</v>
      </c>
      <c r="M83" s="3">
        <v>6.0366650000000002</v>
      </c>
      <c r="N83" s="4">
        <v>1.606293E-2</v>
      </c>
      <c r="O83" s="5">
        <v>44979</v>
      </c>
      <c r="P83" s="5">
        <v>44979</v>
      </c>
      <c r="Q83" s="1">
        <v>5.95</v>
      </c>
      <c r="R83" s="2">
        <v>0.83</v>
      </c>
      <c r="S83" s="6">
        <v>0.79052188852000005</v>
      </c>
      <c r="T83" t="s">
        <v>111</v>
      </c>
      <c r="U83" t="s">
        <v>11040</v>
      </c>
      <c r="V83" t="s">
        <v>11041</v>
      </c>
      <c r="W83" t="s">
        <v>43</v>
      </c>
      <c r="X83" t="s">
        <v>11034</v>
      </c>
      <c r="Y83" t="s">
        <v>44</v>
      </c>
      <c r="Z83" t="s">
        <v>44</v>
      </c>
      <c r="AA83" t="s">
        <v>10979</v>
      </c>
      <c r="AB83" t="s">
        <v>44</v>
      </c>
      <c r="AC83" s="4">
        <v>6.0672128599999997</v>
      </c>
      <c r="AD83" s="4">
        <v>5.9047591700000002</v>
      </c>
      <c r="AE83" s="2">
        <v>6.07</v>
      </c>
      <c r="AF83" s="4">
        <v>5.9047591700000002</v>
      </c>
      <c r="AG83" s="2">
        <v>6.57</v>
      </c>
      <c r="AH83" s="2">
        <v>7060293.8399999999</v>
      </c>
      <c r="AI83" s="2">
        <v>0.02</v>
      </c>
      <c r="AJ83" s="5">
        <v>44673</v>
      </c>
      <c r="AK83" t="s">
        <v>11190</v>
      </c>
      <c r="AL83" s="2">
        <v>5.98</v>
      </c>
      <c r="AM83" s="2">
        <v>5.95</v>
      </c>
      <c r="AN83" s="2">
        <v>0.79</v>
      </c>
      <c r="AO83" t="s">
        <v>11165</v>
      </c>
      <c r="AP83" t="s">
        <v>11218</v>
      </c>
      <c r="AQ83" t="s">
        <v>11217</v>
      </c>
    </row>
    <row r="84" spans="1:43" x14ac:dyDescent="0.2">
      <c r="A84" t="s">
        <v>11186</v>
      </c>
      <c r="B84" t="s">
        <v>11038</v>
      </c>
      <c r="C84" t="s">
        <v>11039</v>
      </c>
      <c r="D84" t="s">
        <v>11042</v>
      </c>
      <c r="E84" t="s">
        <v>11043</v>
      </c>
      <c r="F84" t="s">
        <v>11042</v>
      </c>
      <c r="G84" s="1">
        <v>7000000</v>
      </c>
      <c r="H84" s="2">
        <v>7000000</v>
      </c>
      <c r="I84" s="2">
        <v>6995076.3899999997</v>
      </c>
      <c r="J84" s="2">
        <v>77594.52</v>
      </c>
      <c r="K84" s="2">
        <v>0</v>
      </c>
      <c r="L84" s="2">
        <v>7072670.9100000001</v>
      </c>
      <c r="M84" s="3">
        <v>5.9730699999999999</v>
      </c>
      <c r="N84" s="4">
        <v>1.6091089999999999E-2</v>
      </c>
      <c r="O84" s="5">
        <v>44971</v>
      </c>
      <c r="P84" s="5">
        <v>44971</v>
      </c>
      <c r="Q84" s="1">
        <v>5.95</v>
      </c>
      <c r="R84" s="2">
        <v>0.81</v>
      </c>
      <c r="S84" s="6">
        <v>0.77099882388999996</v>
      </c>
      <c r="T84" t="s">
        <v>111</v>
      </c>
      <c r="U84" t="s">
        <v>11040</v>
      </c>
      <c r="V84" t="s">
        <v>11041</v>
      </c>
      <c r="W84" t="s">
        <v>43</v>
      </c>
      <c r="X84" t="s">
        <v>11034</v>
      </c>
      <c r="Y84" t="s">
        <v>44</v>
      </c>
      <c r="Z84" t="s">
        <v>44</v>
      </c>
      <c r="AA84" t="s">
        <v>11035</v>
      </c>
      <c r="AB84" t="s">
        <v>44</v>
      </c>
      <c r="AC84" s="4">
        <v>6.0068705900000001</v>
      </c>
      <c r="AD84" s="4">
        <v>5.8475737299999997</v>
      </c>
      <c r="AE84" s="2">
        <v>6.01</v>
      </c>
      <c r="AF84" s="4">
        <v>5.8475737299999997</v>
      </c>
      <c r="AG84" s="2">
        <v>6.58</v>
      </c>
      <c r="AH84" s="2">
        <v>7072670.9100000001</v>
      </c>
      <c r="AI84" s="2">
        <v>0.02</v>
      </c>
      <c r="AJ84" s="5">
        <v>44673</v>
      </c>
      <c r="AK84" t="s">
        <v>11190</v>
      </c>
      <c r="AL84" s="2">
        <v>5.92</v>
      </c>
      <c r="AM84" s="2">
        <v>5.95</v>
      </c>
      <c r="AN84" s="2">
        <v>0.77</v>
      </c>
      <c r="AO84" t="s">
        <v>11036</v>
      </c>
      <c r="AP84" t="s">
        <v>11044</v>
      </c>
      <c r="AQ84" t="s">
        <v>11043</v>
      </c>
    </row>
    <row r="85" spans="1:43" x14ac:dyDescent="0.2">
      <c r="A85" t="s">
        <v>11186</v>
      </c>
      <c r="B85" t="s">
        <v>11038</v>
      </c>
      <c r="C85" t="s">
        <v>11039</v>
      </c>
      <c r="D85" t="s">
        <v>11219</v>
      </c>
      <c r="E85" t="s">
        <v>11220</v>
      </c>
      <c r="F85" t="s">
        <v>11219</v>
      </c>
      <c r="G85" s="1">
        <v>3000000</v>
      </c>
      <c r="H85" s="2">
        <v>3000000</v>
      </c>
      <c r="I85" s="2">
        <v>2994024.91</v>
      </c>
      <c r="J85" s="2">
        <v>56897.26</v>
      </c>
      <c r="K85" s="2">
        <v>0</v>
      </c>
      <c r="L85" s="2">
        <v>3050922.17</v>
      </c>
      <c r="M85" s="3">
        <v>5.541328</v>
      </c>
      <c r="N85" s="4">
        <v>6.9411799999999999E-3</v>
      </c>
      <c r="O85" s="5">
        <v>44909</v>
      </c>
      <c r="P85" s="5">
        <v>44909</v>
      </c>
      <c r="Q85" s="1">
        <v>5.3250000000000002</v>
      </c>
      <c r="R85" s="2">
        <v>0.64</v>
      </c>
      <c r="S85" s="6">
        <v>0.61654680116000005</v>
      </c>
      <c r="T85" t="s">
        <v>111</v>
      </c>
      <c r="U85" t="s">
        <v>11040</v>
      </c>
      <c r="V85" t="s">
        <v>11041</v>
      </c>
      <c r="W85" t="s">
        <v>43</v>
      </c>
      <c r="X85" t="s">
        <v>11034</v>
      </c>
      <c r="Y85" t="s">
        <v>44</v>
      </c>
      <c r="Z85" t="s">
        <v>44</v>
      </c>
      <c r="AA85" t="s">
        <v>10979</v>
      </c>
      <c r="AB85" t="s">
        <v>44</v>
      </c>
      <c r="AC85" s="4">
        <v>5.5965717899999996</v>
      </c>
      <c r="AD85" s="4">
        <v>5.4579467099999999</v>
      </c>
      <c r="AE85" s="2">
        <v>5.6</v>
      </c>
      <c r="AF85" s="4">
        <v>5.4579467099999999</v>
      </c>
      <c r="AG85" s="2">
        <v>2.84</v>
      </c>
      <c r="AH85" s="2">
        <v>3050922.17</v>
      </c>
      <c r="AI85" s="2">
        <v>0.01</v>
      </c>
      <c r="AJ85" s="5">
        <v>44673</v>
      </c>
      <c r="AK85" t="s">
        <v>11190</v>
      </c>
      <c r="AL85" s="2">
        <v>5.52</v>
      </c>
      <c r="AM85" s="2">
        <v>5.33</v>
      </c>
      <c r="AN85" s="2">
        <v>0.62</v>
      </c>
      <c r="AO85" t="s">
        <v>11179</v>
      </c>
      <c r="AP85" t="s">
        <v>11221</v>
      </c>
      <c r="AQ85" t="s">
        <v>11220</v>
      </c>
    </row>
    <row r="86" spans="1:43" x14ac:dyDescent="0.2">
      <c r="A86" t="s">
        <v>11186</v>
      </c>
      <c r="B86" t="s">
        <v>11038</v>
      </c>
      <c r="C86" t="s">
        <v>11039</v>
      </c>
      <c r="D86" t="s">
        <v>12838</v>
      </c>
      <c r="E86" t="s">
        <v>12839</v>
      </c>
      <c r="F86" t="s">
        <v>12838</v>
      </c>
      <c r="G86" s="1">
        <v>2000000</v>
      </c>
      <c r="H86" s="2">
        <v>2000000</v>
      </c>
      <c r="I86" s="2">
        <v>2002086.31</v>
      </c>
      <c r="J86" s="2">
        <v>8002.74</v>
      </c>
      <c r="K86" s="2">
        <v>0</v>
      </c>
      <c r="L86" s="2">
        <v>2010089.05</v>
      </c>
      <c r="M86" s="3">
        <v>6.2045560000000002</v>
      </c>
      <c r="N86" s="4">
        <v>4.5731699999999997E-3</v>
      </c>
      <c r="O86" s="5">
        <v>45016</v>
      </c>
      <c r="P86" s="5">
        <v>45016</v>
      </c>
      <c r="Q86" s="1">
        <v>6.35</v>
      </c>
      <c r="R86" s="2">
        <v>0.93</v>
      </c>
      <c r="S86" s="6">
        <v>0.88061116438999998</v>
      </c>
      <c r="T86" t="s">
        <v>111</v>
      </c>
      <c r="U86" t="s">
        <v>11040</v>
      </c>
      <c r="V86" t="s">
        <v>11041</v>
      </c>
      <c r="W86" t="s">
        <v>43</v>
      </c>
      <c r="X86" t="s">
        <v>11034</v>
      </c>
      <c r="Y86" t="s">
        <v>44</v>
      </c>
      <c r="Z86" t="s">
        <v>44</v>
      </c>
      <c r="AA86" t="s">
        <v>10979</v>
      </c>
      <c r="AB86" t="s">
        <v>44</v>
      </c>
      <c r="AC86" s="4">
        <v>6.2175109700000002</v>
      </c>
      <c r="AD86" s="4">
        <v>6.0470648499999999</v>
      </c>
      <c r="AE86" s="2">
        <v>6.22</v>
      </c>
      <c r="AF86" s="4">
        <v>6.0470648499999999</v>
      </c>
      <c r="AG86" s="2">
        <v>1.87</v>
      </c>
      <c r="AH86" s="2">
        <v>2010089.05</v>
      </c>
      <c r="AI86" s="2">
        <v>0</v>
      </c>
      <c r="AJ86" s="5">
        <v>44673</v>
      </c>
      <c r="AK86" t="s">
        <v>11190</v>
      </c>
      <c r="AL86" s="2">
        <v>6.12</v>
      </c>
      <c r="AM86" s="2">
        <v>6.35</v>
      </c>
      <c r="AN86" s="2">
        <v>0.88</v>
      </c>
      <c r="AO86" t="s">
        <v>11179</v>
      </c>
      <c r="AP86" t="s">
        <v>12840</v>
      </c>
      <c r="AQ86" t="s">
        <v>12839</v>
      </c>
    </row>
    <row r="87" spans="1:43" x14ac:dyDescent="0.2">
      <c r="A87" t="s">
        <v>11186</v>
      </c>
      <c r="B87" t="s">
        <v>11038</v>
      </c>
      <c r="C87" t="s">
        <v>11222</v>
      </c>
      <c r="D87" t="s">
        <v>12965</v>
      </c>
      <c r="E87" t="s">
        <v>12966</v>
      </c>
      <c r="F87" t="s">
        <v>12965</v>
      </c>
      <c r="G87" s="1">
        <v>2000000</v>
      </c>
      <c r="H87" s="2">
        <v>2000000</v>
      </c>
      <c r="I87" s="2">
        <v>2000292.28</v>
      </c>
      <c r="J87" s="2">
        <v>3875.62</v>
      </c>
      <c r="K87" s="2">
        <v>0</v>
      </c>
      <c r="L87" s="2">
        <v>2004167.9</v>
      </c>
      <c r="M87" s="3">
        <v>6.4004060000000003</v>
      </c>
      <c r="N87" s="4">
        <v>4.5596999999999999E-3</v>
      </c>
      <c r="O87" s="5">
        <v>45057</v>
      </c>
      <c r="P87" s="5">
        <v>45057</v>
      </c>
      <c r="Q87" s="1">
        <v>6.43</v>
      </c>
      <c r="R87" s="2">
        <v>1.04</v>
      </c>
      <c r="S87" s="6">
        <v>0.97846466510999996</v>
      </c>
      <c r="T87" t="s">
        <v>111</v>
      </c>
      <c r="U87" t="s">
        <v>11040</v>
      </c>
      <c r="V87" t="s">
        <v>11041</v>
      </c>
      <c r="W87" t="s">
        <v>43</v>
      </c>
      <c r="X87" t="s">
        <v>11034</v>
      </c>
      <c r="Y87" t="s">
        <v>44</v>
      </c>
      <c r="Z87" t="s">
        <v>44</v>
      </c>
      <c r="AA87" t="s">
        <v>10979</v>
      </c>
      <c r="AB87" t="s">
        <v>44</v>
      </c>
      <c r="AC87" s="4">
        <v>6.3916291899999997</v>
      </c>
      <c r="AD87" s="4">
        <v>6.2116933599999999</v>
      </c>
      <c r="AE87" s="2">
        <v>6.39</v>
      </c>
      <c r="AF87" s="4">
        <v>6.2116933599999999</v>
      </c>
      <c r="AG87" s="2">
        <v>1.87</v>
      </c>
      <c r="AH87" s="2">
        <v>2004167.9</v>
      </c>
      <c r="AI87" s="2">
        <v>0</v>
      </c>
      <c r="AJ87" s="5">
        <v>44673</v>
      </c>
      <c r="AK87" t="s">
        <v>11190</v>
      </c>
      <c r="AL87" s="2">
        <v>6.29</v>
      </c>
      <c r="AM87" s="2">
        <v>6.43</v>
      </c>
      <c r="AN87" s="2">
        <v>0.98</v>
      </c>
      <c r="AO87" t="s">
        <v>11054</v>
      </c>
      <c r="AP87" t="s">
        <v>12967</v>
      </c>
      <c r="AQ87" t="s">
        <v>12966</v>
      </c>
    </row>
    <row r="88" spans="1:43" x14ac:dyDescent="0.2">
      <c r="A88" t="s">
        <v>11186</v>
      </c>
      <c r="B88" t="s">
        <v>11038</v>
      </c>
      <c r="C88" t="s">
        <v>11222</v>
      </c>
      <c r="D88" t="s">
        <v>11223</v>
      </c>
      <c r="E88" t="s">
        <v>11224</v>
      </c>
      <c r="F88" t="s">
        <v>11223</v>
      </c>
      <c r="G88" s="1">
        <v>3000000</v>
      </c>
      <c r="H88" s="2">
        <v>3025089.3</v>
      </c>
      <c r="I88" s="2">
        <v>3082343.53</v>
      </c>
      <c r="J88" s="2">
        <v>47042.96</v>
      </c>
      <c r="K88" s="2">
        <v>0</v>
      </c>
      <c r="L88" s="2">
        <v>3129386.49</v>
      </c>
      <c r="M88" s="3">
        <v>7.1645300000000001</v>
      </c>
      <c r="N88" s="4">
        <v>7.1196899999999997E-3</v>
      </c>
      <c r="O88" s="5">
        <v>44693</v>
      </c>
      <c r="P88" s="5">
        <v>45516</v>
      </c>
      <c r="Q88" s="1">
        <v>8.4169999999999998</v>
      </c>
      <c r="R88" s="2">
        <v>0.05</v>
      </c>
      <c r="S88" s="6">
        <v>3.2810324337999998E-2</v>
      </c>
      <c r="T88" t="s">
        <v>111</v>
      </c>
      <c r="U88" t="s">
        <v>11040</v>
      </c>
      <c r="V88" t="s">
        <v>11189</v>
      </c>
      <c r="W88" t="s">
        <v>43</v>
      </c>
      <c r="X88" t="s">
        <v>11034</v>
      </c>
      <c r="Y88" t="s">
        <v>44</v>
      </c>
      <c r="Z88" t="s">
        <v>44</v>
      </c>
      <c r="AA88" t="s">
        <v>11035</v>
      </c>
      <c r="AB88" t="s">
        <v>11225</v>
      </c>
      <c r="AC88" s="4">
        <v>7.41461039</v>
      </c>
      <c r="AD88" s="4">
        <v>7.1739613599999998</v>
      </c>
      <c r="AE88" s="2">
        <v>7.41</v>
      </c>
      <c r="AF88" s="4">
        <v>7.1739613599999998</v>
      </c>
      <c r="AG88" s="2">
        <v>2.91</v>
      </c>
      <c r="AH88" s="2">
        <v>3129386.49</v>
      </c>
      <c r="AI88" s="2">
        <v>0.01</v>
      </c>
      <c r="AJ88" s="5">
        <v>44673</v>
      </c>
      <c r="AK88" t="s">
        <v>11190</v>
      </c>
      <c r="AL88" s="2">
        <v>7.28</v>
      </c>
      <c r="AM88" s="2">
        <v>8.42</v>
      </c>
      <c r="AN88" s="2">
        <v>0.03</v>
      </c>
      <c r="AO88" t="s">
        <v>11226</v>
      </c>
      <c r="AP88" t="s">
        <v>11227</v>
      </c>
      <c r="AQ88" t="s">
        <v>11224</v>
      </c>
    </row>
    <row r="89" spans="1:43" x14ac:dyDescent="0.2">
      <c r="A89" t="s">
        <v>11186</v>
      </c>
      <c r="B89" t="s">
        <v>11038</v>
      </c>
      <c r="C89" t="s">
        <v>11222</v>
      </c>
      <c r="D89" t="s">
        <v>11228</v>
      </c>
      <c r="E89" t="s">
        <v>11229</v>
      </c>
      <c r="F89" t="s">
        <v>11228</v>
      </c>
      <c r="G89" s="1">
        <v>6000000</v>
      </c>
      <c r="H89" s="2">
        <v>6000000</v>
      </c>
      <c r="I89" s="2">
        <v>5945939.1900000004</v>
      </c>
      <c r="J89" s="2">
        <v>64208.22</v>
      </c>
      <c r="K89" s="2">
        <v>0</v>
      </c>
      <c r="L89" s="2">
        <v>6010147.4100000001</v>
      </c>
      <c r="M89" s="3">
        <v>7.0358479999999997</v>
      </c>
      <c r="N89" s="4">
        <v>1.367373E-2</v>
      </c>
      <c r="O89" s="5">
        <v>44795</v>
      </c>
      <c r="P89" s="5">
        <v>45344</v>
      </c>
      <c r="Q89" s="1">
        <v>6.51</v>
      </c>
      <c r="R89" s="2">
        <v>1.74</v>
      </c>
      <c r="S89" s="6">
        <v>1.67798858708</v>
      </c>
      <c r="T89" t="s">
        <v>111</v>
      </c>
      <c r="U89" t="s">
        <v>11040</v>
      </c>
      <c r="V89" t="s">
        <v>11041</v>
      </c>
      <c r="W89" t="s">
        <v>43</v>
      </c>
      <c r="X89" t="s">
        <v>44</v>
      </c>
      <c r="Y89" t="s">
        <v>44</v>
      </c>
      <c r="Z89" t="s">
        <v>44</v>
      </c>
      <c r="AA89" t="s">
        <v>10979</v>
      </c>
      <c r="AB89" t="s">
        <v>44</v>
      </c>
      <c r="AC89" s="4">
        <v>7.1596057599999998</v>
      </c>
      <c r="AD89" s="4">
        <v>6.93487966</v>
      </c>
      <c r="AE89" s="2">
        <v>7.16</v>
      </c>
      <c r="AF89" s="4">
        <v>6.93487966</v>
      </c>
      <c r="AG89" s="2">
        <v>5.59</v>
      </c>
      <c r="AH89" s="2">
        <v>6010147.4100000001</v>
      </c>
      <c r="AI89" s="2">
        <v>0.01</v>
      </c>
      <c r="AJ89" s="5">
        <v>44673</v>
      </c>
      <c r="AK89" t="s">
        <v>11190</v>
      </c>
      <c r="AL89" s="2">
        <v>7.04</v>
      </c>
      <c r="AM89" s="2">
        <v>6.51</v>
      </c>
      <c r="AN89" s="2">
        <v>1.68</v>
      </c>
      <c r="AO89" t="s">
        <v>11179</v>
      </c>
      <c r="AP89" t="s">
        <v>11230</v>
      </c>
      <c r="AQ89" t="s">
        <v>11229</v>
      </c>
    </row>
    <row r="90" spans="1:43" x14ac:dyDescent="0.2">
      <c r="A90" t="s">
        <v>11186</v>
      </c>
      <c r="B90" t="s">
        <v>11160</v>
      </c>
      <c r="C90" t="s">
        <v>11161</v>
      </c>
      <c r="D90" t="s">
        <v>11162</v>
      </c>
      <c r="E90" t="s">
        <v>11163</v>
      </c>
      <c r="F90" t="s">
        <v>11162</v>
      </c>
      <c r="G90" s="1">
        <v>2871</v>
      </c>
      <c r="H90" s="2">
        <v>1953165.07</v>
      </c>
      <c r="I90" s="2">
        <v>2583900</v>
      </c>
      <c r="J90" s="2">
        <v>0</v>
      </c>
      <c r="K90" s="2">
        <v>71605.89</v>
      </c>
      <c r="L90" s="2">
        <v>2655505.89</v>
      </c>
      <c r="M90" s="3">
        <v>90000</v>
      </c>
      <c r="N90" s="4">
        <v>6.0415599999999996E-3</v>
      </c>
      <c r="O90" s="5" t="s">
        <v>44</v>
      </c>
      <c r="P90" s="5" t="s">
        <v>44</v>
      </c>
      <c r="Q90" s="1"/>
      <c r="R90" s="2"/>
      <c r="S90" s="6"/>
      <c r="T90" t="s">
        <v>10902</v>
      </c>
      <c r="U90" t="s">
        <v>10902</v>
      </c>
      <c r="V90" t="s">
        <v>11164</v>
      </c>
      <c r="W90" t="s">
        <v>43</v>
      </c>
      <c r="X90" t="s">
        <v>44</v>
      </c>
      <c r="Y90" t="s">
        <v>44</v>
      </c>
      <c r="Z90" t="s">
        <v>44</v>
      </c>
      <c r="AA90" t="s">
        <v>10979</v>
      </c>
      <c r="AB90" t="s">
        <v>44</v>
      </c>
      <c r="AC90" s="4"/>
      <c r="AD90" s="4"/>
      <c r="AE90" s="2">
        <v>0</v>
      </c>
      <c r="AF90" s="4">
        <v>0</v>
      </c>
      <c r="AG90" s="2">
        <v>2.4700000000000002</v>
      </c>
      <c r="AH90" s="2">
        <v>2655505.89</v>
      </c>
      <c r="AI90" s="2">
        <v>0.01</v>
      </c>
      <c r="AJ90" s="5">
        <v>44673</v>
      </c>
      <c r="AK90" t="s">
        <v>11190</v>
      </c>
      <c r="AL90" s="2">
        <v>0</v>
      </c>
      <c r="AM90" s="2">
        <v>0</v>
      </c>
      <c r="AN90" s="2">
        <v>0</v>
      </c>
      <c r="AO90" t="s">
        <v>11165</v>
      </c>
      <c r="AP90" t="s">
        <v>11166</v>
      </c>
      <c r="AQ90" t="s">
        <v>11163</v>
      </c>
    </row>
    <row r="91" spans="1:43" x14ac:dyDescent="0.2">
      <c r="A91" t="s">
        <v>11186</v>
      </c>
      <c r="B91" t="s">
        <v>11160</v>
      </c>
      <c r="C91" t="s">
        <v>11161</v>
      </c>
      <c r="D91" t="s">
        <v>11170</v>
      </c>
      <c r="E91" t="s">
        <v>11171</v>
      </c>
      <c r="F91" t="s">
        <v>11170</v>
      </c>
      <c r="G91" s="1">
        <v>28406</v>
      </c>
      <c r="H91" s="2">
        <v>2077537.39</v>
      </c>
      <c r="I91" s="2">
        <v>2736634.04</v>
      </c>
      <c r="J91" s="2">
        <v>0</v>
      </c>
      <c r="K91" s="2">
        <v>0</v>
      </c>
      <c r="L91" s="2">
        <v>2736634.04</v>
      </c>
      <c r="M91" s="3">
        <v>9634</v>
      </c>
      <c r="N91" s="4">
        <v>6.2261399999999998E-3</v>
      </c>
      <c r="O91" s="5" t="s">
        <v>44</v>
      </c>
      <c r="P91" s="5" t="s">
        <v>44</v>
      </c>
      <c r="Q91" s="1"/>
      <c r="R91" s="2"/>
      <c r="S91" s="6"/>
      <c r="T91" t="s">
        <v>10902</v>
      </c>
      <c r="U91" t="s">
        <v>10902</v>
      </c>
      <c r="V91" t="s">
        <v>11164</v>
      </c>
      <c r="W91" t="s">
        <v>43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s="4"/>
      <c r="AD91" s="4"/>
      <c r="AE91" s="2">
        <v>0</v>
      </c>
      <c r="AF91" s="4">
        <v>0</v>
      </c>
      <c r="AG91" s="2">
        <v>2.5499999999999998</v>
      </c>
      <c r="AH91" s="2">
        <v>2736634.04</v>
      </c>
      <c r="AI91" s="2">
        <v>0.01</v>
      </c>
      <c r="AJ91" s="5">
        <v>44673</v>
      </c>
      <c r="AK91" t="s">
        <v>11190</v>
      </c>
      <c r="AL91" s="2">
        <v>0</v>
      </c>
      <c r="AM91" s="2">
        <v>0</v>
      </c>
      <c r="AN91" s="2">
        <v>0</v>
      </c>
      <c r="AO91" t="s">
        <v>44</v>
      </c>
      <c r="AP91" t="s">
        <v>11172</v>
      </c>
      <c r="AQ91" t="s">
        <v>11171</v>
      </c>
    </row>
    <row r="92" spans="1:43" x14ac:dyDescent="0.2">
      <c r="A92" t="s">
        <v>11186</v>
      </c>
      <c r="B92" t="s">
        <v>11160</v>
      </c>
      <c r="C92" t="s">
        <v>11161</v>
      </c>
      <c r="D92" t="s">
        <v>11173</v>
      </c>
      <c r="E92" t="s">
        <v>11174</v>
      </c>
      <c r="F92" t="s">
        <v>11173</v>
      </c>
      <c r="G92" s="1">
        <v>7500</v>
      </c>
      <c r="H92" s="2">
        <v>605832.37</v>
      </c>
      <c r="I92" s="2">
        <v>645000</v>
      </c>
      <c r="J92" s="2">
        <v>0</v>
      </c>
      <c r="K92" s="2">
        <v>0</v>
      </c>
      <c r="L92" s="2">
        <v>645000</v>
      </c>
      <c r="M92" s="3">
        <v>8600</v>
      </c>
      <c r="N92" s="4">
        <v>1.46744E-3</v>
      </c>
      <c r="O92" s="5" t="s">
        <v>44</v>
      </c>
      <c r="P92" s="5" t="s">
        <v>44</v>
      </c>
      <c r="Q92" s="1"/>
      <c r="R92" s="2"/>
      <c r="S92" s="6"/>
      <c r="T92" t="s">
        <v>10902</v>
      </c>
      <c r="U92" t="s">
        <v>10902</v>
      </c>
      <c r="V92" t="s">
        <v>11164</v>
      </c>
      <c r="W92" t="s">
        <v>43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s="4"/>
      <c r="AD92" s="4"/>
      <c r="AE92" s="2">
        <v>0</v>
      </c>
      <c r="AF92" s="4">
        <v>0</v>
      </c>
      <c r="AG92" s="2">
        <v>0.6</v>
      </c>
      <c r="AH92" s="2">
        <v>645000</v>
      </c>
      <c r="AI92" s="2">
        <v>0</v>
      </c>
      <c r="AJ92" s="5">
        <v>44673</v>
      </c>
      <c r="AK92" t="s">
        <v>11190</v>
      </c>
      <c r="AL92" s="2">
        <v>0</v>
      </c>
      <c r="AM92" s="2">
        <v>0</v>
      </c>
      <c r="AN92" s="2">
        <v>0</v>
      </c>
      <c r="AO92" t="s">
        <v>44</v>
      </c>
      <c r="AP92" t="s">
        <v>11175</v>
      </c>
      <c r="AQ92" t="s">
        <v>11174</v>
      </c>
    </row>
    <row r="93" spans="1:43" x14ac:dyDescent="0.2">
      <c r="A93" t="s">
        <v>11186</v>
      </c>
      <c r="B93" t="s">
        <v>11160</v>
      </c>
      <c r="C93" t="s">
        <v>11161</v>
      </c>
      <c r="D93" t="s">
        <v>11176</v>
      </c>
      <c r="E93" t="s">
        <v>11177</v>
      </c>
      <c r="F93" t="s">
        <v>11178</v>
      </c>
      <c r="G93" s="1">
        <v>25825</v>
      </c>
      <c r="H93" s="2">
        <v>1954420.87</v>
      </c>
      <c r="I93" s="2">
        <v>2385971.75</v>
      </c>
      <c r="J93" s="2">
        <v>0</v>
      </c>
      <c r="K93" s="2">
        <v>0</v>
      </c>
      <c r="L93" s="2">
        <v>2385971.75</v>
      </c>
      <c r="M93" s="3">
        <v>9239</v>
      </c>
      <c r="N93" s="4">
        <v>5.4283400000000002E-3</v>
      </c>
      <c r="O93" s="5" t="s">
        <v>44</v>
      </c>
      <c r="P93" s="5" t="s">
        <v>44</v>
      </c>
      <c r="Q93" s="1"/>
      <c r="R93" s="2"/>
      <c r="S93" s="6"/>
      <c r="T93" t="s">
        <v>10902</v>
      </c>
      <c r="U93" t="s">
        <v>10902</v>
      </c>
      <c r="V93" t="s">
        <v>11164</v>
      </c>
      <c r="W93" t="s">
        <v>43</v>
      </c>
      <c r="X93" t="s">
        <v>44</v>
      </c>
      <c r="Y93" t="s">
        <v>44</v>
      </c>
      <c r="Z93" t="s">
        <v>44</v>
      </c>
      <c r="AA93" t="s">
        <v>10979</v>
      </c>
      <c r="AB93" t="s">
        <v>44</v>
      </c>
      <c r="AC93" s="4"/>
      <c r="AD93" s="4"/>
      <c r="AE93" s="2">
        <v>0</v>
      </c>
      <c r="AF93" s="4">
        <v>0</v>
      </c>
      <c r="AG93" s="2">
        <v>2.2200000000000002</v>
      </c>
      <c r="AH93" s="2">
        <v>2385971.75</v>
      </c>
      <c r="AI93" s="2">
        <v>0.01</v>
      </c>
      <c r="AJ93" s="5">
        <v>44673</v>
      </c>
      <c r="AK93" t="s">
        <v>11190</v>
      </c>
      <c r="AL93" s="2">
        <v>0</v>
      </c>
      <c r="AM93" s="2">
        <v>0</v>
      </c>
      <c r="AN93" s="2">
        <v>0</v>
      </c>
      <c r="AO93" t="s">
        <v>11179</v>
      </c>
      <c r="AP93" t="s">
        <v>11180</v>
      </c>
      <c r="AQ93" t="s">
        <v>11177</v>
      </c>
    </row>
    <row r="94" spans="1:43" x14ac:dyDescent="0.2">
      <c r="A94" t="s">
        <v>11186</v>
      </c>
      <c r="B94" t="s">
        <v>10951</v>
      </c>
      <c r="C94" t="s">
        <v>10952</v>
      </c>
      <c r="D94" t="s">
        <v>11028</v>
      </c>
      <c r="E94" t="s">
        <v>11029</v>
      </c>
      <c r="F94" t="s">
        <v>11028</v>
      </c>
      <c r="G94" s="1">
        <v>5386808.3530000001</v>
      </c>
      <c r="H94" s="2">
        <v>5422486.4199999999</v>
      </c>
      <c r="I94" s="2">
        <v>5393811.2000000002</v>
      </c>
      <c r="J94" s="2">
        <v>0</v>
      </c>
      <c r="K94" s="2">
        <v>0</v>
      </c>
      <c r="L94" s="2">
        <v>5393811.2000000002</v>
      </c>
      <c r="M94" s="3">
        <v>1.0013000000000001</v>
      </c>
      <c r="N94" s="4">
        <v>1.2271499999999999E-2</v>
      </c>
      <c r="O94" s="5" t="s">
        <v>44</v>
      </c>
      <c r="P94" s="5" t="s">
        <v>44</v>
      </c>
      <c r="Q94" s="1"/>
      <c r="R94" s="2"/>
      <c r="S94" s="6"/>
      <c r="T94" t="s">
        <v>10902</v>
      </c>
      <c r="U94" t="s">
        <v>10953</v>
      </c>
      <c r="V94" t="s">
        <v>10954</v>
      </c>
      <c r="W94" t="s">
        <v>43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s="4"/>
      <c r="AD94" s="4"/>
      <c r="AE94" s="2">
        <v>0</v>
      </c>
      <c r="AF94" s="4">
        <v>0</v>
      </c>
      <c r="AG94" s="2">
        <v>5.0199999999999996</v>
      </c>
      <c r="AH94" s="2">
        <v>5393811.2000000002</v>
      </c>
      <c r="AI94" s="2">
        <v>0.01</v>
      </c>
      <c r="AJ94" s="5">
        <v>44673</v>
      </c>
      <c r="AK94" t="s">
        <v>11190</v>
      </c>
      <c r="AL94" s="2">
        <v>0</v>
      </c>
      <c r="AM94" s="2">
        <v>0</v>
      </c>
      <c r="AN94" s="2">
        <v>0</v>
      </c>
      <c r="AO94" t="s">
        <v>44</v>
      </c>
      <c r="AP94" t="s">
        <v>44</v>
      </c>
      <c r="AQ94" t="s">
        <v>11029</v>
      </c>
    </row>
    <row r="95" spans="1:43" x14ac:dyDescent="0.2">
      <c r="A95" t="s">
        <v>11186</v>
      </c>
      <c r="B95" t="s">
        <v>11030</v>
      </c>
      <c r="C95" t="s">
        <v>11030</v>
      </c>
      <c r="D95" t="s">
        <v>11181</v>
      </c>
      <c r="E95" t="s">
        <v>11151</v>
      </c>
      <c r="F95" t="s">
        <v>11181</v>
      </c>
      <c r="G95" s="1">
        <v>24</v>
      </c>
      <c r="H95" s="2"/>
      <c r="I95" s="2">
        <v>0</v>
      </c>
      <c r="J95" s="2"/>
      <c r="K95" s="2"/>
      <c r="L95" s="2">
        <v>0</v>
      </c>
      <c r="M95" s="3"/>
      <c r="N95" s="4">
        <v>0</v>
      </c>
      <c r="O95" s="5" t="s">
        <v>44</v>
      </c>
      <c r="P95" s="5" t="s">
        <v>44</v>
      </c>
      <c r="Q95" s="1"/>
      <c r="R95" s="2"/>
      <c r="S95" s="6"/>
      <c r="T95" t="s">
        <v>11031</v>
      </c>
      <c r="U95" t="s">
        <v>11032</v>
      </c>
      <c r="V95" t="s">
        <v>45</v>
      </c>
      <c r="W95" t="s">
        <v>43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s="4"/>
      <c r="AD95" s="4"/>
      <c r="AE95" s="2">
        <v>0</v>
      </c>
      <c r="AF95" s="4">
        <v>0</v>
      </c>
      <c r="AG95" s="2">
        <v>0</v>
      </c>
      <c r="AH95" s="2">
        <v>-15768960</v>
      </c>
      <c r="AI95" s="2">
        <v>-0.04</v>
      </c>
      <c r="AJ95" s="5">
        <v>44673</v>
      </c>
      <c r="AK95" t="s">
        <v>11190</v>
      </c>
      <c r="AL95" s="2">
        <v>0</v>
      </c>
      <c r="AM95" s="2">
        <v>0</v>
      </c>
      <c r="AN95" s="2">
        <v>0</v>
      </c>
      <c r="AO95" t="s">
        <v>44</v>
      </c>
      <c r="AP95" t="s">
        <v>44</v>
      </c>
      <c r="AQ95" t="s">
        <v>11182</v>
      </c>
    </row>
    <row r="96" spans="1:43" x14ac:dyDescent="0.2">
      <c r="A96" t="s">
        <v>11186</v>
      </c>
      <c r="B96" t="s">
        <v>11030</v>
      </c>
      <c r="C96" t="s">
        <v>11030</v>
      </c>
      <c r="D96" t="s">
        <v>11185</v>
      </c>
      <c r="E96" t="s">
        <v>11157</v>
      </c>
      <c r="F96" t="s">
        <v>11185</v>
      </c>
      <c r="G96" s="1">
        <v>-18</v>
      </c>
      <c r="H96" s="2"/>
      <c r="I96" s="2">
        <v>0</v>
      </c>
      <c r="J96" s="2"/>
      <c r="K96" s="2"/>
      <c r="L96" s="2">
        <v>0</v>
      </c>
      <c r="M96" s="3"/>
      <c r="N96" s="4">
        <v>0</v>
      </c>
      <c r="O96" s="5" t="s">
        <v>44</v>
      </c>
      <c r="P96" s="5" t="s">
        <v>44</v>
      </c>
      <c r="Q96" s="1"/>
      <c r="R96" s="2"/>
      <c r="S96" s="6"/>
      <c r="T96" t="s">
        <v>11031</v>
      </c>
      <c r="U96" t="s">
        <v>11032</v>
      </c>
      <c r="V96" t="s">
        <v>45</v>
      </c>
      <c r="W96" t="s">
        <v>43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s="4"/>
      <c r="AD96" s="4"/>
      <c r="AE96" s="2">
        <v>0</v>
      </c>
      <c r="AF96" s="4">
        <v>0</v>
      </c>
      <c r="AG96" s="2">
        <v>0</v>
      </c>
      <c r="AH96" s="2">
        <v>11833380</v>
      </c>
      <c r="AI96" s="2">
        <v>0.03</v>
      </c>
      <c r="AJ96" s="5">
        <v>44673</v>
      </c>
      <c r="AK96" t="s">
        <v>11190</v>
      </c>
      <c r="AL96" s="2">
        <v>0</v>
      </c>
      <c r="AM96" s="2">
        <v>0</v>
      </c>
      <c r="AN96" s="2">
        <v>0</v>
      </c>
      <c r="AO96" t="s">
        <v>44</v>
      </c>
      <c r="AP96" t="s">
        <v>44</v>
      </c>
      <c r="AQ96" t="s">
        <v>11182</v>
      </c>
    </row>
    <row r="97" spans="1:43" x14ac:dyDescent="0.2">
      <c r="A97" t="s">
        <v>11186</v>
      </c>
      <c r="B97" t="s">
        <v>11030</v>
      </c>
      <c r="C97" t="s">
        <v>11030</v>
      </c>
      <c r="D97" t="s">
        <v>12743</v>
      </c>
      <c r="E97" t="s">
        <v>12738</v>
      </c>
      <c r="F97" t="s">
        <v>12743</v>
      </c>
      <c r="G97" s="1">
        <v>35</v>
      </c>
      <c r="H97" s="2"/>
      <c r="I97" s="2">
        <v>0</v>
      </c>
      <c r="J97" s="2"/>
      <c r="K97" s="2"/>
      <c r="L97" s="2">
        <v>0</v>
      </c>
      <c r="M97" s="3"/>
      <c r="N97" s="4">
        <v>0</v>
      </c>
      <c r="O97" s="5" t="s">
        <v>44</v>
      </c>
      <c r="P97" s="5" t="s">
        <v>44</v>
      </c>
      <c r="Q97" s="1"/>
      <c r="R97" s="2"/>
      <c r="S97" s="6"/>
      <c r="T97" t="s">
        <v>11031</v>
      </c>
      <c r="U97" t="s">
        <v>11183</v>
      </c>
      <c r="V97" t="s">
        <v>45</v>
      </c>
      <c r="W97" t="s">
        <v>43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s="4"/>
      <c r="AD97" s="4"/>
      <c r="AE97" s="2">
        <v>0</v>
      </c>
      <c r="AF97" s="4">
        <v>0</v>
      </c>
      <c r="AG97" s="2">
        <v>0</v>
      </c>
      <c r="AH97" s="2">
        <v>-8297092.7699999996</v>
      </c>
      <c r="AI97" s="2">
        <v>-0.02</v>
      </c>
      <c r="AJ97" s="5">
        <v>44673</v>
      </c>
      <c r="AK97" t="s">
        <v>11190</v>
      </c>
      <c r="AL97" s="2">
        <v>0</v>
      </c>
      <c r="AM97" s="2">
        <v>0</v>
      </c>
      <c r="AN97" s="2">
        <v>0</v>
      </c>
      <c r="AO97" t="s">
        <v>44</v>
      </c>
      <c r="AP97" t="s">
        <v>44</v>
      </c>
      <c r="AQ97" t="s">
        <v>11182</v>
      </c>
    </row>
    <row r="98" spans="1:43" x14ac:dyDescent="0.2">
      <c r="A98" t="s">
        <v>11186</v>
      </c>
      <c r="B98" t="s">
        <v>11030</v>
      </c>
      <c r="C98" t="s">
        <v>11030</v>
      </c>
      <c r="D98" t="s">
        <v>12726</v>
      </c>
      <c r="E98" t="s">
        <v>12722</v>
      </c>
      <c r="F98" t="s">
        <v>12726</v>
      </c>
      <c r="G98" s="1">
        <v>36</v>
      </c>
      <c r="H98" s="2"/>
      <c r="I98" s="2">
        <v>0</v>
      </c>
      <c r="J98" s="2"/>
      <c r="K98" s="2"/>
      <c r="L98" s="2">
        <v>0</v>
      </c>
      <c r="M98" s="3"/>
      <c r="N98" s="4">
        <v>0</v>
      </c>
      <c r="O98" s="5" t="s">
        <v>44</v>
      </c>
      <c r="P98" s="5" t="s">
        <v>44</v>
      </c>
      <c r="Q98" s="1"/>
      <c r="R98" s="2"/>
      <c r="S98" s="6"/>
      <c r="T98" t="s">
        <v>11031</v>
      </c>
      <c r="U98" t="s">
        <v>11183</v>
      </c>
      <c r="V98" t="s">
        <v>45</v>
      </c>
      <c r="W98" t="s">
        <v>43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s="4"/>
      <c r="AD98" s="4"/>
      <c r="AE98" s="2">
        <v>0</v>
      </c>
      <c r="AF98" s="4">
        <v>0</v>
      </c>
      <c r="AG98" s="2">
        <v>0</v>
      </c>
      <c r="AH98" s="2">
        <v>-7348461.04</v>
      </c>
      <c r="AI98" s="2">
        <v>-0.02</v>
      </c>
      <c r="AJ98" s="5">
        <v>44673</v>
      </c>
      <c r="AK98" t="s">
        <v>11190</v>
      </c>
      <c r="AL98" s="2">
        <v>0</v>
      </c>
      <c r="AM98" s="2">
        <v>0</v>
      </c>
      <c r="AN98" s="2">
        <v>0</v>
      </c>
      <c r="AO98" t="s">
        <v>44</v>
      </c>
      <c r="AP98" t="s">
        <v>44</v>
      </c>
      <c r="AQ98" t="s">
        <v>11182</v>
      </c>
    </row>
    <row r="99" spans="1:43" x14ac:dyDescent="0.2">
      <c r="A99" t="s">
        <v>11186</v>
      </c>
      <c r="B99" t="s">
        <v>11030</v>
      </c>
      <c r="C99" t="s">
        <v>11030</v>
      </c>
      <c r="D99" t="s">
        <v>13002</v>
      </c>
      <c r="E99" t="s">
        <v>12996</v>
      </c>
      <c r="F99" t="s">
        <v>13002</v>
      </c>
      <c r="G99" s="1">
        <v>-35</v>
      </c>
      <c r="H99" s="2"/>
      <c r="I99" s="2">
        <v>0</v>
      </c>
      <c r="J99" s="2"/>
      <c r="K99" s="2"/>
      <c r="L99" s="2">
        <v>0</v>
      </c>
      <c r="M99" s="3"/>
      <c r="N99" s="4">
        <v>0</v>
      </c>
      <c r="O99" s="5" t="s">
        <v>44</v>
      </c>
      <c r="P99" s="5" t="s">
        <v>44</v>
      </c>
      <c r="Q99" s="1"/>
      <c r="R99" s="2"/>
      <c r="S99" s="6"/>
      <c r="T99" t="s">
        <v>11031</v>
      </c>
      <c r="U99" t="s">
        <v>11183</v>
      </c>
      <c r="V99" t="s">
        <v>45</v>
      </c>
      <c r="W99" t="s">
        <v>43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s="4"/>
      <c r="AD99" s="4"/>
      <c r="AE99" s="2">
        <v>0</v>
      </c>
      <c r="AF99" s="4">
        <v>0</v>
      </c>
      <c r="AG99" s="2">
        <v>0</v>
      </c>
      <c r="AH99" s="2">
        <v>3381304.79</v>
      </c>
      <c r="AI99" s="2">
        <v>0.01</v>
      </c>
      <c r="AJ99" s="5">
        <v>44673</v>
      </c>
      <c r="AK99" t="s">
        <v>11190</v>
      </c>
      <c r="AL99" s="2">
        <v>0</v>
      </c>
      <c r="AM99" s="2">
        <v>0</v>
      </c>
      <c r="AN99" s="2">
        <v>0</v>
      </c>
      <c r="AO99" t="s">
        <v>44</v>
      </c>
      <c r="AP99" t="s">
        <v>44</v>
      </c>
      <c r="AQ99" t="s">
        <v>11182</v>
      </c>
    </row>
    <row r="100" spans="1:43" x14ac:dyDescent="0.2">
      <c r="A100" t="s">
        <v>11231</v>
      </c>
      <c r="B100" t="s">
        <v>10900</v>
      </c>
      <c r="C100" t="s">
        <v>10943</v>
      </c>
      <c r="D100" t="s">
        <v>10977</v>
      </c>
      <c r="E100" t="s">
        <v>10978</v>
      </c>
      <c r="F100" t="s">
        <v>10977</v>
      </c>
      <c r="G100" s="1">
        <v>5844960</v>
      </c>
      <c r="H100" s="2">
        <v>5930661.6500000004</v>
      </c>
      <c r="I100" s="2">
        <v>5493515.4100000001</v>
      </c>
      <c r="J100" s="2">
        <v>269001.87</v>
      </c>
      <c r="K100" s="2">
        <v>0</v>
      </c>
      <c r="L100" s="2">
        <v>5762517.2800000003</v>
      </c>
      <c r="M100" s="3">
        <v>11.88</v>
      </c>
      <c r="N100" s="4">
        <v>1.311035E-2</v>
      </c>
      <c r="O100" s="5">
        <v>44697</v>
      </c>
      <c r="P100" s="5">
        <v>46888</v>
      </c>
      <c r="Q100" s="1">
        <v>10.565</v>
      </c>
      <c r="R100" s="2">
        <v>4.7300000000000004</v>
      </c>
      <c r="S100" s="6">
        <v>4.4668326030000003</v>
      </c>
      <c r="T100" t="s">
        <v>111</v>
      </c>
      <c r="U100" t="s">
        <v>111</v>
      </c>
      <c r="V100" t="s">
        <v>10944</v>
      </c>
      <c r="W100" t="s">
        <v>43</v>
      </c>
      <c r="X100" t="s">
        <v>44</v>
      </c>
      <c r="Y100" t="s">
        <v>44</v>
      </c>
      <c r="Z100" t="s">
        <v>44</v>
      </c>
      <c r="AA100" t="s">
        <v>10979</v>
      </c>
      <c r="AB100" t="s">
        <v>44</v>
      </c>
      <c r="AC100" s="4">
        <v>12.232836000000001</v>
      </c>
      <c r="AD100" s="4">
        <v>11.596213730000001</v>
      </c>
      <c r="AE100" s="2">
        <v>12.23</v>
      </c>
      <c r="AF100" s="4">
        <v>11.596213730000001</v>
      </c>
      <c r="AG100" s="2">
        <v>3.58</v>
      </c>
      <c r="AH100" s="2">
        <v>5762517.2800000003</v>
      </c>
      <c r="AI100" s="2">
        <v>0.01</v>
      </c>
      <c r="AJ100" s="5">
        <v>44673</v>
      </c>
      <c r="AK100" t="s">
        <v>11232</v>
      </c>
      <c r="AL100" s="2">
        <v>11.88</v>
      </c>
      <c r="AM100" s="2">
        <v>10.56</v>
      </c>
      <c r="AN100" s="2">
        <v>4.47</v>
      </c>
      <c r="AO100" t="s">
        <v>10980</v>
      </c>
      <c r="AP100" t="s">
        <v>10981</v>
      </c>
      <c r="AQ100" t="s">
        <v>10978</v>
      </c>
    </row>
    <row r="101" spans="1:43" x14ac:dyDescent="0.2">
      <c r="A101" t="s">
        <v>11231</v>
      </c>
      <c r="B101" t="s">
        <v>10900</v>
      </c>
      <c r="C101" t="s">
        <v>11137</v>
      </c>
      <c r="D101" t="s">
        <v>11138</v>
      </c>
      <c r="E101" t="s">
        <v>11139</v>
      </c>
      <c r="F101" t="s">
        <v>11138</v>
      </c>
      <c r="G101" s="1">
        <v>2940000</v>
      </c>
      <c r="H101" s="2">
        <v>2870824.77</v>
      </c>
      <c r="I101" s="2">
        <v>2811200.95</v>
      </c>
      <c r="J101" s="2">
        <v>10149.040000000001</v>
      </c>
      <c r="K101" s="2">
        <v>0</v>
      </c>
      <c r="L101" s="2">
        <v>2821349.99</v>
      </c>
      <c r="M101" s="3">
        <v>11.316000000000001</v>
      </c>
      <c r="N101" s="4">
        <v>6.4188700000000001E-3</v>
      </c>
      <c r="O101" s="5">
        <v>44844</v>
      </c>
      <c r="P101" s="5">
        <v>47765</v>
      </c>
      <c r="Q101" s="1">
        <v>10.5</v>
      </c>
      <c r="R101" s="2">
        <v>5.71</v>
      </c>
      <c r="S101" s="6">
        <v>5.4077134439999996</v>
      </c>
      <c r="T101" t="s">
        <v>111</v>
      </c>
      <c r="U101" t="s">
        <v>111</v>
      </c>
      <c r="V101" t="s">
        <v>10944</v>
      </c>
      <c r="W101" t="s">
        <v>43</v>
      </c>
      <c r="X101" t="s">
        <v>44</v>
      </c>
      <c r="Y101" t="s">
        <v>44</v>
      </c>
      <c r="Z101" t="s">
        <v>44</v>
      </c>
      <c r="AA101" t="s">
        <v>10979</v>
      </c>
      <c r="AB101" t="s">
        <v>44</v>
      </c>
      <c r="AC101" s="4">
        <v>11.63612964</v>
      </c>
      <c r="AD101" s="4">
        <v>11.058095140000001</v>
      </c>
      <c r="AE101" s="2">
        <v>11.64</v>
      </c>
      <c r="AF101" s="4">
        <v>11.058095140000001</v>
      </c>
      <c r="AG101" s="2">
        <v>1.75</v>
      </c>
      <c r="AH101" s="2">
        <v>2821349.99</v>
      </c>
      <c r="AI101" s="2">
        <v>0.01</v>
      </c>
      <c r="AJ101" s="5">
        <v>44673</v>
      </c>
      <c r="AK101" t="s">
        <v>11232</v>
      </c>
      <c r="AL101" s="2">
        <v>11.32</v>
      </c>
      <c r="AM101" s="2">
        <v>10.5</v>
      </c>
      <c r="AN101" s="2">
        <v>5.41</v>
      </c>
      <c r="AO101" t="s">
        <v>10982</v>
      </c>
      <c r="AP101" t="s">
        <v>11140</v>
      </c>
      <c r="AQ101" t="s">
        <v>11139</v>
      </c>
    </row>
    <row r="102" spans="1:43" x14ac:dyDescent="0.2">
      <c r="A102" t="s">
        <v>11231</v>
      </c>
      <c r="B102" t="s">
        <v>10900</v>
      </c>
      <c r="C102" t="s">
        <v>10950</v>
      </c>
      <c r="D102" t="s">
        <v>11141</v>
      </c>
      <c r="E102" t="s">
        <v>11142</v>
      </c>
      <c r="F102" t="s">
        <v>11141</v>
      </c>
      <c r="G102" s="1">
        <v>1300000</v>
      </c>
      <c r="H102" s="2">
        <v>1034730.59</v>
      </c>
      <c r="I102" s="2">
        <v>1068582.32</v>
      </c>
      <c r="J102" s="2">
        <v>16828.77</v>
      </c>
      <c r="K102" s="2">
        <v>0</v>
      </c>
      <c r="L102" s="2">
        <v>1085411.0900000001</v>
      </c>
      <c r="M102" s="3">
        <v>10.805</v>
      </c>
      <c r="N102" s="4">
        <v>2.4694299999999999E-3</v>
      </c>
      <c r="O102" s="5">
        <v>44804</v>
      </c>
      <c r="P102" s="5">
        <v>54116</v>
      </c>
      <c r="Q102" s="1">
        <v>8.75</v>
      </c>
      <c r="R102" s="2">
        <v>9.2200000000000006</v>
      </c>
      <c r="S102" s="6">
        <v>8.7507641760000006</v>
      </c>
      <c r="T102" t="s">
        <v>111</v>
      </c>
      <c r="U102" t="s">
        <v>111</v>
      </c>
      <c r="V102" t="s">
        <v>10944</v>
      </c>
      <c r="W102" t="s">
        <v>43</v>
      </c>
      <c r="X102" t="s">
        <v>10945</v>
      </c>
      <c r="Y102" t="s">
        <v>44</v>
      </c>
      <c r="Z102" t="s">
        <v>44</v>
      </c>
      <c r="AA102" t="s">
        <v>10913</v>
      </c>
      <c r="AB102" t="s">
        <v>44</v>
      </c>
      <c r="AC102" s="4">
        <v>11.096870060000001</v>
      </c>
      <c r="AD102" s="4">
        <v>10.56950999</v>
      </c>
      <c r="AE102" s="2">
        <v>11.1</v>
      </c>
      <c r="AF102" s="4">
        <v>10.56950999</v>
      </c>
      <c r="AG102" s="2">
        <v>0.67</v>
      </c>
      <c r="AH102" s="2">
        <v>1085411.0900000001</v>
      </c>
      <c r="AI102" s="2">
        <v>0</v>
      </c>
      <c r="AJ102" s="5">
        <v>44673</v>
      </c>
      <c r="AK102" t="s">
        <v>11232</v>
      </c>
      <c r="AL102" s="2">
        <v>10.8</v>
      </c>
      <c r="AM102" s="2">
        <v>8.75</v>
      </c>
      <c r="AN102" s="2">
        <v>8.75</v>
      </c>
      <c r="AO102" t="s">
        <v>10922</v>
      </c>
      <c r="AP102" t="s">
        <v>11143</v>
      </c>
      <c r="AQ102" t="s">
        <v>11142</v>
      </c>
    </row>
    <row r="103" spans="1:43" x14ac:dyDescent="0.2">
      <c r="A103" t="s">
        <v>11231</v>
      </c>
      <c r="B103" t="s">
        <v>10900</v>
      </c>
      <c r="C103" t="s">
        <v>10950</v>
      </c>
      <c r="D103" t="s">
        <v>10986</v>
      </c>
      <c r="E103" t="s">
        <v>10987</v>
      </c>
      <c r="F103" t="s">
        <v>10986</v>
      </c>
      <c r="G103" s="1">
        <v>3700000</v>
      </c>
      <c r="H103" s="2">
        <v>3265282.81</v>
      </c>
      <c r="I103" s="2">
        <v>3346376.57</v>
      </c>
      <c r="J103" s="2">
        <v>15256.16</v>
      </c>
      <c r="K103" s="2">
        <v>0</v>
      </c>
      <c r="L103" s="2">
        <v>3361632.73</v>
      </c>
      <c r="M103" s="3">
        <v>12.05</v>
      </c>
      <c r="N103" s="4">
        <v>7.6480799999999998E-3</v>
      </c>
      <c r="O103" s="5">
        <v>44844</v>
      </c>
      <c r="P103" s="5">
        <v>51418</v>
      </c>
      <c r="Q103" s="1">
        <v>10.75</v>
      </c>
      <c r="R103" s="2">
        <v>7.89</v>
      </c>
      <c r="S103" s="6">
        <v>7.4432483840000003</v>
      </c>
      <c r="T103" t="s">
        <v>111</v>
      </c>
      <c r="U103" t="s">
        <v>111</v>
      </c>
      <c r="V103" t="s">
        <v>10944</v>
      </c>
      <c r="W103" t="s">
        <v>43</v>
      </c>
      <c r="X103" t="s">
        <v>10988</v>
      </c>
      <c r="Y103" t="s">
        <v>44</v>
      </c>
      <c r="Z103" t="s">
        <v>44</v>
      </c>
      <c r="AA103" t="s">
        <v>10979</v>
      </c>
      <c r="AB103" t="s">
        <v>44</v>
      </c>
      <c r="AC103" s="4">
        <v>12.41300625</v>
      </c>
      <c r="AD103" s="4">
        <v>11.758178470000001</v>
      </c>
      <c r="AE103" s="2">
        <v>12.41</v>
      </c>
      <c r="AF103" s="4">
        <v>11.758178470000001</v>
      </c>
      <c r="AG103" s="2">
        <v>2.09</v>
      </c>
      <c r="AH103" s="2">
        <v>3361632.73</v>
      </c>
      <c r="AI103" s="2">
        <v>0.01</v>
      </c>
      <c r="AJ103" s="5">
        <v>44673</v>
      </c>
      <c r="AK103" t="s">
        <v>11232</v>
      </c>
      <c r="AL103" s="2">
        <v>12.05</v>
      </c>
      <c r="AM103" s="2">
        <v>10.75</v>
      </c>
      <c r="AN103" s="2">
        <v>7.44</v>
      </c>
      <c r="AO103" t="s">
        <v>10982</v>
      </c>
      <c r="AP103" t="s">
        <v>10989</v>
      </c>
      <c r="AQ103" t="s">
        <v>10987</v>
      </c>
    </row>
    <row r="104" spans="1:43" x14ac:dyDescent="0.2">
      <c r="A104" t="s">
        <v>11231</v>
      </c>
      <c r="B104" t="s">
        <v>10900</v>
      </c>
      <c r="C104" t="s">
        <v>10990</v>
      </c>
      <c r="D104" t="s">
        <v>10991</v>
      </c>
      <c r="E104" t="s">
        <v>1153</v>
      </c>
      <c r="F104" t="s">
        <v>10991</v>
      </c>
      <c r="G104" s="1">
        <v>2680000</v>
      </c>
      <c r="H104" s="2">
        <v>3455798.06</v>
      </c>
      <c r="I104" s="2">
        <v>3465529.64</v>
      </c>
      <c r="J104" s="2">
        <v>21705.89</v>
      </c>
      <c r="K104" s="2">
        <v>0</v>
      </c>
      <c r="L104" s="2">
        <v>3487235.53</v>
      </c>
      <c r="M104" s="3">
        <v>3.9</v>
      </c>
      <c r="N104" s="4">
        <v>7.9338399999999993E-3</v>
      </c>
      <c r="O104" s="5">
        <v>44774</v>
      </c>
      <c r="P104" s="5">
        <v>50436</v>
      </c>
      <c r="Q104" s="1">
        <v>2.25</v>
      </c>
      <c r="R104" s="2">
        <v>12.94</v>
      </c>
      <c r="S104" s="6">
        <v>12.689805079999999</v>
      </c>
      <c r="T104" t="s">
        <v>111</v>
      </c>
      <c r="U104" t="s">
        <v>111</v>
      </c>
      <c r="V104" t="s">
        <v>10992</v>
      </c>
      <c r="W104" t="s">
        <v>43</v>
      </c>
      <c r="X104" t="s">
        <v>10945</v>
      </c>
      <c r="Y104" t="s">
        <v>44</v>
      </c>
      <c r="Z104" t="s">
        <v>44</v>
      </c>
      <c r="AA104" t="s">
        <v>10913</v>
      </c>
      <c r="AB104" t="s">
        <v>44</v>
      </c>
      <c r="AC104" s="4">
        <v>3.9380250000000001</v>
      </c>
      <c r="AD104" s="4">
        <v>3.8686849699999999</v>
      </c>
      <c r="AE104" s="2">
        <v>3.94</v>
      </c>
      <c r="AF104" s="4">
        <v>3.8686849699999999</v>
      </c>
      <c r="AG104" s="2">
        <v>2.17</v>
      </c>
      <c r="AH104" s="2">
        <v>3487235.53</v>
      </c>
      <c r="AI104" s="2">
        <v>0.01</v>
      </c>
      <c r="AJ104" s="5">
        <v>44673</v>
      </c>
      <c r="AK104" t="s">
        <v>11232</v>
      </c>
      <c r="AL104" s="2">
        <v>3.9</v>
      </c>
      <c r="AM104" s="2">
        <v>2.25</v>
      </c>
      <c r="AN104" s="2">
        <v>12.69</v>
      </c>
      <c r="AO104" t="s">
        <v>10922</v>
      </c>
      <c r="AP104" t="s">
        <v>10993</v>
      </c>
      <c r="AQ104" t="s">
        <v>1153</v>
      </c>
    </row>
    <row r="105" spans="1:43" x14ac:dyDescent="0.2">
      <c r="A105" t="s">
        <v>11231</v>
      </c>
      <c r="B105" t="s">
        <v>10900</v>
      </c>
      <c r="C105" t="s">
        <v>10990</v>
      </c>
      <c r="D105" t="s">
        <v>10994</v>
      </c>
      <c r="E105" t="s">
        <v>1190</v>
      </c>
      <c r="F105" t="s">
        <v>10994</v>
      </c>
      <c r="G105" s="1">
        <v>2890000</v>
      </c>
      <c r="H105" s="2">
        <v>3405755.11</v>
      </c>
      <c r="I105" s="2">
        <v>3419260.79</v>
      </c>
      <c r="J105" s="2">
        <v>6875.42</v>
      </c>
      <c r="K105" s="2">
        <v>0</v>
      </c>
      <c r="L105" s="2">
        <v>3426136.21</v>
      </c>
      <c r="M105" s="3">
        <v>3.9</v>
      </c>
      <c r="N105" s="4">
        <v>7.79483E-3</v>
      </c>
      <c r="O105" s="5">
        <v>44834</v>
      </c>
      <c r="P105" s="5">
        <v>53417</v>
      </c>
      <c r="Q105" s="1">
        <v>2.5</v>
      </c>
      <c r="R105" s="2">
        <v>17.22</v>
      </c>
      <c r="S105" s="6">
        <v>16.886631569999999</v>
      </c>
      <c r="T105" t="s">
        <v>111</v>
      </c>
      <c r="U105" t="s">
        <v>111</v>
      </c>
      <c r="V105" t="s">
        <v>10992</v>
      </c>
      <c r="W105" t="s">
        <v>43</v>
      </c>
      <c r="X105" t="s">
        <v>10945</v>
      </c>
      <c r="Y105" t="s">
        <v>44</v>
      </c>
      <c r="Z105" t="s">
        <v>44</v>
      </c>
      <c r="AA105" t="s">
        <v>10913</v>
      </c>
      <c r="AB105" t="s">
        <v>44</v>
      </c>
      <c r="AC105" s="4">
        <v>3.9380250000000001</v>
      </c>
      <c r="AD105" s="4">
        <v>3.8686849699999999</v>
      </c>
      <c r="AE105" s="2">
        <v>3.94</v>
      </c>
      <c r="AF105" s="4">
        <v>3.8686849699999999</v>
      </c>
      <c r="AG105" s="2">
        <v>2.13</v>
      </c>
      <c r="AH105" s="2">
        <v>3426136.21</v>
      </c>
      <c r="AI105" s="2">
        <v>0.01</v>
      </c>
      <c r="AJ105" s="5">
        <v>44673</v>
      </c>
      <c r="AK105" t="s">
        <v>11232</v>
      </c>
      <c r="AL105" s="2">
        <v>3.9</v>
      </c>
      <c r="AM105" s="2">
        <v>2.5</v>
      </c>
      <c r="AN105" s="2">
        <v>16.89</v>
      </c>
      <c r="AO105" t="s">
        <v>10922</v>
      </c>
      <c r="AP105" t="s">
        <v>10995</v>
      </c>
      <c r="AQ105" t="s">
        <v>1190</v>
      </c>
    </row>
    <row r="106" spans="1:43" x14ac:dyDescent="0.2">
      <c r="A106" t="s">
        <v>11231</v>
      </c>
      <c r="B106" t="s">
        <v>10900</v>
      </c>
      <c r="C106" t="s">
        <v>10990</v>
      </c>
      <c r="D106" t="s">
        <v>10996</v>
      </c>
      <c r="E106" t="s">
        <v>1160</v>
      </c>
      <c r="F106" t="s">
        <v>10996</v>
      </c>
      <c r="G106" s="1">
        <v>2830000</v>
      </c>
      <c r="H106" s="2">
        <v>3443424.99</v>
      </c>
      <c r="I106" s="2">
        <v>3441307.43</v>
      </c>
      <c r="J106" s="2">
        <v>35063.22</v>
      </c>
      <c r="K106" s="2">
        <v>0</v>
      </c>
      <c r="L106" s="2">
        <v>3476370.65</v>
      </c>
      <c r="M106" s="3">
        <v>3.9</v>
      </c>
      <c r="N106" s="4">
        <v>7.9091200000000004E-3</v>
      </c>
      <c r="O106" s="5">
        <v>44742</v>
      </c>
      <c r="P106" s="5">
        <v>55153</v>
      </c>
      <c r="Q106" s="1">
        <v>2.5</v>
      </c>
      <c r="R106" s="2">
        <v>19.05</v>
      </c>
      <c r="S106" s="6">
        <v>18.689623709999999</v>
      </c>
      <c r="T106" t="s">
        <v>111</v>
      </c>
      <c r="U106" t="s">
        <v>111</v>
      </c>
      <c r="V106" t="s">
        <v>10992</v>
      </c>
      <c r="W106" t="s">
        <v>43</v>
      </c>
      <c r="X106" t="s">
        <v>10945</v>
      </c>
      <c r="Y106" t="s">
        <v>44</v>
      </c>
      <c r="Z106" t="s">
        <v>44</v>
      </c>
      <c r="AA106" t="s">
        <v>10913</v>
      </c>
      <c r="AB106" t="s">
        <v>44</v>
      </c>
      <c r="AC106" s="4">
        <v>3.9380250000000001</v>
      </c>
      <c r="AD106" s="4">
        <v>3.8686849699999999</v>
      </c>
      <c r="AE106" s="2">
        <v>3.94</v>
      </c>
      <c r="AF106" s="4">
        <v>3.8686849699999999</v>
      </c>
      <c r="AG106" s="2">
        <v>2.16</v>
      </c>
      <c r="AH106" s="2">
        <v>3476370.65</v>
      </c>
      <c r="AI106" s="2">
        <v>0.01</v>
      </c>
      <c r="AJ106" s="5">
        <v>44673</v>
      </c>
      <c r="AK106" t="s">
        <v>11232</v>
      </c>
      <c r="AL106" s="2">
        <v>3.9</v>
      </c>
      <c r="AM106" s="2">
        <v>2.5</v>
      </c>
      <c r="AN106" s="2">
        <v>18.690000000000001</v>
      </c>
      <c r="AO106" t="s">
        <v>10922</v>
      </c>
      <c r="AP106" t="s">
        <v>10997</v>
      </c>
      <c r="AQ106" t="s">
        <v>1160</v>
      </c>
    </row>
    <row r="107" spans="1:43" x14ac:dyDescent="0.2">
      <c r="A107" t="s">
        <v>11231</v>
      </c>
      <c r="B107" t="s">
        <v>10900</v>
      </c>
      <c r="C107" t="s">
        <v>10990</v>
      </c>
      <c r="D107" t="s">
        <v>10998</v>
      </c>
      <c r="E107" t="s">
        <v>1197</v>
      </c>
      <c r="F107" t="s">
        <v>10998</v>
      </c>
      <c r="G107" s="1">
        <v>3050000</v>
      </c>
      <c r="H107" s="2">
        <v>3461978.2</v>
      </c>
      <c r="I107" s="2">
        <v>3451789.14</v>
      </c>
      <c r="J107" s="2">
        <v>11556.69</v>
      </c>
      <c r="K107" s="2">
        <v>0</v>
      </c>
      <c r="L107" s="2">
        <v>3463345.83</v>
      </c>
      <c r="M107" s="3">
        <v>3.82</v>
      </c>
      <c r="N107" s="4">
        <v>7.8794799999999995E-3</v>
      </c>
      <c r="O107" s="5">
        <v>44804</v>
      </c>
      <c r="P107" s="5">
        <v>48638</v>
      </c>
      <c r="Q107" s="1">
        <v>1.875</v>
      </c>
      <c r="R107" s="2">
        <v>9.7100000000000009</v>
      </c>
      <c r="S107" s="6">
        <v>9.5277218819999998</v>
      </c>
      <c r="T107" t="s">
        <v>111</v>
      </c>
      <c r="U107" t="s">
        <v>111</v>
      </c>
      <c r="V107" t="s">
        <v>10992</v>
      </c>
      <c r="W107" t="s">
        <v>43</v>
      </c>
      <c r="X107" t="s">
        <v>10945</v>
      </c>
      <c r="Y107" t="s">
        <v>44</v>
      </c>
      <c r="Z107" t="s">
        <v>44</v>
      </c>
      <c r="AA107" t="s">
        <v>10913</v>
      </c>
      <c r="AB107" t="s">
        <v>44</v>
      </c>
      <c r="AC107" s="4">
        <v>3.856481</v>
      </c>
      <c r="AD107" s="4">
        <v>3.7899492800000001</v>
      </c>
      <c r="AE107" s="2">
        <v>3.86</v>
      </c>
      <c r="AF107" s="4">
        <v>3.7899492800000001</v>
      </c>
      <c r="AG107" s="2">
        <v>2.15</v>
      </c>
      <c r="AH107" s="2">
        <v>3463345.83</v>
      </c>
      <c r="AI107" s="2">
        <v>0.01</v>
      </c>
      <c r="AJ107" s="5">
        <v>44673</v>
      </c>
      <c r="AK107" t="s">
        <v>11232</v>
      </c>
      <c r="AL107" s="2">
        <v>3.82</v>
      </c>
      <c r="AM107" s="2">
        <v>1.88</v>
      </c>
      <c r="AN107" s="2">
        <v>9.5299999999999994</v>
      </c>
      <c r="AO107" t="s">
        <v>10922</v>
      </c>
      <c r="AP107" t="s">
        <v>10999</v>
      </c>
      <c r="AQ107" t="s">
        <v>1197</v>
      </c>
    </row>
    <row r="108" spans="1:43" x14ac:dyDescent="0.2">
      <c r="A108" t="s">
        <v>11231</v>
      </c>
      <c r="B108" t="s">
        <v>45</v>
      </c>
      <c r="C108" t="s">
        <v>11000</v>
      </c>
      <c r="D108" t="s">
        <v>11001</v>
      </c>
      <c r="E108" t="s">
        <v>11002</v>
      </c>
      <c r="F108" t="s">
        <v>11001</v>
      </c>
      <c r="G108" s="1">
        <v>10833938.76</v>
      </c>
      <c r="H108" s="2">
        <v>10833938.77</v>
      </c>
      <c r="I108" s="2">
        <v>10833938.77</v>
      </c>
      <c r="J108" s="2">
        <v>31984.6</v>
      </c>
      <c r="K108" s="2">
        <v>0</v>
      </c>
      <c r="L108" s="2">
        <v>10865923.369999999</v>
      </c>
      <c r="M108" s="3"/>
      <c r="N108" s="4">
        <v>2.4721150000000001E-2</v>
      </c>
      <c r="O108" s="5">
        <v>40756</v>
      </c>
      <c r="P108" s="5">
        <v>73020</v>
      </c>
      <c r="Q108" s="1">
        <v>0</v>
      </c>
      <c r="R108" s="2"/>
      <c r="S108" s="6"/>
      <c r="T108" t="s">
        <v>111</v>
      </c>
      <c r="U108" t="s">
        <v>11003</v>
      </c>
      <c r="V108" t="s">
        <v>46</v>
      </c>
      <c r="W108" t="s">
        <v>43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s="4"/>
      <c r="AD108" s="4"/>
      <c r="AE108" s="2">
        <v>0</v>
      </c>
      <c r="AF108" s="4">
        <v>0</v>
      </c>
      <c r="AG108" s="2">
        <v>6.75</v>
      </c>
      <c r="AH108" s="2">
        <v>10865923.369999999</v>
      </c>
      <c r="AI108" s="2">
        <v>0.02</v>
      </c>
      <c r="AJ108" s="5">
        <v>44673</v>
      </c>
      <c r="AK108" t="s">
        <v>11232</v>
      </c>
      <c r="AL108" s="2">
        <v>0</v>
      </c>
      <c r="AM108" s="2">
        <v>0</v>
      </c>
      <c r="AN108" s="2">
        <v>0</v>
      </c>
      <c r="AO108" t="s">
        <v>44</v>
      </c>
      <c r="AP108" t="s">
        <v>11004</v>
      </c>
      <c r="AQ108" t="s">
        <v>11002</v>
      </c>
    </row>
    <row r="109" spans="1:43" x14ac:dyDescent="0.2">
      <c r="A109" t="s">
        <v>11231</v>
      </c>
      <c r="B109" t="s">
        <v>45</v>
      </c>
      <c r="C109" t="s">
        <v>11144</v>
      </c>
      <c r="D109" t="s">
        <v>11145</v>
      </c>
      <c r="E109" t="s">
        <v>11146</v>
      </c>
      <c r="F109" t="s">
        <v>11147</v>
      </c>
      <c r="G109" s="1">
        <v>4950489</v>
      </c>
      <c r="H109" s="2">
        <v>4950489</v>
      </c>
      <c r="I109" s="2">
        <v>4950489</v>
      </c>
      <c r="J109" s="2">
        <v>15626.94</v>
      </c>
      <c r="K109" s="2">
        <v>0</v>
      </c>
      <c r="L109" s="2">
        <v>4966115.9400000004</v>
      </c>
      <c r="M109" s="3">
        <v>6.88</v>
      </c>
      <c r="N109" s="4">
        <v>1.129845E-2</v>
      </c>
      <c r="O109" s="5" t="s">
        <v>44</v>
      </c>
      <c r="P109" s="5">
        <v>55153</v>
      </c>
      <c r="Q109" s="1">
        <v>6.88</v>
      </c>
      <c r="R109" s="2">
        <v>0.08</v>
      </c>
      <c r="S109" s="6">
        <v>2.6006750000000002E-3</v>
      </c>
      <c r="T109" t="s">
        <v>112</v>
      </c>
      <c r="U109" t="s">
        <v>46</v>
      </c>
      <c r="V109" t="s">
        <v>11148</v>
      </c>
      <c r="W109" t="s">
        <v>43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s="4"/>
      <c r="AD109" s="4"/>
      <c r="AE109" s="2">
        <v>0</v>
      </c>
      <c r="AF109" s="4">
        <v>0</v>
      </c>
      <c r="AG109" s="2">
        <v>3.08</v>
      </c>
      <c r="AH109" s="2">
        <v>4966115.9400000004</v>
      </c>
      <c r="AI109" s="2">
        <v>0.01</v>
      </c>
      <c r="AJ109" s="5">
        <v>44673</v>
      </c>
      <c r="AK109" t="s">
        <v>11232</v>
      </c>
      <c r="AL109" s="2">
        <v>0</v>
      </c>
      <c r="AM109" s="2">
        <v>6.88</v>
      </c>
      <c r="AN109" s="2">
        <v>0</v>
      </c>
      <c r="AO109" t="s">
        <v>11146</v>
      </c>
      <c r="AP109" t="s">
        <v>44</v>
      </c>
      <c r="AQ109" t="s">
        <v>11146</v>
      </c>
    </row>
    <row r="110" spans="1:43" x14ac:dyDescent="0.2">
      <c r="A110" t="s">
        <v>11231</v>
      </c>
      <c r="B110" t="s">
        <v>45</v>
      </c>
      <c r="C110" t="s">
        <v>47</v>
      </c>
      <c r="D110" t="s">
        <v>48</v>
      </c>
      <c r="E110" t="s">
        <v>49</v>
      </c>
      <c r="F110" t="s">
        <v>50</v>
      </c>
      <c r="G110" s="1">
        <v>0</v>
      </c>
      <c r="H110" s="2">
        <v>0</v>
      </c>
      <c r="I110" s="2">
        <v>0</v>
      </c>
      <c r="J110" s="2">
        <v>0</v>
      </c>
      <c r="K110" s="2">
        <v>0</v>
      </c>
      <c r="L110" s="2">
        <v>5772.57</v>
      </c>
      <c r="M110" s="3"/>
      <c r="N110" s="4">
        <v>1.313E-5</v>
      </c>
      <c r="O110" s="5" t="s">
        <v>44</v>
      </c>
      <c r="P110" s="5" t="s">
        <v>44</v>
      </c>
      <c r="Q110" s="1"/>
      <c r="R110" s="2">
        <v>0.08</v>
      </c>
      <c r="S110" s="6"/>
      <c r="T110" t="s">
        <v>45</v>
      </c>
      <c r="U110" t="s">
        <v>46</v>
      </c>
      <c r="V110" t="s">
        <v>44</v>
      </c>
      <c r="W110" t="s">
        <v>43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s="4">
        <v>5.1163389600000002</v>
      </c>
      <c r="AD110" s="4">
        <v>5.0001424999999999</v>
      </c>
      <c r="AE110" s="2">
        <v>5.12</v>
      </c>
      <c r="AF110" s="4">
        <v>5.0001424999999999</v>
      </c>
      <c r="AG110" s="2">
        <v>0</v>
      </c>
      <c r="AH110" s="2">
        <v>5772.57</v>
      </c>
      <c r="AI110" s="2">
        <v>0</v>
      </c>
      <c r="AJ110" s="5">
        <v>44673</v>
      </c>
      <c r="AK110" t="s">
        <v>11232</v>
      </c>
      <c r="AL110" s="2">
        <v>5.05</v>
      </c>
      <c r="AM110" s="2">
        <v>0</v>
      </c>
      <c r="AN110" s="2">
        <v>0</v>
      </c>
      <c r="AO110" t="s">
        <v>44</v>
      </c>
      <c r="AP110" t="s">
        <v>44</v>
      </c>
      <c r="AQ110" t="s">
        <v>44</v>
      </c>
    </row>
    <row r="111" spans="1:43" x14ac:dyDescent="0.2">
      <c r="A111" t="s">
        <v>11231</v>
      </c>
      <c r="B111" t="s">
        <v>45</v>
      </c>
      <c r="C111" t="s">
        <v>47</v>
      </c>
      <c r="D111" t="s">
        <v>51</v>
      </c>
      <c r="E111" t="s">
        <v>52</v>
      </c>
      <c r="F111" t="s">
        <v>51</v>
      </c>
      <c r="G111" s="1">
        <v>1112588.8899999999</v>
      </c>
      <c r="H111" s="2">
        <v>1112588.8899999999</v>
      </c>
      <c r="I111" s="2">
        <v>1112588.8899999999</v>
      </c>
      <c r="J111" s="2">
        <v>0</v>
      </c>
      <c r="K111" s="2">
        <v>0</v>
      </c>
      <c r="L111" s="2">
        <v>1112588.8899999999</v>
      </c>
      <c r="M111" s="3"/>
      <c r="N111" s="4">
        <v>2.53126E-3</v>
      </c>
      <c r="O111" s="5" t="s">
        <v>44</v>
      </c>
      <c r="P111" s="5" t="s">
        <v>44</v>
      </c>
      <c r="Q111" s="1"/>
      <c r="R111" s="2">
        <v>0.08</v>
      </c>
      <c r="S111" s="6"/>
      <c r="T111" t="s">
        <v>45</v>
      </c>
      <c r="U111" t="s">
        <v>53</v>
      </c>
      <c r="V111" t="s">
        <v>44</v>
      </c>
      <c r="W111" t="s">
        <v>43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s="4">
        <v>5.1163389600000002</v>
      </c>
      <c r="AD111" s="4">
        <v>5.0001424999999999</v>
      </c>
      <c r="AE111" s="2">
        <v>5.12</v>
      </c>
      <c r="AF111" s="4">
        <v>5.0001424999999999</v>
      </c>
      <c r="AG111" s="2">
        <v>0.69</v>
      </c>
      <c r="AH111" s="2">
        <v>1112588.8899999999</v>
      </c>
      <c r="AI111" s="2">
        <v>0</v>
      </c>
      <c r="AJ111" s="5">
        <v>44673</v>
      </c>
      <c r="AK111" t="s">
        <v>11232</v>
      </c>
      <c r="AL111" s="2">
        <v>5.05</v>
      </c>
      <c r="AM111" s="2">
        <v>0</v>
      </c>
      <c r="AN111" s="2">
        <v>0</v>
      </c>
      <c r="AO111" t="s">
        <v>44</v>
      </c>
      <c r="AP111" t="s">
        <v>44</v>
      </c>
      <c r="AQ111" t="s">
        <v>43</v>
      </c>
    </row>
    <row r="112" spans="1:43" x14ac:dyDescent="0.2">
      <c r="A112" t="s">
        <v>11231</v>
      </c>
      <c r="B112" t="s">
        <v>45</v>
      </c>
      <c r="C112" t="s">
        <v>47</v>
      </c>
      <c r="D112" t="s">
        <v>11045</v>
      </c>
      <c r="E112" t="s">
        <v>11046</v>
      </c>
      <c r="F112" t="s">
        <v>11045</v>
      </c>
      <c r="G112" s="1">
        <v>5000</v>
      </c>
      <c r="H112" s="2">
        <v>71404.09</v>
      </c>
      <c r="I112" s="2">
        <v>78070.11</v>
      </c>
      <c r="J112" s="2">
        <v>0</v>
      </c>
      <c r="K112" s="2">
        <v>0</v>
      </c>
      <c r="L112" s="2">
        <v>78070.11</v>
      </c>
      <c r="M112" s="3">
        <v>1</v>
      </c>
      <c r="N112" s="4">
        <v>1.7762E-4</v>
      </c>
      <c r="O112" s="5" t="s">
        <v>44</v>
      </c>
      <c r="P112" s="5" t="s">
        <v>44</v>
      </c>
      <c r="Q112" s="1"/>
      <c r="R112" s="2">
        <v>0.08</v>
      </c>
      <c r="S112" s="6"/>
      <c r="T112" t="s">
        <v>45</v>
      </c>
      <c r="U112" t="s">
        <v>53</v>
      </c>
      <c r="V112" t="s">
        <v>44</v>
      </c>
      <c r="W112" t="s">
        <v>113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s="4"/>
      <c r="AD112" s="4"/>
      <c r="AE112" s="2">
        <v>0</v>
      </c>
      <c r="AF112" s="4">
        <v>0</v>
      </c>
      <c r="AG112" s="2">
        <v>0.05</v>
      </c>
      <c r="AH112" s="2">
        <v>78070.11</v>
      </c>
      <c r="AI112" s="2">
        <v>0</v>
      </c>
      <c r="AJ112" s="5">
        <v>44673</v>
      </c>
      <c r="AK112" t="s">
        <v>11232</v>
      </c>
      <c r="AL112" s="2">
        <v>0</v>
      </c>
      <c r="AM112" s="2">
        <v>0</v>
      </c>
      <c r="AN112" s="2">
        <v>0</v>
      </c>
      <c r="AO112" t="s">
        <v>44</v>
      </c>
      <c r="AP112" t="s">
        <v>44</v>
      </c>
      <c r="AQ112" t="s">
        <v>113</v>
      </c>
    </row>
    <row r="113" spans="1:43" x14ac:dyDescent="0.2">
      <c r="A113" t="s">
        <v>11231</v>
      </c>
      <c r="B113" t="s">
        <v>45</v>
      </c>
      <c r="C113" t="s">
        <v>11005</v>
      </c>
      <c r="D113" t="s">
        <v>11149</v>
      </c>
      <c r="E113" t="s">
        <v>11150</v>
      </c>
      <c r="F113" t="s">
        <v>44</v>
      </c>
      <c r="G113" s="1">
        <v>-1296528.5</v>
      </c>
      <c r="H113" s="2">
        <v>-1296528.5</v>
      </c>
      <c r="I113" s="2">
        <v>-1296528.5</v>
      </c>
      <c r="J113" s="2">
        <v>0</v>
      </c>
      <c r="K113" s="2"/>
      <c r="L113" s="2">
        <v>-1296528.5</v>
      </c>
      <c r="M113" s="3"/>
      <c r="N113" s="4">
        <v>-2.9497400000000002E-3</v>
      </c>
      <c r="O113" s="5" t="s">
        <v>44</v>
      </c>
      <c r="P113" s="5">
        <v>73051</v>
      </c>
      <c r="Q113" s="1">
        <v>0</v>
      </c>
      <c r="R113" s="2">
        <v>0.08</v>
      </c>
      <c r="S113" s="6"/>
      <c r="T113" t="s">
        <v>45</v>
      </c>
      <c r="U113" t="s">
        <v>44</v>
      </c>
      <c r="V113" t="s">
        <v>44</v>
      </c>
      <c r="W113" t="s">
        <v>43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s="4">
        <v>5.1163389600000002</v>
      </c>
      <c r="AD113" s="4">
        <v>5.0001424999999999</v>
      </c>
      <c r="AE113" s="2">
        <v>5.12</v>
      </c>
      <c r="AF113" s="4">
        <v>5.0001424999999999</v>
      </c>
      <c r="AG113" s="2">
        <v>-0.81</v>
      </c>
      <c r="AH113" s="2">
        <v>-1296528.5</v>
      </c>
      <c r="AI113" s="2">
        <v>0</v>
      </c>
      <c r="AJ113" s="5">
        <v>44673</v>
      </c>
      <c r="AK113" t="s">
        <v>11232</v>
      </c>
      <c r="AL113" s="2">
        <v>5.05</v>
      </c>
      <c r="AM113" s="2">
        <v>0</v>
      </c>
      <c r="AN113" s="2">
        <v>0</v>
      </c>
      <c r="AO113" t="s">
        <v>44</v>
      </c>
      <c r="AP113" t="s">
        <v>44</v>
      </c>
      <c r="AQ113" t="s">
        <v>44</v>
      </c>
    </row>
    <row r="114" spans="1:43" x14ac:dyDescent="0.2">
      <c r="A114" t="s">
        <v>11231</v>
      </c>
      <c r="B114" t="s">
        <v>11013</v>
      </c>
      <c r="C114" t="s">
        <v>11014</v>
      </c>
      <c r="D114" t="s">
        <v>11015</v>
      </c>
      <c r="E114" t="s">
        <v>11016</v>
      </c>
      <c r="F114" t="s">
        <v>11015</v>
      </c>
      <c r="G114" s="1">
        <v>22664.148700000002</v>
      </c>
      <c r="H114" s="2">
        <v>24215.59</v>
      </c>
      <c r="I114" s="2">
        <v>23541.25</v>
      </c>
      <c r="J114" s="2">
        <v>0</v>
      </c>
      <c r="K114" s="2">
        <v>0</v>
      </c>
      <c r="L114" s="2">
        <v>23541.25</v>
      </c>
      <c r="M114" s="3">
        <v>1.0387</v>
      </c>
      <c r="N114" s="4">
        <v>5.3560000000000002E-5</v>
      </c>
      <c r="O114" s="5" t="s">
        <v>44</v>
      </c>
      <c r="P114" s="5" t="s">
        <v>44</v>
      </c>
      <c r="Q114" s="1"/>
      <c r="R114" s="2"/>
      <c r="S114" s="6"/>
      <c r="T114" t="s">
        <v>10902</v>
      </c>
      <c r="U114" t="s">
        <v>11003</v>
      </c>
      <c r="V114" t="s">
        <v>11003</v>
      </c>
      <c r="W114" t="s">
        <v>43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s="4"/>
      <c r="AD114" s="4"/>
      <c r="AE114" s="2">
        <v>0</v>
      </c>
      <c r="AF114" s="4">
        <v>0</v>
      </c>
      <c r="AG114" s="2">
        <v>0.01</v>
      </c>
      <c r="AH114" s="2">
        <v>23541.25</v>
      </c>
      <c r="AI114" s="2">
        <v>0</v>
      </c>
      <c r="AJ114" s="5">
        <v>44673</v>
      </c>
      <c r="AK114" t="s">
        <v>11232</v>
      </c>
      <c r="AL114" s="2">
        <v>0</v>
      </c>
      <c r="AM114" s="2">
        <v>0</v>
      </c>
      <c r="AN114" s="2">
        <v>0</v>
      </c>
      <c r="AO114" t="s">
        <v>44</v>
      </c>
      <c r="AP114" t="s">
        <v>11017</v>
      </c>
      <c r="AQ114" t="s">
        <v>11016</v>
      </c>
    </row>
    <row r="115" spans="1:43" x14ac:dyDescent="0.2">
      <c r="A115" t="s">
        <v>11231</v>
      </c>
      <c r="B115" t="s">
        <v>11013</v>
      </c>
      <c r="C115" t="s">
        <v>11014</v>
      </c>
      <c r="D115" t="s">
        <v>11018</v>
      </c>
      <c r="E115" t="s">
        <v>11019</v>
      </c>
      <c r="F115" t="s">
        <v>11018</v>
      </c>
      <c r="G115" s="1">
        <v>13179519.0119</v>
      </c>
      <c r="H115" s="2">
        <v>13203014.880000001</v>
      </c>
      <c r="I115" s="2">
        <v>13253324.32</v>
      </c>
      <c r="J115" s="2">
        <v>0</v>
      </c>
      <c r="K115" s="2">
        <v>0</v>
      </c>
      <c r="L115" s="2">
        <v>13253324.32</v>
      </c>
      <c r="M115" s="3">
        <v>1.0056</v>
      </c>
      <c r="N115" s="4">
        <v>3.0152740000000001E-2</v>
      </c>
      <c r="O115" s="5" t="s">
        <v>44</v>
      </c>
      <c r="P115" s="5" t="s">
        <v>44</v>
      </c>
      <c r="Q115" s="1"/>
      <c r="R115" s="2"/>
      <c r="S115" s="6"/>
      <c r="T115" t="s">
        <v>10902</v>
      </c>
      <c r="U115" t="s">
        <v>11003</v>
      </c>
      <c r="V115" t="s">
        <v>11003</v>
      </c>
      <c r="W115" t="s">
        <v>43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s="4"/>
      <c r="AD115" s="4"/>
      <c r="AE115" s="2">
        <v>0</v>
      </c>
      <c r="AF115" s="4">
        <v>0</v>
      </c>
      <c r="AG115" s="2">
        <v>8.23</v>
      </c>
      <c r="AH115" s="2">
        <v>13253324.32</v>
      </c>
      <c r="AI115" s="2">
        <v>0.03</v>
      </c>
      <c r="AJ115" s="5">
        <v>44673</v>
      </c>
      <c r="AK115" t="s">
        <v>11232</v>
      </c>
      <c r="AL115" s="2">
        <v>0</v>
      </c>
      <c r="AM115" s="2">
        <v>0</v>
      </c>
      <c r="AN115" s="2">
        <v>0</v>
      </c>
      <c r="AO115" t="s">
        <v>44</v>
      </c>
      <c r="AP115" t="s">
        <v>11020</v>
      </c>
      <c r="AQ115" t="s">
        <v>11019</v>
      </c>
    </row>
    <row r="116" spans="1:43" x14ac:dyDescent="0.2">
      <c r="A116" t="s">
        <v>11231</v>
      </c>
      <c r="B116" t="s">
        <v>11013</v>
      </c>
      <c r="C116" t="s">
        <v>11014</v>
      </c>
      <c r="D116" t="s">
        <v>11021</v>
      </c>
      <c r="E116" t="s">
        <v>11022</v>
      </c>
      <c r="F116" t="s">
        <v>11021</v>
      </c>
      <c r="G116" s="1">
        <v>10356528.4111</v>
      </c>
      <c r="H116" s="2">
        <v>8499949.9299999997</v>
      </c>
      <c r="I116" s="2">
        <v>10397954.52</v>
      </c>
      <c r="J116" s="2">
        <v>0</v>
      </c>
      <c r="K116" s="2">
        <v>0</v>
      </c>
      <c r="L116" s="2">
        <v>10397954.52</v>
      </c>
      <c r="M116" s="3">
        <v>1.004</v>
      </c>
      <c r="N116" s="4">
        <v>2.3656469999999999E-2</v>
      </c>
      <c r="O116" s="5" t="s">
        <v>44</v>
      </c>
      <c r="P116" s="5" t="s">
        <v>44</v>
      </c>
      <c r="Q116" s="1"/>
      <c r="R116" s="2"/>
      <c r="S116" s="6"/>
      <c r="T116" t="s">
        <v>10902</v>
      </c>
      <c r="U116" t="s">
        <v>11003</v>
      </c>
      <c r="V116" t="s">
        <v>11003</v>
      </c>
      <c r="W116" t="s">
        <v>43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s="4"/>
      <c r="AD116" s="4"/>
      <c r="AE116" s="2">
        <v>0</v>
      </c>
      <c r="AF116" s="4">
        <v>0</v>
      </c>
      <c r="AG116" s="2">
        <v>6.46</v>
      </c>
      <c r="AH116" s="2">
        <v>10397954.52</v>
      </c>
      <c r="AI116" s="2">
        <v>0.02</v>
      </c>
      <c r="AJ116" s="5">
        <v>44673</v>
      </c>
      <c r="AK116" t="s">
        <v>11232</v>
      </c>
      <c r="AL116" s="2">
        <v>0</v>
      </c>
      <c r="AM116" s="2">
        <v>0</v>
      </c>
      <c r="AN116" s="2">
        <v>0</v>
      </c>
      <c r="AO116" t="s">
        <v>44</v>
      </c>
      <c r="AP116" t="s">
        <v>11023</v>
      </c>
      <c r="AQ116" t="s">
        <v>11022</v>
      </c>
    </row>
    <row r="117" spans="1:43" x14ac:dyDescent="0.2">
      <c r="A117" t="s">
        <v>11231</v>
      </c>
      <c r="B117" t="s">
        <v>11013</v>
      </c>
      <c r="C117" t="s">
        <v>11047</v>
      </c>
      <c r="D117" t="s">
        <v>11233</v>
      </c>
      <c r="E117" t="s">
        <v>11234</v>
      </c>
      <c r="F117" t="s">
        <v>11233</v>
      </c>
      <c r="G117" s="1">
        <v>1550056.9705999999</v>
      </c>
      <c r="H117" s="2">
        <v>23410353.18</v>
      </c>
      <c r="I117" s="2">
        <v>32149731.629999999</v>
      </c>
      <c r="J117" s="2">
        <v>0</v>
      </c>
      <c r="K117" s="2">
        <v>0</v>
      </c>
      <c r="L117" s="2">
        <v>32149731.629999999</v>
      </c>
      <c r="M117" s="3">
        <v>20.741</v>
      </c>
      <c r="N117" s="4">
        <v>7.3144100000000004E-2</v>
      </c>
      <c r="O117" s="5" t="s">
        <v>44</v>
      </c>
      <c r="P117" s="5" t="s">
        <v>44</v>
      </c>
      <c r="Q117" s="1"/>
      <c r="R117" s="2"/>
      <c r="S117" s="6"/>
      <c r="T117" t="s">
        <v>10902</v>
      </c>
      <c r="U117" t="s">
        <v>11003</v>
      </c>
      <c r="V117" t="s">
        <v>11003</v>
      </c>
      <c r="W117" t="s">
        <v>43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s="4"/>
      <c r="AD117" s="4"/>
      <c r="AE117" s="2">
        <v>0</v>
      </c>
      <c r="AF117" s="4">
        <v>0</v>
      </c>
      <c r="AG117" s="2">
        <v>19.96</v>
      </c>
      <c r="AH117" s="2">
        <v>32149731.629999999</v>
      </c>
      <c r="AI117" s="2">
        <v>7.0000000000000007E-2</v>
      </c>
      <c r="AJ117" s="5">
        <v>44673</v>
      </c>
      <c r="AK117" t="s">
        <v>11232</v>
      </c>
      <c r="AL117" s="2">
        <v>0</v>
      </c>
      <c r="AM117" s="2">
        <v>0</v>
      </c>
      <c r="AN117" s="2">
        <v>0</v>
      </c>
      <c r="AO117" t="s">
        <v>44</v>
      </c>
      <c r="AP117" t="s">
        <v>11235</v>
      </c>
      <c r="AQ117" t="s">
        <v>11234</v>
      </c>
    </row>
    <row r="118" spans="1:43" x14ac:dyDescent="0.2">
      <c r="A118" t="s">
        <v>11231</v>
      </c>
      <c r="B118" t="s">
        <v>11024</v>
      </c>
      <c r="C118" t="s">
        <v>57</v>
      </c>
      <c r="D118" t="s">
        <v>12717</v>
      </c>
      <c r="E118" t="s">
        <v>12717</v>
      </c>
      <c r="F118" t="s">
        <v>12717</v>
      </c>
      <c r="G118" s="1">
        <v>-41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3">
        <v>65943</v>
      </c>
      <c r="N118" s="4">
        <v>0</v>
      </c>
      <c r="O118" s="5" t="s">
        <v>44</v>
      </c>
      <c r="P118" s="5">
        <v>44910</v>
      </c>
      <c r="Q118" s="1"/>
      <c r="R118" s="2"/>
      <c r="S118" s="6"/>
      <c r="T118" t="s">
        <v>11026</v>
      </c>
      <c r="U118" t="s">
        <v>11025</v>
      </c>
      <c r="V118" t="s">
        <v>11027</v>
      </c>
      <c r="W118" t="s">
        <v>43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s="4"/>
      <c r="AD118" s="4"/>
      <c r="AE118" s="2">
        <v>0</v>
      </c>
      <c r="AF118" s="4">
        <v>0</v>
      </c>
      <c r="AG118" s="2">
        <v>0</v>
      </c>
      <c r="AH118" s="2">
        <v>-27036630</v>
      </c>
      <c r="AI118" s="2">
        <v>-0.06</v>
      </c>
      <c r="AJ118" s="5">
        <v>44673</v>
      </c>
      <c r="AK118" t="s">
        <v>11232</v>
      </c>
      <c r="AL118" s="2">
        <v>0</v>
      </c>
      <c r="AM118" s="2">
        <v>0</v>
      </c>
      <c r="AN118" s="2">
        <v>0</v>
      </c>
      <c r="AO118" t="s">
        <v>44</v>
      </c>
      <c r="AP118" t="s">
        <v>12718</v>
      </c>
      <c r="AQ118" t="s">
        <v>12717</v>
      </c>
    </row>
    <row r="119" spans="1:43" x14ac:dyDescent="0.2">
      <c r="A119" t="s">
        <v>11231</v>
      </c>
      <c r="B119" t="s">
        <v>11024</v>
      </c>
      <c r="C119" t="s">
        <v>57</v>
      </c>
      <c r="D119" t="s">
        <v>12719</v>
      </c>
      <c r="E119" t="s">
        <v>12719</v>
      </c>
      <c r="F119" t="s">
        <v>12719</v>
      </c>
      <c r="G119" s="1">
        <v>74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3">
        <v>23175</v>
      </c>
      <c r="N119" s="4">
        <v>0</v>
      </c>
      <c r="O119" s="5" t="s">
        <v>44</v>
      </c>
      <c r="P119" s="5">
        <v>44910</v>
      </c>
      <c r="Q119" s="1"/>
      <c r="R119" s="2"/>
      <c r="S119" s="6"/>
      <c r="T119" t="s">
        <v>11153</v>
      </c>
      <c r="U119" t="s">
        <v>11025</v>
      </c>
      <c r="V119" t="s">
        <v>11154</v>
      </c>
      <c r="W119" t="s">
        <v>43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s="4"/>
      <c r="AD119" s="4"/>
      <c r="AE119" s="2">
        <v>0</v>
      </c>
      <c r="AF119" s="4">
        <v>0</v>
      </c>
      <c r="AG119" s="2">
        <v>0</v>
      </c>
      <c r="AH119" s="2">
        <v>18136412.460000001</v>
      </c>
      <c r="AI119" s="2">
        <v>0.04</v>
      </c>
      <c r="AJ119" s="5">
        <v>44673</v>
      </c>
      <c r="AK119" t="s">
        <v>11232</v>
      </c>
      <c r="AL119" s="2">
        <v>0</v>
      </c>
      <c r="AM119" s="2">
        <v>0</v>
      </c>
      <c r="AN119" s="2">
        <v>0</v>
      </c>
      <c r="AO119" t="s">
        <v>44</v>
      </c>
      <c r="AP119" t="s">
        <v>12720</v>
      </c>
      <c r="AQ119" t="s">
        <v>12719</v>
      </c>
    </row>
    <row r="120" spans="1:43" x14ac:dyDescent="0.2">
      <c r="A120" t="s">
        <v>11231</v>
      </c>
      <c r="B120" t="s">
        <v>11024</v>
      </c>
      <c r="C120" t="s">
        <v>57</v>
      </c>
      <c r="D120" t="s">
        <v>11151</v>
      </c>
      <c r="E120" t="s">
        <v>11151</v>
      </c>
      <c r="F120" t="s">
        <v>11151</v>
      </c>
      <c r="G120" s="1">
        <v>72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3">
        <v>65704</v>
      </c>
      <c r="N120" s="4">
        <v>0</v>
      </c>
      <c r="O120" s="5" t="s">
        <v>44</v>
      </c>
      <c r="P120" s="5">
        <v>44727</v>
      </c>
      <c r="Q120" s="1"/>
      <c r="R120" s="2"/>
      <c r="S120" s="6"/>
      <c r="T120" t="s">
        <v>11026</v>
      </c>
      <c r="U120" t="s">
        <v>11025</v>
      </c>
      <c r="V120" t="s">
        <v>11027</v>
      </c>
      <c r="W120" t="s">
        <v>43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s="4"/>
      <c r="AD120" s="4"/>
      <c r="AE120" s="2">
        <v>0</v>
      </c>
      <c r="AF120" s="4">
        <v>0</v>
      </c>
      <c r="AG120" s="2">
        <v>0</v>
      </c>
      <c r="AH120" s="2">
        <v>47306880</v>
      </c>
      <c r="AI120" s="2">
        <v>0.11</v>
      </c>
      <c r="AJ120" s="5">
        <v>44673</v>
      </c>
      <c r="AK120" t="s">
        <v>11232</v>
      </c>
      <c r="AL120" s="2">
        <v>0</v>
      </c>
      <c r="AM120" s="2">
        <v>0</v>
      </c>
      <c r="AN120" s="2">
        <v>0</v>
      </c>
      <c r="AO120" t="s">
        <v>44</v>
      </c>
      <c r="AP120" t="s">
        <v>11152</v>
      </c>
      <c r="AQ120" t="s">
        <v>11151</v>
      </c>
    </row>
    <row r="121" spans="1:43" x14ac:dyDescent="0.2">
      <c r="A121" t="s">
        <v>11231</v>
      </c>
      <c r="B121" t="s">
        <v>11024</v>
      </c>
      <c r="C121" t="s">
        <v>57</v>
      </c>
      <c r="D121" t="s">
        <v>12995</v>
      </c>
      <c r="E121" t="s">
        <v>12995</v>
      </c>
      <c r="F121" t="s">
        <v>12995</v>
      </c>
      <c r="G121" s="1">
        <v>-25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3">
        <v>11809</v>
      </c>
      <c r="N121" s="4">
        <v>0</v>
      </c>
      <c r="O121" s="5" t="s">
        <v>44</v>
      </c>
      <c r="P121" s="5">
        <v>44727</v>
      </c>
      <c r="Q121" s="1"/>
      <c r="R121" s="2"/>
      <c r="S121" s="6"/>
      <c r="T121" t="s">
        <v>11153</v>
      </c>
      <c r="U121" t="s">
        <v>11025</v>
      </c>
      <c r="V121" t="s">
        <v>11154</v>
      </c>
      <c r="W121" t="s">
        <v>43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s="4"/>
      <c r="AD121" s="4"/>
      <c r="AE121" s="2">
        <v>0</v>
      </c>
      <c r="AF121" s="4">
        <v>0</v>
      </c>
      <c r="AG121" s="2">
        <v>0</v>
      </c>
      <c r="AH121" s="2">
        <v>4970701.49</v>
      </c>
      <c r="AI121" s="2">
        <v>0.01</v>
      </c>
      <c r="AJ121" s="5">
        <v>44673</v>
      </c>
      <c r="AK121" t="s">
        <v>11232</v>
      </c>
      <c r="AL121" s="2">
        <v>0</v>
      </c>
      <c r="AM121" s="2">
        <v>0</v>
      </c>
      <c r="AN121" s="2">
        <v>0</v>
      </c>
      <c r="AO121" t="s">
        <v>44</v>
      </c>
      <c r="AP121" t="s">
        <v>12999</v>
      </c>
      <c r="AQ121" t="s">
        <v>12995</v>
      </c>
    </row>
    <row r="122" spans="1:43" x14ac:dyDescent="0.2">
      <c r="A122" t="s">
        <v>11231</v>
      </c>
      <c r="B122" t="s">
        <v>11024</v>
      </c>
      <c r="C122" t="s">
        <v>57</v>
      </c>
      <c r="D122" t="s">
        <v>11155</v>
      </c>
      <c r="E122" t="s">
        <v>11155</v>
      </c>
      <c r="F122" t="s">
        <v>11155</v>
      </c>
      <c r="G122" s="1">
        <v>-50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3">
        <v>615</v>
      </c>
      <c r="N122" s="4">
        <v>0</v>
      </c>
      <c r="O122" s="5" t="s">
        <v>44</v>
      </c>
      <c r="P122" s="5">
        <v>44727</v>
      </c>
      <c r="Q122" s="1"/>
      <c r="R122" s="2"/>
      <c r="S122" s="6"/>
      <c r="T122" t="s">
        <v>11153</v>
      </c>
      <c r="U122" t="s">
        <v>11025</v>
      </c>
      <c r="V122" t="s">
        <v>11154</v>
      </c>
      <c r="W122" t="s">
        <v>43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s="4"/>
      <c r="AD122" s="4"/>
      <c r="AE122" s="2">
        <v>0</v>
      </c>
      <c r="AF122" s="4">
        <v>0</v>
      </c>
      <c r="AG122" s="2">
        <v>0</v>
      </c>
      <c r="AH122" s="2">
        <v>-1209404.68</v>
      </c>
      <c r="AI122" s="2">
        <v>0</v>
      </c>
      <c r="AJ122" s="5">
        <v>44673</v>
      </c>
      <c r="AK122" t="s">
        <v>11232</v>
      </c>
      <c r="AL122" s="2">
        <v>0</v>
      </c>
      <c r="AM122" s="2">
        <v>0</v>
      </c>
      <c r="AN122" s="2">
        <v>0</v>
      </c>
      <c r="AO122" t="s">
        <v>44</v>
      </c>
      <c r="AP122" t="s">
        <v>11156</v>
      </c>
      <c r="AQ122" t="s">
        <v>11155</v>
      </c>
    </row>
    <row r="123" spans="1:43" x14ac:dyDescent="0.2">
      <c r="A123" t="s">
        <v>11231</v>
      </c>
      <c r="B123" t="s">
        <v>11024</v>
      </c>
      <c r="C123" t="s">
        <v>57</v>
      </c>
      <c r="D123" t="s">
        <v>11157</v>
      </c>
      <c r="E123" t="s">
        <v>11157</v>
      </c>
      <c r="F123" t="s">
        <v>11157</v>
      </c>
      <c r="G123" s="1">
        <v>-28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3">
        <v>65741</v>
      </c>
      <c r="N123" s="4">
        <v>0</v>
      </c>
      <c r="O123" s="5" t="s">
        <v>44</v>
      </c>
      <c r="P123" s="5">
        <v>44819</v>
      </c>
      <c r="Q123" s="1"/>
      <c r="R123" s="2"/>
      <c r="S123" s="6"/>
      <c r="T123" t="s">
        <v>11026</v>
      </c>
      <c r="U123" t="s">
        <v>11025</v>
      </c>
      <c r="V123" t="s">
        <v>11027</v>
      </c>
      <c r="W123" t="s">
        <v>43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s="4"/>
      <c r="AD123" s="4"/>
      <c r="AE123" s="2">
        <v>0</v>
      </c>
      <c r="AF123" s="4">
        <v>0</v>
      </c>
      <c r="AG123" s="2">
        <v>0</v>
      </c>
      <c r="AH123" s="2">
        <v>-18407480</v>
      </c>
      <c r="AI123" s="2">
        <v>-0.04</v>
      </c>
      <c r="AJ123" s="5">
        <v>44673</v>
      </c>
      <c r="AK123" t="s">
        <v>11232</v>
      </c>
      <c r="AL123" s="2">
        <v>0</v>
      </c>
      <c r="AM123" s="2">
        <v>0</v>
      </c>
      <c r="AN123" s="2">
        <v>0</v>
      </c>
      <c r="AO123" t="s">
        <v>44</v>
      </c>
      <c r="AP123" t="s">
        <v>11158</v>
      </c>
      <c r="AQ123" t="s">
        <v>11157</v>
      </c>
    </row>
    <row r="124" spans="1:43" x14ac:dyDescent="0.2">
      <c r="A124" t="s">
        <v>11231</v>
      </c>
      <c r="B124" t="s">
        <v>11024</v>
      </c>
      <c r="C124" t="s">
        <v>57</v>
      </c>
      <c r="D124" t="s">
        <v>12738</v>
      </c>
      <c r="E124" t="s">
        <v>12738</v>
      </c>
      <c r="F124" t="s">
        <v>12738</v>
      </c>
      <c r="G124" s="1">
        <v>68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3">
        <v>17668</v>
      </c>
      <c r="N124" s="4">
        <v>0</v>
      </c>
      <c r="O124" s="5" t="s">
        <v>44</v>
      </c>
      <c r="P124" s="5">
        <v>44819</v>
      </c>
      <c r="Q124" s="1"/>
      <c r="R124" s="2"/>
      <c r="S124" s="6"/>
      <c r="T124" t="s">
        <v>11153</v>
      </c>
      <c r="U124" t="s">
        <v>11025</v>
      </c>
      <c r="V124" t="s">
        <v>11154</v>
      </c>
      <c r="W124" t="s">
        <v>43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s="4"/>
      <c r="AD124" s="4"/>
      <c r="AE124" s="2">
        <v>0</v>
      </c>
      <c r="AF124" s="4">
        <v>0</v>
      </c>
      <c r="AG124" s="2">
        <v>0</v>
      </c>
      <c r="AH124" s="2">
        <v>16120065.960000001</v>
      </c>
      <c r="AI124" s="2">
        <v>0.04</v>
      </c>
      <c r="AJ124" s="5">
        <v>44673</v>
      </c>
      <c r="AK124" t="s">
        <v>11232</v>
      </c>
      <c r="AL124" s="2">
        <v>0</v>
      </c>
      <c r="AM124" s="2">
        <v>0</v>
      </c>
      <c r="AN124" s="2">
        <v>0</v>
      </c>
      <c r="AO124" t="s">
        <v>44</v>
      </c>
      <c r="AP124" t="s">
        <v>12741</v>
      </c>
      <c r="AQ124" t="s">
        <v>12738</v>
      </c>
    </row>
    <row r="125" spans="1:43" x14ac:dyDescent="0.2">
      <c r="A125" t="s">
        <v>11231</v>
      </c>
      <c r="B125" t="s">
        <v>11024</v>
      </c>
      <c r="C125" t="s">
        <v>57</v>
      </c>
      <c r="D125" t="s">
        <v>12722</v>
      </c>
      <c r="E125" t="s">
        <v>12722</v>
      </c>
      <c r="F125" t="s">
        <v>12722</v>
      </c>
      <c r="G125" s="1">
        <v>69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3">
        <v>14076</v>
      </c>
      <c r="N125" s="4">
        <v>0</v>
      </c>
      <c r="O125" s="5" t="s">
        <v>44</v>
      </c>
      <c r="P125" s="5">
        <v>44819</v>
      </c>
      <c r="Q125" s="1"/>
      <c r="R125" s="2"/>
      <c r="S125" s="6"/>
      <c r="T125" t="s">
        <v>11153</v>
      </c>
      <c r="U125" t="s">
        <v>11025</v>
      </c>
      <c r="V125" t="s">
        <v>11154</v>
      </c>
      <c r="W125" t="s">
        <v>43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s="4"/>
      <c r="AD125" s="4"/>
      <c r="AE125" s="2">
        <v>0</v>
      </c>
      <c r="AF125" s="4">
        <v>0</v>
      </c>
      <c r="AG125" s="2">
        <v>0</v>
      </c>
      <c r="AH125" s="2">
        <v>14084550.33</v>
      </c>
      <c r="AI125" s="2">
        <v>0.03</v>
      </c>
      <c r="AJ125" s="5">
        <v>44673</v>
      </c>
      <c r="AK125" t="s">
        <v>11232</v>
      </c>
      <c r="AL125" s="2">
        <v>0</v>
      </c>
      <c r="AM125" s="2">
        <v>0</v>
      </c>
      <c r="AN125" s="2">
        <v>0</v>
      </c>
      <c r="AO125" t="s">
        <v>44</v>
      </c>
      <c r="AP125" t="s">
        <v>12723</v>
      </c>
      <c r="AQ125" t="s">
        <v>12722</v>
      </c>
    </row>
    <row r="126" spans="1:43" x14ac:dyDescent="0.2">
      <c r="A126" t="s">
        <v>11231</v>
      </c>
      <c r="B126" t="s">
        <v>11024</v>
      </c>
      <c r="C126" t="s">
        <v>57</v>
      </c>
      <c r="D126" t="s">
        <v>12996</v>
      </c>
      <c r="E126" t="s">
        <v>12996</v>
      </c>
      <c r="F126" t="s">
        <v>12996</v>
      </c>
      <c r="G126" s="1">
        <v>-49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3">
        <v>5097</v>
      </c>
      <c r="N126" s="4">
        <v>0</v>
      </c>
      <c r="O126" s="5" t="s">
        <v>44</v>
      </c>
      <c r="P126" s="5">
        <v>44819</v>
      </c>
      <c r="Q126" s="1"/>
      <c r="R126" s="2"/>
      <c r="S126" s="6"/>
      <c r="T126" t="s">
        <v>11153</v>
      </c>
      <c r="U126" t="s">
        <v>11025</v>
      </c>
      <c r="V126" t="s">
        <v>11154</v>
      </c>
      <c r="W126" t="s">
        <v>43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s="4"/>
      <c r="AD126" s="4"/>
      <c r="AE126" s="2">
        <v>0</v>
      </c>
      <c r="AF126" s="4">
        <v>0</v>
      </c>
      <c r="AG126" s="2">
        <v>0</v>
      </c>
      <c r="AH126" s="2">
        <v>-4733826.7</v>
      </c>
      <c r="AI126" s="2">
        <v>-0.01</v>
      </c>
      <c r="AJ126" s="5">
        <v>44673</v>
      </c>
      <c r="AK126" t="s">
        <v>11232</v>
      </c>
      <c r="AL126" s="2">
        <v>0</v>
      </c>
      <c r="AM126" s="2">
        <v>0</v>
      </c>
      <c r="AN126" s="2">
        <v>0</v>
      </c>
      <c r="AO126" t="s">
        <v>44</v>
      </c>
      <c r="AP126" t="s">
        <v>13000</v>
      </c>
      <c r="AQ126" t="s">
        <v>12996</v>
      </c>
    </row>
    <row r="127" spans="1:43" x14ac:dyDescent="0.2">
      <c r="A127" t="s">
        <v>11231</v>
      </c>
      <c r="B127" t="s">
        <v>11024</v>
      </c>
      <c r="C127" t="s">
        <v>57</v>
      </c>
      <c r="D127" t="s">
        <v>12739</v>
      </c>
      <c r="E127" t="s">
        <v>12739</v>
      </c>
      <c r="F127" t="s">
        <v>12739</v>
      </c>
      <c r="G127" s="1">
        <v>-49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3">
        <v>2268</v>
      </c>
      <c r="N127" s="4">
        <v>0</v>
      </c>
      <c r="O127" s="5" t="s">
        <v>44</v>
      </c>
      <c r="P127" s="5">
        <v>44819</v>
      </c>
      <c r="Q127" s="1"/>
      <c r="R127" s="2"/>
      <c r="S127" s="6"/>
      <c r="T127" t="s">
        <v>11153</v>
      </c>
      <c r="U127" t="s">
        <v>11025</v>
      </c>
      <c r="V127" t="s">
        <v>11154</v>
      </c>
      <c r="W127" t="s">
        <v>43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s="4"/>
      <c r="AD127" s="4"/>
      <c r="AE127" s="2">
        <v>0</v>
      </c>
      <c r="AF127" s="4">
        <v>0</v>
      </c>
      <c r="AG127" s="2">
        <v>0</v>
      </c>
      <c r="AH127" s="2">
        <v>-2433194.62</v>
      </c>
      <c r="AI127" s="2">
        <v>-0.01</v>
      </c>
      <c r="AJ127" s="5">
        <v>44673</v>
      </c>
      <c r="AK127" t="s">
        <v>11232</v>
      </c>
      <c r="AL127" s="2">
        <v>0</v>
      </c>
      <c r="AM127" s="2">
        <v>0</v>
      </c>
      <c r="AN127" s="2">
        <v>0</v>
      </c>
      <c r="AO127" t="s">
        <v>44</v>
      </c>
      <c r="AP127" t="s">
        <v>12742</v>
      </c>
      <c r="AQ127" t="s">
        <v>12739</v>
      </c>
    </row>
    <row r="128" spans="1:43" x14ac:dyDescent="0.2">
      <c r="A128" t="s">
        <v>11231</v>
      </c>
      <c r="B128" t="s">
        <v>11038</v>
      </c>
      <c r="C128" t="s">
        <v>11039</v>
      </c>
      <c r="D128" t="s">
        <v>11216</v>
      </c>
      <c r="E128" t="s">
        <v>11217</v>
      </c>
      <c r="F128" t="s">
        <v>11216</v>
      </c>
      <c r="G128" s="1">
        <v>9000000</v>
      </c>
      <c r="H128" s="2">
        <v>9000000</v>
      </c>
      <c r="I128" s="2">
        <v>8989493.2599999998</v>
      </c>
      <c r="J128" s="2">
        <v>88027.4</v>
      </c>
      <c r="K128" s="2">
        <v>0</v>
      </c>
      <c r="L128" s="2">
        <v>9077520.6600000001</v>
      </c>
      <c r="M128" s="3">
        <v>6.0366650000000002</v>
      </c>
      <c r="N128" s="4">
        <v>2.0652340000000002E-2</v>
      </c>
      <c r="O128" s="5">
        <v>44979</v>
      </c>
      <c r="P128" s="5">
        <v>44979</v>
      </c>
      <c r="Q128" s="1">
        <v>5.95</v>
      </c>
      <c r="R128" s="2">
        <v>0.83</v>
      </c>
      <c r="S128" s="6">
        <v>0.79052188852000005</v>
      </c>
      <c r="T128" t="s">
        <v>111</v>
      </c>
      <c r="U128" t="s">
        <v>11040</v>
      </c>
      <c r="V128" t="s">
        <v>11041</v>
      </c>
      <c r="W128" t="s">
        <v>43</v>
      </c>
      <c r="X128" t="s">
        <v>11034</v>
      </c>
      <c r="Y128" t="s">
        <v>44</v>
      </c>
      <c r="Z128" t="s">
        <v>44</v>
      </c>
      <c r="AA128" t="s">
        <v>10979</v>
      </c>
      <c r="AB128" t="s">
        <v>44</v>
      </c>
      <c r="AC128" s="4">
        <v>6.0672128599999997</v>
      </c>
      <c r="AD128" s="4">
        <v>5.9047591700000002</v>
      </c>
      <c r="AE128" s="2">
        <v>6.07</v>
      </c>
      <c r="AF128" s="4">
        <v>5.9047591700000002</v>
      </c>
      <c r="AG128" s="2">
        <v>5.64</v>
      </c>
      <c r="AH128" s="2">
        <v>9077520.6600000001</v>
      </c>
      <c r="AI128" s="2">
        <v>0.02</v>
      </c>
      <c r="AJ128" s="5">
        <v>44673</v>
      </c>
      <c r="AK128" t="s">
        <v>11232</v>
      </c>
      <c r="AL128" s="2">
        <v>5.98</v>
      </c>
      <c r="AM128" s="2">
        <v>5.95</v>
      </c>
      <c r="AN128" s="2">
        <v>0.79</v>
      </c>
      <c r="AO128" t="s">
        <v>11165</v>
      </c>
      <c r="AP128" t="s">
        <v>11218</v>
      </c>
      <c r="AQ128" t="s">
        <v>11217</v>
      </c>
    </row>
    <row r="129" spans="1:43" x14ac:dyDescent="0.2">
      <c r="A129" t="s">
        <v>11231</v>
      </c>
      <c r="B129" t="s">
        <v>11038</v>
      </c>
      <c r="C129" t="s">
        <v>11039</v>
      </c>
      <c r="D129" t="s">
        <v>12866</v>
      </c>
      <c r="E129" t="s">
        <v>12867</v>
      </c>
      <c r="F129" t="s">
        <v>12866</v>
      </c>
      <c r="G129" s="1">
        <v>12000000</v>
      </c>
      <c r="H129" s="2">
        <v>12000000</v>
      </c>
      <c r="I129" s="2">
        <v>11997065.6</v>
      </c>
      <c r="J129" s="2">
        <v>36838.36</v>
      </c>
      <c r="K129" s="2">
        <v>0</v>
      </c>
      <c r="L129" s="2">
        <v>12033903.960000001</v>
      </c>
      <c r="M129" s="3">
        <v>6.2311399999999999</v>
      </c>
      <c r="N129" s="4">
        <v>2.7378429999999999E-2</v>
      </c>
      <c r="O129" s="5">
        <v>45021</v>
      </c>
      <c r="P129" s="5">
        <v>45021</v>
      </c>
      <c r="Q129" s="1">
        <v>6.2249999999999996</v>
      </c>
      <c r="R129" s="2">
        <v>0.95</v>
      </c>
      <c r="S129" s="6">
        <v>0.89263205706000004</v>
      </c>
      <c r="T129" t="s">
        <v>111</v>
      </c>
      <c r="U129" t="s">
        <v>11040</v>
      </c>
      <c r="V129" t="s">
        <v>11041</v>
      </c>
      <c r="W129" t="s">
        <v>43</v>
      </c>
      <c r="X129" t="s">
        <v>11034</v>
      </c>
      <c r="Y129" t="s">
        <v>44</v>
      </c>
      <c r="Z129" t="s">
        <v>44</v>
      </c>
      <c r="AA129" t="s">
        <v>10979</v>
      </c>
      <c r="AB129" t="s">
        <v>44</v>
      </c>
      <c r="AC129" s="4">
        <v>6.2415867</v>
      </c>
      <c r="AD129" s="4">
        <v>6.0698431499999996</v>
      </c>
      <c r="AE129" s="2">
        <v>6.24</v>
      </c>
      <c r="AF129" s="4">
        <v>6.0698431499999996</v>
      </c>
      <c r="AG129" s="2">
        <v>7.47</v>
      </c>
      <c r="AH129" s="2">
        <v>12033903.960000001</v>
      </c>
      <c r="AI129" s="2">
        <v>0.03</v>
      </c>
      <c r="AJ129" s="5">
        <v>44673</v>
      </c>
      <c r="AK129" t="s">
        <v>11232</v>
      </c>
      <c r="AL129" s="2">
        <v>6.15</v>
      </c>
      <c r="AM129" s="2">
        <v>6.22</v>
      </c>
      <c r="AN129" s="2">
        <v>0.89</v>
      </c>
      <c r="AO129" t="s">
        <v>11054</v>
      </c>
      <c r="AP129" t="s">
        <v>12868</v>
      </c>
      <c r="AQ129" t="s">
        <v>12867</v>
      </c>
    </row>
    <row r="130" spans="1:43" x14ac:dyDescent="0.2">
      <c r="A130" t="s">
        <v>11231</v>
      </c>
      <c r="B130" t="s">
        <v>11038</v>
      </c>
      <c r="C130" t="s">
        <v>11039</v>
      </c>
      <c r="D130" t="s">
        <v>11042</v>
      </c>
      <c r="E130" t="s">
        <v>11043</v>
      </c>
      <c r="F130" t="s">
        <v>11042</v>
      </c>
      <c r="G130" s="1">
        <v>15000000</v>
      </c>
      <c r="H130" s="2">
        <v>15000000</v>
      </c>
      <c r="I130" s="2">
        <v>14989449.4</v>
      </c>
      <c r="J130" s="2">
        <v>166273.97</v>
      </c>
      <c r="K130" s="2">
        <v>0</v>
      </c>
      <c r="L130" s="2">
        <v>15155723.369999999</v>
      </c>
      <c r="M130" s="3">
        <v>5.9730699999999999</v>
      </c>
      <c r="N130" s="4">
        <v>3.4480900000000002E-2</v>
      </c>
      <c r="O130" s="5">
        <v>44971</v>
      </c>
      <c r="P130" s="5">
        <v>44971</v>
      </c>
      <c r="Q130" s="1">
        <v>5.95</v>
      </c>
      <c r="R130" s="2">
        <v>0.81</v>
      </c>
      <c r="S130" s="6">
        <v>0.77099882388999996</v>
      </c>
      <c r="T130" t="s">
        <v>111</v>
      </c>
      <c r="U130" t="s">
        <v>11040</v>
      </c>
      <c r="V130" t="s">
        <v>11041</v>
      </c>
      <c r="W130" t="s">
        <v>43</v>
      </c>
      <c r="X130" t="s">
        <v>11034</v>
      </c>
      <c r="Y130" t="s">
        <v>44</v>
      </c>
      <c r="Z130" t="s">
        <v>44</v>
      </c>
      <c r="AA130" t="s">
        <v>11035</v>
      </c>
      <c r="AB130" t="s">
        <v>44</v>
      </c>
      <c r="AC130" s="4">
        <v>6.0068705900000001</v>
      </c>
      <c r="AD130" s="4">
        <v>5.8475737299999997</v>
      </c>
      <c r="AE130" s="2">
        <v>6.01</v>
      </c>
      <c r="AF130" s="4">
        <v>5.8475737299999997</v>
      </c>
      <c r="AG130" s="2">
        <v>9.41</v>
      </c>
      <c r="AH130" s="2">
        <v>15155723.369999999</v>
      </c>
      <c r="AI130" s="2">
        <v>0.03</v>
      </c>
      <c r="AJ130" s="5">
        <v>44673</v>
      </c>
      <c r="AK130" t="s">
        <v>11232</v>
      </c>
      <c r="AL130" s="2">
        <v>5.92</v>
      </c>
      <c r="AM130" s="2">
        <v>5.95</v>
      </c>
      <c r="AN130" s="2">
        <v>0.77</v>
      </c>
      <c r="AO130" t="s">
        <v>11036</v>
      </c>
      <c r="AP130" t="s">
        <v>11044</v>
      </c>
      <c r="AQ130" t="s">
        <v>11043</v>
      </c>
    </row>
    <row r="131" spans="1:43" x14ac:dyDescent="0.2">
      <c r="A131" t="s">
        <v>11231</v>
      </c>
      <c r="B131" t="s">
        <v>11038</v>
      </c>
      <c r="C131" t="s">
        <v>11039</v>
      </c>
      <c r="D131" t="s">
        <v>12838</v>
      </c>
      <c r="E131" t="s">
        <v>12839</v>
      </c>
      <c r="F131" t="s">
        <v>12838</v>
      </c>
      <c r="G131" s="1">
        <v>3000000</v>
      </c>
      <c r="H131" s="2">
        <v>3000000</v>
      </c>
      <c r="I131" s="2">
        <v>3003129.47</v>
      </c>
      <c r="J131" s="2">
        <v>12004.11</v>
      </c>
      <c r="K131" s="2">
        <v>0</v>
      </c>
      <c r="L131" s="2">
        <v>3015133.58</v>
      </c>
      <c r="M131" s="3">
        <v>6.2045560000000002</v>
      </c>
      <c r="N131" s="4">
        <v>6.8597500000000004E-3</v>
      </c>
      <c r="O131" s="5">
        <v>45016</v>
      </c>
      <c r="P131" s="5">
        <v>45016</v>
      </c>
      <c r="Q131" s="1">
        <v>6.35</v>
      </c>
      <c r="R131" s="2">
        <v>0.93</v>
      </c>
      <c r="S131" s="6">
        <v>0.88061116438999998</v>
      </c>
      <c r="T131" t="s">
        <v>111</v>
      </c>
      <c r="U131" t="s">
        <v>11040</v>
      </c>
      <c r="V131" t="s">
        <v>11041</v>
      </c>
      <c r="W131" t="s">
        <v>43</v>
      </c>
      <c r="X131" t="s">
        <v>11034</v>
      </c>
      <c r="Y131" t="s">
        <v>44</v>
      </c>
      <c r="Z131" t="s">
        <v>44</v>
      </c>
      <c r="AA131" t="s">
        <v>10979</v>
      </c>
      <c r="AB131" t="s">
        <v>44</v>
      </c>
      <c r="AC131" s="4">
        <v>6.2175109700000002</v>
      </c>
      <c r="AD131" s="4">
        <v>6.0470648499999999</v>
      </c>
      <c r="AE131" s="2">
        <v>6.22</v>
      </c>
      <c r="AF131" s="4">
        <v>6.0470648499999999</v>
      </c>
      <c r="AG131" s="2">
        <v>1.87</v>
      </c>
      <c r="AH131" s="2">
        <v>3015133.58</v>
      </c>
      <c r="AI131" s="2">
        <v>0.01</v>
      </c>
      <c r="AJ131" s="5">
        <v>44673</v>
      </c>
      <c r="AK131" t="s">
        <v>11232</v>
      </c>
      <c r="AL131" s="2">
        <v>6.12</v>
      </c>
      <c r="AM131" s="2">
        <v>6.35</v>
      </c>
      <c r="AN131" s="2">
        <v>0.88</v>
      </c>
      <c r="AO131" t="s">
        <v>11179</v>
      </c>
      <c r="AP131" t="s">
        <v>12840</v>
      </c>
      <c r="AQ131" t="s">
        <v>12839</v>
      </c>
    </row>
    <row r="132" spans="1:43" x14ac:dyDescent="0.2">
      <c r="A132" t="s">
        <v>11231</v>
      </c>
      <c r="B132" t="s">
        <v>11160</v>
      </c>
      <c r="C132" t="s">
        <v>11161</v>
      </c>
      <c r="D132" t="s">
        <v>11162</v>
      </c>
      <c r="E132" t="s">
        <v>11163</v>
      </c>
      <c r="F132" t="s">
        <v>11162</v>
      </c>
      <c r="G132" s="1">
        <v>5770</v>
      </c>
      <c r="H132" s="2">
        <v>3944756.49</v>
      </c>
      <c r="I132" s="2">
        <v>5193000</v>
      </c>
      <c r="J132" s="2">
        <v>0</v>
      </c>
      <c r="K132" s="2">
        <v>143910.12</v>
      </c>
      <c r="L132" s="2">
        <v>5336910.12</v>
      </c>
      <c r="M132" s="3">
        <v>90000</v>
      </c>
      <c r="N132" s="4">
        <v>1.214205E-2</v>
      </c>
      <c r="O132" s="5" t="s">
        <v>44</v>
      </c>
      <c r="P132" s="5" t="s">
        <v>44</v>
      </c>
      <c r="Q132" s="1"/>
      <c r="R132" s="2"/>
      <c r="S132" s="6"/>
      <c r="T132" t="s">
        <v>10902</v>
      </c>
      <c r="U132" t="s">
        <v>10902</v>
      </c>
      <c r="V132" t="s">
        <v>11164</v>
      </c>
      <c r="W132" t="s">
        <v>43</v>
      </c>
      <c r="X132" t="s">
        <v>44</v>
      </c>
      <c r="Y132" t="s">
        <v>44</v>
      </c>
      <c r="Z132" t="s">
        <v>44</v>
      </c>
      <c r="AA132" t="s">
        <v>10979</v>
      </c>
      <c r="AB132" t="s">
        <v>44</v>
      </c>
      <c r="AC132" s="4"/>
      <c r="AD132" s="4"/>
      <c r="AE132" s="2">
        <v>0</v>
      </c>
      <c r="AF132" s="4">
        <v>0</v>
      </c>
      <c r="AG132" s="2">
        <v>3.31</v>
      </c>
      <c r="AH132" s="2">
        <v>5336910.12</v>
      </c>
      <c r="AI132" s="2">
        <v>0.01</v>
      </c>
      <c r="AJ132" s="5">
        <v>44673</v>
      </c>
      <c r="AK132" t="s">
        <v>11232</v>
      </c>
      <c r="AL132" s="2">
        <v>0</v>
      </c>
      <c r="AM132" s="2">
        <v>0</v>
      </c>
      <c r="AN132" s="2">
        <v>0</v>
      </c>
      <c r="AO132" t="s">
        <v>11165</v>
      </c>
      <c r="AP132" t="s">
        <v>11166</v>
      </c>
      <c r="AQ132" t="s">
        <v>11163</v>
      </c>
    </row>
    <row r="133" spans="1:43" x14ac:dyDescent="0.2">
      <c r="A133" t="s">
        <v>11231</v>
      </c>
      <c r="B133" t="s">
        <v>11160</v>
      </c>
      <c r="C133" t="s">
        <v>11161</v>
      </c>
      <c r="D133" t="s">
        <v>11167</v>
      </c>
      <c r="E133" t="s">
        <v>11168</v>
      </c>
      <c r="F133" t="s">
        <v>11167</v>
      </c>
      <c r="G133" s="1">
        <v>51133</v>
      </c>
      <c r="H133" s="2">
        <v>4734823.78</v>
      </c>
      <c r="I133" s="2">
        <v>4942004.45</v>
      </c>
      <c r="J133" s="2">
        <v>0</v>
      </c>
      <c r="K133" s="2">
        <v>0</v>
      </c>
      <c r="L133" s="2">
        <v>4942004.45</v>
      </c>
      <c r="M133" s="3">
        <v>9665</v>
      </c>
      <c r="N133" s="4">
        <v>1.1243589999999999E-2</v>
      </c>
      <c r="O133" s="5" t="s">
        <v>44</v>
      </c>
      <c r="P133" s="5" t="s">
        <v>44</v>
      </c>
      <c r="Q133" s="1"/>
      <c r="R133" s="2"/>
      <c r="S133" s="6"/>
      <c r="T133" t="s">
        <v>10902</v>
      </c>
      <c r="U133" t="s">
        <v>10902</v>
      </c>
      <c r="V133" t="s">
        <v>11164</v>
      </c>
      <c r="W133" t="s">
        <v>43</v>
      </c>
      <c r="X133" t="s">
        <v>11164</v>
      </c>
      <c r="Y133" t="s">
        <v>44</v>
      </c>
      <c r="Z133" t="s">
        <v>44</v>
      </c>
      <c r="AA133" t="s">
        <v>44</v>
      </c>
      <c r="AB133" t="s">
        <v>44</v>
      </c>
      <c r="AC133" s="4"/>
      <c r="AD133" s="4"/>
      <c r="AE133" s="2">
        <v>0</v>
      </c>
      <c r="AF133" s="4">
        <v>0</v>
      </c>
      <c r="AG133" s="2">
        <v>3.07</v>
      </c>
      <c r="AH133" s="2">
        <v>4942004.45</v>
      </c>
      <c r="AI133" s="2">
        <v>0.01</v>
      </c>
      <c r="AJ133" s="5">
        <v>44673</v>
      </c>
      <c r="AK133" t="s">
        <v>11232</v>
      </c>
      <c r="AL133" s="2">
        <v>0</v>
      </c>
      <c r="AM133" s="2">
        <v>0</v>
      </c>
      <c r="AN133" s="2">
        <v>0</v>
      </c>
      <c r="AO133" t="s">
        <v>44</v>
      </c>
      <c r="AP133" t="s">
        <v>11169</v>
      </c>
      <c r="AQ133" t="s">
        <v>11168</v>
      </c>
    </row>
    <row r="134" spans="1:43" x14ac:dyDescent="0.2">
      <c r="A134" t="s">
        <v>11231</v>
      </c>
      <c r="B134" t="s">
        <v>11160</v>
      </c>
      <c r="C134" t="s">
        <v>11161</v>
      </c>
      <c r="D134" t="s">
        <v>11170</v>
      </c>
      <c r="E134" t="s">
        <v>11171</v>
      </c>
      <c r="F134" t="s">
        <v>11170</v>
      </c>
      <c r="G134" s="1">
        <v>37816</v>
      </c>
      <c r="H134" s="2">
        <v>2826644.36</v>
      </c>
      <c r="I134" s="2">
        <v>3643193.44</v>
      </c>
      <c r="J134" s="2">
        <v>0</v>
      </c>
      <c r="K134" s="2">
        <v>0</v>
      </c>
      <c r="L134" s="2">
        <v>3643193.44</v>
      </c>
      <c r="M134" s="3">
        <v>9634</v>
      </c>
      <c r="N134" s="4">
        <v>8.2886599999999998E-3</v>
      </c>
      <c r="O134" s="5" t="s">
        <v>44</v>
      </c>
      <c r="P134" s="5" t="s">
        <v>44</v>
      </c>
      <c r="Q134" s="1"/>
      <c r="R134" s="2"/>
      <c r="S134" s="6"/>
      <c r="T134" t="s">
        <v>10902</v>
      </c>
      <c r="U134" t="s">
        <v>10902</v>
      </c>
      <c r="V134" t="s">
        <v>11164</v>
      </c>
      <c r="W134" t="s">
        <v>43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s="4"/>
      <c r="AD134" s="4"/>
      <c r="AE134" s="2">
        <v>0</v>
      </c>
      <c r="AF134" s="4">
        <v>0</v>
      </c>
      <c r="AG134" s="2">
        <v>2.2599999999999998</v>
      </c>
      <c r="AH134" s="2">
        <v>3643193.44</v>
      </c>
      <c r="AI134" s="2">
        <v>0.01</v>
      </c>
      <c r="AJ134" s="5">
        <v>44673</v>
      </c>
      <c r="AK134" t="s">
        <v>11232</v>
      </c>
      <c r="AL134" s="2">
        <v>0</v>
      </c>
      <c r="AM134" s="2">
        <v>0</v>
      </c>
      <c r="AN134" s="2">
        <v>0</v>
      </c>
      <c r="AO134" t="s">
        <v>44</v>
      </c>
      <c r="AP134" t="s">
        <v>11172</v>
      </c>
      <c r="AQ134" t="s">
        <v>11171</v>
      </c>
    </row>
    <row r="135" spans="1:43" x14ac:dyDescent="0.2">
      <c r="A135" t="s">
        <v>11231</v>
      </c>
      <c r="B135" t="s">
        <v>11160</v>
      </c>
      <c r="C135" t="s">
        <v>11161</v>
      </c>
      <c r="D135" t="s">
        <v>11173</v>
      </c>
      <c r="E135" t="s">
        <v>11174</v>
      </c>
      <c r="F135" t="s">
        <v>11173</v>
      </c>
      <c r="G135" s="1">
        <v>12353</v>
      </c>
      <c r="H135" s="2">
        <v>991174.82</v>
      </c>
      <c r="I135" s="2">
        <v>1062358</v>
      </c>
      <c r="J135" s="2">
        <v>0</v>
      </c>
      <c r="K135" s="2">
        <v>0</v>
      </c>
      <c r="L135" s="2">
        <v>1062358</v>
      </c>
      <c r="M135" s="3">
        <v>8600</v>
      </c>
      <c r="N135" s="4">
        <v>2.41698E-3</v>
      </c>
      <c r="O135" s="5" t="s">
        <v>44</v>
      </c>
      <c r="P135" s="5" t="s">
        <v>44</v>
      </c>
      <c r="Q135" s="1"/>
      <c r="R135" s="2"/>
      <c r="S135" s="6"/>
      <c r="T135" t="s">
        <v>10902</v>
      </c>
      <c r="U135" t="s">
        <v>10902</v>
      </c>
      <c r="V135" t="s">
        <v>11164</v>
      </c>
      <c r="W135" t="s">
        <v>43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s="4"/>
      <c r="AD135" s="4"/>
      <c r="AE135" s="2">
        <v>0</v>
      </c>
      <c r="AF135" s="4">
        <v>0</v>
      </c>
      <c r="AG135" s="2">
        <v>0.66</v>
      </c>
      <c r="AH135" s="2">
        <v>1062358</v>
      </c>
      <c r="AI135" s="2">
        <v>0</v>
      </c>
      <c r="AJ135" s="5">
        <v>44673</v>
      </c>
      <c r="AK135" t="s">
        <v>11232</v>
      </c>
      <c r="AL135" s="2">
        <v>0</v>
      </c>
      <c r="AM135" s="2">
        <v>0</v>
      </c>
      <c r="AN135" s="2">
        <v>0</v>
      </c>
      <c r="AO135" t="s">
        <v>44</v>
      </c>
      <c r="AP135" t="s">
        <v>11175</v>
      </c>
      <c r="AQ135" t="s">
        <v>11174</v>
      </c>
    </row>
    <row r="136" spans="1:43" x14ac:dyDescent="0.2">
      <c r="A136" t="s">
        <v>11231</v>
      </c>
      <c r="B136" t="s">
        <v>11160</v>
      </c>
      <c r="C136" t="s">
        <v>11161</v>
      </c>
      <c r="D136" t="s">
        <v>11176</v>
      </c>
      <c r="E136" t="s">
        <v>11177</v>
      </c>
      <c r="F136" t="s">
        <v>11178</v>
      </c>
      <c r="G136" s="1">
        <v>28586</v>
      </c>
      <c r="H136" s="2">
        <v>2233369.2599999998</v>
      </c>
      <c r="I136" s="2">
        <v>2641060.54</v>
      </c>
      <c r="J136" s="2">
        <v>0</v>
      </c>
      <c r="K136" s="2">
        <v>0</v>
      </c>
      <c r="L136" s="2">
        <v>2641060.54</v>
      </c>
      <c r="M136" s="3">
        <v>9239</v>
      </c>
      <c r="N136" s="4">
        <v>6.0086999999999996E-3</v>
      </c>
      <c r="O136" s="5" t="s">
        <v>44</v>
      </c>
      <c r="P136" s="5" t="s">
        <v>44</v>
      </c>
      <c r="Q136" s="1"/>
      <c r="R136" s="2"/>
      <c r="S136" s="6"/>
      <c r="T136" t="s">
        <v>10902</v>
      </c>
      <c r="U136" t="s">
        <v>10902</v>
      </c>
      <c r="V136" t="s">
        <v>11164</v>
      </c>
      <c r="W136" t="s">
        <v>43</v>
      </c>
      <c r="X136" t="s">
        <v>44</v>
      </c>
      <c r="Y136" t="s">
        <v>44</v>
      </c>
      <c r="Z136" t="s">
        <v>44</v>
      </c>
      <c r="AA136" t="s">
        <v>10979</v>
      </c>
      <c r="AB136" t="s">
        <v>44</v>
      </c>
      <c r="AC136" s="4"/>
      <c r="AD136" s="4"/>
      <c r="AE136" s="2">
        <v>0</v>
      </c>
      <c r="AF136" s="4">
        <v>0</v>
      </c>
      <c r="AG136" s="2">
        <v>1.64</v>
      </c>
      <c r="AH136" s="2">
        <v>2641060.54</v>
      </c>
      <c r="AI136" s="2">
        <v>0.01</v>
      </c>
      <c r="AJ136" s="5">
        <v>44673</v>
      </c>
      <c r="AK136" t="s">
        <v>11232</v>
      </c>
      <c r="AL136" s="2">
        <v>0</v>
      </c>
      <c r="AM136" s="2">
        <v>0</v>
      </c>
      <c r="AN136" s="2">
        <v>0</v>
      </c>
      <c r="AO136" t="s">
        <v>11179</v>
      </c>
      <c r="AP136" t="s">
        <v>11180</v>
      </c>
      <c r="AQ136" t="s">
        <v>11177</v>
      </c>
    </row>
    <row r="137" spans="1:43" x14ac:dyDescent="0.2">
      <c r="A137" t="s">
        <v>11231</v>
      </c>
      <c r="B137" t="s">
        <v>10951</v>
      </c>
      <c r="C137" t="s">
        <v>10952</v>
      </c>
      <c r="D137" t="s">
        <v>11028</v>
      </c>
      <c r="E137" t="s">
        <v>11029</v>
      </c>
      <c r="F137" t="s">
        <v>11028</v>
      </c>
      <c r="G137" s="1">
        <v>6565274.7052999996</v>
      </c>
      <c r="H137" s="2">
        <v>6615260.5099999998</v>
      </c>
      <c r="I137" s="2">
        <v>6573809.5599999996</v>
      </c>
      <c r="J137" s="2">
        <v>0</v>
      </c>
      <c r="K137" s="2">
        <v>0</v>
      </c>
      <c r="L137" s="2">
        <v>6573809.5599999996</v>
      </c>
      <c r="M137" s="3">
        <v>1.0013000000000001</v>
      </c>
      <c r="N137" s="4">
        <v>1.495612E-2</v>
      </c>
      <c r="O137" s="5" t="s">
        <v>44</v>
      </c>
      <c r="P137" s="5" t="s">
        <v>44</v>
      </c>
      <c r="Q137" s="1"/>
      <c r="R137" s="2"/>
      <c r="S137" s="6"/>
      <c r="T137" t="s">
        <v>10902</v>
      </c>
      <c r="U137" t="s">
        <v>10953</v>
      </c>
      <c r="V137" t="s">
        <v>10954</v>
      </c>
      <c r="W137" t="s">
        <v>43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s="4"/>
      <c r="AD137" s="4"/>
      <c r="AE137" s="2">
        <v>0</v>
      </c>
      <c r="AF137" s="4">
        <v>0</v>
      </c>
      <c r="AG137" s="2">
        <v>4.08</v>
      </c>
      <c r="AH137" s="2">
        <v>6573809.5599999996</v>
      </c>
      <c r="AI137" s="2">
        <v>0.01</v>
      </c>
      <c r="AJ137" s="5">
        <v>44673</v>
      </c>
      <c r="AK137" t="s">
        <v>11232</v>
      </c>
      <c r="AL137" s="2">
        <v>0</v>
      </c>
      <c r="AM137" s="2">
        <v>0</v>
      </c>
      <c r="AN137" s="2">
        <v>0</v>
      </c>
      <c r="AO137" t="s">
        <v>44</v>
      </c>
      <c r="AP137" t="s">
        <v>44</v>
      </c>
      <c r="AQ137" t="s">
        <v>11029</v>
      </c>
    </row>
    <row r="138" spans="1:43" x14ac:dyDescent="0.2">
      <c r="A138" t="s">
        <v>11231</v>
      </c>
      <c r="B138" t="s">
        <v>11030</v>
      </c>
      <c r="C138" t="s">
        <v>11030</v>
      </c>
      <c r="D138" t="s">
        <v>12724</v>
      </c>
      <c r="E138" t="s">
        <v>12717</v>
      </c>
      <c r="F138" t="s">
        <v>12724</v>
      </c>
      <c r="G138" s="1">
        <v>-41</v>
      </c>
      <c r="H138" s="2"/>
      <c r="I138" s="2">
        <v>0</v>
      </c>
      <c r="J138" s="2"/>
      <c r="K138" s="2"/>
      <c r="L138" s="2">
        <v>0</v>
      </c>
      <c r="M138" s="3"/>
      <c r="N138" s="4">
        <v>0</v>
      </c>
      <c r="O138" s="5" t="s">
        <v>44</v>
      </c>
      <c r="P138" s="5" t="s">
        <v>44</v>
      </c>
      <c r="Q138" s="1"/>
      <c r="R138" s="2"/>
      <c r="S138" s="6"/>
      <c r="T138" t="s">
        <v>11031</v>
      </c>
      <c r="U138" t="s">
        <v>11032</v>
      </c>
      <c r="V138" t="s">
        <v>45</v>
      </c>
      <c r="W138" t="s">
        <v>43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s="4"/>
      <c r="AD138" s="4"/>
      <c r="AE138" s="2">
        <v>0</v>
      </c>
      <c r="AF138" s="4">
        <v>0</v>
      </c>
      <c r="AG138" s="2">
        <v>0</v>
      </c>
      <c r="AH138" s="2">
        <v>27036630</v>
      </c>
      <c r="AI138" s="2">
        <v>0.06</v>
      </c>
      <c r="AJ138" s="5">
        <v>44673</v>
      </c>
      <c r="AK138" t="s">
        <v>11232</v>
      </c>
      <c r="AL138" s="2">
        <v>0</v>
      </c>
      <c r="AM138" s="2">
        <v>0</v>
      </c>
      <c r="AN138" s="2">
        <v>0</v>
      </c>
      <c r="AO138" t="s">
        <v>44</v>
      </c>
      <c r="AP138" t="s">
        <v>44</v>
      </c>
      <c r="AQ138" t="s">
        <v>11182</v>
      </c>
    </row>
    <row r="139" spans="1:43" x14ac:dyDescent="0.2">
      <c r="A139" t="s">
        <v>11231</v>
      </c>
      <c r="B139" t="s">
        <v>11030</v>
      </c>
      <c r="C139" t="s">
        <v>11030</v>
      </c>
      <c r="D139" t="s">
        <v>12725</v>
      </c>
      <c r="E139" t="s">
        <v>12719</v>
      </c>
      <c r="F139" t="s">
        <v>12725</v>
      </c>
      <c r="G139" s="1">
        <v>74</v>
      </c>
      <c r="H139" s="2"/>
      <c r="I139" s="2">
        <v>0</v>
      </c>
      <c r="J139" s="2"/>
      <c r="K139" s="2"/>
      <c r="L139" s="2">
        <v>0</v>
      </c>
      <c r="M139" s="3"/>
      <c r="N139" s="4">
        <v>0</v>
      </c>
      <c r="O139" s="5" t="s">
        <v>44</v>
      </c>
      <c r="P139" s="5" t="s">
        <v>44</v>
      </c>
      <c r="Q139" s="1"/>
      <c r="R139" s="2"/>
      <c r="S139" s="6"/>
      <c r="T139" t="s">
        <v>11031</v>
      </c>
      <c r="U139" t="s">
        <v>11183</v>
      </c>
      <c r="V139" t="s">
        <v>45</v>
      </c>
      <c r="W139" t="s">
        <v>43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s="4"/>
      <c r="AD139" s="4"/>
      <c r="AE139" s="2">
        <v>0</v>
      </c>
      <c r="AF139" s="4">
        <v>0</v>
      </c>
      <c r="AG139" s="2">
        <v>0</v>
      </c>
      <c r="AH139" s="2">
        <v>-18136412.460000001</v>
      </c>
      <c r="AI139" s="2">
        <v>-0.04</v>
      </c>
      <c r="AJ139" s="5">
        <v>44673</v>
      </c>
      <c r="AK139" t="s">
        <v>11232</v>
      </c>
      <c r="AL139" s="2">
        <v>0</v>
      </c>
      <c r="AM139" s="2">
        <v>0</v>
      </c>
      <c r="AN139" s="2">
        <v>0</v>
      </c>
      <c r="AO139" t="s">
        <v>44</v>
      </c>
      <c r="AP139" t="s">
        <v>44</v>
      </c>
      <c r="AQ139" t="s">
        <v>11182</v>
      </c>
    </row>
    <row r="140" spans="1:43" x14ac:dyDescent="0.2">
      <c r="A140" t="s">
        <v>11231</v>
      </c>
      <c r="B140" t="s">
        <v>11030</v>
      </c>
      <c r="C140" t="s">
        <v>11030</v>
      </c>
      <c r="D140" t="s">
        <v>11181</v>
      </c>
      <c r="E140" t="s">
        <v>11151</v>
      </c>
      <c r="F140" t="s">
        <v>11181</v>
      </c>
      <c r="G140" s="1">
        <v>72</v>
      </c>
      <c r="H140" s="2"/>
      <c r="I140" s="2">
        <v>0</v>
      </c>
      <c r="J140" s="2"/>
      <c r="K140" s="2"/>
      <c r="L140" s="2">
        <v>0</v>
      </c>
      <c r="M140" s="3"/>
      <c r="N140" s="4">
        <v>0</v>
      </c>
      <c r="O140" s="5" t="s">
        <v>44</v>
      </c>
      <c r="P140" s="5" t="s">
        <v>44</v>
      </c>
      <c r="Q140" s="1"/>
      <c r="R140" s="2"/>
      <c r="S140" s="6"/>
      <c r="T140" t="s">
        <v>11031</v>
      </c>
      <c r="U140" t="s">
        <v>11032</v>
      </c>
      <c r="V140" t="s">
        <v>45</v>
      </c>
      <c r="W140" t="s">
        <v>43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s="4"/>
      <c r="AD140" s="4"/>
      <c r="AE140" s="2">
        <v>0</v>
      </c>
      <c r="AF140" s="4">
        <v>0</v>
      </c>
      <c r="AG140" s="2">
        <v>0</v>
      </c>
      <c r="AH140" s="2">
        <v>-47306880</v>
      </c>
      <c r="AI140" s="2">
        <v>-0.11</v>
      </c>
      <c r="AJ140" s="5">
        <v>44673</v>
      </c>
      <c r="AK140" t="s">
        <v>11232</v>
      </c>
      <c r="AL140" s="2">
        <v>0</v>
      </c>
      <c r="AM140" s="2">
        <v>0</v>
      </c>
      <c r="AN140" s="2">
        <v>0</v>
      </c>
      <c r="AO140" t="s">
        <v>44</v>
      </c>
      <c r="AP140" t="s">
        <v>44</v>
      </c>
      <c r="AQ140" t="s">
        <v>11182</v>
      </c>
    </row>
    <row r="141" spans="1:43" x14ac:dyDescent="0.2">
      <c r="A141" t="s">
        <v>11231</v>
      </c>
      <c r="B141" t="s">
        <v>11030</v>
      </c>
      <c r="C141" t="s">
        <v>11030</v>
      </c>
      <c r="D141" t="s">
        <v>13001</v>
      </c>
      <c r="E141" t="s">
        <v>12995</v>
      </c>
      <c r="F141" t="s">
        <v>13001</v>
      </c>
      <c r="G141" s="1">
        <v>-25</v>
      </c>
      <c r="H141" s="2"/>
      <c r="I141" s="2">
        <v>0</v>
      </c>
      <c r="J141" s="2"/>
      <c r="K141" s="2"/>
      <c r="L141" s="2">
        <v>0</v>
      </c>
      <c r="M141" s="3"/>
      <c r="N141" s="4">
        <v>0</v>
      </c>
      <c r="O141" s="5" t="s">
        <v>44</v>
      </c>
      <c r="P141" s="5" t="s">
        <v>44</v>
      </c>
      <c r="Q141" s="1"/>
      <c r="R141" s="2"/>
      <c r="S141" s="6"/>
      <c r="T141" t="s">
        <v>11031</v>
      </c>
      <c r="U141" t="s">
        <v>11183</v>
      </c>
      <c r="V141" t="s">
        <v>45</v>
      </c>
      <c r="W141" t="s">
        <v>43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s="4"/>
      <c r="AD141" s="4"/>
      <c r="AE141" s="2">
        <v>0</v>
      </c>
      <c r="AF141" s="4">
        <v>0</v>
      </c>
      <c r="AG141" s="2">
        <v>0</v>
      </c>
      <c r="AH141" s="2">
        <v>-4970701.49</v>
      </c>
      <c r="AI141" s="2">
        <v>-0.01</v>
      </c>
      <c r="AJ141" s="5">
        <v>44673</v>
      </c>
      <c r="AK141" t="s">
        <v>11232</v>
      </c>
      <c r="AL141" s="2">
        <v>0</v>
      </c>
      <c r="AM141" s="2">
        <v>0</v>
      </c>
      <c r="AN141" s="2">
        <v>0</v>
      </c>
      <c r="AO141" t="s">
        <v>44</v>
      </c>
      <c r="AP141" t="s">
        <v>44</v>
      </c>
      <c r="AQ141" t="s">
        <v>11182</v>
      </c>
    </row>
    <row r="142" spans="1:43" x14ac:dyDescent="0.2">
      <c r="A142" t="s">
        <v>11231</v>
      </c>
      <c r="B142" t="s">
        <v>11030</v>
      </c>
      <c r="C142" t="s">
        <v>11030</v>
      </c>
      <c r="D142" t="s">
        <v>11184</v>
      </c>
      <c r="E142" t="s">
        <v>11155</v>
      </c>
      <c r="F142" t="s">
        <v>11184</v>
      </c>
      <c r="G142" s="1">
        <v>-50</v>
      </c>
      <c r="H142" s="2"/>
      <c r="I142" s="2">
        <v>0</v>
      </c>
      <c r="J142" s="2"/>
      <c r="K142" s="2"/>
      <c r="L142" s="2">
        <v>0</v>
      </c>
      <c r="M142" s="3"/>
      <c r="N142" s="4">
        <v>0</v>
      </c>
      <c r="O142" s="5" t="s">
        <v>44</v>
      </c>
      <c r="P142" s="5" t="s">
        <v>44</v>
      </c>
      <c r="Q142" s="1"/>
      <c r="R142" s="2"/>
      <c r="S142" s="6"/>
      <c r="T142" t="s">
        <v>11031</v>
      </c>
      <c r="U142" t="s">
        <v>11183</v>
      </c>
      <c r="V142" t="s">
        <v>45</v>
      </c>
      <c r="W142" t="s">
        <v>43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s="4"/>
      <c r="AD142" s="4"/>
      <c r="AE142" s="2">
        <v>0</v>
      </c>
      <c r="AF142" s="4">
        <v>0</v>
      </c>
      <c r="AG142" s="2">
        <v>0</v>
      </c>
      <c r="AH142" s="2">
        <v>1209404.68</v>
      </c>
      <c r="AI142" s="2">
        <v>0</v>
      </c>
      <c r="AJ142" s="5">
        <v>44673</v>
      </c>
      <c r="AK142" t="s">
        <v>11232</v>
      </c>
      <c r="AL142" s="2">
        <v>0</v>
      </c>
      <c r="AM142" s="2">
        <v>0</v>
      </c>
      <c r="AN142" s="2">
        <v>0</v>
      </c>
      <c r="AO142" t="s">
        <v>44</v>
      </c>
      <c r="AP142" t="s">
        <v>44</v>
      </c>
      <c r="AQ142" t="s">
        <v>11182</v>
      </c>
    </row>
    <row r="143" spans="1:43" x14ac:dyDescent="0.2">
      <c r="A143" t="s">
        <v>11231</v>
      </c>
      <c r="B143" t="s">
        <v>11030</v>
      </c>
      <c r="C143" t="s">
        <v>11030</v>
      </c>
      <c r="D143" t="s">
        <v>11185</v>
      </c>
      <c r="E143" t="s">
        <v>11157</v>
      </c>
      <c r="F143" t="s">
        <v>11185</v>
      </c>
      <c r="G143" s="1">
        <v>-28</v>
      </c>
      <c r="H143" s="2"/>
      <c r="I143" s="2">
        <v>0</v>
      </c>
      <c r="J143" s="2"/>
      <c r="K143" s="2"/>
      <c r="L143" s="2">
        <v>0</v>
      </c>
      <c r="M143" s="3"/>
      <c r="N143" s="4">
        <v>0</v>
      </c>
      <c r="O143" s="5" t="s">
        <v>44</v>
      </c>
      <c r="P143" s="5" t="s">
        <v>44</v>
      </c>
      <c r="Q143" s="1"/>
      <c r="R143" s="2"/>
      <c r="S143" s="6"/>
      <c r="T143" t="s">
        <v>11031</v>
      </c>
      <c r="U143" t="s">
        <v>11032</v>
      </c>
      <c r="V143" t="s">
        <v>45</v>
      </c>
      <c r="W143" t="s">
        <v>43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s="4"/>
      <c r="AD143" s="4"/>
      <c r="AE143" s="2">
        <v>0</v>
      </c>
      <c r="AF143" s="4">
        <v>0</v>
      </c>
      <c r="AG143" s="2">
        <v>0</v>
      </c>
      <c r="AH143" s="2">
        <v>18407480</v>
      </c>
      <c r="AI143" s="2">
        <v>0.04</v>
      </c>
      <c r="AJ143" s="5">
        <v>44673</v>
      </c>
      <c r="AK143" t="s">
        <v>11232</v>
      </c>
      <c r="AL143" s="2">
        <v>0</v>
      </c>
      <c r="AM143" s="2">
        <v>0</v>
      </c>
      <c r="AN143" s="2">
        <v>0</v>
      </c>
      <c r="AO143" t="s">
        <v>44</v>
      </c>
      <c r="AP143" t="s">
        <v>44</v>
      </c>
      <c r="AQ143" t="s">
        <v>11182</v>
      </c>
    </row>
    <row r="144" spans="1:43" x14ac:dyDescent="0.2">
      <c r="A144" t="s">
        <v>11231</v>
      </c>
      <c r="B144" t="s">
        <v>11030</v>
      </c>
      <c r="C144" t="s">
        <v>11030</v>
      </c>
      <c r="D144" t="s">
        <v>12743</v>
      </c>
      <c r="E144" t="s">
        <v>12738</v>
      </c>
      <c r="F144" t="s">
        <v>12743</v>
      </c>
      <c r="G144" s="1">
        <v>68</v>
      </c>
      <c r="H144" s="2"/>
      <c r="I144" s="2">
        <v>0</v>
      </c>
      <c r="J144" s="2"/>
      <c r="K144" s="2"/>
      <c r="L144" s="2">
        <v>0</v>
      </c>
      <c r="M144" s="3"/>
      <c r="N144" s="4">
        <v>0</v>
      </c>
      <c r="O144" s="5" t="s">
        <v>44</v>
      </c>
      <c r="P144" s="5" t="s">
        <v>44</v>
      </c>
      <c r="Q144" s="1"/>
      <c r="R144" s="2"/>
      <c r="S144" s="6"/>
      <c r="T144" t="s">
        <v>11031</v>
      </c>
      <c r="U144" t="s">
        <v>11183</v>
      </c>
      <c r="V144" t="s">
        <v>45</v>
      </c>
      <c r="W144" t="s">
        <v>43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s="4"/>
      <c r="AD144" s="4"/>
      <c r="AE144" s="2">
        <v>0</v>
      </c>
      <c r="AF144" s="4">
        <v>0</v>
      </c>
      <c r="AG144" s="2">
        <v>0</v>
      </c>
      <c r="AH144" s="2">
        <v>-16120065.960000001</v>
      </c>
      <c r="AI144" s="2">
        <v>-0.04</v>
      </c>
      <c r="AJ144" s="5">
        <v>44673</v>
      </c>
      <c r="AK144" t="s">
        <v>11232</v>
      </c>
      <c r="AL144" s="2">
        <v>0</v>
      </c>
      <c r="AM144" s="2">
        <v>0</v>
      </c>
      <c r="AN144" s="2">
        <v>0</v>
      </c>
      <c r="AO144" t="s">
        <v>44</v>
      </c>
      <c r="AP144" t="s">
        <v>44</v>
      </c>
      <c r="AQ144" t="s">
        <v>11182</v>
      </c>
    </row>
    <row r="145" spans="1:43" x14ac:dyDescent="0.2">
      <c r="A145" t="s">
        <v>11231</v>
      </c>
      <c r="B145" t="s">
        <v>11030</v>
      </c>
      <c r="C145" t="s">
        <v>11030</v>
      </c>
      <c r="D145" t="s">
        <v>12726</v>
      </c>
      <c r="E145" t="s">
        <v>12722</v>
      </c>
      <c r="F145" t="s">
        <v>12726</v>
      </c>
      <c r="G145" s="1">
        <v>69</v>
      </c>
      <c r="H145" s="2"/>
      <c r="I145" s="2">
        <v>0</v>
      </c>
      <c r="J145" s="2"/>
      <c r="K145" s="2"/>
      <c r="L145" s="2">
        <v>0</v>
      </c>
      <c r="M145" s="3"/>
      <c r="N145" s="4">
        <v>0</v>
      </c>
      <c r="O145" s="5" t="s">
        <v>44</v>
      </c>
      <c r="P145" s="5" t="s">
        <v>44</v>
      </c>
      <c r="Q145" s="1"/>
      <c r="R145" s="2"/>
      <c r="S145" s="6"/>
      <c r="T145" t="s">
        <v>11031</v>
      </c>
      <c r="U145" t="s">
        <v>11183</v>
      </c>
      <c r="V145" t="s">
        <v>45</v>
      </c>
      <c r="W145" t="s">
        <v>43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s="4"/>
      <c r="AD145" s="4"/>
      <c r="AE145" s="2">
        <v>0</v>
      </c>
      <c r="AF145" s="4">
        <v>0</v>
      </c>
      <c r="AG145" s="2">
        <v>0</v>
      </c>
      <c r="AH145" s="2">
        <v>-14084550.33</v>
      </c>
      <c r="AI145" s="2">
        <v>-0.03</v>
      </c>
      <c r="AJ145" s="5">
        <v>44673</v>
      </c>
      <c r="AK145" t="s">
        <v>11232</v>
      </c>
      <c r="AL145" s="2">
        <v>0</v>
      </c>
      <c r="AM145" s="2">
        <v>0</v>
      </c>
      <c r="AN145" s="2">
        <v>0</v>
      </c>
      <c r="AO145" t="s">
        <v>44</v>
      </c>
      <c r="AP145" t="s">
        <v>44</v>
      </c>
      <c r="AQ145" t="s">
        <v>11182</v>
      </c>
    </row>
    <row r="146" spans="1:43" x14ac:dyDescent="0.2">
      <c r="A146" t="s">
        <v>11231</v>
      </c>
      <c r="B146" t="s">
        <v>11030</v>
      </c>
      <c r="C146" t="s">
        <v>11030</v>
      </c>
      <c r="D146" t="s">
        <v>13002</v>
      </c>
      <c r="E146" t="s">
        <v>12996</v>
      </c>
      <c r="F146" t="s">
        <v>13002</v>
      </c>
      <c r="G146" s="1">
        <v>-49</v>
      </c>
      <c r="H146" s="2"/>
      <c r="I146" s="2">
        <v>0</v>
      </c>
      <c r="J146" s="2"/>
      <c r="K146" s="2"/>
      <c r="L146" s="2">
        <v>0</v>
      </c>
      <c r="M146" s="3"/>
      <c r="N146" s="4">
        <v>0</v>
      </c>
      <c r="O146" s="5" t="s">
        <v>44</v>
      </c>
      <c r="P146" s="5" t="s">
        <v>44</v>
      </c>
      <c r="Q146" s="1"/>
      <c r="R146" s="2"/>
      <c r="S146" s="6"/>
      <c r="T146" t="s">
        <v>11031</v>
      </c>
      <c r="U146" t="s">
        <v>11183</v>
      </c>
      <c r="V146" t="s">
        <v>45</v>
      </c>
      <c r="W146" t="s">
        <v>43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s="4"/>
      <c r="AD146" s="4"/>
      <c r="AE146" s="2">
        <v>0</v>
      </c>
      <c r="AF146" s="4">
        <v>0</v>
      </c>
      <c r="AG146" s="2">
        <v>0</v>
      </c>
      <c r="AH146" s="2">
        <v>4733826.7</v>
      </c>
      <c r="AI146" s="2">
        <v>0.01</v>
      </c>
      <c r="AJ146" s="5">
        <v>44673</v>
      </c>
      <c r="AK146" t="s">
        <v>11232</v>
      </c>
      <c r="AL146" s="2">
        <v>0</v>
      </c>
      <c r="AM146" s="2">
        <v>0</v>
      </c>
      <c r="AN146" s="2">
        <v>0</v>
      </c>
      <c r="AO146" t="s">
        <v>44</v>
      </c>
      <c r="AP146" t="s">
        <v>44</v>
      </c>
      <c r="AQ146" t="s">
        <v>11182</v>
      </c>
    </row>
    <row r="147" spans="1:43" x14ac:dyDescent="0.2">
      <c r="A147" t="s">
        <v>11231</v>
      </c>
      <c r="B147" t="s">
        <v>11030</v>
      </c>
      <c r="C147" t="s">
        <v>11030</v>
      </c>
      <c r="D147" t="s">
        <v>12744</v>
      </c>
      <c r="E147" t="s">
        <v>12739</v>
      </c>
      <c r="F147" t="s">
        <v>12744</v>
      </c>
      <c r="G147" s="1">
        <v>-49</v>
      </c>
      <c r="H147" s="2"/>
      <c r="I147" s="2">
        <v>0</v>
      </c>
      <c r="J147" s="2"/>
      <c r="K147" s="2"/>
      <c r="L147" s="2">
        <v>0</v>
      </c>
      <c r="M147" s="3"/>
      <c r="N147" s="4">
        <v>0</v>
      </c>
      <c r="O147" s="5" t="s">
        <v>44</v>
      </c>
      <c r="P147" s="5" t="s">
        <v>44</v>
      </c>
      <c r="Q147" s="1"/>
      <c r="R147" s="2"/>
      <c r="S147" s="6"/>
      <c r="T147" t="s">
        <v>11031</v>
      </c>
      <c r="U147" t="s">
        <v>11183</v>
      </c>
      <c r="V147" t="s">
        <v>45</v>
      </c>
      <c r="W147" t="s">
        <v>43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s="4"/>
      <c r="AD147" s="4"/>
      <c r="AE147" s="2">
        <v>0</v>
      </c>
      <c r="AF147" s="4">
        <v>0</v>
      </c>
      <c r="AG147" s="2">
        <v>0</v>
      </c>
      <c r="AH147" s="2">
        <v>2433194.62</v>
      </c>
      <c r="AI147" s="2">
        <v>0.01</v>
      </c>
      <c r="AJ147" s="5">
        <v>44673</v>
      </c>
      <c r="AK147" t="s">
        <v>11232</v>
      </c>
      <c r="AL147" s="2">
        <v>0</v>
      </c>
      <c r="AM147" s="2">
        <v>0</v>
      </c>
      <c r="AN147" s="2">
        <v>0</v>
      </c>
      <c r="AO147" t="s">
        <v>44</v>
      </c>
      <c r="AP147" t="s">
        <v>44</v>
      </c>
      <c r="AQ147" t="s">
        <v>11182</v>
      </c>
    </row>
    <row r="148" spans="1:43" x14ac:dyDescent="0.2">
      <c r="A148" t="s">
        <v>11240</v>
      </c>
      <c r="B148" t="s">
        <v>10900</v>
      </c>
      <c r="C148" t="s">
        <v>11033</v>
      </c>
      <c r="D148" t="s">
        <v>11241</v>
      </c>
      <c r="E148" t="s">
        <v>11242</v>
      </c>
      <c r="F148" t="s">
        <v>11241</v>
      </c>
      <c r="G148" s="1">
        <v>1030000</v>
      </c>
      <c r="H148" s="2">
        <v>1032122.82</v>
      </c>
      <c r="I148" s="2">
        <v>1066553.26</v>
      </c>
      <c r="J148" s="2">
        <v>17500.41</v>
      </c>
      <c r="K148" s="2">
        <v>0</v>
      </c>
      <c r="L148" s="2">
        <v>1084053.67</v>
      </c>
      <c r="M148" s="3">
        <v>7.56</v>
      </c>
      <c r="N148" s="4">
        <v>2.46634E-3</v>
      </c>
      <c r="O148" s="5">
        <v>44791</v>
      </c>
      <c r="P148" s="5">
        <v>45340</v>
      </c>
      <c r="Q148" s="1">
        <v>9.69</v>
      </c>
      <c r="R148" s="2">
        <v>1.69</v>
      </c>
      <c r="S148" s="6">
        <v>1.624693049</v>
      </c>
      <c r="T148" t="s">
        <v>111</v>
      </c>
      <c r="U148" t="s">
        <v>111</v>
      </c>
      <c r="V148" t="s">
        <v>10944</v>
      </c>
      <c r="W148" t="s">
        <v>43</v>
      </c>
      <c r="X148" t="s">
        <v>10988</v>
      </c>
      <c r="Y148" t="s">
        <v>44</v>
      </c>
      <c r="Z148" t="s">
        <v>44</v>
      </c>
      <c r="AA148" t="s">
        <v>10979</v>
      </c>
      <c r="AB148" t="s">
        <v>44</v>
      </c>
      <c r="AC148" s="4">
        <v>7.7028840000000001</v>
      </c>
      <c r="AD148" s="4">
        <v>7.4436089399999998</v>
      </c>
      <c r="AE148" s="2">
        <v>7.7</v>
      </c>
      <c r="AF148" s="4">
        <v>7.4436089399999998</v>
      </c>
      <c r="AG148" s="2">
        <v>0.23</v>
      </c>
      <c r="AH148" s="2">
        <v>1084053.67</v>
      </c>
      <c r="AI148" s="2">
        <v>0</v>
      </c>
      <c r="AJ148" s="5">
        <v>44673</v>
      </c>
      <c r="AK148" t="s">
        <v>11243</v>
      </c>
      <c r="AL148" s="2">
        <v>7.56</v>
      </c>
      <c r="AM148" s="2">
        <v>9.69</v>
      </c>
      <c r="AN148" s="2">
        <v>1.62</v>
      </c>
      <c r="AO148" t="s">
        <v>11048</v>
      </c>
      <c r="AP148" t="s">
        <v>11244</v>
      </c>
      <c r="AQ148" t="s">
        <v>11242</v>
      </c>
    </row>
    <row r="149" spans="1:43" x14ac:dyDescent="0.2">
      <c r="A149" t="s">
        <v>11240</v>
      </c>
      <c r="B149" t="s">
        <v>10900</v>
      </c>
      <c r="C149" t="s">
        <v>11033</v>
      </c>
      <c r="D149" t="s">
        <v>11245</v>
      </c>
      <c r="E149" t="s">
        <v>11246</v>
      </c>
      <c r="F149" t="s">
        <v>11245</v>
      </c>
      <c r="G149" s="1">
        <v>1606000</v>
      </c>
      <c r="H149" s="2">
        <v>1635028.48</v>
      </c>
      <c r="I149" s="2">
        <v>1691386.52</v>
      </c>
      <c r="J149" s="2">
        <v>79833.600000000006</v>
      </c>
      <c r="K149" s="2">
        <v>0</v>
      </c>
      <c r="L149" s="2">
        <v>1771220.12</v>
      </c>
      <c r="M149" s="3">
        <v>7.0979999999999999</v>
      </c>
      <c r="N149" s="4">
        <v>4.0297199999999997E-3</v>
      </c>
      <c r="O149" s="5">
        <v>44687</v>
      </c>
      <c r="P149" s="5">
        <v>45236</v>
      </c>
      <c r="Q149" s="1">
        <v>10.8</v>
      </c>
      <c r="R149" s="2">
        <v>1.39</v>
      </c>
      <c r="S149" s="6">
        <v>1.339661854</v>
      </c>
      <c r="T149" t="s">
        <v>111</v>
      </c>
      <c r="U149" t="s">
        <v>111</v>
      </c>
      <c r="V149" t="s">
        <v>10944</v>
      </c>
      <c r="W149" t="s">
        <v>43</v>
      </c>
      <c r="X149" t="s">
        <v>10988</v>
      </c>
      <c r="Y149" t="s">
        <v>44</v>
      </c>
      <c r="Z149" t="s">
        <v>44</v>
      </c>
      <c r="AA149" t="s">
        <v>10979</v>
      </c>
      <c r="AB149" t="s">
        <v>44</v>
      </c>
      <c r="AC149" s="4">
        <v>7.2239540099999999</v>
      </c>
      <c r="AD149" s="4">
        <v>6.9952590600000004</v>
      </c>
      <c r="AE149" s="2">
        <v>7.22</v>
      </c>
      <c r="AF149" s="4">
        <v>6.9952590600000004</v>
      </c>
      <c r="AG149" s="2">
        <v>0.37</v>
      </c>
      <c r="AH149" s="2">
        <v>1771220.12</v>
      </c>
      <c r="AI149" s="2">
        <v>0</v>
      </c>
      <c r="AJ149" s="5">
        <v>44673</v>
      </c>
      <c r="AK149" t="s">
        <v>11243</v>
      </c>
      <c r="AL149" s="2">
        <v>7.1</v>
      </c>
      <c r="AM149" s="2">
        <v>10.8</v>
      </c>
      <c r="AN149" s="2">
        <v>1.34</v>
      </c>
      <c r="AO149" t="s">
        <v>10982</v>
      </c>
      <c r="AP149" t="s">
        <v>11247</v>
      </c>
      <c r="AQ149" t="s">
        <v>11246</v>
      </c>
    </row>
    <row r="150" spans="1:43" x14ac:dyDescent="0.2">
      <c r="A150" t="s">
        <v>11240</v>
      </c>
      <c r="B150" t="s">
        <v>10900</v>
      </c>
      <c r="C150" t="s">
        <v>10943</v>
      </c>
      <c r="D150" t="s">
        <v>11248</v>
      </c>
      <c r="E150" t="s">
        <v>11249</v>
      </c>
      <c r="F150" t="s">
        <v>11248</v>
      </c>
      <c r="G150" s="1">
        <v>1400000</v>
      </c>
      <c r="H150" s="2">
        <v>1420123.18</v>
      </c>
      <c r="I150" s="2">
        <v>1481087.86</v>
      </c>
      <c r="J150" s="2">
        <v>61291.23</v>
      </c>
      <c r="K150" s="2">
        <v>0</v>
      </c>
      <c r="L150" s="2">
        <v>1542379.09</v>
      </c>
      <c r="M150" s="3">
        <v>8.3450000000000006</v>
      </c>
      <c r="N150" s="4">
        <v>3.5090799999999999E-3</v>
      </c>
      <c r="O150" s="5">
        <v>44697</v>
      </c>
      <c r="P150" s="5">
        <v>46157</v>
      </c>
      <c r="Q150" s="1">
        <v>10.050000000000001</v>
      </c>
      <c r="R150" s="2">
        <v>3.31</v>
      </c>
      <c r="S150" s="6">
        <v>3.1777010620000001</v>
      </c>
      <c r="T150" t="s">
        <v>111</v>
      </c>
      <c r="U150" t="s">
        <v>111</v>
      </c>
      <c r="V150" t="s">
        <v>10944</v>
      </c>
      <c r="W150" t="s">
        <v>43</v>
      </c>
      <c r="X150" t="s">
        <v>10988</v>
      </c>
      <c r="Y150" t="s">
        <v>44</v>
      </c>
      <c r="Z150" t="s">
        <v>44</v>
      </c>
      <c r="AA150" t="s">
        <v>10979</v>
      </c>
      <c r="AB150" t="s">
        <v>44</v>
      </c>
      <c r="AC150" s="4">
        <v>8.5190975600000005</v>
      </c>
      <c r="AD150" s="4">
        <v>8.2035121199999992</v>
      </c>
      <c r="AE150" s="2">
        <v>8.52</v>
      </c>
      <c r="AF150" s="4">
        <v>8.2035121199999992</v>
      </c>
      <c r="AG150" s="2">
        <v>0.32</v>
      </c>
      <c r="AH150" s="2">
        <v>1542379.09</v>
      </c>
      <c r="AI150" s="2">
        <v>0</v>
      </c>
      <c r="AJ150" s="5">
        <v>44673</v>
      </c>
      <c r="AK150" t="s">
        <v>11243</v>
      </c>
      <c r="AL150" s="2">
        <v>8.35</v>
      </c>
      <c r="AM150" s="2">
        <v>10.050000000000001</v>
      </c>
      <c r="AN150" s="2">
        <v>3.18</v>
      </c>
      <c r="AO150" t="s">
        <v>11179</v>
      </c>
      <c r="AP150" t="s">
        <v>11250</v>
      </c>
      <c r="AQ150" t="s">
        <v>11249</v>
      </c>
    </row>
    <row r="151" spans="1:43" x14ac:dyDescent="0.2">
      <c r="A151" t="s">
        <v>11240</v>
      </c>
      <c r="B151" t="s">
        <v>10900</v>
      </c>
      <c r="C151" t="s">
        <v>10943</v>
      </c>
      <c r="D151" t="s">
        <v>11251</v>
      </c>
      <c r="E151" t="s">
        <v>11252</v>
      </c>
      <c r="F151" t="s">
        <v>11251</v>
      </c>
      <c r="G151" s="1">
        <v>3850000</v>
      </c>
      <c r="H151" s="2">
        <v>3709203.4</v>
      </c>
      <c r="I151" s="2">
        <v>3646469.37</v>
      </c>
      <c r="J151" s="2">
        <v>150202.74</v>
      </c>
      <c r="K151" s="2">
        <v>0</v>
      </c>
      <c r="L151" s="2">
        <v>3796672.11</v>
      </c>
      <c r="M151" s="3">
        <v>10.175000000000001</v>
      </c>
      <c r="N151" s="4">
        <v>8.6378400000000008E-3</v>
      </c>
      <c r="O151" s="5">
        <v>44697</v>
      </c>
      <c r="P151" s="5">
        <v>46705</v>
      </c>
      <c r="Q151" s="1">
        <v>8.9</v>
      </c>
      <c r="R151" s="2">
        <v>4.29</v>
      </c>
      <c r="S151" s="6">
        <v>4.0791219989999998</v>
      </c>
      <c r="T151" t="s">
        <v>111</v>
      </c>
      <c r="U151" t="s">
        <v>111</v>
      </c>
      <c r="V151" t="s">
        <v>10944</v>
      </c>
      <c r="W151" t="s">
        <v>43</v>
      </c>
      <c r="X151" t="s">
        <v>10988</v>
      </c>
      <c r="Y151" t="s">
        <v>44</v>
      </c>
      <c r="Z151" t="s">
        <v>44</v>
      </c>
      <c r="AA151" t="s">
        <v>10979</v>
      </c>
      <c r="AB151" t="s">
        <v>44</v>
      </c>
      <c r="AC151" s="4">
        <v>10.43382656</v>
      </c>
      <c r="AD151" s="4">
        <v>9.9657844200000003</v>
      </c>
      <c r="AE151" s="2">
        <v>10.43</v>
      </c>
      <c r="AF151" s="4">
        <v>9.9657844200000003</v>
      </c>
      <c r="AG151" s="2">
        <v>0.79</v>
      </c>
      <c r="AH151" s="2">
        <v>3796672.11</v>
      </c>
      <c r="AI151" s="2">
        <v>0.01</v>
      </c>
      <c r="AJ151" s="5">
        <v>44673</v>
      </c>
      <c r="AK151" t="s">
        <v>11243</v>
      </c>
      <c r="AL151" s="2">
        <v>10.18</v>
      </c>
      <c r="AM151" s="2">
        <v>8.9</v>
      </c>
      <c r="AN151" s="2">
        <v>4.08</v>
      </c>
      <c r="AO151" t="s">
        <v>10982</v>
      </c>
      <c r="AP151" t="s">
        <v>11253</v>
      </c>
      <c r="AQ151" t="s">
        <v>11252</v>
      </c>
    </row>
    <row r="152" spans="1:43" x14ac:dyDescent="0.2">
      <c r="A152" t="s">
        <v>11240</v>
      </c>
      <c r="B152" t="s">
        <v>10900</v>
      </c>
      <c r="C152" t="s">
        <v>10943</v>
      </c>
      <c r="D152" t="s">
        <v>11254</v>
      </c>
      <c r="E152" t="s">
        <v>11255</v>
      </c>
      <c r="F152" t="s">
        <v>11254</v>
      </c>
      <c r="G152" s="1">
        <v>14876000</v>
      </c>
      <c r="H152" s="2">
        <v>14293314.34</v>
      </c>
      <c r="I152" s="2">
        <v>15090334.9</v>
      </c>
      <c r="J152" s="2">
        <v>243925.64</v>
      </c>
      <c r="K152" s="2">
        <v>0</v>
      </c>
      <c r="L152" s="2">
        <v>15334260.539999999</v>
      </c>
      <c r="M152" s="3">
        <v>8.9849999999999994</v>
      </c>
      <c r="N152" s="4">
        <v>3.4887090000000003E-2</v>
      </c>
      <c r="O152" s="5">
        <v>44792</v>
      </c>
      <c r="P152" s="5">
        <v>45888</v>
      </c>
      <c r="Q152" s="1">
        <v>9.5</v>
      </c>
      <c r="R152" s="2">
        <v>2.88</v>
      </c>
      <c r="S152" s="6">
        <v>2.758619087</v>
      </c>
      <c r="T152" t="s">
        <v>111</v>
      </c>
      <c r="U152" t="s">
        <v>111</v>
      </c>
      <c r="V152" t="s">
        <v>10944</v>
      </c>
      <c r="W152" t="s">
        <v>43</v>
      </c>
      <c r="X152" t="s">
        <v>10988</v>
      </c>
      <c r="Y152" t="s">
        <v>44</v>
      </c>
      <c r="Z152" t="s">
        <v>44</v>
      </c>
      <c r="AA152" t="s">
        <v>10979</v>
      </c>
      <c r="AB152" t="s">
        <v>44</v>
      </c>
      <c r="AC152" s="4">
        <v>9.1868255600000008</v>
      </c>
      <c r="AD152" s="4">
        <v>8.8212874400000008</v>
      </c>
      <c r="AE152" s="2">
        <v>9.19</v>
      </c>
      <c r="AF152" s="4">
        <v>8.8212874400000008</v>
      </c>
      <c r="AG152" s="2">
        <v>3.21</v>
      </c>
      <c r="AH152" s="2">
        <v>15334260.539999999</v>
      </c>
      <c r="AI152" s="2">
        <v>0.03</v>
      </c>
      <c r="AJ152" s="5">
        <v>44673</v>
      </c>
      <c r="AK152" t="s">
        <v>11243</v>
      </c>
      <c r="AL152" s="2">
        <v>8.99</v>
      </c>
      <c r="AM152" s="2">
        <v>9.5</v>
      </c>
      <c r="AN152" s="2">
        <v>2.76</v>
      </c>
      <c r="AO152" t="s">
        <v>10982</v>
      </c>
      <c r="AP152" t="s">
        <v>11256</v>
      </c>
      <c r="AQ152" t="s">
        <v>11255</v>
      </c>
    </row>
    <row r="153" spans="1:43" x14ac:dyDescent="0.2">
      <c r="A153" t="s">
        <v>11240</v>
      </c>
      <c r="B153" t="s">
        <v>10900</v>
      </c>
      <c r="C153" t="s">
        <v>10950</v>
      </c>
      <c r="D153" t="s">
        <v>11141</v>
      </c>
      <c r="E153" t="s">
        <v>11142</v>
      </c>
      <c r="F153" t="s">
        <v>11141</v>
      </c>
      <c r="G153" s="1">
        <v>550280000</v>
      </c>
      <c r="H153" s="2">
        <v>453927954.60000002</v>
      </c>
      <c r="I153" s="2">
        <v>452322676.19</v>
      </c>
      <c r="J153" s="2">
        <v>7123487.6799999997</v>
      </c>
      <c r="K153" s="2">
        <v>0</v>
      </c>
      <c r="L153" s="2">
        <v>459446163.87</v>
      </c>
      <c r="M153" s="3">
        <v>10.805</v>
      </c>
      <c r="N153" s="4">
        <v>1.04528949</v>
      </c>
      <c r="O153" s="5">
        <v>44804</v>
      </c>
      <c r="P153" s="5">
        <v>54116</v>
      </c>
      <c r="Q153" s="1">
        <v>8.75</v>
      </c>
      <c r="R153" s="2">
        <v>9.2200000000000006</v>
      </c>
      <c r="S153" s="6">
        <v>8.7507641760000006</v>
      </c>
      <c r="T153" t="s">
        <v>111</v>
      </c>
      <c r="U153" t="s">
        <v>111</v>
      </c>
      <c r="V153" t="s">
        <v>10944</v>
      </c>
      <c r="W153" t="s">
        <v>43</v>
      </c>
      <c r="X153" t="s">
        <v>10945</v>
      </c>
      <c r="Y153" t="s">
        <v>44</v>
      </c>
      <c r="Z153" t="s">
        <v>44</v>
      </c>
      <c r="AA153" t="s">
        <v>10913</v>
      </c>
      <c r="AB153" t="s">
        <v>44</v>
      </c>
      <c r="AC153" s="4">
        <v>11.096870060000001</v>
      </c>
      <c r="AD153" s="4">
        <v>10.56950999</v>
      </c>
      <c r="AE153" s="2">
        <v>11.1</v>
      </c>
      <c r="AF153" s="4">
        <v>10.56950999</v>
      </c>
      <c r="AG153" s="2">
        <v>96.16</v>
      </c>
      <c r="AH153" s="2">
        <v>459446163.87</v>
      </c>
      <c r="AI153" s="2">
        <v>1.05</v>
      </c>
      <c r="AJ153" s="5">
        <v>44673</v>
      </c>
      <c r="AK153" t="s">
        <v>11243</v>
      </c>
      <c r="AL153" s="2">
        <v>10.8</v>
      </c>
      <c r="AM153" s="2">
        <v>8.75</v>
      </c>
      <c r="AN153" s="2">
        <v>8.75</v>
      </c>
      <c r="AO153" t="s">
        <v>10922</v>
      </c>
      <c r="AP153" t="s">
        <v>11143</v>
      </c>
      <c r="AQ153" t="s">
        <v>11142</v>
      </c>
    </row>
    <row r="154" spans="1:43" x14ac:dyDescent="0.2">
      <c r="A154" t="s">
        <v>11240</v>
      </c>
      <c r="B154" t="s">
        <v>45</v>
      </c>
      <c r="C154" t="s">
        <v>47</v>
      </c>
      <c r="D154" t="s">
        <v>11257</v>
      </c>
      <c r="E154" t="s">
        <v>11258</v>
      </c>
      <c r="F154" t="s">
        <v>11257</v>
      </c>
      <c r="G154" s="1">
        <v>0.01</v>
      </c>
      <c r="H154" s="2">
        <v>0.16</v>
      </c>
      <c r="I154" s="2">
        <v>0.17</v>
      </c>
      <c r="J154" s="2">
        <v>0</v>
      </c>
      <c r="K154" s="2">
        <v>0</v>
      </c>
      <c r="L154" s="2">
        <v>0.17</v>
      </c>
      <c r="M154" s="3"/>
      <c r="N154" s="4">
        <v>0</v>
      </c>
      <c r="O154" s="5" t="s">
        <v>44</v>
      </c>
      <c r="P154" s="5" t="s">
        <v>44</v>
      </c>
      <c r="Q154" s="1"/>
      <c r="R154" s="2">
        <v>0.08</v>
      </c>
      <c r="S154" s="6"/>
      <c r="T154" t="s">
        <v>45</v>
      </c>
      <c r="U154" t="s">
        <v>53</v>
      </c>
      <c r="V154" t="s">
        <v>44</v>
      </c>
      <c r="W154" t="s">
        <v>528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s="4"/>
      <c r="AD154" s="4"/>
      <c r="AE154" s="2">
        <v>0</v>
      </c>
      <c r="AF154" s="4">
        <v>0</v>
      </c>
      <c r="AG154" s="2">
        <v>0</v>
      </c>
      <c r="AH154" s="2">
        <v>0.17</v>
      </c>
      <c r="AI154" s="2">
        <v>0</v>
      </c>
      <c r="AJ154" s="5">
        <v>44673</v>
      </c>
      <c r="AK154" t="s">
        <v>11243</v>
      </c>
      <c r="AL154" s="2">
        <v>0</v>
      </c>
      <c r="AM154" s="2">
        <v>0</v>
      </c>
      <c r="AN154" s="2">
        <v>0</v>
      </c>
      <c r="AO154" t="s">
        <v>44</v>
      </c>
      <c r="AP154" t="s">
        <v>44</v>
      </c>
      <c r="AQ154" t="s">
        <v>528</v>
      </c>
    </row>
    <row r="155" spans="1:43" x14ac:dyDescent="0.2">
      <c r="A155" t="s">
        <v>11240</v>
      </c>
      <c r="B155" t="s">
        <v>45</v>
      </c>
      <c r="C155" t="s">
        <v>47</v>
      </c>
      <c r="D155" t="s">
        <v>48</v>
      </c>
      <c r="E155" t="s">
        <v>49</v>
      </c>
      <c r="F155" t="s">
        <v>50</v>
      </c>
      <c r="G155" s="1">
        <v>0</v>
      </c>
      <c r="H155" s="2">
        <v>0</v>
      </c>
      <c r="I155" s="2">
        <v>0</v>
      </c>
      <c r="J155" s="2">
        <v>0</v>
      </c>
      <c r="K155" s="2">
        <v>0</v>
      </c>
      <c r="L155" s="2">
        <v>3866.41</v>
      </c>
      <c r="M155" s="3"/>
      <c r="N155" s="4">
        <v>8.8000000000000004E-6</v>
      </c>
      <c r="O155" s="5" t="s">
        <v>44</v>
      </c>
      <c r="P155" s="5" t="s">
        <v>44</v>
      </c>
      <c r="Q155" s="1"/>
      <c r="R155" s="2">
        <v>0.08</v>
      </c>
      <c r="S155" s="6"/>
      <c r="T155" t="s">
        <v>45</v>
      </c>
      <c r="U155" t="s">
        <v>46</v>
      </c>
      <c r="V155" t="s">
        <v>44</v>
      </c>
      <c r="W155" t="s">
        <v>43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s="4">
        <v>5.1163389600000002</v>
      </c>
      <c r="AD155" s="4">
        <v>5.0001424999999999</v>
      </c>
      <c r="AE155" s="2">
        <v>5.12</v>
      </c>
      <c r="AF155" s="4">
        <v>5.0001424999999999</v>
      </c>
      <c r="AG155" s="2">
        <v>0</v>
      </c>
      <c r="AH155" s="2">
        <v>3866.41</v>
      </c>
      <c r="AI155" s="2">
        <v>0</v>
      </c>
      <c r="AJ155" s="5">
        <v>44673</v>
      </c>
      <c r="AK155" t="s">
        <v>11243</v>
      </c>
      <c r="AL155" s="2">
        <v>5.05</v>
      </c>
      <c r="AM155" s="2">
        <v>0</v>
      </c>
      <c r="AN155" s="2">
        <v>0</v>
      </c>
      <c r="AO155" t="s">
        <v>44</v>
      </c>
      <c r="AP155" t="s">
        <v>44</v>
      </c>
      <c r="AQ155" t="s">
        <v>44</v>
      </c>
    </row>
    <row r="156" spans="1:43" x14ac:dyDescent="0.2">
      <c r="A156" t="s">
        <v>11240</v>
      </c>
      <c r="B156" t="s">
        <v>45</v>
      </c>
      <c r="C156" t="s">
        <v>47</v>
      </c>
      <c r="D156" t="s">
        <v>51</v>
      </c>
      <c r="E156" t="s">
        <v>52</v>
      </c>
      <c r="F156" t="s">
        <v>51</v>
      </c>
      <c r="G156" s="1">
        <v>979332.22</v>
      </c>
      <c r="H156" s="2">
        <v>979332.22</v>
      </c>
      <c r="I156" s="2">
        <v>979332.22</v>
      </c>
      <c r="J156" s="2">
        <v>0</v>
      </c>
      <c r="K156" s="2">
        <v>0</v>
      </c>
      <c r="L156" s="2">
        <v>979332.22</v>
      </c>
      <c r="M156" s="3"/>
      <c r="N156" s="4">
        <v>2.2280899999999998E-3</v>
      </c>
      <c r="O156" s="5" t="s">
        <v>44</v>
      </c>
      <c r="P156" s="5" t="s">
        <v>44</v>
      </c>
      <c r="Q156" s="1"/>
      <c r="R156" s="2">
        <v>0.08</v>
      </c>
      <c r="S156" s="6"/>
      <c r="T156" t="s">
        <v>45</v>
      </c>
      <c r="U156" t="s">
        <v>53</v>
      </c>
      <c r="V156" t="s">
        <v>44</v>
      </c>
      <c r="W156" t="s">
        <v>43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s="4">
        <v>5.1163389600000002</v>
      </c>
      <c r="AD156" s="4">
        <v>5.0001424999999999</v>
      </c>
      <c r="AE156" s="2">
        <v>5.12</v>
      </c>
      <c r="AF156" s="4">
        <v>5.0001424999999999</v>
      </c>
      <c r="AG156" s="2">
        <v>0.2</v>
      </c>
      <c r="AH156" s="2">
        <v>979332.22</v>
      </c>
      <c r="AI156" s="2">
        <v>0</v>
      </c>
      <c r="AJ156" s="5">
        <v>44673</v>
      </c>
      <c r="AK156" t="s">
        <v>11243</v>
      </c>
      <c r="AL156" s="2">
        <v>5.05</v>
      </c>
      <c r="AM156" s="2">
        <v>0</v>
      </c>
      <c r="AN156" s="2">
        <v>0</v>
      </c>
      <c r="AO156" t="s">
        <v>44</v>
      </c>
      <c r="AP156" t="s">
        <v>44</v>
      </c>
      <c r="AQ156" t="s">
        <v>43</v>
      </c>
    </row>
    <row r="157" spans="1:43" x14ac:dyDescent="0.2">
      <c r="A157" t="s">
        <v>11240</v>
      </c>
      <c r="B157" t="s">
        <v>45</v>
      </c>
      <c r="C157" t="s">
        <v>47</v>
      </c>
      <c r="D157" t="s">
        <v>11045</v>
      </c>
      <c r="E157" t="s">
        <v>11046</v>
      </c>
      <c r="F157" t="s">
        <v>11045</v>
      </c>
      <c r="G157" s="1">
        <v>95942.19</v>
      </c>
      <c r="H157" s="2">
        <v>1506724.51</v>
      </c>
      <c r="I157" s="2">
        <v>1498043.41</v>
      </c>
      <c r="J157" s="2">
        <v>0</v>
      </c>
      <c r="K157" s="2">
        <v>0</v>
      </c>
      <c r="L157" s="2">
        <v>1498043.41</v>
      </c>
      <c r="M157" s="3">
        <v>1</v>
      </c>
      <c r="N157" s="4">
        <v>3.4082100000000001E-3</v>
      </c>
      <c r="O157" s="5" t="s">
        <v>44</v>
      </c>
      <c r="P157" s="5" t="s">
        <v>44</v>
      </c>
      <c r="Q157" s="1"/>
      <c r="R157" s="2">
        <v>0.08</v>
      </c>
      <c r="S157" s="6"/>
      <c r="T157" t="s">
        <v>45</v>
      </c>
      <c r="U157" t="s">
        <v>53</v>
      </c>
      <c r="V157" t="s">
        <v>44</v>
      </c>
      <c r="W157" t="s">
        <v>113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s="4"/>
      <c r="AD157" s="4"/>
      <c r="AE157" s="2">
        <v>0</v>
      </c>
      <c r="AF157" s="4">
        <v>0</v>
      </c>
      <c r="AG157" s="2">
        <v>0.31</v>
      </c>
      <c r="AH157" s="2">
        <v>1498043.41</v>
      </c>
      <c r="AI157" s="2">
        <v>0</v>
      </c>
      <c r="AJ157" s="5">
        <v>44673</v>
      </c>
      <c r="AK157" t="s">
        <v>11243</v>
      </c>
      <c r="AL157" s="2">
        <v>0</v>
      </c>
      <c r="AM157" s="2">
        <v>0</v>
      </c>
      <c r="AN157" s="2">
        <v>0</v>
      </c>
      <c r="AO157" t="s">
        <v>44</v>
      </c>
      <c r="AP157" t="s">
        <v>44</v>
      </c>
      <c r="AQ157" t="s">
        <v>113</v>
      </c>
    </row>
    <row r="158" spans="1:43" x14ac:dyDescent="0.2">
      <c r="A158" t="s">
        <v>11259</v>
      </c>
      <c r="B158" t="s">
        <v>10900</v>
      </c>
      <c r="C158" t="s">
        <v>11049</v>
      </c>
      <c r="D158" t="s">
        <v>11260</v>
      </c>
      <c r="E158" t="s">
        <v>11261</v>
      </c>
      <c r="F158" t="s">
        <v>11260</v>
      </c>
      <c r="G158" s="1">
        <v>23000000</v>
      </c>
      <c r="H158" s="2">
        <v>23000000</v>
      </c>
      <c r="I158" s="2">
        <v>23000000</v>
      </c>
      <c r="J158" s="2">
        <v>77784.740000000005</v>
      </c>
      <c r="K158" s="2">
        <v>0</v>
      </c>
      <c r="L158" s="2">
        <v>23077784.739999998</v>
      </c>
      <c r="M158" s="3">
        <v>4.0849159999999998</v>
      </c>
      <c r="N158" s="4">
        <v>5.2504439999999999E-2</v>
      </c>
      <c r="O158" s="5">
        <v>44680</v>
      </c>
      <c r="P158" s="5">
        <v>44680</v>
      </c>
      <c r="Q158" s="1">
        <v>5.367</v>
      </c>
      <c r="R158" s="2">
        <v>0.23</v>
      </c>
      <c r="S158" s="6">
        <v>0.223471011459</v>
      </c>
      <c r="T158" t="s">
        <v>111</v>
      </c>
      <c r="U158" t="s">
        <v>111</v>
      </c>
      <c r="V158" t="s">
        <v>11189</v>
      </c>
      <c r="W158" t="s">
        <v>43</v>
      </c>
      <c r="X158" t="s">
        <v>11034</v>
      </c>
      <c r="Y158" t="s">
        <v>44</v>
      </c>
      <c r="Z158" t="s">
        <v>44</v>
      </c>
      <c r="AA158" t="s">
        <v>44</v>
      </c>
      <c r="AB158" t="s">
        <v>44</v>
      </c>
      <c r="AC158" s="4">
        <v>4.1266325000000004</v>
      </c>
      <c r="AD158" s="4">
        <v>4.0505802500000003</v>
      </c>
      <c r="AE158" s="2">
        <v>4.13</v>
      </c>
      <c r="AF158" s="4">
        <v>4.0505802500000003</v>
      </c>
      <c r="AG158" s="2">
        <v>3.41</v>
      </c>
      <c r="AH158" s="2">
        <v>23077784.739999998</v>
      </c>
      <c r="AI158" s="2">
        <v>0.05</v>
      </c>
      <c r="AJ158" s="5">
        <v>44673</v>
      </c>
      <c r="AK158" t="s">
        <v>11262</v>
      </c>
      <c r="AL158" s="2">
        <v>4.08</v>
      </c>
      <c r="AM158" s="2">
        <v>5.37</v>
      </c>
      <c r="AN158" s="2">
        <v>0.22</v>
      </c>
      <c r="AO158" t="s">
        <v>11263</v>
      </c>
      <c r="AP158" t="s">
        <v>11264</v>
      </c>
      <c r="AQ158" t="s">
        <v>11261</v>
      </c>
    </row>
    <row r="159" spans="1:43" x14ac:dyDescent="0.2">
      <c r="A159" t="s">
        <v>11259</v>
      </c>
      <c r="B159" t="s">
        <v>10900</v>
      </c>
      <c r="C159" t="s">
        <v>11049</v>
      </c>
      <c r="D159" t="s">
        <v>11265</v>
      </c>
      <c r="E159" t="s">
        <v>11266</v>
      </c>
      <c r="F159" t="s">
        <v>11265</v>
      </c>
      <c r="G159" s="1">
        <v>5900000</v>
      </c>
      <c r="H159" s="2">
        <v>5618329.4299999997</v>
      </c>
      <c r="I159" s="2">
        <v>5618329.4299999997</v>
      </c>
      <c r="J159" s="2">
        <v>0</v>
      </c>
      <c r="K159" s="2">
        <v>0</v>
      </c>
      <c r="L159" s="2">
        <v>5618329.4299999997</v>
      </c>
      <c r="M159" s="3">
        <v>6.3099970000000001</v>
      </c>
      <c r="N159" s="4">
        <v>1.27823E-2</v>
      </c>
      <c r="O159" s="5" t="s">
        <v>44</v>
      </c>
      <c r="P159" s="5">
        <v>44964</v>
      </c>
      <c r="Q159" s="1">
        <v>0</v>
      </c>
      <c r="R159" s="2">
        <v>0.79</v>
      </c>
      <c r="S159" s="6">
        <v>0.75161913127000002</v>
      </c>
      <c r="T159" t="s">
        <v>112</v>
      </c>
      <c r="U159" t="s">
        <v>111</v>
      </c>
      <c r="V159" t="s">
        <v>11238</v>
      </c>
      <c r="W159" t="s">
        <v>43</v>
      </c>
      <c r="X159" t="s">
        <v>44</v>
      </c>
      <c r="Y159" t="s">
        <v>44</v>
      </c>
      <c r="Z159" t="s">
        <v>44</v>
      </c>
      <c r="AA159" t="s">
        <v>10979</v>
      </c>
      <c r="AB159" t="s">
        <v>44</v>
      </c>
      <c r="AC159" s="4">
        <v>6.4095368800000001</v>
      </c>
      <c r="AD159" s="4">
        <v>6.2286110399999997</v>
      </c>
      <c r="AE159" s="2">
        <v>6.41</v>
      </c>
      <c r="AF159" s="4">
        <v>6.2286110399999997</v>
      </c>
      <c r="AG159" s="2">
        <v>0.83</v>
      </c>
      <c r="AH159" s="2">
        <v>5618329.4299999997</v>
      </c>
      <c r="AI159" s="2">
        <v>0.01</v>
      </c>
      <c r="AJ159" s="5">
        <v>44673</v>
      </c>
      <c r="AK159" t="s">
        <v>11262</v>
      </c>
      <c r="AL159" s="2">
        <v>6.31</v>
      </c>
      <c r="AM159" s="2">
        <v>0</v>
      </c>
      <c r="AN159" s="2">
        <v>0.75</v>
      </c>
      <c r="AO159" t="s">
        <v>10982</v>
      </c>
      <c r="AP159" t="s">
        <v>11267</v>
      </c>
      <c r="AQ159" t="s">
        <v>11266</v>
      </c>
    </row>
    <row r="160" spans="1:43" x14ac:dyDescent="0.2">
      <c r="A160" t="s">
        <v>11259</v>
      </c>
      <c r="B160" t="s">
        <v>45</v>
      </c>
      <c r="C160" t="s">
        <v>11000</v>
      </c>
      <c r="D160" t="s">
        <v>11268</v>
      </c>
      <c r="E160" t="s">
        <v>11269</v>
      </c>
      <c r="F160" t="s">
        <v>11268</v>
      </c>
      <c r="G160" s="1">
        <v>18045503.600000001</v>
      </c>
      <c r="H160" s="2">
        <v>18045503.600000001</v>
      </c>
      <c r="I160" s="2">
        <v>18045503.600000001</v>
      </c>
      <c r="J160" s="2">
        <v>57970.07</v>
      </c>
      <c r="K160" s="2">
        <v>0</v>
      </c>
      <c r="L160" s="2">
        <v>18103473.670000002</v>
      </c>
      <c r="M160" s="3">
        <v>4.617</v>
      </c>
      <c r="N160" s="4">
        <v>4.1187349999999998E-2</v>
      </c>
      <c r="O160" s="5" t="s">
        <v>44</v>
      </c>
      <c r="P160" s="5">
        <v>47848</v>
      </c>
      <c r="Q160" s="1">
        <v>4.617</v>
      </c>
      <c r="R160" s="2">
        <v>0.08</v>
      </c>
      <c r="S160" s="6"/>
      <c r="T160" t="s">
        <v>112</v>
      </c>
      <c r="U160" t="s">
        <v>46</v>
      </c>
      <c r="V160" t="s">
        <v>11270</v>
      </c>
      <c r="W160" t="s">
        <v>43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s="4">
        <v>4.7160921900000004</v>
      </c>
      <c r="AD160" s="4">
        <v>4.6171215200000004</v>
      </c>
      <c r="AE160" s="2">
        <v>4.72</v>
      </c>
      <c r="AF160" s="4">
        <v>4.6171215200000004</v>
      </c>
      <c r="AG160" s="2">
        <v>2.68</v>
      </c>
      <c r="AH160" s="2">
        <v>18103473.670000002</v>
      </c>
      <c r="AI160" s="2">
        <v>0.04</v>
      </c>
      <c r="AJ160" s="5">
        <v>44673</v>
      </c>
      <c r="AK160" t="s">
        <v>11262</v>
      </c>
      <c r="AL160" s="2">
        <v>4.66</v>
      </c>
      <c r="AM160" s="2">
        <v>4.62</v>
      </c>
      <c r="AN160" s="2">
        <v>0</v>
      </c>
      <c r="AO160" t="s">
        <v>44</v>
      </c>
      <c r="AP160" t="s">
        <v>44</v>
      </c>
      <c r="AQ160" t="s">
        <v>11269</v>
      </c>
    </row>
    <row r="161" spans="1:43" x14ac:dyDescent="0.2">
      <c r="A161" t="s">
        <v>11259</v>
      </c>
      <c r="B161" t="s">
        <v>45</v>
      </c>
      <c r="C161" t="s">
        <v>11000</v>
      </c>
      <c r="D161" t="s">
        <v>11271</v>
      </c>
      <c r="E161" t="s">
        <v>11272</v>
      </c>
      <c r="F161" t="s">
        <v>11271</v>
      </c>
      <c r="G161" s="1">
        <v>37990000</v>
      </c>
      <c r="H161" s="2">
        <v>37990000</v>
      </c>
      <c r="I161" s="2">
        <v>37990000</v>
      </c>
      <c r="J161" s="2">
        <v>122040.53</v>
      </c>
      <c r="K161" s="2">
        <v>0</v>
      </c>
      <c r="L161" s="2">
        <v>38112040.530000001</v>
      </c>
      <c r="M161" s="3">
        <v>4.617</v>
      </c>
      <c r="N161" s="4">
        <v>8.6708999999999994E-2</v>
      </c>
      <c r="O161" s="5" t="s">
        <v>44</v>
      </c>
      <c r="P161" s="5">
        <v>47848</v>
      </c>
      <c r="Q161" s="1">
        <v>4.617</v>
      </c>
      <c r="R161" s="2">
        <v>0.08</v>
      </c>
      <c r="S161" s="6"/>
      <c r="T161" t="s">
        <v>112</v>
      </c>
      <c r="U161" t="s">
        <v>46</v>
      </c>
      <c r="V161" t="s">
        <v>11270</v>
      </c>
      <c r="W161" t="s">
        <v>43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s="4">
        <v>4.7160921900000004</v>
      </c>
      <c r="AD161" s="4">
        <v>4.6171215200000004</v>
      </c>
      <c r="AE161" s="2">
        <v>4.72</v>
      </c>
      <c r="AF161" s="4">
        <v>4.6171215200000004</v>
      </c>
      <c r="AG161" s="2">
        <v>5.63</v>
      </c>
      <c r="AH161" s="2">
        <v>38112040.530000001</v>
      </c>
      <c r="AI161" s="2">
        <v>0.09</v>
      </c>
      <c r="AJ161" s="5">
        <v>44673</v>
      </c>
      <c r="AK161" t="s">
        <v>11262</v>
      </c>
      <c r="AL161" s="2">
        <v>4.66</v>
      </c>
      <c r="AM161" s="2">
        <v>4.62</v>
      </c>
      <c r="AN161" s="2">
        <v>0</v>
      </c>
      <c r="AO161" t="s">
        <v>44</v>
      </c>
      <c r="AP161" t="s">
        <v>44</v>
      </c>
      <c r="AQ161" t="s">
        <v>11272</v>
      </c>
    </row>
    <row r="162" spans="1:43" x14ac:dyDescent="0.2">
      <c r="A162" t="s">
        <v>11259</v>
      </c>
      <c r="B162" t="s">
        <v>45</v>
      </c>
      <c r="C162" t="s">
        <v>11000</v>
      </c>
      <c r="D162" t="s">
        <v>11273</v>
      </c>
      <c r="E162" t="s">
        <v>11274</v>
      </c>
      <c r="F162" t="s">
        <v>11273</v>
      </c>
      <c r="G162" s="1">
        <v>209.34</v>
      </c>
      <c r="H162" s="2">
        <v>209.34</v>
      </c>
      <c r="I162" s="2">
        <v>209.34</v>
      </c>
      <c r="J162" s="2">
        <v>0.64</v>
      </c>
      <c r="K162" s="2">
        <v>0</v>
      </c>
      <c r="L162" s="2">
        <v>209.98</v>
      </c>
      <c r="M162" s="3"/>
      <c r="N162" s="4">
        <v>4.7999999999999996E-7</v>
      </c>
      <c r="O162" s="5">
        <v>44378</v>
      </c>
      <c r="P162" s="5">
        <v>55153</v>
      </c>
      <c r="Q162" s="1">
        <v>0</v>
      </c>
      <c r="R162" s="2"/>
      <c r="S162" s="6"/>
      <c r="T162" t="s">
        <v>111</v>
      </c>
      <c r="U162" t="s">
        <v>11003</v>
      </c>
      <c r="V162" t="s">
        <v>46</v>
      </c>
      <c r="W162" t="s">
        <v>43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s="4"/>
      <c r="AD162" s="4"/>
      <c r="AE162" s="2">
        <v>0</v>
      </c>
      <c r="AF162" s="4">
        <v>0</v>
      </c>
      <c r="AG162" s="2">
        <v>0</v>
      </c>
      <c r="AH162" s="2">
        <v>209.98</v>
      </c>
      <c r="AI162" s="2">
        <v>0</v>
      </c>
      <c r="AJ162" s="5">
        <v>44673</v>
      </c>
      <c r="AK162" t="s">
        <v>11262</v>
      </c>
      <c r="AL162" s="2">
        <v>0</v>
      </c>
      <c r="AM162" s="2">
        <v>0</v>
      </c>
      <c r="AN162" s="2">
        <v>0</v>
      </c>
      <c r="AO162" t="s">
        <v>44</v>
      </c>
      <c r="AP162" t="s">
        <v>11275</v>
      </c>
      <c r="AQ162" t="s">
        <v>11274</v>
      </c>
    </row>
    <row r="163" spans="1:43" x14ac:dyDescent="0.2">
      <c r="A163" t="s">
        <v>11259</v>
      </c>
      <c r="B163" t="s">
        <v>45</v>
      </c>
      <c r="C163" t="s">
        <v>11000</v>
      </c>
      <c r="D163" t="s">
        <v>11001</v>
      </c>
      <c r="E163" t="s">
        <v>11002</v>
      </c>
      <c r="F163" t="s">
        <v>11001</v>
      </c>
      <c r="G163" s="1">
        <v>90708405.870000005</v>
      </c>
      <c r="H163" s="2">
        <v>90708405.870000005</v>
      </c>
      <c r="I163" s="2">
        <v>90708405.870000005</v>
      </c>
      <c r="J163" s="2">
        <v>288467.90000000002</v>
      </c>
      <c r="K163" s="2">
        <v>0</v>
      </c>
      <c r="L163" s="2">
        <v>90996873.769999996</v>
      </c>
      <c r="M163" s="3"/>
      <c r="N163" s="4">
        <v>0.20702768999999999</v>
      </c>
      <c r="O163" s="5">
        <v>40756</v>
      </c>
      <c r="P163" s="5">
        <v>73020</v>
      </c>
      <c r="Q163" s="1">
        <v>0</v>
      </c>
      <c r="R163" s="2"/>
      <c r="S163" s="6"/>
      <c r="T163" t="s">
        <v>111</v>
      </c>
      <c r="U163" t="s">
        <v>11003</v>
      </c>
      <c r="V163" t="s">
        <v>46</v>
      </c>
      <c r="W163" t="s">
        <v>43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s="4"/>
      <c r="AD163" s="4"/>
      <c r="AE163" s="2">
        <v>0</v>
      </c>
      <c r="AF163" s="4">
        <v>0</v>
      </c>
      <c r="AG163" s="2">
        <v>13.45</v>
      </c>
      <c r="AH163" s="2">
        <v>90996873.769999996</v>
      </c>
      <c r="AI163" s="2">
        <v>0.21</v>
      </c>
      <c r="AJ163" s="5">
        <v>44673</v>
      </c>
      <c r="AK163" t="s">
        <v>11262</v>
      </c>
      <c r="AL163" s="2">
        <v>0</v>
      </c>
      <c r="AM163" s="2">
        <v>0</v>
      </c>
      <c r="AN163" s="2">
        <v>0</v>
      </c>
      <c r="AO163" t="s">
        <v>44</v>
      </c>
      <c r="AP163" t="s">
        <v>11004</v>
      </c>
      <c r="AQ163" t="s">
        <v>11002</v>
      </c>
    </row>
    <row r="164" spans="1:43" x14ac:dyDescent="0.2">
      <c r="A164" t="s">
        <v>11259</v>
      </c>
      <c r="B164" t="s">
        <v>45</v>
      </c>
      <c r="C164" t="s">
        <v>11144</v>
      </c>
      <c r="D164" t="s">
        <v>11145</v>
      </c>
      <c r="E164" t="s">
        <v>11146</v>
      </c>
      <c r="F164" t="s">
        <v>11147</v>
      </c>
      <c r="G164" s="1">
        <v>8185728</v>
      </c>
      <c r="H164" s="2">
        <v>8185728</v>
      </c>
      <c r="I164" s="2">
        <v>8185728</v>
      </c>
      <c r="J164" s="2">
        <v>21727.24</v>
      </c>
      <c r="K164" s="2">
        <v>0</v>
      </c>
      <c r="L164" s="2">
        <v>8207455.2400000002</v>
      </c>
      <c r="M164" s="3">
        <v>6.88</v>
      </c>
      <c r="N164" s="4">
        <v>1.867284E-2</v>
      </c>
      <c r="O164" s="5" t="s">
        <v>44</v>
      </c>
      <c r="P164" s="5">
        <v>55153</v>
      </c>
      <c r="Q164" s="1">
        <v>6.88</v>
      </c>
      <c r="R164" s="2">
        <v>0.08</v>
      </c>
      <c r="S164" s="6">
        <v>2.6006750000000002E-3</v>
      </c>
      <c r="T164" t="s">
        <v>112</v>
      </c>
      <c r="U164" t="s">
        <v>46</v>
      </c>
      <c r="V164" t="s">
        <v>11148</v>
      </c>
      <c r="W164" t="s">
        <v>43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s="4"/>
      <c r="AD164" s="4"/>
      <c r="AE164" s="2">
        <v>0</v>
      </c>
      <c r="AF164" s="4">
        <v>0</v>
      </c>
      <c r="AG164" s="2">
        <v>1.21</v>
      </c>
      <c r="AH164" s="2">
        <v>8207455.2400000002</v>
      </c>
      <c r="AI164" s="2">
        <v>0.02</v>
      </c>
      <c r="AJ164" s="5">
        <v>44673</v>
      </c>
      <c r="AK164" t="s">
        <v>11262</v>
      </c>
      <c r="AL164" s="2">
        <v>0</v>
      </c>
      <c r="AM164" s="2">
        <v>6.88</v>
      </c>
      <c r="AN164" s="2">
        <v>0</v>
      </c>
      <c r="AO164" t="s">
        <v>11146</v>
      </c>
      <c r="AP164" t="s">
        <v>44</v>
      </c>
      <c r="AQ164" t="s">
        <v>11146</v>
      </c>
    </row>
    <row r="165" spans="1:43" x14ac:dyDescent="0.2">
      <c r="A165" t="s">
        <v>11259</v>
      </c>
      <c r="B165" t="s">
        <v>45</v>
      </c>
      <c r="C165" t="s">
        <v>47</v>
      </c>
      <c r="D165" t="s">
        <v>48</v>
      </c>
      <c r="E165" t="s">
        <v>49</v>
      </c>
      <c r="F165" t="s">
        <v>50</v>
      </c>
      <c r="G165" s="1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1693.89</v>
      </c>
      <c r="M165" s="3"/>
      <c r="N165" s="4">
        <v>3.8500000000000004E-6</v>
      </c>
      <c r="O165" s="5" t="s">
        <v>44</v>
      </c>
      <c r="P165" s="5" t="s">
        <v>44</v>
      </c>
      <c r="Q165" s="1"/>
      <c r="R165" s="2">
        <v>0.08</v>
      </c>
      <c r="S165" s="6"/>
      <c r="T165" t="s">
        <v>45</v>
      </c>
      <c r="U165" t="s">
        <v>46</v>
      </c>
      <c r="V165" t="s">
        <v>44</v>
      </c>
      <c r="W165" t="s">
        <v>43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s="4">
        <v>5.1163389600000002</v>
      </c>
      <c r="AD165" s="4">
        <v>5.0001424999999999</v>
      </c>
      <c r="AE165" s="2">
        <v>5.12</v>
      </c>
      <c r="AF165" s="4">
        <v>5.0001424999999999</v>
      </c>
      <c r="AG165" s="2">
        <v>0</v>
      </c>
      <c r="AH165" s="2">
        <v>1693.89</v>
      </c>
      <c r="AI165" s="2">
        <v>0</v>
      </c>
      <c r="AJ165" s="5">
        <v>44673</v>
      </c>
      <c r="AK165" t="s">
        <v>11262</v>
      </c>
      <c r="AL165" s="2">
        <v>5.05</v>
      </c>
      <c r="AM165" s="2">
        <v>0</v>
      </c>
      <c r="AN165" s="2">
        <v>0</v>
      </c>
      <c r="AO165" t="s">
        <v>44</v>
      </c>
      <c r="AP165" t="s">
        <v>44</v>
      </c>
      <c r="AQ165" t="s">
        <v>44</v>
      </c>
    </row>
    <row r="166" spans="1:43" x14ac:dyDescent="0.2">
      <c r="A166" t="s">
        <v>11259</v>
      </c>
      <c r="B166" t="s">
        <v>45</v>
      </c>
      <c r="C166" t="s">
        <v>47</v>
      </c>
      <c r="D166" t="s">
        <v>51</v>
      </c>
      <c r="E166" t="s">
        <v>52</v>
      </c>
      <c r="F166" t="s">
        <v>51</v>
      </c>
      <c r="G166" s="1">
        <v>620180.89</v>
      </c>
      <c r="H166" s="2">
        <v>620180.89</v>
      </c>
      <c r="I166" s="2">
        <v>620180.89</v>
      </c>
      <c r="J166" s="2">
        <v>0</v>
      </c>
      <c r="K166" s="2">
        <v>0</v>
      </c>
      <c r="L166" s="2">
        <v>620180.89</v>
      </c>
      <c r="M166" s="3"/>
      <c r="N166" s="4">
        <v>1.41098E-3</v>
      </c>
      <c r="O166" s="5" t="s">
        <v>44</v>
      </c>
      <c r="P166" s="5" t="s">
        <v>44</v>
      </c>
      <c r="Q166" s="1"/>
      <c r="R166" s="2">
        <v>0.08</v>
      </c>
      <c r="S166" s="6"/>
      <c r="T166" t="s">
        <v>45</v>
      </c>
      <c r="U166" t="s">
        <v>53</v>
      </c>
      <c r="V166" t="s">
        <v>44</v>
      </c>
      <c r="W166" t="s">
        <v>43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s="4">
        <v>5.1163389600000002</v>
      </c>
      <c r="AD166" s="4">
        <v>5.0001424999999999</v>
      </c>
      <c r="AE166" s="2">
        <v>5.12</v>
      </c>
      <c r="AF166" s="4">
        <v>5.0001424999999999</v>
      </c>
      <c r="AG166" s="2">
        <v>0.09</v>
      </c>
      <c r="AH166" s="2">
        <v>620180.89</v>
      </c>
      <c r="AI166" s="2">
        <v>0</v>
      </c>
      <c r="AJ166" s="5">
        <v>44673</v>
      </c>
      <c r="AK166" t="s">
        <v>11262</v>
      </c>
      <c r="AL166" s="2">
        <v>5.05</v>
      </c>
      <c r="AM166" s="2">
        <v>0</v>
      </c>
      <c r="AN166" s="2">
        <v>0</v>
      </c>
      <c r="AO166" t="s">
        <v>44</v>
      </c>
      <c r="AP166" t="s">
        <v>44</v>
      </c>
      <c r="AQ166" t="s">
        <v>43</v>
      </c>
    </row>
    <row r="167" spans="1:43" x14ac:dyDescent="0.2">
      <c r="A167" t="s">
        <v>11259</v>
      </c>
      <c r="B167" t="s">
        <v>45</v>
      </c>
      <c r="C167" t="s">
        <v>11005</v>
      </c>
      <c r="D167" t="s">
        <v>11149</v>
      </c>
      <c r="E167" t="s">
        <v>11150</v>
      </c>
      <c r="F167" t="s">
        <v>44</v>
      </c>
      <c r="G167" s="1">
        <v>-1530880</v>
      </c>
      <c r="H167" s="2">
        <v>-1530880</v>
      </c>
      <c r="I167" s="2">
        <v>-1530880</v>
      </c>
      <c r="J167" s="2">
        <v>0</v>
      </c>
      <c r="K167" s="2"/>
      <c r="L167" s="2">
        <v>-1530880</v>
      </c>
      <c r="M167" s="3"/>
      <c r="N167" s="4">
        <v>-3.48292E-3</v>
      </c>
      <c r="O167" s="5" t="s">
        <v>44</v>
      </c>
      <c r="P167" s="5">
        <v>73051</v>
      </c>
      <c r="Q167" s="1">
        <v>0</v>
      </c>
      <c r="R167" s="2">
        <v>0.08</v>
      </c>
      <c r="S167" s="6"/>
      <c r="T167" t="s">
        <v>45</v>
      </c>
      <c r="U167" t="s">
        <v>44</v>
      </c>
      <c r="V167" t="s">
        <v>44</v>
      </c>
      <c r="W167" t="s">
        <v>43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s="4">
        <v>5.1163389600000002</v>
      </c>
      <c r="AD167" s="4">
        <v>5.0001424999999999</v>
      </c>
      <c r="AE167" s="2">
        <v>5.12</v>
      </c>
      <c r="AF167" s="4">
        <v>5.0001424999999999</v>
      </c>
      <c r="AG167" s="2">
        <v>-0.23</v>
      </c>
      <c r="AH167" s="2">
        <v>-1530880</v>
      </c>
      <c r="AI167" s="2">
        <v>0</v>
      </c>
      <c r="AJ167" s="5">
        <v>44673</v>
      </c>
      <c r="AK167" t="s">
        <v>11262</v>
      </c>
      <c r="AL167" s="2">
        <v>5.05</v>
      </c>
      <c r="AM167" s="2">
        <v>0</v>
      </c>
      <c r="AN167" s="2">
        <v>0</v>
      </c>
      <c r="AO167" t="s">
        <v>44</v>
      </c>
      <c r="AP167" t="s">
        <v>44</v>
      </c>
      <c r="AQ167" t="s">
        <v>44</v>
      </c>
    </row>
    <row r="168" spans="1:43" x14ac:dyDescent="0.2">
      <c r="A168" t="s">
        <v>11259</v>
      </c>
      <c r="B168" t="s">
        <v>11024</v>
      </c>
      <c r="C168" t="s">
        <v>57</v>
      </c>
      <c r="D168" t="s">
        <v>11151</v>
      </c>
      <c r="E168" t="s">
        <v>11151</v>
      </c>
      <c r="F168" t="s">
        <v>11151</v>
      </c>
      <c r="G168" s="1">
        <v>128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3">
        <v>65704</v>
      </c>
      <c r="N168" s="4">
        <v>0</v>
      </c>
      <c r="O168" s="5" t="s">
        <v>44</v>
      </c>
      <c r="P168" s="5">
        <v>44727</v>
      </c>
      <c r="Q168" s="1"/>
      <c r="R168" s="2"/>
      <c r="S168" s="6"/>
      <c r="T168" t="s">
        <v>11026</v>
      </c>
      <c r="U168" t="s">
        <v>11025</v>
      </c>
      <c r="V168" t="s">
        <v>11027</v>
      </c>
      <c r="W168" t="s">
        <v>43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s="4"/>
      <c r="AD168" s="4"/>
      <c r="AE168" s="2">
        <v>0</v>
      </c>
      <c r="AF168" s="4">
        <v>0</v>
      </c>
      <c r="AG168" s="2">
        <v>0</v>
      </c>
      <c r="AH168" s="2">
        <v>84101120</v>
      </c>
      <c r="AI168" s="2">
        <v>0.19</v>
      </c>
      <c r="AJ168" s="5">
        <v>44673</v>
      </c>
      <c r="AK168" t="s">
        <v>11262</v>
      </c>
      <c r="AL168" s="2">
        <v>0</v>
      </c>
      <c r="AM168" s="2">
        <v>0</v>
      </c>
      <c r="AN168" s="2">
        <v>0</v>
      </c>
      <c r="AO168" t="s">
        <v>44</v>
      </c>
      <c r="AP168" t="s">
        <v>11152</v>
      </c>
      <c r="AQ168" t="s">
        <v>11151</v>
      </c>
    </row>
    <row r="169" spans="1:43" x14ac:dyDescent="0.2">
      <c r="A169" t="s">
        <v>11259</v>
      </c>
      <c r="B169" t="s">
        <v>11037</v>
      </c>
      <c r="C169" t="s">
        <v>11276</v>
      </c>
      <c r="D169" t="s">
        <v>6473</v>
      </c>
      <c r="E169" t="s">
        <v>4464</v>
      </c>
      <c r="F169" t="s">
        <v>6473</v>
      </c>
      <c r="G169" s="1">
        <v>7470</v>
      </c>
      <c r="H169" s="2">
        <v>640818.85</v>
      </c>
      <c r="I169" s="2">
        <v>747000</v>
      </c>
      <c r="J169" s="2">
        <v>0</v>
      </c>
      <c r="K169" s="2">
        <v>0</v>
      </c>
      <c r="L169" s="2">
        <v>747000</v>
      </c>
      <c r="M169" s="3">
        <v>10000</v>
      </c>
      <c r="N169" s="4">
        <v>1.69951E-3</v>
      </c>
      <c r="O169" s="5" t="s">
        <v>44</v>
      </c>
      <c r="P169" s="5" t="s">
        <v>44</v>
      </c>
      <c r="Q169" s="1"/>
      <c r="R169" s="2"/>
      <c r="S169" s="6"/>
      <c r="T169" t="s">
        <v>10902</v>
      </c>
      <c r="U169" t="s">
        <v>10902</v>
      </c>
      <c r="V169" t="s">
        <v>10902</v>
      </c>
      <c r="W169" t="s">
        <v>43</v>
      </c>
      <c r="X169" t="s">
        <v>11277</v>
      </c>
      <c r="Y169" t="s">
        <v>11277</v>
      </c>
      <c r="Z169" t="s">
        <v>11276</v>
      </c>
      <c r="AA169" t="s">
        <v>44</v>
      </c>
      <c r="AB169" t="s">
        <v>44</v>
      </c>
      <c r="AC169" s="4"/>
      <c r="AD169" s="4"/>
      <c r="AE169" s="2">
        <v>0</v>
      </c>
      <c r="AF169" s="4">
        <v>0</v>
      </c>
      <c r="AG169" s="2">
        <v>0.11</v>
      </c>
      <c r="AH169" s="2">
        <v>747000</v>
      </c>
      <c r="AI169" s="2">
        <v>0</v>
      </c>
      <c r="AJ169" s="5">
        <v>44673</v>
      </c>
      <c r="AK169" t="s">
        <v>11262</v>
      </c>
      <c r="AL169" s="2">
        <v>0</v>
      </c>
      <c r="AM169" s="2">
        <v>0</v>
      </c>
      <c r="AN169" s="2">
        <v>0</v>
      </c>
      <c r="AO169" t="s">
        <v>44</v>
      </c>
      <c r="AP169" t="s">
        <v>11278</v>
      </c>
      <c r="AQ169" t="s">
        <v>4464</v>
      </c>
    </row>
    <row r="170" spans="1:43" x14ac:dyDescent="0.2">
      <c r="A170" t="s">
        <v>11259</v>
      </c>
      <c r="B170" t="s">
        <v>11037</v>
      </c>
      <c r="C170" t="s">
        <v>11276</v>
      </c>
      <c r="D170" t="s">
        <v>6316</v>
      </c>
      <c r="E170" t="s">
        <v>4585</v>
      </c>
      <c r="F170" t="s">
        <v>6316</v>
      </c>
      <c r="G170" s="1">
        <v>7189</v>
      </c>
      <c r="H170" s="2">
        <v>1723936.96</v>
      </c>
      <c r="I170" s="2">
        <v>1743476.28</v>
      </c>
      <c r="J170" s="2">
        <v>0</v>
      </c>
      <c r="K170" s="2">
        <v>0</v>
      </c>
      <c r="L170" s="2">
        <v>1743476.28</v>
      </c>
      <c r="M170" s="3">
        <v>24252</v>
      </c>
      <c r="N170" s="4">
        <v>3.9665999999999998E-3</v>
      </c>
      <c r="O170" s="5" t="s">
        <v>44</v>
      </c>
      <c r="P170" s="5" t="s">
        <v>44</v>
      </c>
      <c r="Q170" s="1"/>
      <c r="R170" s="2"/>
      <c r="S170" s="6"/>
      <c r="T170" t="s">
        <v>10902</v>
      </c>
      <c r="U170" t="s">
        <v>10902</v>
      </c>
      <c r="V170" t="s">
        <v>10902</v>
      </c>
      <c r="W170" t="s">
        <v>43</v>
      </c>
      <c r="X170" t="s">
        <v>11279</v>
      </c>
      <c r="Y170" t="s">
        <v>11280</v>
      </c>
      <c r="Z170" t="s">
        <v>11276</v>
      </c>
      <c r="AA170" t="s">
        <v>44</v>
      </c>
      <c r="AB170" t="s">
        <v>44</v>
      </c>
      <c r="AC170" s="4"/>
      <c r="AD170" s="4"/>
      <c r="AE170" s="2">
        <v>0</v>
      </c>
      <c r="AF170" s="4">
        <v>0</v>
      </c>
      <c r="AG170" s="2">
        <v>0.26</v>
      </c>
      <c r="AH170" s="2">
        <v>1743476.28</v>
      </c>
      <c r="AI170" s="2">
        <v>0</v>
      </c>
      <c r="AJ170" s="5">
        <v>44673</v>
      </c>
      <c r="AK170" t="s">
        <v>11262</v>
      </c>
      <c r="AL170" s="2">
        <v>0</v>
      </c>
      <c r="AM170" s="2">
        <v>0</v>
      </c>
      <c r="AN170" s="2">
        <v>0</v>
      </c>
      <c r="AO170" t="s">
        <v>44</v>
      </c>
      <c r="AP170" t="s">
        <v>11281</v>
      </c>
      <c r="AQ170" t="s">
        <v>4585</v>
      </c>
    </row>
    <row r="171" spans="1:43" x14ac:dyDescent="0.2">
      <c r="A171" t="s">
        <v>11259</v>
      </c>
      <c r="B171" t="s">
        <v>11037</v>
      </c>
      <c r="C171" t="s">
        <v>11276</v>
      </c>
      <c r="D171" t="s">
        <v>11282</v>
      </c>
      <c r="E171" t="s">
        <v>7222</v>
      </c>
      <c r="F171" t="s">
        <v>11282</v>
      </c>
      <c r="G171" s="1">
        <v>28476</v>
      </c>
      <c r="H171" s="2">
        <v>429487.5</v>
      </c>
      <c r="I171" s="2">
        <v>384710.76</v>
      </c>
      <c r="J171" s="2">
        <v>0</v>
      </c>
      <c r="K171" s="2">
        <v>0</v>
      </c>
      <c r="L171" s="2">
        <v>384710.76</v>
      </c>
      <c r="M171" s="3">
        <v>1351</v>
      </c>
      <c r="N171" s="4">
        <v>8.7525999999999999E-4</v>
      </c>
      <c r="O171" s="5" t="s">
        <v>44</v>
      </c>
      <c r="P171" s="5" t="s">
        <v>44</v>
      </c>
      <c r="Q171" s="1"/>
      <c r="R171" s="2"/>
      <c r="S171" s="6"/>
      <c r="T171" t="s">
        <v>10902</v>
      </c>
      <c r="U171" t="s">
        <v>10902</v>
      </c>
      <c r="V171" t="s">
        <v>10902</v>
      </c>
      <c r="W171" t="s">
        <v>43</v>
      </c>
      <c r="X171" t="s">
        <v>11279</v>
      </c>
      <c r="Y171" t="s">
        <v>11280</v>
      </c>
      <c r="Z171" t="s">
        <v>11276</v>
      </c>
      <c r="AA171" t="s">
        <v>44</v>
      </c>
      <c r="AB171" t="s">
        <v>44</v>
      </c>
      <c r="AC171" s="4"/>
      <c r="AD171" s="4"/>
      <c r="AE171" s="2">
        <v>0</v>
      </c>
      <c r="AF171" s="4">
        <v>0</v>
      </c>
      <c r="AG171" s="2">
        <v>0.06</v>
      </c>
      <c r="AH171" s="2">
        <v>384710.76</v>
      </c>
      <c r="AI171" s="2">
        <v>0</v>
      </c>
      <c r="AJ171" s="5">
        <v>44673</v>
      </c>
      <c r="AK171" t="s">
        <v>11262</v>
      </c>
      <c r="AL171" s="2">
        <v>0</v>
      </c>
      <c r="AM171" s="2">
        <v>0</v>
      </c>
      <c r="AN171" s="2">
        <v>0</v>
      </c>
      <c r="AO171" t="s">
        <v>44</v>
      </c>
      <c r="AP171" t="s">
        <v>11283</v>
      </c>
      <c r="AQ171" t="s">
        <v>7222</v>
      </c>
    </row>
    <row r="172" spans="1:43" x14ac:dyDescent="0.2">
      <c r="A172" t="s">
        <v>11259</v>
      </c>
      <c r="B172" t="s">
        <v>11037</v>
      </c>
      <c r="C172" t="s">
        <v>11276</v>
      </c>
      <c r="D172" t="s">
        <v>11284</v>
      </c>
      <c r="E172" t="s">
        <v>4506</v>
      </c>
      <c r="F172" t="s">
        <v>11284</v>
      </c>
      <c r="G172" s="1">
        <v>40000</v>
      </c>
      <c r="H172" s="2">
        <v>2629371</v>
      </c>
      <c r="I172" s="2">
        <v>2631200</v>
      </c>
      <c r="J172" s="2">
        <v>0</v>
      </c>
      <c r="K172" s="2">
        <v>0</v>
      </c>
      <c r="L172" s="2">
        <v>2631200</v>
      </c>
      <c r="M172" s="3">
        <v>6578</v>
      </c>
      <c r="N172" s="4">
        <v>5.9862600000000002E-3</v>
      </c>
      <c r="O172" s="5" t="s">
        <v>44</v>
      </c>
      <c r="P172" s="5" t="s">
        <v>44</v>
      </c>
      <c r="Q172" s="1"/>
      <c r="R172" s="2"/>
      <c r="S172" s="6"/>
      <c r="T172" t="s">
        <v>10902</v>
      </c>
      <c r="U172" t="s">
        <v>10902</v>
      </c>
      <c r="V172" t="s">
        <v>10902</v>
      </c>
      <c r="W172" t="s">
        <v>43</v>
      </c>
      <c r="X172" t="s">
        <v>11279</v>
      </c>
      <c r="Y172" t="s">
        <v>11280</v>
      </c>
      <c r="Z172" t="s">
        <v>11276</v>
      </c>
      <c r="AA172" t="s">
        <v>44</v>
      </c>
      <c r="AB172" t="s">
        <v>44</v>
      </c>
      <c r="AC172" s="4"/>
      <c r="AD172" s="4"/>
      <c r="AE172" s="2">
        <v>0</v>
      </c>
      <c r="AF172" s="4">
        <v>0</v>
      </c>
      <c r="AG172" s="2">
        <v>0.39</v>
      </c>
      <c r="AH172" s="2">
        <v>2631200</v>
      </c>
      <c r="AI172" s="2">
        <v>0.01</v>
      </c>
      <c r="AJ172" s="5">
        <v>44673</v>
      </c>
      <c r="AK172" t="s">
        <v>11262</v>
      </c>
      <c r="AL172" s="2">
        <v>0</v>
      </c>
      <c r="AM172" s="2">
        <v>0</v>
      </c>
      <c r="AN172" s="2">
        <v>0</v>
      </c>
      <c r="AO172" t="s">
        <v>44</v>
      </c>
      <c r="AP172" t="s">
        <v>11285</v>
      </c>
      <c r="AQ172" t="s">
        <v>4506</v>
      </c>
    </row>
    <row r="173" spans="1:43" x14ac:dyDescent="0.2">
      <c r="A173" t="s">
        <v>11259</v>
      </c>
      <c r="B173" t="s">
        <v>11037</v>
      </c>
      <c r="C173" t="s">
        <v>11276</v>
      </c>
      <c r="D173" t="s">
        <v>6278</v>
      </c>
      <c r="E173" t="s">
        <v>4640</v>
      </c>
      <c r="F173" t="s">
        <v>6278</v>
      </c>
      <c r="G173" s="1">
        <v>3682</v>
      </c>
      <c r="H173" s="2">
        <v>1898351.27</v>
      </c>
      <c r="I173" s="2">
        <v>1865669.4</v>
      </c>
      <c r="J173" s="2">
        <v>0</v>
      </c>
      <c r="K173" s="2">
        <v>0</v>
      </c>
      <c r="L173" s="2">
        <v>1865669.4</v>
      </c>
      <c r="M173" s="3">
        <v>50670</v>
      </c>
      <c r="N173" s="4">
        <v>4.2446000000000003E-3</v>
      </c>
      <c r="O173" s="5" t="s">
        <v>44</v>
      </c>
      <c r="P173" s="5" t="s">
        <v>44</v>
      </c>
      <c r="Q173" s="1"/>
      <c r="R173" s="2"/>
      <c r="S173" s="6"/>
      <c r="T173" t="s">
        <v>10902</v>
      </c>
      <c r="U173" t="s">
        <v>10902</v>
      </c>
      <c r="V173" t="s">
        <v>10902</v>
      </c>
      <c r="W173" t="s">
        <v>43</v>
      </c>
      <c r="X173" t="s">
        <v>11286</v>
      </c>
      <c r="Y173" t="s">
        <v>11280</v>
      </c>
      <c r="Z173" t="s">
        <v>11276</v>
      </c>
      <c r="AA173" t="s">
        <v>44</v>
      </c>
      <c r="AB173" t="s">
        <v>44</v>
      </c>
      <c r="AC173" s="4"/>
      <c r="AD173" s="4"/>
      <c r="AE173" s="2">
        <v>0</v>
      </c>
      <c r="AF173" s="4">
        <v>0</v>
      </c>
      <c r="AG173" s="2">
        <v>0.28000000000000003</v>
      </c>
      <c r="AH173" s="2">
        <v>1865669.4</v>
      </c>
      <c r="AI173" s="2">
        <v>0</v>
      </c>
      <c r="AJ173" s="5">
        <v>44673</v>
      </c>
      <c r="AK173" t="s">
        <v>11262</v>
      </c>
      <c r="AL173" s="2">
        <v>0</v>
      </c>
      <c r="AM173" s="2">
        <v>0</v>
      </c>
      <c r="AN173" s="2">
        <v>0</v>
      </c>
      <c r="AO173" t="s">
        <v>44</v>
      </c>
      <c r="AP173" t="s">
        <v>11287</v>
      </c>
      <c r="AQ173" t="s">
        <v>4640</v>
      </c>
    </row>
    <row r="174" spans="1:43" x14ac:dyDescent="0.2">
      <c r="A174" t="s">
        <v>11259</v>
      </c>
      <c r="B174" t="s">
        <v>11037</v>
      </c>
      <c r="C174" t="s">
        <v>11276</v>
      </c>
      <c r="D174" t="s">
        <v>11288</v>
      </c>
      <c r="E174" t="s">
        <v>4628</v>
      </c>
      <c r="F174" t="s">
        <v>11288</v>
      </c>
      <c r="G174" s="1">
        <v>801</v>
      </c>
      <c r="H174" s="2">
        <v>279108.45</v>
      </c>
      <c r="I174" s="2">
        <v>242206.38</v>
      </c>
      <c r="J174" s="2">
        <v>0</v>
      </c>
      <c r="K174" s="2">
        <v>6115.46</v>
      </c>
      <c r="L174" s="2">
        <v>248321.84</v>
      </c>
      <c r="M174" s="3">
        <v>30238</v>
      </c>
      <c r="N174" s="4">
        <v>5.6495999999999998E-4</v>
      </c>
      <c r="O174" s="5" t="s">
        <v>44</v>
      </c>
      <c r="P174" s="5" t="s">
        <v>44</v>
      </c>
      <c r="Q174" s="1"/>
      <c r="R174" s="2"/>
      <c r="S174" s="6"/>
      <c r="T174" t="s">
        <v>10902</v>
      </c>
      <c r="U174" t="s">
        <v>10902</v>
      </c>
      <c r="V174" t="s">
        <v>10902</v>
      </c>
      <c r="W174" t="s">
        <v>43</v>
      </c>
      <c r="X174" t="s">
        <v>11289</v>
      </c>
      <c r="Y174" t="s">
        <v>11280</v>
      </c>
      <c r="Z174" t="s">
        <v>11276</v>
      </c>
      <c r="AA174" t="s">
        <v>44</v>
      </c>
      <c r="AB174" t="s">
        <v>44</v>
      </c>
      <c r="AC174" s="4"/>
      <c r="AD174" s="4"/>
      <c r="AE174" s="2">
        <v>0</v>
      </c>
      <c r="AF174" s="4">
        <v>0</v>
      </c>
      <c r="AG174" s="2">
        <v>0.04</v>
      </c>
      <c r="AH174" s="2">
        <v>248321.84</v>
      </c>
      <c r="AI174" s="2">
        <v>0</v>
      </c>
      <c r="AJ174" s="5">
        <v>44673</v>
      </c>
      <c r="AK174" t="s">
        <v>11262</v>
      </c>
      <c r="AL174" s="2">
        <v>0</v>
      </c>
      <c r="AM174" s="2">
        <v>0</v>
      </c>
      <c r="AN174" s="2">
        <v>0</v>
      </c>
      <c r="AO174" t="s">
        <v>44</v>
      </c>
      <c r="AP174" t="s">
        <v>5923</v>
      </c>
      <c r="AQ174" t="s">
        <v>4628</v>
      </c>
    </row>
    <row r="175" spans="1:43" x14ac:dyDescent="0.2">
      <c r="A175" t="s">
        <v>11259</v>
      </c>
      <c r="B175" t="s">
        <v>11037</v>
      </c>
      <c r="C175" t="s">
        <v>11276</v>
      </c>
      <c r="D175" t="s">
        <v>11290</v>
      </c>
      <c r="E175" t="s">
        <v>4478</v>
      </c>
      <c r="F175" t="s">
        <v>11290</v>
      </c>
      <c r="G175" s="1">
        <v>11146</v>
      </c>
      <c r="H175" s="2">
        <v>475153.98</v>
      </c>
      <c r="I175" s="2">
        <v>873846.4</v>
      </c>
      <c r="J175" s="2">
        <v>0</v>
      </c>
      <c r="K175" s="2">
        <v>0</v>
      </c>
      <c r="L175" s="2">
        <v>873846.4</v>
      </c>
      <c r="M175" s="3">
        <v>7840</v>
      </c>
      <c r="N175" s="4">
        <v>1.9880900000000001E-3</v>
      </c>
      <c r="O175" s="5" t="s">
        <v>44</v>
      </c>
      <c r="P175" s="5" t="s">
        <v>44</v>
      </c>
      <c r="Q175" s="1"/>
      <c r="R175" s="2"/>
      <c r="S175" s="6"/>
      <c r="T175" t="s">
        <v>10902</v>
      </c>
      <c r="U175" t="s">
        <v>10902</v>
      </c>
      <c r="V175" t="s">
        <v>10902</v>
      </c>
      <c r="W175" t="s">
        <v>43</v>
      </c>
      <c r="X175" t="s">
        <v>11277</v>
      </c>
      <c r="Y175" t="s">
        <v>11277</v>
      </c>
      <c r="Z175" t="s">
        <v>11276</v>
      </c>
      <c r="AA175" t="s">
        <v>44</v>
      </c>
      <c r="AB175" t="s">
        <v>44</v>
      </c>
      <c r="AC175" s="4"/>
      <c r="AD175" s="4"/>
      <c r="AE175" s="2">
        <v>0</v>
      </c>
      <c r="AF175" s="4">
        <v>0</v>
      </c>
      <c r="AG175" s="2">
        <v>0.13</v>
      </c>
      <c r="AH175" s="2">
        <v>873846.4</v>
      </c>
      <c r="AI175" s="2">
        <v>0</v>
      </c>
      <c r="AJ175" s="5">
        <v>44673</v>
      </c>
      <c r="AK175" t="s">
        <v>11262</v>
      </c>
      <c r="AL175" s="2">
        <v>0</v>
      </c>
      <c r="AM175" s="2">
        <v>0</v>
      </c>
      <c r="AN175" s="2">
        <v>0</v>
      </c>
      <c r="AO175" t="s">
        <v>44</v>
      </c>
      <c r="AP175" t="s">
        <v>11291</v>
      </c>
      <c r="AQ175" t="s">
        <v>4478</v>
      </c>
    </row>
    <row r="176" spans="1:43" x14ac:dyDescent="0.2">
      <c r="A176" t="s">
        <v>11259</v>
      </c>
      <c r="B176" t="s">
        <v>11037</v>
      </c>
      <c r="C176" t="s">
        <v>11276</v>
      </c>
      <c r="D176" t="s">
        <v>11292</v>
      </c>
      <c r="E176" t="s">
        <v>4513</v>
      </c>
      <c r="F176" t="s">
        <v>11292</v>
      </c>
      <c r="G176" s="1">
        <v>114628</v>
      </c>
      <c r="H176" s="2">
        <v>477308.38</v>
      </c>
      <c r="I176" s="2">
        <v>491754.12</v>
      </c>
      <c r="J176" s="2">
        <v>0</v>
      </c>
      <c r="K176" s="2">
        <v>0</v>
      </c>
      <c r="L176" s="2">
        <v>491754.12</v>
      </c>
      <c r="M176" s="3">
        <v>429</v>
      </c>
      <c r="N176" s="4">
        <v>1.1187899999999999E-3</v>
      </c>
      <c r="O176" s="5" t="s">
        <v>44</v>
      </c>
      <c r="P176" s="5" t="s">
        <v>44</v>
      </c>
      <c r="Q176" s="1"/>
      <c r="R176" s="2"/>
      <c r="S176" s="6"/>
      <c r="T176" t="s">
        <v>10902</v>
      </c>
      <c r="U176" t="s">
        <v>10902</v>
      </c>
      <c r="V176" t="s">
        <v>10902</v>
      </c>
      <c r="W176" t="s">
        <v>43</v>
      </c>
      <c r="X176" t="s">
        <v>11279</v>
      </c>
      <c r="Y176" t="s">
        <v>11280</v>
      </c>
      <c r="Z176" t="s">
        <v>11276</v>
      </c>
      <c r="AA176" t="s">
        <v>44</v>
      </c>
      <c r="AB176" t="s">
        <v>44</v>
      </c>
      <c r="AC176" s="4"/>
      <c r="AD176" s="4"/>
      <c r="AE176" s="2">
        <v>0</v>
      </c>
      <c r="AF176" s="4">
        <v>0</v>
      </c>
      <c r="AG176" s="2">
        <v>7.0000000000000007E-2</v>
      </c>
      <c r="AH176" s="2">
        <v>491754.12</v>
      </c>
      <c r="AI176" s="2">
        <v>0</v>
      </c>
      <c r="AJ176" s="5">
        <v>44673</v>
      </c>
      <c r="AK176" t="s">
        <v>11262</v>
      </c>
      <c r="AL176" s="2">
        <v>0</v>
      </c>
      <c r="AM176" s="2">
        <v>0</v>
      </c>
      <c r="AN176" s="2">
        <v>0</v>
      </c>
      <c r="AO176" t="s">
        <v>44</v>
      </c>
      <c r="AP176" t="s">
        <v>11293</v>
      </c>
      <c r="AQ176" t="s">
        <v>4513</v>
      </c>
    </row>
    <row r="177" spans="1:43" x14ac:dyDescent="0.2">
      <c r="A177" t="s">
        <v>11259</v>
      </c>
      <c r="B177" t="s">
        <v>11037</v>
      </c>
      <c r="C177" t="s">
        <v>11276</v>
      </c>
      <c r="D177" t="s">
        <v>6743</v>
      </c>
      <c r="E177" t="s">
        <v>4570</v>
      </c>
      <c r="F177" t="s">
        <v>6743</v>
      </c>
      <c r="G177" s="1">
        <v>10352</v>
      </c>
      <c r="H177" s="2">
        <v>666281.36</v>
      </c>
      <c r="I177" s="2">
        <v>1599694.56</v>
      </c>
      <c r="J177" s="2">
        <v>0</v>
      </c>
      <c r="K177" s="2">
        <v>0</v>
      </c>
      <c r="L177" s="2">
        <v>1599694.56</v>
      </c>
      <c r="M177" s="3">
        <v>15453</v>
      </c>
      <c r="N177" s="4">
        <v>3.6394800000000001E-3</v>
      </c>
      <c r="O177" s="5" t="s">
        <v>44</v>
      </c>
      <c r="P177" s="5" t="s">
        <v>44</v>
      </c>
      <c r="Q177" s="1"/>
      <c r="R177" s="2"/>
      <c r="S177" s="6"/>
      <c r="T177" t="s">
        <v>10902</v>
      </c>
      <c r="U177" t="s">
        <v>10902</v>
      </c>
      <c r="V177" t="s">
        <v>10902</v>
      </c>
      <c r="W177" t="s">
        <v>43</v>
      </c>
      <c r="X177" t="s">
        <v>11279</v>
      </c>
      <c r="Y177" t="s">
        <v>11280</v>
      </c>
      <c r="Z177" t="s">
        <v>11276</v>
      </c>
      <c r="AA177" t="s">
        <v>44</v>
      </c>
      <c r="AB177" t="s">
        <v>44</v>
      </c>
      <c r="AC177" s="4"/>
      <c r="AD177" s="4"/>
      <c r="AE177" s="2">
        <v>0</v>
      </c>
      <c r="AF177" s="4">
        <v>0</v>
      </c>
      <c r="AG177" s="2">
        <v>0.24</v>
      </c>
      <c r="AH177" s="2">
        <v>1599694.56</v>
      </c>
      <c r="AI177" s="2">
        <v>0</v>
      </c>
      <c r="AJ177" s="5">
        <v>44673</v>
      </c>
      <c r="AK177" t="s">
        <v>11262</v>
      </c>
      <c r="AL177" s="2">
        <v>0</v>
      </c>
      <c r="AM177" s="2">
        <v>0</v>
      </c>
      <c r="AN177" s="2">
        <v>0</v>
      </c>
      <c r="AO177" t="s">
        <v>44</v>
      </c>
      <c r="AP177" t="s">
        <v>11294</v>
      </c>
      <c r="AQ177" t="s">
        <v>4570</v>
      </c>
    </row>
    <row r="178" spans="1:43" x14ac:dyDescent="0.2">
      <c r="A178" t="s">
        <v>11259</v>
      </c>
      <c r="B178" t="s">
        <v>11037</v>
      </c>
      <c r="C178" t="s">
        <v>11276</v>
      </c>
      <c r="D178" t="s">
        <v>6209</v>
      </c>
      <c r="E178" t="s">
        <v>520</v>
      </c>
      <c r="F178" t="s">
        <v>6209</v>
      </c>
      <c r="G178" s="1">
        <v>37048</v>
      </c>
      <c r="H178" s="2">
        <v>997332.16</v>
      </c>
      <c r="I178" s="2">
        <v>2020597.92</v>
      </c>
      <c r="J178" s="2">
        <v>0</v>
      </c>
      <c r="K178" s="2">
        <v>0</v>
      </c>
      <c r="L178" s="2">
        <v>2020597.92</v>
      </c>
      <c r="M178" s="3">
        <v>5454</v>
      </c>
      <c r="N178" s="4">
        <v>4.5970799999999999E-3</v>
      </c>
      <c r="O178" s="5" t="s">
        <v>44</v>
      </c>
      <c r="P178" s="5" t="s">
        <v>44</v>
      </c>
      <c r="Q178" s="1"/>
      <c r="R178" s="2"/>
      <c r="S178" s="6"/>
      <c r="T178" t="s">
        <v>10902</v>
      </c>
      <c r="U178" t="s">
        <v>10902</v>
      </c>
      <c r="V178" t="s">
        <v>10902</v>
      </c>
      <c r="W178" t="s">
        <v>43</v>
      </c>
      <c r="X178" t="s">
        <v>11289</v>
      </c>
      <c r="Y178" t="s">
        <v>11280</v>
      </c>
      <c r="Z178" t="s">
        <v>11276</v>
      </c>
      <c r="AA178" t="s">
        <v>44</v>
      </c>
      <c r="AB178" t="s">
        <v>44</v>
      </c>
      <c r="AC178" s="4"/>
      <c r="AD178" s="4"/>
      <c r="AE178" s="2">
        <v>0</v>
      </c>
      <c r="AF178" s="4">
        <v>0</v>
      </c>
      <c r="AG178" s="2">
        <v>0.3</v>
      </c>
      <c r="AH178" s="2">
        <v>2020597.92</v>
      </c>
      <c r="AI178" s="2">
        <v>0</v>
      </c>
      <c r="AJ178" s="5">
        <v>44673</v>
      </c>
      <c r="AK178" t="s">
        <v>11262</v>
      </c>
      <c r="AL178" s="2">
        <v>0</v>
      </c>
      <c r="AM178" s="2">
        <v>0</v>
      </c>
      <c r="AN178" s="2">
        <v>0</v>
      </c>
      <c r="AO178" t="s">
        <v>44</v>
      </c>
      <c r="AP178" t="s">
        <v>11295</v>
      </c>
      <c r="AQ178" t="s">
        <v>520</v>
      </c>
    </row>
    <row r="179" spans="1:43" x14ac:dyDescent="0.2">
      <c r="A179" t="s">
        <v>11259</v>
      </c>
      <c r="B179" t="s">
        <v>11037</v>
      </c>
      <c r="C179" t="s">
        <v>11276</v>
      </c>
      <c r="D179" t="s">
        <v>11678</v>
      </c>
      <c r="E179" t="s">
        <v>11679</v>
      </c>
      <c r="F179" t="s">
        <v>11680</v>
      </c>
      <c r="G179" s="1">
        <v>11000</v>
      </c>
      <c r="H179" s="2">
        <v>1756312.51</v>
      </c>
      <c r="I179" s="2">
        <v>2587420</v>
      </c>
      <c r="J179" s="2">
        <v>0</v>
      </c>
      <c r="K179" s="2">
        <v>0</v>
      </c>
      <c r="L179" s="2">
        <v>2587420</v>
      </c>
      <c r="M179" s="3">
        <v>23522</v>
      </c>
      <c r="N179" s="4">
        <v>5.8866600000000002E-3</v>
      </c>
      <c r="O179" s="5" t="s">
        <v>44</v>
      </c>
      <c r="P179" s="5" t="s">
        <v>44</v>
      </c>
      <c r="Q179" s="1"/>
      <c r="R179" s="2"/>
      <c r="S179" s="6"/>
      <c r="T179" t="s">
        <v>10902</v>
      </c>
      <c r="U179" t="s">
        <v>10902</v>
      </c>
      <c r="V179" t="s">
        <v>10902</v>
      </c>
      <c r="W179" t="s">
        <v>43</v>
      </c>
      <c r="X179" t="s">
        <v>11279</v>
      </c>
      <c r="Y179" t="s">
        <v>11280</v>
      </c>
      <c r="Z179" t="s">
        <v>11276</v>
      </c>
      <c r="AA179" t="s">
        <v>44</v>
      </c>
      <c r="AB179" t="s">
        <v>44</v>
      </c>
      <c r="AC179" s="4"/>
      <c r="AD179" s="4"/>
      <c r="AE179" s="2">
        <v>0</v>
      </c>
      <c r="AF179" s="4">
        <v>0</v>
      </c>
      <c r="AG179" s="2">
        <v>0.38</v>
      </c>
      <c r="AH179" s="2">
        <v>2587420</v>
      </c>
      <c r="AI179" s="2">
        <v>0.01</v>
      </c>
      <c r="AJ179" s="5">
        <v>44673</v>
      </c>
      <c r="AK179" t="s">
        <v>11262</v>
      </c>
      <c r="AL179" s="2">
        <v>0</v>
      </c>
      <c r="AM179" s="2">
        <v>0</v>
      </c>
      <c r="AN179" s="2">
        <v>0</v>
      </c>
      <c r="AO179" t="s">
        <v>44</v>
      </c>
      <c r="AP179" t="s">
        <v>11681</v>
      </c>
      <c r="AQ179" t="s">
        <v>11679</v>
      </c>
    </row>
    <row r="180" spans="1:43" x14ac:dyDescent="0.2">
      <c r="A180" t="s">
        <v>11259</v>
      </c>
      <c r="B180" t="s">
        <v>11037</v>
      </c>
      <c r="C180" t="s">
        <v>11296</v>
      </c>
      <c r="D180" t="s">
        <v>11297</v>
      </c>
      <c r="E180" t="s">
        <v>5955</v>
      </c>
      <c r="F180" t="s">
        <v>11297</v>
      </c>
      <c r="G180" s="1">
        <v>286</v>
      </c>
      <c r="H180" s="2">
        <v>281400.53999999998</v>
      </c>
      <c r="I180" s="2">
        <v>268402.42</v>
      </c>
      <c r="J180" s="2">
        <v>0</v>
      </c>
      <c r="K180" s="2">
        <v>0</v>
      </c>
      <c r="L180" s="2">
        <v>268402.42</v>
      </c>
      <c r="M180" s="3">
        <v>93847</v>
      </c>
      <c r="N180" s="4">
        <v>6.1063999999999997E-4</v>
      </c>
      <c r="O180" s="5" t="s">
        <v>44</v>
      </c>
      <c r="P180" s="5" t="s">
        <v>44</v>
      </c>
      <c r="Q180" s="1"/>
      <c r="R180" s="2"/>
      <c r="S180" s="6"/>
      <c r="T180" t="s">
        <v>10902</v>
      </c>
      <c r="U180" t="s">
        <v>10902</v>
      </c>
      <c r="V180" t="s">
        <v>10902</v>
      </c>
      <c r="W180" t="s">
        <v>43</v>
      </c>
      <c r="X180" t="s">
        <v>11298</v>
      </c>
      <c r="Y180" t="s">
        <v>11299</v>
      </c>
      <c r="Z180" t="s">
        <v>11296</v>
      </c>
      <c r="AA180" t="s">
        <v>44</v>
      </c>
      <c r="AB180" t="s">
        <v>44</v>
      </c>
      <c r="AC180" s="4"/>
      <c r="AD180" s="4"/>
      <c r="AE180" s="2">
        <v>0</v>
      </c>
      <c r="AF180" s="4">
        <v>0</v>
      </c>
      <c r="AG180" s="2">
        <v>0.04</v>
      </c>
      <c r="AH180" s="2">
        <v>268402.42</v>
      </c>
      <c r="AI180" s="2">
        <v>0</v>
      </c>
      <c r="AJ180" s="5">
        <v>44673</v>
      </c>
      <c r="AK180" t="s">
        <v>11262</v>
      </c>
      <c r="AL180" s="2">
        <v>0</v>
      </c>
      <c r="AM180" s="2">
        <v>0</v>
      </c>
      <c r="AN180" s="2">
        <v>0</v>
      </c>
      <c r="AO180" t="s">
        <v>44</v>
      </c>
      <c r="AP180" t="s">
        <v>1276</v>
      </c>
      <c r="AQ180" t="s">
        <v>5955</v>
      </c>
    </row>
    <row r="181" spans="1:43" x14ac:dyDescent="0.2">
      <c r="A181" t="s">
        <v>11259</v>
      </c>
      <c r="B181" t="s">
        <v>11037</v>
      </c>
      <c r="C181" t="s">
        <v>11296</v>
      </c>
      <c r="D181" t="s">
        <v>6200</v>
      </c>
      <c r="E181" t="s">
        <v>5051</v>
      </c>
      <c r="F181" t="s">
        <v>6200</v>
      </c>
      <c r="G181" s="1">
        <v>31529</v>
      </c>
      <c r="H181" s="2">
        <v>2283455.23</v>
      </c>
      <c r="I181" s="2">
        <v>2162889.4</v>
      </c>
      <c r="J181" s="2">
        <v>0</v>
      </c>
      <c r="K181" s="2">
        <v>0</v>
      </c>
      <c r="L181" s="2">
        <v>2162889.4</v>
      </c>
      <c r="M181" s="3">
        <v>6860</v>
      </c>
      <c r="N181" s="4">
        <v>4.9208100000000003E-3</v>
      </c>
      <c r="O181" s="5" t="s">
        <v>44</v>
      </c>
      <c r="P181" s="5" t="s">
        <v>44</v>
      </c>
      <c r="Q181" s="1"/>
      <c r="R181" s="2"/>
      <c r="S181" s="6"/>
      <c r="T181" t="s">
        <v>10902</v>
      </c>
      <c r="U181" t="s">
        <v>10902</v>
      </c>
      <c r="V181" t="s">
        <v>10902</v>
      </c>
      <c r="W181" t="s">
        <v>43</v>
      </c>
      <c r="X181" t="s">
        <v>11300</v>
      </c>
      <c r="Y181" t="s">
        <v>11299</v>
      </c>
      <c r="Z181" t="s">
        <v>11296</v>
      </c>
      <c r="AA181" t="s">
        <v>44</v>
      </c>
      <c r="AB181" t="s">
        <v>44</v>
      </c>
      <c r="AC181" s="4"/>
      <c r="AD181" s="4"/>
      <c r="AE181" s="2">
        <v>0</v>
      </c>
      <c r="AF181" s="4">
        <v>0</v>
      </c>
      <c r="AG181" s="2">
        <v>0.32</v>
      </c>
      <c r="AH181" s="2">
        <v>2162889.4</v>
      </c>
      <c r="AI181" s="2">
        <v>0</v>
      </c>
      <c r="AJ181" s="5">
        <v>44673</v>
      </c>
      <c r="AK181" t="s">
        <v>11262</v>
      </c>
      <c r="AL181" s="2">
        <v>0</v>
      </c>
      <c r="AM181" s="2">
        <v>0</v>
      </c>
      <c r="AN181" s="2">
        <v>0</v>
      </c>
      <c r="AO181" t="s">
        <v>44</v>
      </c>
      <c r="AP181" t="s">
        <v>11301</v>
      </c>
      <c r="AQ181" t="s">
        <v>5051</v>
      </c>
    </row>
    <row r="182" spans="1:43" x14ac:dyDescent="0.2">
      <c r="A182" t="s">
        <v>11259</v>
      </c>
      <c r="B182" t="s">
        <v>11037</v>
      </c>
      <c r="C182" t="s">
        <v>11296</v>
      </c>
      <c r="D182" t="s">
        <v>6458</v>
      </c>
      <c r="E182" t="s">
        <v>5402</v>
      </c>
      <c r="F182" t="s">
        <v>11302</v>
      </c>
      <c r="G182" s="1">
        <v>6162</v>
      </c>
      <c r="H182" s="2">
        <v>599030.75</v>
      </c>
      <c r="I182" s="2">
        <v>1066026</v>
      </c>
      <c r="J182" s="2">
        <v>0</v>
      </c>
      <c r="K182" s="2">
        <v>0</v>
      </c>
      <c r="L182" s="2">
        <v>1066026</v>
      </c>
      <c r="M182" s="3">
        <v>17300</v>
      </c>
      <c r="N182" s="4">
        <v>2.4253199999999999E-3</v>
      </c>
      <c r="O182" s="5" t="s">
        <v>44</v>
      </c>
      <c r="P182" s="5" t="s">
        <v>44</v>
      </c>
      <c r="Q182" s="1"/>
      <c r="R182" s="2"/>
      <c r="S182" s="6"/>
      <c r="T182" t="s">
        <v>10902</v>
      </c>
      <c r="U182" t="s">
        <v>10902</v>
      </c>
      <c r="V182" t="s">
        <v>10902</v>
      </c>
      <c r="W182" t="s">
        <v>43</v>
      </c>
      <c r="X182" t="s">
        <v>11298</v>
      </c>
      <c r="Y182" t="s">
        <v>11299</v>
      </c>
      <c r="Z182" t="s">
        <v>11296</v>
      </c>
      <c r="AA182" t="s">
        <v>44</v>
      </c>
      <c r="AB182" t="s">
        <v>44</v>
      </c>
      <c r="AC182" s="4"/>
      <c r="AD182" s="4"/>
      <c r="AE182" s="2">
        <v>0</v>
      </c>
      <c r="AF182" s="4">
        <v>0</v>
      </c>
      <c r="AG182" s="2">
        <v>0.16</v>
      </c>
      <c r="AH182" s="2">
        <v>1066026</v>
      </c>
      <c r="AI182" s="2">
        <v>0</v>
      </c>
      <c r="AJ182" s="5">
        <v>44673</v>
      </c>
      <c r="AK182" t="s">
        <v>11262</v>
      </c>
      <c r="AL182" s="2">
        <v>0</v>
      </c>
      <c r="AM182" s="2">
        <v>0</v>
      </c>
      <c r="AN182" s="2">
        <v>0</v>
      </c>
      <c r="AO182" t="s">
        <v>44</v>
      </c>
      <c r="AP182" t="s">
        <v>11303</v>
      </c>
      <c r="AQ182" t="s">
        <v>5402</v>
      </c>
    </row>
    <row r="183" spans="1:43" x14ac:dyDescent="0.2">
      <c r="A183" t="s">
        <v>11259</v>
      </c>
      <c r="B183" t="s">
        <v>11037</v>
      </c>
      <c r="C183" t="s">
        <v>11296</v>
      </c>
      <c r="D183" t="s">
        <v>6137</v>
      </c>
      <c r="E183" t="s">
        <v>4926</v>
      </c>
      <c r="F183" t="s">
        <v>6137</v>
      </c>
      <c r="G183" s="1">
        <v>16242</v>
      </c>
      <c r="H183" s="2">
        <v>3242839.03</v>
      </c>
      <c r="I183" s="2">
        <v>2529529.08</v>
      </c>
      <c r="J183" s="2">
        <v>0</v>
      </c>
      <c r="K183" s="2">
        <v>0</v>
      </c>
      <c r="L183" s="2">
        <v>2529529.08</v>
      </c>
      <c r="M183" s="3">
        <v>15574</v>
      </c>
      <c r="N183" s="4">
        <v>5.75495E-3</v>
      </c>
      <c r="O183" s="5" t="s">
        <v>44</v>
      </c>
      <c r="P183" s="5" t="s">
        <v>44</v>
      </c>
      <c r="Q183" s="1"/>
      <c r="R183" s="2"/>
      <c r="S183" s="6"/>
      <c r="T183" t="s">
        <v>10902</v>
      </c>
      <c r="U183" t="s">
        <v>10902</v>
      </c>
      <c r="V183" t="s">
        <v>10902</v>
      </c>
      <c r="W183" t="s">
        <v>43</v>
      </c>
      <c r="X183" t="s">
        <v>11300</v>
      </c>
      <c r="Y183" t="s">
        <v>11299</v>
      </c>
      <c r="Z183" t="s">
        <v>11296</v>
      </c>
      <c r="AA183" t="s">
        <v>44</v>
      </c>
      <c r="AB183" t="s">
        <v>44</v>
      </c>
      <c r="AC183" s="4"/>
      <c r="AD183" s="4"/>
      <c r="AE183" s="2">
        <v>0</v>
      </c>
      <c r="AF183" s="4">
        <v>0</v>
      </c>
      <c r="AG183" s="2">
        <v>0.37</v>
      </c>
      <c r="AH183" s="2">
        <v>2529529.08</v>
      </c>
      <c r="AI183" s="2">
        <v>0.01</v>
      </c>
      <c r="AJ183" s="5">
        <v>44673</v>
      </c>
      <c r="AK183" t="s">
        <v>11262</v>
      </c>
      <c r="AL183" s="2">
        <v>0</v>
      </c>
      <c r="AM183" s="2">
        <v>0</v>
      </c>
      <c r="AN183" s="2">
        <v>0</v>
      </c>
      <c r="AO183" t="s">
        <v>44</v>
      </c>
      <c r="AP183" t="s">
        <v>11304</v>
      </c>
      <c r="AQ183" t="s">
        <v>4926</v>
      </c>
    </row>
    <row r="184" spans="1:43" x14ac:dyDescent="0.2">
      <c r="A184" t="s">
        <v>11259</v>
      </c>
      <c r="B184" t="s">
        <v>11037</v>
      </c>
      <c r="C184" t="s">
        <v>11305</v>
      </c>
      <c r="D184" t="s">
        <v>6592</v>
      </c>
      <c r="E184" t="s">
        <v>5424</v>
      </c>
      <c r="F184" t="s">
        <v>6592</v>
      </c>
      <c r="G184" s="1">
        <v>47930</v>
      </c>
      <c r="H184" s="2">
        <v>740216.24</v>
      </c>
      <c r="I184" s="2">
        <v>832544.1</v>
      </c>
      <c r="J184" s="2">
        <v>0</v>
      </c>
      <c r="K184" s="2">
        <v>0</v>
      </c>
      <c r="L184" s="2">
        <v>832544.1</v>
      </c>
      <c r="M184" s="3">
        <v>1737</v>
      </c>
      <c r="N184" s="4">
        <v>1.8941299999999999E-3</v>
      </c>
      <c r="O184" s="5" t="s">
        <v>44</v>
      </c>
      <c r="P184" s="5" t="s">
        <v>44</v>
      </c>
      <c r="Q184" s="1"/>
      <c r="R184" s="2"/>
      <c r="S184" s="6"/>
      <c r="T184" t="s">
        <v>10902</v>
      </c>
      <c r="U184" t="s">
        <v>10902</v>
      </c>
      <c r="V184" t="s">
        <v>10902</v>
      </c>
      <c r="W184" t="s">
        <v>43</v>
      </c>
      <c r="X184" t="s">
        <v>11306</v>
      </c>
      <c r="Y184" t="s">
        <v>11307</v>
      </c>
      <c r="Z184" t="s">
        <v>11305</v>
      </c>
      <c r="AA184" t="s">
        <v>44</v>
      </c>
      <c r="AB184" t="s">
        <v>44</v>
      </c>
      <c r="AC184" s="4"/>
      <c r="AD184" s="4"/>
      <c r="AE184" s="2">
        <v>0</v>
      </c>
      <c r="AF184" s="4">
        <v>0</v>
      </c>
      <c r="AG184" s="2">
        <v>0.12</v>
      </c>
      <c r="AH184" s="2">
        <v>832544.1</v>
      </c>
      <c r="AI184" s="2">
        <v>0</v>
      </c>
      <c r="AJ184" s="5">
        <v>44673</v>
      </c>
      <c r="AK184" t="s">
        <v>11262</v>
      </c>
      <c r="AL184" s="2">
        <v>0</v>
      </c>
      <c r="AM184" s="2">
        <v>0</v>
      </c>
      <c r="AN184" s="2">
        <v>0</v>
      </c>
      <c r="AO184" t="s">
        <v>44</v>
      </c>
      <c r="AP184" t="s">
        <v>11308</v>
      </c>
      <c r="AQ184" t="s">
        <v>5424</v>
      </c>
    </row>
    <row r="185" spans="1:43" x14ac:dyDescent="0.2">
      <c r="A185" t="s">
        <v>11259</v>
      </c>
      <c r="B185" t="s">
        <v>11037</v>
      </c>
      <c r="C185" t="s">
        <v>11305</v>
      </c>
      <c r="D185" t="s">
        <v>11309</v>
      </c>
      <c r="E185" t="s">
        <v>5389</v>
      </c>
      <c r="F185" t="s">
        <v>11309</v>
      </c>
      <c r="G185" s="1">
        <v>39972</v>
      </c>
      <c r="H185" s="2">
        <v>963294.74</v>
      </c>
      <c r="I185" s="2">
        <v>1504546.08</v>
      </c>
      <c r="J185" s="2">
        <v>0</v>
      </c>
      <c r="K185" s="2">
        <v>0</v>
      </c>
      <c r="L185" s="2">
        <v>1504546.08</v>
      </c>
      <c r="M185" s="3">
        <v>3764</v>
      </c>
      <c r="N185" s="4">
        <v>3.4229999999999998E-3</v>
      </c>
      <c r="O185" s="5" t="s">
        <v>44</v>
      </c>
      <c r="P185" s="5" t="s">
        <v>44</v>
      </c>
      <c r="Q185" s="1"/>
      <c r="R185" s="2"/>
      <c r="S185" s="6"/>
      <c r="T185" t="s">
        <v>10902</v>
      </c>
      <c r="U185" t="s">
        <v>10902</v>
      </c>
      <c r="V185" t="s">
        <v>10902</v>
      </c>
      <c r="W185" t="s">
        <v>43</v>
      </c>
      <c r="X185" t="s">
        <v>11310</v>
      </c>
      <c r="Y185" t="s">
        <v>11307</v>
      </c>
      <c r="Z185" t="s">
        <v>11305</v>
      </c>
      <c r="AA185" t="s">
        <v>44</v>
      </c>
      <c r="AB185" t="s">
        <v>44</v>
      </c>
      <c r="AC185" s="4"/>
      <c r="AD185" s="4"/>
      <c r="AE185" s="2">
        <v>0</v>
      </c>
      <c r="AF185" s="4">
        <v>0</v>
      </c>
      <c r="AG185" s="2">
        <v>0.22</v>
      </c>
      <c r="AH185" s="2">
        <v>1504546.08</v>
      </c>
      <c r="AI185" s="2">
        <v>0</v>
      </c>
      <c r="AJ185" s="5">
        <v>44673</v>
      </c>
      <c r="AK185" t="s">
        <v>11262</v>
      </c>
      <c r="AL185" s="2">
        <v>0</v>
      </c>
      <c r="AM185" s="2">
        <v>0</v>
      </c>
      <c r="AN185" s="2">
        <v>0</v>
      </c>
      <c r="AO185" t="s">
        <v>44</v>
      </c>
      <c r="AP185" t="s">
        <v>11311</v>
      </c>
      <c r="AQ185" t="s">
        <v>5389</v>
      </c>
    </row>
    <row r="186" spans="1:43" x14ac:dyDescent="0.2">
      <c r="A186" t="s">
        <v>11259</v>
      </c>
      <c r="B186" t="s">
        <v>11037</v>
      </c>
      <c r="C186" t="s">
        <v>11305</v>
      </c>
      <c r="D186" t="s">
        <v>6609</v>
      </c>
      <c r="E186" t="s">
        <v>5271</v>
      </c>
      <c r="F186" t="s">
        <v>6609</v>
      </c>
      <c r="G186" s="1">
        <v>40812</v>
      </c>
      <c r="H186" s="2">
        <v>582162.55000000005</v>
      </c>
      <c r="I186" s="2">
        <v>689314.68</v>
      </c>
      <c r="J186" s="2">
        <v>0</v>
      </c>
      <c r="K186" s="2">
        <v>0</v>
      </c>
      <c r="L186" s="2">
        <v>689314.68</v>
      </c>
      <c r="M186" s="3">
        <v>1689</v>
      </c>
      <c r="N186" s="4">
        <v>1.5682700000000001E-3</v>
      </c>
      <c r="O186" s="5" t="s">
        <v>44</v>
      </c>
      <c r="P186" s="5" t="s">
        <v>44</v>
      </c>
      <c r="Q186" s="1"/>
      <c r="R186" s="2"/>
      <c r="S186" s="6"/>
      <c r="T186" t="s">
        <v>10902</v>
      </c>
      <c r="U186" t="s">
        <v>10902</v>
      </c>
      <c r="V186" t="s">
        <v>10902</v>
      </c>
      <c r="W186" t="s">
        <v>43</v>
      </c>
      <c r="X186" t="s">
        <v>11306</v>
      </c>
      <c r="Y186" t="s">
        <v>11307</v>
      </c>
      <c r="Z186" t="s">
        <v>11305</v>
      </c>
      <c r="AA186" t="s">
        <v>44</v>
      </c>
      <c r="AB186" t="s">
        <v>44</v>
      </c>
      <c r="AC186" s="4"/>
      <c r="AD186" s="4"/>
      <c r="AE186" s="2">
        <v>0</v>
      </c>
      <c r="AF186" s="4">
        <v>0</v>
      </c>
      <c r="AG186" s="2">
        <v>0.1</v>
      </c>
      <c r="AH186" s="2">
        <v>689314.68</v>
      </c>
      <c r="AI186" s="2">
        <v>0</v>
      </c>
      <c r="AJ186" s="5">
        <v>44673</v>
      </c>
      <c r="AK186" t="s">
        <v>11262</v>
      </c>
      <c r="AL186" s="2">
        <v>0</v>
      </c>
      <c r="AM186" s="2">
        <v>0</v>
      </c>
      <c r="AN186" s="2">
        <v>0</v>
      </c>
      <c r="AO186" t="s">
        <v>44</v>
      </c>
      <c r="AP186" t="s">
        <v>11312</v>
      </c>
      <c r="AQ186" t="s">
        <v>5271</v>
      </c>
    </row>
    <row r="187" spans="1:43" x14ac:dyDescent="0.2">
      <c r="A187" t="s">
        <v>11259</v>
      </c>
      <c r="B187" t="s">
        <v>11037</v>
      </c>
      <c r="C187" t="s">
        <v>11305</v>
      </c>
      <c r="D187" t="s">
        <v>6372</v>
      </c>
      <c r="E187" t="s">
        <v>6607</v>
      </c>
      <c r="F187" t="s">
        <v>6372</v>
      </c>
      <c r="G187" s="1">
        <v>14152</v>
      </c>
      <c r="H187" s="2">
        <v>784445.36</v>
      </c>
      <c r="I187" s="2">
        <v>1581202.96</v>
      </c>
      <c r="J187" s="2">
        <v>0</v>
      </c>
      <c r="K187" s="2">
        <v>0</v>
      </c>
      <c r="L187" s="2">
        <v>1581202.96</v>
      </c>
      <c r="M187" s="3">
        <v>11173</v>
      </c>
      <c r="N187" s="4">
        <v>3.5974100000000001E-3</v>
      </c>
      <c r="O187" s="5" t="s">
        <v>44</v>
      </c>
      <c r="P187" s="5" t="s">
        <v>44</v>
      </c>
      <c r="Q187" s="1"/>
      <c r="R187" s="2"/>
      <c r="S187" s="6"/>
      <c r="T187" t="s">
        <v>10902</v>
      </c>
      <c r="U187" t="s">
        <v>10902</v>
      </c>
      <c r="V187" t="s">
        <v>10902</v>
      </c>
      <c r="W187" t="s">
        <v>43</v>
      </c>
      <c r="X187" t="s">
        <v>11306</v>
      </c>
      <c r="Y187" t="s">
        <v>11307</v>
      </c>
      <c r="Z187" t="s">
        <v>11305</v>
      </c>
      <c r="AA187" t="s">
        <v>44</v>
      </c>
      <c r="AB187" t="s">
        <v>44</v>
      </c>
      <c r="AC187" s="4"/>
      <c r="AD187" s="4"/>
      <c r="AE187" s="2">
        <v>0</v>
      </c>
      <c r="AF187" s="4">
        <v>0</v>
      </c>
      <c r="AG187" s="2">
        <v>0.23</v>
      </c>
      <c r="AH187" s="2">
        <v>1581202.96</v>
      </c>
      <c r="AI187" s="2">
        <v>0</v>
      </c>
      <c r="AJ187" s="5">
        <v>44673</v>
      </c>
      <c r="AK187" t="s">
        <v>11262</v>
      </c>
      <c r="AL187" s="2">
        <v>0</v>
      </c>
      <c r="AM187" s="2">
        <v>0</v>
      </c>
      <c r="AN187" s="2">
        <v>0</v>
      </c>
      <c r="AO187" t="s">
        <v>44</v>
      </c>
      <c r="AP187" t="s">
        <v>11313</v>
      </c>
      <c r="AQ187" t="s">
        <v>6607</v>
      </c>
    </row>
    <row r="188" spans="1:43" x14ac:dyDescent="0.2">
      <c r="A188" t="s">
        <v>11259</v>
      </c>
      <c r="B188" t="s">
        <v>11037</v>
      </c>
      <c r="C188" t="s">
        <v>11305</v>
      </c>
      <c r="D188" t="s">
        <v>11314</v>
      </c>
      <c r="E188" t="s">
        <v>6750</v>
      </c>
      <c r="F188" t="s">
        <v>11314</v>
      </c>
      <c r="G188" s="1">
        <v>165983</v>
      </c>
      <c r="H188" s="2">
        <v>3128444.7</v>
      </c>
      <c r="I188" s="2">
        <v>3620089.23</v>
      </c>
      <c r="J188" s="2">
        <v>0</v>
      </c>
      <c r="K188" s="2">
        <v>0</v>
      </c>
      <c r="L188" s="2">
        <v>3620089.23</v>
      </c>
      <c r="M188" s="3">
        <v>2181</v>
      </c>
      <c r="N188" s="4">
        <v>8.2360899999999997E-3</v>
      </c>
      <c r="O188" s="5" t="s">
        <v>44</v>
      </c>
      <c r="P188" s="5" t="s">
        <v>44</v>
      </c>
      <c r="Q188" s="1"/>
      <c r="R188" s="2"/>
      <c r="S188" s="6"/>
      <c r="T188" t="s">
        <v>10902</v>
      </c>
      <c r="U188" t="s">
        <v>10902</v>
      </c>
      <c r="V188" t="s">
        <v>10902</v>
      </c>
      <c r="W188" t="s">
        <v>43</v>
      </c>
      <c r="X188" t="s">
        <v>11306</v>
      </c>
      <c r="Y188" t="s">
        <v>11307</v>
      </c>
      <c r="Z188" t="s">
        <v>11305</v>
      </c>
      <c r="AA188" t="s">
        <v>44</v>
      </c>
      <c r="AB188" t="s">
        <v>44</v>
      </c>
      <c r="AC188" s="4"/>
      <c r="AD188" s="4"/>
      <c r="AE188" s="2">
        <v>0</v>
      </c>
      <c r="AF188" s="4">
        <v>0</v>
      </c>
      <c r="AG188" s="2">
        <v>0.54</v>
      </c>
      <c r="AH188" s="2">
        <v>3620089.23</v>
      </c>
      <c r="AI188" s="2">
        <v>0.01</v>
      </c>
      <c r="AJ188" s="5">
        <v>44673</v>
      </c>
      <c r="AK188" t="s">
        <v>11262</v>
      </c>
      <c r="AL188" s="2">
        <v>0</v>
      </c>
      <c r="AM188" s="2">
        <v>0</v>
      </c>
      <c r="AN188" s="2">
        <v>0</v>
      </c>
      <c r="AO188" t="s">
        <v>44</v>
      </c>
      <c r="AP188" t="s">
        <v>11315</v>
      </c>
      <c r="AQ188" t="s">
        <v>6750</v>
      </c>
    </row>
    <row r="189" spans="1:43" x14ac:dyDescent="0.2">
      <c r="A189" t="s">
        <v>11259</v>
      </c>
      <c r="B189" t="s">
        <v>11037</v>
      </c>
      <c r="C189" t="s">
        <v>11305</v>
      </c>
      <c r="D189" t="s">
        <v>11316</v>
      </c>
      <c r="E189" t="s">
        <v>5173</v>
      </c>
      <c r="F189" t="s">
        <v>11316</v>
      </c>
      <c r="G189" s="1">
        <v>29643</v>
      </c>
      <c r="H189" s="2">
        <v>1565967.79</v>
      </c>
      <c r="I189" s="2">
        <v>1772947.83</v>
      </c>
      <c r="J189" s="2">
        <v>0</v>
      </c>
      <c r="K189" s="2">
        <v>0</v>
      </c>
      <c r="L189" s="2">
        <v>1772947.83</v>
      </c>
      <c r="M189" s="3">
        <v>5981</v>
      </c>
      <c r="N189" s="4">
        <v>4.0336499999999997E-3</v>
      </c>
      <c r="O189" s="5" t="s">
        <v>44</v>
      </c>
      <c r="P189" s="5" t="s">
        <v>44</v>
      </c>
      <c r="Q189" s="1"/>
      <c r="R189" s="2"/>
      <c r="S189" s="6"/>
      <c r="T189" t="s">
        <v>10902</v>
      </c>
      <c r="U189" t="s">
        <v>10902</v>
      </c>
      <c r="V189" t="s">
        <v>10902</v>
      </c>
      <c r="W189" t="s">
        <v>43</v>
      </c>
      <c r="X189" t="s">
        <v>11310</v>
      </c>
      <c r="Y189" t="s">
        <v>11307</v>
      </c>
      <c r="Z189" t="s">
        <v>11305</v>
      </c>
      <c r="AA189" t="s">
        <v>44</v>
      </c>
      <c r="AB189" t="s">
        <v>44</v>
      </c>
      <c r="AC189" s="4"/>
      <c r="AD189" s="4"/>
      <c r="AE189" s="2">
        <v>0</v>
      </c>
      <c r="AF189" s="4">
        <v>0</v>
      </c>
      <c r="AG189" s="2">
        <v>0.26</v>
      </c>
      <c r="AH189" s="2">
        <v>1772947.83</v>
      </c>
      <c r="AI189" s="2">
        <v>0</v>
      </c>
      <c r="AJ189" s="5">
        <v>44673</v>
      </c>
      <c r="AK189" t="s">
        <v>11262</v>
      </c>
      <c r="AL189" s="2">
        <v>0</v>
      </c>
      <c r="AM189" s="2">
        <v>0</v>
      </c>
      <c r="AN189" s="2">
        <v>0</v>
      </c>
      <c r="AO189" t="s">
        <v>44</v>
      </c>
      <c r="AP189" t="s">
        <v>11317</v>
      </c>
      <c r="AQ189" t="s">
        <v>5173</v>
      </c>
    </row>
    <row r="190" spans="1:43" x14ac:dyDescent="0.2">
      <c r="A190" t="s">
        <v>11259</v>
      </c>
      <c r="B190" t="s">
        <v>11037</v>
      </c>
      <c r="C190" t="s">
        <v>11305</v>
      </c>
      <c r="D190" t="s">
        <v>11318</v>
      </c>
      <c r="E190" t="s">
        <v>4978</v>
      </c>
      <c r="F190" t="s">
        <v>11318</v>
      </c>
      <c r="G190" s="1">
        <v>31930</v>
      </c>
      <c r="H190" s="2">
        <v>3391749.37</v>
      </c>
      <c r="I190" s="2">
        <v>4451361.3</v>
      </c>
      <c r="J190" s="2">
        <v>0</v>
      </c>
      <c r="K190" s="2">
        <v>0</v>
      </c>
      <c r="L190" s="2">
        <v>4451361.3</v>
      </c>
      <c r="M190" s="3">
        <v>13941</v>
      </c>
      <c r="N190" s="4">
        <v>1.012733E-2</v>
      </c>
      <c r="O190" s="5" t="s">
        <v>44</v>
      </c>
      <c r="P190" s="5" t="s">
        <v>44</v>
      </c>
      <c r="Q190" s="1"/>
      <c r="R190" s="2"/>
      <c r="S190" s="6"/>
      <c r="T190" t="s">
        <v>10902</v>
      </c>
      <c r="U190" t="s">
        <v>10902</v>
      </c>
      <c r="V190" t="s">
        <v>10902</v>
      </c>
      <c r="W190" t="s">
        <v>43</v>
      </c>
      <c r="X190" t="s">
        <v>11306</v>
      </c>
      <c r="Y190" t="s">
        <v>11307</v>
      </c>
      <c r="Z190" t="s">
        <v>11305</v>
      </c>
      <c r="AA190" t="s">
        <v>44</v>
      </c>
      <c r="AB190" t="s">
        <v>44</v>
      </c>
      <c r="AC190" s="4"/>
      <c r="AD190" s="4"/>
      <c r="AE190" s="2">
        <v>0</v>
      </c>
      <c r="AF190" s="4">
        <v>0</v>
      </c>
      <c r="AG190" s="2">
        <v>0.66</v>
      </c>
      <c r="AH190" s="2">
        <v>4451361.3</v>
      </c>
      <c r="AI190" s="2">
        <v>0.01</v>
      </c>
      <c r="AJ190" s="5">
        <v>44673</v>
      </c>
      <c r="AK190" t="s">
        <v>11262</v>
      </c>
      <c r="AL190" s="2">
        <v>0</v>
      </c>
      <c r="AM190" s="2">
        <v>0</v>
      </c>
      <c r="AN190" s="2">
        <v>0</v>
      </c>
      <c r="AO190" t="s">
        <v>44</v>
      </c>
      <c r="AP190" t="s">
        <v>11319</v>
      </c>
      <c r="AQ190" t="s">
        <v>4978</v>
      </c>
    </row>
    <row r="191" spans="1:43" x14ac:dyDescent="0.2">
      <c r="A191" t="s">
        <v>11259</v>
      </c>
      <c r="B191" t="s">
        <v>11037</v>
      </c>
      <c r="C191" t="s">
        <v>11305</v>
      </c>
      <c r="D191" t="s">
        <v>11698</v>
      </c>
      <c r="E191" t="s">
        <v>4919</v>
      </c>
      <c r="F191" t="s">
        <v>11698</v>
      </c>
      <c r="G191" s="1">
        <v>19000</v>
      </c>
      <c r="H191" s="2">
        <v>2964533.29</v>
      </c>
      <c r="I191" s="2">
        <v>3157800</v>
      </c>
      <c r="J191" s="2">
        <v>0</v>
      </c>
      <c r="K191" s="2">
        <v>0</v>
      </c>
      <c r="L191" s="2">
        <v>3157800</v>
      </c>
      <c r="M191" s="3">
        <v>16620</v>
      </c>
      <c r="N191" s="4">
        <v>7.1843300000000001E-3</v>
      </c>
      <c r="O191" s="5" t="s">
        <v>44</v>
      </c>
      <c r="P191" s="5" t="s">
        <v>44</v>
      </c>
      <c r="Q191" s="1"/>
      <c r="R191" s="2"/>
      <c r="S191" s="6"/>
      <c r="T191" t="s">
        <v>10902</v>
      </c>
      <c r="U191" t="s">
        <v>10902</v>
      </c>
      <c r="V191" t="s">
        <v>10902</v>
      </c>
      <c r="W191" t="s">
        <v>43</v>
      </c>
      <c r="X191" t="s">
        <v>11310</v>
      </c>
      <c r="Y191" t="s">
        <v>11307</v>
      </c>
      <c r="Z191" t="s">
        <v>11305</v>
      </c>
      <c r="AA191" t="s">
        <v>44</v>
      </c>
      <c r="AB191" t="s">
        <v>44</v>
      </c>
      <c r="AC191" s="4"/>
      <c r="AD191" s="4"/>
      <c r="AE191" s="2">
        <v>0</v>
      </c>
      <c r="AF191" s="4">
        <v>0</v>
      </c>
      <c r="AG191" s="2">
        <v>0.47</v>
      </c>
      <c r="AH191" s="2">
        <v>3157800</v>
      </c>
      <c r="AI191" s="2">
        <v>0.01</v>
      </c>
      <c r="AJ191" s="5">
        <v>44673</v>
      </c>
      <c r="AK191" t="s">
        <v>11262</v>
      </c>
      <c r="AL191" s="2">
        <v>0</v>
      </c>
      <c r="AM191" s="2">
        <v>0</v>
      </c>
      <c r="AN191" s="2">
        <v>0</v>
      </c>
      <c r="AO191" t="s">
        <v>44</v>
      </c>
      <c r="AP191" t="s">
        <v>11699</v>
      </c>
      <c r="AQ191" t="s">
        <v>4919</v>
      </c>
    </row>
    <row r="192" spans="1:43" x14ac:dyDescent="0.2">
      <c r="A192" t="s">
        <v>11259</v>
      </c>
      <c r="B192" t="s">
        <v>11037</v>
      </c>
      <c r="C192" t="s">
        <v>11305</v>
      </c>
      <c r="D192" t="s">
        <v>6224</v>
      </c>
      <c r="E192" t="s">
        <v>3901</v>
      </c>
      <c r="F192" t="s">
        <v>6224</v>
      </c>
      <c r="G192" s="1">
        <v>36469</v>
      </c>
      <c r="H192" s="2">
        <v>1435055.15</v>
      </c>
      <c r="I192" s="2">
        <v>2032052.68</v>
      </c>
      <c r="J192" s="2">
        <v>0</v>
      </c>
      <c r="K192" s="2">
        <v>0</v>
      </c>
      <c r="L192" s="2">
        <v>2032052.68</v>
      </c>
      <c r="M192" s="3">
        <v>5572</v>
      </c>
      <c r="N192" s="4">
        <v>4.6231400000000004E-3</v>
      </c>
      <c r="O192" s="5" t="s">
        <v>44</v>
      </c>
      <c r="P192" s="5" t="s">
        <v>44</v>
      </c>
      <c r="Q192" s="1"/>
      <c r="R192" s="2"/>
      <c r="S192" s="6"/>
      <c r="T192" t="s">
        <v>10902</v>
      </c>
      <c r="U192" t="s">
        <v>10902</v>
      </c>
      <c r="V192" t="s">
        <v>10902</v>
      </c>
      <c r="W192" t="s">
        <v>43</v>
      </c>
      <c r="X192" t="s">
        <v>11306</v>
      </c>
      <c r="Y192" t="s">
        <v>11307</v>
      </c>
      <c r="Z192" t="s">
        <v>11305</v>
      </c>
      <c r="AA192" t="s">
        <v>44</v>
      </c>
      <c r="AB192" t="s">
        <v>44</v>
      </c>
      <c r="AC192" s="4"/>
      <c r="AD192" s="4"/>
      <c r="AE192" s="2">
        <v>0</v>
      </c>
      <c r="AF192" s="4">
        <v>0</v>
      </c>
      <c r="AG192" s="2">
        <v>0.3</v>
      </c>
      <c r="AH192" s="2">
        <v>2032052.68</v>
      </c>
      <c r="AI192" s="2">
        <v>0</v>
      </c>
      <c r="AJ192" s="5">
        <v>44673</v>
      </c>
      <c r="AK192" t="s">
        <v>11262</v>
      </c>
      <c r="AL192" s="2">
        <v>0</v>
      </c>
      <c r="AM192" s="2">
        <v>0</v>
      </c>
      <c r="AN192" s="2">
        <v>0</v>
      </c>
      <c r="AO192" t="s">
        <v>44</v>
      </c>
      <c r="AP192" t="s">
        <v>11320</v>
      </c>
      <c r="AQ192" t="s">
        <v>3901</v>
      </c>
    </row>
    <row r="193" spans="1:43" x14ac:dyDescent="0.2">
      <c r="A193" t="s">
        <v>11259</v>
      </c>
      <c r="B193" t="s">
        <v>11037</v>
      </c>
      <c r="C193" t="s">
        <v>11050</v>
      </c>
      <c r="D193" t="s">
        <v>11321</v>
      </c>
      <c r="E193" t="s">
        <v>11322</v>
      </c>
      <c r="F193" t="s">
        <v>11321</v>
      </c>
      <c r="G193" s="1">
        <v>1100000</v>
      </c>
      <c r="H193" s="2">
        <v>110000000</v>
      </c>
      <c r="I193" s="2">
        <v>127407940</v>
      </c>
      <c r="J193" s="2">
        <v>0</v>
      </c>
      <c r="K193" s="2">
        <v>0</v>
      </c>
      <c r="L193" s="2">
        <v>127407940</v>
      </c>
      <c r="M193" s="3">
        <v>115.8254</v>
      </c>
      <c r="N193" s="4">
        <v>0.28986677999999999</v>
      </c>
      <c r="O193" s="5" t="s">
        <v>44</v>
      </c>
      <c r="P193" s="5" t="s">
        <v>44</v>
      </c>
      <c r="Q193" s="1"/>
      <c r="R193" s="2"/>
      <c r="S193" s="6"/>
      <c r="T193" t="s">
        <v>10902</v>
      </c>
      <c r="U193" t="s">
        <v>10902</v>
      </c>
      <c r="V193" t="s">
        <v>11051</v>
      </c>
      <c r="W193" t="s">
        <v>43</v>
      </c>
      <c r="X193" t="s">
        <v>11050</v>
      </c>
      <c r="Y193" t="s">
        <v>44</v>
      </c>
      <c r="Z193" t="s">
        <v>11050</v>
      </c>
      <c r="AA193" t="s">
        <v>44</v>
      </c>
      <c r="AB193" t="s">
        <v>44</v>
      </c>
      <c r="AC193" s="4"/>
      <c r="AD193" s="4"/>
      <c r="AE193" s="2">
        <v>0</v>
      </c>
      <c r="AF193" s="4">
        <v>0</v>
      </c>
      <c r="AG193" s="2">
        <v>18.829999999999998</v>
      </c>
      <c r="AH193" s="2">
        <v>127407940</v>
      </c>
      <c r="AI193" s="2">
        <v>0.28999999999999998</v>
      </c>
      <c r="AJ193" s="5">
        <v>44673</v>
      </c>
      <c r="AK193" t="s">
        <v>11262</v>
      </c>
      <c r="AL193" s="2">
        <v>0</v>
      </c>
      <c r="AM193" s="2">
        <v>0</v>
      </c>
      <c r="AN193" s="2">
        <v>0</v>
      </c>
      <c r="AO193" t="s">
        <v>44</v>
      </c>
      <c r="AP193" t="s">
        <v>44</v>
      </c>
      <c r="AQ193" t="s">
        <v>11322</v>
      </c>
    </row>
    <row r="194" spans="1:43" x14ac:dyDescent="0.2">
      <c r="A194" t="s">
        <v>11259</v>
      </c>
      <c r="B194" t="s">
        <v>11037</v>
      </c>
      <c r="C194" t="s">
        <v>11050</v>
      </c>
      <c r="D194" t="s">
        <v>11323</v>
      </c>
      <c r="E194" t="s">
        <v>11324</v>
      </c>
      <c r="F194" t="s">
        <v>11323</v>
      </c>
      <c r="G194" s="1">
        <v>115000000</v>
      </c>
      <c r="H194" s="2">
        <v>115000000</v>
      </c>
      <c r="I194" s="2">
        <v>128693834.06999999</v>
      </c>
      <c r="J194" s="2">
        <v>0</v>
      </c>
      <c r="K194" s="2">
        <v>0</v>
      </c>
      <c r="L194" s="2">
        <v>128693834.06999999</v>
      </c>
      <c r="M194" s="3">
        <v>111.90768199999999</v>
      </c>
      <c r="N194" s="4">
        <v>0.29279232999999999</v>
      </c>
      <c r="O194" s="5" t="s">
        <v>44</v>
      </c>
      <c r="P194" s="5" t="s">
        <v>44</v>
      </c>
      <c r="Q194" s="1"/>
      <c r="R194" s="2"/>
      <c r="S194" s="6"/>
      <c r="T194" t="s">
        <v>10902</v>
      </c>
      <c r="U194" t="s">
        <v>10902</v>
      </c>
      <c r="V194" t="s">
        <v>11051</v>
      </c>
      <c r="W194" t="s">
        <v>43</v>
      </c>
      <c r="X194" t="s">
        <v>11050</v>
      </c>
      <c r="Y194" t="s">
        <v>44</v>
      </c>
      <c r="Z194" t="s">
        <v>11050</v>
      </c>
      <c r="AA194" t="s">
        <v>11035</v>
      </c>
      <c r="AB194" t="s">
        <v>44</v>
      </c>
      <c r="AC194" s="4"/>
      <c r="AD194" s="4"/>
      <c r="AE194" s="2">
        <v>0</v>
      </c>
      <c r="AF194" s="4">
        <v>0</v>
      </c>
      <c r="AG194" s="2">
        <v>19.02</v>
      </c>
      <c r="AH194" s="2">
        <v>128693834.06999999</v>
      </c>
      <c r="AI194" s="2">
        <v>0.28999999999999998</v>
      </c>
      <c r="AJ194" s="5">
        <v>44673</v>
      </c>
      <c r="AK194" t="s">
        <v>11262</v>
      </c>
      <c r="AL194" s="2">
        <v>0</v>
      </c>
      <c r="AM194" s="2">
        <v>0</v>
      </c>
      <c r="AN194" s="2">
        <v>0</v>
      </c>
      <c r="AO194" t="s">
        <v>11036</v>
      </c>
      <c r="AP194" t="s">
        <v>44</v>
      </c>
      <c r="AQ194" t="s">
        <v>11324</v>
      </c>
    </row>
    <row r="195" spans="1:43" x14ac:dyDescent="0.2">
      <c r="A195" t="s">
        <v>11259</v>
      </c>
      <c r="B195" t="s">
        <v>11037</v>
      </c>
      <c r="C195" t="s">
        <v>11195</v>
      </c>
      <c r="D195" t="s">
        <v>11325</v>
      </c>
      <c r="E195" t="s">
        <v>5284</v>
      </c>
      <c r="F195" t="s">
        <v>11325</v>
      </c>
      <c r="G195" s="1">
        <v>19068</v>
      </c>
      <c r="H195" s="2">
        <v>542687.71</v>
      </c>
      <c r="I195" s="2">
        <v>615515.04</v>
      </c>
      <c r="J195" s="2">
        <v>0</v>
      </c>
      <c r="K195" s="2">
        <v>0</v>
      </c>
      <c r="L195" s="2">
        <v>615515.04</v>
      </c>
      <c r="M195" s="3">
        <v>3228</v>
      </c>
      <c r="N195" s="4">
        <v>1.40036E-3</v>
      </c>
      <c r="O195" s="5" t="s">
        <v>44</v>
      </c>
      <c r="P195" s="5" t="s">
        <v>44</v>
      </c>
      <c r="Q195" s="1"/>
      <c r="R195" s="2"/>
      <c r="S195" s="6"/>
      <c r="T195" t="s">
        <v>10902</v>
      </c>
      <c r="U195" t="s">
        <v>10902</v>
      </c>
      <c r="V195" t="s">
        <v>10902</v>
      </c>
      <c r="W195" t="s">
        <v>43</v>
      </c>
      <c r="X195" t="s">
        <v>11197</v>
      </c>
      <c r="Y195" t="s">
        <v>11198</v>
      </c>
      <c r="Z195" t="s">
        <v>11195</v>
      </c>
      <c r="AA195" t="s">
        <v>44</v>
      </c>
      <c r="AB195" t="s">
        <v>44</v>
      </c>
      <c r="AC195" s="4"/>
      <c r="AD195" s="4"/>
      <c r="AE195" s="2">
        <v>0</v>
      </c>
      <c r="AF195" s="4">
        <v>0</v>
      </c>
      <c r="AG195" s="2">
        <v>0.09</v>
      </c>
      <c r="AH195" s="2">
        <v>615515.04</v>
      </c>
      <c r="AI195" s="2">
        <v>0</v>
      </c>
      <c r="AJ195" s="5">
        <v>44673</v>
      </c>
      <c r="AK195" t="s">
        <v>11262</v>
      </c>
      <c r="AL195" s="2">
        <v>0</v>
      </c>
      <c r="AM195" s="2">
        <v>0</v>
      </c>
      <c r="AN195" s="2">
        <v>0</v>
      </c>
      <c r="AO195" t="s">
        <v>44</v>
      </c>
      <c r="AP195" t="s">
        <v>11326</v>
      </c>
      <c r="AQ195" t="s">
        <v>5284</v>
      </c>
    </row>
    <row r="196" spans="1:43" x14ac:dyDescent="0.2">
      <c r="A196" t="s">
        <v>11259</v>
      </c>
      <c r="B196" t="s">
        <v>11037</v>
      </c>
      <c r="C196" t="s">
        <v>11195</v>
      </c>
      <c r="D196" t="s">
        <v>6419</v>
      </c>
      <c r="E196" t="s">
        <v>5072</v>
      </c>
      <c r="F196" t="s">
        <v>6419</v>
      </c>
      <c r="G196" s="1">
        <v>22731</v>
      </c>
      <c r="H196" s="2">
        <v>922878.6</v>
      </c>
      <c r="I196" s="2">
        <v>953792.76</v>
      </c>
      <c r="J196" s="2">
        <v>0</v>
      </c>
      <c r="K196" s="2">
        <v>0</v>
      </c>
      <c r="L196" s="2">
        <v>953792.76</v>
      </c>
      <c r="M196" s="3">
        <v>4196</v>
      </c>
      <c r="N196" s="4">
        <v>2.1699800000000002E-3</v>
      </c>
      <c r="O196" s="5" t="s">
        <v>44</v>
      </c>
      <c r="P196" s="5" t="s">
        <v>44</v>
      </c>
      <c r="Q196" s="1"/>
      <c r="R196" s="2"/>
      <c r="S196" s="6"/>
      <c r="T196" t="s">
        <v>10902</v>
      </c>
      <c r="U196" t="s">
        <v>10902</v>
      </c>
      <c r="V196" t="s">
        <v>10902</v>
      </c>
      <c r="W196" t="s">
        <v>43</v>
      </c>
      <c r="X196" t="s">
        <v>11327</v>
      </c>
      <c r="Y196" t="s">
        <v>11198</v>
      </c>
      <c r="Z196" t="s">
        <v>11195</v>
      </c>
      <c r="AA196" t="s">
        <v>44</v>
      </c>
      <c r="AB196" t="s">
        <v>44</v>
      </c>
      <c r="AC196" s="4"/>
      <c r="AD196" s="4"/>
      <c r="AE196" s="2">
        <v>0</v>
      </c>
      <c r="AF196" s="4">
        <v>0</v>
      </c>
      <c r="AG196" s="2">
        <v>0.14000000000000001</v>
      </c>
      <c r="AH196" s="2">
        <v>953792.76</v>
      </c>
      <c r="AI196" s="2">
        <v>0</v>
      </c>
      <c r="AJ196" s="5">
        <v>44673</v>
      </c>
      <c r="AK196" t="s">
        <v>11262</v>
      </c>
      <c r="AL196" s="2">
        <v>0</v>
      </c>
      <c r="AM196" s="2">
        <v>0</v>
      </c>
      <c r="AN196" s="2">
        <v>0</v>
      </c>
      <c r="AO196" t="s">
        <v>44</v>
      </c>
      <c r="AP196" t="s">
        <v>11328</v>
      </c>
      <c r="AQ196" t="s">
        <v>5072</v>
      </c>
    </row>
    <row r="197" spans="1:43" x14ac:dyDescent="0.2">
      <c r="A197" t="s">
        <v>11259</v>
      </c>
      <c r="B197" t="s">
        <v>11037</v>
      </c>
      <c r="C197" t="s">
        <v>11195</v>
      </c>
      <c r="D197" t="s">
        <v>11704</v>
      </c>
      <c r="E197" t="s">
        <v>3205</v>
      </c>
      <c r="F197" t="s">
        <v>11704</v>
      </c>
      <c r="G197" s="1">
        <v>8757</v>
      </c>
      <c r="H197" s="2">
        <v>1024319.17</v>
      </c>
      <c r="I197" s="2">
        <v>1441402.2</v>
      </c>
      <c r="J197" s="2">
        <v>0</v>
      </c>
      <c r="K197" s="2">
        <v>0</v>
      </c>
      <c r="L197" s="2">
        <v>1441402.2</v>
      </c>
      <c r="M197" s="3">
        <v>16460</v>
      </c>
      <c r="N197" s="4">
        <v>3.2793499999999999E-3</v>
      </c>
      <c r="O197" s="5" t="s">
        <v>44</v>
      </c>
      <c r="P197" s="5" t="s">
        <v>44</v>
      </c>
      <c r="Q197" s="1"/>
      <c r="R197" s="2"/>
      <c r="S197" s="6"/>
      <c r="T197" t="s">
        <v>10902</v>
      </c>
      <c r="U197" t="s">
        <v>10902</v>
      </c>
      <c r="V197" t="s">
        <v>10902</v>
      </c>
      <c r="W197" t="s">
        <v>43</v>
      </c>
      <c r="X197" t="s">
        <v>11334</v>
      </c>
      <c r="Y197" t="s">
        <v>11335</v>
      </c>
      <c r="Z197" t="s">
        <v>11195</v>
      </c>
      <c r="AA197" t="s">
        <v>44</v>
      </c>
      <c r="AB197" t="s">
        <v>44</v>
      </c>
      <c r="AC197" s="4"/>
      <c r="AD197" s="4"/>
      <c r="AE197" s="2">
        <v>0</v>
      </c>
      <c r="AF197" s="4">
        <v>0</v>
      </c>
      <c r="AG197" s="2">
        <v>0.21</v>
      </c>
      <c r="AH197" s="2">
        <v>1441402.2</v>
      </c>
      <c r="AI197" s="2">
        <v>0</v>
      </c>
      <c r="AJ197" s="5">
        <v>44673</v>
      </c>
      <c r="AK197" t="s">
        <v>11262</v>
      </c>
      <c r="AL197" s="2">
        <v>0</v>
      </c>
      <c r="AM197" s="2">
        <v>0</v>
      </c>
      <c r="AN197" s="2">
        <v>0</v>
      </c>
      <c r="AO197" t="s">
        <v>44</v>
      </c>
      <c r="AP197" t="s">
        <v>11705</v>
      </c>
      <c r="AQ197" t="s">
        <v>3205</v>
      </c>
    </row>
    <row r="198" spans="1:43" x14ac:dyDescent="0.2">
      <c r="A198" t="s">
        <v>11259</v>
      </c>
      <c r="B198" t="s">
        <v>11037</v>
      </c>
      <c r="C198" t="s">
        <v>11195</v>
      </c>
      <c r="D198" t="s">
        <v>11196</v>
      </c>
      <c r="E198" t="s">
        <v>5755</v>
      </c>
      <c r="F198" t="s">
        <v>11196</v>
      </c>
      <c r="G198" s="1">
        <v>70690</v>
      </c>
      <c r="H198" s="2">
        <v>1286538.31</v>
      </c>
      <c r="I198" s="2">
        <v>1525490.2</v>
      </c>
      <c r="J198" s="2">
        <v>0</v>
      </c>
      <c r="K198" s="2">
        <v>0</v>
      </c>
      <c r="L198" s="2">
        <v>1525490.2</v>
      </c>
      <c r="M198" s="3">
        <v>2158</v>
      </c>
      <c r="N198" s="4">
        <v>3.47065E-3</v>
      </c>
      <c r="O198" s="5" t="s">
        <v>44</v>
      </c>
      <c r="P198" s="5" t="s">
        <v>44</v>
      </c>
      <c r="Q198" s="1"/>
      <c r="R198" s="2"/>
      <c r="S198" s="6"/>
      <c r="T198" t="s">
        <v>10902</v>
      </c>
      <c r="U198" t="s">
        <v>10902</v>
      </c>
      <c r="V198" t="s">
        <v>10902</v>
      </c>
      <c r="W198" t="s">
        <v>43</v>
      </c>
      <c r="X198" t="s">
        <v>11197</v>
      </c>
      <c r="Y198" t="s">
        <v>11198</v>
      </c>
      <c r="Z198" t="s">
        <v>11195</v>
      </c>
      <c r="AA198" t="s">
        <v>44</v>
      </c>
      <c r="AB198" t="s">
        <v>44</v>
      </c>
      <c r="AC198" s="4"/>
      <c r="AD198" s="4"/>
      <c r="AE198" s="2">
        <v>0</v>
      </c>
      <c r="AF198" s="4">
        <v>0</v>
      </c>
      <c r="AG198" s="2">
        <v>0.23</v>
      </c>
      <c r="AH198" s="2">
        <v>1525490.2</v>
      </c>
      <c r="AI198" s="2">
        <v>0</v>
      </c>
      <c r="AJ198" s="5">
        <v>44673</v>
      </c>
      <c r="AK198" t="s">
        <v>11262</v>
      </c>
      <c r="AL198" s="2">
        <v>0</v>
      </c>
      <c r="AM198" s="2">
        <v>0</v>
      </c>
      <c r="AN198" s="2">
        <v>0</v>
      </c>
      <c r="AO198" t="s">
        <v>44</v>
      </c>
      <c r="AP198" t="s">
        <v>11199</v>
      </c>
      <c r="AQ198" t="s">
        <v>5755</v>
      </c>
    </row>
    <row r="199" spans="1:43" x14ac:dyDescent="0.2">
      <c r="A199" t="s">
        <v>11259</v>
      </c>
      <c r="B199" t="s">
        <v>11037</v>
      </c>
      <c r="C199" t="s">
        <v>11195</v>
      </c>
      <c r="D199" t="s">
        <v>11200</v>
      </c>
      <c r="E199" t="s">
        <v>5277</v>
      </c>
      <c r="F199" t="s">
        <v>11200</v>
      </c>
      <c r="G199" s="1">
        <v>103616</v>
      </c>
      <c r="H199" s="2">
        <v>1388790.2</v>
      </c>
      <c r="I199" s="2">
        <v>1292091.52</v>
      </c>
      <c r="J199" s="2">
        <v>0</v>
      </c>
      <c r="K199" s="2">
        <v>0</v>
      </c>
      <c r="L199" s="2">
        <v>1292091.52</v>
      </c>
      <c r="M199" s="3">
        <v>1247</v>
      </c>
      <c r="N199" s="4">
        <v>2.9396499999999998E-3</v>
      </c>
      <c r="O199" s="5" t="s">
        <v>44</v>
      </c>
      <c r="P199" s="5" t="s">
        <v>44</v>
      </c>
      <c r="Q199" s="1"/>
      <c r="R199" s="2"/>
      <c r="S199" s="6"/>
      <c r="T199" t="s">
        <v>10902</v>
      </c>
      <c r="U199" t="s">
        <v>10902</v>
      </c>
      <c r="V199" t="s">
        <v>10902</v>
      </c>
      <c r="W199" t="s">
        <v>43</v>
      </c>
      <c r="X199" t="s">
        <v>11197</v>
      </c>
      <c r="Y199" t="s">
        <v>11198</v>
      </c>
      <c r="Z199" t="s">
        <v>11195</v>
      </c>
      <c r="AA199" t="s">
        <v>44</v>
      </c>
      <c r="AB199" t="s">
        <v>44</v>
      </c>
      <c r="AC199" s="4"/>
      <c r="AD199" s="4"/>
      <c r="AE199" s="2">
        <v>0</v>
      </c>
      <c r="AF199" s="4">
        <v>0</v>
      </c>
      <c r="AG199" s="2">
        <v>0.19</v>
      </c>
      <c r="AH199" s="2">
        <v>1292091.52</v>
      </c>
      <c r="AI199" s="2">
        <v>0</v>
      </c>
      <c r="AJ199" s="5">
        <v>44673</v>
      </c>
      <c r="AK199" t="s">
        <v>11262</v>
      </c>
      <c r="AL199" s="2">
        <v>0</v>
      </c>
      <c r="AM199" s="2">
        <v>0</v>
      </c>
      <c r="AN199" s="2">
        <v>0</v>
      </c>
      <c r="AO199" t="s">
        <v>44</v>
      </c>
      <c r="AP199" t="s">
        <v>11201</v>
      </c>
      <c r="AQ199" t="s">
        <v>5277</v>
      </c>
    </row>
    <row r="200" spans="1:43" x14ac:dyDescent="0.2">
      <c r="A200" t="s">
        <v>11259</v>
      </c>
      <c r="B200" t="s">
        <v>11037</v>
      </c>
      <c r="C200" t="s">
        <v>11195</v>
      </c>
      <c r="D200" t="s">
        <v>6332</v>
      </c>
      <c r="E200" t="s">
        <v>3152</v>
      </c>
      <c r="F200" t="s">
        <v>6332</v>
      </c>
      <c r="G200" s="1">
        <v>30501</v>
      </c>
      <c r="H200" s="2">
        <v>833514.42</v>
      </c>
      <c r="I200" s="2">
        <v>1100476.08</v>
      </c>
      <c r="J200" s="2">
        <v>0</v>
      </c>
      <c r="K200" s="2">
        <v>0</v>
      </c>
      <c r="L200" s="2">
        <v>1100476.08</v>
      </c>
      <c r="M200" s="3">
        <v>3608</v>
      </c>
      <c r="N200" s="4">
        <v>2.5037000000000002E-3</v>
      </c>
      <c r="O200" s="5" t="s">
        <v>44</v>
      </c>
      <c r="P200" s="5" t="s">
        <v>44</v>
      </c>
      <c r="Q200" s="1"/>
      <c r="R200" s="2"/>
      <c r="S200" s="6"/>
      <c r="T200" t="s">
        <v>10902</v>
      </c>
      <c r="U200" t="s">
        <v>10902</v>
      </c>
      <c r="V200" t="s">
        <v>10902</v>
      </c>
      <c r="W200" t="s">
        <v>43</v>
      </c>
      <c r="X200" t="s">
        <v>11197</v>
      </c>
      <c r="Y200" t="s">
        <v>11198</v>
      </c>
      <c r="Z200" t="s">
        <v>11195</v>
      </c>
      <c r="AA200" t="s">
        <v>44</v>
      </c>
      <c r="AB200" t="s">
        <v>44</v>
      </c>
      <c r="AC200" s="4"/>
      <c r="AD200" s="4"/>
      <c r="AE200" s="2">
        <v>0</v>
      </c>
      <c r="AF200" s="4">
        <v>0</v>
      </c>
      <c r="AG200" s="2">
        <v>0.16</v>
      </c>
      <c r="AH200" s="2">
        <v>1100476.08</v>
      </c>
      <c r="AI200" s="2">
        <v>0</v>
      </c>
      <c r="AJ200" s="5">
        <v>44673</v>
      </c>
      <c r="AK200" t="s">
        <v>11262</v>
      </c>
      <c r="AL200" s="2">
        <v>0</v>
      </c>
      <c r="AM200" s="2">
        <v>0</v>
      </c>
      <c r="AN200" s="2">
        <v>0</v>
      </c>
      <c r="AO200" t="s">
        <v>44</v>
      </c>
      <c r="AP200" t="s">
        <v>11203</v>
      </c>
      <c r="AQ200" t="s">
        <v>3152</v>
      </c>
    </row>
    <row r="201" spans="1:43" x14ac:dyDescent="0.2">
      <c r="A201" t="s">
        <v>11259</v>
      </c>
      <c r="B201" t="s">
        <v>11037</v>
      </c>
      <c r="C201" t="s">
        <v>11195</v>
      </c>
      <c r="D201" t="s">
        <v>11329</v>
      </c>
      <c r="E201" t="s">
        <v>4814</v>
      </c>
      <c r="F201" t="s">
        <v>11329</v>
      </c>
      <c r="G201" s="1">
        <v>3000</v>
      </c>
      <c r="H201" s="2">
        <v>114360</v>
      </c>
      <c r="I201" s="2">
        <v>297360</v>
      </c>
      <c r="J201" s="2">
        <v>0</v>
      </c>
      <c r="K201" s="2">
        <v>0</v>
      </c>
      <c r="L201" s="2">
        <v>297360</v>
      </c>
      <c r="M201" s="3">
        <v>9912</v>
      </c>
      <c r="N201" s="4">
        <v>6.7652999999999995E-4</v>
      </c>
      <c r="O201" s="5" t="s">
        <v>44</v>
      </c>
      <c r="P201" s="5" t="s">
        <v>44</v>
      </c>
      <c r="Q201" s="1"/>
      <c r="R201" s="2"/>
      <c r="S201" s="6"/>
      <c r="T201" t="s">
        <v>10902</v>
      </c>
      <c r="U201" t="s">
        <v>10902</v>
      </c>
      <c r="V201" t="s">
        <v>10902</v>
      </c>
      <c r="W201" t="s">
        <v>43</v>
      </c>
      <c r="X201" t="s">
        <v>11327</v>
      </c>
      <c r="Y201" t="s">
        <v>11198</v>
      </c>
      <c r="Z201" t="s">
        <v>11195</v>
      </c>
      <c r="AA201" t="s">
        <v>44</v>
      </c>
      <c r="AB201" t="s">
        <v>44</v>
      </c>
      <c r="AC201" s="4"/>
      <c r="AD201" s="4"/>
      <c r="AE201" s="2">
        <v>0</v>
      </c>
      <c r="AF201" s="4">
        <v>0</v>
      </c>
      <c r="AG201" s="2">
        <v>0.04</v>
      </c>
      <c r="AH201" s="2">
        <v>297360</v>
      </c>
      <c r="AI201" s="2">
        <v>0</v>
      </c>
      <c r="AJ201" s="5">
        <v>44673</v>
      </c>
      <c r="AK201" t="s">
        <v>11262</v>
      </c>
      <c r="AL201" s="2">
        <v>0</v>
      </c>
      <c r="AM201" s="2">
        <v>0</v>
      </c>
      <c r="AN201" s="2">
        <v>0</v>
      </c>
      <c r="AO201" t="s">
        <v>44</v>
      </c>
      <c r="AP201" t="s">
        <v>11330</v>
      </c>
      <c r="AQ201" t="s">
        <v>4814</v>
      </c>
    </row>
    <row r="202" spans="1:43" x14ac:dyDescent="0.2">
      <c r="A202" t="s">
        <v>11259</v>
      </c>
      <c r="B202" t="s">
        <v>11037</v>
      </c>
      <c r="C202" t="s">
        <v>11195</v>
      </c>
      <c r="D202" t="s">
        <v>6450</v>
      </c>
      <c r="E202" t="s">
        <v>5121</v>
      </c>
      <c r="F202" t="s">
        <v>6450</v>
      </c>
      <c r="G202" s="1">
        <v>7349</v>
      </c>
      <c r="H202" s="2">
        <v>906569.63</v>
      </c>
      <c r="I202" s="2">
        <v>814930.61</v>
      </c>
      <c r="J202" s="2">
        <v>0</v>
      </c>
      <c r="K202" s="2">
        <v>0</v>
      </c>
      <c r="L202" s="2">
        <v>814930.61</v>
      </c>
      <c r="M202" s="3">
        <v>11089</v>
      </c>
      <c r="N202" s="4">
        <v>1.8540500000000001E-3</v>
      </c>
      <c r="O202" s="5" t="s">
        <v>44</v>
      </c>
      <c r="P202" s="5" t="s">
        <v>44</v>
      </c>
      <c r="Q202" s="1"/>
      <c r="R202" s="2"/>
      <c r="S202" s="6"/>
      <c r="T202" t="s">
        <v>10902</v>
      </c>
      <c r="U202" t="s">
        <v>10902</v>
      </c>
      <c r="V202" t="s">
        <v>10902</v>
      </c>
      <c r="W202" t="s">
        <v>43</v>
      </c>
      <c r="X202" t="s">
        <v>11327</v>
      </c>
      <c r="Y202" t="s">
        <v>11198</v>
      </c>
      <c r="Z202" t="s">
        <v>11195</v>
      </c>
      <c r="AA202" t="s">
        <v>44</v>
      </c>
      <c r="AB202" t="s">
        <v>44</v>
      </c>
      <c r="AC202" s="4"/>
      <c r="AD202" s="4"/>
      <c r="AE202" s="2">
        <v>0</v>
      </c>
      <c r="AF202" s="4">
        <v>0</v>
      </c>
      <c r="AG202" s="2">
        <v>0.12</v>
      </c>
      <c r="AH202" s="2">
        <v>814930.61</v>
      </c>
      <c r="AI202" s="2">
        <v>0</v>
      </c>
      <c r="AJ202" s="5">
        <v>44673</v>
      </c>
      <c r="AK202" t="s">
        <v>11262</v>
      </c>
      <c r="AL202" s="2">
        <v>0</v>
      </c>
      <c r="AM202" s="2">
        <v>0</v>
      </c>
      <c r="AN202" s="2">
        <v>0</v>
      </c>
      <c r="AO202" t="s">
        <v>44</v>
      </c>
      <c r="AP202" t="s">
        <v>11331</v>
      </c>
      <c r="AQ202" t="s">
        <v>5121</v>
      </c>
    </row>
    <row r="203" spans="1:43" x14ac:dyDescent="0.2">
      <c r="A203" t="s">
        <v>11259</v>
      </c>
      <c r="B203" t="s">
        <v>11037</v>
      </c>
      <c r="C203" t="s">
        <v>11195</v>
      </c>
      <c r="D203" t="s">
        <v>11204</v>
      </c>
      <c r="E203" t="s">
        <v>5699</v>
      </c>
      <c r="F203" t="s">
        <v>11204</v>
      </c>
      <c r="G203" s="1">
        <v>30000</v>
      </c>
      <c r="H203" s="2">
        <v>549410.16</v>
      </c>
      <c r="I203" s="2">
        <v>656400</v>
      </c>
      <c r="J203" s="2">
        <v>0</v>
      </c>
      <c r="K203" s="2">
        <v>0</v>
      </c>
      <c r="L203" s="2">
        <v>656400</v>
      </c>
      <c r="M203" s="3">
        <v>2188</v>
      </c>
      <c r="N203" s="4">
        <v>1.4933800000000001E-3</v>
      </c>
      <c r="O203" s="5" t="s">
        <v>44</v>
      </c>
      <c r="P203" s="5" t="s">
        <v>44</v>
      </c>
      <c r="Q203" s="1"/>
      <c r="R203" s="2"/>
      <c r="S203" s="6"/>
      <c r="T203" t="s">
        <v>10902</v>
      </c>
      <c r="U203" t="s">
        <v>10902</v>
      </c>
      <c r="V203" t="s">
        <v>10902</v>
      </c>
      <c r="W203" t="s">
        <v>43</v>
      </c>
      <c r="X203" t="s">
        <v>11197</v>
      </c>
      <c r="Y203" t="s">
        <v>11198</v>
      </c>
      <c r="Z203" t="s">
        <v>11195</v>
      </c>
      <c r="AA203" t="s">
        <v>44</v>
      </c>
      <c r="AB203" t="s">
        <v>44</v>
      </c>
      <c r="AC203" s="4"/>
      <c r="AD203" s="4"/>
      <c r="AE203" s="2">
        <v>0</v>
      </c>
      <c r="AF203" s="4">
        <v>0</v>
      </c>
      <c r="AG203" s="2">
        <v>0.1</v>
      </c>
      <c r="AH203" s="2">
        <v>656400</v>
      </c>
      <c r="AI203" s="2">
        <v>0</v>
      </c>
      <c r="AJ203" s="5">
        <v>44673</v>
      </c>
      <c r="AK203" t="s">
        <v>11262</v>
      </c>
      <c r="AL203" s="2">
        <v>0</v>
      </c>
      <c r="AM203" s="2">
        <v>0</v>
      </c>
      <c r="AN203" s="2">
        <v>0</v>
      </c>
      <c r="AO203" t="s">
        <v>44</v>
      </c>
      <c r="AP203" t="s">
        <v>11205</v>
      </c>
      <c r="AQ203" t="s">
        <v>5699</v>
      </c>
    </row>
    <row r="204" spans="1:43" x14ac:dyDescent="0.2">
      <c r="A204" t="s">
        <v>11259</v>
      </c>
      <c r="B204" t="s">
        <v>11037</v>
      </c>
      <c r="C204" t="s">
        <v>11195</v>
      </c>
      <c r="D204" t="s">
        <v>11332</v>
      </c>
      <c r="E204" t="s">
        <v>11333</v>
      </c>
      <c r="F204" t="s">
        <v>11332</v>
      </c>
      <c r="G204" s="1">
        <v>107704</v>
      </c>
      <c r="H204" s="2">
        <v>1565530</v>
      </c>
      <c r="I204" s="2">
        <v>1819120.56</v>
      </c>
      <c r="J204" s="2">
        <v>0</v>
      </c>
      <c r="K204" s="2">
        <v>0</v>
      </c>
      <c r="L204" s="2">
        <v>1819120.56</v>
      </c>
      <c r="M204" s="3">
        <v>1689</v>
      </c>
      <c r="N204" s="4">
        <v>4.1387000000000004E-3</v>
      </c>
      <c r="O204" s="5" t="s">
        <v>44</v>
      </c>
      <c r="P204" s="5" t="s">
        <v>44</v>
      </c>
      <c r="Q204" s="1"/>
      <c r="R204" s="2"/>
      <c r="S204" s="6"/>
      <c r="T204" t="s">
        <v>10902</v>
      </c>
      <c r="U204" t="s">
        <v>10902</v>
      </c>
      <c r="V204" t="s">
        <v>10902</v>
      </c>
      <c r="W204" t="s">
        <v>43</v>
      </c>
      <c r="X204" t="s">
        <v>11334</v>
      </c>
      <c r="Y204" t="s">
        <v>11335</v>
      </c>
      <c r="Z204" t="s">
        <v>11195</v>
      </c>
      <c r="AA204" t="s">
        <v>44</v>
      </c>
      <c r="AB204" t="s">
        <v>44</v>
      </c>
      <c r="AC204" s="4"/>
      <c r="AD204" s="4"/>
      <c r="AE204" s="2">
        <v>0</v>
      </c>
      <c r="AF204" s="4">
        <v>0</v>
      </c>
      <c r="AG204" s="2">
        <v>0.27</v>
      </c>
      <c r="AH204" s="2">
        <v>1819120.56</v>
      </c>
      <c r="AI204" s="2">
        <v>0</v>
      </c>
      <c r="AJ204" s="5">
        <v>44673</v>
      </c>
      <c r="AK204" t="s">
        <v>11262</v>
      </c>
      <c r="AL204" s="2">
        <v>0</v>
      </c>
      <c r="AM204" s="2">
        <v>0</v>
      </c>
      <c r="AN204" s="2">
        <v>0</v>
      </c>
      <c r="AO204" t="s">
        <v>44</v>
      </c>
      <c r="AP204" t="s">
        <v>11336</v>
      </c>
      <c r="AQ204" t="s">
        <v>11333</v>
      </c>
    </row>
    <row r="205" spans="1:43" x14ac:dyDescent="0.2">
      <c r="A205" t="s">
        <v>11259</v>
      </c>
      <c r="B205" t="s">
        <v>11037</v>
      </c>
      <c r="C205" t="s">
        <v>11195</v>
      </c>
      <c r="D205" t="s">
        <v>11206</v>
      </c>
      <c r="E205" t="s">
        <v>5005</v>
      </c>
      <c r="F205" t="s">
        <v>11206</v>
      </c>
      <c r="G205" s="1">
        <v>1648</v>
      </c>
      <c r="H205" s="2">
        <v>115673.12</v>
      </c>
      <c r="I205" s="2">
        <v>158702.39999999999</v>
      </c>
      <c r="J205" s="2">
        <v>0</v>
      </c>
      <c r="K205" s="2">
        <v>0</v>
      </c>
      <c r="L205" s="2">
        <v>158702.39999999999</v>
      </c>
      <c r="M205" s="3">
        <v>9630</v>
      </c>
      <c r="N205" s="4">
        <v>3.6107000000000001E-4</v>
      </c>
      <c r="O205" s="5" t="s">
        <v>44</v>
      </c>
      <c r="P205" s="5" t="s">
        <v>44</v>
      </c>
      <c r="Q205" s="1"/>
      <c r="R205" s="2"/>
      <c r="S205" s="6"/>
      <c r="T205" t="s">
        <v>10902</v>
      </c>
      <c r="U205" t="s">
        <v>10902</v>
      </c>
      <c r="V205" t="s">
        <v>10902</v>
      </c>
      <c r="W205" t="s">
        <v>43</v>
      </c>
      <c r="X205" t="s">
        <v>11197</v>
      </c>
      <c r="Y205" t="s">
        <v>11198</v>
      </c>
      <c r="Z205" t="s">
        <v>11195</v>
      </c>
      <c r="AA205" t="s">
        <v>44</v>
      </c>
      <c r="AB205" t="s">
        <v>44</v>
      </c>
      <c r="AC205" s="4"/>
      <c r="AD205" s="4"/>
      <c r="AE205" s="2">
        <v>0</v>
      </c>
      <c r="AF205" s="4">
        <v>0</v>
      </c>
      <c r="AG205" s="2">
        <v>0.02</v>
      </c>
      <c r="AH205" s="2">
        <v>158702.39999999999</v>
      </c>
      <c r="AI205" s="2">
        <v>0</v>
      </c>
      <c r="AJ205" s="5">
        <v>44673</v>
      </c>
      <c r="AK205" t="s">
        <v>11262</v>
      </c>
      <c r="AL205" s="2">
        <v>0</v>
      </c>
      <c r="AM205" s="2">
        <v>0</v>
      </c>
      <c r="AN205" s="2">
        <v>0</v>
      </c>
      <c r="AO205" t="s">
        <v>44</v>
      </c>
      <c r="AP205" t="s">
        <v>11207</v>
      </c>
      <c r="AQ205" t="s">
        <v>5005</v>
      </c>
    </row>
    <row r="206" spans="1:43" x14ac:dyDescent="0.2">
      <c r="A206" t="s">
        <v>11259</v>
      </c>
      <c r="B206" t="s">
        <v>11037</v>
      </c>
      <c r="C206" t="s">
        <v>11195</v>
      </c>
      <c r="D206" t="s">
        <v>11337</v>
      </c>
      <c r="E206" t="s">
        <v>11338</v>
      </c>
      <c r="F206" t="s">
        <v>11339</v>
      </c>
      <c r="G206" s="1">
        <v>14096</v>
      </c>
      <c r="H206" s="2">
        <v>639292.79</v>
      </c>
      <c r="I206" s="2">
        <v>712975.68</v>
      </c>
      <c r="J206" s="2">
        <v>0</v>
      </c>
      <c r="K206" s="2">
        <v>0</v>
      </c>
      <c r="L206" s="2">
        <v>712975.68</v>
      </c>
      <c r="M206" s="3">
        <v>5058</v>
      </c>
      <c r="N206" s="4">
        <v>1.6221E-3</v>
      </c>
      <c r="O206" s="5" t="s">
        <v>44</v>
      </c>
      <c r="P206" s="5" t="s">
        <v>44</v>
      </c>
      <c r="Q206" s="1"/>
      <c r="R206" s="2"/>
      <c r="S206" s="6"/>
      <c r="T206" t="s">
        <v>10902</v>
      </c>
      <c r="U206" t="s">
        <v>10902</v>
      </c>
      <c r="V206" t="s">
        <v>10902</v>
      </c>
      <c r="W206" t="s">
        <v>43</v>
      </c>
      <c r="X206" t="s">
        <v>11327</v>
      </c>
      <c r="Y206" t="s">
        <v>11198</v>
      </c>
      <c r="Z206" t="s">
        <v>11195</v>
      </c>
      <c r="AA206" t="s">
        <v>44</v>
      </c>
      <c r="AB206" t="s">
        <v>44</v>
      </c>
      <c r="AC206" s="4"/>
      <c r="AD206" s="4"/>
      <c r="AE206" s="2">
        <v>0</v>
      </c>
      <c r="AF206" s="4">
        <v>0</v>
      </c>
      <c r="AG206" s="2">
        <v>0.11</v>
      </c>
      <c r="AH206" s="2">
        <v>712975.68</v>
      </c>
      <c r="AI206" s="2">
        <v>0</v>
      </c>
      <c r="AJ206" s="5">
        <v>44673</v>
      </c>
      <c r="AK206" t="s">
        <v>11262</v>
      </c>
      <c r="AL206" s="2">
        <v>0</v>
      </c>
      <c r="AM206" s="2">
        <v>0</v>
      </c>
      <c r="AN206" s="2">
        <v>0</v>
      </c>
      <c r="AO206" t="s">
        <v>44</v>
      </c>
      <c r="AP206" t="s">
        <v>11340</v>
      </c>
      <c r="AQ206" t="s">
        <v>11338</v>
      </c>
    </row>
    <row r="207" spans="1:43" x14ac:dyDescent="0.2">
      <c r="A207" t="s">
        <v>11259</v>
      </c>
      <c r="B207" t="s">
        <v>11037</v>
      </c>
      <c r="C207" t="s">
        <v>11195</v>
      </c>
      <c r="D207" t="s">
        <v>11341</v>
      </c>
      <c r="E207" t="s">
        <v>11342</v>
      </c>
      <c r="F207" t="s">
        <v>11341</v>
      </c>
      <c r="G207" s="1">
        <v>16538</v>
      </c>
      <c r="H207" s="2">
        <v>758831.71</v>
      </c>
      <c r="I207" s="2">
        <v>862622.08</v>
      </c>
      <c r="J207" s="2">
        <v>0</v>
      </c>
      <c r="K207" s="2">
        <v>0</v>
      </c>
      <c r="L207" s="2">
        <v>862622.08</v>
      </c>
      <c r="M207" s="3">
        <v>5216</v>
      </c>
      <c r="N207" s="4">
        <v>1.9625599999999999E-3</v>
      </c>
      <c r="O207" s="5" t="s">
        <v>44</v>
      </c>
      <c r="P207" s="5" t="s">
        <v>44</v>
      </c>
      <c r="Q207" s="1"/>
      <c r="R207" s="2"/>
      <c r="S207" s="6"/>
      <c r="T207" t="s">
        <v>10902</v>
      </c>
      <c r="U207" t="s">
        <v>10902</v>
      </c>
      <c r="V207" t="s">
        <v>10902</v>
      </c>
      <c r="W207" t="s">
        <v>43</v>
      </c>
      <c r="X207" t="s">
        <v>11327</v>
      </c>
      <c r="Y207" t="s">
        <v>11198</v>
      </c>
      <c r="Z207" t="s">
        <v>11195</v>
      </c>
      <c r="AA207" t="s">
        <v>44</v>
      </c>
      <c r="AB207" t="s">
        <v>44</v>
      </c>
      <c r="AC207" s="4"/>
      <c r="AD207" s="4"/>
      <c r="AE207" s="2">
        <v>0</v>
      </c>
      <c r="AF207" s="4">
        <v>0</v>
      </c>
      <c r="AG207" s="2">
        <v>0.13</v>
      </c>
      <c r="AH207" s="2">
        <v>862622.08</v>
      </c>
      <c r="AI207" s="2">
        <v>0</v>
      </c>
      <c r="AJ207" s="5">
        <v>44673</v>
      </c>
      <c r="AK207" t="s">
        <v>11262</v>
      </c>
      <c r="AL207" s="2">
        <v>0</v>
      </c>
      <c r="AM207" s="2">
        <v>0</v>
      </c>
      <c r="AN207" s="2">
        <v>0</v>
      </c>
      <c r="AO207" t="s">
        <v>44</v>
      </c>
      <c r="AP207" t="s">
        <v>11343</v>
      </c>
      <c r="AQ207" t="s">
        <v>11342</v>
      </c>
    </row>
    <row r="208" spans="1:43" x14ac:dyDescent="0.2">
      <c r="A208" t="s">
        <v>11259</v>
      </c>
      <c r="B208" t="s">
        <v>11037</v>
      </c>
      <c r="C208" t="s">
        <v>11195</v>
      </c>
      <c r="D208" t="s">
        <v>6128</v>
      </c>
      <c r="E208" t="s">
        <v>6759</v>
      </c>
      <c r="F208" t="s">
        <v>6128</v>
      </c>
      <c r="G208" s="1">
        <v>14415</v>
      </c>
      <c r="H208" s="2">
        <v>819748.11</v>
      </c>
      <c r="I208" s="2">
        <v>1391047.5</v>
      </c>
      <c r="J208" s="2">
        <v>0</v>
      </c>
      <c r="K208" s="2">
        <v>0</v>
      </c>
      <c r="L208" s="2">
        <v>1391047.5</v>
      </c>
      <c r="M208" s="3">
        <v>9650</v>
      </c>
      <c r="N208" s="4">
        <v>3.1647799999999999E-3</v>
      </c>
      <c r="O208" s="5" t="s">
        <v>44</v>
      </c>
      <c r="P208" s="5" t="s">
        <v>44</v>
      </c>
      <c r="Q208" s="1"/>
      <c r="R208" s="2"/>
      <c r="S208" s="6"/>
      <c r="T208" t="s">
        <v>10902</v>
      </c>
      <c r="U208" t="s">
        <v>10902</v>
      </c>
      <c r="V208" t="s">
        <v>10902</v>
      </c>
      <c r="W208" t="s">
        <v>43</v>
      </c>
      <c r="X208" t="s">
        <v>11327</v>
      </c>
      <c r="Y208" t="s">
        <v>11198</v>
      </c>
      <c r="Z208" t="s">
        <v>11195</v>
      </c>
      <c r="AA208" t="s">
        <v>44</v>
      </c>
      <c r="AB208" t="s">
        <v>44</v>
      </c>
      <c r="AC208" s="4"/>
      <c r="AD208" s="4"/>
      <c r="AE208" s="2">
        <v>0</v>
      </c>
      <c r="AF208" s="4">
        <v>0</v>
      </c>
      <c r="AG208" s="2">
        <v>0.21</v>
      </c>
      <c r="AH208" s="2">
        <v>1391047.5</v>
      </c>
      <c r="AI208" s="2">
        <v>0</v>
      </c>
      <c r="AJ208" s="5">
        <v>44673</v>
      </c>
      <c r="AK208" t="s">
        <v>11262</v>
      </c>
      <c r="AL208" s="2">
        <v>0</v>
      </c>
      <c r="AM208" s="2">
        <v>0</v>
      </c>
      <c r="AN208" s="2">
        <v>0</v>
      </c>
      <c r="AO208" t="s">
        <v>44</v>
      </c>
      <c r="AP208" t="s">
        <v>11344</v>
      </c>
      <c r="AQ208" t="s">
        <v>6759</v>
      </c>
    </row>
    <row r="209" spans="1:43" x14ac:dyDescent="0.2">
      <c r="A209" t="s">
        <v>11259</v>
      </c>
      <c r="B209" t="s">
        <v>11037</v>
      </c>
      <c r="C209" t="s">
        <v>11195</v>
      </c>
      <c r="D209" t="s">
        <v>11345</v>
      </c>
      <c r="E209" t="s">
        <v>5409</v>
      </c>
      <c r="F209" t="s">
        <v>11345</v>
      </c>
      <c r="G209" s="1">
        <v>97096</v>
      </c>
      <c r="H209" s="2">
        <v>2799203.33</v>
      </c>
      <c r="I209" s="2">
        <v>2679849.6</v>
      </c>
      <c r="J209" s="2">
        <v>0</v>
      </c>
      <c r="K209" s="2">
        <v>75987.23</v>
      </c>
      <c r="L209" s="2">
        <v>2755836.83</v>
      </c>
      <c r="M209" s="3">
        <v>2760</v>
      </c>
      <c r="N209" s="4">
        <v>6.2698299999999997E-3</v>
      </c>
      <c r="O209" s="5" t="s">
        <v>44</v>
      </c>
      <c r="P209" s="5" t="s">
        <v>44</v>
      </c>
      <c r="Q209" s="1"/>
      <c r="R209" s="2"/>
      <c r="S209" s="6"/>
      <c r="T209" t="s">
        <v>10902</v>
      </c>
      <c r="U209" t="s">
        <v>10902</v>
      </c>
      <c r="V209" t="s">
        <v>10902</v>
      </c>
      <c r="W209" t="s">
        <v>43</v>
      </c>
      <c r="X209" t="s">
        <v>11327</v>
      </c>
      <c r="Y209" t="s">
        <v>11198</v>
      </c>
      <c r="Z209" t="s">
        <v>11195</v>
      </c>
      <c r="AA209" t="s">
        <v>44</v>
      </c>
      <c r="AB209" t="s">
        <v>44</v>
      </c>
      <c r="AC209" s="4"/>
      <c r="AD209" s="4"/>
      <c r="AE209" s="2">
        <v>0</v>
      </c>
      <c r="AF209" s="4">
        <v>0</v>
      </c>
      <c r="AG209" s="2">
        <v>0.41</v>
      </c>
      <c r="AH209" s="2">
        <v>2755836.83</v>
      </c>
      <c r="AI209" s="2">
        <v>0.01</v>
      </c>
      <c r="AJ209" s="5">
        <v>44673</v>
      </c>
      <c r="AK209" t="s">
        <v>11262</v>
      </c>
      <c r="AL209" s="2">
        <v>0</v>
      </c>
      <c r="AM209" s="2">
        <v>0</v>
      </c>
      <c r="AN209" s="2">
        <v>0</v>
      </c>
      <c r="AO209" t="s">
        <v>44</v>
      </c>
      <c r="AP209" t="s">
        <v>11346</v>
      </c>
      <c r="AQ209" t="s">
        <v>5409</v>
      </c>
    </row>
    <row r="210" spans="1:43" x14ac:dyDescent="0.2">
      <c r="A210" t="s">
        <v>11259</v>
      </c>
      <c r="B210" t="s">
        <v>11037</v>
      </c>
      <c r="C210" t="s">
        <v>11195</v>
      </c>
      <c r="D210" t="s">
        <v>6263</v>
      </c>
      <c r="E210" t="s">
        <v>6850</v>
      </c>
      <c r="F210" t="s">
        <v>6263</v>
      </c>
      <c r="G210" s="1">
        <v>80214</v>
      </c>
      <c r="H210" s="2">
        <v>1590380.33</v>
      </c>
      <c r="I210" s="2">
        <v>2124868.86</v>
      </c>
      <c r="J210" s="2">
        <v>0</v>
      </c>
      <c r="K210" s="2">
        <v>132754.17000000001</v>
      </c>
      <c r="L210" s="2">
        <v>2257623.0299999998</v>
      </c>
      <c r="M210" s="3">
        <v>2649</v>
      </c>
      <c r="N210" s="4">
        <v>5.1363399999999997E-3</v>
      </c>
      <c r="O210" s="5" t="s">
        <v>44</v>
      </c>
      <c r="P210" s="5" t="s">
        <v>44</v>
      </c>
      <c r="Q210" s="1"/>
      <c r="R210" s="2"/>
      <c r="S210" s="6"/>
      <c r="T210" t="s">
        <v>10902</v>
      </c>
      <c r="U210" t="s">
        <v>10902</v>
      </c>
      <c r="V210" t="s">
        <v>10902</v>
      </c>
      <c r="W210" t="s">
        <v>43</v>
      </c>
      <c r="X210" t="s">
        <v>11347</v>
      </c>
      <c r="Y210" t="s">
        <v>11348</v>
      </c>
      <c r="Z210" t="s">
        <v>11195</v>
      </c>
      <c r="AA210" t="s">
        <v>44</v>
      </c>
      <c r="AB210" t="s">
        <v>44</v>
      </c>
      <c r="AC210" s="4"/>
      <c r="AD210" s="4"/>
      <c r="AE210" s="2">
        <v>0</v>
      </c>
      <c r="AF210" s="4">
        <v>0</v>
      </c>
      <c r="AG210" s="2">
        <v>0.33</v>
      </c>
      <c r="AH210" s="2">
        <v>2257623.0299999998</v>
      </c>
      <c r="AI210" s="2">
        <v>0.01</v>
      </c>
      <c r="AJ210" s="5">
        <v>44673</v>
      </c>
      <c r="AK210" t="s">
        <v>11262</v>
      </c>
      <c r="AL210" s="2">
        <v>0</v>
      </c>
      <c r="AM210" s="2">
        <v>0</v>
      </c>
      <c r="AN210" s="2">
        <v>0</v>
      </c>
      <c r="AO210" t="s">
        <v>44</v>
      </c>
      <c r="AP210" t="s">
        <v>11349</v>
      </c>
      <c r="AQ210" t="s">
        <v>6850</v>
      </c>
    </row>
    <row r="211" spans="1:43" x14ac:dyDescent="0.2">
      <c r="A211" t="s">
        <v>11259</v>
      </c>
      <c r="B211" t="s">
        <v>11037</v>
      </c>
      <c r="C211" t="s">
        <v>11195</v>
      </c>
      <c r="D211" t="s">
        <v>11208</v>
      </c>
      <c r="E211" t="s">
        <v>3160</v>
      </c>
      <c r="F211" t="s">
        <v>11208</v>
      </c>
      <c r="G211" s="1">
        <v>710983</v>
      </c>
      <c r="H211" s="2">
        <v>2232480.9</v>
      </c>
      <c r="I211" s="2">
        <v>3149654.69</v>
      </c>
      <c r="J211" s="2">
        <v>0</v>
      </c>
      <c r="K211" s="2">
        <v>0</v>
      </c>
      <c r="L211" s="2">
        <v>3149654.69</v>
      </c>
      <c r="M211" s="3">
        <v>443</v>
      </c>
      <c r="N211" s="4">
        <v>7.1657999999999999E-3</v>
      </c>
      <c r="O211" s="5" t="s">
        <v>44</v>
      </c>
      <c r="P211" s="5" t="s">
        <v>44</v>
      </c>
      <c r="Q211" s="1"/>
      <c r="R211" s="2"/>
      <c r="S211" s="6"/>
      <c r="T211" t="s">
        <v>10902</v>
      </c>
      <c r="U211" t="s">
        <v>10902</v>
      </c>
      <c r="V211" t="s">
        <v>10902</v>
      </c>
      <c r="W211" t="s">
        <v>43</v>
      </c>
      <c r="X211" t="s">
        <v>11197</v>
      </c>
      <c r="Y211" t="s">
        <v>11198</v>
      </c>
      <c r="Z211" t="s">
        <v>11195</v>
      </c>
      <c r="AA211" t="s">
        <v>44</v>
      </c>
      <c r="AB211" t="s">
        <v>44</v>
      </c>
      <c r="AC211" s="4"/>
      <c r="AD211" s="4"/>
      <c r="AE211" s="2">
        <v>0</v>
      </c>
      <c r="AF211" s="4">
        <v>0</v>
      </c>
      <c r="AG211" s="2">
        <v>0.47</v>
      </c>
      <c r="AH211" s="2">
        <v>3149654.69</v>
      </c>
      <c r="AI211" s="2">
        <v>0.01</v>
      </c>
      <c r="AJ211" s="5">
        <v>44673</v>
      </c>
      <c r="AK211" t="s">
        <v>11262</v>
      </c>
      <c r="AL211" s="2">
        <v>0</v>
      </c>
      <c r="AM211" s="2">
        <v>0</v>
      </c>
      <c r="AN211" s="2">
        <v>0</v>
      </c>
      <c r="AO211" t="s">
        <v>44</v>
      </c>
      <c r="AP211" t="s">
        <v>11209</v>
      </c>
      <c r="AQ211" t="s">
        <v>3160</v>
      </c>
    </row>
    <row r="212" spans="1:43" x14ac:dyDescent="0.2">
      <c r="A212" t="s">
        <v>11259</v>
      </c>
      <c r="B212" t="s">
        <v>11037</v>
      </c>
      <c r="C212" t="s">
        <v>11195</v>
      </c>
      <c r="D212" t="s">
        <v>11210</v>
      </c>
      <c r="E212" t="s">
        <v>3167</v>
      </c>
      <c r="F212" t="s">
        <v>11211</v>
      </c>
      <c r="G212" s="1">
        <v>42693</v>
      </c>
      <c r="H212" s="2">
        <v>1916280.88</v>
      </c>
      <c r="I212" s="2">
        <v>2497540.5</v>
      </c>
      <c r="J212" s="2">
        <v>0</v>
      </c>
      <c r="K212" s="2">
        <v>0</v>
      </c>
      <c r="L212" s="2">
        <v>2497540.5</v>
      </c>
      <c r="M212" s="3">
        <v>5850</v>
      </c>
      <c r="N212" s="4">
        <v>5.6821700000000003E-3</v>
      </c>
      <c r="O212" s="5" t="s">
        <v>44</v>
      </c>
      <c r="P212" s="5" t="s">
        <v>44</v>
      </c>
      <c r="Q212" s="1"/>
      <c r="R212" s="2"/>
      <c r="S212" s="6"/>
      <c r="T212" t="s">
        <v>10902</v>
      </c>
      <c r="U212" t="s">
        <v>10902</v>
      </c>
      <c r="V212" t="s">
        <v>11212</v>
      </c>
      <c r="W212" t="s">
        <v>43</v>
      </c>
      <c r="X212" t="s">
        <v>11197</v>
      </c>
      <c r="Y212" t="s">
        <v>11198</v>
      </c>
      <c r="Z212" t="s">
        <v>11195</v>
      </c>
      <c r="AA212" t="s">
        <v>44</v>
      </c>
      <c r="AB212" t="s">
        <v>44</v>
      </c>
      <c r="AC212" s="4"/>
      <c r="AD212" s="4"/>
      <c r="AE212" s="2">
        <v>0</v>
      </c>
      <c r="AF212" s="4">
        <v>0</v>
      </c>
      <c r="AG212" s="2">
        <v>0.37</v>
      </c>
      <c r="AH212" s="2">
        <v>2497540.5</v>
      </c>
      <c r="AI212" s="2">
        <v>0.01</v>
      </c>
      <c r="AJ212" s="5">
        <v>44673</v>
      </c>
      <c r="AK212" t="s">
        <v>11262</v>
      </c>
      <c r="AL212" s="2">
        <v>0</v>
      </c>
      <c r="AM212" s="2">
        <v>0</v>
      </c>
      <c r="AN212" s="2">
        <v>0</v>
      </c>
      <c r="AO212" t="s">
        <v>44</v>
      </c>
      <c r="AP212" t="s">
        <v>11213</v>
      </c>
      <c r="AQ212" t="s">
        <v>3167</v>
      </c>
    </row>
    <row r="213" spans="1:43" x14ac:dyDescent="0.2">
      <c r="A213" t="s">
        <v>11259</v>
      </c>
      <c r="B213" t="s">
        <v>11037</v>
      </c>
      <c r="C213" t="s">
        <v>11195</v>
      </c>
      <c r="D213" t="s">
        <v>6379</v>
      </c>
      <c r="E213" t="s">
        <v>5199</v>
      </c>
      <c r="F213" t="s">
        <v>6379</v>
      </c>
      <c r="G213" s="1">
        <v>3662</v>
      </c>
      <c r="H213" s="2">
        <v>930948.71</v>
      </c>
      <c r="I213" s="2">
        <v>1069304</v>
      </c>
      <c r="J213" s="2">
        <v>0</v>
      </c>
      <c r="K213" s="2">
        <v>0</v>
      </c>
      <c r="L213" s="2">
        <v>1069304</v>
      </c>
      <c r="M213" s="3">
        <v>29200</v>
      </c>
      <c r="N213" s="4">
        <v>2.4327799999999998E-3</v>
      </c>
      <c r="O213" s="5" t="s">
        <v>44</v>
      </c>
      <c r="P213" s="5" t="s">
        <v>44</v>
      </c>
      <c r="Q213" s="1"/>
      <c r="R213" s="2"/>
      <c r="S213" s="6"/>
      <c r="T213" t="s">
        <v>10902</v>
      </c>
      <c r="U213" t="s">
        <v>10902</v>
      </c>
      <c r="V213" t="s">
        <v>10902</v>
      </c>
      <c r="W213" t="s">
        <v>43</v>
      </c>
      <c r="X213" t="s">
        <v>11350</v>
      </c>
      <c r="Y213" t="s">
        <v>11335</v>
      </c>
      <c r="Z213" t="s">
        <v>11195</v>
      </c>
      <c r="AA213" t="s">
        <v>44</v>
      </c>
      <c r="AB213" t="s">
        <v>44</v>
      </c>
      <c r="AC213" s="4"/>
      <c r="AD213" s="4"/>
      <c r="AE213" s="2">
        <v>0</v>
      </c>
      <c r="AF213" s="4">
        <v>0</v>
      </c>
      <c r="AG213" s="2">
        <v>0.16</v>
      </c>
      <c r="AH213" s="2">
        <v>1069304</v>
      </c>
      <c r="AI213" s="2">
        <v>0</v>
      </c>
      <c r="AJ213" s="5">
        <v>44673</v>
      </c>
      <c r="AK213" t="s">
        <v>11262</v>
      </c>
      <c r="AL213" s="2">
        <v>0</v>
      </c>
      <c r="AM213" s="2">
        <v>0</v>
      </c>
      <c r="AN213" s="2">
        <v>0</v>
      </c>
      <c r="AO213" t="s">
        <v>44</v>
      </c>
      <c r="AP213" t="s">
        <v>11351</v>
      </c>
      <c r="AQ213" t="s">
        <v>5199</v>
      </c>
    </row>
    <row r="214" spans="1:43" x14ac:dyDescent="0.2">
      <c r="A214" t="s">
        <v>11259</v>
      </c>
      <c r="B214" t="s">
        <v>11037</v>
      </c>
      <c r="C214" t="s">
        <v>11195</v>
      </c>
      <c r="D214" t="s">
        <v>6710</v>
      </c>
      <c r="E214" t="s">
        <v>1780</v>
      </c>
      <c r="F214" t="s">
        <v>6710</v>
      </c>
      <c r="G214" s="1">
        <v>28000</v>
      </c>
      <c r="H214" s="2">
        <v>797974.35</v>
      </c>
      <c r="I214" s="2">
        <v>666400</v>
      </c>
      <c r="J214" s="2">
        <v>0</v>
      </c>
      <c r="K214" s="2">
        <v>0</v>
      </c>
      <c r="L214" s="2">
        <v>666400</v>
      </c>
      <c r="M214" s="3">
        <v>2380</v>
      </c>
      <c r="N214" s="4">
        <v>1.5161300000000001E-3</v>
      </c>
      <c r="O214" s="5" t="s">
        <v>44</v>
      </c>
      <c r="P214" s="5" t="s">
        <v>44</v>
      </c>
      <c r="Q214" s="1"/>
      <c r="R214" s="2"/>
      <c r="S214" s="6"/>
      <c r="T214" t="s">
        <v>10902</v>
      </c>
      <c r="U214" t="s">
        <v>10902</v>
      </c>
      <c r="V214" t="s">
        <v>10902</v>
      </c>
      <c r="W214" t="s">
        <v>43</v>
      </c>
      <c r="X214" t="s">
        <v>11197</v>
      </c>
      <c r="Y214" t="s">
        <v>11198</v>
      </c>
      <c r="Z214" t="s">
        <v>11195</v>
      </c>
      <c r="AA214" t="s">
        <v>44</v>
      </c>
      <c r="AB214" t="s">
        <v>44</v>
      </c>
      <c r="AC214" s="4"/>
      <c r="AD214" s="4"/>
      <c r="AE214" s="2">
        <v>0</v>
      </c>
      <c r="AF214" s="4">
        <v>0</v>
      </c>
      <c r="AG214" s="2">
        <v>0.1</v>
      </c>
      <c r="AH214" s="2">
        <v>666400</v>
      </c>
      <c r="AI214" s="2">
        <v>0</v>
      </c>
      <c r="AJ214" s="5">
        <v>44673</v>
      </c>
      <c r="AK214" t="s">
        <v>11262</v>
      </c>
      <c r="AL214" s="2">
        <v>0</v>
      </c>
      <c r="AM214" s="2">
        <v>0</v>
      </c>
      <c r="AN214" s="2">
        <v>0</v>
      </c>
      <c r="AO214" t="s">
        <v>44</v>
      </c>
      <c r="AP214" t="s">
        <v>11214</v>
      </c>
      <c r="AQ214" t="s">
        <v>1780</v>
      </c>
    </row>
    <row r="215" spans="1:43" x14ac:dyDescent="0.2">
      <c r="A215" t="s">
        <v>11259</v>
      </c>
      <c r="B215" t="s">
        <v>11037</v>
      </c>
      <c r="C215" t="s">
        <v>11195</v>
      </c>
      <c r="D215" t="s">
        <v>5876</v>
      </c>
      <c r="E215" t="s">
        <v>4893</v>
      </c>
      <c r="F215" t="s">
        <v>5876</v>
      </c>
      <c r="G215" s="1">
        <v>5238</v>
      </c>
      <c r="H215" s="2">
        <v>414114.73</v>
      </c>
      <c r="I215" s="2">
        <v>895383.72</v>
      </c>
      <c r="J215" s="2">
        <v>0</v>
      </c>
      <c r="K215" s="2">
        <v>0</v>
      </c>
      <c r="L215" s="2">
        <v>895383.72</v>
      </c>
      <c r="M215" s="3">
        <v>17094</v>
      </c>
      <c r="N215" s="4">
        <v>2.0370900000000001E-3</v>
      </c>
      <c r="O215" s="5" t="s">
        <v>44</v>
      </c>
      <c r="P215" s="5" t="s">
        <v>44</v>
      </c>
      <c r="Q215" s="1"/>
      <c r="R215" s="2"/>
      <c r="S215" s="6"/>
      <c r="T215" t="s">
        <v>10902</v>
      </c>
      <c r="U215" t="s">
        <v>10902</v>
      </c>
      <c r="V215" t="s">
        <v>10902</v>
      </c>
      <c r="W215" t="s">
        <v>43</v>
      </c>
      <c r="X215" t="s">
        <v>11034</v>
      </c>
      <c r="Y215" t="s">
        <v>11034</v>
      </c>
      <c r="Z215" t="s">
        <v>11195</v>
      </c>
      <c r="AA215" t="s">
        <v>44</v>
      </c>
      <c r="AB215" t="s">
        <v>44</v>
      </c>
      <c r="AC215" s="4"/>
      <c r="AD215" s="4"/>
      <c r="AE215" s="2">
        <v>0</v>
      </c>
      <c r="AF215" s="4">
        <v>0</v>
      </c>
      <c r="AG215" s="2">
        <v>0.13</v>
      </c>
      <c r="AH215" s="2">
        <v>895383.72</v>
      </c>
      <c r="AI215" s="2">
        <v>0</v>
      </c>
      <c r="AJ215" s="5">
        <v>44673</v>
      </c>
      <c r="AK215" t="s">
        <v>11262</v>
      </c>
      <c r="AL215" s="2">
        <v>0</v>
      </c>
      <c r="AM215" s="2">
        <v>0</v>
      </c>
      <c r="AN215" s="2">
        <v>0</v>
      </c>
      <c r="AO215" t="s">
        <v>44</v>
      </c>
      <c r="AP215" t="s">
        <v>11352</v>
      </c>
      <c r="AQ215" t="s">
        <v>4893</v>
      </c>
    </row>
    <row r="216" spans="1:43" x14ac:dyDescent="0.2">
      <c r="A216" t="s">
        <v>11259</v>
      </c>
      <c r="B216" t="s">
        <v>11037</v>
      </c>
      <c r="C216" t="s">
        <v>11195</v>
      </c>
      <c r="D216" t="s">
        <v>11353</v>
      </c>
      <c r="E216" t="s">
        <v>5706</v>
      </c>
      <c r="F216" t="s">
        <v>11353</v>
      </c>
      <c r="G216" s="1">
        <v>57341</v>
      </c>
      <c r="H216" s="2">
        <v>1633438.25</v>
      </c>
      <c r="I216" s="2">
        <v>2867050</v>
      </c>
      <c r="J216" s="2">
        <v>0</v>
      </c>
      <c r="K216" s="2">
        <v>0</v>
      </c>
      <c r="L216" s="2">
        <v>2867050</v>
      </c>
      <c r="M216" s="3">
        <v>5000</v>
      </c>
      <c r="N216" s="4">
        <v>6.5228500000000002E-3</v>
      </c>
      <c r="O216" s="5" t="s">
        <v>44</v>
      </c>
      <c r="P216" s="5" t="s">
        <v>44</v>
      </c>
      <c r="Q216" s="1"/>
      <c r="R216" s="2"/>
      <c r="S216" s="6"/>
      <c r="T216" t="s">
        <v>10902</v>
      </c>
      <c r="U216" t="s">
        <v>10902</v>
      </c>
      <c r="V216" t="s">
        <v>10902</v>
      </c>
      <c r="W216" t="s">
        <v>43</v>
      </c>
      <c r="X216" t="s">
        <v>11327</v>
      </c>
      <c r="Y216" t="s">
        <v>11198</v>
      </c>
      <c r="Z216" t="s">
        <v>11195</v>
      </c>
      <c r="AA216" t="s">
        <v>44</v>
      </c>
      <c r="AB216" t="s">
        <v>44</v>
      </c>
      <c r="AC216" s="4"/>
      <c r="AD216" s="4"/>
      <c r="AE216" s="2">
        <v>0</v>
      </c>
      <c r="AF216" s="4">
        <v>0</v>
      </c>
      <c r="AG216" s="2">
        <v>0.42</v>
      </c>
      <c r="AH216" s="2">
        <v>2867050</v>
      </c>
      <c r="AI216" s="2">
        <v>0.01</v>
      </c>
      <c r="AJ216" s="5">
        <v>44673</v>
      </c>
      <c r="AK216" t="s">
        <v>11262</v>
      </c>
      <c r="AL216" s="2">
        <v>0</v>
      </c>
      <c r="AM216" s="2">
        <v>0</v>
      </c>
      <c r="AN216" s="2">
        <v>0</v>
      </c>
      <c r="AO216" t="s">
        <v>44</v>
      </c>
      <c r="AP216" t="s">
        <v>11354</v>
      </c>
      <c r="AQ216" t="s">
        <v>5706</v>
      </c>
    </row>
    <row r="217" spans="1:43" x14ac:dyDescent="0.2">
      <c r="A217" t="s">
        <v>11259</v>
      </c>
      <c r="B217" t="s">
        <v>11037</v>
      </c>
      <c r="C217" t="s">
        <v>11195</v>
      </c>
      <c r="D217" t="s">
        <v>6348</v>
      </c>
      <c r="E217" t="s">
        <v>5241</v>
      </c>
      <c r="F217" t="s">
        <v>6348</v>
      </c>
      <c r="G217" s="1">
        <v>78035</v>
      </c>
      <c r="H217" s="2">
        <v>544441.81000000006</v>
      </c>
      <c r="I217" s="2">
        <v>1045669</v>
      </c>
      <c r="J217" s="2">
        <v>0</v>
      </c>
      <c r="K217" s="2">
        <v>0</v>
      </c>
      <c r="L217" s="2">
        <v>1045669</v>
      </c>
      <c r="M217" s="3">
        <v>1340</v>
      </c>
      <c r="N217" s="4">
        <v>2.37901E-3</v>
      </c>
      <c r="O217" s="5" t="s">
        <v>44</v>
      </c>
      <c r="P217" s="5" t="s">
        <v>44</v>
      </c>
      <c r="Q217" s="1"/>
      <c r="R217" s="2"/>
      <c r="S217" s="6"/>
      <c r="T217" t="s">
        <v>10902</v>
      </c>
      <c r="U217" t="s">
        <v>10902</v>
      </c>
      <c r="V217" t="s">
        <v>10902</v>
      </c>
      <c r="W217" t="s">
        <v>43</v>
      </c>
      <c r="X217" t="s">
        <v>11197</v>
      </c>
      <c r="Y217" t="s">
        <v>11198</v>
      </c>
      <c r="Z217" t="s">
        <v>11195</v>
      </c>
      <c r="AA217" t="s">
        <v>44</v>
      </c>
      <c r="AB217" t="s">
        <v>44</v>
      </c>
      <c r="AC217" s="4"/>
      <c r="AD217" s="4"/>
      <c r="AE217" s="2">
        <v>0</v>
      </c>
      <c r="AF217" s="4">
        <v>0</v>
      </c>
      <c r="AG217" s="2">
        <v>0.15</v>
      </c>
      <c r="AH217" s="2">
        <v>1045669</v>
      </c>
      <c r="AI217" s="2">
        <v>0</v>
      </c>
      <c r="AJ217" s="5">
        <v>44673</v>
      </c>
      <c r="AK217" t="s">
        <v>11262</v>
      </c>
      <c r="AL217" s="2">
        <v>0</v>
      </c>
      <c r="AM217" s="2">
        <v>0</v>
      </c>
      <c r="AN217" s="2">
        <v>0</v>
      </c>
      <c r="AO217" t="s">
        <v>44</v>
      </c>
      <c r="AP217" t="s">
        <v>11215</v>
      </c>
      <c r="AQ217" t="s">
        <v>5241</v>
      </c>
    </row>
    <row r="218" spans="1:43" x14ac:dyDescent="0.2">
      <c r="A218" t="s">
        <v>11259</v>
      </c>
      <c r="B218" t="s">
        <v>11037</v>
      </c>
      <c r="C218" t="s">
        <v>11355</v>
      </c>
      <c r="D218" t="s">
        <v>11356</v>
      </c>
      <c r="E218" t="s">
        <v>4971</v>
      </c>
      <c r="F218" t="s">
        <v>6192</v>
      </c>
      <c r="G218" s="1">
        <v>94951</v>
      </c>
      <c r="H218" s="2">
        <v>1528327.63</v>
      </c>
      <c r="I218" s="2">
        <v>2139246.0299999998</v>
      </c>
      <c r="J218" s="2">
        <v>0</v>
      </c>
      <c r="K218" s="2">
        <v>0</v>
      </c>
      <c r="L218" s="2">
        <v>2139246.0299999998</v>
      </c>
      <c r="M218" s="3">
        <v>2253</v>
      </c>
      <c r="N218" s="4">
        <v>4.8670199999999997E-3</v>
      </c>
      <c r="O218" s="5" t="s">
        <v>44</v>
      </c>
      <c r="P218" s="5" t="s">
        <v>44</v>
      </c>
      <c r="Q218" s="1"/>
      <c r="R218" s="2"/>
      <c r="S218" s="6"/>
      <c r="T218" t="s">
        <v>10902</v>
      </c>
      <c r="U218" t="s">
        <v>10902</v>
      </c>
      <c r="V218" t="s">
        <v>10902</v>
      </c>
      <c r="W218" t="s">
        <v>43</v>
      </c>
      <c r="X218" t="s">
        <v>11357</v>
      </c>
      <c r="Y218" t="s">
        <v>11358</v>
      </c>
      <c r="Z218" t="s">
        <v>11355</v>
      </c>
      <c r="AA218" t="s">
        <v>44</v>
      </c>
      <c r="AB218" t="s">
        <v>44</v>
      </c>
      <c r="AC218" s="4"/>
      <c r="AD218" s="4"/>
      <c r="AE218" s="2">
        <v>0</v>
      </c>
      <c r="AF218" s="4">
        <v>0</v>
      </c>
      <c r="AG218" s="2">
        <v>0.32</v>
      </c>
      <c r="AH218" s="2">
        <v>2139246.0299999998</v>
      </c>
      <c r="AI218" s="2">
        <v>0</v>
      </c>
      <c r="AJ218" s="5">
        <v>44673</v>
      </c>
      <c r="AK218" t="s">
        <v>11262</v>
      </c>
      <c r="AL218" s="2">
        <v>0</v>
      </c>
      <c r="AM218" s="2">
        <v>0</v>
      </c>
      <c r="AN218" s="2">
        <v>0</v>
      </c>
      <c r="AO218" t="s">
        <v>44</v>
      </c>
      <c r="AP218" t="s">
        <v>11359</v>
      </c>
      <c r="AQ218" t="s">
        <v>4971</v>
      </c>
    </row>
    <row r="219" spans="1:43" x14ac:dyDescent="0.2">
      <c r="A219" t="s">
        <v>11259</v>
      </c>
      <c r="B219" t="s">
        <v>11037</v>
      </c>
      <c r="C219" t="s">
        <v>11355</v>
      </c>
      <c r="D219" t="s">
        <v>11360</v>
      </c>
      <c r="E219" t="s">
        <v>4991</v>
      </c>
      <c r="F219" t="s">
        <v>11360</v>
      </c>
      <c r="G219" s="1">
        <v>36497</v>
      </c>
      <c r="H219" s="2">
        <v>2253879.2200000002</v>
      </c>
      <c r="I219" s="2">
        <v>2760268.11</v>
      </c>
      <c r="J219" s="2">
        <v>0</v>
      </c>
      <c r="K219" s="2">
        <v>0</v>
      </c>
      <c r="L219" s="2">
        <v>2760268.11</v>
      </c>
      <c r="M219" s="3">
        <v>7563</v>
      </c>
      <c r="N219" s="4">
        <v>6.2799099999999997E-3</v>
      </c>
      <c r="O219" s="5" t="s">
        <v>44</v>
      </c>
      <c r="P219" s="5" t="s">
        <v>44</v>
      </c>
      <c r="Q219" s="1"/>
      <c r="R219" s="2"/>
      <c r="S219" s="6"/>
      <c r="T219" t="s">
        <v>10902</v>
      </c>
      <c r="U219" t="s">
        <v>10902</v>
      </c>
      <c r="V219" t="s">
        <v>10902</v>
      </c>
      <c r="W219" t="s">
        <v>43</v>
      </c>
      <c r="X219" t="s">
        <v>11357</v>
      </c>
      <c r="Y219" t="s">
        <v>11358</v>
      </c>
      <c r="Z219" t="s">
        <v>11355</v>
      </c>
      <c r="AA219" t="s">
        <v>44</v>
      </c>
      <c r="AB219" t="s">
        <v>44</v>
      </c>
      <c r="AC219" s="4"/>
      <c r="AD219" s="4"/>
      <c r="AE219" s="2">
        <v>0</v>
      </c>
      <c r="AF219" s="4">
        <v>0</v>
      </c>
      <c r="AG219" s="2">
        <v>0.41</v>
      </c>
      <c r="AH219" s="2">
        <v>2760268.11</v>
      </c>
      <c r="AI219" s="2">
        <v>0.01</v>
      </c>
      <c r="AJ219" s="5">
        <v>44673</v>
      </c>
      <c r="AK219" t="s">
        <v>11262</v>
      </c>
      <c r="AL219" s="2">
        <v>0</v>
      </c>
      <c r="AM219" s="2">
        <v>0</v>
      </c>
      <c r="AN219" s="2">
        <v>0</v>
      </c>
      <c r="AO219" t="s">
        <v>44</v>
      </c>
      <c r="AP219" t="s">
        <v>11361</v>
      </c>
      <c r="AQ219" t="s">
        <v>4991</v>
      </c>
    </row>
    <row r="220" spans="1:43" x14ac:dyDescent="0.2">
      <c r="A220" t="s">
        <v>11259</v>
      </c>
      <c r="B220" t="s">
        <v>11037</v>
      </c>
      <c r="C220" t="s">
        <v>11355</v>
      </c>
      <c r="D220" t="s">
        <v>11362</v>
      </c>
      <c r="E220" t="s">
        <v>4862</v>
      </c>
      <c r="F220" t="s">
        <v>11362</v>
      </c>
      <c r="G220" s="1">
        <v>125460</v>
      </c>
      <c r="H220" s="2">
        <v>1677216.21</v>
      </c>
      <c r="I220" s="2">
        <v>2007360</v>
      </c>
      <c r="J220" s="2">
        <v>0</v>
      </c>
      <c r="K220" s="2">
        <v>0</v>
      </c>
      <c r="L220" s="2">
        <v>2007360</v>
      </c>
      <c r="M220" s="3">
        <v>1600</v>
      </c>
      <c r="N220" s="4">
        <v>4.5669600000000001E-3</v>
      </c>
      <c r="O220" s="5" t="s">
        <v>44</v>
      </c>
      <c r="P220" s="5" t="s">
        <v>44</v>
      </c>
      <c r="Q220" s="1"/>
      <c r="R220" s="2"/>
      <c r="S220" s="6"/>
      <c r="T220" t="s">
        <v>10902</v>
      </c>
      <c r="U220" t="s">
        <v>10902</v>
      </c>
      <c r="V220" t="s">
        <v>10902</v>
      </c>
      <c r="W220" t="s">
        <v>43</v>
      </c>
      <c r="X220" t="s">
        <v>11357</v>
      </c>
      <c r="Y220" t="s">
        <v>11358</v>
      </c>
      <c r="Z220" t="s">
        <v>11355</v>
      </c>
      <c r="AA220" t="s">
        <v>44</v>
      </c>
      <c r="AB220" t="s">
        <v>44</v>
      </c>
      <c r="AC220" s="4"/>
      <c r="AD220" s="4"/>
      <c r="AE220" s="2">
        <v>0</v>
      </c>
      <c r="AF220" s="4">
        <v>0</v>
      </c>
      <c r="AG220" s="2">
        <v>0.3</v>
      </c>
      <c r="AH220" s="2">
        <v>2007360</v>
      </c>
      <c r="AI220" s="2">
        <v>0</v>
      </c>
      <c r="AJ220" s="5">
        <v>44673</v>
      </c>
      <c r="AK220" t="s">
        <v>11262</v>
      </c>
      <c r="AL220" s="2">
        <v>0</v>
      </c>
      <c r="AM220" s="2">
        <v>0</v>
      </c>
      <c r="AN220" s="2">
        <v>0</v>
      </c>
      <c r="AO220" t="s">
        <v>44</v>
      </c>
      <c r="AP220" t="s">
        <v>11363</v>
      </c>
      <c r="AQ220" t="s">
        <v>4862</v>
      </c>
    </row>
    <row r="221" spans="1:43" x14ac:dyDescent="0.2">
      <c r="A221" t="s">
        <v>11259</v>
      </c>
      <c r="B221" t="s">
        <v>11037</v>
      </c>
      <c r="C221" t="s">
        <v>11364</v>
      </c>
      <c r="D221" t="s">
        <v>11365</v>
      </c>
      <c r="E221" t="s">
        <v>5762</v>
      </c>
      <c r="F221" t="s">
        <v>11365</v>
      </c>
      <c r="G221" s="1">
        <v>26354</v>
      </c>
      <c r="H221" s="2">
        <v>779941.19</v>
      </c>
      <c r="I221" s="2">
        <v>207405.98</v>
      </c>
      <c r="J221" s="2">
        <v>0</v>
      </c>
      <c r="K221" s="2">
        <v>0</v>
      </c>
      <c r="L221" s="2">
        <v>207405.98</v>
      </c>
      <c r="M221" s="3">
        <v>787</v>
      </c>
      <c r="N221" s="4">
        <v>4.7186999999999999E-4</v>
      </c>
      <c r="O221" s="5" t="s">
        <v>44</v>
      </c>
      <c r="P221" s="5" t="s">
        <v>44</v>
      </c>
      <c r="Q221" s="1"/>
      <c r="R221" s="2"/>
      <c r="S221" s="6"/>
      <c r="T221" t="s">
        <v>10902</v>
      </c>
      <c r="U221" t="s">
        <v>10902</v>
      </c>
      <c r="V221" t="s">
        <v>10902</v>
      </c>
      <c r="W221" t="s">
        <v>43</v>
      </c>
      <c r="X221" t="s">
        <v>11366</v>
      </c>
      <c r="Y221" t="s">
        <v>11367</v>
      </c>
      <c r="Z221" t="s">
        <v>11364</v>
      </c>
      <c r="AA221" t="s">
        <v>44</v>
      </c>
      <c r="AB221" t="s">
        <v>44</v>
      </c>
      <c r="AC221" s="4"/>
      <c r="AD221" s="4"/>
      <c r="AE221" s="2">
        <v>0</v>
      </c>
      <c r="AF221" s="4">
        <v>0</v>
      </c>
      <c r="AG221" s="2">
        <v>0.03</v>
      </c>
      <c r="AH221" s="2">
        <v>207405.98</v>
      </c>
      <c r="AI221" s="2">
        <v>0</v>
      </c>
      <c r="AJ221" s="5">
        <v>44673</v>
      </c>
      <c r="AK221" t="s">
        <v>11262</v>
      </c>
      <c r="AL221" s="2">
        <v>0</v>
      </c>
      <c r="AM221" s="2">
        <v>0</v>
      </c>
      <c r="AN221" s="2">
        <v>0</v>
      </c>
      <c r="AO221" t="s">
        <v>44</v>
      </c>
      <c r="AP221" t="s">
        <v>11368</v>
      </c>
      <c r="AQ221" t="s">
        <v>5762</v>
      </c>
    </row>
    <row r="222" spans="1:43" x14ac:dyDescent="0.2">
      <c r="A222" t="s">
        <v>11259</v>
      </c>
      <c r="B222" t="s">
        <v>11037</v>
      </c>
      <c r="C222" t="s">
        <v>11364</v>
      </c>
      <c r="D222" t="s">
        <v>6240</v>
      </c>
      <c r="E222" t="s">
        <v>5065</v>
      </c>
      <c r="F222" t="s">
        <v>6240</v>
      </c>
      <c r="G222" s="1">
        <v>18071</v>
      </c>
      <c r="H222" s="2">
        <v>1340106.1000000001</v>
      </c>
      <c r="I222" s="2">
        <v>2089911.15</v>
      </c>
      <c r="J222" s="2">
        <v>0</v>
      </c>
      <c r="K222" s="2">
        <v>0</v>
      </c>
      <c r="L222" s="2">
        <v>2089911.15</v>
      </c>
      <c r="M222" s="3">
        <v>11565</v>
      </c>
      <c r="N222" s="4">
        <v>4.7547700000000002E-3</v>
      </c>
      <c r="O222" s="5" t="s">
        <v>44</v>
      </c>
      <c r="P222" s="5" t="s">
        <v>44</v>
      </c>
      <c r="Q222" s="1"/>
      <c r="R222" s="2"/>
      <c r="S222" s="6"/>
      <c r="T222" t="s">
        <v>10902</v>
      </c>
      <c r="U222" t="s">
        <v>10902</v>
      </c>
      <c r="V222" t="s">
        <v>10902</v>
      </c>
      <c r="W222" t="s">
        <v>43</v>
      </c>
      <c r="X222" t="s">
        <v>11369</v>
      </c>
      <c r="Y222" t="s">
        <v>11367</v>
      </c>
      <c r="Z222" t="s">
        <v>11364</v>
      </c>
      <c r="AA222" t="s">
        <v>44</v>
      </c>
      <c r="AB222" t="s">
        <v>44</v>
      </c>
      <c r="AC222" s="4"/>
      <c r="AD222" s="4"/>
      <c r="AE222" s="2">
        <v>0</v>
      </c>
      <c r="AF222" s="4">
        <v>0</v>
      </c>
      <c r="AG222" s="2">
        <v>0.31</v>
      </c>
      <c r="AH222" s="2">
        <v>2089911.15</v>
      </c>
      <c r="AI222" s="2">
        <v>0</v>
      </c>
      <c r="AJ222" s="5">
        <v>44673</v>
      </c>
      <c r="AK222" t="s">
        <v>11262</v>
      </c>
      <c r="AL222" s="2">
        <v>0</v>
      </c>
      <c r="AM222" s="2">
        <v>0</v>
      </c>
      <c r="AN222" s="2">
        <v>0</v>
      </c>
      <c r="AO222" t="s">
        <v>44</v>
      </c>
      <c r="AP222" t="s">
        <v>11370</v>
      </c>
      <c r="AQ222" t="s">
        <v>5065</v>
      </c>
    </row>
    <row r="223" spans="1:43" x14ac:dyDescent="0.2">
      <c r="A223" t="s">
        <v>11259</v>
      </c>
      <c r="B223" t="s">
        <v>11037</v>
      </c>
      <c r="C223" t="s">
        <v>11364</v>
      </c>
      <c r="D223" t="s">
        <v>11371</v>
      </c>
      <c r="E223" t="s">
        <v>5127</v>
      </c>
      <c r="F223" t="s">
        <v>11371</v>
      </c>
      <c r="G223" s="1">
        <v>235488</v>
      </c>
      <c r="H223" s="2">
        <v>647275.61</v>
      </c>
      <c r="I223" s="2">
        <v>1212763.2</v>
      </c>
      <c r="J223" s="2">
        <v>0</v>
      </c>
      <c r="K223" s="2">
        <v>0</v>
      </c>
      <c r="L223" s="2">
        <v>1212763.2</v>
      </c>
      <c r="M223" s="3">
        <v>515</v>
      </c>
      <c r="N223" s="4">
        <v>2.75917E-3</v>
      </c>
      <c r="O223" s="5" t="s">
        <v>44</v>
      </c>
      <c r="P223" s="5" t="s">
        <v>44</v>
      </c>
      <c r="Q223" s="1"/>
      <c r="R223" s="2"/>
      <c r="S223" s="6"/>
      <c r="T223" t="s">
        <v>10902</v>
      </c>
      <c r="U223" t="s">
        <v>10902</v>
      </c>
      <c r="V223" t="s">
        <v>10902</v>
      </c>
      <c r="W223" t="s">
        <v>43</v>
      </c>
      <c r="X223" t="s">
        <v>11369</v>
      </c>
      <c r="Y223" t="s">
        <v>11367</v>
      </c>
      <c r="Z223" t="s">
        <v>11364</v>
      </c>
      <c r="AA223" t="s">
        <v>44</v>
      </c>
      <c r="AB223" t="s">
        <v>44</v>
      </c>
      <c r="AC223" s="4"/>
      <c r="AD223" s="4"/>
      <c r="AE223" s="2">
        <v>0</v>
      </c>
      <c r="AF223" s="4">
        <v>0</v>
      </c>
      <c r="AG223" s="2">
        <v>0.18</v>
      </c>
      <c r="AH223" s="2">
        <v>1212763.2</v>
      </c>
      <c r="AI223" s="2">
        <v>0</v>
      </c>
      <c r="AJ223" s="5">
        <v>44673</v>
      </c>
      <c r="AK223" t="s">
        <v>11262</v>
      </c>
      <c r="AL223" s="2">
        <v>0</v>
      </c>
      <c r="AM223" s="2">
        <v>0</v>
      </c>
      <c r="AN223" s="2">
        <v>0</v>
      </c>
      <c r="AO223" t="s">
        <v>44</v>
      </c>
      <c r="AP223" t="s">
        <v>11372</v>
      </c>
      <c r="AQ223" t="s">
        <v>5127</v>
      </c>
    </row>
    <row r="224" spans="1:43" x14ac:dyDescent="0.2">
      <c r="A224" t="s">
        <v>11259</v>
      </c>
      <c r="B224" t="s">
        <v>11037</v>
      </c>
      <c r="C224" t="s">
        <v>11364</v>
      </c>
      <c r="D224" t="s">
        <v>6915</v>
      </c>
      <c r="E224" t="s">
        <v>5570</v>
      </c>
      <c r="F224" t="s">
        <v>6915</v>
      </c>
      <c r="G224" s="1">
        <v>17000</v>
      </c>
      <c r="H224" s="2">
        <v>717173.42</v>
      </c>
      <c r="I224" s="2">
        <v>682040</v>
      </c>
      <c r="J224" s="2">
        <v>0</v>
      </c>
      <c r="K224" s="2">
        <v>0</v>
      </c>
      <c r="L224" s="2">
        <v>682040</v>
      </c>
      <c r="M224" s="3">
        <v>4012</v>
      </c>
      <c r="N224" s="4">
        <v>1.55171E-3</v>
      </c>
      <c r="O224" s="5" t="s">
        <v>44</v>
      </c>
      <c r="P224" s="5" t="s">
        <v>44</v>
      </c>
      <c r="Q224" s="1"/>
      <c r="R224" s="2"/>
      <c r="S224" s="6"/>
      <c r="T224" t="s">
        <v>10902</v>
      </c>
      <c r="U224" t="s">
        <v>10902</v>
      </c>
      <c r="V224" t="s">
        <v>10902</v>
      </c>
      <c r="W224" t="s">
        <v>43</v>
      </c>
      <c r="X224" t="s">
        <v>11720</v>
      </c>
      <c r="Y224" t="s">
        <v>11721</v>
      </c>
      <c r="Z224" t="s">
        <v>11364</v>
      </c>
      <c r="AA224" t="s">
        <v>44</v>
      </c>
      <c r="AB224" t="s">
        <v>44</v>
      </c>
      <c r="AC224" s="4"/>
      <c r="AD224" s="4"/>
      <c r="AE224" s="2">
        <v>0</v>
      </c>
      <c r="AF224" s="4">
        <v>0</v>
      </c>
      <c r="AG224" s="2">
        <v>0.1</v>
      </c>
      <c r="AH224" s="2">
        <v>682040</v>
      </c>
      <c r="AI224" s="2">
        <v>0</v>
      </c>
      <c r="AJ224" s="5">
        <v>44673</v>
      </c>
      <c r="AK224" t="s">
        <v>11262</v>
      </c>
      <c r="AL224" s="2">
        <v>0</v>
      </c>
      <c r="AM224" s="2">
        <v>0</v>
      </c>
      <c r="AN224" s="2">
        <v>0</v>
      </c>
      <c r="AO224" t="s">
        <v>44</v>
      </c>
      <c r="AP224" t="s">
        <v>12498</v>
      </c>
      <c r="AQ224" t="s">
        <v>5570</v>
      </c>
    </row>
    <row r="225" spans="1:43" x14ac:dyDescent="0.2">
      <c r="A225" t="s">
        <v>11259</v>
      </c>
      <c r="B225" t="s">
        <v>11037</v>
      </c>
      <c r="C225" t="s">
        <v>11364</v>
      </c>
      <c r="D225" t="s">
        <v>6443</v>
      </c>
      <c r="E225" t="s">
        <v>5186</v>
      </c>
      <c r="F225" t="s">
        <v>6443</v>
      </c>
      <c r="G225" s="1">
        <v>14864</v>
      </c>
      <c r="H225" s="2">
        <v>637603.73</v>
      </c>
      <c r="I225" s="2">
        <v>656394.23999999999</v>
      </c>
      <c r="J225" s="2">
        <v>0</v>
      </c>
      <c r="K225" s="2">
        <v>0</v>
      </c>
      <c r="L225" s="2">
        <v>656394.23999999999</v>
      </c>
      <c r="M225" s="3">
        <v>4416</v>
      </c>
      <c r="N225" s="4">
        <v>1.4933699999999999E-3</v>
      </c>
      <c r="O225" s="5" t="s">
        <v>44</v>
      </c>
      <c r="P225" s="5" t="s">
        <v>44</v>
      </c>
      <c r="Q225" s="1"/>
      <c r="R225" s="2"/>
      <c r="S225" s="6"/>
      <c r="T225" t="s">
        <v>10902</v>
      </c>
      <c r="U225" t="s">
        <v>10902</v>
      </c>
      <c r="V225" t="s">
        <v>10902</v>
      </c>
      <c r="W225" t="s">
        <v>43</v>
      </c>
      <c r="X225" t="s">
        <v>11366</v>
      </c>
      <c r="Y225" t="s">
        <v>11367</v>
      </c>
      <c r="Z225" t="s">
        <v>11364</v>
      </c>
      <c r="AA225" t="s">
        <v>44</v>
      </c>
      <c r="AB225" t="s">
        <v>44</v>
      </c>
      <c r="AC225" s="4"/>
      <c r="AD225" s="4"/>
      <c r="AE225" s="2">
        <v>0</v>
      </c>
      <c r="AF225" s="4">
        <v>0</v>
      </c>
      <c r="AG225" s="2">
        <v>0.1</v>
      </c>
      <c r="AH225" s="2">
        <v>656394.23999999999</v>
      </c>
      <c r="AI225" s="2">
        <v>0</v>
      </c>
      <c r="AJ225" s="5">
        <v>44673</v>
      </c>
      <c r="AK225" t="s">
        <v>11262</v>
      </c>
      <c r="AL225" s="2">
        <v>0</v>
      </c>
      <c r="AM225" s="2">
        <v>0</v>
      </c>
      <c r="AN225" s="2">
        <v>0</v>
      </c>
      <c r="AO225" t="s">
        <v>44</v>
      </c>
      <c r="AP225" t="s">
        <v>11373</v>
      </c>
      <c r="AQ225" t="s">
        <v>5186</v>
      </c>
    </row>
    <row r="226" spans="1:43" x14ac:dyDescent="0.2">
      <c r="A226" t="s">
        <v>11259</v>
      </c>
      <c r="B226" t="s">
        <v>11037</v>
      </c>
      <c r="C226" t="s">
        <v>11364</v>
      </c>
      <c r="D226" t="s">
        <v>11374</v>
      </c>
      <c r="E226" t="s">
        <v>1786</v>
      </c>
      <c r="F226" t="s">
        <v>11374</v>
      </c>
      <c r="G226" s="1">
        <v>41116</v>
      </c>
      <c r="H226" s="2">
        <v>998921.65</v>
      </c>
      <c r="I226" s="2">
        <v>1110132</v>
      </c>
      <c r="J226" s="2">
        <v>0</v>
      </c>
      <c r="K226" s="2">
        <v>0</v>
      </c>
      <c r="L226" s="2">
        <v>1110132</v>
      </c>
      <c r="M226" s="3">
        <v>2700</v>
      </c>
      <c r="N226" s="4">
        <v>2.5256699999999998E-3</v>
      </c>
      <c r="O226" s="5" t="s">
        <v>44</v>
      </c>
      <c r="P226" s="5" t="s">
        <v>44</v>
      </c>
      <c r="Q226" s="1"/>
      <c r="R226" s="2"/>
      <c r="S226" s="6"/>
      <c r="T226" t="s">
        <v>10902</v>
      </c>
      <c r="U226" t="s">
        <v>10902</v>
      </c>
      <c r="V226" t="s">
        <v>10902</v>
      </c>
      <c r="W226" t="s">
        <v>43</v>
      </c>
      <c r="X226" t="s">
        <v>11375</v>
      </c>
      <c r="Y226" t="s">
        <v>11367</v>
      </c>
      <c r="Z226" t="s">
        <v>11364</v>
      </c>
      <c r="AA226" t="s">
        <v>44</v>
      </c>
      <c r="AB226" t="s">
        <v>44</v>
      </c>
      <c r="AC226" s="4"/>
      <c r="AD226" s="4"/>
      <c r="AE226" s="2">
        <v>0</v>
      </c>
      <c r="AF226" s="4">
        <v>0</v>
      </c>
      <c r="AG226" s="2">
        <v>0.16</v>
      </c>
      <c r="AH226" s="2">
        <v>1110132</v>
      </c>
      <c r="AI226" s="2">
        <v>0</v>
      </c>
      <c r="AJ226" s="5">
        <v>44673</v>
      </c>
      <c r="AK226" t="s">
        <v>11262</v>
      </c>
      <c r="AL226" s="2">
        <v>0</v>
      </c>
      <c r="AM226" s="2">
        <v>0</v>
      </c>
      <c r="AN226" s="2">
        <v>0</v>
      </c>
      <c r="AO226" t="s">
        <v>44</v>
      </c>
      <c r="AP226" t="s">
        <v>11376</v>
      </c>
      <c r="AQ226" t="s">
        <v>1786</v>
      </c>
    </row>
    <row r="227" spans="1:43" x14ac:dyDescent="0.2">
      <c r="A227" t="s">
        <v>11259</v>
      </c>
      <c r="B227" t="s">
        <v>11037</v>
      </c>
      <c r="C227" t="s">
        <v>11364</v>
      </c>
      <c r="D227" t="s">
        <v>11377</v>
      </c>
      <c r="E227" t="s">
        <v>5599</v>
      </c>
      <c r="F227" t="s">
        <v>11378</v>
      </c>
      <c r="G227" s="1">
        <v>2264</v>
      </c>
      <c r="H227" s="2">
        <v>663352</v>
      </c>
      <c r="I227" s="2">
        <v>1224122.1599999999</v>
      </c>
      <c r="J227" s="2">
        <v>0</v>
      </c>
      <c r="K227" s="2">
        <v>0</v>
      </c>
      <c r="L227" s="2">
        <v>1224122.1599999999</v>
      </c>
      <c r="M227" s="3">
        <v>54069</v>
      </c>
      <c r="N227" s="4">
        <v>2.7850100000000001E-3</v>
      </c>
      <c r="O227" s="5" t="s">
        <v>44</v>
      </c>
      <c r="P227" s="5" t="s">
        <v>44</v>
      </c>
      <c r="Q227" s="1"/>
      <c r="R227" s="2"/>
      <c r="S227" s="6"/>
      <c r="T227" t="s">
        <v>10902</v>
      </c>
      <c r="U227" t="s">
        <v>10902</v>
      </c>
      <c r="V227" t="s">
        <v>10902</v>
      </c>
      <c r="W227" t="s">
        <v>43</v>
      </c>
      <c r="X227" t="s">
        <v>11375</v>
      </c>
      <c r="Y227" t="s">
        <v>11367</v>
      </c>
      <c r="Z227" t="s">
        <v>11364</v>
      </c>
      <c r="AA227" t="s">
        <v>44</v>
      </c>
      <c r="AB227" t="s">
        <v>44</v>
      </c>
      <c r="AC227" s="4"/>
      <c r="AD227" s="4"/>
      <c r="AE227" s="2">
        <v>0</v>
      </c>
      <c r="AF227" s="4">
        <v>0</v>
      </c>
      <c r="AG227" s="2">
        <v>0.18</v>
      </c>
      <c r="AH227" s="2">
        <v>1224122.1599999999</v>
      </c>
      <c r="AI227" s="2">
        <v>0</v>
      </c>
      <c r="AJ227" s="5">
        <v>44673</v>
      </c>
      <c r="AK227" t="s">
        <v>11262</v>
      </c>
      <c r="AL227" s="2">
        <v>0</v>
      </c>
      <c r="AM227" s="2">
        <v>0</v>
      </c>
      <c r="AN227" s="2">
        <v>0</v>
      </c>
      <c r="AO227" t="s">
        <v>44</v>
      </c>
      <c r="AP227" t="s">
        <v>11379</v>
      </c>
      <c r="AQ227" t="s">
        <v>5599</v>
      </c>
    </row>
    <row r="228" spans="1:43" x14ac:dyDescent="0.2">
      <c r="A228" t="s">
        <v>11259</v>
      </c>
      <c r="B228" t="s">
        <v>11037</v>
      </c>
      <c r="C228" t="s">
        <v>11380</v>
      </c>
      <c r="D228" t="s">
        <v>11381</v>
      </c>
      <c r="E228" t="s">
        <v>5221</v>
      </c>
      <c r="F228" t="s">
        <v>11381</v>
      </c>
      <c r="G228" s="1">
        <v>24430</v>
      </c>
      <c r="H228" s="2">
        <v>800422.36</v>
      </c>
      <c r="I228" s="2">
        <v>1087135</v>
      </c>
      <c r="J228" s="2">
        <v>0</v>
      </c>
      <c r="K228" s="2">
        <v>0</v>
      </c>
      <c r="L228" s="2">
        <v>1087135</v>
      </c>
      <c r="M228" s="3">
        <v>4450</v>
      </c>
      <c r="N228" s="4">
        <v>2.47335E-3</v>
      </c>
      <c r="O228" s="5" t="s">
        <v>44</v>
      </c>
      <c r="P228" s="5" t="s">
        <v>44</v>
      </c>
      <c r="Q228" s="1"/>
      <c r="R228" s="2"/>
      <c r="S228" s="6"/>
      <c r="T228" t="s">
        <v>10902</v>
      </c>
      <c r="U228" t="s">
        <v>10902</v>
      </c>
      <c r="V228" t="s">
        <v>10902</v>
      </c>
      <c r="W228" t="s">
        <v>43</v>
      </c>
      <c r="X228" t="s">
        <v>11382</v>
      </c>
      <c r="Y228" t="s">
        <v>11380</v>
      </c>
      <c r="Z228" t="s">
        <v>11380</v>
      </c>
      <c r="AA228" t="s">
        <v>44</v>
      </c>
      <c r="AB228" t="s">
        <v>44</v>
      </c>
      <c r="AC228" s="4"/>
      <c r="AD228" s="4"/>
      <c r="AE228" s="2">
        <v>0</v>
      </c>
      <c r="AF228" s="4">
        <v>0</v>
      </c>
      <c r="AG228" s="2">
        <v>0.16</v>
      </c>
      <c r="AH228" s="2">
        <v>1087135</v>
      </c>
      <c r="AI228" s="2">
        <v>0</v>
      </c>
      <c r="AJ228" s="5">
        <v>44673</v>
      </c>
      <c r="AK228" t="s">
        <v>11262</v>
      </c>
      <c r="AL228" s="2">
        <v>0</v>
      </c>
      <c r="AM228" s="2">
        <v>0</v>
      </c>
      <c r="AN228" s="2">
        <v>0</v>
      </c>
      <c r="AO228" t="s">
        <v>44</v>
      </c>
      <c r="AP228" t="s">
        <v>11383</v>
      </c>
      <c r="AQ228" t="s">
        <v>5221</v>
      </c>
    </row>
    <row r="229" spans="1:43" x14ac:dyDescent="0.2">
      <c r="A229" t="s">
        <v>11259</v>
      </c>
      <c r="B229" t="s">
        <v>11038</v>
      </c>
      <c r="C229" t="s">
        <v>11039</v>
      </c>
      <c r="D229" t="s">
        <v>11387</v>
      </c>
      <c r="E229" t="s">
        <v>11388</v>
      </c>
      <c r="F229" t="s">
        <v>11387</v>
      </c>
      <c r="G229" s="1">
        <v>34000000</v>
      </c>
      <c r="H229" s="2">
        <v>34000000</v>
      </c>
      <c r="I229" s="2">
        <v>33949403.039999999</v>
      </c>
      <c r="J229" s="2">
        <v>714279.45</v>
      </c>
      <c r="K229" s="2">
        <v>0</v>
      </c>
      <c r="L229" s="2">
        <v>34663682.490000002</v>
      </c>
      <c r="M229" s="3">
        <v>5.5360769999999997</v>
      </c>
      <c r="N229" s="4">
        <v>7.8863610000000001E-2</v>
      </c>
      <c r="O229" s="5">
        <v>44897</v>
      </c>
      <c r="P229" s="5">
        <v>44897</v>
      </c>
      <c r="Q229" s="1">
        <v>5.4</v>
      </c>
      <c r="R229" s="2">
        <v>0.61</v>
      </c>
      <c r="S229" s="6">
        <v>0.58584213564999998</v>
      </c>
      <c r="T229" t="s">
        <v>111</v>
      </c>
      <c r="U229" t="s">
        <v>11040</v>
      </c>
      <c r="V229" t="s">
        <v>11041</v>
      </c>
      <c r="W229" t="s">
        <v>43</v>
      </c>
      <c r="X229" t="s">
        <v>11034</v>
      </c>
      <c r="Y229" t="s">
        <v>44</v>
      </c>
      <c r="Z229" t="s">
        <v>44</v>
      </c>
      <c r="AA229" t="s">
        <v>10979</v>
      </c>
      <c r="AB229" t="s">
        <v>44</v>
      </c>
      <c r="AC229" s="4">
        <v>5.5963009100000001</v>
      </c>
      <c r="AD229" s="4">
        <v>5.4576890300000001</v>
      </c>
      <c r="AE229" s="2">
        <v>5.6</v>
      </c>
      <c r="AF229" s="4">
        <v>5.4576890300000001</v>
      </c>
      <c r="AG229" s="2">
        <v>5.12</v>
      </c>
      <c r="AH229" s="2">
        <v>34663682.490000002</v>
      </c>
      <c r="AI229" s="2">
        <v>0.08</v>
      </c>
      <c r="AJ229" s="5">
        <v>44673</v>
      </c>
      <c r="AK229" t="s">
        <v>11262</v>
      </c>
      <c r="AL229" s="2">
        <v>5.52</v>
      </c>
      <c r="AM229" s="2">
        <v>5.4</v>
      </c>
      <c r="AN229" s="2">
        <v>0.59</v>
      </c>
      <c r="AO229" t="s">
        <v>11165</v>
      </c>
      <c r="AP229" t="s">
        <v>11389</v>
      </c>
      <c r="AQ229" t="s">
        <v>11388</v>
      </c>
    </row>
    <row r="230" spans="1:43" x14ac:dyDescent="0.2">
      <c r="A230" t="s">
        <v>11259</v>
      </c>
      <c r="B230" t="s">
        <v>11038</v>
      </c>
      <c r="C230" t="s">
        <v>11039</v>
      </c>
      <c r="D230" t="s">
        <v>11390</v>
      </c>
      <c r="E230" t="s">
        <v>11391</v>
      </c>
      <c r="F230" t="s">
        <v>11390</v>
      </c>
      <c r="G230" s="1">
        <v>300000</v>
      </c>
      <c r="H230" s="2">
        <v>289615.73</v>
      </c>
      <c r="I230" s="2">
        <v>289615.73</v>
      </c>
      <c r="J230" s="2">
        <v>0</v>
      </c>
      <c r="K230" s="2">
        <v>0</v>
      </c>
      <c r="L230" s="2">
        <v>289615.73</v>
      </c>
      <c r="M230" s="3">
        <v>5.7867119999999996</v>
      </c>
      <c r="N230" s="4">
        <v>6.5890999999999996E-4</v>
      </c>
      <c r="O230" s="5" t="s">
        <v>44</v>
      </c>
      <c r="P230" s="5">
        <v>44902</v>
      </c>
      <c r="Q230" s="1">
        <v>0</v>
      </c>
      <c r="R230" s="2">
        <v>0.62</v>
      </c>
      <c r="S230" s="6">
        <v>0.59776029928999996</v>
      </c>
      <c r="T230" t="s">
        <v>112</v>
      </c>
      <c r="U230" t="s">
        <v>11040</v>
      </c>
      <c r="V230" t="s">
        <v>11238</v>
      </c>
      <c r="W230" t="s">
        <v>43</v>
      </c>
      <c r="X230" t="s">
        <v>44</v>
      </c>
      <c r="Y230" t="s">
        <v>44</v>
      </c>
      <c r="Z230" t="s">
        <v>44</v>
      </c>
      <c r="AA230" t="s">
        <v>10913</v>
      </c>
      <c r="AB230" t="s">
        <v>44</v>
      </c>
      <c r="AC230" s="4">
        <v>5.8501835199999999</v>
      </c>
      <c r="AD230" s="4">
        <v>5.6989443299999998</v>
      </c>
      <c r="AE230" s="2">
        <v>5.85</v>
      </c>
      <c r="AF230" s="4">
        <v>5.6989443299999998</v>
      </c>
      <c r="AG230" s="2">
        <v>0.04</v>
      </c>
      <c r="AH230" s="2">
        <v>289615.73</v>
      </c>
      <c r="AI230" s="2">
        <v>0</v>
      </c>
      <c r="AJ230" s="5">
        <v>44673</v>
      </c>
      <c r="AK230" t="s">
        <v>11262</v>
      </c>
      <c r="AL230" s="2">
        <v>5.77</v>
      </c>
      <c r="AM230" s="2">
        <v>0</v>
      </c>
      <c r="AN230" s="2">
        <v>0.6</v>
      </c>
      <c r="AO230" t="s">
        <v>10922</v>
      </c>
      <c r="AP230" t="s">
        <v>11392</v>
      </c>
      <c r="AQ230" t="s">
        <v>11391</v>
      </c>
    </row>
    <row r="231" spans="1:43" x14ac:dyDescent="0.2">
      <c r="A231" t="s">
        <v>11259</v>
      </c>
      <c r="B231" t="s">
        <v>11038</v>
      </c>
      <c r="C231" t="s">
        <v>11039</v>
      </c>
      <c r="D231" t="s">
        <v>11393</v>
      </c>
      <c r="E231" t="s">
        <v>11394</v>
      </c>
      <c r="F231" t="s">
        <v>11393</v>
      </c>
      <c r="G231" s="1">
        <v>20500000</v>
      </c>
      <c r="H231" s="2">
        <v>19918488.809999999</v>
      </c>
      <c r="I231" s="2">
        <v>19918488.809999999</v>
      </c>
      <c r="J231" s="2">
        <v>0</v>
      </c>
      <c r="K231" s="2">
        <v>0</v>
      </c>
      <c r="L231" s="2">
        <v>19918488.809999999</v>
      </c>
      <c r="M231" s="3">
        <v>5.3700010000000002</v>
      </c>
      <c r="N231" s="4">
        <v>4.5316710000000003E-2</v>
      </c>
      <c r="O231" s="5" t="s">
        <v>44</v>
      </c>
      <c r="P231" s="5">
        <v>44874</v>
      </c>
      <c r="Q231" s="1">
        <v>0</v>
      </c>
      <c r="R231" s="2">
        <v>0.54</v>
      </c>
      <c r="S231" s="6">
        <v>0.52711079582999998</v>
      </c>
      <c r="T231" t="s">
        <v>112</v>
      </c>
      <c r="U231" t="s">
        <v>11040</v>
      </c>
      <c r="V231" t="s">
        <v>11238</v>
      </c>
      <c r="W231" t="s">
        <v>43</v>
      </c>
      <c r="X231" t="s">
        <v>44</v>
      </c>
      <c r="Y231" t="s">
        <v>44</v>
      </c>
      <c r="Z231" t="s">
        <v>44</v>
      </c>
      <c r="AA231" t="s">
        <v>10913</v>
      </c>
      <c r="AB231" t="s">
        <v>44</v>
      </c>
      <c r="AC231" s="4">
        <v>5.4358711399999997</v>
      </c>
      <c r="AD231" s="4">
        <v>5.3049642199999996</v>
      </c>
      <c r="AE231" s="2">
        <v>5.44</v>
      </c>
      <c r="AF231" s="4">
        <v>5.3049642199999996</v>
      </c>
      <c r="AG231" s="2">
        <v>2.94</v>
      </c>
      <c r="AH231" s="2">
        <v>19918488.809999999</v>
      </c>
      <c r="AI231" s="2">
        <v>0.05</v>
      </c>
      <c r="AJ231" s="5">
        <v>44673</v>
      </c>
      <c r="AK231" t="s">
        <v>11262</v>
      </c>
      <c r="AL231" s="2">
        <v>5.36</v>
      </c>
      <c r="AM231" s="2">
        <v>0</v>
      </c>
      <c r="AN231" s="2">
        <v>0.53</v>
      </c>
      <c r="AO231" t="s">
        <v>10922</v>
      </c>
      <c r="AP231" t="s">
        <v>11395</v>
      </c>
      <c r="AQ231" t="s">
        <v>11394</v>
      </c>
    </row>
    <row r="232" spans="1:43" x14ac:dyDescent="0.2">
      <c r="A232" t="s">
        <v>11259</v>
      </c>
      <c r="B232" t="s">
        <v>11038</v>
      </c>
      <c r="C232" t="s">
        <v>11039</v>
      </c>
      <c r="D232" t="s">
        <v>11396</v>
      </c>
      <c r="E232" t="s">
        <v>11397</v>
      </c>
      <c r="F232" t="s">
        <v>11396</v>
      </c>
      <c r="G232" s="1">
        <v>11900000</v>
      </c>
      <c r="H232" s="2">
        <v>11415127.98</v>
      </c>
      <c r="I232" s="2">
        <v>11415127.98</v>
      </c>
      <c r="J232" s="2">
        <v>0</v>
      </c>
      <c r="K232" s="2">
        <v>0</v>
      </c>
      <c r="L232" s="2">
        <v>11415127.98</v>
      </c>
      <c r="M232" s="3">
        <v>5.9260000000000002</v>
      </c>
      <c r="N232" s="4">
        <v>2.5970650000000001E-2</v>
      </c>
      <c r="O232" s="5" t="s">
        <v>44</v>
      </c>
      <c r="P232" s="5">
        <v>44937</v>
      </c>
      <c r="Q232" s="1">
        <v>0</v>
      </c>
      <c r="R232" s="2">
        <v>0.72</v>
      </c>
      <c r="S232" s="6">
        <v>0.68599929861999998</v>
      </c>
      <c r="T232" t="s">
        <v>112</v>
      </c>
      <c r="U232" t="s">
        <v>11040</v>
      </c>
      <c r="V232" t="s">
        <v>11238</v>
      </c>
      <c r="W232" t="s">
        <v>43</v>
      </c>
      <c r="X232" t="s">
        <v>44</v>
      </c>
      <c r="Y232" t="s">
        <v>44</v>
      </c>
      <c r="Z232" t="s">
        <v>44</v>
      </c>
      <c r="AA232" t="s">
        <v>10913</v>
      </c>
      <c r="AB232" t="s">
        <v>44</v>
      </c>
      <c r="AC232" s="4">
        <v>5.9756128500000001</v>
      </c>
      <c r="AD232" s="4">
        <v>5.8179395100000004</v>
      </c>
      <c r="AE232" s="2">
        <v>5.98</v>
      </c>
      <c r="AF232" s="4">
        <v>5.8179395100000004</v>
      </c>
      <c r="AG232" s="2">
        <v>1.69</v>
      </c>
      <c r="AH232" s="2">
        <v>11415127.98</v>
      </c>
      <c r="AI232" s="2">
        <v>0.03</v>
      </c>
      <c r="AJ232" s="5">
        <v>44673</v>
      </c>
      <c r="AK232" t="s">
        <v>11262</v>
      </c>
      <c r="AL232" s="2">
        <v>5.89</v>
      </c>
      <c r="AM232" s="2">
        <v>0</v>
      </c>
      <c r="AN232" s="2">
        <v>0.69</v>
      </c>
      <c r="AO232" t="s">
        <v>10922</v>
      </c>
      <c r="AP232" t="s">
        <v>11398</v>
      </c>
      <c r="AQ232" t="s">
        <v>11397</v>
      </c>
    </row>
    <row r="233" spans="1:43" x14ac:dyDescent="0.2">
      <c r="A233" t="s">
        <v>11259</v>
      </c>
      <c r="B233" t="s">
        <v>11038</v>
      </c>
      <c r="C233" t="s">
        <v>11039</v>
      </c>
      <c r="D233" t="s">
        <v>11399</v>
      </c>
      <c r="E233" t="s">
        <v>11400</v>
      </c>
      <c r="F233" t="s">
        <v>11399</v>
      </c>
      <c r="G233" s="1">
        <v>16200000</v>
      </c>
      <c r="H233" s="2">
        <v>15716963.34</v>
      </c>
      <c r="I233" s="2">
        <v>15716963.34</v>
      </c>
      <c r="J233" s="2">
        <v>0</v>
      </c>
      <c r="K233" s="2">
        <v>0</v>
      </c>
      <c r="L233" s="2">
        <v>15716963.34</v>
      </c>
      <c r="M233" s="3">
        <v>5.4191849999999997</v>
      </c>
      <c r="N233" s="4">
        <v>3.5757780000000003E-2</v>
      </c>
      <c r="O233" s="5" t="s">
        <v>44</v>
      </c>
      <c r="P233" s="5">
        <v>44881</v>
      </c>
      <c r="Q233" s="1">
        <v>0</v>
      </c>
      <c r="R233" s="2">
        <v>0.56000000000000005</v>
      </c>
      <c r="S233" s="6">
        <v>0.54505428138000001</v>
      </c>
      <c r="T233" t="s">
        <v>112</v>
      </c>
      <c r="U233" t="s">
        <v>11040</v>
      </c>
      <c r="V233" t="s">
        <v>11238</v>
      </c>
      <c r="W233" t="s">
        <v>43</v>
      </c>
      <c r="X233" t="s">
        <v>44</v>
      </c>
      <c r="Y233" t="s">
        <v>44</v>
      </c>
      <c r="Z233" t="s">
        <v>44</v>
      </c>
      <c r="AA233" t="s">
        <v>10913</v>
      </c>
      <c r="AB233" t="s">
        <v>44</v>
      </c>
      <c r="AC233" s="4">
        <v>5.4834100699999997</v>
      </c>
      <c r="AD233" s="4">
        <v>5.3502421900000003</v>
      </c>
      <c r="AE233" s="2">
        <v>5.48</v>
      </c>
      <c r="AF233" s="4">
        <v>5.3502421900000003</v>
      </c>
      <c r="AG233" s="2">
        <v>2.3199999999999998</v>
      </c>
      <c r="AH233" s="2">
        <v>15716963.34</v>
      </c>
      <c r="AI233" s="2">
        <v>0.04</v>
      </c>
      <c r="AJ233" s="5">
        <v>44673</v>
      </c>
      <c r="AK233" t="s">
        <v>11262</v>
      </c>
      <c r="AL233" s="2">
        <v>5.41</v>
      </c>
      <c r="AM233" s="2">
        <v>0</v>
      </c>
      <c r="AN233" s="2">
        <v>0.55000000000000004</v>
      </c>
      <c r="AO233" t="s">
        <v>10922</v>
      </c>
      <c r="AP233" t="s">
        <v>11401</v>
      </c>
      <c r="AQ233" t="s">
        <v>11400</v>
      </c>
    </row>
    <row r="234" spans="1:43" x14ac:dyDescent="0.2">
      <c r="A234" t="s">
        <v>11259</v>
      </c>
      <c r="B234" t="s">
        <v>11038</v>
      </c>
      <c r="C234" t="s">
        <v>11039</v>
      </c>
      <c r="D234" t="s">
        <v>11405</v>
      </c>
      <c r="E234" t="s">
        <v>11406</v>
      </c>
      <c r="F234" t="s">
        <v>11405</v>
      </c>
      <c r="G234" s="1">
        <v>16900000</v>
      </c>
      <c r="H234" s="2">
        <v>16372522.310000001</v>
      </c>
      <c r="I234" s="2">
        <v>16372522.310000001</v>
      </c>
      <c r="J234" s="2">
        <v>0</v>
      </c>
      <c r="K234" s="2">
        <v>0</v>
      </c>
      <c r="L234" s="2">
        <v>16372522.310000001</v>
      </c>
      <c r="M234" s="3">
        <v>5.5672899999999998</v>
      </c>
      <c r="N234" s="4">
        <v>3.7249249999999998E-2</v>
      </c>
      <c r="O234" s="5" t="s">
        <v>44</v>
      </c>
      <c r="P234" s="5">
        <v>44888</v>
      </c>
      <c r="Q234" s="1">
        <v>0</v>
      </c>
      <c r="R234" s="2">
        <v>0.57999999999999996</v>
      </c>
      <c r="S234" s="6">
        <v>0.56262873229999999</v>
      </c>
      <c r="T234" t="s">
        <v>112</v>
      </c>
      <c r="U234" t="s">
        <v>11040</v>
      </c>
      <c r="V234" t="s">
        <v>11238</v>
      </c>
      <c r="W234" t="s">
        <v>43</v>
      </c>
      <c r="X234" t="s">
        <v>44</v>
      </c>
      <c r="Y234" t="s">
        <v>44</v>
      </c>
      <c r="Z234" t="s">
        <v>44</v>
      </c>
      <c r="AA234" t="s">
        <v>10913</v>
      </c>
      <c r="AB234" t="s">
        <v>44</v>
      </c>
      <c r="AC234" s="4">
        <v>5.6320586500000003</v>
      </c>
      <c r="AD234" s="4">
        <v>5.4917004399999998</v>
      </c>
      <c r="AE234" s="2">
        <v>5.63</v>
      </c>
      <c r="AF234" s="4">
        <v>5.4917004399999998</v>
      </c>
      <c r="AG234" s="2">
        <v>2.42</v>
      </c>
      <c r="AH234" s="2">
        <v>16372522.310000001</v>
      </c>
      <c r="AI234" s="2">
        <v>0.04</v>
      </c>
      <c r="AJ234" s="5">
        <v>44673</v>
      </c>
      <c r="AK234" t="s">
        <v>11262</v>
      </c>
      <c r="AL234" s="2">
        <v>5.55</v>
      </c>
      <c r="AM234" s="2">
        <v>0</v>
      </c>
      <c r="AN234" s="2">
        <v>0.56000000000000005</v>
      </c>
      <c r="AO234" t="s">
        <v>10922</v>
      </c>
      <c r="AP234" t="s">
        <v>11407</v>
      </c>
      <c r="AQ234" t="s">
        <v>11406</v>
      </c>
    </row>
    <row r="235" spans="1:43" x14ac:dyDescent="0.2">
      <c r="A235" t="s">
        <v>11259</v>
      </c>
      <c r="B235" t="s">
        <v>11038</v>
      </c>
      <c r="C235" t="s">
        <v>11039</v>
      </c>
      <c r="D235" t="s">
        <v>12727</v>
      </c>
      <c r="E235" t="s">
        <v>12728</v>
      </c>
      <c r="F235" t="s">
        <v>12727</v>
      </c>
      <c r="G235" s="1">
        <v>64000000</v>
      </c>
      <c r="H235" s="2">
        <v>64000000</v>
      </c>
      <c r="I235" s="2">
        <v>64068577.359999999</v>
      </c>
      <c r="J235" s="2">
        <v>397676.71</v>
      </c>
      <c r="K235" s="2">
        <v>0</v>
      </c>
      <c r="L235" s="2">
        <v>64466254.07</v>
      </c>
      <c r="M235" s="3">
        <v>6.1328639999999996</v>
      </c>
      <c r="N235" s="4">
        <v>0.14666767</v>
      </c>
      <c r="O235" s="5">
        <v>45001</v>
      </c>
      <c r="P235" s="5">
        <v>45001</v>
      </c>
      <c r="Q235" s="1">
        <v>6.3</v>
      </c>
      <c r="R235" s="2">
        <v>0.89</v>
      </c>
      <c r="S235" s="6">
        <v>0.84430539241000002</v>
      </c>
      <c r="T235" t="s">
        <v>111</v>
      </c>
      <c r="U235" t="s">
        <v>11040</v>
      </c>
      <c r="V235" t="s">
        <v>11041</v>
      </c>
      <c r="W235" t="s">
        <v>43</v>
      </c>
      <c r="X235" t="s">
        <v>11034</v>
      </c>
      <c r="Y235" t="s">
        <v>44</v>
      </c>
      <c r="Z235" t="s">
        <v>44</v>
      </c>
      <c r="AA235" t="s">
        <v>10979</v>
      </c>
      <c r="AB235" t="s">
        <v>44</v>
      </c>
      <c r="AC235" s="4">
        <v>6.1531520899999999</v>
      </c>
      <c r="AD235" s="4">
        <v>5.9861510000000004</v>
      </c>
      <c r="AE235" s="2">
        <v>6.15</v>
      </c>
      <c r="AF235" s="4">
        <v>5.9861510000000004</v>
      </c>
      <c r="AG235" s="2">
        <v>9.5299999999999994</v>
      </c>
      <c r="AH235" s="2">
        <v>64466254.07</v>
      </c>
      <c r="AI235" s="2">
        <v>0.15</v>
      </c>
      <c r="AJ235" s="5">
        <v>44673</v>
      </c>
      <c r="AK235" t="s">
        <v>11262</v>
      </c>
      <c r="AL235" s="2">
        <v>6.06</v>
      </c>
      <c r="AM235" s="2">
        <v>6.3</v>
      </c>
      <c r="AN235" s="2">
        <v>0.84</v>
      </c>
      <c r="AO235" t="s">
        <v>11179</v>
      </c>
      <c r="AP235" t="s">
        <v>12729</v>
      </c>
      <c r="AQ235" t="s">
        <v>12728</v>
      </c>
    </row>
    <row r="236" spans="1:43" x14ac:dyDescent="0.2">
      <c r="A236" t="s">
        <v>11259</v>
      </c>
      <c r="B236" t="s">
        <v>11408</v>
      </c>
      <c r="C236" t="s">
        <v>11408</v>
      </c>
      <c r="D236" t="s">
        <v>11409</v>
      </c>
      <c r="E236" t="s">
        <v>11410</v>
      </c>
      <c r="F236" t="s">
        <v>11411</v>
      </c>
      <c r="G236" s="1">
        <v>22761.862300000001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3"/>
      <c r="N236" s="4">
        <v>0</v>
      </c>
      <c r="O236" s="5" t="s">
        <v>44</v>
      </c>
      <c r="P236" s="5">
        <v>44809</v>
      </c>
      <c r="Q236" s="1">
        <v>0</v>
      </c>
      <c r="R236" s="2"/>
      <c r="S236" s="6"/>
      <c r="T236" t="s">
        <v>11412</v>
      </c>
      <c r="U236" t="s">
        <v>11413</v>
      </c>
      <c r="V236" t="s">
        <v>11414</v>
      </c>
      <c r="W236" t="s">
        <v>43</v>
      </c>
      <c r="X236" t="s">
        <v>44</v>
      </c>
      <c r="Y236" t="s">
        <v>44</v>
      </c>
      <c r="Z236" t="s">
        <v>44</v>
      </c>
      <c r="AA236" t="s">
        <v>11035</v>
      </c>
      <c r="AB236" t="s">
        <v>44</v>
      </c>
      <c r="AC236" s="4"/>
      <c r="AD236" s="4"/>
      <c r="AE236" s="2">
        <v>0</v>
      </c>
      <c r="AF236" s="4">
        <v>0</v>
      </c>
      <c r="AG236" s="2">
        <v>0</v>
      </c>
      <c r="AH236" s="2">
        <v>0</v>
      </c>
      <c r="AI236" s="2">
        <v>0</v>
      </c>
      <c r="AJ236" s="5">
        <v>44673</v>
      </c>
      <c r="AK236" t="s">
        <v>11262</v>
      </c>
      <c r="AL236" s="2">
        <v>0</v>
      </c>
      <c r="AM236" s="2">
        <v>0</v>
      </c>
      <c r="AN236" s="2">
        <v>0</v>
      </c>
      <c r="AO236" t="s">
        <v>11053</v>
      </c>
      <c r="AP236" t="s">
        <v>44</v>
      </c>
      <c r="AQ236" t="s">
        <v>44</v>
      </c>
    </row>
    <row r="237" spans="1:43" x14ac:dyDescent="0.2">
      <c r="A237" t="s">
        <v>11259</v>
      </c>
      <c r="B237" t="s">
        <v>11408</v>
      </c>
      <c r="C237" t="s">
        <v>11408</v>
      </c>
      <c r="D237" t="s">
        <v>11415</v>
      </c>
      <c r="E237" t="s">
        <v>11410</v>
      </c>
      <c r="F237" t="s">
        <v>11416</v>
      </c>
      <c r="G237" s="1">
        <v>-255715182.97</v>
      </c>
      <c r="H237" s="2">
        <v>0</v>
      </c>
      <c r="I237" s="2">
        <v>0</v>
      </c>
      <c r="J237" s="2">
        <v>-672467.88</v>
      </c>
      <c r="K237" s="2">
        <v>0</v>
      </c>
      <c r="L237" s="2">
        <v>-672467.88</v>
      </c>
      <c r="M237" s="3"/>
      <c r="N237" s="4">
        <v>-1.52994E-3</v>
      </c>
      <c r="O237" s="5" t="s">
        <v>44</v>
      </c>
      <c r="P237" s="5">
        <v>44809</v>
      </c>
      <c r="Q237" s="1">
        <v>0</v>
      </c>
      <c r="R237" s="2"/>
      <c r="S237" s="6"/>
      <c r="T237" t="s">
        <v>11412</v>
      </c>
      <c r="U237" t="s">
        <v>11413</v>
      </c>
      <c r="V237" t="s">
        <v>11414</v>
      </c>
      <c r="W237" t="s">
        <v>43</v>
      </c>
      <c r="X237" t="s">
        <v>44</v>
      </c>
      <c r="Y237" t="s">
        <v>44</v>
      </c>
      <c r="Z237" t="s">
        <v>44</v>
      </c>
      <c r="AA237" t="s">
        <v>11035</v>
      </c>
      <c r="AB237" t="s">
        <v>44</v>
      </c>
      <c r="AC237" s="4"/>
      <c r="AD237" s="4"/>
      <c r="AE237" s="2">
        <v>0</v>
      </c>
      <c r="AF237" s="4">
        <v>0</v>
      </c>
      <c r="AG237" s="2">
        <v>-0.1</v>
      </c>
      <c r="AH237" s="2">
        <v>-256387650.84999999</v>
      </c>
      <c r="AI237" s="2">
        <v>-0.57999999999999996</v>
      </c>
      <c r="AJ237" s="5">
        <v>44673</v>
      </c>
      <c r="AK237" t="s">
        <v>11262</v>
      </c>
      <c r="AL237" s="2">
        <v>0</v>
      </c>
      <c r="AM237" s="2">
        <v>0</v>
      </c>
      <c r="AN237" s="2">
        <v>0</v>
      </c>
      <c r="AO237" t="s">
        <v>11053</v>
      </c>
      <c r="AP237" t="s">
        <v>44</v>
      </c>
      <c r="AQ237" t="s">
        <v>44</v>
      </c>
    </row>
    <row r="238" spans="1:43" x14ac:dyDescent="0.2">
      <c r="A238" t="s">
        <v>11259</v>
      </c>
      <c r="B238" t="s">
        <v>11408</v>
      </c>
      <c r="C238" t="s">
        <v>11408</v>
      </c>
      <c r="D238" t="s">
        <v>11417</v>
      </c>
      <c r="E238" t="s">
        <v>11410</v>
      </c>
      <c r="F238" t="s">
        <v>11418</v>
      </c>
      <c r="G238" s="1">
        <v>22761.862300000001</v>
      </c>
      <c r="H238" s="2">
        <v>0</v>
      </c>
      <c r="I238" s="2">
        <v>-10619546.859999999</v>
      </c>
      <c r="J238" s="2">
        <v>0</v>
      </c>
      <c r="K238" s="2">
        <v>0</v>
      </c>
      <c r="L238" s="2">
        <v>-10619546.859999999</v>
      </c>
      <c r="M238" s="3">
        <v>10767.82</v>
      </c>
      <c r="N238" s="4">
        <v>-2.4160609999999999E-2</v>
      </c>
      <c r="O238" s="5" t="s">
        <v>44</v>
      </c>
      <c r="P238" s="5">
        <v>44809</v>
      </c>
      <c r="Q238" s="1">
        <v>0</v>
      </c>
      <c r="R238" s="2"/>
      <c r="S238" s="6"/>
      <c r="T238" t="s">
        <v>11412</v>
      </c>
      <c r="U238" t="s">
        <v>11413</v>
      </c>
      <c r="V238" t="s">
        <v>11414</v>
      </c>
      <c r="W238" t="s">
        <v>43</v>
      </c>
      <c r="X238" t="s">
        <v>44</v>
      </c>
      <c r="Y238" t="s">
        <v>44</v>
      </c>
      <c r="Z238" t="s">
        <v>44</v>
      </c>
      <c r="AA238" t="s">
        <v>11035</v>
      </c>
      <c r="AB238" t="s">
        <v>44</v>
      </c>
      <c r="AC238" s="4"/>
      <c r="AD238" s="4"/>
      <c r="AE238" s="2">
        <v>0</v>
      </c>
      <c r="AF238" s="4">
        <v>0</v>
      </c>
      <c r="AG238" s="2">
        <v>-1.57</v>
      </c>
      <c r="AH238" s="2">
        <v>245095636.11000001</v>
      </c>
      <c r="AI238" s="2">
        <v>0.56000000000000005</v>
      </c>
      <c r="AJ238" s="5">
        <v>44673</v>
      </c>
      <c r="AK238" t="s">
        <v>11262</v>
      </c>
      <c r="AL238" s="2">
        <v>0</v>
      </c>
      <c r="AM238" s="2">
        <v>0</v>
      </c>
      <c r="AN238" s="2">
        <v>0</v>
      </c>
      <c r="AO238" t="s">
        <v>11053</v>
      </c>
      <c r="AP238" t="s">
        <v>44</v>
      </c>
      <c r="AQ238" t="s">
        <v>44</v>
      </c>
    </row>
    <row r="239" spans="1:43" x14ac:dyDescent="0.2">
      <c r="A239" t="s">
        <v>11259</v>
      </c>
      <c r="B239" t="s">
        <v>11030</v>
      </c>
      <c r="C239" t="s">
        <v>11030</v>
      </c>
      <c r="D239" t="s">
        <v>11181</v>
      </c>
      <c r="E239" t="s">
        <v>11151</v>
      </c>
      <c r="F239" t="s">
        <v>11181</v>
      </c>
      <c r="G239" s="1">
        <v>128</v>
      </c>
      <c r="H239" s="2"/>
      <c r="I239" s="2">
        <v>0</v>
      </c>
      <c r="J239" s="2"/>
      <c r="K239" s="2"/>
      <c r="L239" s="2">
        <v>0</v>
      </c>
      <c r="M239" s="3"/>
      <c r="N239" s="4">
        <v>0</v>
      </c>
      <c r="O239" s="5" t="s">
        <v>44</v>
      </c>
      <c r="P239" s="5" t="s">
        <v>44</v>
      </c>
      <c r="Q239" s="1"/>
      <c r="R239" s="2"/>
      <c r="S239" s="6"/>
      <c r="T239" t="s">
        <v>11031</v>
      </c>
      <c r="U239" t="s">
        <v>11032</v>
      </c>
      <c r="V239" t="s">
        <v>45</v>
      </c>
      <c r="W239" t="s">
        <v>43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s="4"/>
      <c r="AD239" s="4"/>
      <c r="AE239" s="2">
        <v>0</v>
      </c>
      <c r="AF239" s="4">
        <v>0</v>
      </c>
      <c r="AG239" s="2">
        <v>0</v>
      </c>
      <c r="AH239" s="2">
        <v>-84101120</v>
      </c>
      <c r="AI239" s="2">
        <v>-0.19</v>
      </c>
      <c r="AJ239" s="5">
        <v>44673</v>
      </c>
      <c r="AK239" t="s">
        <v>11262</v>
      </c>
      <c r="AL239" s="2">
        <v>0</v>
      </c>
      <c r="AM239" s="2">
        <v>0</v>
      </c>
      <c r="AN239" s="2">
        <v>0</v>
      </c>
      <c r="AO239" t="s">
        <v>44</v>
      </c>
      <c r="AP239" t="s">
        <v>44</v>
      </c>
      <c r="AQ239" t="s">
        <v>11182</v>
      </c>
    </row>
    <row r="240" spans="1:43" x14ac:dyDescent="0.2">
      <c r="A240" t="s">
        <v>11419</v>
      </c>
      <c r="B240" t="s">
        <v>10900</v>
      </c>
      <c r="C240" t="s">
        <v>10950</v>
      </c>
      <c r="D240" t="s">
        <v>11141</v>
      </c>
      <c r="E240" t="s">
        <v>11142</v>
      </c>
      <c r="F240" t="s">
        <v>11141</v>
      </c>
      <c r="G240" s="1">
        <v>1091982000</v>
      </c>
      <c r="H240" s="2">
        <v>902288107.99000001</v>
      </c>
      <c r="I240" s="2">
        <v>897594353.03999996</v>
      </c>
      <c r="J240" s="2">
        <v>14135931.369999999</v>
      </c>
      <c r="K240" s="2">
        <v>0</v>
      </c>
      <c r="L240" s="2">
        <v>911730284.40999997</v>
      </c>
      <c r="M240" s="3">
        <v>10.805</v>
      </c>
      <c r="N240" s="4">
        <v>2.0742845600000002</v>
      </c>
      <c r="O240" s="5">
        <v>44804</v>
      </c>
      <c r="P240" s="5">
        <v>54116</v>
      </c>
      <c r="Q240" s="1">
        <v>8.75</v>
      </c>
      <c r="R240" s="2">
        <v>9.2200000000000006</v>
      </c>
      <c r="S240" s="6">
        <v>8.7507641760000006</v>
      </c>
      <c r="T240" t="s">
        <v>111</v>
      </c>
      <c r="U240" t="s">
        <v>111</v>
      </c>
      <c r="V240" t="s">
        <v>10944</v>
      </c>
      <c r="W240" t="s">
        <v>43</v>
      </c>
      <c r="X240" t="s">
        <v>10945</v>
      </c>
      <c r="Y240" t="s">
        <v>44</v>
      </c>
      <c r="Z240" t="s">
        <v>44</v>
      </c>
      <c r="AA240" t="s">
        <v>10913</v>
      </c>
      <c r="AB240" t="s">
        <v>44</v>
      </c>
      <c r="AC240" s="4">
        <v>11.096870060000001</v>
      </c>
      <c r="AD240" s="4">
        <v>10.56950999</v>
      </c>
      <c r="AE240" s="2">
        <v>11.1</v>
      </c>
      <c r="AF240" s="4">
        <v>10.56950999</v>
      </c>
      <c r="AG240" s="2">
        <v>96.13</v>
      </c>
      <c r="AH240" s="2">
        <v>911730284.40999997</v>
      </c>
      <c r="AI240" s="2">
        <v>2.0699999999999998</v>
      </c>
      <c r="AJ240" s="5">
        <v>44673</v>
      </c>
      <c r="AK240" t="s">
        <v>11420</v>
      </c>
      <c r="AL240" s="2">
        <v>10.8</v>
      </c>
      <c r="AM240" s="2">
        <v>8.75</v>
      </c>
      <c r="AN240" s="2">
        <v>8.75</v>
      </c>
      <c r="AO240" t="s">
        <v>10922</v>
      </c>
      <c r="AP240" t="s">
        <v>11143</v>
      </c>
      <c r="AQ240" t="s">
        <v>11142</v>
      </c>
    </row>
    <row r="241" spans="1:43" x14ac:dyDescent="0.2">
      <c r="A241" t="s">
        <v>11419</v>
      </c>
      <c r="B241" t="s">
        <v>45</v>
      </c>
      <c r="C241" t="s">
        <v>11000</v>
      </c>
      <c r="D241" t="s">
        <v>11424</v>
      </c>
      <c r="E241" t="s">
        <v>11425</v>
      </c>
      <c r="F241" t="s">
        <v>11424</v>
      </c>
      <c r="G241" s="1">
        <v>2000000</v>
      </c>
      <c r="H241" s="2">
        <v>2000000</v>
      </c>
      <c r="I241" s="2">
        <v>2000000</v>
      </c>
      <c r="J241" s="2">
        <v>5063.01</v>
      </c>
      <c r="K241" s="2">
        <v>0</v>
      </c>
      <c r="L241" s="2">
        <v>2005063.01</v>
      </c>
      <c r="M241" s="3">
        <v>4.2</v>
      </c>
      <c r="N241" s="4">
        <v>4.56173E-3</v>
      </c>
      <c r="O241" s="5" t="s">
        <v>44</v>
      </c>
      <c r="P241" s="5">
        <v>55153</v>
      </c>
      <c r="Q241" s="1">
        <v>4.2</v>
      </c>
      <c r="R241" s="2">
        <v>0.08</v>
      </c>
      <c r="S241" s="6">
        <v>2.5986049999999999E-3</v>
      </c>
      <c r="T241" t="s">
        <v>112</v>
      </c>
      <c r="U241" t="s">
        <v>46</v>
      </c>
      <c r="V241" t="s">
        <v>11270</v>
      </c>
      <c r="W241" t="s">
        <v>43</v>
      </c>
      <c r="X241" t="s">
        <v>44</v>
      </c>
      <c r="Y241" t="s">
        <v>44</v>
      </c>
      <c r="Z241" t="s">
        <v>44</v>
      </c>
      <c r="AA241" t="s">
        <v>11035</v>
      </c>
      <c r="AB241" t="s">
        <v>44</v>
      </c>
      <c r="AC241" s="4">
        <v>4.2819052299999996</v>
      </c>
      <c r="AD241" s="4">
        <v>4.20010057</v>
      </c>
      <c r="AE241" s="2">
        <v>4.28</v>
      </c>
      <c r="AF241" s="4">
        <v>4.20010057</v>
      </c>
      <c r="AG241" s="2">
        <v>0.21</v>
      </c>
      <c r="AH241" s="2">
        <v>2005063.01</v>
      </c>
      <c r="AI241" s="2">
        <v>0</v>
      </c>
      <c r="AJ241" s="5">
        <v>44673</v>
      </c>
      <c r="AK241" t="s">
        <v>11420</v>
      </c>
      <c r="AL241" s="2">
        <v>4.24</v>
      </c>
      <c r="AM241" s="2">
        <v>4.2</v>
      </c>
      <c r="AN241" s="2">
        <v>0</v>
      </c>
      <c r="AO241" t="s">
        <v>11053</v>
      </c>
      <c r="AP241" t="s">
        <v>44</v>
      </c>
      <c r="AQ241" t="s">
        <v>11425</v>
      </c>
    </row>
    <row r="242" spans="1:43" x14ac:dyDescent="0.2">
      <c r="A242" t="s">
        <v>11419</v>
      </c>
      <c r="B242" t="s">
        <v>45</v>
      </c>
      <c r="C242" t="s">
        <v>11144</v>
      </c>
      <c r="D242" t="s">
        <v>11145</v>
      </c>
      <c r="E242" t="s">
        <v>11146</v>
      </c>
      <c r="F242" t="s">
        <v>11147</v>
      </c>
      <c r="G242" s="1">
        <v>6.68</v>
      </c>
      <c r="H242" s="2">
        <v>6.68</v>
      </c>
      <c r="I242" s="2">
        <v>6.68</v>
      </c>
      <c r="J242" s="2">
        <v>0.02</v>
      </c>
      <c r="K242" s="2">
        <v>0</v>
      </c>
      <c r="L242" s="2">
        <v>6.7</v>
      </c>
      <c r="M242" s="3">
        <v>6.88</v>
      </c>
      <c r="N242" s="4">
        <v>2E-8</v>
      </c>
      <c r="O242" s="5" t="s">
        <v>44</v>
      </c>
      <c r="P242" s="5">
        <v>55153</v>
      </c>
      <c r="Q242" s="1">
        <v>6.88</v>
      </c>
      <c r="R242" s="2">
        <v>0.08</v>
      </c>
      <c r="S242" s="6">
        <v>2.6006750000000002E-3</v>
      </c>
      <c r="T242" t="s">
        <v>112</v>
      </c>
      <c r="U242" t="s">
        <v>46</v>
      </c>
      <c r="V242" t="s">
        <v>11148</v>
      </c>
      <c r="W242" t="s">
        <v>43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s="4"/>
      <c r="AD242" s="4"/>
      <c r="AE242" s="2">
        <v>0</v>
      </c>
      <c r="AF242" s="4">
        <v>0</v>
      </c>
      <c r="AG242" s="2">
        <v>0</v>
      </c>
      <c r="AH242" s="2">
        <v>6.7</v>
      </c>
      <c r="AI242" s="2">
        <v>0</v>
      </c>
      <c r="AJ242" s="5">
        <v>44673</v>
      </c>
      <c r="AK242" t="s">
        <v>11420</v>
      </c>
      <c r="AL242" s="2">
        <v>0</v>
      </c>
      <c r="AM242" s="2">
        <v>6.88</v>
      </c>
      <c r="AN242" s="2">
        <v>0</v>
      </c>
      <c r="AO242" t="s">
        <v>11146</v>
      </c>
      <c r="AP242" t="s">
        <v>44</v>
      </c>
      <c r="AQ242" t="s">
        <v>11146</v>
      </c>
    </row>
    <row r="243" spans="1:43" x14ac:dyDescent="0.2">
      <c r="A243" t="s">
        <v>11419</v>
      </c>
      <c r="B243" t="s">
        <v>45</v>
      </c>
      <c r="C243" t="s">
        <v>47</v>
      </c>
      <c r="D243" t="s">
        <v>48</v>
      </c>
      <c r="E243" t="s">
        <v>49</v>
      </c>
      <c r="F243" t="s">
        <v>50</v>
      </c>
      <c r="G243" s="1">
        <v>0</v>
      </c>
      <c r="H243" s="2">
        <v>0</v>
      </c>
      <c r="I243" s="2">
        <v>0</v>
      </c>
      <c r="J243" s="2">
        <v>0</v>
      </c>
      <c r="K243" s="2">
        <v>0</v>
      </c>
      <c r="L243" s="2">
        <v>2630.42</v>
      </c>
      <c r="M243" s="3"/>
      <c r="N243" s="4">
        <v>5.9800000000000003E-6</v>
      </c>
      <c r="O243" s="5" t="s">
        <v>44</v>
      </c>
      <c r="P243" s="5" t="s">
        <v>44</v>
      </c>
      <c r="Q243" s="1"/>
      <c r="R243" s="2">
        <v>0.08</v>
      </c>
      <c r="S243" s="6"/>
      <c r="T243" t="s">
        <v>45</v>
      </c>
      <c r="U243" t="s">
        <v>46</v>
      </c>
      <c r="V243" t="s">
        <v>44</v>
      </c>
      <c r="W243" t="s">
        <v>43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s="4">
        <v>5.1163389600000002</v>
      </c>
      <c r="AD243" s="4">
        <v>5.0001424999999999</v>
      </c>
      <c r="AE243" s="2">
        <v>5.12</v>
      </c>
      <c r="AF243" s="4">
        <v>5.0001424999999999</v>
      </c>
      <c r="AG243" s="2">
        <v>0</v>
      </c>
      <c r="AH243" s="2">
        <v>2630.42</v>
      </c>
      <c r="AI243" s="2">
        <v>0</v>
      </c>
      <c r="AJ243" s="5">
        <v>44673</v>
      </c>
      <c r="AK243" t="s">
        <v>11420</v>
      </c>
      <c r="AL243" s="2">
        <v>5.05</v>
      </c>
      <c r="AM243" s="2">
        <v>0</v>
      </c>
      <c r="AN243" s="2">
        <v>0</v>
      </c>
      <c r="AO243" t="s">
        <v>44</v>
      </c>
      <c r="AP243" t="s">
        <v>44</v>
      </c>
      <c r="AQ243" t="s">
        <v>44</v>
      </c>
    </row>
    <row r="244" spans="1:43" x14ac:dyDescent="0.2">
      <c r="A244" t="s">
        <v>11419</v>
      </c>
      <c r="B244" t="s">
        <v>45</v>
      </c>
      <c r="C244" t="s">
        <v>47</v>
      </c>
      <c r="D244" t="s">
        <v>51</v>
      </c>
      <c r="E244" t="s">
        <v>52</v>
      </c>
      <c r="F244" t="s">
        <v>51</v>
      </c>
      <c r="G244" s="1">
        <v>1312203.3799999999</v>
      </c>
      <c r="H244" s="2">
        <v>1312203.3799999999</v>
      </c>
      <c r="I244" s="2">
        <v>1312203.3799999999</v>
      </c>
      <c r="J244" s="2">
        <v>0</v>
      </c>
      <c r="K244" s="2">
        <v>0</v>
      </c>
      <c r="L244" s="2">
        <v>1312203.3799999999</v>
      </c>
      <c r="M244" s="3"/>
      <c r="N244" s="4">
        <v>2.9854E-3</v>
      </c>
      <c r="O244" s="5" t="s">
        <v>44</v>
      </c>
      <c r="P244" s="5" t="s">
        <v>44</v>
      </c>
      <c r="Q244" s="1"/>
      <c r="R244" s="2">
        <v>0.08</v>
      </c>
      <c r="S244" s="6"/>
      <c r="T244" t="s">
        <v>45</v>
      </c>
      <c r="U244" t="s">
        <v>53</v>
      </c>
      <c r="V244" t="s">
        <v>44</v>
      </c>
      <c r="W244" t="s">
        <v>43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s="4">
        <v>5.1163389600000002</v>
      </c>
      <c r="AD244" s="4">
        <v>5.0001424999999999</v>
      </c>
      <c r="AE244" s="2">
        <v>5.12</v>
      </c>
      <c r="AF244" s="4">
        <v>5.0001424999999999</v>
      </c>
      <c r="AG244" s="2">
        <v>0.14000000000000001</v>
      </c>
      <c r="AH244" s="2">
        <v>1312203.3799999999</v>
      </c>
      <c r="AI244" s="2">
        <v>0</v>
      </c>
      <c r="AJ244" s="5">
        <v>44673</v>
      </c>
      <c r="AK244" t="s">
        <v>11420</v>
      </c>
      <c r="AL244" s="2">
        <v>5.05</v>
      </c>
      <c r="AM244" s="2">
        <v>0</v>
      </c>
      <c r="AN244" s="2">
        <v>0</v>
      </c>
      <c r="AO244" t="s">
        <v>44</v>
      </c>
      <c r="AP244" t="s">
        <v>44</v>
      </c>
      <c r="AQ244" t="s">
        <v>43</v>
      </c>
    </row>
    <row r="245" spans="1:43" x14ac:dyDescent="0.2">
      <c r="A245" t="s">
        <v>11419</v>
      </c>
      <c r="B245" t="s">
        <v>10951</v>
      </c>
      <c r="C245" t="s">
        <v>10952</v>
      </c>
      <c r="D245" t="s">
        <v>11426</v>
      </c>
      <c r="E245" t="s">
        <v>11427</v>
      </c>
      <c r="F245" t="s">
        <v>11426</v>
      </c>
      <c r="G245" s="1">
        <v>47408661.298500001</v>
      </c>
      <c r="H245" s="2">
        <v>47392231.840000004</v>
      </c>
      <c r="I245" s="2">
        <v>47484515.159999996</v>
      </c>
      <c r="J245" s="2">
        <v>0</v>
      </c>
      <c r="K245" s="2">
        <v>0</v>
      </c>
      <c r="L245" s="2">
        <v>47484515.159999996</v>
      </c>
      <c r="M245" s="3">
        <v>1.0016</v>
      </c>
      <c r="N245" s="4">
        <v>0.10803238</v>
      </c>
      <c r="O245" s="5" t="s">
        <v>44</v>
      </c>
      <c r="P245" s="5" t="s">
        <v>44</v>
      </c>
      <c r="Q245" s="1"/>
      <c r="R245" s="2"/>
      <c r="S245" s="6"/>
      <c r="T245" t="s">
        <v>10902</v>
      </c>
      <c r="U245" t="s">
        <v>10953</v>
      </c>
      <c r="V245" t="s">
        <v>10954</v>
      </c>
      <c r="W245" t="s">
        <v>43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s="4"/>
      <c r="AD245" s="4"/>
      <c r="AE245" s="2">
        <v>0</v>
      </c>
      <c r="AF245" s="4">
        <v>0</v>
      </c>
      <c r="AG245" s="2">
        <v>5.01</v>
      </c>
      <c r="AH245" s="2">
        <v>47484515.159999996</v>
      </c>
      <c r="AI245" s="2">
        <v>0.11</v>
      </c>
      <c r="AJ245" s="5">
        <v>44673</v>
      </c>
      <c r="AK245" t="s">
        <v>11420</v>
      </c>
      <c r="AL245" s="2">
        <v>0</v>
      </c>
      <c r="AM245" s="2">
        <v>0</v>
      </c>
      <c r="AN245" s="2">
        <v>0</v>
      </c>
      <c r="AO245" t="s">
        <v>44</v>
      </c>
      <c r="AP245" t="s">
        <v>44</v>
      </c>
      <c r="AQ245" t="s">
        <v>11427</v>
      </c>
    </row>
    <row r="246" spans="1:43" x14ac:dyDescent="0.2">
      <c r="A246" t="s">
        <v>11428</v>
      </c>
      <c r="B246" t="s">
        <v>10900</v>
      </c>
      <c r="C246" t="s">
        <v>11033</v>
      </c>
      <c r="D246" t="s">
        <v>11187</v>
      </c>
      <c r="E246" t="s">
        <v>11188</v>
      </c>
      <c r="F246" t="s">
        <v>11187</v>
      </c>
      <c r="G246" s="1">
        <v>8350000</v>
      </c>
      <c r="H246" s="2">
        <v>8480828.0399999991</v>
      </c>
      <c r="I246" s="2">
        <v>8681439.0500000007</v>
      </c>
      <c r="J246" s="2">
        <v>8128.55</v>
      </c>
      <c r="K246" s="2">
        <v>0</v>
      </c>
      <c r="L246" s="2">
        <v>8689567.5999999996</v>
      </c>
      <c r="M246" s="3">
        <v>7.1638799999999998</v>
      </c>
      <c r="N246" s="4">
        <v>1.9769700000000001E-2</v>
      </c>
      <c r="O246" s="5">
        <v>44757</v>
      </c>
      <c r="P246" s="5">
        <v>45672</v>
      </c>
      <c r="Q246" s="1">
        <v>8.8829999999999991</v>
      </c>
      <c r="R246" s="2">
        <v>0.22</v>
      </c>
      <c r="S246" s="6">
        <v>0.20744314818000001</v>
      </c>
      <c r="T246" t="s">
        <v>111</v>
      </c>
      <c r="U246" t="s">
        <v>111</v>
      </c>
      <c r="V246" t="s">
        <v>11189</v>
      </c>
      <c r="W246" t="s">
        <v>43</v>
      </c>
      <c r="X246" t="s">
        <v>11034</v>
      </c>
      <c r="Y246" t="s">
        <v>44</v>
      </c>
      <c r="Z246" t="s">
        <v>44</v>
      </c>
      <c r="AA246" t="s">
        <v>11035</v>
      </c>
      <c r="AB246" t="s">
        <v>44</v>
      </c>
      <c r="AC246" s="4">
        <v>7.2921833700000001</v>
      </c>
      <c r="AD246" s="4">
        <v>7.0592439100000002</v>
      </c>
      <c r="AE246" s="2">
        <v>7.29</v>
      </c>
      <c r="AF246" s="4">
        <v>7.0592439100000002</v>
      </c>
      <c r="AG246" s="2">
        <v>5.17</v>
      </c>
      <c r="AH246" s="2">
        <v>8689567.5999999996</v>
      </c>
      <c r="AI246" s="2">
        <v>0.02</v>
      </c>
      <c r="AJ246" s="5">
        <v>44673</v>
      </c>
      <c r="AK246" t="s">
        <v>11429</v>
      </c>
      <c r="AL246" s="2">
        <v>7.16</v>
      </c>
      <c r="AM246" s="2">
        <v>8.8800000000000008</v>
      </c>
      <c r="AN246" s="2">
        <v>0.21</v>
      </c>
      <c r="AO246" t="s">
        <v>11036</v>
      </c>
      <c r="AP246" t="s">
        <v>11191</v>
      </c>
      <c r="AQ246" t="s">
        <v>11188</v>
      </c>
    </row>
    <row r="247" spans="1:43" x14ac:dyDescent="0.2">
      <c r="A247" t="s">
        <v>11428</v>
      </c>
      <c r="B247" t="s">
        <v>10900</v>
      </c>
      <c r="C247" t="s">
        <v>10943</v>
      </c>
      <c r="D247" t="s">
        <v>10977</v>
      </c>
      <c r="E247" t="s">
        <v>10978</v>
      </c>
      <c r="F247" t="s">
        <v>10977</v>
      </c>
      <c r="G247" s="1">
        <v>5611680</v>
      </c>
      <c r="H247" s="2">
        <v>5694543.3300000001</v>
      </c>
      <c r="I247" s="2">
        <v>5274262.03</v>
      </c>
      <c r="J247" s="2">
        <v>258265.66</v>
      </c>
      <c r="K247" s="2">
        <v>0</v>
      </c>
      <c r="L247" s="2">
        <v>5532527.6900000004</v>
      </c>
      <c r="M247" s="3">
        <v>11.88</v>
      </c>
      <c r="N247" s="4">
        <v>1.25871E-2</v>
      </c>
      <c r="O247" s="5">
        <v>44697</v>
      </c>
      <c r="P247" s="5">
        <v>46888</v>
      </c>
      <c r="Q247" s="1">
        <v>10.565</v>
      </c>
      <c r="R247" s="2">
        <v>4.7300000000000004</v>
      </c>
      <c r="S247" s="6">
        <v>4.4668326030000003</v>
      </c>
      <c r="T247" t="s">
        <v>111</v>
      </c>
      <c r="U247" t="s">
        <v>111</v>
      </c>
      <c r="V247" t="s">
        <v>10944</v>
      </c>
      <c r="W247" t="s">
        <v>43</v>
      </c>
      <c r="X247" t="s">
        <v>44</v>
      </c>
      <c r="Y247" t="s">
        <v>44</v>
      </c>
      <c r="Z247" t="s">
        <v>44</v>
      </c>
      <c r="AA247" t="s">
        <v>10979</v>
      </c>
      <c r="AB247" t="s">
        <v>44</v>
      </c>
      <c r="AC247" s="4">
        <v>12.232836000000001</v>
      </c>
      <c r="AD247" s="4">
        <v>11.596213730000001</v>
      </c>
      <c r="AE247" s="2">
        <v>12.23</v>
      </c>
      <c r="AF247" s="4">
        <v>11.596213730000001</v>
      </c>
      <c r="AG247" s="2">
        <v>3.29</v>
      </c>
      <c r="AH247" s="2">
        <v>5532527.6900000004</v>
      </c>
      <c r="AI247" s="2">
        <v>0.01</v>
      </c>
      <c r="AJ247" s="5">
        <v>44673</v>
      </c>
      <c r="AK247" t="s">
        <v>11429</v>
      </c>
      <c r="AL247" s="2">
        <v>11.88</v>
      </c>
      <c r="AM247" s="2">
        <v>10.56</v>
      </c>
      <c r="AN247" s="2">
        <v>4.47</v>
      </c>
      <c r="AO247" t="s">
        <v>10980</v>
      </c>
      <c r="AP247" t="s">
        <v>10981</v>
      </c>
      <c r="AQ247" t="s">
        <v>10978</v>
      </c>
    </row>
    <row r="248" spans="1:43" x14ac:dyDescent="0.2">
      <c r="A248" t="s">
        <v>11428</v>
      </c>
      <c r="B248" t="s">
        <v>10900</v>
      </c>
      <c r="C248" t="s">
        <v>10943</v>
      </c>
      <c r="D248" t="s">
        <v>11135</v>
      </c>
      <c r="E248" t="s">
        <v>10946</v>
      </c>
      <c r="F248" t="s">
        <v>11135</v>
      </c>
      <c r="G248" s="1">
        <v>29850000</v>
      </c>
      <c r="H248" s="2">
        <v>33218582.050000001</v>
      </c>
      <c r="I248" s="2">
        <v>32429920.579999998</v>
      </c>
      <c r="J248" s="2">
        <v>1056199.32</v>
      </c>
      <c r="K248" s="2">
        <v>0</v>
      </c>
      <c r="L248" s="2">
        <v>33486119.899999999</v>
      </c>
      <c r="M248" s="3">
        <v>8.2249999999999996</v>
      </c>
      <c r="N248" s="4">
        <v>7.618453E-2</v>
      </c>
      <c r="O248" s="5">
        <v>44733</v>
      </c>
      <c r="P248" s="5">
        <v>46377</v>
      </c>
      <c r="Q248" s="1">
        <v>10.5</v>
      </c>
      <c r="R248" s="2">
        <v>3.72</v>
      </c>
      <c r="S248" s="6">
        <v>3.572672968</v>
      </c>
      <c r="T248" t="s">
        <v>111</v>
      </c>
      <c r="U248" t="s">
        <v>111</v>
      </c>
      <c r="V248" t="s">
        <v>10944</v>
      </c>
      <c r="W248" t="s">
        <v>43</v>
      </c>
      <c r="X248" t="s">
        <v>10945</v>
      </c>
      <c r="Y248" t="s">
        <v>44</v>
      </c>
      <c r="Z248" t="s">
        <v>44</v>
      </c>
      <c r="AA248" t="s">
        <v>10913</v>
      </c>
      <c r="AB248" t="s">
        <v>44</v>
      </c>
      <c r="AC248" s="4">
        <v>8.3941265600000001</v>
      </c>
      <c r="AD248" s="4">
        <v>8.0875032299999994</v>
      </c>
      <c r="AE248" s="2">
        <v>8.39</v>
      </c>
      <c r="AF248" s="4">
        <v>8.0875032299999994</v>
      </c>
      <c r="AG248" s="2">
        <v>19.91</v>
      </c>
      <c r="AH248" s="2">
        <v>33486119.899999999</v>
      </c>
      <c r="AI248" s="2">
        <v>0.08</v>
      </c>
      <c r="AJ248" s="5">
        <v>44673</v>
      </c>
      <c r="AK248" t="s">
        <v>11429</v>
      </c>
      <c r="AL248" s="2">
        <v>8.23</v>
      </c>
      <c r="AM248" s="2">
        <v>10.5</v>
      </c>
      <c r="AN248" s="2">
        <v>3.57</v>
      </c>
      <c r="AO248" t="s">
        <v>10922</v>
      </c>
      <c r="AP248" t="s">
        <v>11136</v>
      </c>
      <c r="AQ248" t="s">
        <v>10946</v>
      </c>
    </row>
    <row r="249" spans="1:43" x14ac:dyDescent="0.2">
      <c r="A249" t="s">
        <v>11428</v>
      </c>
      <c r="B249" t="s">
        <v>10900</v>
      </c>
      <c r="C249" t="s">
        <v>10943</v>
      </c>
      <c r="D249" t="s">
        <v>12863</v>
      </c>
      <c r="E249" t="s">
        <v>12864</v>
      </c>
      <c r="F249" t="s">
        <v>12863</v>
      </c>
      <c r="G249" s="1">
        <v>3650000</v>
      </c>
      <c r="H249" s="2">
        <v>3650000</v>
      </c>
      <c r="I249" s="2">
        <v>3654146.03</v>
      </c>
      <c r="J249" s="2">
        <v>13051.2</v>
      </c>
      <c r="K249" s="2">
        <v>0</v>
      </c>
      <c r="L249" s="2">
        <v>3667197.23</v>
      </c>
      <c r="M249" s="3">
        <v>8.0409749999999995</v>
      </c>
      <c r="N249" s="4">
        <v>8.3432699999999999E-3</v>
      </c>
      <c r="O249" s="5">
        <v>44750</v>
      </c>
      <c r="P249" s="5">
        <v>46485</v>
      </c>
      <c r="Q249" s="1">
        <v>8.157</v>
      </c>
      <c r="R249" s="2">
        <v>0.2</v>
      </c>
      <c r="S249" s="6">
        <v>9.4975697833E-2</v>
      </c>
      <c r="T249" t="s">
        <v>111</v>
      </c>
      <c r="U249" t="s">
        <v>111</v>
      </c>
      <c r="V249" t="s">
        <v>11189</v>
      </c>
      <c r="W249" t="s">
        <v>43</v>
      </c>
      <c r="X249" t="s">
        <v>11034</v>
      </c>
      <c r="Y249" t="s">
        <v>44</v>
      </c>
      <c r="Z249" t="s">
        <v>44</v>
      </c>
      <c r="AA249" t="s">
        <v>11035</v>
      </c>
      <c r="AB249" t="s">
        <v>44</v>
      </c>
      <c r="AC249" s="4">
        <v>8.2026182599999995</v>
      </c>
      <c r="AD249" s="4">
        <v>7.9094905600000001</v>
      </c>
      <c r="AE249" s="2">
        <v>8.1999999999999993</v>
      </c>
      <c r="AF249" s="4">
        <v>7.9094905600000001</v>
      </c>
      <c r="AG249" s="2">
        <v>2.1800000000000002</v>
      </c>
      <c r="AH249" s="2">
        <v>3667197.23</v>
      </c>
      <c r="AI249" s="2">
        <v>0.01</v>
      </c>
      <c r="AJ249" s="5">
        <v>44673</v>
      </c>
      <c r="AK249" t="s">
        <v>11429</v>
      </c>
      <c r="AL249" s="2">
        <v>8.0399999999999991</v>
      </c>
      <c r="AM249" s="2">
        <v>8.16</v>
      </c>
      <c r="AN249" s="2">
        <v>0.09</v>
      </c>
      <c r="AO249" t="s">
        <v>11496</v>
      </c>
      <c r="AP249" t="s">
        <v>12865</v>
      </c>
      <c r="AQ249" t="s">
        <v>12864</v>
      </c>
    </row>
    <row r="250" spans="1:43" x14ac:dyDescent="0.2">
      <c r="A250" t="s">
        <v>11428</v>
      </c>
      <c r="B250" t="s">
        <v>10900</v>
      </c>
      <c r="C250" t="s">
        <v>11137</v>
      </c>
      <c r="D250" t="s">
        <v>11138</v>
      </c>
      <c r="E250" t="s">
        <v>11139</v>
      </c>
      <c r="F250" t="s">
        <v>11138</v>
      </c>
      <c r="G250" s="1">
        <v>1510000</v>
      </c>
      <c r="H250" s="2">
        <v>1499291.37</v>
      </c>
      <c r="I250" s="2">
        <v>1443848.11</v>
      </c>
      <c r="J250" s="2">
        <v>5212.6000000000004</v>
      </c>
      <c r="K250" s="2">
        <v>0</v>
      </c>
      <c r="L250" s="2">
        <v>1449060.71</v>
      </c>
      <c r="M250" s="3">
        <v>11.316000000000001</v>
      </c>
      <c r="N250" s="4">
        <v>3.2967700000000001E-3</v>
      </c>
      <c r="O250" s="5">
        <v>44844</v>
      </c>
      <c r="P250" s="5">
        <v>47765</v>
      </c>
      <c r="Q250" s="1">
        <v>10.5</v>
      </c>
      <c r="R250" s="2">
        <v>5.71</v>
      </c>
      <c r="S250" s="6">
        <v>5.4077134439999996</v>
      </c>
      <c r="T250" t="s">
        <v>111</v>
      </c>
      <c r="U250" t="s">
        <v>111</v>
      </c>
      <c r="V250" t="s">
        <v>10944</v>
      </c>
      <c r="W250" t="s">
        <v>43</v>
      </c>
      <c r="X250" t="s">
        <v>44</v>
      </c>
      <c r="Y250" t="s">
        <v>44</v>
      </c>
      <c r="Z250" t="s">
        <v>44</v>
      </c>
      <c r="AA250" t="s">
        <v>10979</v>
      </c>
      <c r="AB250" t="s">
        <v>44</v>
      </c>
      <c r="AC250" s="4">
        <v>11.63612964</v>
      </c>
      <c r="AD250" s="4">
        <v>11.058095140000001</v>
      </c>
      <c r="AE250" s="2">
        <v>11.64</v>
      </c>
      <c r="AF250" s="4">
        <v>11.058095140000001</v>
      </c>
      <c r="AG250" s="2">
        <v>0.86</v>
      </c>
      <c r="AH250" s="2">
        <v>1449060.71</v>
      </c>
      <c r="AI250" s="2">
        <v>0</v>
      </c>
      <c r="AJ250" s="5">
        <v>44673</v>
      </c>
      <c r="AK250" t="s">
        <v>11429</v>
      </c>
      <c r="AL250" s="2">
        <v>11.32</v>
      </c>
      <c r="AM250" s="2">
        <v>10.5</v>
      </c>
      <c r="AN250" s="2">
        <v>5.41</v>
      </c>
      <c r="AO250" t="s">
        <v>10982</v>
      </c>
      <c r="AP250" t="s">
        <v>11140</v>
      </c>
      <c r="AQ250" t="s">
        <v>11139</v>
      </c>
    </row>
    <row r="251" spans="1:43" x14ac:dyDescent="0.2">
      <c r="A251" t="s">
        <v>11428</v>
      </c>
      <c r="B251" t="s">
        <v>10900</v>
      </c>
      <c r="C251" t="s">
        <v>10950</v>
      </c>
      <c r="D251" t="s">
        <v>11141</v>
      </c>
      <c r="E251" t="s">
        <v>11142</v>
      </c>
      <c r="F251" t="s">
        <v>11141</v>
      </c>
      <c r="G251" s="1">
        <v>3400000</v>
      </c>
      <c r="H251" s="2">
        <v>2735687.35</v>
      </c>
      <c r="I251" s="2">
        <v>2794753.76</v>
      </c>
      <c r="J251" s="2">
        <v>44948.65</v>
      </c>
      <c r="K251" s="2">
        <v>0</v>
      </c>
      <c r="L251" s="2">
        <v>2839702.41</v>
      </c>
      <c r="M251" s="3">
        <v>10.805</v>
      </c>
      <c r="N251" s="4">
        <v>6.4606300000000002E-3</v>
      </c>
      <c r="O251" s="5">
        <v>44804</v>
      </c>
      <c r="P251" s="5">
        <v>54116</v>
      </c>
      <c r="Q251" s="1">
        <v>8.75</v>
      </c>
      <c r="R251" s="2">
        <v>9.2200000000000006</v>
      </c>
      <c r="S251" s="6">
        <v>8.7507641760000006</v>
      </c>
      <c r="T251" t="s">
        <v>111</v>
      </c>
      <c r="U251" t="s">
        <v>111</v>
      </c>
      <c r="V251" t="s">
        <v>10944</v>
      </c>
      <c r="W251" t="s">
        <v>43</v>
      </c>
      <c r="X251" t="s">
        <v>10945</v>
      </c>
      <c r="Y251" t="s">
        <v>44</v>
      </c>
      <c r="Z251" t="s">
        <v>44</v>
      </c>
      <c r="AA251" t="s">
        <v>10913</v>
      </c>
      <c r="AB251" t="s">
        <v>44</v>
      </c>
      <c r="AC251" s="4">
        <v>11.096870060000001</v>
      </c>
      <c r="AD251" s="4">
        <v>10.56950999</v>
      </c>
      <c r="AE251" s="2">
        <v>11.1</v>
      </c>
      <c r="AF251" s="4">
        <v>10.56950999</v>
      </c>
      <c r="AG251" s="2">
        <v>1.69</v>
      </c>
      <c r="AH251" s="2">
        <v>2839702.41</v>
      </c>
      <c r="AI251" s="2">
        <v>0.01</v>
      </c>
      <c r="AJ251" s="5">
        <v>44673</v>
      </c>
      <c r="AK251" t="s">
        <v>11429</v>
      </c>
      <c r="AL251" s="2">
        <v>10.8</v>
      </c>
      <c r="AM251" s="2">
        <v>8.75</v>
      </c>
      <c r="AN251" s="2">
        <v>8.75</v>
      </c>
      <c r="AO251" t="s">
        <v>10922</v>
      </c>
      <c r="AP251" t="s">
        <v>11143</v>
      </c>
      <c r="AQ251" t="s">
        <v>11142</v>
      </c>
    </row>
    <row r="252" spans="1:43" x14ac:dyDescent="0.2">
      <c r="A252" t="s">
        <v>11428</v>
      </c>
      <c r="B252" t="s">
        <v>10900</v>
      </c>
      <c r="C252" t="s">
        <v>10950</v>
      </c>
      <c r="D252" t="s">
        <v>10983</v>
      </c>
      <c r="E252" t="s">
        <v>10984</v>
      </c>
      <c r="F252" t="s">
        <v>10983</v>
      </c>
      <c r="G252" s="1">
        <v>3100000</v>
      </c>
      <c r="H252" s="2">
        <v>2577845.21</v>
      </c>
      <c r="I252" s="2">
        <v>2592010.75</v>
      </c>
      <c r="J252" s="2">
        <v>58289.07</v>
      </c>
      <c r="K252" s="2">
        <v>0</v>
      </c>
      <c r="L252" s="2">
        <v>2650299.8199999998</v>
      </c>
      <c r="M252" s="3">
        <v>10.734999999999999</v>
      </c>
      <c r="N252" s="4">
        <v>6.0297199999999997E-3</v>
      </c>
      <c r="O252" s="5">
        <v>44774</v>
      </c>
      <c r="P252" s="5">
        <v>50071</v>
      </c>
      <c r="Q252" s="1">
        <v>8.5</v>
      </c>
      <c r="R252" s="2">
        <v>7.91</v>
      </c>
      <c r="S252" s="6">
        <v>7.5106016819999999</v>
      </c>
      <c r="T252" t="s">
        <v>111</v>
      </c>
      <c r="U252" t="s">
        <v>111</v>
      </c>
      <c r="V252" t="s">
        <v>10944</v>
      </c>
      <c r="W252" t="s">
        <v>43</v>
      </c>
      <c r="X252" t="s">
        <v>10945</v>
      </c>
      <c r="Y252" t="s">
        <v>44</v>
      </c>
      <c r="Z252" t="s">
        <v>44</v>
      </c>
      <c r="AA252" t="s">
        <v>10913</v>
      </c>
      <c r="AB252" t="s">
        <v>44</v>
      </c>
      <c r="AC252" s="4">
        <v>11.02310056</v>
      </c>
      <c r="AD252" s="4">
        <v>10.50250368</v>
      </c>
      <c r="AE252" s="2">
        <v>11.02</v>
      </c>
      <c r="AF252" s="4">
        <v>10.50250368</v>
      </c>
      <c r="AG252" s="2">
        <v>1.58</v>
      </c>
      <c r="AH252" s="2">
        <v>2650299.8199999998</v>
      </c>
      <c r="AI252" s="2">
        <v>0.01</v>
      </c>
      <c r="AJ252" s="5">
        <v>44673</v>
      </c>
      <c r="AK252" t="s">
        <v>11429</v>
      </c>
      <c r="AL252" s="2">
        <v>10.73</v>
      </c>
      <c r="AM252" s="2">
        <v>8.5</v>
      </c>
      <c r="AN252" s="2">
        <v>7.51</v>
      </c>
      <c r="AO252" t="s">
        <v>10922</v>
      </c>
      <c r="AP252" t="s">
        <v>10985</v>
      </c>
      <c r="AQ252" t="s">
        <v>10984</v>
      </c>
    </row>
    <row r="253" spans="1:43" x14ac:dyDescent="0.2">
      <c r="A253" t="s">
        <v>11428</v>
      </c>
      <c r="B253" t="s">
        <v>10900</v>
      </c>
      <c r="C253" t="s">
        <v>10950</v>
      </c>
      <c r="D253" t="s">
        <v>10986</v>
      </c>
      <c r="E253" t="s">
        <v>10987</v>
      </c>
      <c r="F253" t="s">
        <v>10986</v>
      </c>
      <c r="G253" s="1">
        <v>4420000</v>
      </c>
      <c r="H253" s="2">
        <v>4078990.09</v>
      </c>
      <c r="I253" s="2">
        <v>3997563.36</v>
      </c>
      <c r="J253" s="2">
        <v>18224.93</v>
      </c>
      <c r="K253" s="2">
        <v>0</v>
      </c>
      <c r="L253" s="2">
        <v>4015788.29</v>
      </c>
      <c r="M253" s="3">
        <v>12.05</v>
      </c>
      <c r="N253" s="4">
        <v>9.1363499999999997E-3</v>
      </c>
      <c r="O253" s="5">
        <v>44844</v>
      </c>
      <c r="P253" s="5">
        <v>51418</v>
      </c>
      <c r="Q253" s="1">
        <v>10.75</v>
      </c>
      <c r="R253" s="2">
        <v>7.89</v>
      </c>
      <c r="S253" s="6">
        <v>7.4432483840000003</v>
      </c>
      <c r="T253" t="s">
        <v>111</v>
      </c>
      <c r="U253" t="s">
        <v>111</v>
      </c>
      <c r="V253" t="s">
        <v>10944</v>
      </c>
      <c r="W253" t="s">
        <v>43</v>
      </c>
      <c r="X253" t="s">
        <v>10988</v>
      </c>
      <c r="Y253" t="s">
        <v>44</v>
      </c>
      <c r="Z253" t="s">
        <v>44</v>
      </c>
      <c r="AA253" t="s">
        <v>10979</v>
      </c>
      <c r="AB253" t="s">
        <v>44</v>
      </c>
      <c r="AC253" s="4">
        <v>12.41300625</v>
      </c>
      <c r="AD253" s="4">
        <v>11.758178470000001</v>
      </c>
      <c r="AE253" s="2">
        <v>12.41</v>
      </c>
      <c r="AF253" s="4">
        <v>11.758178470000001</v>
      </c>
      <c r="AG253" s="2">
        <v>2.39</v>
      </c>
      <c r="AH253" s="2">
        <v>4015788.29</v>
      </c>
      <c r="AI253" s="2">
        <v>0.01</v>
      </c>
      <c r="AJ253" s="5">
        <v>44673</v>
      </c>
      <c r="AK253" t="s">
        <v>11429</v>
      </c>
      <c r="AL253" s="2">
        <v>12.05</v>
      </c>
      <c r="AM253" s="2">
        <v>10.75</v>
      </c>
      <c r="AN253" s="2">
        <v>7.44</v>
      </c>
      <c r="AO253" t="s">
        <v>10982</v>
      </c>
      <c r="AP253" t="s">
        <v>10989</v>
      </c>
      <c r="AQ253" t="s">
        <v>10987</v>
      </c>
    </row>
    <row r="254" spans="1:43" x14ac:dyDescent="0.2">
      <c r="A254" t="s">
        <v>11428</v>
      </c>
      <c r="B254" t="s">
        <v>10900</v>
      </c>
      <c r="C254" t="s">
        <v>10990</v>
      </c>
      <c r="D254" t="s">
        <v>10991</v>
      </c>
      <c r="E254" t="s">
        <v>1153</v>
      </c>
      <c r="F254" t="s">
        <v>10991</v>
      </c>
      <c r="G254" s="1">
        <v>2970000</v>
      </c>
      <c r="H254" s="2">
        <v>3826188.81</v>
      </c>
      <c r="I254" s="2">
        <v>3840530.98</v>
      </c>
      <c r="J254" s="2">
        <v>24054.66</v>
      </c>
      <c r="K254" s="2">
        <v>0</v>
      </c>
      <c r="L254" s="2">
        <v>3864585.64</v>
      </c>
      <c r="M254" s="3">
        <v>3.9</v>
      </c>
      <c r="N254" s="4">
        <v>8.7923500000000009E-3</v>
      </c>
      <c r="O254" s="5">
        <v>44774</v>
      </c>
      <c r="P254" s="5">
        <v>50436</v>
      </c>
      <c r="Q254" s="1">
        <v>2.25</v>
      </c>
      <c r="R254" s="2">
        <v>12.94</v>
      </c>
      <c r="S254" s="6">
        <v>12.689805079999999</v>
      </c>
      <c r="T254" t="s">
        <v>111</v>
      </c>
      <c r="U254" t="s">
        <v>111</v>
      </c>
      <c r="V254" t="s">
        <v>10992</v>
      </c>
      <c r="W254" t="s">
        <v>43</v>
      </c>
      <c r="X254" t="s">
        <v>10945</v>
      </c>
      <c r="Y254" t="s">
        <v>44</v>
      </c>
      <c r="Z254" t="s">
        <v>44</v>
      </c>
      <c r="AA254" t="s">
        <v>10913</v>
      </c>
      <c r="AB254" t="s">
        <v>44</v>
      </c>
      <c r="AC254" s="4">
        <v>3.9380250000000001</v>
      </c>
      <c r="AD254" s="4">
        <v>3.8686849699999999</v>
      </c>
      <c r="AE254" s="2">
        <v>3.94</v>
      </c>
      <c r="AF254" s="4">
        <v>3.8686849699999999</v>
      </c>
      <c r="AG254" s="2">
        <v>2.2999999999999998</v>
      </c>
      <c r="AH254" s="2">
        <v>3864585.64</v>
      </c>
      <c r="AI254" s="2">
        <v>0.01</v>
      </c>
      <c r="AJ254" s="5">
        <v>44673</v>
      </c>
      <c r="AK254" t="s">
        <v>11429</v>
      </c>
      <c r="AL254" s="2">
        <v>3.9</v>
      </c>
      <c r="AM254" s="2">
        <v>2.25</v>
      </c>
      <c r="AN254" s="2">
        <v>12.69</v>
      </c>
      <c r="AO254" t="s">
        <v>10922</v>
      </c>
      <c r="AP254" t="s">
        <v>10993</v>
      </c>
      <c r="AQ254" t="s">
        <v>1153</v>
      </c>
    </row>
    <row r="255" spans="1:43" x14ac:dyDescent="0.2">
      <c r="A255" t="s">
        <v>11428</v>
      </c>
      <c r="B255" t="s">
        <v>10900</v>
      </c>
      <c r="C255" t="s">
        <v>10990</v>
      </c>
      <c r="D255" t="s">
        <v>10994</v>
      </c>
      <c r="E255" t="s">
        <v>1190</v>
      </c>
      <c r="F255" t="s">
        <v>10994</v>
      </c>
      <c r="G255" s="1">
        <v>3230000</v>
      </c>
      <c r="H255" s="2">
        <v>3801325.91</v>
      </c>
      <c r="I255" s="2">
        <v>3821526.76</v>
      </c>
      <c r="J255" s="2">
        <v>7684.3</v>
      </c>
      <c r="K255" s="2">
        <v>0</v>
      </c>
      <c r="L255" s="2">
        <v>3829211.06</v>
      </c>
      <c r="M255" s="3">
        <v>3.9</v>
      </c>
      <c r="N255" s="4">
        <v>8.71187E-3</v>
      </c>
      <c r="O255" s="5">
        <v>44834</v>
      </c>
      <c r="P255" s="5">
        <v>53417</v>
      </c>
      <c r="Q255" s="1">
        <v>2.5</v>
      </c>
      <c r="R255" s="2">
        <v>17.22</v>
      </c>
      <c r="S255" s="6">
        <v>16.886631569999999</v>
      </c>
      <c r="T255" t="s">
        <v>111</v>
      </c>
      <c r="U255" t="s">
        <v>111</v>
      </c>
      <c r="V255" t="s">
        <v>10992</v>
      </c>
      <c r="W255" t="s">
        <v>43</v>
      </c>
      <c r="X255" t="s">
        <v>10945</v>
      </c>
      <c r="Y255" t="s">
        <v>44</v>
      </c>
      <c r="Z255" t="s">
        <v>44</v>
      </c>
      <c r="AA255" t="s">
        <v>10913</v>
      </c>
      <c r="AB255" t="s">
        <v>44</v>
      </c>
      <c r="AC255" s="4">
        <v>3.9380250000000001</v>
      </c>
      <c r="AD255" s="4">
        <v>3.8686849699999999</v>
      </c>
      <c r="AE255" s="2">
        <v>3.94</v>
      </c>
      <c r="AF255" s="4">
        <v>3.8686849699999999</v>
      </c>
      <c r="AG255" s="2">
        <v>2.2799999999999998</v>
      </c>
      <c r="AH255" s="2">
        <v>3829211.06</v>
      </c>
      <c r="AI255" s="2">
        <v>0.01</v>
      </c>
      <c r="AJ255" s="5">
        <v>44673</v>
      </c>
      <c r="AK255" t="s">
        <v>11429</v>
      </c>
      <c r="AL255" s="2">
        <v>3.9</v>
      </c>
      <c r="AM255" s="2">
        <v>2.5</v>
      </c>
      <c r="AN255" s="2">
        <v>16.89</v>
      </c>
      <c r="AO255" t="s">
        <v>10922</v>
      </c>
      <c r="AP255" t="s">
        <v>10995</v>
      </c>
      <c r="AQ255" t="s">
        <v>1190</v>
      </c>
    </row>
    <row r="256" spans="1:43" x14ac:dyDescent="0.2">
      <c r="A256" t="s">
        <v>11428</v>
      </c>
      <c r="B256" t="s">
        <v>10900</v>
      </c>
      <c r="C256" t="s">
        <v>10990</v>
      </c>
      <c r="D256" t="s">
        <v>10996</v>
      </c>
      <c r="E256" t="s">
        <v>1160</v>
      </c>
      <c r="F256" t="s">
        <v>10996</v>
      </c>
      <c r="G256" s="1">
        <v>4000000</v>
      </c>
      <c r="H256" s="2">
        <v>4789228.37</v>
      </c>
      <c r="I256" s="2">
        <v>4864038.7699999996</v>
      </c>
      <c r="J256" s="2">
        <v>49559.32</v>
      </c>
      <c r="K256" s="2">
        <v>0</v>
      </c>
      <c r="L256" s="2">
        <v>4913598.09</v>
      </c>
      <c r="M256" s="3">
        <v>3.9</v>
      </c>
      <c r="N256" s="4">
        <v>1.117896E-2</v>
      </c>
      <c r="O256" s="5">
        <v>44742</v>
      </c>
      <c r="P256" s="5">
        <v>55153</v>
      </c>
      <c r="Q256" s="1">
        <v>2.5</v>
      </c>
      <c r="R256" s="2">
        <v>19.05</v>
      </c>
      <c r="S256" s="6">
        <v>18.689623709999999</v>
      </c>
      <c r="T256" t="s">
        <v>111</v>
      </c>
      <c r="U256" t="s">
        <v>111</v>
      </c>
      <c r="V256" t="s">
        <v>10992</v>
      </c>
      <c r="W256" t="s">
        <v>43</v>
      </c>
      <c r="X256" t="s">
        <v>10945</v>
      </c>
      <c r="Y256" t="s">
        <v>44</v>
      </c>
      <c r="Z256" t="s">
        <v>44</v>
      </c>
      <c r="AA256" t="s">
        <v>10913</v>
      </c>
      <c r="AB256" t="s">
        <v>44</v>
      </c>
      <c r="AC256" s="4">
        <v>3.9380250000000001</v>
      </c>
      <c r="AD256" s="4">
        <v>3.8686849699999999</v>
      </c>
      <c r="AE256" s="2">
        <v>3.94</v>
      </c>
      <c r="AF256" s="4">
        <v>3.8686849699999999</v>
      </c>
      <c r="AG256" s="2">
        <v>2.92</v>
      </c>
      <c r="AH256" s="2">
        <v>4913598.09</v>
      </c>
      <c r="AI256" s="2">
        <v>0.01</v>
      </c>
      <c r="AJ256" s="5">
        <v>44673</v>
      </c>
      <c r="AK256" t="s">
        <v>11429</v>
      </c>
      <c r="AL256" s="2">
        <v>3.9</v>
      </c>
      <c r="AM256" s="2">
        <v>2.5</v>
      </c>
      <c r="AN256" s="2">
        <v>18.690000000000001</v>
      </c>
      <c r="AO256" t="s">
        <v>10922</v>
      </c>
      <c r="AP256" t="s">
        <v>10997</v>
      </c>
      <c r="AQ256" t="s">
        <v>1160</v>
      </c>
    </row>
    <row r="257" spans="1:43" x14ac:dyDescent="0.2">
      <c r="A257" t="s">
        <v>11428</v>
      </c>
      <c r="B257" t="s">
        <v>10900</v>
      </c>
      <c r="C257" t="s">
        <v>10990</v>
      </c>
      <c r="D257" t="s">
        <v>10998</v>
      </c>
      <c r="E257" t="s">
        <v>1197</v>
      </c>
      <c r="F257" t="s">
        <v>10998</v>
      </c>
      <c r="G257" s="1">
        <v>3780000</v>
      </c>
      <c r="H257" s="2">
        <v>4290807.59</v>
      </c>
      <c r="I257" s="2">
        <v>4277955.0599999996</v>
      </c>
      <c r="J257" s="2">
        <v>14322.71</v>
      </c>
      <c r="K257" s="2">
        <v>0</v>
      </c>
      <c r="L257" s="2">
        <v>4292277.7699999996</v>
      </c>
      <c r="M257" s="3">
        <v>3.82</v>
      </c>
      <c r="N257" s="4">
        <v>9.7653900000000005E-3</v>
      </c>
      <c r="O257" s="5">
        <v>44804</v>
      </c>
      <c r="P257" s="5">
        <v>48638</v>
      </c>
      <c r="Q257" s="1">
        <v>1.875</v>
      </c>
      <c r="R257" s="2">
        <v>9.7100000000000009</v>
      </c>
      <c r="S257" s="6">
        <v>9.5277218819999998</v>
      </c>
      <c r="T257" t="s">
        <v>111</v>
      </c>
      <c r="U257" t="s">
        <v>111</v>
      </c>
      <c r="V257" t="s">
        <v>10992</v>
      </c>
      <c r="W257" t="s">
        <v>43</v>
      </c>
      <c r="X257" t="s">
        <v>10945</v>
      </c>
      <c r="Y257" t="s">
        <v>44</v>
      </c>
      <c r="Z257" t="s">
        <v>44</v>
      </c>
      <c r="AA257" t="s">
        <v>10913</v>
      </c>
      <c r="AB257" t="s">
        <v>44</v>
      </c>
      <c r="AC257" s="4">
        <v>3.856481</v>
      </c>
      <c r="AD257" s="4">
        <v>3.7899492800000001</v>
      </c>
      <c r="AE257" s="2">
        <v>3.86</v>
      </c>
      <c r="AF257" s="4">
        <v>3.7899492800000001</v>
      </c>
      <c r="AG257" s="2">
        <v>2.5499999999999998</v>
      </c>
      <c r="AH257" s="2">
        <v>4292277.7699999996</v>
      </c>
      <c r="AI257" s="2">
        <v>0.01</v>
      </c>
      <c r="AJ257" s="5">
        <v>44673</v>
      </c>
      <c r="AK257" t="s">
        <v>11429</v>
      </c>
      <c r="AL257" s="2">
        <v>3.82</v>
      </c>
      <c r="AM257" s="2">
        <v>1.88</v>
      </c>
      <c r="AN257" s="2">
        <v>9.5299999999999994</v>
      </c>
      <c r="AO257" t="s">
        <v>10922</v>
      </c>
      <c r="AP257" t="s">
        <v>10999</v>
      </c>
      <c r="AQ257" t="s">
        <v>1197</v>
      </c>
    </row>
    <row r="258" spans="1:43" x14ac:dyDescent="0.2">
      <c r="A258" t="s">
        <v>11428</v>
      </c>
      <c r="B258" t="s">
        <v>45</v>
      </c>
      <c r="C258" t="s">
        <v>11000</v>
      </c>
      <c r="D258" t="s">
        <v>11001</v>
      </c>
      <c r="E258" t="s">
        <v>11002</v>
      </c>
      <c r="F258" t="s">
        <v>11001</v>
      </c>
      <c r="G258" s="1">
        <v>6740035.7000000002</v>
      </c>
      <c r="H258" s="2">
        <v>6740035.7000000002</v>
      </c>
      <c r="I258" s="2">
        <v>6740035.7000000002</v>
      </c>
      <c r="J258" s="2">
        <v>21802.959999999999</v>
      </c>
      <c r="K258" s="2">
        <v>0</v>
      </c>
      <c r="L258" s="2">
        <v>6761838.6600000001</v>
      </c>
      <c r="M258" s="3"/>
      <c r="N258" s="4">
        <v>1.5383910000000001E-2</v>
      </c>
      <c r="O258" s="5">
        <v>40756</v>
      </c>
      <c r="P258" s="5">
        <v>73020</v>
      </c>
      <c r="Q258" s="1">
        <v>0</v>
      </c>
      <c r="R258" s="2"/>
      <c r="S258" s="6"/>
      <c r="T258" t="s">
        <v>111</v>
      </c>
      <c r="U258" t="s">
        <v>11003</v>
      </c>
      <c r="V258" t="s">
        <v>46</v>
      </c>
      <c r="W258" t="s">
        <v>43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s="4"/>
      <c r="AD258" s="4"/>
      <c r="AE258" s="2">
        <v>0</v>
      </c>
      <c r="AF258" s="4">
        <v>0</v>
      </c>
      <c r="AG258" s="2">
        <v>4.0199999999999996</v>
      </c>
      <c r="AH258" s="2">
        <v>6761838.6600000001</v>
      </c>
      <c r="AI258" s="2">
        <v>0.02</v>
      </c>
      <c r="AJ258" s="5">
        <v>44673</v>
      </c>
      <c r="AK258" t="s">
        <v>11429</v>
      </c>
      <c r="AL258" s="2">
        <v>0</v>
      </c>
      <c r="AM258" s="2">
        <v>0</v>
      </c>
      <c r="AN258" s="2">
        <v>0</v>
      </c>
      <c r="AO258" t="s">
        <v>44</v>
      </c>
      <c r="AP258" t="s">
        <v>11004</v>
      </c>
      <c r="AQ258" t="s">
        <v>11002</v>
      </c>
    </row>
    <row r="259" spans="1:43" x14ac:dyDescent="0.2">
      <c r="A259" t="s">
        <v>11428</v>
      </c>
      <c r="B259" t="s">
        <v>45</v>
      </c>
      <c r="C259" t="s">
        <v>11144</v>
      </c>
      <c r="D259" t="s">
        <v>11145</v>
      </c>
      <c r="E259" t="s">
        <v>11146</v>
      </c>
      <c r="F259" t="s">
        <v>11147</v>
      </c>
      <c r="G259" s="1">
        <v>5608571</v>
      </c>
      <c r="H259" s="2">
        <v>5608571</v>
      </c>
      <c r="I259" s="2">
        <v>5608571</v>
      </c>
      <c r="J259" s="2">
        <v>18657.759999999998</v>
      </c>
      <c r="K259" s="2">
        <v>0</v>
      </c>
      <c r="L259" s="2">
        <v>5627228.7599999998</v>
      </c>
      <c r="M259" s="3">
        <v>6.88</v>
      </c>
      <c r="N259" s="4">
        <v>1.2802549999999999E-2</v>
      </c>
      <c r="O259" s="5" t="s">
        <v>44</v>
      </c>
      <c r="P259" s="5">
        <v>55153</v>
      </c>
      <c r="Q259" s="1">
        <v>6.88</v>
      </c>
      <c r="R259" s="2">
        <v>0.08</v>
      </c>
      <c r="S259" s="6">
        <v>2.6006750000000002E-3</v>
      </c>
      <c r="T259" t="s">
        <v>112</v>
      </c>
      <c r="U259" t="s">
        <v>46</v>
      </c>
      <c r="V259" t="s">
        <v>11148</v>
      </c>
      <c r="W259" t="s">
        <v>43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s="4"/>
      <c r="AD259" s="4"/>
      <c r="AE259" s="2">
        <v>0</v>
      </c>
      <c r="AF259" s="4">
        <v>0</v>
      </c>
      <c r="AG259" s="2">
        <v>3.35</v>
      </c>
      <c r="AH259" s="2">
        <v>5627228.7599999998</v>
      </c>
      <c r="AI259" s="2">
        <v>0.01</v>
      </c>
      <c r="AJ259" s="5">
        <v>44673</v>
      </c>
      <c r="AK259" t="s">
        <v>11429</v>
      </c>
      <c r="AL259" s="2">
        <v>0</v>
      </c>
      <c r="AM259" s="2">
        <v>6.88</v>
      </c>
      <c r="AN259" s="2">
        <v>0</v>
      </c>
      <c r="AO259" t="s">
        <v>11146</v>
      </c>
      <c r="AP259" t="s">
        <v>44</v>
      </c>
      <c r="AQ259" t="s">
        <v>11146</v>
      </c>
    </row>
    <row r="260" spans="1:43" x14ac:dyDescent="0.2">
      <c r="A260" t="s">
        <v>11428</v>
      </c>
      <c r="B260" t="s">
        <v>45</v>
      </c>
      <c r="C260" t="s">
        <v>47</v>
      </c>
      <c r="D260" t="s">
        <v>48</v>
      </c>
      <c r="E260" t="s">
        <v>49</v>
      </c>
      <c r="F260" t="s">
        <v>50</v>
      </c>
      <c r="G260" s="1">
        <v>0</v>
      </c>
      <c r="H260" s="2">
        <v>0</v>
      </c>
      <c r="I260" s="2">
        <v>0</v>
      </c>
      <c r="J260" s="2">
        <v>0</v>
      </c>
      <c r="K260" s="2">
        <v>0</v>
      </c>
      <c r="L260" s="2">
        <v>851.83</v>
      </c>
      <c r="M260" s="3"/>
      <c r="N260" s="4">
        <v>1.9400000000000001E-6</v>
      </c>
      <c r="O260" s="5" t="s">
        <v>44</v>
      </c>
      <c r="P260" s="5" t="s">
        <v>44</v>
      </c>
      <c r="Q260" s="1"/>
      <c r="R260" s="2">
        <v>0.08</v>
      </c>
      <c r="S260" s="6"/>
      <c r="T260" t="s">
        <v>45</v>
      </c>
      <c r="U260" t="s">
        <v>46</v>
      </c>
      <c r="V260" t="s">
        <v>44</v>
      </c>
      <c r="W260" t="s">
        <v>43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s="4">
        <v>5.1163389600000002</v>
      </c>
      <c r="AD260" s="4">
        <v>5.0001424999999999</v>
      </c>
      <c r="AE260" s="2">
        <v>5.12</v>
      </c>
      <c r="AF260" s="4">
        <v>5.0001424999999999</v>
      </c>
      <c r="AG260" s="2">
        <v>0</v>
      </c>
      <c r="AH260" s="2">
        <v>851.83</v>
      </c>
      <c r="AI260" s="2">
        <v>0</v>
      </c>
      <c r="AJ260" s="5">
        <v>44673</v>
      </c>
      <c r="AK260" t="s">
        <v>11429</v>
      </c>
      <c r="AL260" s="2">
        <v>5.05</v>
      </c>
      <c r="AM260" s="2">
        <v>0</v>
      </c>
      <c r="AN260" s="2">
        <v>0</v>
      </c>
      <c r="AO260" t="s">
        <v>44</v>
      </c>
      <c r="AP260" t="s">
        <v>44</v>
      </c>
      <c r="AQ260" t="s">
        <v>44</v>
      </c>
    </row>
    <row r="261" spans="1:43" x14ac:dyDescent="0.2">
      <c r="A261" t="s">
        <v>11428</v>
      </c>
      <c r="B261" t="s">
        <v>45</v>
      </c>
      <c r="C261" t="s">
        <v>47</v>
      </c>
      <c r="D261" t="s">
        <v>51</v>
      </c>
      <c r="E261" t="s">
        <v>52</v>
      </c>
      <c r="F261" t="s">
        <v>51</v>
      </c>
      <c r="G261" s="1">
        <v>1580615.93</v>
      </c>
      <c r="H261" s="2">
        <v>1580615.93</v>
      </c>
      <c r="I261" s="2">
        <v>1580615.93</v>
      </c>
      <c r="J261" s="2">
        <v>0</v>
      </c>
      <c r="K261" s="2">
        <v>0</v>
      </c>
      <c r="L261" s="2">
        <v>1580615.93</v>
      </c>
      <c r="M261" s="3"/>
      <c r="N261" s="4">
        <v>3.5960699999999998E-3</v>
      </c>
      <c r="O261" s="5" t="s">
        <v>44</v>
      </c>
      <c r="P261" s="5" t="s">
        <v>44</v>
      </c>
      <c r="Q261" s="1"/>
      <c r="R261" s="2">
        <v>0.08</v>
      </c>
      <c r="S261" s="6"/>
      <c r="T261" t="s">
        <v>45</v>
      </c>
      <c r="U261" t="s">
        <v>53</v>
      </c>
      <c r="V261" t="s">
        <v>44</v>
      </c>
      <c r="W261" t="s">
        <v>43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s="4">
        <v>5.1163389600000002</v>
      </c>
      <c r="AD261" s="4">
        <v>5.0001424999999999</v>
      </c>
      <c r="AE261" s="2">
        <v>5.12</v>
      </c>
      <c r="AF261" s="4">
        <v>5.0001424999999999</v>
      </c>
      <c r="AG261" s="2">
        <v>0.94</v>
      </c>
      <c r="AH261" s="2">
        <v>1580615.93</v>
      </c>
      <c r="AI261" s="2">
        <v>0</v>
      </c>
      <c r="AJ261" s="5">
        <v>44673</v>
      </c>
      <c r="AK261" t="s">
        <v>11429</v>
      </c>
      <c r="AL261" s="2">
        <v>5.05</v>
      </c>
      <c r="AM261" s="2">
        <v>0</v>
      </c>
      <c r="AN261" s="2">
        <v>0</v>
      </c>
      <c r="AO261" t="s">
        <v>44</v>
      </c>
      <c r="AP261" t="s">
        <v>44</v>
      </c>
      <c r="AQ261" t="s">
        <v>43</v>
      </c>
    </row>
    <row r="262" spans="1:43" x14ac:dyDescent="0.2">
      <c r="A262" t="s">
        <v>11428</v>
      </c>
      <c r="B262" t="s">
        <v>45</v>
      </c>
      <c r="C262" t="s">
        <v>11005</v>
      </c>
      <c r="D262" t="s">
        <v>11149</v>
      </c>
      <c r="E262" t="s">
        <v>11150</v>
      </c>
      <c r="F262" t="s">
        <v>44</v>
      </c>
      <c r="G262" s="1">
        <v>-1570545.24</v>
      </c>
      <c r="H262" s="2">
        <v>-1570545.24</v>
      </c>
      <c r="I262" s="2">
        <v>-1570545.24</v>
      </c>
      <c r="J262" s="2">
        <v>0</v>
      </c>
      <c r="K262" s="2"/>
      <c r="L262" s="2">
        <v>-1570545.24</v>
      </c>
      <c r="M262" s="3"/>
      <c r="N262" s="4">
        <v>-3.5731600000000001E-3</v>
      </c>
      <c r="O262" s="5" t="s">
        <v>44</v>
      </c>
      <c r="P262" s="5">
        <v>73051</v>
      </c>
      <c r="Q262" s="1">
        <v>0</v>
      </c>
      <c r="R262" s="2">
        <v>0.08</v>
      </c>
      <c r="S262" s="6"/>
      <c r="T262" t="s">
        <v>45</v>
      </c>
      <c r="U262" t="s">
        <v>44</v>
      </c>
      <c r="V262" t="s">
        <v>44</v>
      </c>
      <c r="W262" t="s">
        <v>43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s="4">
        <v>5.1163389600000002</v>
      </c>
      <c r="AD262" s="4">
        <v>5.0001424999999999</v>
      </c>
      <c r="AE262" s="2">
        <v>5.12</v>
      </c>
      <c r="AF262" s="4">
        <v>5.0001424999999999</v>
      </c>
      <c r="AG262" s="2">
        <v>-0.93</v>
      </c>
      <c r="AH262" s="2">
        <v>-1570545.24</v>
      </c>
      <c r="AI262" s="2">
        <v>0</v>
      </c>
      <c r="AJ262" s="5">
        <v>44673</v>
      </c>
      <c r="AK262" t="s">
        <v>11429</v>
      </c>
      <c r="AL262" s="2">
        <v>5.05</v>
      </c>
      <c r="AM262" s="2">
        <v>0</v>
      </c>
      <c r="AN262" s="2">
        <v>0</v>
      </c>
      <c r="AO262" t="s">
        <v>44</v>
      </c>
      <c r="AP262" t="s">
        <v>44</v>
      </c>
      <c r="AQ262" t="s">
        <v>44</v>
      </c>
    </row>
    <row r="263" spans="1:43" x14ac:dyDescent="0.2">
      <c r="A263" t="s">
        <v>11428</v>
      </c>
      <c r="B263" t="s">
        <v>11013</v>
      </c>
      <c r="C263" t="s">
        <v>11014</v>
      </c>
      <c r="D263" t="s">
        <v>11015</v>
      </c>
      <c r="E263" t="s">
        <v>11016</v>
      </c>
      <c r="F263" t="s">
        <v>11015</v>
      </c>
      <c r="G263" s="1">
        <v>29852359.3772</v>
      </c>
      <c r="H263" s="2">
        <v>31387142.48</v>
      </c>
      <c r="I263" s="2">
        <v>31007645.690000001</v>
      </c>
      <c r="J263" s="2">
        <v>0</v>
      </c>
      <c r="K263" s="2">
        <v>0</v>
      </c>
      <c r="L263" s="2">
        <v>31007645.690000001</v>
      </c>
      <c r="M263" s="3">
        <v>1.0387</v>
      </c>
      <c r="N263" s="4">
        <v>7.0545730000000001E-2</v>
      </c>
      <c r="O263" s="5" t="s">
        <v>44</v>
      </c>
      <c r="P263" s="5" t="s">
        <v>44</v>
      </c>
      <c r="Q263" s="1"/>
      <c r="R263" s="2"/>
      <c r="S263" s="6"/>
      <c r="T263" t="s">
        <v>10902</v>
      </c>
      <c r="U263" t="s">
        <v>11003</v>
      </c>
      <c r="V263" t="s">
        <v>11003</v>
      </c>
      <c r="W263" t="s">
        <v>43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s="4"/>
      <c r="AD263" s="4"/>
      <c r="AE263" s="2">
        <v>0</v>
      </c>
      <c r="AF263" s="4">
        <v>0</v>
      </c>
      <c r="AG263" s="2">
        <v>18.440000000000001</v>
      </c>
      <c r="AH263" s="2">
        <v>31007645.690000001</v>
      </c>
      <c r="AI263" s="2">
        <v>7.0000000000000007E-2</v>
      </c>
      <c r="AJ263" s="5">
        <v>44673</v>
      </c>
      <c r="AK263" t="s">
        <v>11429</v>
      </c>
      <c r="AL263" s="2">
        <v>0</v>
      </c>
      <c r="AM263" s="2">
        <v>0</v>
      </c>
      <c r="AN263" s="2">
        <v>0</v>
      </c>
      <c r="AO263" t="s">
        <v>44</v>
      </c>
      <c r="AP263" t="s">
        <v>11017</v>
      </c>
      <c r="AQ263" t="s">
        <v>11016</v>
      </c>
    </row>
    <row r="264" spans="1:43" x14ac:dyDescent="0.2">
      <c r="A264" t="s">
        <v>11428</v>
      </c>
      <c r="B264" t="s">
        <v>11013</v>
      </c>
      <c r="C264" t="s">
        <v>11014</v>
      </c>
      <c r="D264" t="s">
        <v>11021</v>
      </c>
      <c r="E264" t="s">
        <v>11022</v>
      </c>
      <c r="F264" t="s">
        <v>11021</v>
      </c>
      <c r="G264" s="1">
        <v>13456991.4551</v>
      </c>
      <c r="H264" s="2">
        <v>11219603.460000001</v>
      </c>
      <c r="I264" s="2">
        <v>13510819.42</v>
      </c>
      <c r="J264" s="2">
        <v>0</v>
      </c>
      <c r="K264" s="2">
        <v>0</v>
      </c>
      <c r="L264" s="2">
        <v>13510819.42</v>
      </c>
      <c r="M264" s="3">
        <v>1.004</v>
      </c>
      <c r="N264" s="4">
        <v>3.073857E-2</v>
      </c>
      <c r="O264" s="5" t="s">
        <v>44</v>
      </c>
      <c r="P264" s="5" t="s">
        <v>44</v>
      </c>
      <c r="Q264" s="1"/>
      <c r="R264" s="2"/>
      <c r="S264" s="6"/>
      <c r="T264" t="s">
        <v>10902</v>
      </c>
      <c r="U264" t="s">
        <v>11003</v>
      </c>
      <c r="V264" t="s">
        <v>11003</v>
      </c>
      <c r="W264" t="s">
        <v>43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s="4"/>
      <c r="AD264" s="4"/>
      <c r="AE264" s="2">
        <v>0</v>
      </c>
      <c r="AF264" s="4">
        <v>0</v>
      </c>
      <c r="AG264" s="2">
        <v>8.0299999999999994</v>
      </c>
      <c r="AH264" s="2">
        <v>13510819.42</v>
      </c>
      <c r="AI264" s="2">
        <v>0.03</v>
      </c>
      <c r="AJ264" s="5">
        <v>44673</v>
      </c>
      <c r="AK264" t="s">
        <v>11429</v>
      </c>
      <c r="AL264" s="2">
        <v>0</v>
      </c>
      <c r="AM264" s="2">
        <v>0</v>
      </c>
      <c r="AN264" s="2">
        <v>0</v>
      </c>
      <c r="AO264" t="s">
        <v>44</v>
      </c>
      <c r="AP264" t="s">
        <v>11023</v>
      </c>
      <c r="AQ264" t="s">
        <v>11022</v>
      </c>
    </row>
    <row r="265" spans="1:43" x14ac:dyDescent="0.2">
      <c r="A265" t="s">
        <v>11428</v>
      </c>
      <c r="B265" t="s">
        <v>11024</v>
      </c>
      <c r="C265" t="s">
        <v>57</v>
      </c>
      <c r="D265" t="s">
        <v>12717</v>
      </c>
      <c r="E265" t="s">
        <v>12717</v>
      </c>
      <c r="F265" t="s">
        <v>12717</v>
      </c>
      <c r="G265" s="1">
        <v>-60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3">
        <v>65943</v>
      </c>
      <c r="N265" s="4">
        <v>0</v>
      </c>
      <c r="O265" s="5" t="s">
        <v>44</v>
      </c>
      <c r="P265" s="5">
        <v>44910</v>
      </c>
      <c r="Q265" s="1"/>
      <c r="R265" s="2"/>
      <c r="S265" s="6"/>
      <c r="T265" t="s">
        <v>11026</v>
      </c>
      <c r="U265" t="s">
        <v>11025</v>
      </c>
      <c r="V265" t="s">
        <v>11027</v>
      </c>
      <c r="W265" t="s">
        <v>43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s="4"/>
      <c r="AD265" s="4"/>
      <c r="AE265" s="2">
        <v>0</v>
      </c>
      <c r="AF265" s="4">
        <v>0</v>
      </c>
      <c r="AG265" s="2">
        <v>0</v>
      </c>
      <c r="AH265" s="2">
        <v>-39565800</v>
      </c>
      <c r="AI265" s="2">
        <v>-0.09</v>
      </c>
      <c r="AJ265" s="5">
        <v>44673</v>
      </c>
      <c r="AK265" t="s">
        <v>11429</v>
      </c>
      <c r="AL265" s="2">
        <v>0</v>
      </c>
      <c r="AM265" s="2">
        <v>0</v>
      </c>
      <c r="AN265" s="2">
        <v>0</v>
      </c>
      <c r="AO265" t="s">
        <v>44</v>
      </c>
      <c r="AP265" t="s">
        <v>12718</v>
      </c>
      <c r="AQ265" t="s">
        <v>12717</v>
      </c>
    </row>
    <row r="266" spans="1:43" x14ac:dyDescent="0.2">
      <c r="A266" t="s">
        <v>11428</v>
      </c>
      <c r="B266" t="s">
        <v>11024</v>
      </c>
      <c r="C266" t="s">
        <v>57</v>
      </c>
      <c r="D266" t="s">
        <v>12719</v>
      </c>
      <c r="E266" t="s">
        <v>12719</v>
      </c>
      <c r="F266" t="s">
        <v>12719</v>
      </c>
      <c r="G266" s="1">
        <v>109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3">
        <v>23175</v>
      </c>
      <c r="N266" s="4">
        <v>0</v>
      </c>
      <c r="O266" s="5" t="s">
        <v>44</v>
      </c>
      <c r="P266" s="5">
        <v>44910</v>
      </c>
      <c r="Q266" s="1"/>
      <c r="R266" s="2"/>
      <c r="S266" s="6"/>
      <c r="T266" t="s">
        <v>11153</v>
      </c>
      <c r="U266" t="s">
        <v>11025</v>
      </c>
      <c r="V266" t="s">
        <v>11154</v>
      </c>
      <c r="W266" t="s">
        <v>43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s="4"/>
      <c r="AD266" s="4"/>
      <c r="AE266" s="2">
        <v>0</v>
      </c>
      <c r="AF266" s="4">
        <v>0</v>
      </c>
      <c r="AG266" s="2">
        <v>0</v>
      </c>
      <c r="AH266" s="2">
        <v>26714445.390000001</v>
      </c>
      <c r="AI266" s="2">
        <v>0.06</v>
      </c>
      <c r="AJ266" s="5">
        <v>44673</v>
      </c>
      <c r="AK266" t="s">
        <v>11429</v>
      </c>
      <c r="AL266" s="2">
        <v>0</v>
      </c>
      <c r="AM266" s="2">
        <v>0</v>
      </c>
      <c r="AN266" s="2">
        <v>0</v>
      </c>
      <c r="AO266" t="s">
        <v>44</v>
      </c>
      <c r="AP266" t="s">
        <v>12720</v>
      </c>
      <c r="AQ266" t="s">
        <v>12719</v>
      </c>
    </row>
    <row r="267" spans="1:43" x14ac:dyDescent="0.2">
      <c r="A267" t="s">
        <v>11428</v>
      </c>
      <c r="B267" t="s">
        <v>11024</v>
      </c>
      <c r="C267" t="s">
        <v>57</v>
      </c>
      <c r="D267" t="s">
        <v>11151</v>
      </c>
      <c r="E267" t="s">
        <v>11151</v>
      </c>
      <c r="F267" t="s">
        <v>11151</v>
      </c>
      <c r="G267" s="1">
        <v>85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3">
        <v>65704</v>
      </c>
      <c r="N267" s="4">
        <v>0</v>
      </c>
      <c r="O267" s="5" t="s">
        <v>44</v>
      </c>
      <c r="P267" s="5">
        <v>44727</v>
      </c>
      <c r="Q267" s="1"/>
      <c r="R267" s="2"/>
      <c r="S267" s="6"/>
      <c r="T267" t="s">
        <v>11026</v>
      </c>
      <c r="U267" t="s">
        <v>11025</v>
      </c>
      <c r="V267" t="s">
        <v>11027</v>
      </c>
      <c r="W267" t="s">
        <v>43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s="4"/>
      <c r="AD267" s="4"/>
      <c r="AE267" s="2">
        <v>0</v>
      </c>
      <c r="AF267" s="4">
        <v>0</v>
      </c>
      <c r="AG267" s="2">
        <v>0</v>
      </c>
      <c r="AH267" s="2">
        <v>55848400</v>
      </c>
      <c r="AI267" s="2">
        <v>0.13</v>
      </c>
      <c r="AJ267" s="5">
        <v>44673</v>
      </c>
      <c r="AK267" t="s">
        <v>11429</v>
      </c>
      <c r="AL267" s="2">
        <v>0</v>
      </c>
      <c r="AM267" s="2">
        <v>0</v>
      </c>
      <c r="AN267" s="2">
        <v>0</v>
      </c>
      <c r="AO267" t="s">
        <v>44</v>
      </c>
      <c r="AP267" t="s">
        <v>11152</v>
      </c>
      <c r="AQ267" t="s">
        <v>11151</v>
      </c>
    </row>
    <row r="268" spans="1:43" x14ac:dyDescent="0.2">
      <c r="A268" t="s">
        <v>11428</v>
      </c>
      <c r="B268" t="s">
        <v>11024</v>
      </c>
      <c r="C268" t="s">
        <v>57</v>
      </c>
      <c r="D268" t="s">
        <v>12995</v>
      </c>
      <c r="E268" t="s">
        <v>12995</v>
      </c>
      <c r="F268" t="s">
        <v>12995</v>
      </c>
      <c r="G268" s="1">
        <v>-26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3">
        <v>11809</v>
      </c>
      <c r="N268" s="4">
        <v>0</v>
      </c>
      <c r="O268" s="5" t="s">
        <v>44</v>
      </c>
      <c r="P268" s="5">
        <v>44727</v>
      </c>
      <c r="Q268" s="1"/>
      <c r="R268" s="2"/>
      <c r="S268" s="6"/>
      <c r="T268" t="s">
        <v>11153</v>
      </c>
      <c r="U268" t="s">
        <v>11025</v>
      </c>
      <c r="V268" t="s">
        <v>11154</v>
      </c>
      <c r="W268" t="s">
        <v>43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s="4"/>
      <c r="AD268" s="4"/>
      <c r="AE268" s="2">
        <v>0</v>
      </c>
      <c r="AF268" s="4">
        <v>0</v>
      </c>
      <c r="AG268" s="2">
        <v>0</v>
      </c>
      <c r="AH268" s="2">
        <v>5169529.55</v>
      </c>
      <c r="AI268" s="2">
        <v>0.01</v>
      </c>
      <c r="AJ268" s="5">
        <v>44673</v>
      </c>
      <c r="AK268" t="s">
        <v>11429</v>
      </c>
      <c r="AL268" s="2">
        <v>0</v>
      </c>
      <c r="AM268" s="2">
        <v>0</v>
      </c>
      <c r="AN268" s="2">
        <v>0</v>
      </c>
      <c r="AO268" t="s">
        <v>44</v>
      </c>
      <c r="AP268" t="s">
        <v>12999</v>
      </c>
      <c r="AQ268" t="s">
        <v>12995</v>
      </c>
    </row>
    <row r="269" spans="1:43" x14ac:dyDescent="0.2">
      <c r="A269" t="s">
        <v>11428</v>
      </c>
      <c r="B269" t="s">
        <v>11024</v>
      </c>
      <c r="C269" t="s">
        <v>57</v>
      </c>
      <c r="D269" t="s">
        <v>11155</v>
      </c>
      <c r="E269" t="s">
        <v>11155</v>
      </c>
      <c r="F269" t="s">
        <v>11155</v>
      </c>
      <c r="G269" s="1">
        <v>-72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3">
        <v>615</v>
      </c>
      <c r="N269" s="4">
        <v>0</v>
      </c>
      <c r="O269" s="5" t="s">
        <v>44</v>
      </c>
      <c r="P269" s="5">
        <v>44727</v>
      </c>
      <c r="Q269" s="1"/>
      <c r="R269" s="2"/>
      <c r="S269" s="6"/>
      <c r="T269" t="s">
        <v>11153</v>
      </c>
      <c r="U269" t="s">
        <v>11025</v>
      </c>
      <c r="V269" t="s">
        <v>11154</v>
      </c>
      <c r="W269" t="s">
        <v>43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s="4"/>
      <c r="AD269" s="4"/>
      <c r="AE269" s="2">
        <v>0</v>
      </c>
      <c r="AF269" s="4">
        <v>0</v>
      </c>
      <c r="AG269" s="2">
        <v>0</v>
      </c>
      <c r="AH269" s="2">
        <v>-1741542.73</v>
      </c>
      <c r="AI269" s="2">
        <v>0</v>
      </c>
      <c r="AJ269" s="5">
        <v>44673</v>
      </c>
      <c r="AK269" t="s">
        <v>11429</v>
      </c>
      <c r="AL269" s="2">
        <v>0</v>
      </c>
      <c r="AM269" s="2">
        <v>0</v>
      </c>
      <c r="AN269" s="2">
        <v>0</v>
      </c>
      <c r="AO269" t="s">
        <v>44</v>
      </c>
      <c r="AP269" t="s">
        <v>11156</v>
      </c>
      <c r="AQ269" t="s">
        <v>11155</v>
      </c>
    </row>
    <row r="270" spans="1:43" x14ac:dyDescent="0.2">
      <c r="A270" t="s">
        <v>11428</v>
      </c>
      <c r="B270" t="s">
        <v>11024</v>
      </c>
      <c r="C270" t="s">
        <v>57</v>
      </c>
      <c r="D270" t="s">
        <v>11157</v>
      </c>
      <c r="E270" t="s">
        <v>11157</v>
      </c>
      <c r="F270" t="s">
        <v>11157</v>
      </c>
      <c r="G270" s="1">
        <v>-29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3">
        <v>65741</v>
      </c>
      <c r="N270" s="4">
        <v>0</v>
      </c>
      <c r="O270" s="5" t="s">
        <v>44</v>
      </c>
      <c r="P270" s="5">
        <v>44819</v>
      </c>
      <c r="Q270" s="1"/>
      <c r="R270" s="2"/>
      <c r="S270" s="6"/>
      <c r="T270" t="s">
        <v>11026</v>
      </c>
      <c r="U270" t="s">
        <v>11025</v>
      </c>
      <c r="V270" t="s">
        <v>11027</v>
      </c>
      <c r="W270" t="s">
        <v>43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s="4"/>
      <c r="AD270" s="4"/>
      <c r="AE270" s="2">
        <v>0</v>
      </c>
      <c r="AF270" s="4">
        <v>0</v>
      </c>
      <c r="AG270" s="2">
        <v>0</v>
      </c>
      <c r="AH270" s="2">
        <v>-19064890</v>
      </c>
      <c r="AI270" s="2">
        <v>-0.04</v>
      </c>
      <c r="AJ270" s="5">
        <v>44673</v>
      </c>
      <c r="AK270" t="s">
        <v>11429</v>
      </c>
      <c r="AL270" s="2">
        <v>0</v>
      </c>
      <c r="AM270" s="2">
        <v>0</v>
      </c>
      <c r="AN270" s="2">
        <v>0</v>
      </c>
      <c r="AO270" t="s">
        <v>44</v>
      </c>
      <c r="AP270" t="s">
        <v>11158</v>
      </c>
      <c r="AQ270" t="s">
        <v>11157</v>
      </c>
    </row>
    <row r="271" spans="1:43" x14ac:dyDescent="0.2">
      <c r="A271" t="s">
        <v>11428</v>
      </c>
      <c r="B271" t="s">
        <v>11024</v>
      </c>
      <c r="C271" t="s">
        <v>57</v>
      </c>
      <c r="D271" t="s">
        <v>12738</v>
      </c>
      <c r="E271" t="s">
        <v>12738</v>
      </c>
      <c r="F271" t="s">
        <v>12738</v>
      </c>
      <c r="G271" s="1">
        <v>77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3">
        <v>17668</v>
      </c>
      <c r="N271" s="4">
        <v>0</v>
      </c>
      <c r="O271" s="5" t="s">
        <v>44</v>
      </c>
      <c r="P271" s="5">
        <v>44819</v>
      </c>
      <c r="Q271" s="1"/>
      <c r="R271" s="2"/>
      <c r="S271" s="6"/>
      <c r="T271" t="s">
        <v>11153</v>
      </c>
      <c r="U271" t="s">
        <v>11025</v>
      </c>
      <c r="V271" t="s">
        <v>11154</v>
      </c>
      <c r="W271" t="s">
        <v>43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s="4"/>
      <c r="AD271" s="4"/>
      <c r="AE271" s="2">
        <v>0</v>
      </c>
      <c r="AF271" s="4">
        <v>0</v>
      </c>
      <c r="AG271" s="2">
        <v>0</v>
      </c>
      <c r="AH271" s="2">
        <v>18253604.100000001</v>
      </c>
      <c r="AI271" s="2">
        <v>0.04</v>
      </c>
      <c r="AJ271" s="5">
        <v>44673</v>
      </c>
      <c r="AK271" t="s">
        <v>11429</v>
      </c>
      <c r="AL271" s="2">
        <v>0</v>
      </c>
      <c r="AM271" s="2">
        <v>0</v>
      </c>
      <c r="AN271" s="2">
        <v>0</v>
      </c>
      <c r="AO271" t="s">
        <v>44</v>
      </c>
      <c r="AP271" t="s">
        <v>12741</v>
      </c>
      <c r="AQ271" t="s">
        <v>12738</v>
      </c>
    </row>
    <row r="272" spans="1:43" x14ac:dyDescent="0.2">
      <c r="A272" t="s">
        <v>11428</v>
      </c>
      <c r="B272" t="s">
        <v>11024</v>
      </c>
      <c r="C272" t="s">
        <v>57</v>
      </c>
      <c r="D272" t="s">
        <v>12722</v>
      </c>
      <c r="E272" t="s">
        <v>12722</v>
      </c>
      <c r="F272" t="s">
        <v>12722</v>
      </c>
      <c r="G272" s="1">
        <v>78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3">
        <v>14076</v>
      </c>
      <c r="N272" s="4">
        <v>0</v>
      </c>
      <c r="O272" s="5" t="s">
        <v>44</v>
      </c>
      <c r="P272" s="5">
        <v>44819</v>
      </c>
      <c r="Q272" s="1"/>
      <c r="R272" s="2"/>
      <c r="S272" s="6"/>
      <c r="T272" t="s">
        <v>11153</v>
      </c>
      <c r="U272" t="s">
        <v>11025</v>
      </c>
      <c r="V272" t="s">
        <v>11154</v>
      </c>
      <c r="W272" t="s">
        <v>43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s="4"/>
      <c r="AD272" s="4"/>
      <c r="AE272" s="2">
        <v>0</v>
      </c>
      <c r="AF272" s="4">
        <v>0</v>
      </c>
      <c r="AG272" s="2">
        <v>0</v>
      </c>
      <c r="AH272" s="2">
        <v>15921665.59</v>
      </c>
      <c r="AI272" s="2">
        <v>0.04</v>
      </c>
      <c r="AJ272" s="5">
        <v>44673</v>
      </c>
      <c r="AK272" t="s">
        <v>11429</v>
      </c>
      <c r="AL272" s="2">
        <v>0</v>
      </c>
      <c r="AM272" s="2">
        <v>0</v>
      </c>
      <c r="AN272" s="2">
        <v>0</v>
      </c>
      <c r="AO272" t="s">
        <v>44</v>
      </c>
      <c r="AP272" t="s">
        <v>12723</v>
      </c>
      <c r="AQ272" t="s">
        <v>12722</v>
      </c>
    </row>
    <row r="273" spans="1:43" x14ac:dyDescent="0.2">
      <c r="A273" t="s">
        <v>11428</v>
      </c>
      <c r="B273" t="s">
        <v>11024</v>
      </c>
      <c r="C273" t="s">
        <v>57</v>
      </c>
      <c r="D273" t="s">
        <v>12996</v>
      </c>
      <c r="E273" t="s">
        <v>12996</v>
      </c>
      <c r="F273" t="s">
        <v>12996</v>
      </c>
      <c r="G273" s="1">
        <v>-61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3">
        <v>5097</v>
      </c>
      <c r="N273" s="4">
        <v>0</v>
      </c>
      <c r="O273" s="5" t="s">
        <v>44</v>
      </c>
      <c r="P273" s="5">
        <v>44819</v>
      </c>
      <c r="Q273" s="1"/>
      <c r="R273" s="2"/>
      <c r="S273" s="6"/>
      <c r="T273" t="s">
        <v>11153</v>
      </c>
      <c r="U273" t="s">
        <v>11025</v>
      </c>
      <c r="V273" t="s">
        <v>11154</v>
      </c>
      <c r="W273" t="s">
        <v>43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s="4"/>
      <c r="AD273" s="4"/>
      <c r="AE273" s="2">
        <v>0</v>
      </c>
      <c r="AF273" s="4">
        <v>0</v>
      </c>
      <c r="AG273" s="2">
        <v>0</v>
      </c>
      <c r="AH273" s="2">
        <v>-5893131.2000000002</v>
      </c>
      <c r="AI273" s="2">
        <v>-0.01</v>
      </c>
      <c r="AJ273" s="5">
        <v>44673</v>
      </c>
      <c r="AK273" t="s">
        <v>11429</v>
      </c>
      <c r="AL273" s="2">
        <v>0</v>
      </c>
      <c r="AM273" s="2">
        <v>0</v>
      </c>
      <c r="AN273" s="2">
        <v>0</v>
      </c>
      <c r="AO273" t="s">
        <v>44</v>
      </c>
      <c r="AP273" t="s">
        <v>13000</v>
      </c>
      <c r="AQ273" t="s">
        <v>12996</v>
      </c>
    </row>
    <row r="274" spans="1:43" x14ac:dyDescent="0.2">
      <c r="A274" t="s">
        <v>11428</v>
      </c>
      <c r="B274" t="s">
        <v>11024</v>
      </c>
      <c r="C274" t="s">
        <v>57</v>
      </c>
      <c r="D274" t="s">
        <v>12739</v>
      </c>
      <c r="E274" t="s">
        <v>12739</v>
      </c>
      <c r="F274" t="s">
        <v>12739</v>
      </c>
      <c r="G274" s="1">
        <v>-62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3">
        <v>2268</v>
      </c>
      <c r="N274" s="4">
        <v>0</v>
      </c>
      <c r="O274" s="5" t="s">
        <v>44</v>
      </c>
      <c r="P274" s="5">
        <v>44819</v>
      </c>
      <c r="Q274" s="1"/>
      <c r="R274" s="2"/>
      <c r="S274" s="6"/>
      <c r="T274" t="s">
        <v>11153</v>
      </c>
      <c r="U274" t="s">
        <v>11025</v>
      </c>
      <c r="V274" t="s">
        <v>11154</v>
      </c>
      <c r="W274" t="s">
        <v>43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s="4"/>
      <c r="AD274" s="4"/>
      <c r="AE274" s="2">
        <v>0</v>
      </c>
      <c r="AF274" s="4">
        <v>0</v>
      </c>
      <c r="AG274" s="2">
        <v>0</v>
      </c>
      <c r="AH274" s="2">
        <v>-3078736.05</v>
      </c>
      <c r="AI274" s="2">
        <v>-0.01</v>
      </c>
      <c r="AJ274" s="5">
        <v>44673</v>
      </c>
      <c r="AK274" t="s">
        <v>11429</v>
      </c>
      <c r="AL274" s="2">
        <v>0</v>
      </c>
      <c r="AM274" s="2">
        <v>0</v>
      </c>
      <c r="AN274" s="2">
        <v>0</v>
      </c>
      <c r="AO274" t="s">
        <v>44</v>
      </c>
      <c r="AP274" t="s">
        <v>12742</v>
      </c>
      <c r="AQ274" t="s">
        <v>12739</v>
      </c>
    </row>
    <row r="275" spans="1:43" x14ac:dyDescent="0.2">
      <c r="A275" t="s">
        <v>11428</v>
      </c>
      <c r="B275" t="s">
        <v>11038</v>
      </c>
      <c r="C275" t="s">
        <v>11222</v>
      </c>
      <c r="D275" t="s">
        <v>11223</v>
      </c>
      <c r="E275" t="s">
        <v>11224</v>
      </c>
      <c r="F275" t="s">
        <v>11223</v>
      </c>
      <c r="G275" s="1">
        <v>4900000</v>
      </c>
      <c r="H275" s="2">
        <v>4941196.09</v>
      </c>
      <c r="I275" s="2">
        <v>5034494.4400000004</v>
      </c>
      <c r="J275" s="2">
        <v>76836.83</v>
      </c>
      <c r="K275" s="2">
        <v>0</v>
      </c>
      <c r="L275" s="2">
        <v>5111331.2699999996</v>
      </c>
      <c r="M275" s="3">
        <v>7.1645300000000001</v>
      </c>
      <c r="N275" s="4">
        <v>1.162883E-2</v>
      </c>
      <c r="O275" s="5">
        <v>44693</v>
      </c>
      <c r="P275" s="5">
        <v>45516</v>
      </c>
      <c r="Q275" s="1">
        <v>8.4169999999999998</v>
      </c>
      <c r="R275" s="2">
        <v>0.05</v>
      </c>
      <c r="S275" s="6">
        <v>3.2810324337999998E-2</v>
      </c>
      <c r="T275" t="s">
        <v>111</v>
      </c>
      <c r="U275" t="s">
        <v>11040</v>
      </c>
      <c r="V275" t="s">
        <v>11189</v>
      </c>
      <c r="W275" t="s">
        <v>43</v>
      </c>
      <c r="X275" t="s">
        <v>11034</v>
      </c>
      <c r="Y275" t="s">
        <v>44</v>
      </c>
      <c r="Z275" t="s">
        <v>44</v>
      </c>
      <c r="AA275" t="s">
        <v>11035</v>
      </c>
      <c r="AB275" t="s">
        <v>11225</v>
      </c>
      <c r="AC275" s="4">
        <v>7.41461039</v>
      </c>
      <c r="AD275" s="4">
        <v>7.1739613599999998</v>
      </c>
      <c r="AE275" s="2">
        <v>7.41</v>
      </c>
      <c r="AF275" s="4">
        <v>7.1739613599999998</v>
      </c>
      <c r="AG275" s="2">
        <v>3.04</v>
      </c>
      <c r="AH275" s="2">
        <v>5111331.2699999996</v>
      </c>
      <c r="AI275" s="2">
        <v>0.01</v>
      </c>
      <c r="AJ275" s="5">
        <v>44673</v>
      </c>
      <c r="AK275" t="s">
        <v>11429</v>
      </c>
      <c r="AL275" s="2">
        <v>7.28</v>
      </c>
      <c r="AM275" s="2">
        <v>8.42</v>
      </c>
      <c r="AN275" s="2">
        <v>0.03</v>
      </c>
      <c r="AO275" t="s">
        <v>11226</v>
      </c>
      <c r="AP275" t="s">
        <v>11227</v>
      </c>
      <c r="AQ275" t="s">
        <v>11224</v>
      </c>
    </row>
    <row r="276" spans="1:43" x14ac:dyDescent="0.2">
      <c r="A276" t="s">
        <v>11428</v>
      </c>
      <c r="B276" t="s">
        <v>11160</v>
      </c>
      <c r="C276" t="s">
        <v>11161</v>
      </c>
      <c r="D276" t="s">
        <v>11162</v>
      </c>
      <c r="E276" t="s">
        <v>11163</v>
      </c>
      <c r="F276" t="s">
        <v>11162</v>
      </c>
      <c r="G276" s="1">
        <v>8591</v>
      </c>
      <c r="H276" s="2">
        <v>5764062.8799999999</v>
      </c>
      <c r="I276" s="2">
        <v>7731900</v>
      </c>
      <c r="J276" s="2">
        <v>0</v>
      </c>
      <c r="K276" s="2">
        <v>214268.95</v>
      </c>
      <c r="L276" s="2">
        <v>7946168.9500000002</v>
      </c>
      <c r="M276" s="3">
        <v>90000</v>
      </c>
      <c r="N276" s="4">
        <v>1.807839E-2</v>
      </c>
      <c r="O276" s="5" t="s">
        <v>44</v>
      </c>
      <c r="P276" s="5" t="s">
        <v>44</v>
      </c>
      <c r="Q276" s="1"/>
      <c r="R276" s="2"/>
      <c r="S276" s="6"/>
      <c r="T276" t="s">
        <v>10902</v>
      </c>
      <c r="U276" t="s">
        <v>10902</v>
      </c>
      <c r="V276" t="s">
        <v>11164</v>
      </c>
      <c r="W276" t="s">
        <v>43</v>
      </c>
      <c r="X276" t="s">
        <v>44</v>
      </c>
      <c r="Y276" t="s">
        <v>44</v>
      </c>
      <c r="Z276" t="s">
        <v>44</v>
      </c>
      <c r="AA276" t="s">
        <v>10979</v>
      </c>
      <c r="AB276" t="s">
        <v>44</v>
      </c>
      <c r="AC276" s="4"/>
      <c r="AD276" s="4"/>
      <c r="AE276" s="2">
        <v>0</v>
      </c>
      <c r="AF276" s="4">
        <v>0</v>
      </c>
      <c r="AG276" s="2">
        <v>4.72</v>
      </c>
      <c r="AH276" s="2">
        <v>7946168.9500000002</v>
      </c>
      <c r="AI276" s="2">
        <v>0.02</v>
      </c>
      <c r="AJ276" s="5">
        <v>44673</v>
      </c>
      <c r="AK276" t="s">
        <v>11429</v>
      </c>
      <c r="AL276" s="2">
        <v>0</v>
      </c>
      <c r="AM276" s="2">
        <v>0</v>
      </c>
      <c r="AN276" s="2">
        <v>0</v>
      </c>
      <c r="AO276" t="s">
        <v>11165</v>
      </c>
      <c r="AP276" t="s">
        <v>11166</v>
      </c>
      <c r="AQ276" t="s">
        <v>11163</v>
      </c>
    </row>
    <row r="277" spans="1:43" x14ac:dyDescent="0.2">
      <c r="A277" t="s">
        <v>11428</v>
      </c>
      <c r="B277" t="s">
        <v>11160</v>
      </c>
      <c r="C277" t="s">
        <v>11161</v>
      </c>
      <c r="D277" t="s">
        <v>11167</v>
      </c>
      <c r="E277" t="s">
        <v>11168</v>
      </c>
      <c r="F277" t="s">
        <v>11167</v>
      </c>
      <c r="G277" s="1">
        <v>43437</v>
      </c>
      <c r="H277" s="2">
        <v>3960049.68</v>
      </c>
      <c r="I277" s="2">
        <v>4198186.05</v>
      </c>
      <c r="J277" s="2">
        <v>0</v>
      </c>
      <c r="K277" s="2">
        <v>0</v>
      </c>
      <c r="L277" s="2">
        <v>4198186.05</v>
      </c>
      <c r="M277" s="3">
        <v>9665</v>
      </c>
      <c r="N277" s="4">
        <v>9.5513300000000002E-3</v>
      </c>
      <c r="O277" s="5" t="s">
        <v>44</v>
      </c>
      <c r="P277" s="5" t="s">
        <v>44</v>
      </c>
      <c r="Q277" s="1"/>
      <c r="R277" s="2"/>
      <c r="S277" s="6"/>
      <c r="T277" t="s">
        <v>10902</v>
      </c>
      <c r="U277" t="s">
        <v>10902</v>
      </c>
      <c r="V277" t="s">
        <v>11164</v>
      </c>
      <c r="W277" t="s">
        <v>43</v>
      </c>
      <c r="X277" t="s">
        <v>11164</v>
      </c>
      <c r="Y277" t="s">
        <v>44</v>
      </c>
      <c r="Z277" t="s">
        <v>44</v>
      </c>
      <c r="AA277" t="s">
        <v>44</v>
      </c>
      <c r="AB277" t="s">
        <v>44</v>
      </c>
      <c r="AC277" s="4"/>
      <c r="AD277" s="4"/>
      <c r="AE277" s="2">
        <v>0</v>
      </c>
      <c r="AF277" s="4">
        <v>0</v>
      </c>
      <c r="AG277" s="2">
        <v>2.5</v>
      </c>
      <c r="AH277" s="2">
        <v>4198186.05</v>
      </c>
      <c r="AI277" s="2">
        <v>0.01</v>
      </c>
      <c r="AJ277" s="5">
        <v>44673</v>
      </c>
      <c r="AK277" t="s">
        <v>11429</v>
      </c>
      <c r="AL277" s="2">
        <v>0</v>
      </c>
      <c r="AM277" s="2">
        <v>0</v>
      </c>
      <c r="AN277" s="2">
        <v>0</v>
      </c>
      <c r="AO277" t="s">
        <v>44</v>
      </c>
      <c r="AP277" t="s">
        <v>11169</v>
      </c>
      <c r="AQ277" t="s">
        <v>11168</v>
      </c>
    </row>
    <row r="278" spans="1:43" x14ac:dyDescent="0.2">
      <c r="A278" t="s">
        <v>11428</v>
      </c>
      <c r="B278" t="s">
        <v>11160</v>
      </c>
      <c r="C278" t="s">
        <v>11161</v>
      </c>
      <c r="D278" t="s">
        <v>11170</v>
      </c>
      <c r="E278" t="s">
        <v>11171</v>
      </c>
      <c r="F278" t="s">
        <v>11170</v>
      </c>
      <c r="G278" s="1">
        <v>41867</v>
      </c>
      <c r="H278" s="2">
        <v>3078811.98</v>
      </c>
      <c r="I278" s="2">
        <v>4033466.78</v>
      </c>
      <c r="J278" s="2">
        <v>0</v>
      </c>
      <c r="K278" s="2">
        <v>0</v>
      </c>
      <c r="L278" s="2">
        <v>4033466.78</v>
      </c>
      <c r="M278" s="3">
        <v>9634</v>
      </c>
      <c r="N278" s="4">
        <v>9.1765700000000002E-3</v>
      </c>
      <c r="O278" s="5" t="s">
        <v>44</v>
      </c>
      <c r="P278" s="5" t="s">
        <v>44</v>
      </c>
      <c r="Q278" s="1"/>
      <c r="R278" s="2"/>
      <c r="S278" s="6"/>
      <c r="T278" t="s">
        <v>10902</v>
      </c>
      <c r="U278" t="s">
        <v>10902</v>
      </c>
      <c r="V278" t="s">
        <v>11164</v>
      </c>
      <c r="W278" t="s">
        <v>43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s="4"/>
      <c r="AD278" s="4"/>
      <c r="AE278" s="2">
        <v>0</v>
      </c>
      <c r="AF278" s="4">
        <v>0</v>
      </c>
      <c r="AG278" s="2">
        <v>2.4</v>
      </c>
      <c r="AH278" s="2">
        <v>4033466.78</v>
      </c>
      <c r="AI278" s="2">
        <v>0.01</v>
      </c>
      <c r="AJ278" s="5">
        <v>44673</v>
      </c>
      <c r="AK278" t="s">
        <v>11429</v>
      </c>
      <c r="AL278" s="2">
        <v>0</v>
      </c>
      <c r="AM278" s="2">
        <v>0</v>
      </c>
      <c r="AN278" s="2">
        <v>0</v>
      </c>
      <c r="AO278" t="s">
        <v>44</v>
      </c>
      <c r="AP278" t="s">
        <v>11172</v>
      </c>
      <c r="AQ278" t="s">
        <v>11171</v>
      </c>
    </row>
    <row r="279" spans="1:43" x14ac:dyDescent="0.2">
      <c r="A279" t="s">
        <v>11428</v>
      </c>
      <c r="B279" t="s">
        <v>11160</v>
      </c>
      <c r="C279" t="s">
        <v>11161</v>
      </c>
      <c r="D279" t="s">
        <v>11173</v>
      </c>
      <c r="E279" t="s">
        <v>11174</v>
      </c>
      <c r="F279" t="s">
        <v>11173</v>
      </c>
      <c r="G279" s="1">
        <v>14443</v>
      </c>
      <c r="H279" s="2">
        <v>1126856.6000000001</v>
      </c>
      <c r="I279" s="2">
        <v>1242098</v>
      </c>
      <c r="J279" s="2">
        <v>0</v>
      </c>
      <c r="K279" s="2">
        <v>0</v>
      </c>
      <c r="L279" s="2">
        <v>1242098</v>
      </c>
      <c r="M279" s="3">
        <v>8600</v>
      </c>
      <c r="N279" s="4">
        <v>2.8259100000000001E-3</v>
      </c>
      <c r="O279" s="5" t="s">
        <v>44</v>
      </c>
      <c r="P279" s="5" t="s">
        <v>44</v>
      </c>
      <c r="Q279" s="1"/>
      <c r="R279" s="2"/>
      <c r="S279" s="6"/>
      <c r="T279" t="s">
        <v>10902</v>
      </c>
      <c r="U279" t="s">
        <v>10902</v>
      </c>
      <c r="V279" t="s">
        <v>11164</v>
      </c>
      <c r="W279" t="s">
        <v>43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s="4"/>
      <c r="AD279" s="4"/>
      <c r="AE279" s="2">
        <v>0</v>
      </c>
      <c r="AF279" s="4">
        <v>0</v>
      </c>
      <c r="AG279" s="2">
        <v>0.74</v>
      </c>
      <c r="AH279" s="2">
        <v>1242098</v>
      </c>
      <c r="AI279" s="2">
        <v>0</v>
      </c>
      <c r="AJ279" s="5">
        <v>44673</v>
      </c>
      <c r="AK279" t="s">
        <v>11429</v>
      </c>
      <c r="AL279" s="2">
        <v>0</v>
      </c>
      <c r="AM279" s="2">
        <v>0</v>
      </c>
      <c r="AN279" s="2">
        <v>0</v>
      </c>
      <c r="AO279" t="s">
        <v>44</v>
      </c>
      <c r="AP279" t="s">
        <v>11175</v>
      </c>
      <c r="AQ279" t="s">
        <v>11174</v>
      </c>
    </row>
    <row r="280" spans="1:43" x14ac:dyDescent="0.2">
      <c r="A280" t="s">
        <v>11428</v>
      </c>
      <c r="B280" t="s">
        <v>11160</v>
      </c>
      <c r="C280" t="s">
        <v>11161</v>
      </c>
      <c r="D280" t="s">
        <v>11176</v>
      </c>
      <c r="E280" t="s">
        <v>11177</v>
      </c>
      <c r="F280" t="s">
        <v>11178</v>
      </c>
      <c r="G280" s="1">
        <v>31245</v>
      </c>
      <c r="H280" s="2">
        <v>2387087.0299999998</v>
      </c>
      <c r="I280" s="2">
        <v>2886725.55</v>
      </c>
      <c r="J280" s="2">
        <v>0</v>
      </c>
      <c r="K280" s="2">
        <v>0</v>
      </c>
      <c r="L280" s="2">
        <v>2886725.55</v>
      </c>
      <c r="M280" s="3">
        <v>9239</v>
      </c>
      <c r="N280" s="4">
        <v>6.5676099999999998E-3</v>
      </c>
      <c r="O280" s="5" t="s">
        <v>44</v>
      </c>
      <c r="P280" s="5" t="s">
        <v>44</v>
      </c>
      <c r="Q280" s="1"/>
      <c r="R280" s="2"/>
      <c r="S280" s="6"/>
      <c r="T280" t="s">
        <v>10902</v>
      </c>
      <c r="U280" t="s">
        <v>10902</v>
      </c>
      <c r="V280" t="s">
        <v>11164</v>
      </c>
      <c r="W280" t="s">
        <v>43</v>
      </c>
      <c r="X280" t="s">
        <v>44</v>
      </c>
      <c r="Y280" t="s">
        <v>44</v>
      </c>
      <c r="Z280" t="s">
        <v>44</v>
      </c>
      <c r="AA280" t="s">
        <v>10979</v>
      </c>
      <c r="AB280" t="s">
        <v>44</v>
      </c>
      <c r="AC280" s="4"/>
      <c r="AD280" s="4"/>
      <c r="AE280" s="2">
        <v>0</v>
      </c>
      <c r="AF280" s="4">
        <v>0</v>
      </c>
      <c r="AG280" s="2">
        <v>1.72</v>
      </c>
      <c r="AH280" s="2">
        <v>2886725.55</v>
      </c>
      <c r="AI280" s="2">
        <v>0.01</v>
      </c>
      <c r="AJ280" s="5">
        <v>44673</v>
      </c>
      <c r="AK280" t="s">
        <v>11429</v>
      </c>
      <c r="AL280" s="2">
        <v>0</v>
      </c>
      <c r="AM280" s="2">
        <v>0</v>
      </c>
      <c r="AN280" s="2">
        <v>0</v>
      </c>
      <c r="AO280" t="s">
        <v>11179</v>
      </c>
      <c r="AP280" t="s">
        <v>11180</v>
      </c>
      <c r="AQ280" t="s">
        <v>11177</v>
      </c>
    </row>
    <row r="281" spans="1:43" x14ac:dyDescent="0.2">
      <c r="A281" t="s">
        <v>11428</v>
      </c>
      <c r="B281" t="s">
        <v>10951</v>
      </c>
      <c r="C281" t="s">
        <v>10952</v>
      </c>
      <c r="D281" t="s">
        <v>11028</v>
      </c>
      <c r="E281" t="s">
        <v>11029</v>
      </c>
      <c r="F281" t="s">
        <v>11028</v>
      </c>
      <c r="G281" s="1">
        <v>8499547.5478000008</v>
      </c>
      <c r="H281" s="2">
        <v>8557563.1600000001</v>
      </c>
      <c r="I281" s="2">
        <v>8510596.9600000009</v>
      </c>
      <c r="J281" s="2">
        <v>0</v>
      </c>
      <c r="K281" s="2">
        <v>0</v>
      </c>
      <c r="L281" s="2">
        <v>8510596.9600000009</v>
      </c>
      <c r="M281" s="3">
        <v>1.0013000000000001</v>
      </c>
      <c r="N281" s="4">
        <v>1.9362520000000001E-2</v>
      </c>
      <c r="O281" s="5" t="s">
        <v>44</v>
      </c>
      <c r="P281" s="5" t="s">
        <v>44</v>
      </c>
      <c r="Q281" s="1"/>
      <c r="R281" s="2"/>
      <c r="S281" s="6"/>
      <c r="T281" t="s">
        <v>10902</v>
      </c>
      <c r="U281" t="s">
        <v>10953</v>
      </c>
      <c r="V281" t="s">
        <v>10954</v>
      </c>
      <c r="W281" t="s">
        <v>43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s="4"/>
      <c r="AD281" s="4"/>
      <c r="AE281" s="2">
        <v>0</v>
      </c>
      <c r="AF281" s="4">
        <v>0</v>
      </c>
      <c r="AG281" s="2">
        <v>5.0599999999999996</v>
      </c>
      <c r="AH281" s="2">
        <v>8510596.9600000009</v>
      </c>
      <c r="AI281" s="2">
        <v>0.02</v>
      </c>
      <c r="AJ281" s="5">
        <v>44673</v>
      </c>
      <c r="AK281" t="s">
        <v>11429</v>
      </c>
      <c r="AL281" s="2">
        <v>0</v>
      </c>
      <c r="AM281" s="2">
        <v>0</v>
      </c>
      <c r="AN281" s="2">
        <v>0</v>
      </c>
      <c r="AO281" t="s">
        <v>44</v>
      </c>
      <c r="AP281" t="s">
        <v>44</v>
      </c>
      <c r="AQ281" t="s">
        <v>11029</v>
      </c>
    </row>
    <row r="282" spans="1:43" x14ac:dyDescent="0.2">
      <c r="A282" t="s">
        <v>11428</v>
      </c>
      <c r="B282" t="s">
        <v>11030</v>
      </c>
      <c r="C282" t="s">
        <v>11030</v>
      </c>
      <c r="D282" t="s">
        <v>12724</v>
      </c>
      <c r="E282" t="s">
        <v>12717</v>
      </c>
      <c r="F282" t="s">
        <v>12724</v>
      </c>
      <c r="G282" s="1">
        <v>-60</v>
      </c>
      <c r="H282" s="2"/>
      <c r="I282" s="2">
        <v>0</v>
      </c>
      <c r="J282" s="2"/>
      <c r="K282" s="2"/>
      <c r="L282" s="2">
        <v>0</v>
      </c>
      <c r="M282" s="3"/>
      <c r="N282" s="4">
        <v>0</v>
      </c>
      <c r="O282" s="5" t="s">
        <v>44</v>
      </c>
      <c r="P282" s="5" t="s">
        <v>44</v>
      </c>
      <c r="Q282" s="1"/>
      <c r="R282" s="2"/>
      <c r="S282" s="6"/>
      <c r="T282" t="s">
        <v>11031</v>
      </c>
      <c r="U282" t="s">
        <v>11032</v>
      </c>
      <c r="V282" t="s">
        <v>45</v>
      </c>
      <c r="W282" t="s">
        <v>43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s="4"/>
      <c r="AD282" s="4"/>
      <c r="AE282" s="2">
        <v>0</v>
      </c>
      <c r="AF282" s="4">
        <v>0</v>
      </c>
      <c r="AG282" s="2">
        <v>0</v>
      </c>
      <c r="AH282" s="2">
        <v>39565800</v>
      </c>
      <c r="AI282" s="2">
        <v>0.09</v>
      </c>
      <c r="AJ282" s="5">
        <v>44673</v>
      </c>
      <c r="AK282" t="s">
        <v>11429</v>
      </c>
      <c r="AL282" s="2">
        <v>0</v>
      </c>
      <c r="AM282" s="2">
        <v>0</v>
      </c>
      <c r="AN282" s="2">
        <v>0</v>
      </c>
      <c r="AO282" t="s">
        <v>44</v>
      </c>
      <c r="AP282" t="s">
        <v>44</v>
      </c>
      <c r="AQ282" t="s">
        <v>11182</v>
      </c>
    </row>
    <row r="283" spans="1:43" x14ac:dyDescent="0.2">
      <c r="A283" t="s">
        <v>11428</v>
      </c>
      <c r="B283" t="s">
        <v>11030</v>
      </c>
      <c r="C283" t="s">
        <v>11030</v>
      </c>
      <c r="D283" t="s">
        <v>12725</v>
      </c>
      <c r="E283" t="s">
        <v>12719</v>
      </c>
      <c r="F283" t="s">
        <v>12725</v>
      </c>
      <c r="G283" s="1">
        <v>109</v>
      </c>
      <c r="H283" s="2"/>
      <c r="I283" s="2">
        <v>0</v>
      </c>
      <c r="J283" s="2"/>
      <c r="K283" s="2"/>
      <c r="L283" s="2">
        <v>0</v>
      </c>
      <c r="M283" s="3"/>
      <c r="N283" s="4">
        <v>0</v>
      </c>
      <c r="O283" s="5" t="s">
        <v>44</v>
      </c>
      <c r="P283" s="5" t="s">
        <v>44</v>
      </c>
      <c r="Q283" s="1"/>
      <c r="R283" s="2"/>
      <c r="S283" s="6"/>
      <c r="T283" t="s">
        <v>11031</v>
      </c>
      <c r="U283" t="s">
        <v>11183</v>
      </c>
      <c r="V283" t="s">
        <v>45</v>
      </c>
      <c r="W283" t="s">
        <v>43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s="4"/>
      <c r="AD283" s="4"/>
      <c r="AE283" s="2">
        <v>0</v>
      </c>
      <c r="AF283" s="4">
        <v>0</v>
      </c>
      <c r="AG283" s="2">
        <v>0</v>
      </c>
      <c r="AH283" s="2">
        <v>-26714445.390000001</v>
      </c>
      <c r="AI283" s="2">
        <v>-0.06</v>
      </c>
      <c r="AJ283" s="5">
        <v>44673</v>
      </c>
      <c r="AK283" t="s">
        <v>11429</v>
      </c>
      <c r="AL283" s="2">
        <v>0</v>
      </c>
      <c r="AM283" s="2">
        <v>0</v>
      </c>
      <c r="AN283" s="2">
        <v>0</v>
      </c>
      <c r="AO283" t="s">
        <v>44</v>
      </c>
      <c r="AP283" t="s">
        <v>44</v>
      </c>
      <c r="AQ283" t="s">
        <v>11182</v>
      </c>
    </row>
    <row r="284" spans="1:43" x14ac:dyDescent="0.2">
      <c r="A284" t="s">
        <v>11428</v>
      </c>
      <c r="B284" t="s">
        <v>11030</v>
      </c>
      <c r="C284" t="s">
        <v>11030</v>
      </c>
      <c r="D284" t="s">
        <v>11181</v>
      </c>
      <c r="E284" t="s">
        <v>11151</v>
      </c>
      <c r="F284" t="s">
        <v>11181</v>
      </c>
      <c r="G284" s="1">
        <v>85</v>
      </c>
      <c r="H284" s="2"/>
      <c r="I284" s="2">
        <v>0</v>
      </c>
      <c r="J284" s="2"/>
      <c r="K284" s="2"/>
      <c r="L284" s="2">
        <v>0</v>
      </c>
      <c r="M284" s="3"/>
      <c r="N284" s="4">
        <v>0</v>
      </c>
      <c r="O284" s="5" t="s">
        <v>44</v>
      </c>
      <c r="P284" s="5" t="s">
        <v>44</v>
      </c>
      <c r="Q284" s="1"/>
      <c r="R284" s="2"/>
      <c r="S284" s="6"/>
      <c r="T284" t="s">
        <v>11031</v>
      </c>
      <c r="U284" t="s">
        <v>11032</v>
      </c>
      <c r="V284" t="s">
        <v>45</v>
      </c>
      <c r="W284" t="s">
        <v>43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s="4"/>
      <c r="AD284" s="4"/>
      <c r="AE284" s="2">
        <v>0</v>
      </c>
      <c r="AF284" s="4">
        <v>0</v>
      </c>
      <c r="AG284" s="2">
        <v>0</v>
      </c>
      <c r="AH284" s="2">
        <v>-55848400</v>
      </c>
      <c r="AI284" s="2">
        <v>-0.13</v>
      </c>
      <c r="AJ284" s="5">
        <v>44673</v>
      </c>
      <c r="AK284" t="s">
        <v>11429</v>
      </c>
      <c r="AL284" s="2">
        <v>0</v>
      </c>
      <c r="AM284" s="2">
        <v>0</v>
      </c>
      <c r="AN284" s="2">
        <v>0</v>
      </c>
      <c r="AO284" t="s">
        <v>44</v>
      </c>
      <c r="AP284" t="s">
        <v>44</v>
      </c>
      <c r="AQ284" t="s">
        <v>11182</v>
      </c>
    </row>
    <row r="285" spans="1:43" x14ac:dyDescent="0.2">
      <c r="A285" t="s">
        <v>11428</v>
      </c>
      <c r="B285" t="s">
        <v>11030</v>
      </c>
      <c r="C285" t="s">
        <v>11030</v>
      </c>
      <c r="D285" t="s">
        <v>13001</v>
      </c>
      <c r="E285" t="s">
        <v>12995</v>
      </c>
      <c r="F285" t="s">
        <v>13001</v>
      </c>
      <c r="G285" s="1">
        <v>-26</v>
      </c>
      <c r="H285" s="2"/>
      <c r="I285" s="2">
        <v>0</v>
      </c>
      <c r="J285" s="2"/>
      <c r="K285" s="2"/>
      <c r="L285" s="2">
        <v>0</v>
      </c>
      <c r="M285" s="3"/>
      <c r="N285" s="4">
        <v>0</v>
      </c>
      <c r="O285" s="5" t="s">
        <v>44</v>
      </c>
      <c r="P285" s="5" t="s">
        <v>44</v>
      </c>
      <c r="Q285" s="1"/>
      <c r="R285" s="2"/>
      <c r="S285" s="6"/>
      <c r="T285" t="s">
        <v>11031</v>
      </c>
      <c r="U285" t="s">
        <v>11183</v>
      </c>
      <c r="V285" t="s">
        <v>45</v>
      </c>
      <c r="W285" t="s">
        <v>43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s="4"/>
      <c r="AD285" s="4"/>
      <c r="AE285" s="2">
        <v>0</v>
      </c>
      <c r="AF285" s="4">
        <v>0</v>
      </c>
      <c r="AG285" s="2">
        <v>0</v>
      </c>
      <c r="AH285" s="2">
        <v>-5169529.55</v>
      </c>
      <c r="AI285" s="2">
        <v>-0.01</v>
      </c>
      <c r="AJ285" s="5">
        <v>44673</v>
      </c>
      <c r="AK285" t="s">
        <v>11429</v>
      </c>
      <c r="AL285" s="2">
        <v>0</v>
      </c>
      <c r="AM285" s="2">
        <v>0</v>
      </c>
      <c r="AN285" s="2">
        <v>0</v>
      </c>
      <c r="AO285" t="s">
        <v>44</v>
      </c>
      <c r="AP285" t="s">
        <v>44</v>
      </c>
      <c r="AQ285" t="s">
        <v>11182</v>
      </c>
    </row>
    <row r="286" spans="1:43" x14ac:dyDescent="0.2">
      <c r="A286" t="s">
        <v>11428</v>
      </c>
      <c r="B286" t="s">
        <v>11030</v>
      </c>
      <c r="C286" t="s">
        <v>11030</v>
      </c>
      <c r="D286" t="s">
        <v>11184</v>
      </c>
      <c r="E286" t="s">
        <v>11155</v>
      </c>
      <c r="F286" t="s">
        <v>11184</v>
      </c>
      <c r="G286" s="1">
        <v>-72</v>
      </c>
      <c r="H286" s="2"/>
      <c r="I286" s="2">
        <v>0</v>
      </c>
      <c r="J286" s="2"/>
      <c r="K286" s="2"/>
      <c r="L286" s="2">
        <v>0</v>
      </c>
      <c r="M286" s="3"/>
      <c r="N286" s="4">
        <v>0</v>
      </c>
      <c r="O286" s="5" t="s">
        <v>44</v>
      </c>
      <c r="P286" s="5" t="s">
        <v>44</v>
      </c>
      <c r="Q286" s="1"/>
      <c r="R286" s="2"/>
      <c r="S286" s="6"/>
      <c r="T286" t="s">
        <v>11031</v>
      </c>
      <c r="U286" t="s">
        <v>11183</v>
      </c>
      <c r="V286" t="s">
        <v>45</v>
      </c>
      <c r="W286" t="s">
        <v>43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s="4"/>
      <c r="AD286" s="4"/>
      <c r="AE286" s="2">
        <v>0</v>
      </c>
      <c r="AF286" s="4">
        <v>0</v>
      </c>
      <c r="AG286" s="2">
        <v>0</v>
      </c>
      <c r="AH286" s="2">
        <v>1741542.73</v>
      </c>
      <c r="AI286" s="2">
        <v>0</v>
      </c>
      <c r="AJ286" s="5">
        <v>44673</v>
      </c>
      <c r="AK286" t="s">
        <v>11429</v>
      </c>
      <c r="AL286" s="2">
        <v>0</v>
      </c>
      <c r="AM286" s="2">
        <v>0</v>
      </c>
      <c r="AN286" s="2">
        <v>0</v>
      </c>
      <c r="AO286" t="s">
        <v>44</v>
      </c>
      <c r="AP286" t="s">
        <v>44</v>
      </c>
      <c r="AQ286" t="s">
        <v>11182</v>
      </c>
    </row>
    <row r="287" spans="1:43" x14ac:dyDescent="0.2">
      <c r="A287" t="s">
        <v>11428</v>
      </c>
      <c r="B287" t="s">
        <v>11030</v>
      </c>
      <c r="C287" t="s">
        <v>11030</v>
      </c>
      <c r="D287" t="s">
        <v>11185</v>
      </c>
      <c r="E287" t="s">
        <v>11157</v>
      </c>
      <c r="F287" t="s">
        <v>11185</v>
      </c>
      <c r="G287" s="1">
        <v>-29</v>
      </c>
      <c r="H287" s="2"/>
      <c r="I287" s="2">
        <v>0</v>
      </c>
      <c r="J287" s="2"/>
      <c r="K287" s="2"/>
      <c r="L287" s="2">
        <v>0</v>
      </c>
      <c r="M287" s="3"/>
      <c r="N287" s="4">
        <v>0</v>
      </c>
      <c r="O287" s="5" t="s">
        <v>44</v>
      </c>
      <c r="P287" s="5" t="s">
        <v>44</v>
      </c>
      <c r="Q287" s="1"/>
      <c r="R287" s="2"/>
      <c r="S287" s="6"/>
      <c r="T287" t="s">
        <v>11031</v>
      </c>
      <c r="U287" t="s">
        <v>11032</v>
      </c>
      <c r="V287" t="s">
        <v>45</v>
      </c>
      <c r="W287" t="s">
        <v>43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s="4"/>
      <c r="AD287" s="4"/>
      <c r="AE287" s="2">
        <v>0</v>
      </c>
      <c r="AF287" s="4">
        <v>0</v>
      </c>
      <c r="AG287" s="2">
        <v>0</v>
      </c>
      <c r="AH287" s="2">
        <v>19064890</v>
      </c>
      <c r="AI287" s="2">
        <v>0.04</v>
      </c>
      <c r="AJ287" s="5">
        <v>44673</v>
      </c>
      <c r="AK287" t="s">
        <v>11429</v>
      </c>
      <c r="AL287" s="2">
        <v>0</v>
      </c>
      <c r="AM287" s="2">
        <v>0</v>
      </c>
      <c r="AN287" s="2">
        <v>0</v>
      </c>
      <c r="AO287" t="s">
        <v>44</v>
      </c>
      <c r="AP287" t="s">
        <v>44</v>
      </c>
      <c r="AQ287" t="s">
        <v>11182</v>
      </c>
    </row>
    <row r="288" spans="1:43" x14ac:dyDescent="0.2">
      <c r="A288" t="s">
        <v>11428</v>
      </c>
      <c r="B288" t="s">
        <v>11030</v>
      </c>
      <c r="C288" t="s">
        <v>11030</v>
      </c>
      <c r="D288" t="s">
        <v>12743</v>
      </c>
      <c r="E288" t="s">
        <v>12738</v>
      </c>
      <c r="F288" t="s">
        <v>12743</v>
      </c>
      <c r="G288" s="1">
        <v>77</v>
      </c>
      <c r="H288" s="2"/>
      <c r="I288" s="2">
        <v>0</v>
      </c>
      <c r="J288" s="2"/>
      <c r="K288" s="2"/>
      <c r="L288" s="2">
        <v>0</v>
      </c>
      <c r="M288" s="3"/>
      <c r="N288" s="4">
        <v>0</v>
      </c>
      <c r="O288" s="5" t="s">
        <v>44</v>
      </c>
      <c r="P288" s="5" t="s">
        <v>44</v>
      </c>
      <c r="Q288" s="1"/>
      <c r="R288" s="2"/>
      <c r="S288" s="6"/>
      <c r="T288" t="s">
        <v>11031</v>
      </c>
      <c r="U288" t="s">
        <v>11183</v>
      </c>
      <c r="V288" t="s">
        <v>45</v>
      </c>
      <c r="W288" t="s">
        <v>43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s="4"/>
      <c r="AD288" s="4"/>
      <c r="AE288" s="2">
        <v>0</v>
      </c>
      <c r="AF288" s="4">
        <v>0</v>
      </c>
      <c r="AG288" s="2">
        <v>0</v>
      </c>
      <c r="AH288" s="2">
        <v>-18253604.100000001</v>
      </c>
      <c r="AI288" s="2">
        <v>-0.04</v>
      </c>
      <c r="AJ288" s="5">
        <v>44673</v>
      </c>
      <c r="AK288" t="s">
        <v>11429</v>
      </c>
      <c r="AL288" s="2">
        <v>0</v>
      </c>
      <c r="AM288" s="2">
        <v>0</v>
      </c>
      <c r="AN288" s="2">
        <v>0</v>
      </c>
      <c r="AO288" t="s">
        <v>44</v>
      </c>
      <c r="AP288" t="s">
        <v>44</v>
      </c>
      <c r="AQ288" t="s">
        <v>11182</v>
      </c>
    </row>
    <row r="289" spans="1:43" x14ac:dyDescent="0.2">
      <c r="A289" t="s">
        <v>11428</v>
      </c>
      <c r="B289" t="s">
        <v>11030</v>
      </c>
      <c r="C289" t="s">
        <v>11030</v>
      </c>
      <c r="D289" t="s">
        <v>12726</v>
      </c>
      <c r="E289" t="s">
        <v>12722</v>
      </c>
      <c r="F289" t="s">
        <v>12726</v>
      </c>
      <c r="G289" s="1">
        <v>78</v>
      </c>
      <c r="H289" s="2"/>
      <c r="I289" s="2">
        <v>0</v>
      </c>
      <c r="J289" s="2"/>
      <c r="K289" s="2"/>
      <c r="L289" s="2">
        <v>0</v>
      </c>
      <c r="M289" s="3"/>
      <c r="N289" s="4">
        <v>0</v>
      </c>
      <c r="O289" s="5" t="s">
        <v>44</v>
      </c>
      <c r="P289" s="5" t="s">
        <v>44</v>
      </c>
      <c r="Q289" s="1"/>
      <c r="R289" s="2"/>
      <c r="S289" s="6"/>
      <c r="T289" t="s">
        <v>11031</v>
      </c>
      <c r="U289" t="s">
        <v>11183</v>
      </c>
      <c r="V289" t="s">
        <v>45</v>
      </c>
      <c r="W289" t="s">
        <v>43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s="4"/>
      <c r="AD289" s="4"/>
      <c r="AE289" s="2">
        <v>0</v>
      </c>
      <c r="AF289" s="4">
        <v>0</v>
      </c>
      <c r="AG289" s="2">
        <v>0</v>
      </c>
      <c r="AH289" s="2">
        <v>-15921665.59</v>
      </c>
      <c r="AI289" s="2">
        <v>-0.04</v>
      </c>
      <c r="AJ289" s="5">
        <v>44673</v>
      </c>
      <c r="AK289" t="s">
        <v>11429</v>
      </c>
      <c r="AL289" s="2">
        <v>0</v>
      </c>
      <c r="AM289" s="2">
        <v>0</v>
      </c>
      <c r="AN289" s="2">
        <v>0</v>
      </c>
      <c r="AO289" t="s">
        <v>44</v>
      </c>
      <c r="AP289" t="s">
        <v>44</v>
      </c>
      <c r="AQ289" t="s">
        <v>11182</v>
      </c>
    </row>
    <row r="290" spans="1:43" x14ac:dyDescent="0.2">
      <c r="A290" t="s">
        <v>11428</v>
      </c>
      <c r="B290" t="s">
        <v>11030</v>
      </c>
      <c r="C290" t="s">
        <v>11030</v>
      </c>
      <c r="D290" t="s">
        <v>13002</v>
      </c>
      <c r="E290" t="s">
        <v>12996</v>
      </c>
      <c r="F290" t="s">
        <v>13002</v>
      </c>
      <c r="G290" s="1">
        <v>-61</v>
      </c>
      <c r="H290" s="2"/>
      <c r="I290" s="2">
        <v>0</v>
      </c>
      <c r="J290" s="2"/>
      <c r="K290" s="2"/>
      <c r="L290" s="2">
        <v>0</v>
      </c>
      <c r="M290" s="3"/>
      <c r="N290" s="4">
        <v>0</v>
      </c>
      <c r="O290" s="5" t="s">
        <v>44</v>
      </c>
      <c r="P290" s="5" t="s">
        <v>44</v>
      </c>
      <c r="Q290" s="1"/>
      <c r="R290" s="2"/>
      <c r="S290" s="6"/>
      <c r="T290" t="s">
        <v>11031</v>
      </c>
      <c r="U290" t="s">
        <v>11183</v>
      </c>
      <c r="V290" t="s">
        <v>45</v>
      </c>
      <c r="W290" t="s">
        <v>43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s="4"/>
      <c r="AD290" s="4"/>
      <c r="AE290" s="2">
        <v>0</v>
      </c>
      <c r="AF290" s="4">
        <v>0</v>
      </c>
      <c r="AG290" s="2">
        <v>0</v>
      </c>
      <c r="AH290" s="2">
        <v>5893131.2000000002</v>
      </c>
      <c r="AI290" s="2">
        <v>0.01</v>
      </c>
      <c r="AJ290" s="5">
        <v>44673</v>
      </c>
      <c r="AK290" t="s">
        <v>11429</v>
      </c>
      <c r="AL290" s="2">
        <v>0</v>
      </c>
      <c r="AM290" s="2">
        <v>0</v>
      </c>
      <c r="AN290" s="2">
        <v>0</v>
      </c>
      <c r="AO290" t="s">
        <v>44</v>
      </c>
      <c r="AP290" t="s">
        <v>44</v>
      </c>
      <c r="AQ290" t="s">
        <v>11182</v>
      </c>
    </row>
    <row r="291" spans="1:43" x14ac:dyDescent="0.2">
      <c r="A291" t="s">
        <v>11428</v>
      </c>
      <c r="B291" t="s">
        <v>11030</v>
      </c>
      <c r="C291" t="s">
        <v>11030</v>
      </c>
      <c r="D291" t="s">
        <v>12744</v>
      </c>
      <c r="E291" t="s">
        <v>12739</v>
      </c>
      <c r="F291" t="s">
        <v>12744</v>
      </c>
      <c r="G291" s="1">
        <v>-62</v>
      </c>
      <c r="H291" s="2"/>
      <c r="I291" s="2">
        <v>0</v>
      </c>
      <c r="J291" s="2"/>
      <c r="K291" s="2"/>
      <c r="L291" s="2">
        <v>0</v>
      </c>
      <c r="M291" s="3"/>
      <c r="N291" s="4">
        <v>0</v>
      </c>
      <c r="O291" s="5" t="s">
        <v>44</v>
      </c>
      <c r="P291" s="5" t="s">
        <v>44</v>
      </c>
      <c r="Q291" s="1"/>
      <c r="R291" s="2"/>
      <c r="S291" s="6"/>
      <c r="T291" t="s">
        <v>11031</v>
      </c>
      <c r="U291" t="s">
        <v>11183</v>
      </c>
      <c r="V291" t="s">
        <v>45</v>
      </c>
      <c r="W291" t="s">
        <v>43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s="4"/>
      <c r="AD291" s="4"/>
      <c r="AE291" s="2">
        <v>0</v>
      </c>
      <c r="AF291" s="4">
        <v>0</v>
      </c>
      <c r="AG291" s="2">
        <v>0</v>
      </c>
      <c r="AH291" s="2">
        <v>3078736.05</v>
      </c>
      <c r="AI291" s="2">
        <v>0.01</v>
      </c>
      <c r="AJ291" s="5">
        <v>44673</v>
      </c>
      <c r="AK291" t="s">
        <v>11429</v>
      </c>
      <c r="AL291" s="2">
        <v>0</v>
      </c>
      <c r="AM291" s="2">
        <v>0</v>
      </c>
      <c r="AN291" s="2">
        <v>0</v>
      </c>
      <c r="AO291" t="s">
        <v>44</v>
      </c>
      <c r="AP291" t="s">
        <v>44</v>
      </c>
      <c r="AQ291" t="s">
        <v>11182</v>
      </c>
    </row>
    <row r="292" spans="1:43" x14ac:dyDescent="0.2">
      <c r="A292" t="s">
        <v>11430</v>
      </c>
      <c r="B292" t="s">
        <v>10900</v>
      </c>
      <c r="C292" t="s">
        <v>11049</v>
      </c>
      <c r="D292" t="s">
        <v>11432</v>
      </c>
      <c r="E292" t="s">
        <v>11433</v>
      </c>
      <c r="F292" t="s">
        <v>11432</v>
      </c>
      <c r="G292" s="1">
        <v>1000000</v>
      </c>
      <c r="H292" s="2">
        <v>991346.44</v>
      </c>
      <c r="I292" s="2">
        <v>1005100</v>
      </c>
      <c r="J292" s="2">
        <v>11465.75</v>
      </c>
      <c r="K292" s="2">
        <v>0</v>
      </c>
      <c r="L292" s="2">
        <v>1016565.75</v>
      </c>
      <c r="M292" s="3">
        <v>7.09</v>
      </c>
      <c r="N292" s="4">
        <v>2.3127999999999998E-3</v>
      </c>
      <c r="O292" s="5">
        <v>44804</v>
      </c>
      <c r="P292" s="5">
        <v>44985</v>
      </c>
      <c r="Q292" s="1">
        <v>7.75</v>
      </c>
      <c r="R292" s="2">
        <v>0.83</v>
      </c>
      <c r="S292" s="6">
        <v>0.80084109599999997</v>
      </c>
      <c r="T292" t="s">
        <v>111</v>
      </c>
      <c r="U292" t="s">
        <v>111</v>
      </c>
      <c r="V292" t="s">
        <v>10944</v>
      </c>
      <c r="W292" t="s">
        <v>43</v>
      </c>
      <c r="X292" t="s">
        <v>44</v>
      </c>
      <c r="Y292" t="s">
        <v>44</v>
      </c>
      <c r="Z292" t="s">
        <v>44</v>
      </c>
      <c r="AA292" t="s">
        <v>10979</v>
      </c>
      <c r="AB292" t="s">
        <v>44</v>
      </c>
      <c r="AC292" s="4">
        <v>7.2156702499999996</v>
      </c>
      <c r="AD292" s="4">
        <v>6.9874880800000003</v>
      </c>
      <c r="AE292" s="2">
        <v>7.22</v>
      </c>
      <c r="AF292" s="4">
        <v>6.9874880800000003</v>
      </c>
      <c r="AG292" s="2">
        <v>0.75</v>
      </c>
      <c r="AH292" s="2">
        <v>1016565.75</v>
      </c>
      <c r="AI292" s="2">
        <v>0</v>
      </c>
      <c r="AJ292" s="5">
        <v>44673</v>
      </c>
      <c r="AK292" t="s">
        <v>11431</v>
      </c>
      <c r="AL292" s="2">
        <v>7.09</v>
      </c>
      <c r="AM292" s="2">
        <v>7.75</v>
      </c>
      <c r="AN292" s="2">
        <v>0.8</v>
      </c>
      <c r="AO292" t="s">
        <v>11165</v>
      </c>
      <c r="AP292" t="s">
        <v>11434</v>
      </c>
      <c r="AQ292" t="s">
        <v>11433</v>
      </c>
    </row>
    <row r="293" spans="1:43" x14ac:dyDescent="0.2">
      <c r="A293" t="s">
        <v>11430</v>
      </c>
      <c r="B293" t="s">
        <v>10900</v>
      </c>
      <c r="C293" t="s">
        <v>11049</v>
      </c>
      <c r="D293" t="s">
        <v>11435</v>
      </c>
      <c r="E293" t="s">
        <v>11436</v>
      </c>
      <c r="F293" t="s">
        <v>11435</v>
      </c>
      <c r="G293" s="1">
        <v>2000000</v>
      </c>
      <c r="H293" s="2">
        <v>2000000</v>
      </c>
      <c r="I293" s="2">
        <v>1993977.44</v>
      </c>
      <c r="J293" s="2">
        <v>13302.74</v>
      </c>
      <c r="K293" s="2">
        <v>0</v>
      </c>
      <c r="L293" s="2">
        <v>2007280.18</v>
      </c>
      <c r="M293" s="3">
        <v>6.6753489999999998</v>
      </c>
      <c r="N293" s="4">
        <v>4.5667800000000003E-3</v>
      </c>
      <c r="O293" s="5">
        <v>44727</v>
      </c>
      <c r="P293" s="5">
        <v>44970</v>
      </c>
      <c r="Q293" s="1">
        <v>6.2249999999999996</v>
      </c>
      <c r="R293" s="2">
        <v>0.14000000000000001</v>
      </c>
      <c r="S293" s="6">
        <v>0.118472349487</v>
      </c>
      <c r="T293" t="s">
        <v>111</v>
      </c>
      <c r="U293" t="s">
        <v>111</v>
      </c>
      <c r="V293" t="s">
        <v>114</v>
      </c>
      <c r="W293" t="s">
        <v>43</v>
      </c>
      <c r="X293" t="s">
        <v>10988</v>
      </c>
      <c r="Y293" t="s">
        <v>44</v>
      </c>
      <c r="Z293" t="s">
        <v>44</v>
      </c>
      <c r="AA293" t="s">
        <v>11035</v>
      </c>
      <c r="AB293" t="s">
        <v>44</v>
      </c>
      <c r="AC293" s="4">
        <v>6.78675008</v>
      </c>
      <c r="AD293" s="4">
        <v>6.5843653</v>
      </c>
      <c r="AE293" s="2">
        <v>6.79</v>
      </c>
      <c r="AF293" s="4">
        <v>6.5843653</v>
      </c>
      <c r="AG293" s="2">
        <v>1.48</v>
      </c>
      <c r="AH293" s="2">
        <v>2007280.18</v>
      </c>
      <c r="AI293" s="2">
        <v>0</v>
      </c>
      <c r="AJ293" s="5">
        <v>44673</v>
      </c>
      <c r="AK293" t="s">
        <v>11431</v>
      </c>
      <c r="AL293" s="2">
        <v>6.68</v>
      </c>
      <c r="AM293" s="2">
        <v>6.22</v>
      </c>
      <c r="AN293" s="2">
        <v>0.12</v>
      </c>
      <c r="AO293" t="s">
        <v>11437</v>
      </c>
      <c r="AP293" t="s">
        <v>11438</v>
      </c>
      <c r="AQ293" t="s">
        <v>11436</v>
      </c>
    </row>
    <row r="294" spans="1:43" x14ac:dyDescent="0.2">
      <c r="A294" t="s">
        <v>11430</v>
      </c>
      <c r="B294" t="s">
        <v>10900</v>
      </c>
      <c r="C294" t="s">
        <v>11049</v>
      </c>
      <c r="D294" t="s">
        <v>11439</v>
      </c>
      <c r="E294" t="s">
        <v>11440</v>
      </c>
      <c r="F294" t="s">
        <v>11439</v>
      </c>
      <c r="G294" s="1">
        <v>1260000</v>
      </c>
      <c r="H294" s="2">
        <v>1261048.1399999999</v>
      </c>
      <c r="I294" s="2">
        <v>1260605.74</v>
      </c>
      <c r="J294" s="2">
        <v>12727.93</v>
      </c>
      <c r="K294" s="2">
        <v>0</v>
      </c>
      <c r="L294" s="2">
        <v>1273333.67</v>
      </c>
      <c r="M294" s="3">
        <v>6.2541640000000003</v>
      </c>
      <c r="N294" s="4">
        <v>2.89697E-3</v>
      </c>
      <c r="O294" s="5">
        <v>44705</v>
      </c>
      <c r="P294" s="5">
        <v>44797</v>
      </c>
      <c r="Q294" s="1">
        <v>6.3570000000000002</v>
      </c>
      <c r="R294" s="2">
        <v>0.08</v>
      </c>
      <c r="S294" s="6">
        <v>7.1392159405999994E-2</v>
      </c>
      <c r="T294" t="s">
        <v>111</v>
      </c>
      <c r="U294" t="s">
        <v>111</v>
      </c>
      <c r="V294" t="s">
        <v>11189</v>
      </c>
      <c r="W294" t="s">
        <v>43</v>
      </c>
      <c r="X294" t="s">
        <v>11034</v>
      </c>
      <c r="Y294" t="s">
        <v>44</v>
      </c>
      <c r="Z294" t="s">
        <v>44</v>
      </c>
      <c r="AA294" t="s">
        <v>11441</v>
      </c>
      <c r="AB294" t="s">
        <v>44</v>
      </c>
      <c r="AC294" s="4">
        <v>6.3519500200000003</v>
      </c>
      <c r="AD294" s="4">
        <v>6.1741985000000001</v>
      </c>
      <c r="AE294" s="2">
        <v>6.35</v>
      </c>
      <c r="AF294" s="4">
        <v>6.1741985000000001</v>
      </c>
      <c r="AG294" s="2">
        <v>0.94</v>
      </c>
      <c r="AH294" s="2">
        <v>1273333.67</v>
      </c>
      <c r="AI294" s="2">
        <v>0</v>
      </c>
      <c r="AJ294" s="5">
        <v>44673</v>
      </c>
      <c r="AK294" t="s">
        <v>11431</v>
      </c>
      <c r="AL294" s="2">
        <v>6.25</v>
      </c>
      <c r="AM294" s="2">
        <v>6.36</v>
      </c>
      <c r="AN294" s="2">
        <v>7.0000000000000007E-2</v>
      </c>
      <c r="AO294" t="s">
        <v>11442</v>
      </c>
      <c r="AP294" t="s">
        <v>11443</v>
      </c>
      <c r="AQ294" t="s">
        <v>11440</v>
      </c>
    </row>
    <row r="295" spans="1:43" x14ac:dyDescent="0.2">
      <c r="A295" t="s">
        <v>11430</v>
      </c>
      <c r="B295" t="s">
        <v>10900</v>
      </c>
      <c r="C295" t="s">
        <v>11049</v>
      </c>
      <c r="D295" t="s">
        <v>11444</v>
      </c>
      <c r="E295" t="s">
        <v>11445</v>
      </c>
      <c r="F295" t="s">
        <v>11444</v>
      </c>
      <c r="G295" s="1">
        <v>1900000</v>
      </c>
      <c r="H295" s="2">
        <v>1900000</v>
      </c>
      <c r="I295" s="2">
        <v>1903107.75</v>
      </c>
      <c r="J295" s="2">
        <v>26012.41</v>
      </c>
      <c r="K295" s="2">
        <v>0</v>
      </c>
      <c r="L295" s="2">
        <v>1929120.16</v>
      </c>
      <c r="M295" s="3">
        <v>5.7671150000000004</v>
      </c>
      <c r="N295" s="4">
        <v>4.3889599999999999E-3</v>
      </c>
      <c r="O295" s="5">
        <v>44701</v>
      </c>
      <c r="P295" s="5">
        <v>44701</v>
      </c>
      <c r="Q295" s="1">
        <v>8.1920000000000002</v>
      </c>
      <c r="R295" s="2">
        <v>7.0000000000000007E-2</v>
      </c>
      <c r="S295" s="6">
        <v>6.4696420854E-2</v>
      </c>
      <c r="T295" t="s">
        <v>111</v>
      </c>
      <c r="U295" t="s">
        <v>111</v>
      </c>
      <c r="V295" t="s">
        <v>11189</v>
      </c>
      <c r="W295" t="s">
        <v>43</v>
      </c>
      <c r="X295" t="s">
        <v>11034</v>
      </c>
      <c r="Y295" t="s">
        <v>44</v>
      </c>
      <c r="Z295" t="s">
        <v>44</v>
      </c>
      <c r="AA295" t="s">
        <v>11446</v>
      </c>
      <c r="AB295" t="s">
        <v>44</v>
      </c>
      <c r="AC295" s="4">
        <v>5.8502642299999996</v>
      </c>
      <c r="AD295" s="4">
        <v>5.6990209399999996</v>
      </c>
      <c r="AE295" s="2">
        <v>5.85</v>
      </c>
      <c r="AF295" s="4">
        <v>5.6990209399999996</v>
      </c>
      <c r="AG295" s="2">
        <v>1.42</v>
      </c>
      <c r="AH295" s="2">
        <v>1929120.16</v>
      </c>
      <c r="AI295" s="2">
        <v>0</v>
      </c>
      <c r="AJ295" s="5">
        <v>44673</v>
      </c>
      <c r="AK295" t="s">
        <v>11431</v>
      </c>
      <c r="AL295" s="2">
        <v>5.77</v>
      </c>
      <c r="AM295" s="2">
        <v>8.19</v>
      </c>
      <c r="AN295" s="2">
        <v>0.06</v>
      </c>
      <c r="AO295" t="s">
        <v>11447</v>
      </c>
      <c r="AP295" t="s">
        <v>11448</v>
      </c>
      <c r="AQ295" t="s">
        <v>11445</v>
      </c>
    </row>
    <row r="296" spans="1:43" x14ac:dyDescent="0.2">
      <c r="A296" t="s">
        <v>11430</v>
      </c>
      <c r="B296" t="s">
        <v>10900</v>
      </c>
      <c r="C296" t="s">
        <v>11049</v>
      </c>
      <c r="D296" t="s">
        <v>11449</v>
      </c>
      <c r="E296" t="s">
        <v>11450</v>
      </c>
      <c r="F296" t="s">
        <v>11449</v>
      </c>
      <c r="G296" s="1">
        <v>450000</v>
      </c>
      <c r="H296" s="2">
        <v>450000</v>
      </c>
      <c r="I296" s="2">
        <v>449939.49</v>
      </c>
      <c r="J296" s="2">
        <v>4915.07</v>
      </c>
      <c r="K296" s="2">
        <v>0</v>
      </c>
      <c r="L296" s="2">
        <v>454854.56</v>
      </c>
      <c r="M296" s="3">
        <v>7.875292</v>
      </c>
      <c r="N296" s="4">
        <v>1.03484E-3</v>
      </c>
      <c r="O296" s="5">
        <v>44715</v>
      </c>
      <c r="P296" s="5">
        <v>44807</v>
      </c>
      <c r="Q296" s="1">
        <v>7.8170000000000002</v>
      </c>
      <c r="R296" s="2">
        <v>0.11</v>
      </c>
      <c r="S296" s="6">
        <v>9.2666519926999993E-2</v>
      </c>
      <c r="T296" t="s">
        <v>111</v>
      </c>
      <c r="U296" t="s">
        <v>111</v>
      </c>
      <c r="V296" t="s">
        <v>11189</v>
      </c>
      <c r="W296" t="s">
        <v>43</v>
      </c>
      <c r="X296" t="s">
        <v>11034</v>
      </c>
      <c r="Y296" t="s">
        <v>44</v>
      </c>
      <c r="Z296" t="s">
        <v>44</v>
      </c>
      <c r="AA296" t="s">
        <v>44</v>
      </c>
      <c r="AB296" t="s">
        <v>44</v>
      </c>
      <c r="AC296" s="4">
        <v>8.0303424700000008</v>
      </c>
      <c r="AD296" s="4">
        <v>7.7491081299999998</v>
      </c>
      <c r="AE296" s="2">
        <v>8.0299999999999994</v>
      </c>
      <c r="AF296" s="4">
        <v>7.7491081299999998</v>
      </c>
      <c r="AG296" s="2">
        <v>0.33</v>
      </c>
      <c r="AH296" s="2">
        <v>454854.56</v>
      </c>
      <c r="AI296" s="2">
        <v>0</v>
      </c>
      <c r="AJ296" s="5">
        <v>44673</v>
      </c>
      <c r="AK296" t="s">
        <v>11431</v>
      </c>
      <c r="AL296" s="2">
        <v>7.88</v>
      </c>
      <c r="AM296" s="2">
        <v>7.82</v>
      </c>
      <c r="AN296" s="2">
        <v>0.09</v>
      </c>
      <c r="AO296" t="s">
        <v>11451</v>
      </c>
      <c r="AP296" t="s">
        <v>11452</v>
      </c>
      <c r="AQ296" t="s">
        <v>11450</v>
      </c>
    </row>
    <row r="297" spans="1:43" x14ac:dyDescent="0.2">
      <c r="A297" t="s">
        <v>11430</v>
      </c>
      <c r="B297" t="s">
        <v>10900</v>
      </c>
      <c r="C297" t="s">
        <v>11049</v>
      </c>
      <c r="D297" t="s">
        <v>11453</v>
      </c>
      <c r="E297" t="s">
        <v>11454</v>
      </c>
      <c r="F297" t="s">
        <v>11453</v>
      </c>
      <c r="G297" s="1">
        <v>300000</v>
      </c>
      <c r="H297" s="2">
        <v>300000</v>
      </c>
      <c r="I297" s="2">
        <v>301133.21999999997</v>
      </c>
      <c r="J297" s="2">
        <v>2408.6999999999998</v>
      </c>
      <c r="K297" s="2">
        <v>0</v>
      </c>
      <c r="L297" s="2">
        <v>303541.92</v>
      </c>
      <c r="M297" s="3">
        <v>5.0248049999999997</v>
      </c>
      <c r="N297" s="4">
        <v>6.9059000000000004E-4</v>
      </c>
      <c r="O297" s="5">
        <v>44707</v>
      </c>
      <c r="P297" s="5">
        <v>44983</v>
      </c>
      <c r="Q297" s="1">
        <v>5.4269999999999996</v>
      </c>
      <c r="R297" s="2">
        <v>0.08</v>
      </c>
      <c r="S297" s="6">
        <v>7.8644503066000002E-2</v>
      </c>
      <c r="T297" t="s">
        <v>111</v>
      </c>
      <c r="U297" t="s">
        <v>111</v>
      </c>
      <c r="V297" t="s">
        <v>11189</v>
      </c>
      <c r="W297" t="s">
        <v>43</v>
      </c>
      <c r="X297" t="s">
        <v>11034</v>
      </c>
      <c r="Y297" t="s">
        <v>44</v>
      </c>
      <c r="Z297" t="s">
        <v>44</v>
      </c>
      <c r="AA297" t="s">
        <v>11441</v>
      </c>
      <c r="AB297" t="s">
        <v>44</v>
      </c>
      <c r="AC297" s="4">
        <v>5.0879264600000003</v>
      </c>
      <c r="AD297" s="4">
        <v>4.9729969399999998</v>
      </c>
      <c r="AE297" s="2">
        <v>5.09</v>
      </c>
      <c r="AF297" s="4">
        <v>4.9729969399999998</v>
      </c>
      <c r="AG297" s="2">
        <v>0.22</v>
      </c>
      <c r="AH297" s="2">
        <v>303541.92</v>
      </c>
      <c r="AI297" s="2">
        <v>0</v>
      </c>
      <c r="AJ297" s="5">
        <v>44673</v>
      </c>
      <c r="AK297" t="s">
        <v>11431</v>
      </c>
      <c r="AL297" s="2">
        <v>5.0199999999999996</v>
      </c>
      <c r="AM297" s="2">
        <v>5.43</v>
      </c>
      <c r="AN297" s="2">
        <v>0.08</v>
      </c>
      <c r="AO297" t="s">
        <v>11455</v>
      </c>
      <c r="AP297" t="s">
        <v>11456</v>
      </c>
      <c r="AQ297" t="s">
        <v>11454</v>
      </c>
    </row>
    <row r="298" spans="1:43" x14ac:dyDescent="0.2">
      <c r="A298" t="s">
        <v>11430</v>
      </c>
      <c r="B298" t="s">
        <v>10900</v>
      </c>
      <c r="C298" t="s">
        <v>11049</v>
      </c>
      <c r="D298" t="s">
        <v>11457</v>
      </c>
      <c r="E298" t="s">
        <v>11458</v>
      </c>
      <c r="F298" t="s">
        <v>11457</v>
      </c>
      <c r="G298" s="1">
        <v>300000</v>
      </c>
      <c r="H298" s="2">
        <v>300000</v>
      </c>
      <c r="I298" s="2">
        <v>300001.11</v>
      </c>
      <c r="J298" s="2">
        <v>3611.15</v>
      </c>
      <c r="K298" s="2">
        <v>0</v>
      </c>
      <c r="L298" s="2">
        <v>303612.26</v>
      </c>
      <c r="M298" s="3">
        <v>5.4289139999999998</v>
      </c>
      <c r="N298" s="4">
        <v>6.9074999999999996E-4</v>
      </c>
      <c r="O298" s="5">
        <v>44684</v>
      </c>
      <c r="P298" s="5">
        <v>44957</v>
      </c>
      <c r="Q298" s="1">
        <v>5.3579999999999997</v>
      </c>
      <c r="R298" s="2">
        <v>0.02</v>
      </c>
      <c r="S298" s="6">
        <v>1.4426938812E-2</v>
      </c>
      <c r="T298" t="s">
        <v>111</v>
      </c>
      <c r="U298" t="s">
        <v>111</v>
      </c>
      <c r="V298" t="s">
        <v>11189</v>
      </c>
      <c r="W298" t="s">
        <v>43</v>
      </c>
      <c r="X298" t="s">
        <v>11034</v>
      </c>
      <c r="Y298" t="s">
        <v>44</v>
      </c>
      <c r="Z298" t="s">
        <v>44</v>
      </c>
      <c r="AA298" t="s">
        <v>10979</v>
      </c>
      <c r="AB298" t="s">
        <v>44</v>
      </c>
      <c r="AC298" s="4">
        <v>5.5025962599999998</v>
      </c>
      <c r="AD298" s="4">
        <v>5.3685105899999996</v>
      </c>
      <c r="AE298" s="2">
        <v>5.5</v>
      </c>
      <c r="AF298" s="4">
        <v>5.3685105899999996</v>
      </c>
      <c r="AG298" s="2">
        <v>0.22</v>
      </c>
      <c r="AH298" s="2">
        <v>303612.26</v>
      </c>
      <c r="AI298" s="2">
        <v>0</v>
      </c>
      <c r="AJ298" s="5">
        <v>44673</v>
      </c>
      <c r="AK298" t="s">
        <v>11431</v>
      </c>
      <c r="AL298" s="2">
        <v>5.43</v>
      </c>
      <c r="AM298" s="2">
        <v>5.36</v>
      </c>
      <c r="AN298" s="2">
        <v>0.01</v>
      </c>
      <c r="AO298" t="s">
        <v>11048</v>
      </c>
      <c r="AP298" t="s">
        <v>11459</v>
      </c>
      <c r="AQ298" t="s">
        <v>11458</v>
      </c>
    </row>
    <row r="299" spans="1:43" x14ac:dyDescent="0.2">
      <c r="A299" t="s">
        <v>11430</v>
      </c>
      <c r="B299" t="s">
        <v>10900</v>
      </c>
      <c r="C299" t="s">
        <v>11049</v>
      </c>
      <c r="D299" t="s">
        <v>11785</v>
      </c>
      <c r="E299" t="s">
        <v>11786</v>
      </c>
      <c r="F299" t="s">
        <v>11785</v>
      </c>
      <c r="G299" s="1">
        <v>3000000</v>
      </c>
      <c r="H299" s="2">
        <v>3027891.27</v>
      </c>
      <c r="I299" s="2">
        <v>3030640.77</v>
      </c>
      <c r="J299" s="2">
        <v>19573.48</v>
      </c>
      <c r="K299" s="2">
        <v>0</v>
      </c>
      <c r="L299" s="2">
        <v>3050214.25</v>
      </c>
      <c r="M299" s="3">
        <v>4.8216830000000002</v>
      </c>
      <c r="N299" s="4">
        <v>6.9395699999999999E-3</v>
      </c>
      <c r="O299" s="5">
        <v>44732</v>
      </c>
      <c r="P299" s="5">
        <v>44824</v>
      </c>
      <c r="Q299" s="1">
        <v>7.4420000000000002</v>
      </c>
      <c r="R299" s="2">
        <v>0.15</v>
      </c>
      <c r="S299" s="6">
        <v>0.146783072519</v>
      </c>
      <c r="T299" t="s">
        <v>111</v>
      </c>
      <c r="U299" t="s">
        <v>111</v>
      </c>
      <c r="V299" t="s">
        <v>11189</v>
      </c>
      <c r="W299" t="s">
        <v>43</v>
      </c>
      <c r="X299" t="s">
        <v>11034</v>
      </c>
      <c r="Y299" t="s">
        <v>44</v>
      </c>
      <c r="Z299" t="s">
        <v>44</v>
      </c>
      <c r="AA299" t="s">
        <v>10979</v>
      </c>
      <c r="AB299" t="s">
        <v>11441</v>
      </c>
      <c r="AC299" s="4">
        <v>4.87980444</v>
      </c>
      <c r="AD299" s="4">
        <v>4.7739498600000001</v>
      </c>
      <c r="AE299" s="2">
        <v>4.88</v>
      </c>
      <c r="AF299" s="4">
        <v>4.7739498600000001</v>
      </c>
      <c r="AG299" s="2">
        <v>2.2400000000000002</v>
      </c>
      <c r="AH299" s="2">
        <v>3050214.25</v>
      </c>
      <c r="AI299" s="2">
        <v>0.01</v>
      </c>
      <c r="AJ299" s="5">
        <v>44673</v>
      </c>
      <c r="AK299" t="s">
        <v>11431</v>
      </c>
      <c r="AL299" s="2">
        <v>4.82</v>
      </c>
      <c r="AM299" s="2">
        <v>7.44</v>
      </c>
      <c r="AN299" s="2">
        <v>0.15</v>
      </c>
      <c r="AO299" t="s">
        <v>11054</v>
      </c>
      <c r="AP299" t="s">
        <v>11787</v>
      </c>
      <c r="AQ299" t="s">
        <v>11786</v>
      </c>
    </row>
    <row r="300" spans="1:43" x14ac:dyDescent="0.2">
      <c r="A300" t="s">
        <v>11430</v>
      </c>
      <c r="B300" t="s">
        <v>10900</v>
      </c>
      <c r="C300" t="s">
        <v>11049</v>
      </c>
      <c r="D300" t="s">
        <v>11460</v>
      </c>
      <c r="E300" t="s">
        <v>11461</v>
      </c>
      <c r="F300" t="s">
        <v>11460</v>
      </c>
      <c r="G300" s="1">
        <v>2000000</v>
      </c>
      <c r="H300" s="2">
        <v>2000000</v>
      </c>
      <c r="I300" s="2">
        <v>2000000</v>
      </c>
      <c r="J300" s="2">
        <v>27219.51</v>
      </c>
      <c r="K300" s="2">
        <v>0</v>
      </c>
      <c r="L300" s="2">
        <v>2027219.51</v>
      </c>
      <c r="M300" s="3">
        <v>4.2116369999999996</v>
      </c>
      <c r="N300" s="4">
        <v>4.6121399999999998E-3</v>
      </c>
      <c r="O300" s="5">
        <v>44680</v>
      </c>
      <c r="P300" s="5">
        <v>44865</v>
      </c>
      <c r="Q300" s="1">
        <v>6.0579999999999998</v>
      </c>
      <c r="R300" s="2">
        <v>7.0000000000000007E-2</v>
      </c>
      <c r="S300" s="6">
        <v>7.3291687867999999E-2</v>
      </c>
      <c r="T300" t="s">
        <v>111</v>
      </c>
      <c r="U300" t="s">
        <v>111</v>
      </c>
      <c r="V300" t="s">
        <v>114</v>
      </c>
      <c r="W300" t="s">
        <v>43</v>
      </c>
      <c r="X300" t="s">
        <v>10988</v>
      </c>
      <c r="Y300" t="s">
        <v>44</v>
      </c>
      <c r="Z300" t="s">
        <v>44</v>
      </c>
      <c r="AA300" t="s">
        <v>11035</v>
      </c>
      <c r="AB300" t="s">
        <v>44</v>
      </c>
      <c r="AC300" s="4">
        <v>4.2559817600000001</v>
      </c>
      <c r="AD300" s="4">
        <v>4.1751516899999999</v>
      </c>
      <c r="AE300" s="2">
        <v>4.26</v>
      </c>
      <c r="AF300" s="4">
        <v>4.1751516899999999</v>
      </c>
      <c r="AG300" s="2">
        <v>1.49</v>
      </c>
      <c r="AH300" s="2">
        <v>2027219.51</v>
      </c>
      <c r="AI300" s="2">
        <v>0</v>
      </c>
      <c r="AJ300" s="5">
        <v>44673</v>
      </c>
      <c r="AK300" t="s">
        <v>11431</v>
      </c>
      <c r="AL300" s="2">
        <v>4.21</v>
      </c>
      <c r="AM300" s="2">
        <v>6.06</v>
      </c>
      <c r="AN300" s="2">
        <v>7.0000000000000007E-2</v>
      </c>
      <c r="AO300" t="s">
        <v>11437</v>
      </c>
      <c r="AP300" t="s">
        <v>11462</v>
      </c>
      <c r="AQ300" t="s">
        <v>11461</v>
      </c>
    </row>
    <row r="301" spans="1:43" x14ac:dyDescent="0.2">
      <c r="A301" t="s">
        <v>11430</v>
      </c>
      <c r="B301" t="s">
        <v>10900</v>
      </c>
      <c r="C301" t="s">
        <v>11049</v>
      </c>
      <c r="D301" t="s">
        <v>11463</v>
      </c>
      <c r="E301" t="s">
        <v>11464</v>
      </c>
      <c r="F301" t="s">
        <v>11463</v>
      </c>
      <c r="G301" s="1">
        <v>260000</v>
      </c>
      <c r="H301" s="2">
        <v>260349.96</v>
      </c>
      <c r="I301" s="2">
        <v>261033.16</v>
      </c>
      <c r="J301" s="2">
        <v>1867.33</v>
      </c>
      <c r="K301" s="2">
        <v>0</v>
      </c>
      <c r="L301" s="2">
        <v>262900.49</v>
      </c>
      <c r="M301" s="3">
        <v>5.5214679999999996</v>
      </c>
      <c r="N301" s="4">
        <v>5.9812999999999999E-4</v>
      </c>
      <c r="O301" s="5">
        <v>44733</v>
      </c>
      <c r="P301" s="5">
        <v>44733</v>
      </c>
      <c r="Q301" s="1">
        <v>8.1920000000000002</v>
      </c>
      <c r="R301" s="2">
        <v>0.16</v>
      </c>
      <c r="S301" s="6">
        <v>0.14786153473499999</v>
      </c>
      <c r="T301" t="s">
        <v>111</v>
      </c>
      <c r="U301" t="s">
        <v>111</v>
      </c>
      <c r="V301" t="s">
        <v>11189</v>
      </c>
      <c r="W301" t="s">
        <v>43</v>
      </c>
      <c r="X301" t="s">
        <v>11034</v>
      </c>
      <c r="Y301" t="s">
        <v>44</v>
      </c>
      <c r="Z301" t="s">
        <v>44</v>
      </c>
      <c r="AA301" t="s">
        <v>11035</v>
      </c>
      <c r="AB301" t="s">
        <v>11465</v>
      </c>
      <c r="AC301" s="4">
        <v>5.5976845400000004</v>
      </c>
      <c r="AD301" s="4">
        <v>5.4590052800000004</v>
      </c>
      <c r="AE301" s="2">
        <v>5.6</v>
      </c>
      <c r="AF301" s="4">
        <v>5.4590052800000004</v>
      </c>
      <c r="AG301" s="2">
        <v>0.19</v>
      </c>
      <c r="AH301" s="2">
        <v>262900.49</v>
      </c>
      <c r="AI301" s="2">
        <v>0</v>
      </c>
      <c r="AJ301" s="5">
        <v>44673</v>
      </c>
      <c r="AK301" t="s">
        <v>11431</v>
      </c>
      <c r="AL301" s="2">
        <v>5.52</v>
      </c>
      <c r="AM301" s="2">
        <v>8.19</v>
      </c>
      <c r="AN301" s="2">
        <v>0.15</v>
      </c>
      <c r="AO301" t="s">
        <v>11053</v>
      </c>
      <c r="AP301" t="s">
        <v>11466</v>
      </c>
      <c r="AQ301" t="s">
        <v>11464</v>
      </c>
    </row>
    <row r="302" spans="1:43" x14ac:dyDescent="0.2">
      <c r="A302" t="s">
        <v>11430</v>
      </c>
      <c r="B302" t="s">
        <v>10900</v>
      </c>
      <c r="C302" t="s">
        <v>11049</v>
      </c>
      <c r="D302" t="s">
        <v>11467</v>
      </c>
      <c r="E302" t="s">
        <v>11468</v>
      </c>
      <c r="F302" t="s">
        <v>11467</v>
      </c>
      <c r="G302" s="1">
        <v>1400000</v>
      </c>
      <c r="H302" s="2">
        <v>1400000</v>
      </c>
      <c r="I302" s="2">
        <v>1400186.9</v>
      </c>
      <c r="J302" s="2">
        <v>33926.03</v>
      </c>
      <c r="K302" s="2">
        <v>0</v>
      </c>
      <c r="L302" s="2">
        <v>1434112.93</v>
      </c>
      <c r="M302" s="3">
        <v>6.1</v>
      </c>
      <c r="N302" s="4">
        <v>3.26276E-3</v>
      </c>
      <c r="O302" s="5">
        <v>44710</v>
      </c>
      <c r="P302" s="5">
        <v>44894</v>
      </c>
      <c r="Q302" s="1">
        <v>6.1</v>
      </c>
      <c r="R302" s="2">
        <v>0.57999999999999996</v>
      </c>
      <c r="S302" s="6">
        <v>0.56198351300000005</v>
      </c>
      <c r="T302" t="s">
        <v>111</v>
      </c>
      <c r="U302" t="s">
        <v>111</v>
      </c>
      <c r="V302" t="s">
        <v>114</v>
      </c>
      <c r="W302" t="s">
        <v>43</v>
      </c>
      <c r="X302" t="s">
        <v>44</v>
      </c>
      <c r="Y302" t="s">
        <v>44</v>
      </c>
      <c r="Z302" t="s">
        <v>44</v>
      </c>
      <c r="AA302" t="s">
        <v>11465</v>
      </c>
      <c r="AB302" t="s">
        <v>44</v>
      </c>
      <c r="AC302" s="4">
        <v>6.1930249999999996</v>
      </c>
      <c r="AD302" s="4">
        <v>6.0238935700000003</v>
      </c>
      <c r="AE302" s="2">
        <v>6.19</v>
      </c>
      <c r="AF302" s="4">
        <v>6.0238935700000003</v>
      </c>
      <c r="AG302" s="2">
        <v>1.06</v>
      </c>
      <c r="AH302" s="2">
        <v>1434112.93</v>
      </c>
      <c r="AI302" s="2">
        <v>0</v>
      </c>
      <c r="AJ302" s="5">
        <v>44673</v>
      </c>
      <c r="AK302" t="s">
        <v>11431</v>
      </c>
      <c r="AL302" s="2">
        <v>6.1</v>
      </c>
      <c r="AM302" s="2">
        <v>6.1</v>
      </c>
      <c r="AN302" s="2">
        <v>0.56000000000000005</v>
      </c>
      <c r="AO302" t="s">
        <v>11469</v>
      </c>
      <c r="AP302" t="s">
        <v>11470</v>
      </c>
      <c r="AQ302" t="s">
        <v>11468</v>
      </c>
    </row>
    <row r="303" spans="1:43" x14ac:dyDescent="0.2">
      <c r="A303" t="s">
        <v>11430</v>
      </c>
      <c r="B303" t="s">
        <v>10900</v>
      </c>
      <c r="C303" t="s">
        <v>11049</v>
      </c>
      <c r="D303" t="s">
        <v>11471</v>
      </c>
      <c r="E303" t="s">
        <v>11472</v>
      </c>
      <c r="F303" t="s">
        <v>11471</v>
      </c>
      <c r="G303" s="1">
        <v>2200000</v>
      </c>
      <c r="H303" s="2">
        <v>2200000</v>
      </c>
      <c r="I303" s="2">
        <v>2199834.34</v>
      </c>
      <c r="J303" s="2">
        <v>54861.37</v>
      </c>
      <c r="K303" s="2">
        <v>0</v>
      </c>
      <c r="L303" s="2">
        <v>2254695.71</v>
      </c>
      <c r="M303" s="3">
        <v>7.4</v>
      </c>
      <c r="N303" s="4">
        <v>5.1296800000000002E-3</v>
      </c>
      <c r="O303" s="5">
        <v>44733</v>
      </c>
      <c r="P303" s="5">
        <v>44916</v>
      </c>
      <c r="Q303" s="1">
        <v>7.4</v>
      </c>
      <c r="R303" s="2">
        <v>0.64</v>
      </c>
      <c r="S303" s="6">
        <v>0.61596285799999995</v>
      </c>
      <c r="T303" t="s">
        <v>111</v>
      </c>
      <c r="U303" t="s">
        <v>111</v>
      </c>
      <c r="V303" t="s">
        <v>114</v>
      </c>
      <c r="W303" t="s">
        <v>43</v>
      </c>
      <c r="X303" t="s">
        <v>10988</v>
      </c>
      <c r="Y303" t="s">
        <v>44</v>
      </c>
      <c r="Z303" t="s">
        <v>44</v>
      </c>
      <c r="AA303" t="s">
        <v>10913</v>
      </c>
      <c r="AB303" t="s">
        <v>44</v>
      </c>
      <c r="AC303" s="4">
        <v>7.5369000000000002</v>
      </c>
      <c r="AD303" s="4">
        <v>7.2884304699999998</v>
      </c>
      <c r="AE303" s="2">
        <v>7.54</v>
      </c>
      <c r="AF303" s="4">
        <v>7.2884304699999998</v>
      </c>
      <c r="AG303" s="2">
        <v>1.66</v>
      </c>
      <c r="AH303" s="2">
        <v>2254695.71</v>
      </c>
      <c r="AI303" s="2">
        <v>0.01</v>
      </c>
      <c r="AJ303" s="5">
        <v>44673</v>
      </c>
      <c r="AK303" t="s">
        <v>11431</v>
      </c>
      <c r="AL303" s="2">
        <v>7.4</v>
      </c>
      <c r="AM303" s="2">
        <v>7.4</v>
      </c>
      <c r="AN303" s="2">
        <v>0.62</v>
      </c>
      <c r="AO303" t="s">
        <v>10922</v>
      </c>
      <c r="AP303" t="s">
        <v>11473</v>
      </c>
      <c r="AQ303" t="s">
        <v>11472</v>
      </c>
    </row>
    <row r="304" spans="1:43" x14ac:dyDescent="0.2">
      <c r="A304" t="s">
        <v>11430</v>
      </c>
      <c r="B304" t="s">
        <v>10900</v>
      </c>
      <c r="C304" t="s">
        <v>11049</v>
      </c>
      <c r="D304" t="s">
        <v>11474</v>
      </c>
      <c r="E304" t="s">
        <v>11475</v>
      </c>
      <c r="F304" t="s">
        <v>11474</v>
      </c>
      <c r="G304" s="1">
        <v>3700000</v>
      </c>
      <c r="H304" s="2">
        <v>3700000</v>
      </c>
      <c r="I304" s="2">
        <v>3699917.86</v>
      </c>
      <c r="J304" s="2">
        <v>60098.14</v>
      </c>
      <c r="K304" s="2">
        <v>0</v>
      </c>
      <c r="L304" s="2">
        <v>3760016</v>
      </c>
      <c r="M304" s="3">
        <v>7.23</v>
      </c>
      <c r="N304" s="4">
        <v>8.55444E-3</v>
      </c>
      <c r="O304" s="5">
        <v>44773</v>
      </c>
      <c r="P304" s="5">
        <v>44773</v>
      </c>
      <c r="Q304" s="1">
        <v>7.23</v>
      </c>
      <c r="R304" s="2">
        <v>0.27</v>
      </c>
      <c r="S304" s="6">
        <v>0.26074350600000001</v>
      </c>
      <c r="T304" t="s">
        <v>111</v>
      </c>
      <c r="U304" t="s">
        <v>111</v>
      </c>
      <c r="V304" t="s">
        <v>10944</v>
      </c>
      <c r="W304" t="s">
        <v>43</v>
      </c>
      <c r="X304" t="s">
        <v>44</v>
      </c>
      <c r="Y304" t="s">
        <v>44</v>
      </c>
      <c r="Z304" t="s">
        <v>44</v>
      </c>
      <c r="AA304" t="s">
        <v>10913</v>
      </c>
      <c r="AB304" t="s">
        <v>44</v>
      </c>
      <c r="AC304" s="4">
        <v>7.36068225</v>
      </c>
      <c r="AD304" s="4">
        <v>7.1234440000000001</v>
      </c>
      <c r="AE304" s="2">
        <v>7.36</v>
      </c>
      <c r="AF304" s="4">
        <v>7.1234440000000001</v>
      </c>
      <c r="AG304" s="2">
        <v>2.77</v>
      </c>
      <c r="AH304" s="2">
        <v>3760016</v>
      </c>
      <c r="AI304" s="2">
        <v>0.01</v>
      </c>
      <c r="AJ304" s="5">
        <v>44673</v>
      </c>
      <c r="AK304" t="s">
        <v>11431</v>
      </c>
      <c r="AL304" s="2">
        <v>7.23</v>
      </c>
      <c r="AM304" s="2">
        <v>7.23</v>
      </c>
      <c r="AN304" s="2">
        <v>0.26</v>
      </c>
      <c r="AO304" t="s">
        <v>10922</v>
      </c>
      <c r="AP304" t="s">
        <v>11476</v>
      </c>
      <c r="AQ304" t="s">
        <v>11475</v>
      </c>
    </row>
    <row r="305" spans="1:43" x14ac:dyDescent="0.2">
      <c r="A305" t="s">
        <v>11430</v>
      </c>
      <c r="B305" t="s">
        <v>10900</v>
      </c>
      <c r="C305" t="s">
        <v>11049</v>
      </c>
      <c r="D305" t="s">
        <v>11477</v>
      </c>
      <c r="E305" t="s">
        <v>11478</v>
      </c>
      <c r="F305" t="s">
        <v>11477</v>
      </c>
      <c r="G305" s="1">
        <v>4000000</v>
      </c>
      <c r="H305" s="2">
        <v>4000000</v>
      </c>
      <c r="I305" s="2">
        <v>3997642.4</v>
      </c>
      <c r="J305" s="2">
        <v>44087.67</v>
      </c>
      <c r="K305" s="2">
        <v>0</v>
      </c>
      <c r="L305" s="2">
        <v>4041730.07</v>
      </c>
      <c r="M305" s="3">
        <v>7.45</v>
      </c>
      <c r="N305" s="4">
        <v>9.1953699999999996E-3</v>
      </c>
      <c r="O305" s="5">
        <v>44804</v>
      </c>
      <c r="P305" s="5">
        <v>44804</v>
      </c>
      <c r="Q305" s="1">
        <v>7.45</v>
      </c>
      <c r="R305" s="2">
        <v>0.35</v>
      </c>
      <c r="S305" s="6">
        <v>0.34175620000000001</v>
      </c>
      <c r="T305" t="s">
        <v>111</v>
      </c>
      <c r="U305" t="s">
        <v>111</v>
      </c>
      <c r="V305" t="s">
        <v>114</v>
      </c>
      <c r="W305" t="s">
        <v>43</v>
      </c>
      <c r="X305" t="s">
        <v>10988</v>
      </c>
      <c r="Y305" t="s">
        <v>44</v>
      </c>
      <c r="Z305" t="s">
        <v>44</v>
      </c>
      <c r="AA305" t="s">
        <v>10913</v>
      </c>
      <c r="AB305" t="s">
        <v>44</v>
      </c>
      <c r="AC305" s="4">
        <v>7.5887562500000003</v>
      </c>
      <c r="AD305" s="4">
        <v>7.3369344600000002</v>
      </c>
      <c r="AE305" s="2">
        <v>7.59</v>
      </c>
      <c r="AF305" s="4">
        <v>7.3369344600000002</v>
      </c>
      <c r="AG305" s="2">
        <v>2.97</v>
      </c>
      <c r="AH305" s="2">
        <v>4041730.07</v>
      </c>
      <c r="AI305" s="2">
        <v>0.01</v>
      </c>
      <c r="AJ305" s="5">
        <v>44673</v>
      </c>
      <c r="AK305" t="s">
        <v>11431</v>
      </c>
      <c r="AL305" s="2">
        <v>7.45</v>
      </c>
      <c r="AM305" s="2">
        <v>7.45</v>
      </c>
      <c r="AN305" s="2">
        <v>0.34</v>
      </c>
      <c r="AO305" t="s">
        <v>10922</v>
      </c>
      <c r="AP305" t="s">
        <v>11479</v>
      </c>
      <c r="AQ305" t="s">
        <v>11478</v>
      </c>
    </row>
    <row r="306" spans="1:43" x14ac:dyDescent="0.2">
      <c r="A306" t="s">
        <v>11430</v>
      </c>
      <c r="B306" t="s">
        <v>10900</v>
      </c>
      <c r="C306" t="s">
        <v>11049</v>
      </c>
      <c r="D306" t="s">
        <v>11480</v>
      </c>
      <c r="E306" t="s">
        <v>11481</v>
      </c>
      <c r="F306" t="s">
        <v>11480</v>
      </c>
      <c r="G306" s="1">
        <v>735000</v>
      </c>
      <c r="H306" s="2">
        <v>737412.47</v>
      </c>
      <c r="I306" s="2">
        <v>740942.69</v>
      </c>
      <c r="J306" s="2">
        <v>2543.16</v>
      </c>
      <c r="K306" s="2">
        <v>0</v>
      </c>
      <c r="L306" s="2">
        <v>743485.85</v>
      </c>
      <c r="M306" s="3">
        <v>4.6978869999999997</v>
      </c>
      <c r="N306" s="4">
        <v>1.69151E-3</v>
      </c>
      <c r="O306" s="5">
        <v>44746</v>
      </c>
      <c r="P306" s="5">
        <v>44838</v>
      </c>
      <c r="Q306" s="1">
        <v>6.6470000000000002</v>
      </c>
      <c r="R306" s="2">
        <v>0.19</v>
      </c>
      <c r="S306" s="6">
        <v>0.18338873417000001</v>
      </c>
      <c r="T306" t="s">
        <v>111</v>
      </c>
      <c r="U306" t="s">
        <v>111</v>
      </c>
      <c r="V306" t="s">
        <v>11189</v>
      </c>
      <c r="W306" t="s">
        <v>43</v>
      </c>
      <c r="X306" t="s">
        <v>11034</v>
      </c>
      <c r="Y306" t="s">
        <v>44</v>
      </c>
      <c r="Z306" t="s">
        <v>44</v>
      </c>
      <c r="AA306" t="s">
        <v>10979</v>
      </c>
      <c r="AB306" t="s">
        <v>44</v>
      </c>
      <c r="AC306" s="4">
        <v>4.7530619300000003</v>
      </c>
      <c r="AD306" s="4">
        <v>4.6525563600000002</v>
      </c>
      <c r="AE306" s="2">
        <v>4.75</v>
      </c>
      <c r="AF306" s="4">
        <v>4.6525563600000002</v>
      </c>
      <c r="AG306" s="2">
        <v>0.55000000000000004</v>
      </c>
      <c r="AH306" s="2">
        <v>743485.85</v>
      </c>
      <c r="AI306" s="2">
        <v>0</v>
      </c>
      <c r="AJ306" s="5">
        <v>44673</v>
      </c>
      <c r="AK306" t="s">
        <v>11431</v>
      </c>
      <c r="AL306" s="2">
        <v>4.7</v>
      </c>
      <c r="AM306" s="2">
        <v>6.65</v>
      </c>
      <c r="AN306" s="2">
        <v>0.18</v>
      </c>
      <c r="AO306" t="s">
        <v>11482</v>
      </c>
      <c r="AP306" t="s">
        <v>11483</v>
      </c>
      <c r="AQ306" t="s">
        <v>11481</v>
      </c>
    </row>
    <row r="307" spans="1:43" x14ac:dyDescent="0.2">
      <c r="A307" t="s">
        <v>11430</v>
      </c>
      <c r="B307" t="s">
        <v>10900</v>
      </c>
      <c r="C307" t="s">
        <v>11049</v>
      </c>
      <c r="D307" t="s">
        <v>11484</v>
      </c>
      <c r="E307" t="s">
        <v>11485</v>
      </c>
      <c r="F307" t="s">
        <v>11484</v>
      </c>
      <c r="G307" s="1">
        <v>1250000</v>
      </c>
      <c r="H307" s="2">
        <v>1251729.27</v>
      </c>
      <c r="I307" s="2">
        <v>1254311.2</v>
      </c>
      <c r="J307" s="2">
        <v>2185.96</v>
      </c>
      <c r="K307" s="2">
        <v>0</v>
      </c>
      <c r="L307" s="2">
        <v>1256497.1599999999</v>
      </c>
      <c r="M307" s="3">
        <v>4.7031479999999997</v>
      </c>
      <c r="N307" s="4">
        <v>2.8586699999999998E-3</v>
      </c>
      <c r="O307" s="5">
        <v>44755</v>
      </c>
      <c r="P307" s="5">
        <v>44755</v>
      </c>
      <c r="Q307" s="1">
        <v>6.383</v>
      </c>
      <c r="R307" s="2">
        <v>0.22</v>
      </c>
      <c r="S307" s="6">
        <v>0.20657671253000001</v>
      </c>
      <c r="T307" t="s">
        <v>111</v>
      </c>
      <c r="U307" t="s">
        <v>111</v>
      </c>
      <c r="V307" t="s">
        <v>11189</v>
      </c>
      <c r="W307" t="s">
        <v>43</v>
      </c>
      <c r="X307" t="s">
        <v>11034</v>
      </c>
      <c r="Y307" t="s">
        <v>44</v>
      </c>
      <c r="Z307" t="s">
        <v>44</v>
      </c>
      <c r="AA307" t="s">
        <v>11035</v>
      </c>
      <c r="AB307" t="s">
        <v>44</v>
      </c>
      <c r="AC307" s="4">
        <v>4.7584475099999999</v>
      </c>
      <c r="AD307" s="4">
        <v>4.6577173900000002</v>
      </c>
      <c r="AE307" s="2">
        <v>4.76</v>
      </c>
      <c r="AF307" s="4">
        <v>4.6577173900000002</v>
      </c>
      <c r="AG307" s="2">
        <v>0.92</v>
      </c>
      <c r="AH307" s="2">
        <v>1256497.1599999999</v>
      </c>
      <c r="AI307" s="2">
        <v>0</v>
      </c>
      <c r="AJ307" s="5">
        <v>44673</v>
      </c>
      <c r="AK307" t="s">
        <v>11431</v>
      </c>
      <c r="AL307" s="2">
        <v>4.7</v>
      </c>
      <c r="AM307" s="2">
        <v>6.38</v>
      </c>
      <c r="AN307" s="2">
        <v>0.21</v>
      </c>
      <c r="AO307" t="s">
        <v>11437</v>
      </c>
      <c r="AP307" t="s">
        <v>11486</v>
      </c>
      <c r="AQ307" t="s">
        <v>11485</v>
      </c>
    </row>
    <row r="308" spans="1:43" x14ac:dyDescent="0.2">
      <c r="A308" t="s">
        <v>11430</v>
      </c>
      <c r="B308" t="s">
        <v>10900</v>
      </c>
      <c r="C308" t="s">
        <v>11049</v>
      </c>
      <c r="D308" t="s">
        <v>11487</v>
      </c>
      <c r="E308" t="s">
        <v>11488</v>
      </c>
      <c r="F308" t="s">
        <v>11487</v>
      </c>
      <c r="G308" s="1">
        <v>2000000</v>
      </c>
      <c r="H308" s="2">
        <v>2000000</v>
      </c>
      <c r="I308" s="2">
        <v>1999939.6</v>
      </c>
      <c r="J308" s="2">
        <v>33249.32</v>
      </c>
      <c r="K308" s="2">
        <v>0</v>
      </c>
      <c r="L308" s="2">
        <v>2033188.92</v>
      </c>
      <c r="M308" s="3">
        <v>7.4</v>
      </c>
      <c r="N308" s="4">
        <v>4.6257199999999998E-3</v>
      </c>
      <c r="O308" s="5">
        <v>44773</v>
      </c>
      <c r="P308" s="5">
        <v>44773</v>
      </c>
      <c r="Q308" s="1">
        <v>7.4</v>
      </c>
      <c r="R308" s="2">
        <v>0.27</v>
      </c>
      <c r="S308" s="6">
        <v>0.26062797900000001</v>
      </c>
      <c r="T308" t="s">
        <v>111</v>
      </c>
      <c r="U308" t="s">
        <v>111</v>
      </c>
      <c r="V308" t="s">
        <v>114</v>
      </c>
      <c r="W308" t="s">
        <v>43</v>
      </c>
      <c r="X308" t="s">
        <v>44</v>
      </c>
      <c r="Y308" t="s">
        <v>44</v>
      </c>
      <c r="Z308" t="s">
        <v>44</v>
      </c>
      <c r="AA308" t="s">
        <v>10913</v>
      </c>
      <c r="AB308" t="s">
        <v>44</v>
      </c>
      <c r="AC308" s="4">
        <v>7.5369000000000002</v>
      </c>
      <c r="AD308" s="4">
        <v>7.2884304699999998</v>
      </c>
      <c r="AE308" s="2">
        <v>7.54</v>
      </c>
      <c r="AF308" s="4">
        <v>7.2884304699999998</v>
      </c>
      <c r="AG308" s="2">
        <v>1.5</v>
      </c>
      <c r="AH308" s="2">
        <v>2033188.92</v>
      </c>
      <c r="AI308" s="2">
        <v>0</v>
      </c>
      <c r="AJ308" s="5">
        <v>44673</v>
      </c>
      <c r="AK308" t="s">
        <v>11431</v>
      </c>
      <c r="AL308" s="2">
        <v>7.4</v>
      </c>
      <c r="AM308" s="2">
        <v>7.4</v>
      </c>
      <c r="AN308" s="2">
        <v>0.26</v>
      </c>
      <c r="AO308" t="s">
        <v>10922</v>
      </c>
      <c r="AP308" t="s">
        <v>11489</v>
      </c>
      <c r="AQ308" t="s">
        <v>11488</v>
      </c>
    </row>
    <row r="309" spans="1:43" x14ac:dyDescent="0.2">
      <c r="A309" t="s">
        <v>11430</v>
      </c>
      <c r="B309" t="s">
        <v>10900</v>
      </c>
      <c r="C309" t="s">
        <v>11049</v>
      </c>
      <c r="D309" t="s">
        <v>11490</v>
      </c>
      <c r="E309" t="s">
        <v>11491</v>
      </c>
      <c r="F309" t="s">
        <v>11490</v>
      </c>
      <c r="G309" s="1">
        <v>500000</v>
      </c>
      <c r="H309" s="2">
        <v>500383.05</v>
      </c>
      <c r="I309" s="2">
        <v>500620.59</v>
      </c>
      <c r="J309" s="2">
        <v>2303.3200000000002</v>
      </c>
      <c r="K309" s="2">
        <v>0</v>
      </c>
      <c r="L309" s="2">
        <v>502923.91</v>
      </c>
      <c r="M309" s="3">
        <v>5.641381</v>
      </c>
      <c r="N309" s="4">
        <v>1.1442100000000001E-3</v>
      </c>
      <c r="O309" s="5">
        <v>44739</v>
      </c>
      <c r="P309" s="5">
        <v>44739</v>
      </c>
      <c r="Q309" s="1">
        <v>6.4669999999999996</v>
      </c>
      <c r="R309" s="2">
        <v>0.17</v>
      </c>
      <c r="S309" s="6">
        <v>0.163232667882</v>
      </c>
      <c r="T309" t="s">
        <v>111</v>
      </c>
      <c r="U309" t="s">
        <v>111</v>
      </c>
      <c r="V309" t="s">
        <v>11189</v>
      </c>
      <c r="W309" t="s">
        <v>43</v>
      </c>
      <c r="X309" t="s">
        <v>11034</v>
      </c>
      <c r="Y309" t="s">
        <v>44</v>
      </c>
      <c r="Z309" t="s">
        <v>44</v>
      </c>
      <c r="AA309" t="s">
        <v>44</v>
      </c>
      <c r="AB309" t="s">
        <v>44</v>
      </c>
      <c r="AC309" s="4">
        <v>5.7209437699999999</v>
      </c>
      <c r="AD309" s="4">
        <v>5.5761989200000004</v>
      </c>
      <c r="AE309" s="2">
        <v>5.72</v>
      </c>
      <c r="AF309" s="4">
        <v>5.5761989200000004</v>
      </c>
      <c r="AG309" s="2">
        <v>0.37</v>
      </c>
      <c r="AH309" s="2">
        <v>502923.91</v>
      </c>
      <c r="AI309" s="2">
        <v>0</v>
      </c>
      <c r="AJ309" s="5">
        <v>44673</v>
      </c>
      <c r="AK309" t="s">
        <v>11431</v>
      </c>
      <c r="AL309" s="2">
        <v>5.64</v>
      </c>
      <c r="AM309" s="2">
        <v>6.47</v>
      </c>
      <c r="AN309" s="2">
        <v>0.16</v>
      </c>
      <c r="AO309" t="s">
        <v>11492</v>
      </c>
      <c r="AP309" t="s">
        <v>11493</v>
      </c>
      <c r="AQ309" t="s">
        <v>11491</v>
      </c>
    </row>
    <row r="310" spans="1:43" x14ac:dyDescent="0.2">
      <c r="A310" t="s">
        <v>11430</v>
      </c>
      <c r="B310" t="s">
        <v>10900</v>
      </c>
      <c r="C310" t="s">
        <v>11049</v>
      </c>
      <c r="D310" t="s">
        <v>11494</v>
      </c>
      <c r="E310" t="s">
        <v>11495</v>
      </c>
      <c r="F310" t="s">
        <v>11494</v>
      </c>
      <c r="G310" s="1">
        <v>500000</v>
      </c>
      <c r="H310" s="2">
        <v>505364.3</v>
      </c>
      <c r="I310" s="2">
        <v>507948.46</v>
      </c>
      <c r="J310" s="2">
        <v>6806.52</v>
      </c>
      <c r="K310" s="2">
        <v>0</v>
      </c>
      <c r="L310" s="2">
        <v>514754.98</v>
      </c>
      <c r="M310" s="3">
        <v>5.349933</v>
      </c>
      <c r="N310" s="4">
        <v>1.1711200000000001E-3</v>
      </c>
      <c r="O310" s="5">
        <v>44694</v>
      </c>
      <c r="P310" s="5">
        <v>44970</v>
      </c>
      <c r="Q310" s="1">
        <v>7.3070000000000004</v>
      </c>
      <c r="R310" s="2">
        <v>0.05</v>
      </c>
      <c r="S310" s="6">
        <v>4.8092249657999998E-2</v>
      </c>
      <c r="T310" t="s">
        <v>111</v>
      </c>
      <c r="U310" t="s">
        <v>111</v>
      </c>
      <c r="V310" t="s">
        <v>11189</v>
      </c>
      <c r="W310" t="s">
        <v>43</v>
      </c>
      <c r="X310" t="s">
        <v>11034</v>
      </c>
      <c r="Y310" t="s">
        <v>44</v>
      </c>
      <c r="Z310" t="s">
        <v>44</v>
      </c>
      <c r="AA310" t="s">
        <v>11035</v>
      </c>
      <c r="AB310" t="s">
        <v>44</v>
      </c>
      <c r="AC310" s="4">
        <v>5.4214878100000004</v>
      </c>
      <c r="AD310" s="4">
        <v>5.2912612699999997</v>
      </c>
      <c r="AE310" s="2">
        <v>5.42</v>
      </c>
      <c r="AF310" s="4">
        <v>5.2912612699999997</v>
      </c>
      <c r="AG310" s="2">
        <v>0.38</v>
      </c>
      <c r="AH310" s="2">
        <v>514754.98</v>
      </c>
      <c r="AI310" s="2">
        <v>0</v>
      </c>
      <c r="AJ310" s="5">
        <v>44673</v>
      </c>
      <c r="AK310" t="s">
        <v>11431</v>
      </c>
      <c r="AL310" s="2">
        <v>5.35</v>
      </c>
      <c r="AM310" s="2">
        <v>7.31</v>
      </c>
      <c r="AN310" s="2">
        <v>0.05</v>
      </c>
      <c r="AO310" t="s">
        <v>11496</v>
      </c>
      <c r="AP310" t="s">
        <v>11497</v>
      </c>
      <c r="AQ310" t="s">
        <v>11495</v>
      </c>
    </row>
    <row r="311" spans="1:43" x14ac:dyDescent="0.2">
      <c r="A311" t="s">
        <v>11430</v>
      </c>
      <c r="B311" t="s">
        <v>10900</v>
      </c>
      <c r="C311" t="s">
        <v>11033</v>
      </c>
      <c r="D311" t="s">
        <v>11498</v>
      </c>
      <c r="E311" t="s">
        <v>11499</v>
      </c>
      <c r="F311" t="s">
        <v>11498</v>
      </c>
      <c r="G311" s="1">
        <v>422162.18</v>
      </c>
      <c r="H311" s="2">
        <v>422162.18</v>
      </c>
      <c r="I311" s="2">
        <v>422125.06</v>
      </c>
      <c r="J311" s="2">
        <v>2735.89</v>
      </c>
      <c r="K311" s="2">
        <v>0</v>
      </c>
      <c r="L311" s="2">
        <v>424860.95</v>
      </c>
      <c r="M311" s="3">
        <v>7.3516830000000004</v>
      </c>
      <c r="N311" s="4">
        <v>9.6659999999999997E-4</v>
      </c>
      <c r="O311" s="5">
        <v>44732</v>
      </c>
      <c r="P311" s="5">
        <v>45097</v>
      </c>
      <c r="Q311" s="1">
        <v>7.3920000000000003</v>
      </c>
      <c r="R311" s="2">
        <v>0.15</v>
      </c>
      <c r="S311" s="6">
        <v>0.12251832022299999</v>
      </c>
      <c r="T311" t="s">
        <v>111</v>
      </c>
      <c r="U311" t="s">
        <v>111</v>
      </c>
      <c r="V311" t="s">
        <v>11189</v>
      </c>
      <c r="W311" t="s">
        <v>43</v>
      </c>
      <c r="X311" t="s">
        <v>11034</v>
      </c>
      <c r="Y311" t="s">
        <v>44</v>
      </c>
      <c r="Z311" t="s">
        <v>44</v>
      </c>
      <c r="AA311" t="s">
        <v>10979</v>
      </c>
      <c r="AB311" t="s">
        <v>44</v>
      </c>
      <c r="AC311" s="4">
        <v>7.4868009799999999</v>
      </c>
      <c r="AD311" s="4">
        <v>7.2415497599999998</v>
      </c>
      <c r="AE311" s="2">
        <v>7.49</v>
      </c>
      <c r="AF311" s="4">
        <v>7.2415497599999998</v>
      </c>
      <c r="AG311" s="2">
        <v>0.31</v>
      </c>
      <c r="AH311" s="2">
        <v>424860.95</v>
      </c>
      <c r="AI311" s="2">
        <v>0</v>
      </c>
      <c r="AJ311" s="5">
        <v>44673</v>
      </c>
      <c r="AK311" t="s">
        <v>11431</v>
      </c>
      <c r="AL311" s="2">
        <v>7.35</v>
      </c>
      <c r="AM311" s="2">
        <v>7.39</v>
      </c>
      <c r="AN311" s="2">
        <v>0.12</v>
      </c>
      <c r="AO311" t="s">
        <v>11165</v>
      </c>
      <c r="AP311" t="s">
        <v>11500</v>
      </c>
      <c r="AQ311" t="s">
        <v>11499</v>
      </c>
    </row>
    <row r="312" spans="1:43" x14ac:dyDescent="0.2">
      <c r="A312" t="s">
        <v>11430</v>
      </c>
      <c r="B312" t="s">
        <v>10900</v>
      </c>
      <c r="C312" t="s">
        <v>11033</v>
      </c>
      <c r="D312" t="s">
        <v>11501</v>
      </c>
      <c r="E312" t="s">
        <v>11502</v>
      </c>
      <c r="F312" t="s">
        <v>11501</v>
      </c>
      <c r="G312" s="1">
        <v>3000000</v>
      </c>
      <c r="H312" s="2">
        <v>3000000</v>
      </c>
      <c r="I312" s="2">
        <v>3006004.59</v>
      </c>
      <c r="J312" s="2">
        <v>10784.22</v>
      </c>
      <c r="K312" s="2">
        <v>0</v>
      </c>
      <c r="L312" s="2">
        <v>3016788.81</v>
      </c>
      <c r="M312" s="3">
        <v>5.2487519999999996</v>
      </c>
      <c r="N312" s="4">
        <v>6.8635199999999997E-3</v>
      </c>
      <c r="O312" s="5">
        <v>44742</v>
      </c>
      <c r="P312" s="5">
        <v>45383</v>
      </c>
      <c r="Q312" s="1">
        <v>5.4669999999999996</v>
      </c>
      <c r="R312" s="2">
        <v>0.18</v>
      </c>
      <c r="S312" s="6">
        <v>0.16209118744199999</v>
      </c>
      <c r="T312" t="s">
        <v>111</v>
      </c>
      <c r="U312" t="s">
        <v>111</v>
      </c>
      <c r="V312" t="s">
        <v>11189</v>
      </c>
      <c r="W312" t="s">
        <v>43</v>
      </c>
      <c r="X312" t="s">
        <v>11034</v>
      </c>
      <c r="Y312" t="s">
        <v>44</v>
      </c>
      <c r="Z312" t="s">
        <v>44</v>
      </c>
      <c r="AA312" t="s">
        <v>10979</v>
      </c>
      <c r="AB312" t="s">
        <v>44</v>
      </c>
      <c r="AC312" s="4">
        <v>5.3176255100000001</v>
      </c>
      <c r="AD312" s="4">
        <v>5.1922611500000002</v>
      </c>
      <c r="AE312" s="2">
        <v>5.32</v>
      </c>
      <c r="AF312" s="4">
        <v>5.1922611500000002</v>
      </c>
      <c r="AG312" s="2">
        <v>2.2200000000000002</v>
      </c>
      <c r="AH312" s="2">
        <v>3016788.81</v>
      </c>
      <c r="AI312" s="2">
        <v>0.01</v>
      </c>
      <c r="AJ312" s="5">
        <v>44673</v>
      </c>
      <c r="AK312" t="s">
        <v>11431</v>
      </c>
      <c r="AL312" s="2">
        <v>5.25</v>
      </c>
      <c r="AM312" s="2">
        <v>5.47</v>
      </c>
      <c r="AN312" s="2">
        <v>0.16</v>
      </c>
      <c r="AO312" t="s">
        <v>11165</v>
      </c>
      <c r="AP312" t="s">
        <v>11503</v>
      </c>
      <c r="AQ312" t="s">
        <v>11502</v>
      </c>
    </row>
    <row r="313" spans="1:43" x14ac:dyDescent="0.2">
      <c r="A313" t="s">
        <v>11430</v>
      </c>
      <c r="B313" t="s">
        <v>10900</v>
      </c>
      <c r="C313" t="s">
        <v>11033</v>
      </c>
      <c r="D313" t="s">
        <v>11504</v>
      </c>
      <c r="E313" t="s">
        <v>11505</v>
      </c>
      <c r="F313" t="s">
        <v>11504</v>
      </c>
      <c r="G313" s="1">
        <v>1000000</v>
      </c>
      <c r="H313" s="2">
        <v>1010245.73</v>
      </c>
      <c r="I313" s="2">
        <v>1016237.65</v>
      </c>
      <c r="J313" s="2">
        <v>8975.84</v>
      </c>
      <c r="K313" s="2">
        <v>0</v>
      </c>
      <c r="L313" s="2">
        <v>1025213.49</v>
      </c>
      <c r="M313" s="3">
        <v>5.2916740000000004</v>
      </c>
      <c r="N313" s="4">
        <v>2.3324700000000001E-3</v>
      </c>
      <c r="O313" s="5">
        <v>44711</v>
      </c>
      <c r="P313" s="5">
        <v>45442</v>
      </c>
      <c r="Q313" s="1">
        <v>6.0670000000000002</v>
      </c>
      <c r="R313" s="2">
        <v>0.1</v>
      </c>
      <c r="S313" s="6">
        <v>9.3821544625000003E-2</v>
      </c>
      <c r="T313" t="s">
        <v>111</v>
      </c>
      <c r="U313" t="s">
        <v>111</v>
      </c>
      <c r="V313" t="s">
        <v>11189</v>
      </c>
      <c r="W313" t="s">
        <v>43</v>
      </c>
      <c r="X313" t="s">
        <v>11034</v>
      </c>
      <c r="Y313" t="s">
        <v>44</v>
      </c>
      <c r="Z313" t="s">
        <v>44</v>
      </c>
      <c r="AA313" t="s">
        <v>10979</v>
      </c>
      <c r="AB313" t="s">
        <v>44</v>
      </c>
      <c r="AC313" s="4">
        <v>5.36167806</v>
      </c>
      <c r="AD313" s="4">
        <v>5.2342623599999998</v>
      </c>
      <c r="AE313" s="2">
        <v>5.36</v>
      </c>
      <c r="AF313" s="4">
        <v>5.2342623599999998</v>
      </c>
      <c r="AG313" s="2">
        <v>0.75</v>
      </c>
      <c r="AH313" s="2">
        <v>1025213.49</v>
      </c>
      <c r="AI313" s="2">
        <v>0</v>
      </c>
      <c r="AJ313" s="5">
        <v>44673</v>
      </c>
      <c r="AK313" t="s">
        <v>11431</v>
      </c>
      <c r="AL313" s="2">
        <v>5.29</v>
      </c>
      <c r="AM313" s="2">
        <v>6.07</v>
      </c>
      <c r="AN313" s="2">
        <v>0.09</v>
      </c>
      <c r="AO313" t="s">
        <v>11165</v>
      </c>
      <c r="AP313" t="s">
        <v>11506</v>
      </c>
      <c r="AQ313" t="s">
        <v>11505</v>
      </c>
    </row>
    <row r="314" spans="1:43" x14ac:dyDescent="0.2">
      <c r="A314" t="s">
        <v>11430</v>
      </c>
      <c r="B314" t="s">
        <v>10900</v>
      </c>
      <c r="C314" t="s">
        <v>11033</v>
      </c>
      <c r="D314" t="s">
        <v>11507</v>
      </c>
      <c r="E314" t="s">
        <v>11508</v>
      </c>
      <c r="F314" t="s">
        <v>11507</v>
      </c>
      <c r="G314" s="1">
        <v>2000000</v>
      </c>
      <c r="H314" s="2">
        <v>2019258.91</v>
      </c>
      <c r="I314" s="2">
        <v>2076430.85</v>
      </c>
      <c r="J314" s="2">
        <v>6005.26</v>
      </c>
      <c r="K314" s="2">
        <v>0</v>
      </c>
      <c r="L314" s="2">
        <v>2082436.11</v>
      </c>
      <c r="M314" s="3">
        <v>6.2634889999999999</v>
      </c>
      <c r="N314" s="4">
        <v>4.7377699999999997E-3</v>
      </c>
      <c r="O314" s="5">
        <v>44753</v>
      </c>
      <c r="P314" s="5">
        <v>45209</v>
      </c>
      <c r="Q314" s="1">
        <v>9.1329999999999991</v>
      </c>
      <c r="R314" s="2">
        <v>0.21</v>
      </c>
      <c r="S314" s="6">
        <v>0.204178009194</v>
      </c>
      <c r="T314" t="s">
        <v>111</v>
      </c>
      <c r="U314" t="s">
        <v>111</v>
      </c>
      <c r="V314" t="s">
        <v>11189</v>
      </c>
      <c r="W314" t="s">
        <v>43</v>
      </c>
      <c r="X314" t="s">
        <v>11034</v>
      </c>
      <c r="Y314" t="s">
        <v>44</v>
      </c>
      <c r="Z314" t="s">
        <v>44</v>
      </c>
      <c r="AA314" t="s">
        <v>10979</v>
      </c>
      <c r="AB314" t="s">
        <v>44</v>
      </c>
      <c r="AC314" s="4">
        <v>6.3615667699999996</v>
      </c>
      <c r="AD314" s="4">
        <v>6.1832870299999998</v>
      </c>
      <c r="AE314" s="2">
        <v>6.36</v>
      </c>
      <c r="AF314" s="4">
        <v>6.1832870299999998</v>
      </c>
      <c r="AG314" s="2">
        <v>1.53</v>
      </c>
      <c r="AH314" s="2">
        <v>2082436.11</v>
      </c>
      <c r="AI314" s="2">
        <v>0</v>
      </c>
      <c r="AJ314" s="5">
        <v>44673</v>
      </c>
      <c r="AK314" t="s">
        <v>11431</v>
      </c>
      <c r="AL314" s="2">
        <v>6.26</v>
      </c>
      <c r="AM314" s="2">
        <v>9.1300000000000008</v>
      </c>
      <c r="AN314" s="2">
        <v>0.2</v>
      </c>
      <c r="AO314" t="s">
        <v>11165</v>
      </c>
      <c r="AP314" t="s">
        <v>11509</v>
      </c>
      <c r="AQ314" t="s">
        <v>11508</v>
      </c>
    </row>
    <row r="315" spans="1:43" x14ac:dyDescent="0.2">
      <c r="A315" t="s">
        <v>11430</v>
      </c>
      <c r="B315" t="s">
        <v>10900</v>
      </c>
      <c r="C315" t="s">
        <v>11033</v>
      </c>
      <c r="D315" t="s">
        <v>11510</v>
      </c>
      <c r="E315" t="s">
        <v>11511</v>
      </c>
      <c r="F315" t="s">
        <v>11510</v>
      </c>
      <c r="G315" s="1">
        <v>760000</v>
      </c>
      <c r="H315" s="2">
        <v>765310.38</v>
      </c>
      <c r="I315" s="2">
        <v>765922.83</v>
      </c>
      <c r="J315" s="2">
        <v>5394.44</v>
      </c>
      <c r="K315" s="2">
        <v>0</v>
      </c>
      <c r="L315" s="2">
        <v>771317.27</v>
      </c>
      <c r="M315" s="3">
        <v>5.4078660000000003</v>
      </c>
      <c r="N315" s="4">
        <v>1.75483E-3</v>
      </c>
      <c r="O315" s="5">
        <v>44725</v>
      </c>
      <c r="P315" s="5">
        <v>45180</v>
      </c>
      <c r="Q315" s="1">
        <v>6.0250000000000004</v>
      </c>
      <c r="R315" s="2">
        <v>0.13</v>
      </c>
      <c r="S315" s="6">
        <v>0.122671006195</v>
      </c>
      <c r="T315" t="s">
        <v>111</v>
      </c>
      <c r="U315" t="s">
        <v>111</v>
      </c>
      <c r="V315" t="s">
        <v>11189</v>
      </c>
      <c r="W315" t="s">
        <v>43</v>
      </c>
      <c r="X315" t="s">
        <v>11034</v>
      </c>
      <c r="Y315" t="s">
        <v>44</v>
      </c>
      <c r="Z315" t="s">
        <v>44</v>
      </c>
      <c r="AA315" t="s">
        <v>44</v>
      </c>
      <c r="AB315" t="s">
        <v>44</v>
      </c>
      <c r="AC315" s="4">
        <v>5.4809788499999996</v>
      </c>
      <c r="AD315" s="4">
        <v>5.34792705</v>
      </c>
      <c r="AE315" s="2">
        <v>5.48</v>
      </c>
      <c r="AF315" s="4">
        <v>5.34792705</v>
      </c>
      <c r="AG315" s="2">
        <v>0.56999999999999995</v>
      </c>
      <c r="AH315" s="2">
        <v>771317.27</v>
      </c>
      <c r="AI315" s="2">
        <v>0</v>
      </c>
      <c r="AJ315" s="5">
        <v>44673</v>
      </c>
      <c r="AK315" t="s">
        <v>11431</v>
      </c>
      <c r="AL315" s="2">
        <v>5.41</v>
      </c>
      <c r="AM315" s="2">
        <v>6.03</v>
      </c>
      <c r="AN315" s="2">
        <v>0.12</v>
      </c>
      <c r="AO315" t="s">
        <v>11512</v>
      </c>
      <c r="AP315" t="s">
        <v>11513</v>
      </c>
      <c r="AQ315" t="s">
        <v>11511</v>
      </c>
    </row>
    <row r="316" spans="1:43" x14ac:dyDescent="0.2">
      <c r="A316" t="s">
        <v>11430</v>
      </c>
      <c r="B316" t="s">
        <v>10900</v>
      </c>
      <c r="C316" t="s">
        <v>11033</v>
      </c>
      <c r="D316" t="s">
        <v>11514</v>
      </c>
      <c r="E316" t="s">
        <v>11515</v>
      </c>
      <c r="F316" t="s">
        <v>11514</v>
      </c>
      <c r="G316" s="1">
        <v>3900000</v>
      </c>
      <c r="H316" s="2">
        <v>3900000</v>
      </c>
      <c r="I316" s="2">
        <v>3875404.72</v>
      </c>
      <c r="J316" s="2">
        <v>49135.3</v>
      </c>
      <c r="K316" s="2">
        <v>0</v>
      </c>
      <c r="L316" s="2">
        <v>3924540.02</v>
      </c>
      <c r="M316" s="3">
        <v>6.0189139999999997</v>
      </c>
      <c r="N316" s="4">
        <v>8.9287499999999992E-3</v>
      </c>
      <c r="O316" s="5">
        <v>44684</v>
      </c>
      <c r="P316" s="5">
        <v>45412</v>
      </c>
      <c r="Q316" s="1">
        <v>5.6079999999999997</v>
      </c>
      <c r="R316" s="2">
        <v>0.02</v>
      </c>
      <c r="S316" s="6">
        <v>-9.1051353720000006E-3</v>
      </c>
      <c r="T316" t="s">
        <v>111</v>
      </c>
      <c r="U316" t="s">
        <v>111</v>
      </c>
      <c r="V316" t="s">
        <v>11189</v>
      </c>
      <c r="W316" t="s">
        <v>43</v>
      </c>
      <c r="X316" t="s">
        <v>11034</v>
      </c>
      <c r="Y316" t="s">
        <v>44</v>
      </c>
      <c r="Z316" t="s">
        <v>44</v>
      </c>
      <c r="AA316" t="s">
        <v>11441</v>
      </c>
      <c r="AB316" t="s">
        <v>44</v>
      </c>
      <c r="AC316" s="4">
        <v>6.1094818100000001</v>
      </c>
      <c r="AD316" s="4">
        <v>5.9447990500000003</v>
      </c>
      <c r="AE316" s="2">
        <v>6.11</v>
      </c>
      <c r="AF316" s="4">
        <v>5.9447990500000003</v>
      </c>
      <c r="AG316" s="2">
        <v>2.89</v>
      </c>
      <c r="AH316" s="2">
        <v>3924540.02</v>
      </c>
      <c r="AI316" s="2">
        <v>0.01</v>
      </c>
      <c r="AJ316" s="5">
        <v>44673</v>
      </c>
      <c r="AK316" t="s">
        <v>11431</v>
      </c>
      <c r="AL316" s="2">
        <v>6.02</v>
      </c>
      <c r="AM316" s="2">
        <v>5.61</v>
      </c>
      <c r="AN316" s="2">
        <v>-0.01</v>
      </c>
      <c r="AO316" t="s">
        <v>11516</v>
      </c>
      <c r="AP316" t="s">
        <v>11517</v>
      </c>
      <c r="AQ316" t="s">
        <v>11515</v>
      </c>
    </row>
    <row r="317" spans="1:43" x14ac:dyDescent="0.2">
      <c r="A317" t="s">
        <v>11430</v>
      </c>
      <c r="B317" t="s">
        <v>10900</v>
      </c>
      <c r="C317" t="s">
        <v>11033</v>
      </c>
      <c r="D317" t="s">
        <v>11518</v>
      </c>
      <c r="E317" t="s">
        <v>11519</v>
      </c>
      <c r="F317" t="s">
        <v>11518</v>
      </c>
      <c r="G317" s="1">
        <v>700000</v>
      </c>
      <c r="H317" s="2">
        <v>700000</v>
      </c>
      <c r="I317" s="2">
        <v>702221.02</v>
      </c>
      <c r="J317" s="2">
        <v>7302.28</v>
      </c>
      <c r="K317" s="2">
        <v>0</v>
      </c>
      <c r="L317" s="2">
        <v>709523.3</v>
      </c>
      <c r="M317" s="3">
        <v>6.0730570000000004</v>
      </c>
      <c r="N317" s="4">
        <v>1.6142400000000001E-3</v>
      </c>
      <c r="O317" s="5">
        <v>44704</v>
      </c>
      <c r="P317" s="5">
        <v>45159</v>
      </c>
      <c r="Q317" s="1">
        <v>6.242</v>
      </c>
      <c r="R317" s="2">
        <v>0.08</v>
      </c>
      <c r="S317" s="6">
        <v>5.9720457003999999E-2</v>
      </c>
      <c r="T317" t="s">
        <v>111</v>
      </c>
      <c r="U317" t="s">
        <v>111</v>
      </c>
      <c r="V317" t="s">
        <v>11189</v>
      </c>
      <c r="W317" t="s">
        <v>43</v>
      </c>
      <c r="X317" t="s">
        <v>11034</v>
      </c>
      <c r="Y317" t="s">
        <v>44</v>
      </c>
      <c r="Z317" t="s">
        <v>44</v>
      </c>
      <c r="AA317" t="s">
        <v>11441</v>
      </c>
      <c r="AB317" t="s">
        <v>44</v>
      </c>
      <c r="AC317" s="4">
        <v>6.1652619800000004</v>
      </c>
      <c r="AD317" s="4">
        <v>5.9976152599999999</v>
      </c>
      <c r="AE317" s="2">
        <v>6.17</v>
      </c>
      <c r="AF317" s="4">
        <v>5.9976152599999999</v>
      </c>
      <c r="AG317" s="2">
        <v>0.52</v>
      </c>
      <c r="AH317" s="2">
        <v>709523.3</v>
      </c>
      <c r="AI317" s="2">
        <v>0</v>
      </c>
      <c r="AJ317" s="5">
        <v>44673</v>
      </c>
      <c r="AK317" t="s">
        <v>11431</v>
      </c>
      <c r="AL317" s="2">
        <v>6.07</v>
      </c>
      <c r="AM317" s="2">
        <v>6.24</v>
      </c>
      <c r="AN317" s="2">
        <v>0.06</v>
      </c>
      <c r="AO317" t="s">
        <v>11520</v>
      </c>
      <c r="AP317" t="s">
        <v>11521</v>
      </c>
      <c r="AQ317" t="s">
        <v>11519</v>
      </c>
    </row>
    <row r="318" spans="1:43" x14ac:dyDescent="0.2">
      <c r="A318" t="s">
        <v>11430</v>
      </c>
      <c r="B318" t="s">
        <v>10900</v>
      </c>
      <c r="C318" t="s">
        <v>11033</v>
      </c>
      <c r="D318" t="s">
        <v>11565</v>
      </c>
      <c r="E318" t="s">
        <v>11566</v>
      </c>
      <c r="F318" t="s">
        <v>11565</v>
      </c>
      <c r="G318" s="1">
        <v>500000</v>
      </c>
      <c r="H318" s="2">
        <v>500250.72</v>
      </c>
      <c r="I318" s="2">
        <v>493818.12</v>
      </c>
      <c r="J318" s="2">
        <v>2146.23</v>
      </c>
      <c r="K318" s="2">
        <v>0</v>
      </c>
      <c r="L318" s="2">
        <v>495964.35</v>
      </c>
      <c r="M318" s="3">
        <v>6.6370630000000004</v>
      </c>
      <c r="N318" s="4">
        <v>1.1283700000000001E-3</v>
      </c>
      <c r="O318" s="5">
        <v>44741</v>
      </c>
      <c r="P318" s="5">
        <v>45747</v>
      </c>
      <c r="Q318" s="1">
        <v>6.2670000000000003</v>
      </c>
      <c r="R318" s="2">
        <v>0.18</v>
      </c>
      <c r="S318" s="6">
        <v>0.111433677976</v>
      </c>
      <c r="T318" t="s">
        <v>111</v>
      </c>
      <c r="U318" t="s">
        <v>111</v>
      </c>
      <c r="V318" t="s">
        <v>11189</v>
      </c>
      <c r="W318" t="s">
        <v>43</v>
      </c>
      <c r="X318" t="s">
        <v>11034</v>
      </c>
      <c r="Y318" t="s">
        <v>44</v>
      </c>
      <c r="Z318" t="s">
        <v>44</v>
      </c>
      <c r="AA318" t="s">
        <v>10979</v>
      </c>
      <c r="AB318" t="s">
        <v>44</v>
      </c>
      <c r="AC318" s="4">
        <v>6.7471890600000002</v>
      </c>
      <c r="AD318" s="4">
        <v>6.5471089400000002</v>
      </c>
      <c r="AE318" s="2">
        <v>6.75</v>
      </c>
      <c r="AF318" s="4">
        <v>6.5471089400000002</v>
      </c>
      <c r="AG318" s="2">
        <v>0.37</v>
      </c>
      <c r="AH318" s="2">
        <v>495964.35</v>
      </c>
      <c r="AI318" s="2">
        <v>0</v>
      </c>
      <c r="AJ318" s="5">
        <v>44673</v>
      </c>
      <c r="AK318" t="s">
        <v>11431</v>
      </c>
      <c r="AL318" s="2">
        <v>6.64</v>
      </c>
      <c r="AM318" s="2">
        <v>6.27</v>
      </c>
      <c r="AN318" s="2">
        <v>0.11</v>
      </c>
      <c r="AO318" t="s">
        <v>11567</v>
      </c>
      <c r="AP318" t="s">
        <v>11568</v>
      </c>
      <c r="AQ318" t="s">
        <v>11566</v>
      </c>
    </row>
    <row r="319" spans="1:43" x14ac:dyDescent="0.2">
      <c r="A319" t="s">
        <v>11430</v>
      </c>
      <c r="B319" t="s">
        <v>10900</v>
      </c>
      <c r="C319" t="s">
        <v>11033</v>
      </c>
      <c r="D319" t="s">
        <v>12841</v>
      </c>
      <c r="E319" t="s">
        <v>12842</v>
      </c>
      <c r="F319" t="s">
        <v>12841</v>
      </c>
      <c r="G319" s="1">
        <v>1400000</v>
      </c>
      <c r="H319" s="2">
        <v>1400000</v>
      </c>
      <c r="I319" s="2">
        <v>1400036.32</v>
      </c>
      <c r="J319" s="2">
        <v>5607.98</v>
      </c>
      <c r="K319" s="2">
        <v>0</v>
      </c>
      <c r="L319" s="2">
        <v>1405644.3</v>
      </c>
      <c r="M319" s="3">
        <v>5.8547310000000001</v>
      </c>
      <c r="N319" s="4">
        <v>3.1979899999999999E-3</v>
      </c>
      <c r="O319" s="5">
        <v>44679</v>
      </c>
      <c r="P319" s="5">
        <v>45044</v>
      </c>
      <c r="Q319" s="1">
        <v>6.0919999999999996</v>
      </c>
      <c r="R319" s="2">
        <v>0.01</v>
      </c>
      <c r="S319" s="6">
        <v>-3.847892072E-3</v>
      </c>
      <c r="T319" t="s">
        <v>111</v>
      </c>
      <c r="U319" t="s">
        <v>111</v>
      </c>
      <c r="V319" t="s">
        <v>114</v>
      </c>
      <c r="W319" t="s">
        <v>43</v>
      </c>
      <c r="X319" t="s">
        <v>44</v>
      </c>
      <c r="Y319" t="s">
        <v>44</v>
      </c>
      <c r="Z319" t="s">
        <v>44</v>
      </c>
      <c r="AA319" t="s">
        <v>10979</v>
      </c>
      <c r="AB319" t="s">
        <v>44</v>
      </c>
      <c r="AC319" s="4">
        <v>5.9404258900000002</v>
      </c>
      <c r="AD319" s="4">
        <v>5.7845705699999996</v>
      </c>
      <c r="AE319" s="2">
        <v>5.94</v>
      </c>
      <c r="AF319" s="4">
        <v>5.7845705699999996</v>
      </c>
      <c r="AG319" s="2">
        <v>1.03</v>
      </c>
      <c r="AH319" s="2">
        <v>1405644.3</v>
      </c>
      <c r="AI319" s="2">
        <v>0</v>
      </c>
      <c r="AJ319" s="5">
        <v>44673</v>
      </c>
      <c r="AK319" t="s">
        <v>11431</v>
      </c>
      <c r="AL319" s="2">
        <v>5.85</v>
      </c>
      <c r="AM319" s="2">
        <v>6.09</v>
      </c>
      <c r="AN319" s="2">
        <v>0</v>
      </c>
      <c r="AO319" t="s">
        <v>11165</v>
      </c>
      <c r="AP319" t="s">
        <v>12843</v>
      </c>
      <c r="AQ319" t="s">
        <v>12842</v>
      </c>
    </row>
    <row r="320" spans="1:43" x14ac:dyDescent="0.2">
      <c r="A320" t="s">
        <v>11430</v>
      </c>
      <c r="B320" t="s">
        <v>10900</v>
      </c>
      <c r="C320" t="s">
        <v>11033</v>
      </c>
      <c r="D320" t="s">
        <v>11522</v>
      </c>
      <c r="E320" t="s">
        <v>11523</v>
      </c>
      <c r="F320" t="s">
        <v>11522</v>
      </c>
      <c r="G320" s="1">
        <v>1250000</v>
      </c>
      <c r="H320" s="2">
        <v>1250000</v>
      </c>
      <c r="I320" s="2">
        <v>1254909.81</v>
      </c>
      <c r="J320" s="2">
        <v>5917.19</v>
      </c>
      <c r="K320" s="2">
        <v>0</v>
      </c>
      <c r="L320" s="2">
        <v>1260827</v>
      </c>
      <c r="M320" s="3">
        <v>5.6343709999999998</v>
      </c>
      <c r="N320" s="4">
        <v>2.8685199999999998E-3</v>
      </c>
      <c r="O320" s="5">
        <v>44739</v>
      </c>
      <c r="P320" s="5">
        <v>45376</v>
      </c>
      <c r="Q320" s="1">
        <v>5.9580000000000002</v>
      </c>
      <c r="R320" s="2">
        <v>0.17</v>
      </c>
      <c r="S320" s="6">
        <v>0.151012291519</v>
      </c>
      <c r="T320" t="s">
        <v>111</v>
      </c>
      <c r="U320" t="s">
        <v>111</v>
      </c>
      <c r="V320" t="s">
        <v>11189</v>
      </c>
      <c r="W320" t="s">
        <v>43</v>
      </c>
      <c r="X320" t="s">
        <v>11034</v>
      </c>
      <c r="Y320" t="s">
        <v>44</v>
      </c>
      <c r="Z320" t="s">
        <v>44</v>
      </c>
      <c r="AA320" t="s">
        <v>11465</v>
      </c>
      <c r="AB320" t="s">
        <v>44</v>
      </c>
      <c r="AC320" s="4">
        <v>5.7137361699999998</v>
      </c>
      <c r="AD320" s="4">
        <v>5.5693494499999998</v>
      </c>
      <c r="AE320" s="2">
        <v>5.71</v>
      </c>
      <c r="AF320" s="4">
        <v>5.5693494499999998</v>
      </c>
      <c r="AG320" s="2">
        <v>0.93</v>
      </c>
      <c r="AH320" s="2">
        <v>1260827</v>
      </c>
      <c r="AI320" s="2">
        <v>0</v>
      </c>
      <c r="AJ320" s="5">
        <v>44673</v>
      </c>
      <c r="AK320" t="s">
        <v>11431</v>
      </c>
      <c r="AL320" s="2">
        <v>5.63</v>
      </c>
      <c r="AM320" s="2">
        <v>5.96</v>
      </c>
      <c r="AN320" s="2">
        <v>0.15</v>
      </c>
      <c r="AO320" t="s">
        <v>11469</v>
      </c>
      <c r="AP320" t="s">
        <v>11524</v>
      </c>
      <c r="AQ320" t="s">
        <v>11523</v>
      </c>
    </row>
    <row r="321" spans="1:43" x14ac:dyDescent="0.2">
      <c r="A321" t="s">
        <v>11430</v>
      </c>
      <c r="B321" t="s">
        <v>10900</v>
      </c>
      <c r="C321" t="s">
        <v>11033</v>
      </c>
      <c r="D321" t="s">
        <v>11525</v>
      </c>
      <c r="E321" t="s">
        <v>11526</v>
      </c>
      <c r="F321" t="s">
        <v>11525</v>
      </c>
      <c r="G321" s="1">
        <v>2000000</v>
      </c>
      <c r="H321" s="2">
        <v>2000000</v>
      </c>
      <c r="I321" s="2">
        <v>2003673.95</v>
      </c>
      <c r="J321" s="2">
        <v>3147.78</v>
      </c>
      <c r="K321" s="2">
        <v>0</v>
      </c>
      <c r="L321" s="2">
        <v>2006821.73</v>
      </c>
      <c r="M321" s="3">
        <v>6.20838</v>
      </c>
      <c r="N321" s="4">
        <v>4.5657400000000004E-3</v>
      </c>
      <c r="O321" s="5">
        <v>44756</v>
      </c>
      <c r="P321" s="5">
        <v>45396</v>
      </c>
      <c r="Q321" s="1">
        <v>6.383</v>
      </c>
      <c r="R321" s="2">
        <v>0.22</v>
      </c>
      <c r="S321" s="6">
        <v>0.18643150391999999</v>
      </c>
      <c r="T321" t="s">
        <v>111</v>
      </c>
      <c r="U321" t="s">
        <v>111</v>
      </c>
      <c r="V321" t="s">
        <v>11189</v>
      </c>
      <c r="W321" t="s">
        <v>43</v>
      </c>
      <c r="X321" t="s">
        <v>11034</v>
      </c>
      <c r="Y321" t="s">
        <v>44</v>
      </c>
      <c r="Z321" t="s">
        <v>44</v>
      </c>
      <c r="AA321" t="s">
        <v>44</v>
      </c>
      <c r="AB321" t="s">
        <v>44</v>
      </c>
      <c r="AC321" s="4">
        <v>6.30473952</v>
      </c>
      <c r="AD321" s="4">
        <v>6.1295701999999999</v>
      </c>
      <c r="AE321" s="2">
        <v>6.3</v>
      </c>
      <c r="AF321" s="4">
        <v>6.1295701999999999</v>
      </c>
      <c r="AG321" s="2">
        <v>1.48</v>
      </c>
      <c r="AH321" s="2">
        <v>2006821.73</v>
      </c>
      <c r="AI321" s="2">
        <v>0</v>
      </c>
      <c r="AJ321" s="5">
        <v>44673</v>
      </c>
      <c r="AK321" t="s">
        <v>11431</v>
      </c>
      <c r="AL321" s="2">
        <v>6.21</v>
      </c>
      <c r="AM321" s="2">
        <v>6.38</v>
      </c>
      <c r="AN321" s="2">
        <v>0.19</v>
      </c>
      <c r="AO321" t="s">
        <v>11527</v>
      </c>
      <c r="AP321" t="s">
        <v>11528</v>
      </c>
      <c r="AQ321" t="s">
        <v>11526</v>
      </c>
    </row>
    <row r="322" spans="1:43" x14ac:dyDescent="0.2">
      <c r="A322" t="s">
        <v>11430</v>
      </c>
      <c r="B322" t="s">
        <v>10900</v>
      </c>
      <c r="C322" t="s">
        <v>11033</v>
      </c>
      <c r="D322" t="s">
        <v>11529</v>
      </c>
      <c r="E322" t="s">
        <v>11530</v>
      </c>
      <c r="F322" t="s">
        <v>11529</v>
      </c>
      <c r="G322" s="1">
        <v>500000</v>
      </c>
      <c r="H322" s="2">
        <v>507841.62</v>
      </c>
      <c r="I322" s="2">
        <v>512718.49</v>
      </c>
      <c r="J322" s="2">
        <v>4931.75</v>
      </c>
      <c r="K322" s="2">
        <v>0</v>
      </c>
      <c r="L322" s="2">
        <v>517650.24</v>
      </c>
      <c r="M322" s="3">
        <v>5.5416740000000004</v>
      </c>
      <c r="N322" s="4">
        <v>1.17771E-3</v>
      </c>
      <c r="O322" s="5">
        <v>44711</v>
      </c>
      <c r="P322" s="5">
        <v>45532</v>
      </c>
      <c r="Q322" s="1">
        <v>6.6669999999999998</v>
      </c>
      <c r="R322" s="2">
        <v>0.1</v>
      </c>
      <c r="S322" s="6">
        <v>0.100003311148</v>
      </c>
      <c r="T322" t="s">
        <v>111</v>
      </c>
      <c r="U322" t="s">
        <v>111</v>
      </c>
      <c r="V322" t="s">
        <v>11189</v>
      </c>
      <c r="W322" t="s">
        <v>43</v>
      </c>
      <c r="X322" t="s">
        <v>11034</v>
      </c>
      <c r="Y322" t="s">
        <v>44</v>
      </c>
      <c r="Z322" t="s">
        <v>44</v>
      </c>
      <c r="AA322" t="s">
        <v>10979</v>
      </c>
      <c r="AB322" t="s">
        <v>44</v>
      </c>
      <c r="AC322" s="4">
        <v>5.6184488999999997</v>
      </c>
      <c r="AD322" s="4">
        <v>5.4787566099999996</v>
      </c>
      <c r="AE322" s="2">
        <v>5.62</v>
      </c>
      <c r="AF322" s="4">
        <v>5.4787566099999996</v>
      </c>
      <c r="AG322" s="2">
        <v>0.38</v>
      </c>
      <c r="AH322" s="2">
        <v>517650.24</v>
      </c>
      <c r="AI322" s="2">
        <v>0</v>
      </c>
      <c r="AJ322" s="5">
        <v>44673</v>
      </c>
      <c r="AK322" t="s">
        <v>11431</v>
      </c>
      <c r="AL322" s="2">
        <v>5.54</v>
      </c>
      <c r="AM322" s="2">
        <v>6.67</v>
      </c>
      <c r="AN322" s="2">
        <v>0.1</v>
      </c>
      <c r="AO322" t="s">
        <v>11482</v>
      </c>
      <c r="AP322" t="s">
        <v>11531</v>
      </c>
      <c r="AQ322" t="s">
        <v>11530</v>
      </c>
    </row>
    <row r="323" spans="1:43" x14ac:dyDescent="0.2">
      <c r="A323" t="s">
        <v>11430</v>
      </c>
      <c r="B323" t="s">
        <v>10900</v>
      </c>
      <c r="C323" t="s">
        <v>11033</v>
      </c>
      <c r="D323" t="s">
        <v>11532</v>
      </c>
      <c r="E323" t="s">
        <v>11533</v>
      </c>
      <c r="F323" t="s">
        <v>11532</v>
      </c>
      <c r="G323" s="1">
        <v>750000</v>
      </c>
      <c r="H323" s="2">
        <v>750000</v>
      </c>
      <c r="I323" s="2">
        <v>758000.33</v>
      </c>
      <c r="J323" s="2">
        <v>4469.42</v>
      </c>
      <c r="K323" s="2">
        <v>0</v>
      </c>
      <c r="L323" s="2">
        <v>762469.75</v>
      </c>
      <c r="M323" s="3">
        <v>5.5116829999999997</v>
      </c>
      <c r="N323" s="4">
        <v>1.7347E-3</v>
      </c>
      <c r="O323" s="5">
        <v>44732</v>
      </c>
      <c r="P323" s="5">
        <v>45553</v>
      </c>
      <c r="Q323" s="1">
        <v>6.0419999999999998</v>
      </c>
      <c r="R323" s="2">
        <v>0.15</v>
      </c>
      <c r="S323" s="6">
        <v>0.13872992201600001</v>
      </c>
      <c r="T323" t="s">
        <v>111</v>
      </c>
      <c r="U323" t="s">
        <v>111</v>
      </c>
      <c r="V323" t="s">
        <v>11189</v>
      </c>
      <c r="W323" t="s">
        <v>43</v>
      </c>
      <c r="X323" t="s">
        <v>11034</v>
      </c>
      <c r="Y323" t="s">
        <v>44</v>
      </c>
      <c r="Z323" t="s">
        <v>44</v>
      </c>
      <c r="AA323" t="s">
        <v>11441</v>
      </c>
      <c r="AB323" t="s">
        <v>44</v>
      </c>
      <c r="AC323" s="4">
        <v>5.5876295000000002</v>
      </c>
      <c r="AD323" s="4">
        <v>5.4494395200000003</v>
      </c>
      <c r="AE323" s="2">
        <v>5.59</v>
      </c>
      <c r="AF323" s="4">
        <v>5.4494395200000003</v>
      </c>
      <c r="AG323" s="2">
        <v>0.56000000000000005</v>
      </c>
      <c r="AH323" s="2">
        <v>762469.75</v>
      </c>
      <c r="AI323" s="2">
        <v>0</v>
      </c>
      <c r="AJ323" s="5">
        <v>44673</v>
      </c>
      <c r="AK323" t="s">
        <v>11431</v>
      </c>
      <c r="AL323" s="2">
        <v>5.51</v>
      </c>
      <c r="AM323" s="2">
        <v>6.04</v>
      </c>
      <c r="AN323" s="2">
        <v>0.14000000000000001</v>
      </c>
      <c r="AO323" t="s">
        <v>11534</v>
      </c>
      <c r="AP323" t="s">
        <v>11535</v>
      </c>
      <c r="AQ323" t="s">
        <v>11533</v>
      </c>
    </row>
    <row r="324" spans="1:43" x14ac:dyDescent="0.2">
      <c r="A324" t="s">
        <v>11430</v>
      </c>
      <c r="B324" t="s">
        <v>10900</v>
      </c>
      <c r="C324" t="s">
        <v>11033</v>
      </c>
      <c r="D324" t="s">
        <v>11536</v>
      </c>
      <c r="E324" t="s">
        <v>11537</v>
      </c>
      <c r="F324" t="s">
        <v>11536</v>
      </c>
      <c r="G324" s="1">
        <v>2400000</v>
      </c>
      <c r="H324" s="2">
        <v>2411770.52</v>
      </c>
      <c r="I324" s="2">
        <v>2446522.15</v>
      </c>
      <c r="J324" s="2">
        <v>37069.15</v>
      </c>
      <c r="K324" s="2">
        <v>0</v>
      </c>
      <c r="L324" s="2">
        <v>2483591.2999999998</v>
      </c>
      <c r="M324" s="3">
        <v>5.068066</v>
      </c>
      <c r="N324" s="4">
        <v>5.6504399999999996E-3</v>
      </c>
      <c r="O324" s="5">
        <v>44677</v>
      </c>
      <c r="P324" s="5">
        <v>45133</v>
      </c>
      <c r="Q324" s="1">
        <v>6.48</v>
      </c>
      <c r="R324" s="2">
        <v>0</v>
      </c>
      <c r="S324" s="6">
        <v>7.8067917269999997E-3</v>
      </c>
      <c r="T324" t="s">
        <v>111</v>
      </c>
      <c r="U324" t="s">
        <v>111</v>
      </c>
      <c r="V324" t="s">
        <v>11189</v>
      </c>
      <c r="W324" t="s">
        <v>43</v>
      </c>
      <c r="X324" t="s">
        <v>11034</v>
      </c>
      <c r="Y324" t="s">
        <v>44</v>
      </c>
      <c r="Z324" t="s">
        <v>44</v>
      </c>
      <c r="AA324" t="s">
        <v>11035</v>
      </c>
      <c r="AB324" t="s">
        <v>44</v>
      </c>
      <c r="AC324" s="4">
        <v>5.1322797400000004</v>
      </c>
      <c r="AD324" s="4">
        <v>5.0153695200000001</v>
      </c>
      <c r="AE324" s="2">
        <v>5.13</v>
      </c>
      <c r="AF324" s="4">
        <v>5.0153695200000001</v>
      </c>
      <c r="AG324" s="2">
        <v>1.83</v>
      </c>
      <c r="AH324" s="2">
        <v>2483591.2999999998</v>
      </c>
      <c r="AI324" s="2">
        <v>0.01</v>
      </c>
      <c r="AJ324" s="5">
        <v>44673</v>
      </c>
      <c r="AK324" t="s">
        <v>11431</v>
      </c>
      <c r="AL324" s="2">
        <v>5.07</v>
      </c>
      <c r="AM324" s="2">
        <v>6.48</v>
      </c>
      <c r="AN324" s="2">
        <v>0.01</v>
      </c>
      <c r="AO324" t="s">
        <v>11036</v>
      </c>
      <c r="AP324" t="s">
        <v>11538</v>
      </c>
      <c r="AQ324" t="s">
        <v>11537</v>
      </c>
    </row>
    <row r="325" spans="1:43" x14ac:dyDescent="0.2">
      <c r="A325" t="s">
        <v>11430</v>
      </c>
      <c r="B325" t="s">
        <v>10900</v>
      </c>
      <c r="C325" t="s">
        <v>11033</v>
      </c>
      <c r="D325" t="s">
        <v>12982</v>
      </c>
      <c r="E325" t="s">
        <v>12983</v>
      </c>
      <c r="F325" t="s">
        <v>12982</v>
      </c>
      <c r="G325" s="1">
        <v>1500000</v>
      </c>
      <c r="H325" s="2">
        <v>1500000</v>
      </c>
      <c r="I325" s="2">
        <v>1563518.67</v>
      </c>
      <c r="J325" s="2">
        <v>19248.04</v>
      </c>
      <c r="K325" s="2">
        <v>0</v>
      </c>
      <c r="L325" s="2">
        <v>1582766.71</v>
      </c>
      <c r="M325" s="3">
        <v>6.0747210000000003</v>
      </c>
      <c r="N325" s="4">
        <v>3.6009599999999998E-3</v>
      </c>
      <c r="O325" s="5">
        <v>44706</v>
      </c>
      <c r="P325" s="5">
        <v>45439</v>
      </c>
      <c r="Q325" s="1">
        <v>8.2170000000000005</v>
      </c>
      <c r="R325" s="2">
        <v>0.08</v>
      </c>
      <c r="S325" s="6">
        <v>9.4979191527000004E-2</v>
      </c>
      <c r="T325" t="s">
        <v>111</v>
      </c>
      <c r="U325" t="s">
        <v>111</v>
      </c>
      <c r="V325" t="s">
        <v>11189</v>
      </c>
      <c r="W325" t="s">
        <v>43</v>
      </c>
      <c r="X325" t="s">
        <v>11034</v>
      </c>
      <c r="Y325" t="s">
        <v>44</v>
      </c>
      <c r="Z325" t="s">
        <v>44</v>
      </c>
      <c r="AA325" t="s">
        <v>44</v>
      </c>
      <c r="AB325" t="s">
        <v>44</v>
      </c>
      <c r="AC325" s="4">
        <v>6.1669761000000003</v>
      </c>
      <c r="AD325" s="4">
        <v>5.9992378899999999</v>
      </c>
      <c r="AE325" s="2">
        <v>6.17</v>
      </c>
      <c r="AF325" s="4">
        <v>5.9992378899999999</v>
      </c>
      <c r="AG325" s="2">
        <v>1.1599999999999999</v>
      </c>
      <c r="AH325" s="2">
        <v>1582766.71</v>
      </c>
      <c r="AI325" s="2">
        <v>0</v>
      </c>
      <c r="AJ325" s="5">
        <v>44673</v>
      </c>
      <c r="AK325" t="s">
        <v>11431</v>
      </c>
      <c r="AL325" s="2">
        <v>6.07</v>
      </c>
      <c r="AM325" s="2">
        <v>8.2200000000000006</v>
      </c>
      <c r="AN325" s="2">
        <v>0.09</v>
      </c>
      <c r="AO325" t="s">
        <v>12984</v>
      </c>
      <c r="AP325" t="s">
        <v>12985</v>
      </c>
      <c r="AQ325" t="s">
        <v>12983</v>
      </c>
    </row>
    <row r="326" spans="1:43" x14ac:dyDescent="0.2">
      <c r="A326" t="s">
        <v>11430</v>
      </c>
      <c r="B326" t="s">
        <v>10900</v>
      </c>
      <c r="C326" t="s">
        <v>11033</v>
      </c>
      <c r="D326" t="s">
        <v>11539</v>
      </c>
      <c r="E326" t="s">
        <v>11540</v>
      </c>
      <c r="F326" t="s">
        <v>11539</v>
      </c>
      <c r="G326" s="1">
        <v>1200000</v>
      </c>
      <c r="H326" s="2">
        <v>1200000</v>
      </c>
      <c r="I326" s="2">
        <v>1201552.76</v>
      </c>
      <c r="J326" s="2">
        <v>8234.7900000000009</v>
      </c>
      <c r="K326" s="2">
        <v>0</v>
      </c>
      <c r="L326" s="2">
        <v>1209787.55</v>
      </c>
      <c r="M326" s="3">
        <v>5.7378660000000004</v>
      </c>
      <c r="N326" s="4">
        <v>2.7523999999999999E-3</v>
      </c>
      <c r="O326" s="5">
        <v>44725</v>
      </c>
      <c r="P326" s="5">
        <v>45454</v>
      </c>
      <c r="Q326" s="1">
        <v>5.8250000000000002</v>
      </c>
      <c r="R326" s="2">
        <v>0.13</v>
      </c>
      <c r="S326" s="6">
        <v>0.109372545633</v>
      </c>
      <c r="T326" t="s">
        <v>111</v>
      </c>
      <c r="U326" t="s">
        <v>111</v>
      </c>
      <c r="V326" t="s">
        <v>11189</v>
      </c>
      <c r="W326" t="s">
        <v>43</v>
      </c>
      <c r="X326" t="s">
        <v>11034</v>
      </c>
      <c r="Y326" t="s">
        <v>44</v>
      </c>
      <c r="Z326" t="s">
        <v>44</v>
      </c>
      <c r="AA326" t="s">
        <v>11441</v>
      </c>
      <c r="AB326" t="s">
        <v>44</v>
      </c>
      <c r="AC326" s="4">
        <v>5.8201740800000001</v>
      </c>
      <c r="AD326" s="4">
        <v>5.6704551199999997</v>
      </c>
      <c r="AE326" s="2">
        <v>5.82</v>
      </c>
      <c r="AF326" s="4">
        <v>5.6704551199999997</v>
      </c>
      <c r="AG326" s="2">
        <v>0.89</v>
      </c>
      <c r="AH326" s="2">
        <v>1209787.55</v>
      </c>
      <c r="AI326" s="2">
        <v>0</v>
      </c>
      <c r="AJ326" s="5">
        <v>44673</v>
      </c>
      <c r="AK326" t="s">
        <v>11431</v>
      </c>
      <c r="AL326" s="2">
        <v>5.74</v>
      </c>
      <c r="AM326" s="2">
        <v>5.83</v>
      </c>
      <c r="AN326" s="2">
        <v>0.11</v>
      </c>
      <c r="AO326" t="s">
        <v>11541</v>
      </c>
      <c r="AP326" t="s">
        <v>11542</v>
      </c>
      <c r="AQ326" t="s">
        <v>11540</v>
      </c>
    </row>
    <row r="327" spans="1:43" x14ac:dyDescent="0.2">
      <c r="A327" t="s">
        <v>11430</v>
      </c>
      <c r="B327" t="s">
        <v>10900</v>
      </c>
      <c r="C327" t="s">
        <v>11033</v>
      </c>
      <c r="D327" t="s">
        <v>11543</v>
      </c>
      <c r="E327" t="s">
        <v>11544</v>
      </c>
      <c r="F327" t="s">
        <v>11543</v>
      </c>
      <c r="G327" s="1">
        <v>1000000</v>
      </c>
      <c r="H327" s="2">
        <v>1004423.08</v>
      </c>
      <c r="I327" s="2">
        <v>1011673.4</v>
      </c>
      <c r="J327" s="2">
        <v>9245.67</v>
      </c>
      <c r="K327" s="2">
        <v>0</v>
      </c>
      <c r="L327" s="2">
        <v>1020919.07</v>
      </c>
      <c r="M327" s="3">
        <v>5.8952920000000004</v>
      </c>
      <c r="N327" s="4">
        <v>2.3227E-3</v>
      </c>
      <c r="O327" s="5">
        <v>44715</v>
      </c>
      <c r="P327" s="5">
        <v>45263</v>
      </c>
      <c r="Q327" s="1">
        <v>6.617</v>
      </c>
      <c r="R327" s="2">
        <v>0.11</v>
      </c>
      <c r="S327" s="6">
        <v>9.3817737205999993E-2</v>
      </c>
      <c r="T327" t="s">
        <v>111</v>
      </c>
      <c r="U327" t="s">
        <v>111</v>
      </c>
      <c r="V327" t="s">
        <v>11189</v>
      </c>
      <c r="W327" t="s">
        <v>43</v>
      </c>
      <c r="X327" t="s">
        <v>11034</v>
      </c>
      <c r="Y327" t="s">
        <v>44</v>
      </c>
      <c r="Z327" t="s">
        <v>44</v>
      </c>
      <c r="AA327" t="s">
        <v>10979</v>
      </c>
      <c r="AB327" t="s">
        <v>44</v>
      </c>
      <c r="AC327" s="4">
        <v>5.9821780799999997</v>
      </c>
      <c r="AD327" s="4">
        <v>5.8241643999999999</v>
      </c>
      <c r="AE327" s="2">
        <v>5.98</v>
      </c>
      <c r="AF327" s="4">
        <v>5.8241643999999999</v>
      </c>
      <c r="AG327" s="2">
        <v>0.75</v>
      </c>
      <c r="AH327" s="2">
        <v>1020919.07</v>
      </c>
      <c r="AI327" s="2">
        <v>0</v>
      </c>
      <c r="AJ327" s="5">
        <v>44673</v>
      </c>
      <c r="AK327" t="s">
        <v>11431</v>
      </c>
      <c r="AL327" s="2">
        <v>5.9</v>
      </c>
      <c r="AM327" s="2">
        <v>6.62</v>
      </c>
      <c r="AN327" s="2">
        <v>0.09</v>
      </c>
      <c r="AO327" t="s">
        <v>11179</v>
      </c>
      <c r="AP327" t="s">
        <v>11545</v>
      </c>
      <c r="AQ327" t="s">
        <v>11544</v>
      </c>
    </row>
    <row r="328" spans="1:43" x14ac:dyDescent="0.2">
      <c r="A328" t="s">
        <v>11430</v>
      </c>
      <c r="B328" t="s">
        <v>10900</v>
      </c>
      <c r="C328" t="s">
        <v>10943</v>
      </c>
      <c r="D328" t="s">
        <v>11546</v>
      </c>
      <c r="E328" t="s">
        <v>11547</v>
      </c>
      <c r="F328" t="s">
        <v>11546</v>
      </c>
      <c r="G328" s="1">
        <v>700000</v>
      </c>
      <c r="H328" s="2">
        <v>701903.84</v>
      </c>
      <c r="I328" s="2">
        <v>704260.31</v>
      </c>
      <c r="J328" s="2">
        <v>5920.62</v>
      </c>
      <c r="K328" s="2">
        <v>0</v>
      </c>
      <c r="L328" s="2">
        <v>710180.93</v>
      </c>
      <c r="M328" s="3">
        <v>5.5716739999999998</v>
      </c>
      <c r="N328" s="4">
        <v>1.6157400000000001E-3</v>
      </c>
      <c r="O328" s="5">
        <v>44711</v>
      </c>
      <c r="P328" s="5">
        <v>45898</v>
      </c>
      <c r="Q328" s="1">
        <v>5.7169999999999996</v>
      </c>
      <c r="R328" s="2">
        <v>0.1</v>
      </c>
      <c r="S328" s="6">
        <v>7.4721674961000004E-2</v>
      </c>
      <c r="T328" t="s">
        <v>111</v>
      </c>
      <c r="U328" t="s">
        <v>111</v>
      </c>
      <c r="V328" t="s">
        <v>11189</v>
      </c>
      <c r="W328" t="s">
        <v>43</v>
      </c>
      <c r="X328" t="s">
        <v>11034</v>
      </c>
      <c r="Y328" t="s">
        <v>44</v>
      </c>
      <c r="Z328" t="s">
        <v>44</v>
      </c>
      <c r="AA328" t="s">
        <v>44</v>
      </c>
      <c r="AB328" t="s">
        <v>44</v>
      </c>
      <c r="AC328" s="4">
        <v>5.6492823999999997</v>
      </c>
      <c r="AD328" s="4">
        <v>5.5080792599999997</v>
      </c>
      <c r="AE328" s="2">
        <v>5.65</v>
      </c>
      <c r="AF328" s="4">
        <v>5.5080792599999997</v>
      </c>
      <c r="AG328" s="2">
        <v>0.52</v>
      </c>
      <c r="AH328" s="2">
        <v>710180.93</v>
      </c>
      <c r="AI328" s="2">
        <v>0</v>
      </c>
      <c r="AJ328" s="5">
        <v>44673</v>
      </c>
      <c r="AK328" t="s">
        <v>11431</v>
      </c>
      <c r="AL328" s="2">
        <v>5.57</v>
      </c>
      <c r="AM328" s="2">
        <v>5.72</v>
      </c>
      <c r="AN328" s="2">
        <v>7.0000000000000007E-2</v>
      </c>
      <c r="AO328" t="s">
        <v>44</v>
      </c>
      <c r="AP328" t="s">
        <v>11548</v>
      </c>
      <c r="AQ328" t="s">
        <v>11547</v>
      </c>
    </row>
    <row r="329" spans="1:43" x14ac:dyDescent="0.2">
      <c r="A329" t="s">
        <v>11430</v>
      </c>
      <c r="B329" t="s">
        <v>10900</v>
      </c>
      <c r="C329" t="s">
        <v>10943</v>
      </c>
      <c r="D329" t="s">
        <v>11549</v>
      </c>
      <c r="E329" t="s">
        <v>11550</v>
      </c>
      <c r="F329" t="s">
        <v>11549</v>
      </c>
      <c r="G329" s="1">
        <v>1500000</v>
      </c>
      <c r="H329" s="2">
        <v>1534508.18</v>
      </c>
      <c r="I329" s="2">
        <v>1512182.91</v>
      </c>
      <c r="J329" s="2">
        <v>7414.03</v>
      </c>
      <c r="K329" s="2">
        <v>0</v>
      </c>
      <c r="L329" s="2">
        <v>1519596.94</v>
      </c>
      <c r="M329" s="3">
        <v>5.4987519999999996</v>
      </c>
      <c r="N329" s="4">
        <v>3.4572499999999998E-3</v>
      </c>
      <c r="O329" s="5">
        <v>44742</v>
      </c>
      <c r="P329" s="5">
        <v>46660</v>
      </c>
      <c r="Q329" s="1">
        <v>7.5170000000000003</v>
      </c>
      <c r="R329" s="2">
        <v>0.18</v>
      </c>
      <c r="S329" s="6">
        <v>0.31159103062999999</v>
      </c>
      <c r="T329" t="s">
        <v>111</v>
      </c>
      <c r="U329" t="s">
        <v>111</v>
      </c>
      <c r="V329" t="s">
        <v>11189</v>
      </c>
      <c r="W329" t="s">
        <v>43</v>
      </c>
      <c r="X329" t="s">
        <v>11034</v>
      </c>
      <c r="Y329" t="s">
        <v>44</v>
      </c>
      <c r="Z329" t="s">
        <v>44</v>
      </c>
      <c r="AA329" t="s">
        <v>44</v>
      </c>
      <c r="AB329" t="s">
        <v>44</v>
      </c>
      <c r="AC329" s="4">
        <v>5.5743426999999999</v>
      </c>
      <c r="AD329" s="4">
        <v>5.4367979699999998</v>
      </c>
      <c r="AE329" s="2">
        <v>5.57</v>
      </c>
      <c r="AF329" s="4">
        <v>5.4367979699999998</v>
      </c>
      <c r="AG329" s="2">
        <v>1.1200000000000001</v>
      </c>
      <c r="AH329" s="2">
        <v>1519596.94</v>
      </c>
      <c r="AI329" s="2">
        <v>0</v>
      </c>
      <c r="AJ329" s="5">
        <v>44673</v>
      </c>
      <c r="AK329" t="s">
        <v>11431</v>
      </c>
      <c r="AL329" s="2">
        <v>5.5</v>
      </c>
      <c r="AM329" s="2">
        <v>7.52</v>
      </c>
      <c r="AN329" s="2">
        <v>0.31</v>
      </c>
      <c r="AO329" t="s">
        <v>11451</v>
      </c>
      <c r="AP329" t="s">
        <v>11551</v>
      </c>
      <c r="AQ329" t="s">
        <v>11550</v>
      </c>
    </row>
    <row r="330" spans="1:43" x14ac:dyDescent="0.2">
      <c r="A330" t="s">
        <v>11430</v>
      </c>
      <c r="B330" t="s">
        <v>10900</v>
      </c>
      <c r="C330" t="s">
        <v>10943</v>
      </c>
      <c r="D330" t="s">
        <v>11552</v>
      </c>
      <c r="E330" t="s">
        <v>11553</v>
      </c>
      <c r="F330" t="s">
        <v>11552</v>
      </c>
      <c r="G330" s="1">
        <v>100000</v>
      </c>
      <c r="H330" s="2">
        <v>100000</v>
      </c>
      <c r="I330" s="2">
        <v>100000.34</v>
      </c>
      <c r="J330" s="2">
        <v>1268.8699999999999</v>
      </c>
      <c r="K330" s="2">
        <v>0</v>
      </c>
      <c r="L330" s="2">
        <v>101269.21</v>
      </c>
      <c r="M330" s="3">
        <v>5.7189139999999998</v>
      </c>
      <c r="N330" s="4">
        <v>2.3039999999999999E-4</v>
      </c>
      <c r="O330" s="5">
        <v>44684</v>
      </c>
      <c r="P330" s="5">
        <v>46418</v>
      </c>
      <c r="Q330" s="1">
        <v>5.6479999999999997</v>
      </c>
      <c r="R330" s="2">
        <v>0.02</v>
      </c>
      <c r="S330" s="6">
        <v>-2.0490922419E-2</v>
      </c>
      <c r="T330" t="s">
        <v>111</v>
      </c>
      <c r="U330" t="s">
        <v>111</v>
      </c>
      <c r="V330" t="s">
        <v>11189</v>
      </c>
      <c r="W330" t="s">
        <v>43</v>
      </c>
      <c r="X330" t="s">
        <v>11034</v>
      </c>
      <c r="Y330" t="s">
        <v>44</v>
      </c>
      <c r="Z330" t="s">
        <v>44</v>
      </c>
      <c r="AA330" t="s">
        <v>10979</v>
      </c>
      <c r="AB330" t="s">
        <v>44</v>
      </c>
      <c r="AC330" s="4">
        <v>5.8006784400000004</v>
      </c>
      <c r="AD330" s="4">
        <v>5.6519431300000003</v>
      </c>
      <c r="AE330" s="2">
        <v>5.8</v>
      </c>
      <c r="AF330" s="4">
        <v>5.6519431300000003</v>
      </c>
      <c r="AG330" s="2">
        <v>7.0000000000000007E-2</v>
      </c>
      <c r="AH330" s="2">
        <v>101269.21</v>
      </c>
      <c r="AI330" s="2">
        <v>0</v>
      </c>
      <c r="AJ330" s="5">
        <v>44673</v>
      </c>
      <c r="AK330" t="s">
        <v>11431</v>
      </c>
      <c r="AL330" s="2">
        <v>5.72</v>
      </c>
      <c r="AM330" s="2">
        <v>5.65</v>
      </c>
      <c r="AN330" s="2">
        <v>-0.02</v>
      </c>
      <c r="AO330" t="s">
        <v>11048</v>
      </c>
      <c r="AP330" t="s">
        <v>11554</v>
      </c>
      <c r="AQ330" t="s">
        <v>11553</v>
      </c>
    </row>
    <row r="331" spans="1:43" x14ac:dyDescent="0.2">
      <c r="A331" t="s">
        <v>11430</v>
      </c>
      <c r="B331" t="s">
        <v>10900</v>
      </c>
      <c r="C331" t="s">
        <v>10943</v>
      </c>
      <c r="D331" t="s">
        <v>11555</v>
      </c>
      <c r="E331" t="s">
        <v>11556</v>
      </c>
      <c r="F331" t="s">
        <v>11555</v>
      </c>
      <c r="G331" s="1">
        <v>1500000</v>
      </c>
      <c r="H331" s="2">
        <v>1500000</v>
      </c>
      <c r="I331" s="2">
        <v>1471303.5</v>
      </c>
      <c r="J331" s="2">
        <v>30953.42</v>
      </c>
      <c r="K331" s="2">
        <v>0</v>
      </c>
      <c r="L331" s="2">
        <v>1502256.92</v>
      </c>
      <c r="M331" s="3">
        <v>9.9250000000000007</v>
      </c>
      <c r="N331" s="4">
        <v>3.4177999999999999E-3</v>
      </c>
      <c r="O331" s="5">
        <v>44775</v>
      </c>
      <c r="P331" s="5">
        <v>46420</v>
      </c>
      <c r="Q331" s="1">
        <v>9.4149999999999991</v>
      </c>
      <c r="R331" s="2">
        <v>3.86</v>
      </c>
      <c r="S331" s="6">
        <v>3.6810259830000001</v>
      </c>
      <c r="T331" t="s">
        <v>111</v>
      </c>
      <c r="U331" t="s">
        <v>111</v>
      </c>
      <c r="V331" t="s">
        <v>10944</v>
      </c>
      <c r="W331" t="s">
        <v>43</v>
      </c>
      <c r="X331" t="s">
        <v>44</v>
      </c>
      <c r="Y331" t="s">
        <v>44</v>
      </c>
      <c r="Z331" t="s">
        <v>44</v>
      </c>
      <c r="AA331" t="s">
        <v>10979</v>
      </c>
      <c r="AB331" t="s">
        <v>44</v>
      </c>
      <c r="AC331" s="4">
        <v>10.17126406</v>
      </c>
      <c r="AD331" s="4">
        <v>9.72579277</v>
      </c>
      <c r="AE331" s="2">
        <v>10.17</v>
      </c>
      <c r="AF331" s="4">
        <v>9.72579277</v>
      </c>
      <c r="AG331" s="2">
        <v>1.1100000000000001</v>
      </c>
      <c r="AH331" s="2">
        <v>1502256.92</v>
      </c>
      <c r="AI331" s="2">
        <v>0</v>
      </c>
      <c r="AJ331" s="5">
        <v>44673</v>
      </c>
      <c r="AK331" t="s">
        <v>11431</v>
      </c>
      <c r="AL331" s="2">
        <v>9.93</v>
      </c>
      <c r="AM331" s="2">
        <v>9.41</v>
      </c>
      <c r="AN331" s="2">
        <v>3.68</v>
      </c>
      <c r="AO331" t="s">
        <v>11048</v>
      </c>
      <c r="AP331" t="s">
        <v>11557</v>
      </c>
      <c r="AQ331" t="s">
        <v>11556</v>
      </c>
    </row>
    <row r="332" spans="1:43" x14ac:dyDescent="0.2">
      <c r="A332" t="s">
        <v>11430</v>
      </c>
      <c r="B332" t="s">
        <v>10900</v>
      </c>
      <c r="C332" t="s">
        <v>10943</v>
      </c>
      <c r="D332" t="s">
        <v>11558</v>
      </c>
      <c r="E332" t="s">
        <v>11559</v>
      </c>
      <c r="F332" t="s">
        <v>11558</v>
      </c>
      <c r="G332" s="1">
        <v>1200000</v>
      </c>
      <c r="H332" s="2">
        <v>1200000</v>
      </c>
      <c r="I332" s="2">
        <v>1181283.96</v>
      </c>
      <c r="J332" s="2">
        <v>1072.44</v>
      </c>
      <c r="K332" s="2">
        <v>0</v>
      </c>
      <c r="L332" s="2">
        <v>1182356.3999999999</v>
      </c>
      <c r="M332" s="3">
        <v>8.625</v>
      </c>
      <c r="N332" s="4">
        <v>2.6899900000000002E-3</v>
      </c>
      <c r="O332" s="5">
        <v>44853</v>
      </c>
      <c r="P332" s="5">
        <v>46131</v>
      </c>
      <c r="Q332" s="1">
        <v>8.1549999999999994</v>
      </c>
      <c r="R332" s="2">
        <v>3.47</v>
      </c>
      <c r="S332" s="6">
        <v>3.327828963</v>
      </c>
      <c r="T332" t="s">
        <v>111</v>
      </c>
      <c r="U332" t="s">
        <v>111</v>
      </c>
      <c r="V332" t="s">
        <v>10944</v>
      </c>
      <c r="W332" t="s">
        <v>43</v>
      </c>
      <c r="X332" t="s">
        <v>44</v>
      </c>
      <c r="Y332" t="s">
        <v>44</v>
      </c>
      <c r="Z332" t="s">
        <v>44</v>
      </c>
      <c r="AA332" t="s">
        <v>10979</v>
      </c>
      <c r="AB332" t="s">
        <v>44</v>
      </c>
      <c r="AC332" s="4">
        <v>8.8109765600000003</v>
      </c>
      <c r="AD332" s="4">
        <v>8.4739831300000006</v>
      </c>
      <c r="AE332" s="2">
        <v>8.81</v>
      </c>
      <c r="AF332" s="4">
        <v>8.4739831300000006</v>
      </c>
      <c r="AG332" s="2">
        <v>0.87</v>
      </c>
      <c r="AH332" s="2">
        <v>1182356.3999999999</v>
      </c>
      <c r="AI332" s="2">
        <v>0</v>
      </c>
      <c r="AJ332" s="5">
        <v>44673</v>
      </c>
      <c r="AK332" t="s">
        <v>11431</v>
      </c>
      <c r="AL332" s="2">
        <v>8.6300000000000008</v>
      </c>
      <c r="AM332" s="2">
        <v>8.15</v>
      </c>
      <c r="AN332" s="2">
        <v>3.33</v>
      </c>
      <c r="AO332" t="s">
        <v>11054</v>
      </c>
      <c r="AP332" t="s">
        <v>11560</v>
      </c>
      <c r="AQ332" t="s">
        <v>11559</v>
      </c>
    </row>
    <row r="333" spans="1:43" x14ac:dyDescent="0.2">
      <c r="A333" t="s">
        <v>11430</v>
      </c>
      <c r="B333" t="s">
        <v>10900</v>
      </c>
      <c r="C333" t="s">
        <v>10943</v>
      </c>
      <c r="D333" t="s">
        <v>11561</v>
      </c>
      <c r="E333" t="s">
        <v>11562</v>
      </c>
      <c r="F333" t="s">
        <v>11561</v>
      </c>
      <c r="G333" s="1">
        <v>250000</v>
      </c>
      <c r="H333" s="2">
        <v>250724.7</v>
      </c>
      <c r="I333" s="2">
        <v>247403.27</v>
      </c>
      <c r="J333" s="2">
        <v>1747.34</v>
      </c>
      <c r="K333" s="2">
        <v>0</v>
      </c>
      <c r="L333" s="2">
        <v>249150.61</v>
      </c>
      <c r="M333" s="3">
        <v>6.1325050000000001</v>
      </c>
      <c r="N333" s="4">
        <v>5.6683999999999999E-4</v>
      </c>
      <c r="O333" s="5">
        <v>44722</v>
      </c>
      <c r="P333" s="5">
        <v>46001</v>
      </c>
      <c r="Q333" s="1">
        <v>5.798</v>
      </c>
      <c r="R333" s="2">
        <v>0.13</v>
      </c>
      <c r="S333" s="6">
        <v>6.3335353119000001E-2</v>
      </c>
      <c r="T333" t="s">
        <v>111</v>
      </c>
      <c r="U333" t="s">
        <v>111</v>
      </c>
      <c r="V333" t="s">
        <v>11189</v>
      </c>
      <c r="W333" t="s">
        <v>43</v>
      </c>
      <c r="X333" t="s">
        <v>11034</v>
      </c>
      <c r="Y333" t="s">
        <v>44</v>
      </c>
      <c r="Z333" t="s">
        <v>44</v>
      </c>
      <c r="AA333" t="s">
        <v>10913</v>
      </c>
      <c r="AB333" t="s">
        <v>44</v>
      </c>
      <c r="AC333" s="4">
        <v>6.2265242299999999</v>
      </c>
      <c r="AD333" s="4">
        <v>6.0555929400000004</v>
      </c>
      <c r="AE333" s="2">
        <v>6.23</v>
      </c>
      <c r="AF333" s="4">
        <v>6.0555929400000004</v>
      </c>
      <c r="AG333" s="2">
        <v>0.18</v>
      </c>
      <c r="AH333" s="2">
        <v>249150.61</v>
      </c>
      <c r="AI333" s="2">
        <v>0</v>
      </c>
      <c r="AJ333" s="5">
        <v>44673</v>
      </c>
      <c r="AK333" t="s">
        <v>11431</v>
      </c>
      <c r="AL333" s="2">
        <v>6.13</v>
      </c>
      <c r="AM333" s="2">
        <v>5.8</v>
      </c>
      <c r="AN333" s="2">
        <v>0.06</v>
      </c>
      <c r="AO333" t="s">
        <v>11563</v>
      </c>
      <c r="AP333" t="s">
        <v>11564</v>
      </c>
      <c r="AQ333" t="s">
        <v>11562</v>
      </c>
    </row>
    <row r="334" spans="1:43" x14ac:dyDescent="0.2">
      <c r="A334" t="s">
        <v>11430</v>
      </c>
      <c r="B334" t="s">
        <v>10900</v>
      </c>
      <c r="C334" t="s">
        <v>10943</v>
      </c>
      <c r="D334" t="s">
        <v>11569</v>
      </c>
      <c r="E334" t="s">
        <v>11570</v>
      </c>
      <c r="F334" t="s">
        <v>11569</v>
      </c>
      <c r="G334" s="1">
        <v>1700000</v>
      </c>
      <c r="H334" s="2">
        <v>1700000</v>
      </c>
      <c r="I334" s="2">
        <v>1709186.67</v>
      </c>
      <c r="J334" s="2">
        <v>23277.7</v>
      </c>
      <c r="K334" s="2">
        <v>0</v>
      </c>
      <c r="L334" s="2">
        <v>1732464.37</v>
      </c>
      <c r="M334" s="3">
        <v>8.5241640000000007</v>
      </c>
      <c r="N334" s="4">
        <v>3.9415400000000003E-3</v>
      </c>
      <c r="O334" s="5">
        <v>44705</v>
      </c>
      <c r="P334" s="5">
        <v>46166</v>
      </c>
      <c r="Q334" s="1">
        <v>8.6170000000000009</v>
      </c>
      <c r="R334" s="2">
        <v>0.08</v>
      </c>
      <c r="S334" s="6">
        <v>-9.3404076700000001E-3</v>
      </c>
      <c r="T334" t="s">
        <v>111</v>
      </c>
      <c r="U334" t="s">
        <v>111</v>
      </c>
      <c r="V334" t="s">
        <v>11189</v>
      </c>
      <c r="W334" t="s">
        <v>43</v>
      </c>
      <c r="X334" t="s">
        <v>11034</v>
      </c>
      <c r="Y334" t="s">
        <v>44</v>
      </c>
      <c r="Z334" t="s">
        <v>44</v>
      </c>
      <c r="AA334" t="s">
        <v>11035</v>
      </c>
      <c r="AB334" t="s">
        <v>44</v>
      </c>
      <c r="AC334" s="4">
        <v>8.7058170199999996</v>
      </c>
      <c r="AD334" s="4">
        <v>8.3766132899999999</v>
      </c>
      <c r="AE334" s="2">
        <v>8.7100000000000009</v>
      </c>
      <c r="AF334" s="4">
        <v>8.3766132899999999</v>
      </c>
      <c r="AG334" s="2">
        <v>1.28</v>
      </c>
      <c r="AH334" s="2">
        <v>1732464.37</v>
      </c>
      <c r="AI334" s="2">
        <v>0</v>
      </c>
      <c r="AJ334" s="5">
        <v>44673</v>
      </c>
      <c r="AK334" t="s">
        <v>11431</v>
      </c>
      <c r="AL334" s="2">
        <v>8.52</v>
      </c>
      <c r="AM334" s="2">
        <v>8.6199999999999992</v>
      </c>
      <c r="AN334" s="2">
        <v>-0.01</v>
      </c>
      <c r="AO334" t="s">
        <v>11226</v>
      </c>
      <c r="AP334" t="s">
        <v>11571</v>
      </c>
      <c r="AQ334" t="s">
        <v>11570</v>
      </c>
    </row>
    <row r="335" spans="1:43" x14ac:dyDescent="0.2">
      <c r="A335" t="s">
        <v>11430</v>
      </c>
      <c r="B335" t="s">
        <v>10900</v>
      </c>
      <c r="C335" t="s">
        <v>10943</v>
      </c>
      <c r="D335" t="s">
        <v>11572</v>
      </c>
      <c r="E335" t="s">
        <v>11573</v>
      </c>
      <c r="F335" t="s">
        <v>11572</v>
      </c>
      <c r="G335" s="1">
        <v>2800000</v>
      </c>
      <c r="H335" s="2">
        <v>2800000</v>
      </c>
      <c r="I335" s="2">
        <v>2799748.04</v>
      </c>
      <c r="J335" s="2">
        <v>15691.05</v>
      </c>
      <c r="K335" s="2">
        <v>0</v>
      </c>
      <c r="L335" s="2">
        <v>2815439.09</v>
      </c>
      <c r="M335" s="3">
        <v>6.3514429999999997</v>
      </c>
      <c r="N335" s="4">
        <v>6.4054300000000002E-3</v>
      </c>
      <c r="O335" s="5">
        <v>44734</v>
      </c>
      <c r="P335" s="5">
        <v>46468</v>
      </c>
      <c r="Q335" s="1">
        <v>6.3920000000000003</v>
      </c>
      <c r="R335" s="2">
        <v>0.16</v>
      </c>
      <c r="S335" s="6">
        <v>9.4330326845999998E-2</v>
      </c>
      <c r="T335" t="s">
        <v>111</v>
      </c>
      <c r="U335" t="s">
        <v>111</v>
      </c>
      <c r="V335" t="s">
        <v>11189</v>
      </c>
      <c r="W335" t="s">
        <v>43</v>
      </c>
      <c r="X335" t="s">
        <v>11034</v>
      </c>
      <c r="Y335" t="s">
        <v>44</v>
      </c>
      <c r="Z335" t="s">
        <v>44</v>
      </c>
      <c r="AA335" t="s">
        <v>11035</v>
      </c>
      <c r="AB335" t="s">
        <v>44</v>
      </c>
      <c r="AC335" s="4">
        <v>6.4522949799999996</v>
      </c>
      <c r="AD335" s="4">
        <v>6.2689947500000001</v>
      </c>
      <c r="AE335" s="2">
        <v>6.45</v>
      </c>
      <c r="AF335" s="4">
        <v>6.2689947500000001</v>
      </c>
      <c r="AG335" s="2">
        <v>2.0699999999999998</v>
      </c>
      <c r="AH335" s="2">
        <v>2815439.09</v>
      </c>
      <c r="AI335" s="2">
        <v>0.01</v>
      </c>
      <c r="AJ335" s="5">
        <v>44673</v>
      </c>
      <c r="AK335" t="s">
        <v>11431</v>
      </c>
      <c r="AL335" s="2">
        <v>6.35</v>
      </c>
      <c r="AM335" s="2">
        <v>6.39</v>
      </c>
      <c r="AN335" s="2">
        <v>0.09</v>
      </c>
      <c r="AO335" t="s">
        <v>11226</v>
      </c>
      <c r="AP335" t="s">
        <v>11574</v>
      </c>
      <c r="AQ335" t="s">
        <v>11573</v>
      </c>
    </row>
    <row r="336" spans="1:43" x14ac:dyDescent="0.2">
      <c r="A336" t="s">
        <v>11430</v>
      </c>
      <c r="B336" t="s">
        <v>10900</v>
      </c>
      <c r="C336" t="s">
        <v>10943</v>
      </c>
      <c r="D336" t="s">
        <v>11575</v>
      </c>
      <c r="E336" t="s">
        <v>11576</v>
      </c>
      <c r="F336" t="s">
        <v>11575</v>
      </c>
      <c r="G336" s="1">
        <v>1300000</v>
      </c>
      <c r="H336" s="2">
        <v>1300000</v>
      </c>
      <c r="I336" s="2">
        <v>1267375.72</v>
      </c>
      <c r="J336" s="2">
        <v>24152.93</v>
      </c>
      <c r="K336" s="2">
        <v>0</v>
      </c>
      <c r="L336" s="2">
        <v>1291528.6499999999</v>
      </c>
      <c r="M336" s="3">
        <v>9.07</v>
      </c>
      <c r="N336" s="4">
        <v>2.93837E-3</v>
      </c>
      <c r="O336" s="5">
        <v>44771</v>
      </c>
      <c r="P336" s="5">
        <v>46051</v>
      </c>
      <c r="Q336" s="1">
        <v>8.27</v>
      </c>
      <c r="R336" s="2">
        <v>3.24</v>
      </c>
      <c r="S336" s="6">
        <v>3.0998465770000001</v>
      </c>
      <c r="T336" t="s">
        <v>111</v>
      </c>
      <c r="U336" t="s">
        <v>111</v>
      </c>
      <c r="V336" t="s">
        <v>10944</v>
      </c>
      <c r="W336" t="s">
        <v>43</v>
      </c>
      <c r="X336" t="s">
        <v>44</v>
      </c>
      <c r="Y336" t="s">
        <v>44</v>
      </c>
      <c r="Z336" t="s">
        <v>44</v>
      </c>
      <c r="AA336" t="s">
        <v>11035</v>
      </c>
      <c r="AB336" t="s">
        <v>44</v>
      </c>
      <c r="AC336" s="4">
        <v>9.2756622499999999</v>
      </c>
      <c r="AD336" s="4">
        <v>8.9032170799999992</v>
      </c>
      <c r="AE336" s="2">
        <v>9.2799999999999994</v>
      </c>
      <c r="AF336" s="4">
        <v>8.9032170799999992</v>
      </c>
      <c r="AG336" s="2">
        <v>0.95</v>
      </c>
      <c r="AH336" s="2">
        <v>1291528.6499999999</v>
      </c>
      <c r="AI336" s="2">
        <v>0</v>
      </c>
      <c r="AJ336" s="5">
        <v>44673</v>
      </c>
      <c r="AK336" t="s">
        <v>11431</v>
      </c>
      <c r="AL336" s="2">
        <v>9.07</v>
      </c>
      <c r="AM336" s="2">
        <v>8.27</v>
      </c>
      <c r="AN336" s="2">
        <v>3.1</v>
      </c>
      <c r="AO336" t="s">
        <v>11437</v>
      </c>
      <c r="AP336" t="s">
        <v>11577</v>
      </c>
      <c r="AQ336" t="s">
        <v>11576</v>
      </c>
    </row>
    <row r="337" spans="1:43" x14ac:dyDescent="0.2">
      <c r="A337" t="s">
        <v>11430</v>
      </c>
      <c r="B337" t="s">
        <v>10900</v>
      </c>
      <c r="C337" t="s">
        <v>10943</v>
      </c>
      <c r="D337" t="s">
        <v>11578</v>
      </c>
      <c r="E337" t="s">
        <v>11579</v>
      </c>
      <c r="F337" t="s">
        <v>11578</v>
      </c>
      <c r="G337" s="1">
        <v>400000</v>
      </c>
      <c r="H337" s="2">
        <v>400000</v>
      </c>
      <c r="I337" s="2">
        <v>373401.04</v>
      </c>
      <c r="J337" s="2">
        <v>3329.22</v>
      </c>
      <c r="K337" s="2">
        <v>0</v>
      </c>
      <c r="L337" s="2">
        <v>376730.26</v>
      </c>
      <c r="M337" s="3">
        <v>9.375</v>
      </c>
      <c r="N337" s="4">
        <v>8.5709999999999996E-4</v>
      </c>
      <c r="O337" s="5">
        <v>44819</v>
      </c>
      <c r="P337" s="5">
        <v>46827</v>
      </c>
      <c r="Q337" s="1">
        <v>7.8849999999999998</v>
      </c>
      <c r="R337" s="2">
        <v>4.74</v>
      </c>
      <c r="S337" s="6">
        <v>4.5243735450000004</v>
      </c>
      <c r="T337" t="s">
        <v>111</v>
      </c>
      <c r="U337" t="s">
        <v>111</v>
      </c>
      <c r="V337" t="s">
        <v>10944</v>
      </c>
      <c r="W337" t="s">
        <v>43</v>
      </c>
      <c r="X337" t="s">
        <v>44</v>
      </c>
      <c r="Y337" t="s">
        <v>44</v>
      </c>
      <c r="Z337" t="s">
        <v>44</v>
      </c>
      <c r="AA337" t="s">
        <v>11441</v>
      </c>
      <c r="AB337" t="s">
        <v>44</v>
      </c>
      <c r="AC337" s="4">
        <v>9.5947265599999998</v>
      </c>
      <c r="AD337" s="4">
        <v>9.1969716100000003</v>
      </c>
      <c r="AE337" s="2">
        <v>9.59</v>
      </c>
      <c r="AF337" s="4">
        <v>9.1969716100000003</v>
      </c>
      <c r="AG337" s="2">
        <v>0.28000000000000003</v>
      </c>
      <c r="AH337" s="2">
        <v>376730.26</v>
      </c>
      <c r="AI337" s="2">
        <v>0</v>
      </c>
      <c r="AJ337" s="5">
        <v>44673</v>
      </c>
      <c r="AK337" t="s">
        <v>11431</v>
      </c>
      <c r="AL337" s="2">
        <v>9.3800000000000008</v>
      </c>
      <c r="AM337" s="2">
        <v>7.88</v>
      </c>
      <c r="AN337" s="2">
        <v>4.5199999999999996</v>
      </c>
      <c r="AO337" t="s">
        <v>11580</v>
      </c>
      <c r="AP337" t="s">
        <v>11581</v>
      </c>
      <c r="AQ337" t="s">
        <v>11579</v>
      </c>
    </row>
    <row r="338" spans="1:43" x14ac:dyDescent="0.2">
      <c r="A338" t="s">
        <v>11430</v>
      </c>
      <c r="B338" t="s">
        <v>10900</v>
      </c>
      <c r="C338" t="s">
        <v>10943</v>
      </c>
      <c r="D338" t="s">
        <v>11582</v>
      </c>
      <c r="E338" t="s">
        <v>11583</v>
      </c>
      <c r="F338" t="s">
        <v>11582</v>
      </c>
      <c r="G338" s="1">
        <v>2000000</v>
      </c>
      <c r="H338" s="2">
        <v>2000000</v>
      </c>
      <c r="I338" s="2">
        <v>2000041.67</v>
      </c>
      <c r="J338" s="2">
        <v>9070.7900000000009</v>
      </c>
      <c r="K338" s="2">
        <v>0</v>
      </c>
      <c r="L338" s="2">
        <v>2009112.46</v>
      </c>
      <c r="M338" s="3">
        <v>6.2543709999999999</v>
      </c>
      <c r="N338" s="4">
        <v>4.5709499999999998E-3</v>
      </c>
      <c r="O338" s="5">
        <v>44739</v>
      </c>
      <c r="P338" s="5">
        <v>46383</v>
      </c>
      <c r="Q338" s="1">
        <v>6.367</v>
      </c>
      <c r="R338" s="2">
        <v>0.17</v>
      </c>
      <c r="S338" s="6">
        <v>0.11195984108699999</v>
      </c>
      <c r="T338" t="s">
        <v>111</v>
      </c>
      <c r="U338" t="s">
        <v>111</v>
      </c>
      <c r="V338" t="s">
        <v>11189</v>
      </c>
      <c r="W338" t="s">
        <v>43</v>
      </c>
      <c r="X338" t="s">
        <v>11034</v>
      </c>
      <c r="Y338" t="s">
        <v>44</v>
      </c>
      <c r="Z338" t="s">
        <v>44</v>
      </c>
      <c r="AA338" t="s">
        <v>11035</v>
      </c>
      <c r="AB338" t="s">
        <v>44</v>
      </c>
      <c r="AC338" s="4">
        <v>6.3521637200000001</v>
      </c>
      <c r="AD338" s="4">
        <v>6.1744004700000001</v>
      </c>
      <c r="AE338" s="2">
        <v>6.35</v>
      </c>
      <c r="AF338" s="4">
        <v>6.1744004700000001</v>
      </c>
      <c r="AG338" s="2">
        <v>1.48</v>
      </c>
      <c r="AH338" s="2">
        <v>2009112.46</v>
      </c>
      <c r="AI338" s="2">
        <v>0</v>
      </c>
      <c r="AJ338" s="5">
        <v>44673</v>
      </c>
      <c r="AK338" t="s">
        <v>11431</v>
      </c>
      <c r="AL338" s="2">
        <v>6.25</v>
      </c>
      <c r="AM338" s="2">
        <v>6.37</v>
      </c>
      <c r="AN338" s="2">
        <v>0.11</v>
      </c>
      <c r="AO338" t="s">
        <v>11036</v>
      </c>
      <c r="AP338" t="s">
        <v>11584</v>
      </c>
      <c r="AQ338" t="s">
        <v>11583</v>
      </c>
    </row>
    <row r="339" spans="1:43" x14ac:dyDescent="0.2">
      <c r="A339" t="s">
        <v>11430</v>
      </c>
      <c r="B339" t="s">
        <v>10900</v>
      </c>
      <c r="C339" t="s">
        <v>10943</v>
      </c>
      <c r="D339" t="s">
        <v>11585</v>
      </c>
      <c r="E339" t="s">
        <v>11586</v>
      </c>
      <c r="F339" t="s">
        <v>11585</v>
      </c>
      <c r="G339" s="1">
        <v>2100000</v>
      </c>
      <c r="H339" s="2">
        <v>2100000</v>
      </c>
      <c r="I339" s="2">
        <v>2186146.0699999998</v>
      </c>
      <c r="J339" s="2">
        <v>23607.45</v>
      </c>
      <c r="K339" s="2">
        <v>0</v>
      </c>
      <c r="L339" s="2">
        <v>2209753.52</v>
      </c>
      <c r="M339" s="3">
        <v>7.7660200000000001</v>
      </c>
      <c r="N339" s="4">
        <v>5.0274300000000003E-3</v>
      </c>
      <c r="O339" s="5">
        <v>44720</v>
      </c>
      <c r="P339" s="5">
        <v>46273</v>
      </c>
      <c r="Q339" s="1">
        <v>8.92</v>
      </c>
      <c r="R339" s="2">
        <v>0.12</v>
      </c>
      <c r="S339" s="6">
        <v>0.10556959685300001</v>
      </c>
      <c r="T339" t="s">
        <v>111</v>
      </c>
      <c r="U339" t="s">
        <v>111</v>
      </c>
      <c r="V339" t="s">
        <v>11189</v>
      </c>
      <c r="W339" t="s">
        <v>43</v>
      </c>
      <c r="X339" t="s">
        <v>11034</v>
      </c>
      <c r="Y339" t="s">
        <v>44</v>
      </c>
      <c r="Z339" t="s">
        <v>44</v>
      </c>
      <c r="AA339" t="s">
        <v>11035</v>
      </c>
      <c r="AB339" t="s">
        <v>44</v>
      </c>
      <c r="AC339" s="4">
        <v>7.9167972899999999</v>
      </c>
      <c r="AD339" s="4">
        <v>7.6432735200000002</v>
      </c>
      <c r="AE339" s="2">
        <v>7.92</v>
      </c>
      <c r="AF339" s="4">
        <v>7.6432735200000002</v>
      </c>
      <c r="AG339" s="2">
        <v>1.63</v>
      </c>
      <c r="AH339" s="2">
        <v>2209753.52</v>
      </c>
      <c r="AI339" s="2">
        <v>0.01</v>
      </c>
      <c r="AJ339" s="5">
        <v>44673</v>
      </c>
      <c r="AK339" t="s">
        <v>11431</v>
      </c>
      <c r="AL339" s="2">
        <v>7.77</v>
      </c>
      <c r="AM339" s="2">
        <v>8.92</v>
      </c>
      <c r="AN339" s="2">
        <v>0.11</v>
      </c>
      <c r="AO339" t="s">
        <v>11036</v>
      </c>
      <c r="AP339" t="s">
        <v>11587</v>
      </c>
      <c r="AQ339" t="s">
        <v>11586</v>
      </c>
    </row>
    <row r="340" spans="1:43" x14ac:dyDescent="0.2">
      <c r="A340" t="s">
        <v>11430</v>
      </c>
      <c r="B340" t="s">
        <v>10900</v>
      </c>
      <c r="C340" t="s">
        <v>10943</v>
      </c>
      <c r="D340" t="s">
        <v>11588</v>
      </c>
      <c r="E340" t="s">
        <v>11589</v>
      </c>
      <c r="F340" t="s">
        <v>11588</v>
      </c>
      <c r="G340" s="1">
        <v>2000000</v>
      </c>
      <c r="H340" s="2">
        <v>2000000</v>
      </c>
      <c r="I340" s="2">
        <v>2000000.33</v>
      </c>
      <c r="J340" s="2">
        <v>11791.89</v>
      </c>
      <c r="K340" s="2">
        <v>0</v>
      </c>
      <c r="L340" s="2">
        <v>2011792.22</v>
      </c>
      <c r="M340" s="3">
        <v>8.1643709999999992</v>
      </c>
      <c r="N340" s="4">
        <v>4.5770400000000001E-3</v>
      </c>
      <c r="O340" s="5">
        <v>44739</v>
      </c>
      <c r="P340" s="5">
        <v>46383</v>
      </c>
      <c r="Q340" s="1">
        <v>8.2769999999999992</v>
      </c>
      <c r="R340" s="2">
        <v>0.17</v>
      </c>
      <c r="S340" s="6">
        <v>6.6173810217000001E-2</v>
      </c>
      <c r="T340" t="s">
        <v>111</v>
      </c>
      <c r="U340" t="s">
        <v>111</v>
      </c>
      <c r="V340" t="s">
        <v>11189</v>
      </c>
      <c r="W340" t="s">
        <v>43</v>
      </c>
      <c r="X340" t="s">
        <v>11034</v>
      </c>
      <c r="Y340" t="s">
        <v>44</v>
      </c>
      <c r="Z340" t="s">
        <v>44</v>
      </c>
      <c r="AA340" t="s">
        <v>11035</v>
      </c>
      <c r="AB340" t="s">
        <v>44</v>
      </c>
      <c r="AC340" s="4">
        <v>8.3310132100000001</v>
      </c>
      <c r="AD340" s="4">
        <v>8.0288693599999998</v>
      </c>
      <c r="AE340" s="2">
        <v>8.33</v>
      </c>
      <c r="AF340" s="4">
        <v>8.0288693599999998</v>
      </c>
      <c r="AG340" s="2">
        <v>1.48</v>
      </c>
      <c r="AH340" s="2">
        <v>2011792.22</v>
      </c>
      <c r="AI340" s="2">
        <v>0</v>
      </c>
      <c r="AJ340" s="5">
        <v>44673</v>
      </c>
      <c r="AK340" t="s">
        <v>11431</v>
      </c>
      <c r="AL340" s="2">
        <v>8.16</v>
      </c>
      <c r="AM340" s="2">
        <v>8.2799999999999994</v>
      </c>
      <c r="AN340" s="2">
        <v>7.0000000000000007E-2</v>
      </c>
      <c r="AO340" t="s">
        <v>11036</v>
      </c>
      <c r="AP340" t="s">
        <v>11590</v>
      </c>
      <c r="AQ340" t="s">
        <v>11589</v>
      </c>
    </row>
    <row r="341" spans="1:43" x14ac:dyDescent="0.2">
      <c r="A341" t="s">
        <v>11430</v>
      </c>
      <c r="B341" t="s">
        <v>10900</v>
      </c>
      <c r="C341" t="s">
        <v>10943</v>
      </c>
      <c r="D341" t="s">
        <v>11135</v>
      </c>
      <c r="E341" t="s">
        <v>10946</v>
      </c>
      <c r="F341" t="s">
        <v>11135</v>
      </c>
      <c r="G341" s="1">
        <v>10424000</v>
      </c>
      <c r="H341" s="2">
        <v>11511696.83</v>
      </c>
      <c r="I341" s="2">
        <v>11324941.109999999</v>
      </c>
      <c r="J341" s="2">
        <v>368838.25</v>
      </c>
      <c r="K341" s="2">
        <v>0</v>
      </c>
      <c r="L341" s="2">
        <v>11693779.359999999</v>
      </c>
      <c r="M341" s="3">
        <v>8.2249999999999996</v>
      </c>
      <c r="N341" s="4">
        <v>2.6604610000000001E-2</v>
      </c>
      <c r="O341" s="5">
        <v>44733</v>
      </c>
      <c r="P341" s="5">
        <v>46377</v>
      </c>
      <c r="Q341" s="1">
        <v>10.5</v>
      </c>
      <c r="R341" s="2">
        <v>3.72</v>
      </c>
      <c r="S341" s="6">
        <v>3.572672968</v>
      </c>
      <c r="T341" t="s">
        <v>111</v>
      </c>
      <c r="U341" t="s">
        <v>111</v>
      </c>
      <c r="V341" t="s">
        <v>10944</v>
      </c>
      <c r="W341" t="s">
        <v>43</v>
      </c>
      <c r="X341" t="s">
        <v>10945</v>
      </c>
      <c r="Y341" t="s">
        <v>44</v>
      </c>
      <c r="Z341" t="s">
        <v>44</v>
      </c>
      <c r="AA341" t="s">
        <v>10913</v>
      </c>
      <c r="AB341" t="s">
        <v>44</v>
      </c>
      <c r="AC341" s="4">
        <v>8.3941265600000001</v>
      </c>
      <c r="AD341" s="4">
        <v>8.0875032299999994</v>
      </c>
      <c r="AE341" s="2">
        <v>8.39</v>
      </c>
      <c r="AF341" s="4">
        <v>8.0875032299999994</v>
      </c>
      <c r="AG341" s="2">
        <v>8.61</v>
      </c>
      <c r="AH341" s="2">
        <v>11693779.359999999</v>
      </c>
      <c r="AI341" s="2">
        <v>0.03</v>
      </c>
      <c r="AJ341" s="5">
        <v>44673</v>
      </c>
      <c r="AK341" t="s">
        <v>11431</v>
      </c>
      <c r="AL341" s="2">
        <v>8.23</v>
      </c>
      <c r="AM341" s="2">
        <v>10.5</v>
      </c>
      <c r="AN341" s="2">
        <v>3.57</v>
      </c>
      <c r="AO341" t="s">
        <v>10922</v>
      </c>
      <c r="AP341" t="s">
        <v>11136</v>
      </c>
      <c r="AQ341" t="s">
        <v>10946</v>
      </c>
    </row>
    <row r="342" spans="1:43" x14ac:dyDescent="0.2">
      <c r="A342" t="s">
        <v>11430</v>
      </c>
      <c r="B342" t="s">
        <v>10900</v>
      </c>
      <c r="C342" t="s">
        <v>10943</v>
      </c>
      <c r="D342" t="s">
        <v>12863</v>
      </c>
      <c r="E342" t="s">
        <v>12864</v>
      </c>
      <c r="F342" t="s">
        <v>12863</v>
      </c>
      <c r="G342" s="1">
        <v>800000</v>
      </c>
      <c r="H342" s="2">
        <v>800000</v>
      </c>
      <c r="I342" s="2">
        <v>800908.72</v>
      </c>
      <c r="J342" s="2">
        <v>2860.54</v>
      </c>
      <c r="K342" s="2">
        <v>0</v>
      </c>
      <c r="L342" s="2">
        <v>803769.26</v>
      </c>
      <c r="M342" s="3">
        <v>8.0409749999999995</v>
      </c>
      <c r="N342" s="4">
        <v>1.82866E-3</v>
      </c>
      <c r="O342" s="5">
        <v>44750</v>
      </c>
      <c r="P342" s="5">
        <v>46485</v>
      </c>
      <c r="Q342" s="1">
        <v>8.157</v>
      </c>
      <c r="R342" s="2">
        <v>0.2</v>
      </c>
      <c r="S342" s="6">
        <v>9.4975697833E-2</v>
      </c>
      <c r="T342" t="s">
        <v>111</v>
      </c>
      <c r="U342" t="s">
        <v>111</v>
      </c>
      <c r="V342" t="s">
        <v>11189</v>
      </c>
      <c r="W342" t="s">
        <v>43</v>
      </c>
      <c r="X342" t="s">
        <v>11034</v>
      </c>
      <c r="Y342" t="s">
        <v>44</v>
      </c>
      <c r="Z342" t="s">
        <v>44</v>
      </c>
      <c r="AA342" t="s">
        <v>11035</v>
      </c>
      <c r="AB342" t="s">
        <v>44</v>
      </c>
      <c r="AC342" s="4">
        <v>8.2026182599999995</v>
      </c>
      <c r="AD342" s="4">
        <v>7.9094905600000001</v>
      </c>
      <c r="AE342" s="2">
        <v>8.1999999999999993</v>
      </c>
      <c r="AF342" s="4">
        <v>7.9094905600000001</v>
      </c>
      <c r="AG342" s="2">
        <v>0.59</v>
      </c>
      <c r="AH342" s="2">
        <v>803769.26</v>
      </c>
      <c r="AI342" s="2">
        <v>0</v>
      </c>
      <c r="AJ342" s="5">
        <v>44673</v>
      </c>
      <c r="AK342" t="s">
        <v>11431</v>
      </c>
      <c r="AL342" s="2">
        <v>8.0399999999999991</v>
      </c>
      <c r="AM342" s="2">
        <v>8.16</v>
      </c>
      <c r="AN342" s="2">
        <v>0.09</v>
      </c>
      <c r="AO342" t="s">
        <v>11496</v>
      </c>
      <c r="AP342" t="s">
        <v>12865</v>
      </c>
      <c r="AQ342" t="s">
        <v>12864</v>
      </c>
    </row>
    <row r="343" spans="1:43" x14ac:dyDescent="0.2">
      <c r="A343" t="s">
        <v>11430</v>
      </c>
      <c r="B343" t="s">
        <v>10900</v>
      </c>
      <c r="C343" t="s">
        <v>10943</v>
      </c>
      <c r="D343" t="s">
        <v>11591</v>
      </c>
      <c r="E343" t="s">
        <v>11592</v>
      </c>
      <c r="F343" t="s">
        <v>11591</v>
      </c>
      <c r="G343" s="1">
        <v>200000</v>
      </c>
      <c r="H343" s="2">
        <v>205522.36</v>
      </c>
      <c r="I343" s="2">
        <v>206679.97</v>
      </c>
      <c r="J343" s="2">
        <v>2337.4699999999998</v>
      </c>
      <c r="K343" s="2">
        <v>0</v>
      </c>
      <c r="L343" s="2">
        <v>209017.44</v>
      </c>
      <c r="M343" s="3">
        <v>5.4988650000000003</v>
      </c>
      <c r="N343" s="4">
        <v>4.7553999999999999E-4</v>
      </c>
      <c r="O343" s="5">
        <v>44697</v>
      </c>
      <c r="P343" s="5">
        <v>46157</v>
      </c>
      <c r="Q343" s="1">
        <v>6.367</v>
      </c>
      <c r="R343" s="2">
        <v>0.06</v>
      </c>
      <c r="S343" s="6">
        <v>8.5206889847000006E-2</v>
      </c>
      <c r="T343" t="s">
        <v>111</v>
      </c>
      <c r="U343" t="s">
        <v>111</v>
      </c>
      <c r="V343" t="s">
        <v>11189</v>
      </c>
      <c r="W343" t="s">
        <v>43</v>
      </c>
      <c r="X343" t="s">
        <v>11034</v>
      </c>
      <c r="Y343" t="s">
        <v>44</v>
      </c>
      <c r="Z343" t="s">
        <v>44</v>
      </c>
      <c r="AA343" t="s">
        <v>10979</v>
      </c>
      <c r="AB343" t="s">
        <v>44</v>
      </c>
      <c r="AC343" s="4">
        <v>5.5744587599999997</v>
      </c>
      <c r="AD343" s="4">
        <v>5.43690841</v>
      </c>
      <c r="AE343" s="2">
        <v>5.57</v>
      </c>
      <c r="AF343" s="4">
        <v>5.43690841</v>
      </c>
      <c r="AG343" s="2">
        <v>0.15</v>
      </c>
      <c r="AH343" s="2">
        <v>209017.44</v>
      </c>
      <c r="AI343" s="2">
        <v>0</v>
      </c>
      <c r="AJ343" s="5">
        <v>44673</v>
      </c>
      <c r="AK343" t="s">
        <v>11431</v>
      </c>
      <c r="AL343" s="2">
        <v>5.5</v>
      </c>
      <c r="AM343" s="2">
        <v>6.37</v>
      </c>
      <c r="AN343" s="2">
        <v>0.09</v>
      </c>
      <c r="AO343" t="s">
        <v>11179</v>
      </c>
      <c r="AP343" t="s">
        <v>11593</v>
      </c>
      <c r="AQ343" t="s">
        <v>11592</v>
      </c>
    </row>
    <row r="344" spans="1:43" x14ac:dyDescent="0.2">
      <c r="A344" t="s">
        <v>11430</v>
      </c>
      <c r="B344" t="s">
        <v>10900</v>
      </c>
      <c r="C344" t="s">
        <v>10943</v>
      </c>
      <c r="D344" t="s">
        <v>11251</v>
      </c>
      <c r="E344" t="s">
        <v>11252</v>
      </c>
      <c r="F344" t="s">
        <v>11251</v>
      </c>
      <c r="G344" s="1">
        <v>1700000</v>
      </c>
      <c r="H344" s="2">
        <v>1628452.71</v>
      </c>
      <c r="I344" s="2">
        <v>1610129.33</v>
      </c>
      <c r="J344" s="2">
        <v>66323.289999999994</v>
      </c>
      <c r="K344" s="2">
        <v>0</v>
      </c>
      <c r="L344" s="2">
        <v>1676452.62</v>
      </c>
      <c r="M344" s="3">
        <v>10.175000000000001</v>
      </c>
      <c r="N344" s="4">
        <v>3.8141099999999999E-3</v>
      </c>
      <c r="O344" s="5">
        <v>44697</v>
      </c>
      <c r="P344" s="5">
        <v>46705</v>
      </c>
      <c r="Q344" s="1">
        <v>8.9</v>
      </c>
      <c r="R344" s="2">
        <v>4.29</v>
      </c>
      <c r="S344" s="6">
        <v>4.0791219989999998</v>
      </c>
      <c r="T344" t="s">
        <v>111</v>
      </c>
      <c r="U344" t="s">
        <v>111</v>
      </c>
      <c r="V344" t="s">
        <v>10944</v>
      </c>
      <c r="W344" t="s">
        <v>43</v>
      </c>
      <c r="X344" t="s">
        <v>10988</v>
      </c>
      <c r="Y344" t="s">
        <v>44</v>
      </c>
      <c r="Z344" t="s">
        <v>44</v>
      </c>
      <c r="AA344" t="s">
        <v>10979</v>
      </c>
      <c r="AB344" t="s">
        <v>44</v>
      </c>
      <c r="AC344" s="4">
        <v>10.43382656</v>
      </c>
      <c r="AD344" s="4">
        <v>9.9657844200000003</v>
      </c>
      <c r="AE344" s="2">
        <v>10.43</v>
      </c>
      <c r="AF344" s="4">
        <v>9.9657844200000003</v>
      </c>
      <c r="AG344" s="2">
        <v>1.23</v>
      </c>
      <c r="AH344" s="2">
        <v>1676452.62</v>
      </c>
      <c r="AI344" s="2">
        <v>0</v>
      </c>
      <c r="AJ344" s="5">
        <v>44673</v>
      </c>
      <c r="AK344" t="s">
        <v>11431</v>
      </c>
      <c r="AL344" s="2">
        <v>10.18</v>
      </c>
      <c r="AM344" s="2">
        <v>8.9</v>
      </c>
      <c r="AN344" s="2">
        <v>4.08</v>
      </c>
      <c r="AO344" t="s">
        <v>10982</v>
      </c>
      <c r="AP344" t="s">
        <v>11253</v>
      </c>
      <c r="AQ344" t="s">
        <v>11252</v>
      </c>
    </row>
    <row r="345" spans="1:43" x14ac:dyDescent="0.2">
      <c r="A345" t="s">
        <v>11430</v>
      </c>
      <c r="B345" t="s">
        <v>10900</v>
      </c>
      <c r="C345" t="s">
        <v>11137</v>
      </c>
      <c r="D345" t="s">
        <v>11594</v>
      </c>
      <c r="E345" t="s">
        <v>11595</v>
      </c>
      <c r="F345" t="s">
        <v>11594</v>
      </c>
      <c r="G345" s="1">
        <v>11471000</v>
      </c>
      <c r="H345" s="2">
        <v>10760423.27</v>
      </c>
      <c r="I345" s="2">
        <v>10342145.77</v>
      </c>
      <c r="J345" s="2">
        <v>206163.73</v>
      </c>
      <c r="K345" s="2">
        <v>0</v>
      </c>
      <c r="L345" s="2">
        <v>10548309.5</v>
      </c>
      <c r="M345" s="3">
        <v>9.84</v>
      </c>
      <c r="N345" s="4">
        <v>2.3998539999999999E-2</v>
      </c>
      <c r="O345" s="5">
        <v>44774</v>
      </c>
      <c r="P345" s="5">
        <v>47514</v>
      </c>
      <c r="Q345" s="1">
        <v>8</v>
      </c>
      <c r="R345" s="2">
        <v>5.71</v>
      </c>
      <c r="S345" s="6">
        <v>5.4383328750000004</v>
      </c>
      <c r="T345" t="s">
        <v>111</v>
      </c>
      <c r="U345" t="s">
        <v>111</v>
      </c>
      <c r="V345" t="s">
        <v>10944</v>
      </c>
      <c r="W345" t="s">
        <v>43</v>
      </c>
      <c r="X345" t="s">
        <v>10945</v>
      </c>
      <c r="Y345" t="s">
        <v>44</v>
      </c>
      <c r="Z345" t="s">
        <v>44</v>
      </c>
      <c r="AA345" t="s">
        <v>10913</v>
      </c>
      <c r="AB345" t="s">
        <v>44</v>
      </c>
      <c r="AC345" s="4">
        <v>10.082064000000001</v>
      </c>
      <c r="AD345" s="4">
        <v>9.6441413499999999</v>
      </c>
      <c r="AE345" s="2">
        <v>10.08</v>
      </c>
      <c r="AF345" s="4">
        <v>9.6441413499999999</v>
      </c>
      <c r="AG345" s="2">
        <v>7.76</v>
      </c>
      <c r="AH345" s="2">
        <v>10548309.5</v>
      </c>
      <c r="AI345" s="2">
        <v>0.02</v>
      </c>
      <c r="AJ345" s="5">
        <v>44673</v>
      </c>
      <c r="AK345" t="s">
        <v>11431</v>
      </c>
      <c r="AL345" s="2">
        <v>9.84</v>
      </c>
      <c r="AM345" s="2">
        <v>8</v>
      </c>
      <c r="AN345" s="2">
        <v>5.44</v>
      </c>
      <c r="AO345" t="s">
        <v>10922</v>
      </c>
      <c r="AP345" t="s">
        <v>11596</v>
      </c>
      <c r="AQ345" t="s">
        <v>11595</v>
      </c>
    </row>
    <row r="346" spans="1:43" x14ac:dyDescent="0.2">
      <c r="A346" t="s">
        <v>11430</v>
      </c>
      <c r="B346" t="s">
        <v>10900</v>
      </c>
      <c r="C346" t="s">
        <v>10950</v>
      </c>
      <c r="D346" t="s">
        <v>10983</v>
      </c>
      <c r="E346" t="s">
        <v>10984</v>
      </c>
      <c r="F346" t="s">
        <v>10983</v>
      </c>
      <c r="G346" s="1">
        <v>164000</v>
      </c>
      <c r="H346" s="2">
        <v>140778.79</v>
      </c>
      <c r="I346" s="2">
        <v>137125.73000000001</v>
      </c>
      <c r="J346" s="2">
        <v>3131.72</v>
      </c>
      <c r="K346" s="2">
        <v>0</v>
      </c>
      <c r="L346" s="2">
        <v>140257.45000000001</v>
      </c>
      <c r="M346" s="3">
        <v>10.734999999999999</v>
      </c>
      <c r="N346" s="4">
        <v>3.191E-4</v>
      </c>
      <c r="O346" s="5">
        <v>44774</v>
      </c>
      <c r="P346" s="5">
        <v>50071</v>
      </c>
      <c r="Q346" s="1">
        <v>8.5</v>
      </c>
      <c r="R346" s="2">
        <v>7.91</v>
      </c>
      <c r="S346" s="6">
        <v>7.5106016819999999</v>
      </c>
      <c r="T346" t="s">
        <v>111</v>
      </c>
      <c r="U346" t="s">
        <v>111</v>
      </c>
      <c r="V346" t="s">
        <v>10944</v>
      </c>
      <c r="W346" t="s">
        <v>43</v>
      </c>
      <c r="X346" t="s">
        <v>10945</v>
      </c>
      <c r="Y346" t="s">
        <v>44</v>
      </c>
      <c r="Z346" t="s">
        <v>44</v>
      </c>
      <c r="AA346" t="s">
        <v>10913</v>
      </c>
      <c r="AB346" t="s">
        <v>44</v>
      </c>
      <c r="AC346" s="4">
        <v>11.02310056</v>
      </c>
      <c r="AD346" s="4">
        <v>10.50250368</v>
      </c>
      <c r="AE346" s="2">
        <v>11.02</v>
      </c>
      <c r="AF346" s="4">
        <v>10.50250368</v>
      </c>
      <c r="AG346" s="2">
        <v>0.1</v>
      </c>
      <c r="AH346" s="2">
        <v>140257.45000000001</v>
      </c>
      <c r="AI346" s="2">
        <v>0</v>
      </c>
      <c r="AJ346" s="5">
        <v>44673</v>
      </c>
      <c r="AK346" t="s">
        <v>11431</v>
      </c>
      <c r="AL346" s="2">
        <v>10.73</v>
      </c>
      <c r="AM346" s="2">
        <v>8.5</v>
      </c>
      <c r="AN346" s="2">
        <v>7.51</v>
      </c>
      <c r="AO346" t="s">
        <v>10922</v>
      </c>
      <c r="AP346" t="s">
        <v>10985</v>
      </c>
      <c r="AQ346" t="s">
        <v>10984</v>
      </c>
    </row>
    <row r="347" spans="1:43" x14ac:dyDescent="0.2">
      <c r="A347" t="s">
        <v>11430</v>
      </c>
      <c r="B347" t="s">
        <v>10900</v>
      </c>
      <c r="C347" t="s">
        <v>10990</v>
      </c>
      <c r="D347" t="s">
        <v>11597</v>
      </c>
      <c r="E347" t="s">
        <v>11598</v>
      </c>
      <c r="F347" t="s">
        <v>11597</v>
      </c>
      <c r="G347" s="1">
        <v>1000000</v>
      </c>
      <c r="H347" s="2">
        <v>1519502.26</v>
      </c>
      <c r="I347" s="2">
        <v>1580177.26</v>
      </c>
      <c r="J347" s="2">
        <v>7199.3</v>
      </c>
      <c r="K347" s="2">
        <v>0</v>
      </c>
      <c r="L347" s="2">
        <v>1587376.56</v>
      </c>
      <c r="M347" s="3">
        <v>2.52</v>
      </c>
      <c r="N347" s="4">
        <v>3.61145E-3</v>
      </c>
      <c r="O347" s="5">
        <v>44774</v>
      </c>
      <c r="P347" s="5">
        <v>45688</v>
      </c>
      <c r="Q347" s="1">
        <v>2</v>
      </c>
      <c r="R347" s="2">
        <v>2.69</v>
      </c>
      <c r="S347" s="6">
        <v>2.6604799579999998</v>
      </c>
      <c r="T347" t="s">
        <v>111</v>
      </c>
      <c r="U347" t="s">
        <v>111</v>
      </c>
      <c r="V347" t="s">
        <v>10992</v>
      </c>
      <c r="W347" t="s">
        <v>43</v>
      </c>
      <c r="X347" t="s">
        <v>10945</v>
      </c>
      <c r="Y347" t="s">
        <v>44</v>
      </c>
      <c r="Z347" t="s">
        <v>44</v>
      </c>
      <c r="AA347" t="s">
        <v>10979</v>
      </c>
      <c r="AB347" t="s">
        <v>44</v>
      </c>
      <c r="AC347" s="4">
        <v>2.535876</v>
      </c>
      <c r="AD347" s="4">
        <v>2.50687097</v>
      </c>
      <c r="AE347" s="2">
        <v>2.54</v>
      </c>
      <c r="AF347" s="4">
        <v>2.50687097</v>
      </c>
      <c r="AG347" s="2">
        <v>1.17</v>
      </c>
      <c r="AH347" s="2">
        <v>1587376.56</v>
      </c>
      <c r="AI347" s="2">
        <v>0</v>
      </c>
      <c r="AJ347" s="5">
        <v>44673</v>
      </c>
      <c r="AK347" t="s">
        <v>11431</v>
      </c>
      <c r="AL347" s="2">
        <v>2.52</v>
      </c>
      <c r="AM347" s="2">
        <v>2</v>
      </c>
      <c r="AN347" s="2">
        <v>2.66</v>
      </c>
      <c r="AO347" t="s">
        <v>11165</v>
      </c>
      <c r="AP347" t="s">
        <v>11599</v>
      </c>
      <c r="AQ347" t="s">
        <v>11598</v>
      </c>
    </row>
    <row r="348" spans="1:43" x14ac:dyDescent="0.2">
      <c r="A348" t="s">
        <v>11430</v>
      </c>
      <c r="B348" t="s">
        <v>10900</v>
      </c>
      <c r="C348" t="s">
        <v>10990</v>
      </c>
      <c r="D348" t="s">
        <v>11600</v>
      </c>
      <c r="E348" t="s">
        <v>11601</v>
      </c>
      <c r="F348" t="s">
        <v>11600</v>
      </c>
      <c r="G348" s="1">
        <v>1000000</v>
      </c>
      <c r="H348" s="2">
        <v>1814199.13</v>
      </c>
      <c r="I348" s="2">
        <v>1952731.8</v>
      </c>
      <c r="J348" s="2">
        <v>3606.45</v>
      </c>
      <c r="K348" s="2">
        <v>0</v>
      </c>
      <c r="L348" s="2">
        <v>1956338.25</v>
      </c>
      <c r="M348" s="3">
        <v>4.8099999999999996</v>
      </c>
      <c r="N348" s="4">
        <v>4.4508799999999999E-3</v>
      </c>
      <c r="O348" s="5">
        <v>44834</v>
      </c>
      <c r="P348" s="5">
        <v>46843</v>
      </c>
      <c r="Q348" s="1">
        <v>2.6</v>
      </c>
      <c r="R348" s="2">
        <v>5.49</v>
      </c>
      <c r="S348" s="6">
        <v>5.3649682160000003</v>
      </c>
      <c r="T348" t="s">
        <v>111</v>
      </c>
      <c r="U348" t="s">
        <v>111</v>
      </c>
      <c r="V348" t="s">
        <v>10992</v>
      </c>
      <c r="W348" t="s">
        <v>43</v>
      </c>
      <c r="X348" t="s">
        <v>10988</v>
      </c>
      <c r="Y348" t="s">
        <v>44</v>
      </c>
      <c r="Z348" t="s">
        <v>44</v>
      </c>
      <c r="AA348" t="s">
        <v>11035</v>
      </c>
      <c r="AB348" t="s">
        <v>11441</v>
      </c>
      <c r="AC348" s="4">
        <v>4.8678402500000004</v>
      </c>
      <c r="AD348" s="4">
        <v>4.7624963500000002</v>
      </c>
      <c r="AE348" s="2">
        <v>4.87</v>
      </c>
      <c r="AF348" s="4">
        <v>4.7624963500000002</v>
      </c>
      <c r="AG348" s="2">
        <v>1.44</v>
      </c>
      <c r="AH348" s="2">
        <v>1956338.25</v>
      </c>
      <c r="AI348" s="2">
        <v>0</v>
      </c>
      <c r="AJ348" s="5">
        <v>44673</v>
      </c>
      <c r="AK348" t="s">
        <v>11431</v>
      </c>
      <c r="AL348" s="2">
        <v>4.8099999999999996</v>
      </c>
      <c r="AM348" s="2">
        <v>2.6</v>
      </c>
      <c r="AN348" s="2">
        <v>5.36</v>
      </c>
      <c r="AO348" t="s">
        <v>11053</v>
      </c>
      <c r="AP348" t="s">
        <v>11602</v>
      </c>
      <c r="AQ348" t="s">
        <v>11601</v>
      </c>
    </row>
    <row r="349" spans="1:43" x14ac:dyDescent="0.2">
      <c r="A349" t="s">
        <v>11430</v>
      </c>
      <c r="B349" t="s">
        <v>10900</v>
      </c>
      <c r="C349" t="s">
        <v>10990</v>
      </c>
      <c r="D349" t="s">
        <v>11603</v>
      </c>
      <c r="E349" t="s">
        <v>11604</v>
      </c>
      <c r="F349" t="s">
        <v>11603</v>
      </c>
      <c r="G349" s="1">
        <v>216000</v>
      </c>
      <c r="H349" s="2">
        <v>692797.51</v>
      </c>
      <c r="I349" s="2">
        <v>697778.58</v>
      </c>
      <c r="J349" s="2">
        <v>13470.86</v>
      </c>
      <c r="K349" s="2">
        <v>0</v>
      </c>
      <c r="L349" s="2">
        <v>711249.44</v>
      </c>
      <c r="M349" s="3">
        <v>1.165</v>
      </c>
      <c r="N349" s="4">
        <v>1.6181699999999999E-3</v>
      </c>
      <c r="O349" s="5">
        <v>44719</v>
      </c>
      <c r="P349" s="5">
        <v>45267</v>
      </c>
      <c r="Q349" s="1">
        <v>5.5</v>
      </c>
      <c r="R349" s="2">
        <v>1.54</v>
      </c>
      <c r="S349" s="6">
        <v>1.5339230509999999</v>
      </c>
      <c r="T349" t="s">
        <v>111</v>
      </c>
      <c r="U349" t="s">
        <v>111</v>
      </c>
      <c r="V349" t="s">
        <v>10992</v>
      </c>
      <c r="W349" t="s">
        <v>43</v>
      </c>
      <c r="X349" t="s">
        <v>10945</v>
      </c>
      <c r="Y349" t="s">
        <v>44</v>
      </c>
      <c r="Z349" t="s">
        <v>44</v>
      </c>
      <c r="AA349" t="s">
        <v>10913</v>
      </c>
      <c r="AB349" t="s">
        <v>44</v>
      </c>
      <c r="AC349" s="4">
        <v>1.1683930600000001</v>
      </c>
      <c r="AD349" s="4">
        <v>1.1621824700000001</v>
      </c>
      <c r="AE349" s="2">
        <v>1.17</v>
      </c>
      <c r="AF349" s="4">
        <v>1.1621824700000001</v>
      </c>
      <c r="AG349" s="2">
        <v>0.52</v>
      </c>
      <c r="AH349" s="2">
        <v>711249.44</v>
      </c>
      <c r="AI349" s="2">
        <v>0</v>
      </c>
      <c r="AJ349" s="5">
        <v>44673</v>
      </c>
      <c r="AK349" t="s">
        <v>11431</v>
      </c>
      <c r="AL349" s="2">
        <v>1.1599999999999999</v>
      </c>
      <c r="AM349" s="2">
        <v>5.5</v>
      </c>
      <c r="AN349" s="2">
        <v>1.53</v>
      </c>
      <c r="AO349" t="s">
        <v>10922</v>
      </c>
      <c r="AP349" t="s">
        <v>11605</v>
      </c>
      <c r="AQ349" t="s">
        <v>11604</v>
      </c>
    </row>
    <row r="350" spans="1:43" x14ac:dyDescent="0.2">
      <c r="A350" t="s">
        <v>11430</v>
      </c>
      <c r="B350" t="s">
        <v>45</v>
      </c>
      <c r="C350" t="s">
        <v>11000</v>
      </c>
      <c r="D350" t="s">
        <v>11421</v>
      </c>
      <c r="E350" t="s">
        <v>11422</v>
      </c>
      <c r="F350" t="s">
        <v>11421</v>
      </c>
      <c r="G350" s="1">
        <v>3000000</v>
      </c>
      <c r="H350" s="2">
        <v>3000000</v>
      </c>
      <c r="I350" s="2">
        <v>3000000</v>
      </c>
      <c r="J350" s="2">
        <v>8515.07</v>
      </c>
      <c r="K350" s="2">
        <v>0</v>
      </c>
      <c r="L350" s="2">
        <v>3008515.07</v>
      </c>
      <c r="M350" s="3">
        <v>4.2</v>
      </c>
      <c r="N350" s="4">
        <v>6.8446999999999996E-3</v>
      </c>
      <c r="O350" s="5" t="s">
        <v>44</v>
      </c>
      <c r="P350" s="5">
        <v>55153</v>
      </c>
      <c r="Q350" s="1">
        <v>4.2</v>
      </c>
      <c r="R350" s="2">
        <v>0.08</v>
      </c>
      <c r="S350" s="6">
        <v>2.5947269999999998E-3</v>
      </c>
      <c r="T350" t="s">
        <v>112</v>
      </c>
      <c r="U350" t="s">
        <v>46</v>
      </c>
      <c r="V350" t="s">
        <v>11270</v>
      </c>
      <c r="W350" t="s">
        <v>43</v>
      </c>
      <c r="X350" t="s">
        <v>44</v>
      </c>
      <c r="Y350" t="s">
        <v>44</v>
      </c>
      <c r="Z350" t="s">
        <v>44</v>
      </c>
      <c r="AA350" t="s">
        <v>10913</v>
      </c>
      <c r="AB350" t="s">
        <v>44</v>
      </c>
      <c r="AC350" s="4">
        <v>4.2819052299999996</v>
      </c>
      <c r="AD350" s="4">
        <v>4.20010057</v>
      </c>
      <c r="AE350" s="2">
        <v>4.28</v>
      </c>
      <c r="AF350" s="4">
        <v>4.20010057</v>
      </c>
      <c r="AG350" s="2">
        <v>2.21</v>
      </c>
      <c r="AH350" s="2">
        <v>3008515.07</v>
      </c>
      <c r="AI350" s="2">
        <v>0.01</v>
      </c>
      <c r="AJ350" s="5">
        <v>44673</v>
      </c>
      <c r="AK350" t="s">
        <v>11431</v>
      </c>
      <c r="AL350" s="2">
        <v>4.24</v>
      </c>
      <c r="AM350" s="2">
        <v>4.2</v>
      </c>
      <c r="AN350" s="2">
        <v>0</v>
      </c>
      <c r="AO350" t="s">
        <v>11423</v>
      </c>
      <c r="AP350" t="s">
        <v>44</v>
      </c>
      <c r="AQ350" t="s">
        <v>11422</v>
      </c>
    </row>
    <row r="351" spans="1:43" x14ac:dyDescent="0.2">
      <c r="A351" t="s">
        <v>11430</v>
      </c>
      <c r="B351" t="s">
        <v>45</v>
      </c>
      <c r="C351" t="s">
        <v>47</v>
      </c>
      <c r="D351" t="s">
        <v>48</v>
      </c>
      <c r="E351" t="s">
        <v>49</v>
      </c>
      <c r="F351" t="s">
        <v>50</v>
      </c>
      <c r="G351" s="1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1828.09</v>
      </c>
      <c r="M351" s="3"/>
      <c r="N351" s="4">
        <v>4.16E-6</v>
      </c>
      <c r="O351" s="5" t="s">
        <v>44</v>
      </c>
      <c r="P351" s="5" t="s">
        <v>44</v>
      </c>
      <c r="Q351" s="1"/>
      <c r="R351" s="2">
        <v>0.08</v>
      </c>
      <c r="S351" s="6"/>
      <c r="T351" t="s">
        <v>45</v>
      </c>
      <c r="U351" t="s">
        <v>46</v>
      </c>
      <c r="V351" t="s">
        <v>44</v>
      </c>
      <c r="W351" t="s">
        <v>43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s="4">
        <v>5.1163389600000002</v>
      </c>
      <c r="AD351" s="4">
        <v>5.0001424999999999</v>
      </c>
      <c r="AE351" s="2">
        <v>5.12</v>
      </c>
      <c r="AF351" s="4">
        <v>5.0001424999999999</v>
      </c>
      <c r="AG351" s="2">
        <v>0</v>
      </c>
      <c r="AH351" s="2">
        <v>1828.09</v>
      </c>
      <c r="AI351" s="2">
        <v>0</v>
      </c>
      <c r="AJ351" s="5">
        <v>44673</v>
      </c>
      <c r="AK351" t="s">
        <v>11431</v>
      </c>
      <c r="AL351" s="2">
        <v>5.05</v>
      </c>
      <c r="AM351" s="2">
        <v>0</v>
      </c>
      <c r="AN351" s="2">
        <v>0</v>
      </c>
      <c r="AO351" t="s">
        <v>44</v>
      </c>
      <c r="AP351" t="s">
        <v>44</v>
      </c>
      <c r="AQ351" t="s">
        <v>44</v>
      </c>
    </row>
    <row r="352" spans="1:43" x14ac:dyDescent="0.2">
      <c r="A352" t="s">
        <v>11430</v>
      </c>
      <c r="B352" t="s">
        <v>45</v>
      </c>
      <c r="C352" t="s">
        <v>47</v>
      </c>
      <c r="D352" t="s">
        <v>51</v>
      </c>
      <c r="E352" t="s">
        <v>52</v>
      </c>
      <c r="F352" t="s">
        <v>51</v>
      </c>
      <c r="G352" s="1">
        <v>369594.66</v>
      </c>
      <c r="H352" s="2">
        <v>369594.66</v>
      </c>
      <c r="I352" s="2">
        <v>369594.66</v>
      </c>
      <c r="J352" s="2">
        <v>0</v>
      </c>
      <c r="K352" s="2">
        <v>0</v>
      </c>
      <c r="L352" s="2">
        <v>369594.66</v>
      </c>
      <c r="M352" s="3"/>
      <c r="N352" s="4">
        <v>8.4086999999999996E-4</v>
      </c>
      <c r="O352" s="5" t="s">
        <v>44</v>
      </c>
      <c r="P352" s="5" t="s">
        <v>44</v>
      </c>
      <c r="Q352" s="1"/>
      <c r="R352" s="2">
        <v>0.08</v>
      </c>
      <c r="S352" s="6"/>
      <c r="T352" t="s">
        <v>45</v>
      </c>
      <c r="U352" t="s">
        <v>53</v>
      </c>
      <c r="V352" t="s">
        <v>44</v>
      </c>
      <c r="W352" t="s">
        <v>43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s="4">
        <v>5.1163389600000002</v>
      </c>
      <c r="AD352" s="4">
        <v>5.0001424999999999</v>
      </c>
      <c r="AE352" s="2">
        <v>5.12</v>
      </c>
      <c r="AF352" s="4">
        <v>5.0001424999999999</v>
      </c>
      <c r="AG352" s="2">
        <v>0.27</v>
      </c>
      <c r="AH352" s="2">
        <v>369594.66</v>
      </c>
      <c r="AI352" s="2">
        <v>0</v>
      </c>
      <c r="AJ352" s="5">
        <v>44673</v>
      </c>
      <c r="AK352" t="s">
        <v>11431</v>
      </c>
      <c r="AL352" s="2">
        <v>5.05</v>
      </c>
      <c r="AM352" s="2">
        <v>0</v>
      </c>
      <c r="AN352" s="2">
        <v>0</v>
      </c>
      <c r="AO352" t="s">
        <v>44</v>
      </c>
      <c r="AP352" t="s">
        <v>44</v>
      </c>
      <c r="AQ352" t="s">
        <v>43</v>
      </c>
    </row>
    <row r="353" spans="1:43" x14ac:dyDescent="0.2">
      <c r="A353" t="s">
        <v>11430</v>
      </c>
      <c r="B353" t="s">
        <v>45</v>
      </c>
      <c r="C353" t="s">
        <v>47</v>
      </c>
      <c r="D353" t="s">
        <v>11045</v>
      </c>
      <c r="E353" t="s">
        <v>11046</v>
      </c>
      <c r="F353" t="s">
        <v>11045</v>
      </c>
      <c r="G353" s="1">
        <v>178.5</v>
      </c>
      <c r="H353" s="2">
        <v>2710.79</v>
      </c>
      <c r="I353" s="2">
        <v>2787.1</v>
      </c>
      <c r="J353" s="2">
        <v>0</v>
      </c>
      <c r="K353" s="2">
        <v>0</v>
      </c>
      <c r="L353" s="2">
        <v>2787.1</v>
      </c>
      <c r="M353" s="3">
        <v>1</v>
      </c>
      <c r="N353" s="4">
        <v>6.3400000000000003E-6</v>
      </c>
      <c r="O353" s="5" t="s">
        <v>44</v>
      </c>
      <c r="P353" s="5" t="s">
        <v>44</v>
      </c>
      <c r="Q353" s="1"/>
      <c r="R353" s="2">
        <v>0.08</v>
      </c>
      <c r="S353" s="6"/>
      <c r="T353" t="s">
        <v>45</v>
      </c>
      <c r="U353" t="s">
        <v>53</v>
      </c>
      <c r="V353" t="s">
        <v>44</v>
      </c>
      <c r="W353" t="s">
        <v>113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s="4"/>
      <c r="AD353" s="4"/>
      <c r="AE353" s="2">
        <v>0</v>
      </c>
      <c r="AF353" s="4">
        <v>0</v>
      </c>
      <c r="AG353" s="2">
        <v>0</v>
      </c>
      <c r="AH353" s="2">
        <v>2787.1</v>
      </c>
      <c r="AI353" s="2">
        <v>0</v>
      </c>
      <c r="AJ353" s="5">
        <v>44673</v>
      </c>
      <c r="AK353" t="s">
        <v>11431</v>
      </c>
      <c r="AL353" s="2">
        <v>0</v>
      </c>
      <c r="AM353" s="2">
        <v>0</v>
      </c>
      <c r="AN353" s="2">
        <v>0</v>
      </c>
      <c r="AO353" t="s">
        <v>44</v>
      </c>
      <c r="AP353" t="s">
        <v>44</v>
      </c>
      <c r="AQ353" t="s">
        <v>113</v>
      </c>
    </row>
    <row r="354" spans="1:43" x14ac:dyDescent="0.2">
      <c r="A354" t="s">
        <v>11430</v>
      </c>
      <c r="B354" t="s">
        <v>11037</v>
      </c>
      <c r="C354" t="s">
        <v>11195</v>
      </c>
      <c r="D354" t="s">
        <v>11606</v>
      </c>
      <c r="E354" t="s">
        <v>7660</v>
      </c>
      <c r="F354" t="s">
        <v>11606</v>
      </c>
      <c r="G354" s="1">
        <v>83333</v>
      </c>
      <c r="H354" s="2">
        <v>699997.2</v>
      </c>
      <c r="I354" s="2">
        <v>679163.95</v>
      </c>
      <c r="J354" s="2">
        <v>0</v>
      </c>
      <c r="K354" s="2">
        <v>0</v>
      </c>
      <c r="L354" s="2">
        <v>679163.95</v>
      </c>
      <c r="M354" s="3">
        <v>815</v>
      </c>
      <c r="N354" s="4">
        <v>1.54517E-3</v>
      </c>
      <c r="O354" s="5" t="s">
        <v>44</v>
      </c>
      <c r="P354" s="5" t="s">
        <v>44</v>
      </c>
      <c r="Q354" s="1"/>
      <c r="R354" s="2"/>
      <c r="S354" s="6"/>
      <c r="T354" t="s">
        <v>10902</v>
      </c>
      <c r="U354" t="s">
        <v>10902</v>
      </c>
      <c r="V354" t="s">
        <v>10902</v>
      </c>
      <c r="W354" t="s">
        <v>43</v>
      </c>
      <c r="X354" t="s">
        <v>11197</v>
      </c>
      <c r="Y354" t="s">
        <v>11198</v>
      </c>
      <c r="Z354" t="s">
        <v>11195</v>
      </c>
      <c r="AA354" t="s">
        <v>44</v>
      </c>
      <c r="AB354" t="s">
        <v>44</v>
      </c>
      <c r="AC354" s="4"/>
      <c r="AD354" s="4"/>
      <c r="AE354" s="2">
        <v>0</v>
      </c>
      <c r="AF354" s="4">
        <v>0</v>
      </c>
      <c r="AG354" s="2">
        <v>0.5</v>
      </c>
      <c r="AH354" s="2">
        <v>679163.95</v>
      </c>
      <c r="AI354" s="2">
        <v>0</v>
      </c>
      <c r="AJ354" s="5">
        <v>44673</v>
      </c>
      <c r="AK354" t="s">
        <v>11431</v>
      </c>
      <c r="AL354" s="2">
        <v>0</v>
      </c>
      <c r="AM354" s="2">
        <v>0</v>
      </c>
      <c r="AN354" s="2">
        <v>0</v>
      </c>
      <c r="AO354" t="s">
        <v>44</v>
      </c>
      <c r="AP354" t="s">
        <v>11607</v>
      </c>
      <c r="AQ354" t="s">
        <v>7660</v>
      </c>
    </row>
    <row r="355" spans="1:43" x14ac:dyDescent="0.2">
      <c r="A355" t="s">
        <v>11430</v>
      </c>
      <c r="B355" t="s">
        <v>11608</v>
      </c>
      <c r="C355" t="s">
        <v>11608</v>
      </c>
      <c r="D355" t="s">
        <v>12745</v>
      </c>
      <c r="E355" t="s">
        <v>12746</v>
      </c>
      <c r="F355" t="s">
        <v>12745</v>
      </c>
      <c r="G355" s="1">
        <v>14500000</v>
      </c>
      <c r="H355" s="2">
        <v>0</v>
      </c>
      <c r="I355" s="2">
        <v>5397.12</v>
      </c>
      <c r="J355" s="2">
        <v>0</v>
      </c>
      <c r="K355" s="2">
        <v>0</v>
      </c>
      <c r="L355" s="2">
        <v>5397.12</v>
      </c>
      <c r="M355" s="3">
        <v>3.7221999999999998E-2</v>
      </c>
      <c r="N355" s="4">
        <v>1.2279999999999999E-5</v>
      </c>
      <c r="O355" s="5" t="s">
        <v>44</v>
      </c>
      <c r="P355" s="5">
        <v>44890</v>
      </c>
      <c r="Q355" s="1">
        <v>0</v>
      </c>
      <c r="R355" s="2"/>
      <c r="S355" s="6">
        <v>0.34246575342500002</v>
      </c>
      <c r="T355" t="s">
        <v>11412</v>
      </c>
      <c r="U355" t="s">
        <v>11413</v>
      </c>
      <c r="V355" t="s">
        <v>9802</v>
      </c>
      <c r="W355" t="s">
        <v>43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s="4"/>
      <c r="AD355" s="4"/>
      <c r="AE355" s="2">
        <v>0</v>
      </c>
      <c r="AF355" s="4">
        <v>0</v>
      </c>
      <c r="AG355" s="2">
        <v>0</v>
      </c>
      <c r="AH355" s="2">
        <v>5397.12</v>
      </c>
      <c r="AI355" s="2">
        <v>0</v>
      </c>
      <c r="AJ355" s="5">
        <v>44673</v>
      </c>
      <c r="AK355" t="s">
        <v>11431</v>
      </c>
      <c r="AL355" s="2">
        <v>0</v>
      </c>
      <c r="AM355" s="2">
        <v>0</v>
      </c>
      <c r="AN355" s="2">
        <v>0.34</v>
      </c>
      <c r="AO355" t="s">
        <v>44</v>
      </c>
      <c r="AP355" t="s">
        <v>44</v>
      </c>
      <c r="AQ355" t="s">
        <v>44</v>
      </c>
    </row>
    <row r="356" spans="1:43" x14ac:dyDescent="0.2">
      <c r="A356" t="s">
        <v>11430</v>
      </c>
      <c r="B356" t="s">
        <v>11608</v>
      </c>
      <c r="C356" t="s">
        <v>11608</v>
      </c>
      <c r="D356" t="s">
        <v>12747</v>
      </c>
      <c r="E356" t="s">
        <v>12746</v>
      </c>
      <c r="F356" t="s">
        <v>12747</v>
      </c>
      <c r="G356" s="1">
        <v>-14500000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3"/>
      <c r="N356" s="4">
        <v>0</v>
      </c>
      <c r="O356" s="5" t="s">
        <v>44</v>
      </c>
      <c r="P356" s="5">
        <v>44890</v>
      </c>
      <c r="Q356" s="1">
        <v>0</v>
      </c>
      <c r="R356" s="2"/>
      <c r="S356" s="6"/>
      <c r="T356" t="s">
        <v>11412</v>
      </c>
      <c r="U356" t="s">
        <v>11413</v>
      </c>
      <c r="V356" t="s">
        <v>9802</v>
      </c>
      <c r="W356" t="s">
        <v>43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s="4"/>
      <c r="AD356" s="4"/>
      <c r="AE356" s="2">
        <v>0</v>
      </c>
      <c r="AF356" s="4">
        <v>0</v>
      </c>
      <c r="AG356" s="2">
        <v>0</v>
      </c>
      <c r="AH356" s="2">
        <v>0</v>
      </c>
      <c r="AI356" s="2">
        <v>0</v>
      </c>
      <c r="AJ356" s="5">
        <v>44673</v>
      </c>
      <c r="AK356" t="s">
        <v>11431</v>
      </c>
      <c r="AL356" s="2">
        <v>0</v>
      </c>
      <c r="AM356" s="2">
        <v>0</v>
      </c>
      <c r="AN356" s="2">
        <v>0</v>
      </c>
      <c r="AO356" t="s">
        <v>44</v>
      </c>
      <c r="AP356" t="s">
        <v>44</v>
      </c>
      <c r="AQ356" t="s">
        <v>44</v>
      </c>
    </row>
    <row r="357" spans="1:43" x14ac:dyDescent="0.2">
      <c r="A357" t="s">
        <v>11430</v>
      </c>
      <c r="B357" t="s">
        <v>11608</v>
      </c>
      <c r="C357" t="s">
        <v>11608</v>
      </c>
      <c r="D357" t="s">
        <v>12748</v>
      </c>
      <c r="E357" t="s">
        <v>12746</v>
      </c>
      <c r="F357" t="s">
        <v>12748</v>
      </c>
      <c r="G357" s="1">
        <v>14500000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3"/>
      <c r="N357" s="4">
        <v>0</v>
      </c>
      <c r="O357" s="5" t="s">
        <v>44</v>
      </c>
      <c r="P357" s="5">
        <v>44890</v>
      </c>
      <c r="Q357" s="1">
        <v>5.49</v>
      </c>
      <c r="R357" s="2"/>
      <c r="S357" s="6"/>
      <c r="T357" t="s">
        <v>11412</v>
      </c>
      <c r="U357" t="s">
        <v>11413</v>
      </c>
      <c r="V357" t="s">
        <v>9802</v>
      </c>
      <c r="W357" t="s">
        <v>43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s="4"/>
      <c r="AD357" s="4"/>
      <c r="AE357" s="2">
        <v>0</v>
      </c>
      <c r="AF357" s="4">
        <v>0</v>
      </c>
      <c r="AG357" s="2">
        <v>0</v>
      </c>
      <c r="AH357" s="2">
        <v>0</v>
      </c>
      <c r="AI357" s="2">
        <v>0</v>
      </c>
      <c r="AJ357" s="5">
        <v>44673</v>
      </c>
      <c r="AK357" t="s">
        <v>11431</v>
      </c>
      <c r="AL357" s="2">
        <v>0</v>
      </c>
      <c r="AM357" s="2">
        <v>5.49</v>
      </c>
      <c r="AN357" s="2">
        <v>0</v>
      </c>
      <c r="AO357" t="s">
        <v>44</v>
      </c>
      <c r="AP357" t="s">
        <v>44</v>
      </c>
      <c r="AQ357" t="s">
        <v>44</v>
      </c>
    </row>
    <row r="358" spans="1:43" x14ac:dyDescent="0.2">
      <c r="A358" t="s">
        <v>11430</v>
      </c>
      <c r="B358" t="s">
        <v>11608</v>
      </c>
      <c r="C358" t="s">
        <v>11608</v>
      </c>
      <c r="D358" t="s">
        <v>11609</v>
      </c>
      <c r="E358" t="s">
        <v>11610</v>
      </c>
      <c r="F358" t="s">
        <v>11611</v>
      </c>
      <c r="G358" s="1">
        <v>25000000</v>
      </c>
      <c r="H358" s="2">
        <v>0</v>
      </c>
      <c r="I358" s="2">
        <v>16465.57</v>
      </c>
      <c r="J358" s="2">
        <v>0</v>
      </c>
      <c r="K358" s="2">
        <v>0</v>
      </c>
      <c r="L358" s="2">
        <v>16465.57</v>
      </c>
      <c r="M358" s="3">
        <v>6.5862000000000004E-2</v>
      </c>
      <c r="N358" s="4">
        <v>3.7459999999999997E-5</v>
      </c>
      <c r="O358" s="5" t="s">
        <v>44</v>
      </c>
      <c r="P358" s="5">
        <v>44914</v>
      </c>
      <c r="Q358" s="1">
        <v>0</v>
      </c>
      <c r="R358" s="2"/>
      <c r="S358" s="6">
        <v>0.40273972602699998</v>
      </c>
      <c r="T358" t="s">
        <v>11412</v>
      </c>
      <c r="U358" t="s">
        <v>11413</v>
      </c>
      <c r="V358" t="s">
        <v>9802</v>
      </c>
      <c r="W358" t="s">
        <v>43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s="4"/>
      <c r="AD358" s="4"/>
      <c r="AE358" s="2">
        <v>0</v>
      </c>
      <c r="AF358" s="4">
        <v>0</v>
      </c>
      <c r="AG358" s="2">
        <v>0.01</v>
      </c>
      <c r="AH358" s="2">
        <v>16465.57</v>
      </c>
      <c r="AI358" s="2">
        <v>0</v>
      </c>
      <c r="AJ358" s="5">
        <v>44673</v>
      </c>
      <c r="AK358" t="s">
        <v>11431</v>
      </c>
      <c r="AL358" s="2">
        <v>0</v>
      </c>
      <c r="AM358" s="2">
        <v>0</v>
      </c>
      <c r="AN358" s="2">
        <v>0.4</v>
      </c>
      <c r="AO358" t="s">
        <v>44</v>
      </c>
      <c r="AP358" t="s">
        <v>44</v>
      </c>
      <c r="AQ358" t="s">
        <v>44</v>
      </c>
    </row>
    <row r="359" spans="1:43" x14ac:dyDescent="0.2">
      <c r="A359" t="s">
        <v>11430</v>
      </c>
      <c r="B359" t="s">
        <v>11608</v>
      </c>
      <c r="C359" t="s">
        <v>11608</v>
      </c>
      <c r="D359" t="s">
        <v>11612</v>
      </c>
      <c r="E359" t="s">
        <v>11610</v>
      </c>
      <c r="F359" t="s">
        <v>11613</v>
      </c>
      <c r="G359" s="1">
        <v>-25000000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3"/>
      <c r="N359" s="4">
        <v>0</v>
      </c>
      <c r="O359" s="5" t="s">
        <v>44</v>
      </c>
      <c r="P359" s="5">
        <v>44914</v>
      </c>
      <c r="Q359" s="1">
        <v>0</v>
      </c>
      <c r="R359" s="2"/>
      <c r="S359" s="6"/>
      <c r="T359" t="s">
        <v>11412</v>
      </c>
      <c r="U359" t="s">
        <v>11413</v>
      </c>
      <c r="V359" t="s">
        <v>9802</v>
      </c>
      <c r="W359" t="s">
        <v>43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s="4"/>
      <c r="AD359" s="4"/>
      <c r="AE359" s="2">
        <v>0</v>
      </c>
      <c r="AF359" s="4">
        <v>0</v>
      </c>
      <c r="AG359" s="2">
        <v>0</v>
      </c>
      <c r="AH359" s="2">
        <v>0</v>
      </c>
      <c r="AI359" s="2">
        <v>0</v>
      </c>
      <c r="AJ359" s="5">
        <v>44673</v>
      </c>
      <c r="AK359" t="s">
        <v>11431</v>
      </c>
      <c r="AL359" s="2">
        <v>0</v>
      </c>
      <c r="AM359" s="2">
        <v>0</v>
      </c>
      <c r="AN359" s="2">
        <v>0</v>
      </c>
      <c r="AO359" t="s">
        <v>44</v>
      </c>
      <c r="AP359" t="s">
        <v>44</v>
      </c>
      <c r="AQ359" t="s">
        <v>44</v>
      </c>
    </row>
    <row r="360" spans="1:43" x14ac:dyDescent="0.2">
      <c r="A360" t="s">
        <v>11430</v>
      </c>
      <c r="B360" t="s">
        <v>11608</v>
      </c>
      <c r="C360" t="s">
        <v>11608</v>
      </c>
      <c r="D360" t="s">
        <v>11614</v>
      </c>
      <c r="E360" t="s">
        <v>11610</v>
      </c>
      <c r="F360" t="s">
        <v>11615</v>
      </c>
      <c r="G360" s="1">
        <v>25000000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3"/>
      <c r="N360" s="4">
        <v>0</v>
      </c>
      <c r="O360" s="5" t="s">
        <v>44</v>
      </c>
      <c r="P360" s="5">
        <v>44914</v>
      </c>
      <c r="Q360" s="1">
        <v>5.63</v>
      </c>
      <c r="R360" s="2"/>
      <c r="S360" s="6"/>
      <c r="T360" t="s">
        <v>11412</v>
      </c>
      <c r="U360" t="s">
        <v>11413</v>
      </c>
      <c r="V360" t="s">
        <v>9802</v>
      </c>
      <c r="W360" t="s">
        <v>43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s="4"/>
      <c r="AD360" s="4"/>
      <c r="AE360" s="2">
        <v>0</v>
      </c>
      <c r="AF360" s="4">
        <v>0</v>
      </c>
      <c r="AG360" s="2">
        <v>0</v>
      </c>
      <c r="AH360" s="2">
        <v>0</v>
      </c>
      <c r="AI360" s="2">
        <v>0</v>
      </c>
      <c r="AJ360" s="5">
        <v>44673</v>
      </c>
      <c r="AK360" t="s">
        <v>11431</v>
      </c>
      <c r="AL360" s="2">
        <v>0</v>
      </c>
      <c r="AM360" s="2">
        <v>5.63</v>
      </c>
      <c r="AN360" s="2">
        <v>0</v>
      </c>
      <c r="AO360" t="s">
        <v>44</v>
      </c>
      <c r="AP360" t="s">
        <v>44</v>
      </c>
      <c r="AQ360" t="s">
        <v>44</v>
      </c>
    </row>
    <row r="361" spans="1:43" x14ac:dyDescent="0.2">
      <c r="A361" t="s">
        <v>11430</v>
      </c>
      <c r="B361" t="s">
        <v>11608</v>
      </c>
      <c r="C361" t="s">
        <v>11608</v>
      </c>
      <c r="D361" t="s">
        <v>12749</v>
      </c>
      <c r="E361" t="s">
        <v>12750</v>
      </c>
      <c r="F361" t="s">
        <v>12749</v>
      </c>
      <c r="G361" s="1">
        <v>14500000</v>
      </c>
      <c r="H361" s="2">
        <v>0</v>
      </c>
      <c r="I361" s="2">
        <v>5042.18</v>
      </c>
      <c r="J361" s="2">
        <v>0</v>
      </c>
      <c r="K361" s="2">
        <v>0</v>
      </c>
      <c r="L361" s="2">
        <v>5042.18</v>
      </c>
      <c r="M361" s="3">
        <v>3.4773999999999999E-2</v>
      </c>
      <c r="N361" s="4">
        <v>1.147E-5</v>
      </c>
      <c r="O361" s="5" t="s">
        <v>44</v>
      </c>
      <c r="P361" s="5">
        <v>44890</v>
      </c>
      <c r="Q361" s="1">
        <v>0</v>
      </c>
      <c r="R361" s="2"/>
      <c r="S361" s="6">
        <v>0.34246575342500002</v>
      </c>
      <c r="T361" t="s">
        <v>11412</v>
      </c>
      <c r="U361" t="s">
        <v>11413</v>
      </c>
      <c r="V361" t="s">
        <v>9802</v>
      </c>
      <c r="W361" t="s">
        <v>43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s="4"/>
      <c r="AD361" s="4"/>
      <c r="AE361" s="2">
        <v>0</v>
      </c>
      <c r="AF361" s="4">
        <v>0</v>
      </c>
      <c r="AG361" s="2">
        <v>0</v>
      </c>
      <c r="AH361" s="2">
        <v>5042.18</v>
      </c>
      <c r="AI361" s="2">
        <v>0</v>
      </c>
      <c r="AJ361" s="5">
        <v>44673</v>
      </c>
      <c r="AK361" t="s">
        <v>11431</v>
      </c>
      <c r="AL361" s="2">
        <v>0</v>
      </c>
      <c r="AM361" s="2">
        <v>0</v>
      </c>
      <c r="AN361" s="2">
        <v>0.34</v>
      </c>
      <c r="AO361" t="s">
        <v>44</v>
      </c>
      <c r="AP361" t="s">
        <v>44</v>
      </c>
      <c r="AQ361" t="s">
        <v>44</v>
      </c>
    </row>
    <row r="362" spans="1:43" x14ac:dyDescent="0.2">
      <c r="A362" t="s">
        <v>11430</v>
      </c>
      <c r="B362" t="s">
        <v>11608</v>
      </c>
      <c r="C362" t="s">
        <v>11608</v>
      </c>
      <c r="D362" t="s">
        <v>12751</v>
      </c>
      <c r="E362" t="s">
        <v>12750</v>
      </c>
      <c r="F362" t="s">
        <v>12751</v>
      </c>
      <c r="G362" s="1">
        <v>-14500000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3"/>
      <c r="N362" s="4">
        <v>0</v>
      </c>
      <c r="O362" s="5" t="s">
        <v>44</v>
      </c>
      <c r="P362" s="5">
        <v>44890</v>
      </c>
      <c r="Q362" s="1">
        <v>0</v>
      </c>
      <c r="R362" s="2"/>
      <c r="S362" s="6"/>
      <c r="T362" t="s">
        <v>11412</v>
      </c>
      <c r="U362" t="s">
        <v>11413</v>
      </c>
      <c r="V362" t="s">
        <v>9802</v>
      </c>
      <c r="W362" t="s">
        <v>43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s="4"/>
      <c r="AD362" s="4"/>
      <c r="AE362" s="2">
        <v>0</v>
      </c>
      <c r="AF362" s="4">
        <v>0</v>
      </c>
      <c r="AG362" s="2">
        <v>0</v>
      </c>
      <c r="AH362" s="2">
        <v>0</v>
      </c>
      <c r="AI362" s="2">
        <v>0</v>
      </c>
      <c r="AJ362" s="5">
        <v>44673</v>
      </c>
      <c r="AK362" t="s">
        <v>11431</v>
      </c>
      <c r="AL362" s="2">
        <v>0</v>
      </c>
      <c r="AM362" s="2">
        <v>0</v>
      </c>
      <c r="AN362" s="2">
        <v>0</v>
      </c>
      <c r="AO362" t="s">
        <v>44</v>
      </c>
      <c r="AP362" t="s">
        <v>44</v>
      </c>
      <c r="AQ362" t="s">
        <v>44</v>
      </c>
    </row>
    <row r="363" spans="1:43" x14ac:dyDescent="0.2">
      <c r="A363" t="s">
        <v>11430</v>
      </c>
      <c r="B363" t="s">
        <v>11608</v>
      </c>
      <c r="C363" t="s">
        <v>11608</v>
      </c>
      <c r="D363" t="s">
        <v>12752</v>
      </c>
      <c r="E363" t="s">
        <v>12750</v>
      </c>
      <c r="F363" t="s">
        <v>12752</v>
      </c>
      <c r="G363" s="1">
        <v>14500000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3"/>
      <c r="N363" s="4">
        <v>0</v>
      </c>
      <c r="O363" s="5" t="s">
        <v>44</v>
      </c>
      <c r="P363" s="5">
        <v>44890</v>
      </c>
      <c r="Q363" s="1">
        <v>5.48</v>
      </c>
      <c r="R363" s="2"/>
      <c r="S363" s="6"/>
      <c r="T363" t="s">
        <v>11412</v>
      </c>
      <c r="U363" t="s">
        <v>11413</v>
      </c>
      <c r="V363" t="s">
        <v>9802</v>
      </c>
      <c r="W363" t="s">
        <v>43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s="4"/>
      <c r="AD363" s="4"/>
      <c r="AE363" s="2">
        <v>0</v>
      </c>
      <c r="AF363" s="4">
        <v>0</v>
      </c>
      <c r="AG363" s="2">
        <v>0</v>
      </c>
      <c r="AH363" s="2">
        <v>0</v>
      </c>
      <c r="AI363" s="2">
        <v>0</v>
      </c>
      <c r="AJ363" s="5">
        <v>44673</v>
      </c>
      <c r="AK363" t="s">
        <v>11431</v>
      </c>
      <c r="AL363" s="2">
        <v>0</v>
      </c>
      <c r="AM363" s="2">
        <v>5.48</v>
      </c>
      <c r="AN363" s="2">
        <v>0</v>
      </c>
      <c r="AO363" t="s">
        <v>44</v>
      </c>
      <c r="AP363" t="s">
        <v>44</v>
      </c>
      <c r="AQ363" t="s">
        <v>44</v>
      </c>
    </row>
    <row r="364" spans="1:43" x14ac:dyDescent="0.2">
      <c r="A364" t="s">
        <v>11430</v>
      </c>
      <c r="B364" t="s">
        <v>11038</v>
      </c>
      <c r="C364" t="s">
        <v>11870</v>
      </c>
      <c r="D364" t="s">
        <v>11616</v>
      </c>
      <c r="E364" t="s">
        <v>11617</v>
      </c>
      <c r="F364" t="s">
        <v>11616</v>
      </c>
      <c r="G364" s="1">
        <v>1000000</v>
      </c>
      <c r="H364" s="2">
        <v>1000000</v>
      </c>
      <c r="I364" s="2">
        <v>1000420.39</v>
      </c>
      <c r="J364" s="2">
        <v>12116</v>
      </c>
      <c r="K364" s="2">
        <v>0</v>
      </c>
      <c r="L364" s="2">
        <v>1012536.39</v>
      </c>
      <c r="M364" s="3">
        <v>4.9760429999999998</v>
      </c>
      <c r="N364" s="4">
        <v>2.3036300000000001E-3</v>
      </c>
      <c r="O364" s="5">
        <v>44690</v>
      </c>
      <c r="P364" s="5">
        <v>44690</v>
      </c>
      <c r="Q364" s="1">
        <v>6.0579999999999998</v>
      </c>
      <c r="R364" s="2">
        <v>0.04</v>
      </c>
      <c r="S364" s="6">
        <v>3.6514757501999999E-2</v>
      </c>
      <c r="T364" t="s">
        <v>111</v>
      </c>
      <c r="U364" t="s">
        <v>11040</v>
      </c>
      <c r="V364" t="s">
        <v>114</v>
      </c>
      <c r="W364" t="s">
        <v>43</v>
      </c>
      <c r="X364" t="s">
        <v>10988</v>
      </c>
      <c r="Y364" t="s">
        <v>44</v>
      </c>
      <c r="Z364" t="s">
        <v>44</v>
      </c>
      <c r="AA364" t="s">
        <v>10979</v>
      </c>
      <c r="AB364" t="s">
        <v>44</v>
      </c>
      <c r="AC364" s="4">
        <v>5.09694307</v>
      </c>
      <c r="AD364" s="4">
        <v>4.9816122199999997</v>
      </c>
      <c r="AE364" s="2">
        <v>5.0999999999999996</v>
      </c>
      <c r="AF364" s="4">
        <v>4.9816122199999997</v>
      </c>
      <c r="AG364" s="2">
        <v>0.75</v>
      </c>
      <c r="AH364" s="2">
        <v>1012536.39</v>
      </c>
      <c r="AI364" s="2">
        <v>0</v>
      </c>
      <c r="AJ364" s="5">
        <v>44673</v>
      </c>
      <c r="AK364" t="s">
        <v>11431</v>
      </c>
      <c r="AL364" s="2">
        <v>5.03</v>
      </c>
      <c r="AM364" s="2">
        <v>6.06</v>
      </c>
      <c r="AN364" s="2">
        <v>0.04</v>
      </c>
      <c r="AO364" t="s">
        <v>11618</v>
      </c>
      <c r="AP364" t="s">
        <v>11619</v>
      </c>
      <c r="AQ364" t="s">
        <v>11617</v>
      </c>
    </row>
    <row r="365" spans="1:43" x14ac:dyDescent="0.2">
      <c r="A365" t="s">
        <v>11430</v>
      </c>
      <c r="B365" t="s">
        <v>11038</v>
      </c>
      <c r="C365" t="s">
        <v>11055</v>
      </c>
      <c r="D365" t="s">
        <v>11620</v>
      </c>
      <c r="E365" t="s">
        <v>11621</v>
      </c>
      <c r="F365" t="s">
        <v>11620</v>
      </c>
      <c r="G365" s="1">
        <v>750000</v>
      </c>
      <c r="H365" s="2">
        <v>750000</v>
      </c>
      <c r="I365" s="2">
        <v>749943.57</v>
      </c>
      <c r="J365" s="2">
        <v>3928.11</v>
      </c>
      <c r="K365" s="2">
        <v>0</v>
      </c>
      <c r="L365" s="2">
        <v>753871.68</v>
      </c>
      <c r="M365" s="3">
        <v>5.9336830000000003</v>
      </c>
      <c r="N365" s="4">
        <v>1.71514E-3</v>
      </c>
      <c r="O365" s="5">
        <v>44732</v>
      </c>
      <c r="P365" s="5">
        <v>44732</v>
      </c>
      <c r="Q365" s="1">
        <v>5.9740000000000002</v>
      </c>
      <c r="R365" s="2">
        <v>0.15</v>
      </c>
      <c r="S365" s="6">
        <v>0.14468034768999999</v>
      </c>
      <c r="T365" t="s">
        <v>111</v>
      </c>
      <c r="U365" t="s">
        <v>11040</v>
      </c>
      <c r="V365" t="s">
        <v>114</v>
      </c>
      <c r="W365" t="s">
        <v>43</v>
      </c>
      <c r="X365" t="s">
        <v>10988</v>
      </c>
      <c r="Y365" t="s">
        <v>44</v>
      </c>
      <c r="Z365" t="s">
        <v>44</v>
      </c>
      <c r="AA365" t="s">
        <v>10979</v>
      </c>
      <c r="AB365" t="s">
        <v>44</v>
      </c>
      <c r="AC365" s="4">
        <v>6.0847761599999997</v>
      </c>
      <c r="AD365" s="4">
        <v>5.9213980399999997</v>
      </c>
      <c r="AE365" s="2">
        <v>6.08</v>
      </c>
      <c r="AF365" s="4">
        <v>5.9213980399999997</v>
      </c>
      <c r="AG365" s="2">
        <v>0.55000000000000004</v>
      </c>
      <c r="AH365" s="2">
        <v>753871.68</v>
      </c>
      <c r="AI365" s="2">
        <v>0</v>
      </c>
      <c r="AJ365" s="5">
        <v>44673</v>
      </c>
      <c r="AK365" t="s">
        <v>11431</v>
      </c>
      <c r="AL365" s="2">
        <v>5.99</v>
      </c>
      <c r="AM365" s="2">
        <v>5.97</v>
      </c>
      <c r="AN365" s="2">
        <v>0.14000000000000001</v>
      </c>
      <c r="AO365" t="s">
        <v>11165</v>
      </c>
      <c r="AP365" t="s">
        <v>11622</v>
      </c>
      <c r="AQ365" t="s">
        <v>11621</v>
      </c>
    </row>
    <row r="366" spans="1:43" x14ac:dyDescent="0.2">
      <c r="A366" t="s">
        <v>11430</v>
      </c>
      <c r="B366" t="s">
        <v>11038</v>
      </c>
      <c r="C366" t="s">
        <v>11039</v>
      </c>
      <c r="D366" t="s">
        <v>11623</v>
      </c>
      <c r="E366" t="s">
        <v>11624</v>
      </c>
      <c r="F366" t="s">
        <v>11623</v>
      </c>
      <c r="G366" s="1">
        <v>2000000</v>
      </c>
      <c r="H366" s="2">
        <v>2000000</v>
      </c>
      <c r="I366" s="2">
        <v>1998446.35</v>
      </c>
      <c r="J366" s="2">
        <v>48006.85</v>
      </c>
      <c r="K366" s="2">
        <v>0</v>
      </c>
      <c r="L366" s="2">
        <v>2046453.2</v>
      </c>
      <c r="M366" s="3">
        <v>5.3899920000000003</v>
      </c>
      <c r="N366" s="4">
        <v>4.6559000000000001E-3</v>
      </c>
      <c r="O366" s="5">
        <v>44876</v>
      </c>
      <c r="P366" s="5">
        <v>44876</v>
      </c>
      <c r="Q366" s="1">
        <v>5.375</v>
      </c>
      <c r="R366" s="2">
        <v>0.55000000000000004</v>
      </c>
      <c r="S366" s="6">
        <v>0.53222632623999999</v>
      </c>
      <c r="T366" t="s">
        <v>111</v>
      </c>
      <c r="U366" t="s">
        <v>11040</v>
      </c>
      <c r="V366" t="s">
        <v>11041</v>
      </c>
      <c r="W366" t="s">
        <v>43</v>
      </c>
      <c r="X366" t="s">
        <v>11034</v>
      </c>
      <c r="Y366" t="s">
        <v>44</v>
      </c>
      <c r="Z366" t="s">
        <v>44</v>
      </c>
      <c r="AA366" t="s">
        <v>10979</v>
      </c>
      <c r="AB366" t="s">
        <v>44</v>
      </c>
      <c r="AC366" s="4">
        <v>5.4555450099999998</v>
      </c>
      <c r="AD366" s="4">
        <v>5.3237046599999998</v>
      </c>
      <c r="AE366" s="2">
        <v>5.46</v>
      </c>
      <c r="AF366" s="4">
        <v>5.3237046599999998</v>
      </c>
      <c r="AG366" s="2">
        <v>1.51</v>
      </c>
      <c r="AH366" s="2">
        <v>2046453.2</v>
      </c>
      <c r="AI366" s="2">
        <v>0</v>
      </c>
      <c r="AJ366" s="5">
        <v>44673</v>
      </c>
      <c r="AK366" t="s">
        <v>11431</v>
      </c>
      <c r="AL366" s="2">
        <v>5.38</v>
      </c>
      <c r="AM366" s="2">
        <v>5.38</v>
      </c>
      <c r="AN366" s="2">
        <v>0.53</v>
      </c>
      <c r="AO366" t="s">
        <v>11165</v>
      </c>
      <c r="AP366" t="s">
        <v>11625</v>
      </c>
      <c r="AQ366" t="s">
        <v>11624</v>
      </c>
    </row>
    <row r="367" spans="1:43" x14ac:dyDescent="0.2">
      <c r="A367" t="s">
        <v>11430</v>
      </c>
      <c r="B367" t="s">
        <v>11038</v>
      </c>
      <c r="C367" t="s">
        <v>11039</v>
      </c>
      <c r="D367" t="s">
        <v>11387</v>
      </c>
      <c r="E367" t="s">
        <v>11388</v>
      </c>
      <c r="F367" t="s">
        <v>11387</v>
      </c>
      <c r="G367" s="1">
        <v>3000000</v>
      </c>
      <c r="H367" s="2">
        <v>3000000</v>
      </c>
      <c r="I367" s="2">
        <v>2995535.56</v>
      </c>
      <c r="J367" s="2">
        <v>63024.66</v>
      </c>
      <c r="K367" s="2">
        <v>0</v>
      </c>
      <c r="L367" s="2">
        <v>3058560.22</v>
      </c>
      <c r="M367" s="3">
        <v>5.5360769999999997</v>
      </c>
      <c r="N367" s="4">
        <v>6.95855E-3</v>
      </c>
      <c r="O367" s="5">
        <v>44897</v>
      </c>
      <c r="P367" s="5">
        <v>44897</v>
      </c>
      <c r="Q367" s="1">
        <v>5.4</v>
      </c>
      <c r="R367" s="2">
        <v>0.61</v>
      </c>
      <c r="S367" s="6">
        <v>0.58584213564999998</v>
      </c>
      <c r="T367" t="s">
        <v>111</v>
      </c>
      <c r="U367" t="s">
        <v>11040</v>
      </c>
      <c r="V367" t="s">
        <v>11041</v>
      </c>
      <c r="W367" t="s">
        <v>43</v>
      </c>
      <c r="X367" t="s">
        <v>11034</v>
      </c>
      <c r="Y367" t="s">
        <v>44</v>
      </c>
      <c r="Z367" t="s">
        <v>44</v>
      </c>
      <c r="AA367" t="s">
        <v>10979</v>
      </c>
      <c r="AB367" t="s">
        <v>44</v>
      </c>
      <c r="AC367" s="4">
        <v>5.5963009100000001</v>
      </c>
      <c r="AD367" s="4">
        <v>5.4576890300000001</v>
      </c>
      <c r="AE367" s="2">
        <v>5.6</v>
      </c>
      <c r="AF367" s="4">
        <v>5.4576890300000001</v>
      </c>
      <c r="AG367" s="2">
        <v>2.25</v>
      </c>
      <c r="AH367" s="2">
        <v>3058560.22</v>
      </c>
      <c r="AI367" s="2">
        <v>0.01</v>
      </c>
      <c r="AJ367" s="5">
        <v>44673</v>
      </c>
      <c r="AK367" t="s">
        <v>11431</v>
      </c>
      <c r="AL367" s="2">
        <v>5.52</v>
      </c>
      <c r="AM367" s="2">
        <v>5.4</v>
      </c>
      <c r="AN367" s="2">
        <v>0.59</v>
      </c>
      <c r="AO367" t="s">
        <v>11165</v>
      </c>
      <c r="AP367" t="s">
        <v>11389</v>
      </c>
      <c r="AQ367" t="s">
        <v>11388</v>
      </c>
    </row>
    <row r="368" spans="1:43" x14ac:dyDescent="0.2">
      <c r="A368" t="s">
        <v>11430</v>
      </c>
      <c r="B368" t="s">
        <v>11038</v>
      </c>
      <c r="C368" t="s">
        <v>11039</v>
      </c>
      <c r="D368" t="s">
        <v>11642</v>
      </c>
      <c r="E368" t="s">
        <v>11643</v>
      </c>
      <c r="F368" t="s">
        <v>11642</v>
      </c>
      <c r="G368" s="1">
        <v>6000000</v>
      </c>
      <c r="H368" s="2">
        <v>6000000</v>
      </c>
      <c r="I368" s="2">
        <v>5955658.4400000004</v>
      </c>
      <c r="J368" s="2">
        <v>27432.33</v>
      </c>
      <c r="K368" s="2">
        <v>0</v>
      </c>
      <c r="L368" s="2">
        <v>5983090.7699999996</v>
      </c>
      <c r="M368" s="3">
        <v>6.063536</v>
      </c>
      <c r="N368" s="4">
        <v>1.361218E-2</v>
      </c>
      <c r="O368" s="5">
        <v>44823</v>
      </c>
      <c r="P368" s="5">
        <v>45005</v>
      </c>
      <c r="Q368" s="1">
        <v>5.2149999999999999</v>
      </c>
      <c r="R368" s="2">
        <v>0.89</v>
      </c>
      <c r="S368" s="6">
        <v>0.86259754570000002</v>
      </c>
      <c r="T368" t="s">
        <v>111</v>
      </c>
      <c r="U368" t="s">
        <v>11040</v>
      </c>
      <c r="V368" t="s">
        <v>11041</v>
      </c>
      <c r="W368" t="s">
        <v>43</v>
      </c>
      <c r="X368" t="s">
        <v>44</v>
      </c>
      <c r="Y368" t="s">
        <v>44</v>
      </c>
      <c r="Z368" t="s">
        <v>44</v>
      </c>
      <c r="AA368" t="s">
        <v>11035</v>
      </c>
      <c r="AB368" t="s">
        <v>44</v>
      </c>
      <c r="AC368" s="4">
        <v>6.1554521800000002</v>
      </c>
      <c r="AD368" s="4">
        <v>5.9883285600000002</v>
      </c>
      <c r="AE368" s="2">
        <v>6.16</v>
      </c>
      <c r="AF368" s="4">
        <v>5.9883285600000002</v>
      </c>
      <c r="AG368" s="2">
        <v>4.4000000000000004</v>
      </c>
      <c r="AH368" s="2">
        <v>5983090.7699999996</v>
      </c>
      <c r="AI368" s="2">
        <v>0.01</v>
      </c>
      <c r="AJ368" s="5">
        <v>44673</v>
      </c>
      <c r="AK368" t="s">
        <v>11431</v>
      </c>
      <c r="AL368" s="2">
        <v>6.06</v>
      </c>
      <c r="AM368" s="2">
        <v>5.21</v>
      </c>
      <c r="AN368" s="2">
        <v>0.86</v>
      </c>
      <c r="AO368" t="s">
        <v>11036</v>
      </c>
      <c r="AP368" t="s">
        <v>11644</v>
      </c>
      <c r="AQ368" t="s">
        <v>11643</v>
      </c>
    </row>
    <row r="369" spans="1:43" x14ac:dyDescent="0.2">
      <c r="A369" t="s">
        <v>11430</v>
      </c>
      <c r="B369" t="s">
        <v>11038</v>
      </c>
      <c r="C369" t="s">
        <v>11039</v>
      </c>
      <c r="D369" t="s">
        <v>12844</v>
      </c>
      <c r="E369" t="s">
        <v>12845</v>
      </c>
      <c r="F369" t="s">
        <v>12844</v>
      </c>
      <c r="G369" s="1">
        <v>1000000</v>
      </c>
      <c r="H369" s="2">
        <v>1000000</v>
      </c>
      <c r="I369" s="2">
        <v>1001043.16</v>
      </c>
      <c r="J369" s="2">
        <v>4001.37</v>
      </c>
      <c r="K369" s="2">
        <v>0</v>
      </c>
      <c r="L369" s="2">
        <v>1005044.53</v>
      </c>
      <c r="M369" s="3">
        <v>6.2045560000000002</v>
      </c>
      <c r="N369" s="4">
        <v>2.2865799999999999E-3</v>
      </c>
      <c r="O369" s="5">
        <v>45016</v>
      </c>
      <c r="P369" s="5">
        <v>45016</v>
      </c>
      <c r="Q369" s="1">
        <v>6.35</v>
      </c>
      <c r="R369" s="2">
        <v>0.93</v>
      </c>
      <c r="S369" s="6">
        <v>0.88061116438999998</v>
      </c>
      <c r="T369" t="s">
        <v>111</v>
      </c>
      <c r="U369" t="s">
        <v>11040</v>
      </c>
      <c r="V369" t="s">
        <v>11041</v>
      </c>
      <c r="W369" t="s">
        <v>43</v>
      </c>
      <c r="X369" t="s">
        <v>11034</v>
      </c>
      <c r="Y369" t="s">
        <v>44</v>
      </c>
      <c r="Z369" t="s">
        <v>44</v>
      </c>
      <c r="AA369" t="s">
        <v>11035</v>
      </c>
      <c r="AB369" t="s">
        <v>44</v>
      </c>
      <c r="AC369" s="4">
        <v>6.2175109700000002</v>
      </c>
      <c r="AD369" s="4">
        <v>6.0470648499999999</v>
      </c>
      <c r="AE369" s="2">
        <v>6.22</v>
      </c>
      <c r="AF369" s="4">
        <v>6.0470648499999999</v>
      </c>
      <c r="AG369" s="2">
        <v>0.74</v>
      </c>
      <c r="AH369" s="2">
        <v>1005044.53</v>
      </c>
      <c r="AI369" s="2">
        <v>0</v>
      </c>
      <c r="AJ369" s="5">
        <v>44673</v>
      </c>
      <c r="AK369" t="s">
        <v>11431</v>
      </c>
      <c r="AL369" s="2">
        <v>6.12</v>
      </c>
      <c r="AM369" s="2">
        <v>6.35</v>
      </c>
      <c r="AN369" s="2">
        <v>0.88</v>
      </c>
      <c r="AO369" t="s">
        <v>11036</v>
      </c>
      <c r="AP369" t="s">
        <v>12846</v>
      </c>
      <c r="AQ369" t="s">
        <v>12845</v>
      </c>
    </row>
    <row r="370" spans="1:43" x14ac:dyDescent="0.2">
      <c r="A370" t="s">
        <v>11430</v>
      </c>
      <c r="B370" t="s">
        <v>11038</v>
      </c>
      <c r="C370" t="s">
        <v>11039</v>
      </c>
      <c r="D370" t="s">
        <v>11626</v>
      </c>
      <c r="E370" t="s">
        <v>11627</v>
      </c>
      <c r="F370" t="s">
        <v>11626</v>
      </c>
      <c r="G370" s="1">
        <v>2000000</v>
      </c>
      <c r="H370" s="2">
        <v>2000000</v>
      </c>
      <c r="I370" s="2">
        <v>2003058.46</v>
      </c>
      <c r="J370" s="2">
        <v>20272.599999999999</v>
      </c>
      <c r="K370" s="2">
        <v>0</v>
      </c>
      <c r="L370" s="2">
        <v>2023331.06</v>
      </c>
      <c r="M370" s="3">
        <v>4.7030979999999998</v>
      </c>
      <c r="N370" s="4">
        <v>4.6033000000000003E-3</v>
      </c>
      <c r="O370" s="5">
        <v>44690</v>
      </c>
      <c r="P370" s="5">
        <v>44872</v>
      </c>
      <c r="Q370" s="1">
        <v>4.9329999999999998</v>
      </c>
      <c r="R370" s="2">
        <v>0.04</v>
      </c>
      <c r="S370" s="6">
        <v>3.5480725949000001E-2</v>
      </c>
      <c r="T370" t="s">
        <v>111</v>
      </c>
      <c r="U370" t="s">
        <v>11040</v>
      </c>
      <c r="V370" t="s">
        <v>11189</v>
      </c>
      <c r="W370" t="s">
        <v>43</v>
      </c>
      <c r="X370" t="s">
        <v>11034</v>
      </c>
      <c r="Y370" t="s">
        <v>44</v>
      </c>
      <c r="Z370" t="s">
        <v>44</v>
      </c>
      <c r="AA370" t="s">
        <v>10979</v>
      </c>
      <c r="AB370" t="s">
        <v>44</v>
      </c>
      <c r="AC370" s="4">
        <v>4.8110071799999998</v>
      </c>
      <c r="AD370" s="4">
        <v>4.7080728000000001</v>
      </c>
      <c r="AE370" s="2">
        <v>4.8099999999999996</v>
      </c>
      <c r="AF370" s="4">
        <v>4.7080728000000001</v>
      </c>
      <c r="AG370" s="2">
        <v>1.49</v>
      </c>
      <c r="AH370" s="2">
        <v>2023331.06</v>
      </c>
      <c r="AI370" s="2">
        <v>0</v>
      </c>
      <c r="AJ370" s="5">
        <v>44673</v>
      </c>
      <c r="AK370" t="s">
        <v>11431</v>
      </c>
      <c r="AL370" s="2">
        <v>4.75</v>
      </c>
      <c r="AM370" s="2">
        <v>4.93</v>
      </c>
      <c r="AN370" s="2">
        <v>0.04</v>
      </c>
      <c r="AO370" t="s">
        <v>11179</v>
      </c>
      <c r="AP370" t="s">
        <v>11628</v>
      </c>
      <c r="AQ370" t="s">
        <v>11627</v>
      </c>
    </row>
    <row r="371" spans="1:43" x14ac:dyDescent="0.2">
      <c r="A371" t="s">
        <v>11430</v>
      </c>
      <c r="B371" t="s">
        <v>11038</v>
      </c>
      <c r="C371" t="s">
        <v>11222</v>
      </c>
      <c r="D371" t="s">
        <v>11629</v>
      </c>
      <c r="E371" t="s">
        <v>11630</v>
      </c>
      <c r="F371" t="s">
        <v>11629</v>
      </c>
      <c r="G371" s="1">
        <v>260000</v>
      </c>
      <c r="H371" s="2">
        <v>260000</v>
      </c>
      <c r="I371" s="2">
        <v>260488.12</v>
      </c>
      <c r="J371" s="2">
        <v>1555.04</v>
      </c>
      <c r="K371" s="2">
        <v>0</v>
      </c>
      <c r="L371" s="2">
        <v>262043.16</v>
      </c>
      <c r="M371" s="3">
        <v>6.6816829999999996</v>
      </c>
      <c r="N371" s="4">
        <v>5.9617999999999997E-4</v>
      </c>
      <c r="O371" s="5">
        <v>44732</v>
      </c>
      <c r="P371" s="5">
        <v>45463</v>
      </c>
      <c r="Q371" s="1">
        <v>6.8220000000000001</v>
      </c>
      <c r="R371" s="2">
        <v>0.15</v>
      </c>
      <c r="S371" s="6">
        <v>0.115127356528</v>
      </c>
      <c r="T371" t="s">
        <v>111</v>
      </c>
      <c r="U371" t="s">
        <v>11040</v>
      </c>
      <c r="V371" t="s">
        <v>114</v>
      </c>
      <c r="W371" t="s">
        <v>43</v>
      </c>
      <c r="X371" t="s">
        <v>10988</v>
      </c>
      <c r="Y371" t="s">
        <v>44</v>
      </c>
      <c r="Z371" t="s">
        <v>44</v>
      </c>
      <c r="AA371" t="s">
        <v>44</v>
      </c>
      <c r="AB371" t="s">
        <v>44</v>
      </c>
      <c r="AC371" s="4">
        <v>6.8736030399999999</v>
      </c>
      <c r="AD371" s="4">
        <v>6.6661141900000001</v>
      </c>
      <c r="AE371" s="2">
        <v>6.87</v>
      </c>
      <c r="AF371" s="4">
        <v>6.6661141900000001</v>
      </c>
      <c r="AG371" s="2">
        <v>0.19</v>
      </c>
      <c r="AH371" s="2">
        <v>262043.16</v>
      </c>
      <c r="AI371" s="2">
        <v>0</v>
      </c>
      <c r="AJ371" s="5">
        <v>44673</v>
      </c>
      <c r="AK371" t="s">
        <v>11431</v>
      </c>
      <c r="AL371" s="2">
        <v>6.76</v>
      </c>
      <c r="AM371" s="2">
        <v>6.82</v>
      </c>
      <c r="AN371" s="2">
        <v>0.12</v>
      </c>
      <c r="AO371" t="s">
        <v>11451</v>
      </c>
      <c r="AP371" t="s">
        <v>11631</v>
      </c>
      <c r="AQ371" t="s">
        <v>11630</v>
      </c>
    </row>
    <row r="372" spans="1:43" x14ac:dyDescent="0.2">
      <c r="A372" t="s">
        <v>11430</v>
      </c>
      <c r="B372" t="s">
        <v>11038</v>
      </c>
      <c r="C372" t="s">
        <v>11222</v>
      </c>
      <c r="D372" t="s">
        <v>11632</v>
      </c>
      <c r="E372" t="s">
        <v>11633</v>
      </c>
      <c r="F372" t="s">
        <v>11632</v>
      </c>
      <c r="G372" s="1">
        <v>1839999.99</v>
      </c>
      <c r="H372" s="2">
        <v>1839999.99</v>
      </c>
      <c r="I372" s="2">
        <v>1849933.34</v>
      </c>
      <c r="J372" s="2">
        <v>12892.3</v>
      </c>
      <c r="K372" s="2">
        <v>0</v>
      </c>
      <c r="L372" s="2">
        <v>1862825.64</v>
      </c>
      <c r="M372" s="3">
        <v>7.5916829999999997</v>
      </c>
      <c r="N372" s="4">
        <v>4.2381299999999997E-3</v>
      </c>
      <c r="O372" s="5">
        <v>44732</v>
      </c>
      <c r="P372" s="5">
        <v>45280</v>
      </c>
      <c r="Q372" s="1">
        <v>7.992</v>
      </c>
      <c r="R372" s="2">
        <v>0.15</v>
      </c>
      <c r="S372" s="6">
        <v>0.114739567549</v>
      </c>
      <c r="T372" t="s">
        <v>111</v>
      </c>
      <c r="U372" t="s">
        <v>11040</v>
      </c>
      <c r="V372" t="s">
        <v>114</v>
      </c>
      <c r="W372" t="s">
        <v>43</v>
      </c>
      <c r="X372" t="s">
        <v>10988</v>
      </c>
      <c r="Y372" t="s">
        <v>44</v>
      </c>
      <c r="Z372" t="s">
        <v>44</v>
      </c>
      <c r="AA372" t="s">
        <v>10979</v>
      </c>
      <c r="AB372" t="s">
        <v>44</v>
      </c>
      <c r="AC372" s="4">
        <v>7.8399622400000002</v>
      </c>
      <c r="AD372" s="4">
        <v>7.5715982200000003</v>
      </c>
      <c r="AE372" s="2">
        <v>7.84</v>
      </c>
      <c r="AF372" s="4">
        <v>7.5715982200000003</v>
      </c>
      <c r="AG372" s="2">
        <v>1.37</v>
      </c>
      <c r="AH372" s="2">
        <v>1862825.64</v>
      </c>
      <c r="AI372" s="2">
        <v>0</v>
      </c>
      <c r="AJ372" s="5">
        <v>44673</v>
      </c>
      <c r="AK372" t="s">
        <v>11431</v>
      </c>
      <c r="AL372" s="2">
        <v>7.69</v>
      </c>
      <c r="AM372" s="2">
        <v>7.99</v>
      </c>
      <c r="AN372" s="2">
        <v>0.11</v>
      </c>
      <c r="AO372" t="s">
        <v>11165</v>
      </c>
      <c r="AP372" t="s">
        <v>11634</v>
      </c>
      <c r="AQ372" t="s">
        <v>11633</v>
      </c>
    </row>
    <row r="373" spans="1:43" x14ac:dyDescent="0.2">
      <c r="A373" t="s">
        <v>11430</v>
      </c>
      <c r="B373" t="s">
        <v>11038</v>
      </c>
      <c r="C373" t="s">
        <v>11222</v>
      </c>
      <c r="D373" t="s">
        <v>11635</v>
      </c>
      <c r="E373" t="s">
        <v>11636</v>
      </c>
      <c r="F373" t="s">
        <v>11635</v>
      </c>
      <c r="G373" s="1">
        <v>500000</v>
      </c>
      <c r="H373" s="2">
        <v>500000</v>
      </c>
      <c r="I373" s="2">
        <v>500832.39</v>
      </c>
      <c r="J373" s="2">
        <v>2643.29</v>
      </c>
      <c r="K373" s="2">
        <v>0</v>
      </c>
      <c r="L373" s="2">
        <v>503475.68</v>
      </c>
      <c r="M373" s="3">
        <v>5.9016830000000002</v>
      </c>
      <c r="N373" s="4">
        <v>1.1454600000000001E-3</v>
      </c>
      <c r="O373" s="5">
        <v>44732</v>
      </c>
      <c r="P373" s="5">
        <v>45463</v>
      </c>
      <c r="Q373" s="1">
        <v>6.03</v>
      </c>
      <c r="R373" s="2">
        <v>0.15</v>
      </c>
      <c r="S373" s="6">
        <v>0.12547809878300001</v>
      </c>
      <c r="T373" t="s">
        <v>111</v>
      </c>
      <c r="U373" t="s">
        <v>11040</v>
      </c>
      <c r="V373" t="s">
        <v>114</v>
      </c>
      <c r="W373" t="s">
        <v>43</v>
      </c>
      <c r="X373" t="s">
        <v>10988</v>
      </c>
      <c r="Y373" t="s">
        <v>44</v>
      </c>
      <c r="Z373" t="s">
        <v>44</v>
      </c>
      <c r="AA373" t="s">
        <v>44</v>
      </c>
      <c r="AB373" t="s">
        <v>44</v>
      </c>
      <c r="AC373" s="4">
        <v>6.0511398099999996</v>
      </c>
      <c r="AD373" s="4">
        <v>5.8895299000000003</v>
      </c>
      <c r="AE373" s="2">
        <v>6.05</v>
      </c>
      <c r="AF373" s="4">
        <v>5.8895299000000003</v>
      </c>
      <c r="AG373" s="2">
        <v>0.37</v>
      </c>
      <c r="AH373" s="2">
        <v>503475.68</v>
      </c>
      <c r="AI373" s="2">
        <v>0</v>
      </c>
      <c r="AJ373" s="5">
        <v>44673</v>
      </c>
      <c r="AK373" t="s">
        <v>11431</v>
      </c>
      <c r="AL373" s="2">
        <v>5.96</v>
      </c>
      <c r="AM373" s="2">
        <v>6.03</v>
      </c>
      <c r="AN373" s="2">
        <v>0.13</v>
      </c>
      <c r="AO373" t="s">
        <v>11637</v>
      </c>
      <c r="AP373" t="s">
        <v>11638</v>
      </c>
      <c r="AQ373" t="s">
        <v>11636</v>
      </c>
    </row>
    <row r="374" spans="1:43" x14ac:dyDescent="0.2">
      <c r="A374" t="s">
        <v>11430</v>
      </c>
      <c r="B374" t="s">
        <v>11038</v>
      </c>
      <c r="C374" t="s">
        <v>11222</v>
      </c>
      <c r="D374" t="s">
        <v>11639</v>
      </c>
      <c r="E374" t="s">
        <v>11640</v>
      </c>
      <c r="F374" t="s">
        <v>11639</v>
      </c>
      <c r="G374" s="1">
        <v>2000000</v>
      </c>
      <c r="H374" s="2">
        <v>2000000</v>
      </c>
      <c r="I374" s="2">
        <v>1951593.55</v>
      </c>
      <c r="J374" s="2">
        <v>8232.33</v>
      </c>
      <c r="K374" s="2">
        <v>0</v>
      </c>
      <c r="L374" s="2">
        <v>1959825.88</v>
      </c>
      <c r="M374" s="3">
        <v>7.3639539999999997</v>
      </c>
      <c r="N374" s="4">
        <v>4.4588099999999997E-3</v>
      </c>
      <c r="O374" s="5">
        <v>44834</v>
      </c>
      <c r="P374" s="5">
        <v>45562</v>
      </c>
      <c r="Q374" s="1">
        <v>6.26</v>
      </c>
      <c r="R374" s="2">
        <v>2.2799999999999998</v>
      </c>
      <c r="S374" s="6">
        <v>2.1972816670199999</v>
      </c>
      <c r="T374" t="s">
        <v>111</v>
      </c>
      <c r="U374" t="s">
        <v>11040</v>
      </c>
      <c r="V374" t="s">
        <v>11041</v>
      </c>
      <c r="W374" t="s">
        <v>43</v>
      </c>
      <c r="X374" t="s">
        <v>44</v>
      </c>
      <c r="Y374" t="s">
        <v>44</v>
      </c>
      <c r="Z374" t="s">
        <v>44</v>
      </c>
      <c r="AA374" t="s">
        <v>10979</v>
      </c>
      <c r="AB374" t="s">
        <v>44</v>
      </c>
      <c r="AC374" s="4">
        <v>7.4995232700000001</v>
      </c>
      <c r="AD374" s="4">
        <v>7.2534566800000002</v>
      </c>
      <c r="AE374" s="2">
        <v>7.5</v>
      </c>
      <c r="AF374" s="4">
        <v>7.2534566800000002</v>
      </c>
      <c r="AG374" s="2">
        <v>1.44</v>
      </c>
      <c r="AH374" s="2">
        <v>1959825.88</v>
      </c>
      <c r="AI374" s="2">
        <v>0</v>
      </c>
      <c r="AJ374" s="5">
        <v>44673</v>
      </c>
      <c r="AK374" t="s">
        <v>11431</v>
      </c>
      <c r="AL374" s="2">
        <v>7.36</v>
      </c>
      <c r="AM374" s="2">
        <v>6.26</v>
      </c>
      <c r="AN374" s="2">
        <v>2.2000000000000002</v>
      </c>
      <c r="AO374" t="s">
        <v>11054</v>
      </c>
      <c r="AP374" t="s">
        <v>11641</v>
      </c>
      <c r="AQ374" t="s">
        <v>11640</v>
      </c>
    </row>
    <row r="375" spans="1:43" x14ac:dyDescent="0.2">
      <c r="A375" t="s">
        <v>11430</v>
      </c>
      <c r="B375" t="s">
        <v>11038</v>
      </c>
      <c r="C375" t="s">
        <v>11222</v>
      </c>
      <c r="D375" t="s">
        <v>12730</v>
      </c>
      <c r="E375" t="s">
        <v>12731</v>
      </c>
      <c r="F375" t="s">
        <v>12730</v>
      </c>
      <c r="G375" s="1">
        <v>900000</v>
      </c>
      <c r="H375" s="2">
        <v>900000</v>
      </c>
      <c r="I375" s="2">
        <v>900000.56</v>
      </c>
      <c r="J375" s="2">
        <v>4689.42</v>
      </c>
      <c r="K375" s="2">
        <v>0</v>
      </c>
      <c r="L375" s="2">
        <v>904689.98</v>
      </c>
      <c r="M375" s="3">
        <v>6.4543710000000001</v>
      </c>
      <c r="N375" s="4">
        <v>2.0582700000000001E-3</v>
      </c>
      <c r="O375" s="5">
        <v>44739</v>
      </c>
      <c r="P375" s="5">
        <v>46563</v>
      </c>
      <c r="Q375" s="1">
        <v>6.5579999999999998</v>
      </c>
      <c r="R375" s="2">
        <v>0.17</v>
      </c>
      <c r="S375" s="6">
        <v>0.10239071847800001</v>
      </c>
      <c r="T375" t="s">
        <v>111</v>
      </c>
      <c r="U375" t="s">
        <v>11040</v>
      </c>
      <c r="V375" t="s">
        <v>11189</v>
      </c>
      <c r="W375" t="s">
        <v>43</v>
      </c>
      <c r="X375" t="s">
        <v>11034</v>
      </c>
      <c r="Y375" t="s">
        <v>44</v>
      </c>
      <c r="Z375" t="s">
        <v>44</v>
      </c>
      <c r="AA375" t="s">
        <v>11035</v>
      </c>
      <c r="AB375" t="s">
        <v>44</v>
      </c>
      <c r="AC375" s="4">
        <v>6.6291599999999997</v>
      </c>
      <c r="AD375" s="4">
        <v>6.4358805400000003</v>
      </c>
      <c r="AE375" s="2">
        <v>6.63</v>
      </c>
      <c r="AF375" s="4">
        <v>6.4358805400000003</v>
      </c>
      <c r="AG375" s="2">
        <v>0.67</v>
      </c>
      <c r="AH375" s="2">
        <v>904689.98</v>
      </c>
      <c r="AI375" s="2">
        <v>0</v>
      </c>
      <c r="AJ375" s="5">
        <v>44673</v>
      </c>
      <c r="AK375" t="s">
        <v>11431</v>
      </c>
      <c r="AL375" s="2">
        <v>6.52</v>
      </c>
      <c r="AM375" s="2">
        <v>6.56</v>
      </c>
      <c r="AN375" s="2">
        <v>0.1</v>
      </c>
      <c r="AO375" t="s">
        <v>11226</v>
      </c>
      <c r="AP375" t="s">
        <v>12732</v>
      </c>
      <c r="AQ375" t="s">
        <v>12731</v>
      </c>
    </row>
    <row r="376" spans="1:43" x14ac:dyDescent="0.2">
      <c r="A376" t="s">
        <v>11430</v>
      </c>
      <c r="B376" t="s">
        <v>11038</v>
      </c>
      <c r="C376" t="s">
        <v>11222</v>
      </c>
      <c r="D376" t="s">
        <v>11645</v>
      </c>
      <c r="E376" t="s">
        <v>11646</v>
      </c>
      <c r="F376" t="s">
        <v>11645</v>
      </c>
      <c r="G376" s="1">
        <v>2852531.33</v>
      </c>
      <c r="H376" s="2">
        <v>2852531.33</v>
      </c>
      <c r="I376" s="2">
        <v>2852274.92</v>
      </c>
      <c r="J376" s="2">
        <v>18611.32</v>
      </c>
      <c r="K376" s="2">
        <v>0</v>
      </c>
      <c r="L376" s="2">
        <v>2870886.24</v>
      </c>
      <c r="M376" s="3">
        <v>7.4016830000000002</v>
      </c>
      <c r="N376" s="4">
        <v>6.5315800000000004E-3</v>
      </c>
      <c r="O376" s="5">
        <v>44732</v>
      </c>
      <c r="P376" s="5">
        <v>45463</v>
      </c>
      <c r="Q376" s="1">
        <v>7.4420000000000002</v>
      </c>
      <c r="R376" s="2">
        <v>0.15</v>
      </c>
      <c r="S376" s="6">
        <v>0.10375403141300001</v>
      </c>
      <c r="T376" t="s">
        <v>111</v>
      </c>
      <c r="U376" t="s">
        <v>11040</v>
      </c>
      <c r="V376" t="s">
        <v>114</v>
      </c>
      <c r="W376" t="s">
        <v>43</v>
      </c>
      <c r="X376" t="s">
        <v>10988</v>
      </c>
      <c r="Y376" t="s">
        <v>44</v>
      </c>
      <c r="Z376" t="s">
        <v>44</v>
      </c>
      <c r="AA376" t="s">
        <v>10979</v>
      </c>
      <c r="AB376" t="s">
        <v>44</v>
      </c>
      <c r="AC376" s="4">
        <v>7.6375863099999997</v>
      </c>
      <c r="AD376" s="4">
        <v>7.3825882900000002</v>
      </c>
      <c r="AE376" s="2">
        <v>7.64</v>
      </c>
      <c r="AF376" s="4">
        <v>7.3825882900000002</v>
      </c>
      <c r="AG376" s="2">
        <v>2.11</v>
      </c>
      <c r="AH376" s="2">
        <v>2870886.24</v>
      </c>
      <c r="AI376" s="2">
        <v>0.01</v>
      </c>
      <c r="AJ376" s="5">
        <v>44673</v>
      </c>
      <c r="AK376" t="s">
        <v>11431</v>
      </c>
      <c r="AL376" s="2">
        <v>7.5</v>
      </c>
      <c r="AM376" s="2">
        <v>7.44</v>
      </c>
      <c r="AN376" s="2">
        <v>0.1</v>
      </c>
      <c r="AO376" t="s">
        <v>11179</v>
      </c>
      <c r="AP376" t="s">
        <v>11647</v>
      </c>
      <c r="AQ376" t="s">
        <v>11646</v>
      </c>
    </row>
    <row r="377" spans="1:43" x14ac:dyDescent="0.2">
      <c r="A377" t="s">
        <v>11430</v>
      </c>
      <c r="B377" t="s">
        <v>11038</v>
      </c>
      <c r="C377" t="s">
        <v>11222</v>
      </c>
      <c r="D377" t="s">
        <v>11648</v>
      </c>
      <c r="E377" t="s">
        <v>11649</v>
      </c>
      <c r="F377" t="s">
        <v>11648</v>
      </c>
      <c r="G377" s="1">
        <v>600000</v>
      </c>
      <c r="H377" s="2">
        <v>600000</v>
      </c>
      <c r="I377" s="2">
        <v>601740.15</v>
      </c>
      <c r="J377" s="2">
        <v>5474.27</v>
      </c>
      <c r="K377" s="2">
        <v>0</v>
      </c>
      <c r="L377" s="2">
        <v>607214.42000000004</v>
      </c>
      <c r="M377" s="3">
        <v>6.0302819999999997</v>
      </c>
      <c r="N377" s="4">
        <v>1.38148E-3</v>
      </c>
      <c r="O377" s="5">
        <v>44712</v>
      </c>
      <c r="P377" s="5">
        <v>45260</v>
      </c>
      <c r="Q377" s="1">
        <v>6.1669999999999998</v>
      </c>
      <c r="R377" s="2">
        <v>0.1</v>
      </c>
      <c r="S377" s="6">
        <v>7.8177650525999995E-2</v>
      </c>
      <c r="T377" t="s">
        <v>111</v>
      </c>
      <c r="U377" t="s">
        <v>11040</v>
      </c>
      <c r="V377" t="s">
        <v>114</v>
      </c>
      <c r="W377" t="s">
        <v>43</v>
      </c>
      <c r="X377" t="s">
        <v>10988</v>
      </c>
      <c r="Y377" t="s">
        <v>44</v>
      </c>
      <c r="Z377" t="s">
        <v>44</v>
      </c>
      <c r="AA377" t="s">
        <v>10979</v>
      </c>
      <c r="AB377" t="s">
        <v>44</v>
      </c>
      <c r="AC377" s="4">
        <v>6.1968427300000002</v>
      </c>
      <c r="AD377" s="4">
        <v>6.0275066400000004</v>
      </c>
      <c r="AE377" s="2">
        <v>6.2</v>
      </c>
      <c r="AF377" s="4">
        <v>6.0275066400000004</v>
      </c>
      <c r="AG377" s="2">
        <v>0.45</v>
      </c>
      <c r="AH377" s="2">
        <v>607214.42000000004</v>
      </c>
      <c r="AI377" s="2">
        <v>0</v>
      </c>
      <c r="AJ377" s="5">
        <v>44673</v>
      </c>
      <c r="AK377" t="s">
        <v>11431</v>
      </c>
      <c r="AL377" s="2">
        <v>6.1</v>
      </c>
      <c r="AM377" s="2">
        <v>6.17</v>
      </c>
      <c r="AN377" s="2">
        <v>0.08</v>
      </c>
      <c r="AO377" t="s">
        <v>11048</v>
      </c>
      <c r="AP377" t="s">
        <v>11650</v>
      </c>
      <c r="AQ377" t="s">
        <v>11649</v>
      </c>
    </row>
    <row r="378" spans="1:43" x14ac:dyDescent="0.2">
      <c r="A378" t="s">
        <v>11430</v>
      </c>
      <c r="B378" t="s">
        <v>11038</v>
      </c>
      <c r="C378" t="s">
        <v>11222</v>
      </c>
      <c r="D378" t="s">
        <v>11651</v>
      </c>
      <c r="E378" t="s">
        <v>11652</v>
      </c>
      <c r="F378" t="s">
        <v>11651</v>
      </c>
      <c r="G378" s="1">
        <v>1280000</v>
      </c>
      <c r="H378" s="2">
        <v>1280479.51</v>
      </c>
      <c r="I378" s="2">
        <v>1279964.78</v>
      </c>
      <c r="J378" s="2">
        <v>14981.51</v>
      </c>
      <c r="K378" s="2">
        <v>0</v>
      </c>
      <c r="L378" s="2">
        <v>1294946.29</v>
      </c>
      <c r="M378" s="3">
        <v>6.0887460000000004</v>
      </c>
      <c r="N378" s="4">
        <v>2.9461399999999999E-3</v>
      </c>
      <c r="O378" s="5">
        <v>44692</v>
      </c>
      <c r="P378" s="5">
        <v>45334</v>
      </c>
      <c r="Q378" s="1">
        <v>6.0170000000000003</v>
      </c>
      <c r="R378" s="2">
        <v>0.04</v>
      </c>
      <c r="S378" s="6">
        <v>2.0467256834999999E-2</v>
      </c>
      <c r="T378" t="s">
        <v>111</v>
      </c>
      <c r="U378" t="s">
        <v>11040</v>
      </c>
      <c r="V378" t="s">
        <v>114</v>
      </c>
      <c r="W378" t="s">
        <v>43</v>
      </c>
      <c r="X378" t="s">
        <v>10988</v>
      </c>
      <c r="Y378" t="s">
        <v>44</v>
      </c>
      <c r="Z378" t="s">
        <v>44</v>
      </c>
      <c r="AA378" t="s">
        <v>10979</v>
      </c>
      <c r="AB378" t="s">
        <v>44</v>
      </c>
      <c r="AC378" s="4">
        <v>6.2693105400000002</v>
      </c>
      <c r="AD378" s="4">
        <v>6.0960671</v>
      </c>
      <c r="AE378" s="2">
        <v>6.27</v>
      </c>
      <c r="AF378" s="4">
        <v>6.0960671</v>
      </c>
      <c r="AG378" s="2">
        <v>0.95</v>
      </c>
      <c r="AH378" s="2">
        <v>1294946.29</v>
      </c>
      <c r="AI378" s="2">
        <v>0</v>
      </c>
      <c r="AJ378" s="5">
        <v>44673</v>
      </c>
      <c r="AK378" t="s">
        <v>11431</v>
      </c>
      <c r="AL378" s="2">
        <v>6.17</v>
      </c>
      <c r="AM378" s="2">
        <v>6.02</v>
      </c>
      <c r="AN378" s="2">
        <v>0.02</v>
      </c>
      <c r="AO378" t="s">
        <v>11179</v>
      </c>
      <c r="AP378" t="s">
        <v>11653</v>
      </c>
      <c r="AQ378" t="s">
        <v>11652</v>
      </c>
    </row>
    <row r="379" spans="1:43" x14ac:dyDescent="0.2">
      <c r="A379" t="s">
        <v>11430</v>
      </c>
      <c r="B379" t="s">
        <v>11160</v>
      </c>
      <c r="C379" t="s">
        <v>11161</v>
      </c>
      <c r="D379" t="s">
        <v>11162</v>
      </c>
      <c r="E379" t="s">
        <v>11163</v>
      </c>
      <c r="F379" t="s">
        <v>11162</v>
      </c>
      <c r="G379" s="1">
        <v>3139</v>
      </c>
      <c r="H379" s="2">
        <v>1636141.56</v>
      </c>
      <c r="I379" s="2">
        <v>2825100</v>
      </c>
      <c r="J379" s="2">
        <v>0</v>
      </c>
      <c r="K379" s="2">
        <v>78290.100000000006</v>
      </c>
      <c r="L379" s="2">
        <v>2903390.1</v>
      </c>
      <c r="M379" s="3">
        <v>90000</v>
      </c>
      <c r="N379" s="4">
        <v>6.6055300000000001E-3</v>
      </c>
      <c r="O379" s="5" t="s">
        <v>44</v>
      </c>
      <c r="P379" s="5" t="s">
        <v>44</v>
      </c>
      <c r="Q379" s="1"/>
      <c r="R379" s="2"/>
      <c r="S379" s="6"/>
      <c r="T379" t="s">
        <v>10902</v>
      </c>
      <c r="U379" t="s">
        <v>10902</v>
      </c>
      <c r="V379" t="s">
        <v>11164</v>
      </c>
      <c r="W379" t="s">
        <v>43</v>
      </c>
      <c r="X379" t="s">
        <v>44</v>
      </c>
      <c r="Y379" t="s">
        <v>44</v>
      </c>
      <c r="Z379" t="s">
        <v>44</v>
      </c>
      <c r="AA379" t="s">
        <v>10979</v>
      </c>
      <c r="AB379" t="s">
        <v>44</v>
      </c>
      <c r="AC379" s="4"/>
      <c r="AD379" s="4"/>
      <c r="AE379" s="2">
        <v>0</v>
      </c>
      <c r="AF379" s="4">
        <v>0</v>
      </c>
      <c r="AG379" s="2">
        <v>2.14</v>
      </c>
      <c r="AH379" s="2">
        <v>2903390.1</v>
      </c>
      <c r="AI379" s="2">
        <v>0.01</v>
      </c>
      <c r="AJ379" s="5">
        <v>44673</v>
      </c>
      <c r="AK379" t="s">
        <v>11431</v>
      </c>
      <c r="AL379" s="2">
        <v>0</v>
      </c>
      <c r="AM379" s="2">
        <v>0</v>
      </c>
      <c r="AN379" s="2">
        <v>0</v>
      </c>
      <c r="AO379" t="s">
        <v>11165</v>
      </c>
      <c r="AP379" t="s">
        <v>11166</v>
      </c>
      <c r="AQ379" t="s">
        <v>11163</v>
      </c>
    </row>
    <row r="380" spans="1:43" x14ac:dyDescent="0.2">
      <c r="A380" t="s">
        <v>11430</v>
      </c>
      <c r="B380" t="s">
        <v>11160</v>
      </c>
      <c r="C380" t="s">
        <v>11161</v>
      </c>
      <c r="D380" t="s">
        <v>11654</v>
      </c>
      <c r="E380" t="s">
        <v>11655</v>
      </c>
      <c r="F380" t="s">
        <v>11654</v>
      </c>
      <c r="G380" s="1">
        <v>19261</v>
      </c>
      <c r="H380" s="2">
        <v>1175853.81</v>
      </c>
      <c r="I380" s="2">
        <v>1846937.29</v>
      </c>
      <c r="J380" s="2">
        <v>0</v>
      </c>
      <c r="K380" s="2">
        <v>0</v>
      </c>
      <c r="L380" s="2">
        <v>1846937.29</v>
      </c>
      <c r="M380" s="3">
        <v>9589</v>
      </c>
      <c r="N380" s="4">
        <v>4.2019800000000001E-3</v>
      </c>
      <c r="O380" s="5" t="s">
        <v>44</v>
      </c>
      <c r="P380" s="5" t="s">
        <v>44</v>
      </c>
      <c r="Q380" s="1"/>
      <c r="R380" s="2"/>
      <c r="S380" s="6"/>
      <c r="T380" t="s">
        <v>10902</v>
      </c>
      <c r="U380" t="s">
        <v>10902</v>
      </c>
      <c r="V380" t="s">
        <v>11164</v>
      </c>
      <c r="W380" t="s">
        <v>43</v>
      </c>
      <c r="X380" t="s">
        <v>44</v>
      </c>
      <c r="Y380" t="s">
        <v>44</v>
      </c>
      <c r="Z380" t="s">
        <v>44</v>
      </c>
      <c r="AA380" t="s">
        <v>10979</v>
      </c>
      <c r="AB380" t="s">
        <v>44</v>
      </c>
      <c r="AC380" s="4"/>
      <c r="AD380" s="4"/>
      <c r="AE380" s="2">
        <v>0</v>
      </c>
      <c r="AF380" s="4">
        <v>0</v>
      </c>
      <c r="AG380" s="2">
        <v>1.36</v>
      </c>
      <c r="AH380" s="2">
        <v>1846937.29</v>
      </c>
      <c r="AI380" s="2">
        <v>0</v>
      </c>
      <c r="AJ380" s="5">
        <v>44673</v>
      </c>
      <c r="AK380" t="s">
        <v>11431</v>
      </c>
      <c r="AL380" s="2">
        <v>0</v>
      </c>
      <c r="AM380" s="2">
        <v>0</v>
      </c>
      <c r="AN380" s="2">
        <v>0</v>
      </c>
      <c r="AO380" t="s">
        <v>11054</v>
      </c>
      <c r="AP380" t="s">
        <v>11656</v>
      </c>
      <c r="AQ380" t="s">
        <v>11655</v>
      </c>
    </row>
    <row r="381" spans="1:43" x14ac:dyDescent="0.2">
      <c r="A381" t="s">
        <v>11430</v>
      </c>
      <c r="B381" t="s">
        <v>11160</v>
      </c>
      <c r="C381" t="s">
        <v>11161</v>
      </c>
      <c r="D381" t="s">
        <v>11176</v>
      </c>
      <c r="E381" t="s">
        <v>11177</v>
      </c>
      <c r="F381" t="s">
        <v>11178</v>
      </c>
      <c r="G381" s="1">
        <v>18439</v>
      </c>
      <c r="H381" s="2">
        <v>1156819.43</v>
      </c>
      <c r="I381" s="2">
        <v>1703579.21</v>
      </c>
      <c r="J381" s="2">
        <v>0</v>
      </c>
      <c r="K381" s="2">
        <v>0</v>
      </c>
      <c r="L381" s="2">
        <v>1703579.21</v>
      </c>
      <c r="M381" s="3">
        <v>9239</v>
      </c>
      <c r="N381" s="4">
        <v>3.8758299999999998E-3</v>
      </c>
      <c r="O381" s="5" t="s">
        <v>44</v>
      </c>
      <c r="P381" s="5" t="s">
        <v>44</v>
      </c>
      <c r="Q381" s="1"/>
      <c r="R381" s="2"/>
      <c r="S381" s="6"/>
      <c r="T381" t="s">
        <v>10902</v>
      </c>
      <c r="U381" t="s">
        <v>10902</v>
      </c>
      <c r="V381" t="s">
        <v>11164</v>
      </c>
      <c r="W381" t="s">
        <v>43</v>
      </c>
      <c r="X381" t="s">
        <v>44</v>
      </c>
      <c r="Y381" t="s">
        <v>44</v>
      </c>
      <c r="Z381" t="s">
        <v>44</v>
      </c>
      <c r="AA381" t="s">
        <v>10979</v>
      </c>
      <c r="AB381" t="s">
        <v>44</v>
      </c>
      <c r="AC381" s="4"/>
      <c r="AD381" s="4"/>
      <c r="AE381" s="2">
        <v>0</v>
      </c>
      <c r="AF381" s="4">
        <v>0</v>
      </c>
      <c r="AG381" s="2">
        <v>1.25</v>
      </c>
      <c r="AH381" s="2">
        <v>1703579.21</v>
      </c>
      <c r="AI381" s="2">
        <v>0</v>
      </c>
      <c r="AJ381" s="5">
        <v>44673</v>
      </c>
      <c r="AK381" t="s">
        <v>11431</v>
      </c>
      <c r="AL381" s="2">
        <v>0</v>
      </c>
      <c r="AM381" s="2">
        <v>0</v>
      </c>
      <c r="AN381" s="2">
        <v>0</v>
      </c>
      <c r="AO381" t="s">
        <v>11179</v>
      </c>
      <c r="AP381" t="s">
        <v>11180</v>
      </c>
      <c r="AQ381" t="s">
        <v>11177</v>
      </c>
    </row>
    <row r="382" spans="1:43" x14ac:dyDescent="0.2">
      <c r="A382" t="s">
        <v>11657</v>
      </c>
      <c r="B382" t="s">
        <v>10900</v>
      </c>
      <c r="C382" t="s">
        <v>10950</v>
      </c>
      <c r="D382" t="s">
        <v>11141</v>
      </c>
      <c r="E382" t="s">
        <v>11142</v>
      </c>
      <c r="F382" t="s">
        <v>11141</v>
      </c>
      <c r="G382" s="1">
        <v>59750000</v>
      </c>
      <c r="H382" s="2">
        <v>49114410.640000001</v>
      </c>
      <c r="I382" s="2">
        <v>49113687.399999999</v>
      </c>
      <c r="J382" s="2">
        <v>784911.22</v>
      </c>
      <c r="K382" s="2">
        <v>0</v>
      </c>
      <c r="L382" s="2">
        <v>49898598.619999997</v>
      </c>
      <c r="M382" s="3">
        <v>10.805</v>
      </c>
      <c r="N382" s="4">
        <v>0.11352468</v>
      </c>
      <c r="O382" s="5">
        <v>44804</v>
      </c>
      <c r="P382" s="5">
        <v>54116</v>
      </c>
      <c r="Q382" s="1">
        <v>8.75</v>
      </c>
      <c r="R382" s="2">
        <v>9.2200000000000006</v>
      </c>
      <c r="S382" s="6">
        <v>8.7507641760000006</v>
      </c>
      <c r="T382" t="s">
        <v>111</v>
      </c>
      <c r="U382" t="s">
        <v>111</v>
      </c>
      <c r="V382" t="s">
        <v>10944</v>
      </c>
      <c r="W382" t="s">
        <v>43</v>
      </c>
      <c r="X382" t="s">
        <v>10945</v>
      </c>
      <c r="Y382" t="s">
        <v>44</v>
      </c>
      <c r="Z382" t="s">
        <v>44</v>
      </c>
      <c r="AA382" t="s">
        <v>10913</v>
      </c>
      <c r="AB382" t="s">
        <v>44</v>
      </c>
      <c r="AC382" s="4">
        <v>11.096870060000001</v>
      </c>
      <c r="AD382" s="4">
        <v>10.56950999</v>
      </c>
      <c r="AE382" s="2">
        <v>11.1</v>
      </c>
      <c r="AF382" s="4">
        <v>10.56950999</v>
      </c>
      <c r="AG382" s="2">
        <v>9.42</v>
      </c>
      <c r="AH382" s="2">
        <v>49898598.619999997</v>
      </c>
      <c r="AI382" s="2">
        <v>0.11</v>
      </c>
      <c r="AJ382" s="5">
        <v>44673</v>
      </c>
      <c r="AK382" t="s">
        <v>11658</v>
      </c>
      <c r="AL382" s="2">
        <v>10.8</v>
      </c>
      <c r="AM382" s="2">
        <v>8.75</v>
      </c>
      <c r="AN382" s="2">
        <v>8.75</v>
      </c>
      <c r="AO382" t="s">
        <v>10922</v>
      </c>
      <c r="AP382" t="s">
        <v>11143</v>
      </c>
      <c r="AQ382" t="s">
        <v>11142</v>
      </c>
    </row>
    <row r="383" spans="1:43" x14ac:dyDescent="0.2">
      <c r="A383" t="s">
        <v>11657</v>
      </c>
      <c r="B383" t="s">
        <v>10900</v>
      </c>
      <c r="C383" t="s">
        <v>10950</v>
      </c>
      <c r="D383" t="s">
        <v>10983</v>
      </c>
      <c r="E383" t="s">
        <v>10984</v>
      </c>
      <c r="F383" t="s">
        <v>10983</v>
      </c>
      <c r="G383" s="1">
        <v>36240000</v>
      </c>
      <c r="H383" s="2">
        <v>30859319.039999999</v>
      </c>
      <c r="I383" s="2">
        <v>30301441.800000001</v>
      </c>
      <c r="J383" s="2">
        <v>681206.62</v>
      </c>
      <c r="K383" s="2">
        <v>0</v>
      </c>
      <c r="L383" s="2">
        <v>30982648.420000002</v>
      </c>
      <c r="M383" s="3">
        <v>10.734999999999999</v>
      </c>
      <c r="N383" s="4">
        <v>7.048886E-2</v>
      </c>
      <c r="O383" s="5">
        <v>44774</v>
      </c>
      <c r="P383" s="5">
        <v>50071</v>
      </c>
      <c r="Q383" s="1">
        <v>8.5</v>
      </c>
      <c r="R383" s="2">
        <v>7.91</v>
      </c>
      <c r="S383" s="6">
        <v>7.5106016819999999</v>
      </c>
      <c r="T383" t="s">
        <v>111</v>
      </c>
      <c r="U383" t="s">
        <v>111</v>
      </c>
      <c r="V383" t="s">
        <v>10944</v>
      </c>
      <c r="W383" t="s">
        <v>43</v>
      </c>
      <c r="X383" t="s">
        <v>10945</v>
      </c>
      <c r="Y383" t="s">
        <v>44</v>
      </c>
      <c r="Z383" t="s">
        <v>44</v>
      </c>
      <c r="AA383" t="s">
        <v>10913</v>
      </c>
      <c r="AB383" t="s">
        <v>44</v>
      </c>
      <c r="AC383" s="4">
        <v>11.02310056</v>
      </c>
      <c r="AD383" s="4">
        <v>10.50250368</v>
      </c>
      <c r="AE383" s="2">
        <v>11.02</v>
      </c>
      <c r="AF383" s="4">
        <v>10.50250368</v>
      </c>
      <c r="AG383" s="2">
        <v>5.85</v>
      </c>
      <c r="AH383" s="2">
        <v>30982648.420000002</v>
      </c>
      <c r="AI383" s="2">
        <v>7.0000000000000007E-2</v>
      </c>
      <c r="AJ383" s="5">
        <v>44673</v>
      </c>
      <c r="AK383" t="s">
        <v>11658</v>
      </c>
      <c r="AL383" s="2">
        <v>10.73</v>
      </c>
      <c r="AM383" s="2">
        <v>8.5</v>
      </c>
      <c r="AN383" s="2">
        <v>7.51</v>
      </c>
      <c r="AO383" t="s">
        <v>10922</v>
      </c>
      <c r="AP383" t="s">
        <v>10985</v>
      </c>
      <c r="AQ383" t="s">
        <v>10984</v>
      </c>
    </row>
    <row r="384" spans="1:43" x14ac:dyDescent="0.2">
      <c r="A384" t="s">
        <v>11657</v>
      </c>
      <c r="B384" t="s">
        <v>10900</v>
      </c>
      <c r="C384" t="s">
        <v>10950</v>
      </c>
      <c r="D384" t="s">
        <v>10986</v>
      </c>
      <c r="E384" t="s">
        <v>10987</v>
      </c>
      <c r="F384" t="s">
        <v>10986</v>
      </c>
      <c r="G384" s="1">
        <v>27890000</v>
      </c>
      <c r="H384" s="2">
        <v>25591688.079999998</v>
      </c>
      <c r="I384" s="2">
        <v>25224443.93</v>
      </c>
      <c r="J384" s="2">
        <v>114998.49</v>
      </c>
      <c r="K384" s="2">
        <v>0</v>
      </c>
      <c r="L384" s="2">
        <v>25339442.420000002</v>
      </c>
      <c r="M384" s="3">
        <v>12.05</v>
      </c>
      <c r="N384" s="4">
        <v>5.764996E-2</v>
      </c>
      <c r="O384" s="5">
        <v>44844</v>
      </c>
      <c r="P384" s="5">
        <v>51418</v>
      </c>
      <c r="Q384" s="1">
        <v>10.75</v>
      </c>
      <c r="R384" s="2">
        <v>7.89</v>
      </c>
      <c r="S384" s="6">
        <v>7.4432483840000003</v>
      </c>
      <c r="T384" t="s">
        <v>111</v>
      </c>
      <c r="U384" t="s">
        <v>111</v>
      </c>
      <c r="V384" t="s">
        <v>10944</v>
      </c>
      <c r="W384" t="s">
        <v>43</v>
      </c>
      <c r="X384" t="s">
        <v>10988</v>
      </c>
      <c r="Y384" t="s">
        <v>44</v>
      </c>
      <c r="Z384" t="s">
        <v>44</v>
      </c>
      <c r="AA384" t="s">
        <v>10979</v>
      </c>
      <c r="AB384" t="s">
        <v>44</v>
      </c>
      <c r="AC384" s="4">
        <v>12.41300625</v>
      </c>
      <c r="AD384" s="4">
        <v>11.758178470000001</v>
      </c>
      <c r="AE384" s="2">
        <v>12.41</v>
      </c>
      <c r="AF384" s="4">
        <v>11.758178470000001</v>
      </c>
      <c r="AG384" s="2">
        <v>4.78</v>
      </c>
      <c r="AH384" s="2">
        <v>25339442.420000002</v>
      </c>
      <c r="AI384" s="2">
        <v>0.06</v>
      </c>
      <c r="AJ384" s="5">
        <v>44673</v>
      </c>
      <c r="AK384" t="s">
        <v>11658</v>
      </c>
      <c r="AL384" s="2">
        <v>12.05</v>
      </c>
      <c r="AM384" s="2">
        <v>10.75</v>
      </c>
      <c r="AN384" s="2">
        <v>7.44</v>
      </c>
      <c r="AO384" t="s">
        <v>10982</v>
      </c>
      <c r="AP384" t="s">
        <v>10989</v>
      </c>
      <c r="AQ384" t="s">
        <v>10987</v>
      </c>
    </row>
    <row r="385" spans="1:43" x14ac:dyDescent="0.2">
      <c r="A385" t="s">
        <v>11657</v>
      </c>
      <c r="B385" t="s">
        <v>45</v>
      </c>
      <c r="C385" t="s">
        <v>47</v>
      </c>
      <c r="D385" t="s">
        <v>48</v>
      </c>
      <c r="E385" t="s">
        <v>49</v>
      </c>
      <c r="F385" t="s">
        <v>50</v>
      </c>
      <c r="G385" s="1">
        <v>0</v>
      </c>
      <c r="H385" s="2">
        <v>0</v>
      </c>
      <c r="I385" s="2">
        <v>0</v>
      </c>
      <c r="J385" s="2">
        <v>0</v>
      </c>
      <c r="K385" s="2">
        <v>0</v>
      </c>
      <c r="L385" s="2">
        <v>1353.75</v>
      </c>
      <c r="M385" s="3"/>
      <c r="N385" s="4">
        <v>3.0800000000000002E-6</v>
      </c>
      <c r="O385" s="5" t="s">
        <v>44</v>
      </c>
      <c r="P385" s="5" t="s">
        <v>44</v>
      </c>
      <c r="Q385" s="1"/>
      <c r="R385" s="2">
        <v>0.08</v>
      </c>
      <c r="S385" s="6"/>
      <c r="T385" t="s">
        <v>45</v>
      </c>
      <c r="U385" t="s">
        <v>46</v>
      </c>
      <c r="V385" t="s">
        <v>44</v>
      </c>
      <c r="W385" t="s">
        <v>43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s="4">
        <v>5.1163389600000002</v>
      </c>
      <c r="AD385" s="4">
        <v>5.0001424999999999</v>
      </c>
      <c r="AE385" s="2">
        <v>5.12</v>
      </c>
      <c r="AF385" s="4">
        <v>5.0001424999999999</v>
      </c>
      <c r="AG385" s="2">
        <v>0</v>
      </c>
      <c r="AH385" s="2">
        <v>1353.75</v>
      </c>
      <c r="AI385" s="2">
        <v>0</v>
      </c>
      <c r="AJ385" s="5">
        <v>44673</v>
      </c>
      <c r="AK385" t="s">
        <v>11658</v>
      </c>
      <c r="AL385" s="2">
        <v>5.05</v>
      </c>
      <c r="AM385" s="2">
        <v>0</v>
      </c>
      <c r="AN385" s="2">
        <v>0</v>
      </c>
      <c r="AO385" t="s">
        <v>44</v>
      </c>
      <c r="AP385" t="s">
        <v>44</v>
      </c>
      <c r="AQ385" t="s">
        <v>44</v>
      </c>
    </row>
    <row r="386" spans="1:43" x14ac:dyDescent="0.2">
      <c r="A386" t="s">
        <v>11657</v>
      </c>
      <c r="B386" t="s">
        <v>45</v>
      </c>
      <c r="C386" t="s">
        <v>47</v>
      </c>
      <c r="D386" t="s">
        <v>51</v>
      </c>
      <c r="E386" t="s">
        <v>52</v>
      </c>
      <c r="F386" t="s">
        <v>51</v>
      </c>
      <c r="G386" s="1">
        <v>2957040.16</v>
      </c>
      <c r="H386" s="2">
        <v>2957040.16</v>
      </c>
      <c r="I386" s="2">
        <v>2957040.16</v>
      </c>
      <c r="J386" s="2">
        <v>0</v>
      </c>
      <c r="K386" s="2">
        <v>0</v>
      </c>
      <c r="L386" s="2">
        <v>2957040.16</v>
      </c>
      <c r="M386" s="3"/>
      <c r="N386" s="4">
        <v>6.7275800000000004E-3</v>
      </c>
      <c r="O386" s="5" t="s">
        <v>44</v>
      </c>
      <c r="P386" s="5" t="s">
        <v>44</v>
      </c>
      <c r="Q386" s="1"/>
      <c r="R386" s="2">
        <v>0.08</v>
      </c>
      <c r="S386" s="6"/>
      <c r="T386" t="s">
        <v>45</v>
      </c>
      <c r="U386" t="s">
        <v>53</v>
      </c>
      <c r="V386" t="s">
        <v>44</v>
      </c>
      <c r="W386" t="s">
        <v>43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s="4">
        <v>5.1163389600000002</v>
      </c>
      <c r="AD386" s="4">
        <v>5.0001424999999999</v>
      </c>
      <c r="AE386" s="2">
        <v>5.12</v>
      </c>
      <c r="AF386" s="4">
        <v>5.0001424999999999</v>
      </c>
      <c r="AG386" s="2">
        <v>0.56000000000000005</v>
      </c>
      <c r="AH386" s="2">
        <v>2957040.16</v>
      </c>
      <c r="AI386" s="2">
        <v>0.01</v>
      </c>
      <c r="AJ386" s="5">
        <v>44673</v>
      </c>
      <c r="AK386" t="s">
        <v>11658</v>
      </c>
      <c r="AL386" s="2">
        <v>5.05</v>
      </c>
      <c r="AM386" s="2">
        <v>0</v>
      </c>
      <c r="AN386" s="2">
        <v>0</v>
      </c>
      <c r="AO386" t="s">
        <v>44</v>
      </c>
      <c r="AP386" t="s">
        <v>44</v>
      </c>
      <c r="AQ386" t="s">
        <v>43</v>
      </c>
    </row>
    <row r="387" spans="1:43" x14ac:dyDescent="0.2">
      <c r="A387" t="s">
        <v>11657</v>
      </c>
      <c r="B387" t="s">
        <v>45</v>
      </c>
      <c r="C387" t="s">
        <v>11005</v>
      </c>
      <c r="D387" t="s">
        <v>11009</v>
      </c>
      <c r="E387" t="s">
        <v>11010</v>
      </c>
      <c r="F387" t="s">
        <v>44</v>
      </c>
      <c r="G387" s="1">
        <v>-202422.02</v>
      </c>
      <c r="H387" s="2">
        <v>-202422.02</v>
      </c>
      <c r="I387" s="2">
        <v>-202422.02</v>
      </c>
      <c r="J387" s="2">
        <v>0</v>
      </c>
      <c r="K387" s="2">
        <v>0</v>
      </c>
      <c r="L387" s="2">
        <v>-202422.02</v>
      </c>
      <c r="M387" s="3"/>
      <c r="N387" s="4">
        <v>-4.6053000000000001E-4</v>
      </c>
      <c r="O387" s="5" t="s">
        <v>44</v>
      </c>
      <c r="P387" s="5">
        <v>73051</v>
      </c>
      <c r="Q387" s="1">
        <v>0</v>
      </c>
      <c r="R387" s="2">
        <v>0.08</v>
      </c>
      <c r="S387" s="6"/>
      <c r="T387" t="s">
        <v>45</v>
      </c>
      <c r="U387" t="s">
        <v>44</v>
      </c>
      <c r="V387" t="s">
        <v>44</v>
      </c>
      <c r="W387" t="s">
        <v>43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s="4">
        <v>5.1163389600000002</v>
      </c>
      <c r="AD387" s="4">
        <v>5.0001424999999999</v>
      </c>
      <c r="AE387" s="2">
        <v>5.12</v>
      </c>
      <c r="AF387" s="4">
        <v>5.0001424999999999</v>
      </c>
      <c r="AG387" s="2">
        <v>-0.04</v>
      </c>
      <c r="AH387" s="2">
        <v>-202422.02</v>
      </c>
      <c r="AI387" s="2">
        <v>0</v>
      </c>
      <c r="AJ387" s="5">
        <v>44673</v>
      </c>
      <c r="AK387" t="s">
        <v>11658</v>
      </c>
      <c r="AL387" s="2">
        <v>5.05</v>
      </c>
      <c r="AM387" s="2">
        <v>0</v>
      </c>
      <c r="AN387" s="2">
        <v>0</v>
      </c>
      <c r="AO387" t="s">
        <v>44</v>
      </c>
      <c r="AP387" t="s">
        <v>44</v>
      </c>
      <c r="AQ387" t="s">
        <v>44</v>
      </c>
    </row>
    <row r="388" spans="1:43" x14ac:dyDescent="0.2">
      <c r="A388" t="s">
        <v>11657</v>
      </c>
      <c r="B388" t="s">
        <v>11013</v>
      </c>
      <c r="C388" t="s">
        <v>11014</v>
      </c>
      <c r="D388" t="s">
        <v>11659</v>
      </c>
      <c r="E388" t="s">
        <v>11660</v>
      </c>
      <c r="F388" t="s">
        <v>11659</v>
      </c>
      <c r="G388" s="1">
        <v>139646664.43020001</v>
      </c>
      <c r="H388" s="2">
        <v>165399796.49000001</v>
      </c>
      <c r="I388" s="2">
        <v>157200250.15000001</v>
      </c>
      <c r="J388" s="2">
        <v>0</v>
      </c>
      <c r="K388" s="2">
        <v>0</v>
      </c>
      <c r="L388" s="2">
        <v>157200250.15000001</v>
      </c>
      <c r="M388" s="3">
        <v>1.1256999999999999</v>
      </c>
      <c r="N388" s="4">
        <v>0.35764749000000001</v>
      </c>
      <c r="O388" s="5" t="s">
        <v>44</v>
      </c>
      <c r="P388" s="5" t="s">
        <v>44</v>
      </c>
      <c r="Q388" s="1"/>
      <c r="R388" s="2"/>
      <c r="S388" s="6"/>
      <c r="T388" t="s">
        <v>10902</v>
      </c>
      <c r="U388" t="s">
        <v>11003</v>
      </c>
      <c r="V388" t="s">
        <v>11003</v>
      </c>
      <c r="W388" t="s">
        <v>43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s="4"/>
      <c r="AD388" s="4"/>
      <c r="AE388" s="2">
        <v>0</v>
      </c>
      <c r="AF388" s="4">
        <v>0</v>
      </c>
      <c r="AG388" s="2">
        <v>29.67</v>
      </c>
      <c r="AH388" s="2">
        <v>157200250.15000001</v>
      </c>
      <c r="AI388" s="2">
        <v>0.36</v>
      </c>
      <c r="AJ388" s="5">
        <v>44673</v>
      </c>
      <c r="AK388" t="s">
        <v>11658</v>
      </c>
      <c r="AL388" s="2">
        <v>0</v>
      </c>
      <c r="AM388" s="2">
        <v>0</v>
      </c>
      <c r="AN388" s="2">
        <v>0</v>
      </c>
      <c r="AO388" t="s">
        <v>44</v>
      </c>
      <c r="AP388" t="s">
        <v>44</v>
      </c>
      <c r="AQ388" t="s">
        <v>11660</v>
      </c>
    </row>
    <row r="389" spans="1:43" x14ac:dyDescent="0.2">
      <c r="A389" t="s">
        <v>11657</v>
      </c>
      <c r="B389" t="s">
        <v>11013</v>
      </c>
      <c r="C389" t="s">
        <v>11014</v>
      </c>
      <c r="D389" t="s">
        <v>11021</v>
      </c>
      <c r="E389" t="s">
        <v>11022</v>
      </c>
      <c r="F389" t="s">
        <v>11021</v>
      </c>
      <c r="G389" s="1">
        <v>27986158.154599998</v>
      </c>
      <c r="H389" s="2">
        <v>28262010.390000001</v>
      </c>
      <c r="I389" s="2">
        <v>28098102.789999999</v>
      </c>
      <c r="J389" s="2">
        <v>0</v>
      </c>
      <c r="K389" s="2">
        <v>0</v>
      </c>
      <c r="L389" s="2">
        <v>28098102.789999999</v>
      </c>
      <c r="M389" s="3">
        <v>1.004</v>
      </c>
      <c r="N389" s="4">
        <v>6.3926209999999997E-2</v>
      </c>
      <c r="O389" s="5" t="s">
        <v>44</v>
      </c>
      <c r="P389" s="5" t="s">
        <v>44</v>
      </c>
      <c r="Q389" s="1"/>
      <c r="R389" s="2"/>
      <c r="S389" s="6"/>
      <c r="T389" t="s">
        <v>10902</v>
      </c>
      <c r="U389" t="s">
        <v>11003</v>
      </c>
      <c r="V389" t="s">
        <v>11003</v>
      </c>
      <c r="W389" t="s">
        <v>43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s="4"/>
      <c r="AD389" s="4"/>
      <c r="AE389" s="2">
        <v>0</v>
      </c>
      <c r="AF389" s="4">
        <v>0</v>
      </c>
      <c r="AG389" s="2">
        <v>5.3</v>
      </c>
      <c r="AH389" s="2">
        <v>28098102.789999999</v>
      </c>
      <c r="AI389" s="2">
        <v>0.06</v>
      </c>
      <c r="AJ389" s="5">
        <v>44673</v>
      </c>
      <c r="AK389" t="s">
        <v>11658</v>
      </c>
      <c r="AL389" s="2">
        <v>0</v>
      </c>
      <c r="AM389" s="2">
        <v>0</v>
      </c>
      <c r="AN389" s="2">
        <v>0</v>
      </c>
      <c r="AO389" t="s">
        <v>44</v>
      </c>
      <c r="AP389" t="s">
        <v>11023</v>
      </c>
      <c r="AQ389" t="s">
        <v>11022</v>
      </c>
    </row>
    <row r="390" spans="1:43" x14ac:dyDescent="0.2">
      <c r="A390" t="s">
        <v>11657</v>
      </c>
      <c r="B390" t="s">
        <v>11037</v>
      </c>
      <c r="C390" t="s">
        <v>11276</v>
      </c>
      <c r="D390" t="s">
        <v>6473</v>
      </c>
      <c r="E390" t="s">
        <v>4464</v>
      </c>
      <c r="F390" t="s">
        <v>6473</v>
      </c>
      <c r="G390" s="1">
        <v>3159</v>
      </c>
      <c r="H390" s="2">
        <v>328697.94</v>
      </c>
      <c r="I390" s="2">
        <v>315900</v>
      </c>
      <c r="J390" s="2">
        <v>0</v>
      </c>
      <c r="K390" s="2">
        <v>0</v>
      </c>
      <c r="L390" s="2">
        <v>315900</v>
      </c>
      <c r="M390" s="3">
        <v>10000</v>
      </c>
      <c r="N390" s="4">
        <v>7.1871000000000001E-4</v>
      </c>
      <c r="O390" s="5" t="s">
        <v>44</v>
      </c>
      <c r="P390" s="5" t="s">
        <v>44</v>
      </c>
      <c r="Q390" s="1"/>
      <c r="R390" s="2"/>
      <c r="S390" s="6"/>
      <c r="T390" t="s">
        <v>10902</v>
      </c>
      <c r="U390" t="s">
        <v>10902</v>
      </c>
      <c r="V390" t="s">
        <v>10902</v>
      </c>
      <c r="W390" t="s">
        <v>43</v>
      </c>
      <c r="X390" t="s">
        <v>11277</v>
      </c>
      <c r="Y390" t="s">
        <v>11277</v>
      </c>
      <c r="Z390" t="s">
        <v>11276</v>
      </c>
      <c r="AA390" t="s">
        <v>44</v>
      </c>
      <c r="AB390" t="s">
        <v>44</v>
      </c>
      <c r="AC390" s="4"/>
      <c r="AD390" s="4"/>
      <c r="AE390" s="2">
        <v>0</v>
      </c>
      <c r="AF390" s="4">
        <v>0</v>
      </c>
      <c r="AG390" s="2">
        <v>0.06</v>
      </c>
      <c r="AH390" s="2">
        <v>315900</v>
      </c>
      <c r="AI390" s="2">
        <v>0</v>
      </c>
      <c r="AJ390" s="5">
        <v>44673</v>
      </c>
      <c r="AK390" t="s">
        <v>11658</v>
      </c>
      <c r="AL390" s="2">
        <v>0</v>
      </c>
      <c r="AM390" s="2">
        <v>0</v>
      </c>
      <c r="AN390" s="2">
        <v>0</v>
      </c>
      <c r="AO390" t="s">
        <v>44</v>
      </c>
      <c r="AP390" t="s">
        <v>11278</v>
      </c>
      <c r="AQ390" t="s">
        <v>4464</v>
      </c>
    </row>
    <row r="391" spans="1:43" x14ac:dyDescent="0.2">
      <c r="A391" t="s">
        <v>11657</v>
      </c>
      <c r="B391" t="s">
        <v>11037</v>
      </c>
      <c r="C391" t="s">
        <v>11276</v>
      </c>
      <c r="D391" t="s">
        <v>6316</v>
      </c>
      <c r="E391" t="s">
        <v>4585</v>
      </c>
      <c r="F391" t="s">
        <v>6316</v>
      </c>
      <c r="G391" s="1">
        <v>3071</v>
      </c>
      <c r="H391" s="2">
        <v>665819.80000000005</v>
      </c>
      <c r="I391" s="2">
        <v>744778.92</v>
      </c>
      <c r="J391" s="2">
        <v>0</v>
      </c>
      <c r="K391" s="2">
        <v>0</v>
      </c>
      <c r="L391" s="2">
        <v>744778.92</v>
      </c>
      <c r="M391" s="3">
        <v>24252</v>
      </c>
      <c r="N391" s="4">
        <v>1.6944499999999999E-3</v>
      </c>
      <c r="O391" s="5" t="s">
        <v>44</v>
      </c>
      <c r="P391" s="5" t="s">
        <v>44</v>
      </c>
      <c r="Q391" s="1"/>
      <c r="R391" s="2"/>
      <c r="S391" s="6"/>
      <c r="T391" t="s">
        <v>10902</v>
      </c>
      <c r="U391" t="s">
        <v>10902</v>
      </c>
      <c r="V391" t="s">
        <v>10902</v>
      </c>
      <c r="W391" t="s">
        <v>43</v>
      </c>
      <c r="X391" t="s">
        <v>11279</v>
      </c>
      <c r="Y391" t="s">
        <v>11280</v>
      </c>
      <c r="Z391" t="s">
        <v>11276</v>
      </c>
      <c r="AA391" t="s">
        <v>44</v>
      </c>
      <c r="AB391" t="s">
        <v>44</v>
      </c>
      <c r="AC391" s="4"/>
      <c r="AD391" s="4"/>
      <c r="AE391" s="2">
        <v>0</v>
      </c>
      <c r="AF391" s="4">
        <v>0</v>
      </c>
      <c r="AG391" s="2">
        <v>0.14000000000000001</v>
      </c>
      <c r="AH391" s="2">
        <v>744778.92</v>
      </c>
      <c r="AI391" s="2">
        <v>0</v>
      </c>
      <c r="AJ391" s="5">
        <v>44673</v>
      </c>
      <c r="AK391" t="s">
        <v>11658</v>
      </c>
      <c r="AL391" s="2">
        <v>0</v>
      </c>
      <c r="AM391" s="2">
        <v>0</v>
      </c>
      <c r="AN391" s="2">
        <v>0</v>
      </c>
      <c r="AO391" t="s">
        <v>44</v>
      </c>
      <c r="AP391" t="s">
        <v>11281</v>
      </c>
      <c r="AQ391" t="s">
        <v>4585</v>
      </c>
    </row>
    <row r="392" spans="1:43" x14ac:dyDescent="0.2">
      <c r="A392" t="s">
        <v>11657</v>
      </c>
      <c r="B392" t="s">
        <v>11037</v>
      </c>
      <c r="C392" t="s">
        <v>11276</v>
      </c>
      <c r="D392" t="s">
        <v>11661</v>
      </c>
      <c r="E392" t="s">
        <v>4578</v>
      </c>
      <c r="F392" t="s">
        <v>11661</v>
      </c>
      <c r="G392" s="1">
        <v>38558</v>
      </c>
      <c r="H392" s="2">
        <v>20709380.390000001</v>
      </c>
      <c r="I392" s="2">
        <v>27124396.260000002</v>
      </c>
      <c r="J392" s="2">
        <v>0</v>
      </c>
      <c r="K392" s="2">
        <v>845531.93</v>
      </c>
      <c r="L392" s="2">
        <v>27969928.190000001</v>
      </c>
      <c r="M392" s="3">
        <v>70347</v>
      </c>
      <c r="N392" s="4">
        <v>6.3634599999999999E-2</v>
      </c>
      <c r="O392" s="5" t="s">
        <v>44</v>
      </c>
      <c r="P392" s="5" t="s">
        <v>44</v>
      </c>
      <c r="Q392" s="1"/>
      <c r="R392" s="2"/>
      <c r="S392" s="6"/>
      <c r="T392" t="s">
        <v>10902</v>
      </c>
      <c r="U392" t="s">
        <v>10902</v>
      </c>
      <c r="V392" t="s">
        <v>10902</v>
      </c>
      <c r="W392" t="s">
        <v>43</v>
      </c>
      <c r="X392" t="s">
        <v>11279</v>
      </c>
      <c r="Y392" t="s">
        <v>11280</v>
      </c>
      <c r="Z392" t="s">
        <v>11276</v>
      </c>
      <c r="AA392" t="s">
        <v>44</v>
      </c>
      <c r="AB392" t="s">
        <v>44</v>
      </c>
      <c r="AC392" s="4"/>
      <c r="AD392" s="4"/>
      <c r="AE392" s="2">
        <v>0</v>
      </c>
      <c r="AF392" s="4">
        <v>0</v>
      </c>
      <c r="AG392" s="2">
        <v>5.28</v>
      </c>
      <c r="AH392" s="2">
        <v>27969928.190000001</v>
      </c>
      <c r="AI392" s="2">
        <v>0.06</v>
      </c>
      <c r="AJ392" s="5">
        <v>44673</v>
      </c>
      <c r="AK392" t="s">
        <v>11658</v>
      </c>
      <c r="AL392" s="2">
        <v>0</v>
      </c>
      <c r="AM392" s="2">
        <v>0</v>
      </c>
      <c r="AN392" s="2">
        <v>0</v>
      </c>
      <c r="AO392" t="s">
        <v>44</v>
      </c>
      <c r="AP392" t="s">
        <v>2559</v>
      </c>
      <c r="AQ392" t="s">
        <v>4578</v>
      </c>
    </row>
    <row r="393" spans="1:43" x14ac:dyDescent="0.2">
      <c r="A393" t="s">
        <v>11657</v>
      </c>
      <c r="B393" t="s">
        <v>11037</v>
      </c>
      <c r="C393" t="s">
        <v>11276</v>
      </c>
      <c r="D393" t="s">
        <v>11662</v>
      </c>
      <c r="E393" t="s">
        <v>2017</v>
      </c>
      <c r="F393" t="s">
        <v>11662</v>
      </c>
      <c r="G393" s="1">
        <v>1915</v>
      </c>
      <c r="H393" s="2">
        <v>2806025.26</v>
      </c>
      <c r="I393" s="2">
        <v>3378864.3</v>
      </c>
      <c r="J393" s="2">
        <v>0</v>
      </c>
      <c r="K393" s="2">
        <v>0</v>
      </c>
      <c r="L393" s="2">
        <v>3378864.3</v>
      </c>
      <c r="M393" s="3">
        <v>176442</v>
      </c>
      <c r="N393" s="4">
        <v>7.6872800000000003E-3</v>
      </c>
      <c r="O393" s="5" t="s">
        <v>44</v>
      </c>
      <c r="P393" s="5" t="s">
        <v>44</v>
      </c>
      <c r="Q393" s="1"/>
      <c r="R393" s="2"/>
      <c r="S393" s="6"/>
      <c r="T393" t="s">
        <v>10902</v>
      </c>
      <c r="U393" t="s">
        <v>10902</v>
      </c>
      <c r="V393" t="s">
        <v>10902</v>
      </c>
      <c r="W393" t="s">
        <v>43</v>
      </c>
      <c r="X393" t="s">
        <v>11279</v>
      </c>
      <c r="Y393" t="s">
        <v>11280</v>
      </c>
      <c r="Z393" t="s">
        <v>11276</v>
      </c>
      <c r="AA393" t="s">
        <v>44</v>
      </c>
      <c r="AB393" t="s">
        <v>44</v>
      </c>
      <c r="AC393" s="4"/>
      <c r="AD393" s="4"/>
      <c r="AE393" s="2">
        <v>0</v>
      </c>
      <c r="AF393" s="4">
        <v>0</v>
      </c>
      <c r="AG393" s="2">
        <v>0.64</v>
      </c>
      <c r="AH393" s="2">
        <v>3378864.3</v>
      </c>
      <c r="AI393" s="2">
        <v>0.01</v>
      </c>
      <c r="AJ393" s="5">
        <v>44673</v>
      </c>
      <c r="AK393" t="s">
        <v>11658</v>
      </c>
      <c r="AL393" s="2">
        <v>0</v>
      </c>
      <c r="AM393" s="2">
        <v>0</v>
      </c>
      <c r="AN393" s="2">
        <v>0</v>
      </c>
      <c r="AO393" t="s">
        <v>44</v>
      </c>
      <c r="AP393" t="s">
        <v>11663</v>
      </c>
      <c r="AQ393" t="s">
        <v>2017</v>
      </c>
    </row>
    <row r="394" spans="1:43" x14ac:dyDescent="0.2">
      <c r="A394" t="s">
        <v>11657</v>
      </c>
      <c r="B394" t="s">
        <v>11037</v>
      </c>
      <c r="C394" t="s">
        <v>11276</v>
      </c>
      <c r="D394" t="s">
        <v>11664</v>
      </c>
      <c r="E394" t="s">
        <v>4492</v>
      </c>
      <c r="F394" t="s">
        <v>11664</v>
      </c>
      <c r="G394" s="1">
        <v>13112</v>
      </c>
      <c r="H394" s="2">
        <v>3226046.49</v>
      </c>
      <c r="I394" s="2">
        <v>4310307.76</v>
      </c>
      <c r="J394" s="2">
        <v>0</v>
      </c>
      <c r="K394" s="2">
        <v>0</v>
      </c>
      <c r="L394" s="2">
        <v>4310307.76</v>
      </c>
      <c r="M394" s="3">
        <v>32873</v>
      </c>
      <c r="N394" s="4">
        <v>9.8064099999999998E-3</v>
      </c>
      <c r="O394" s="5" t="s">
        <v>44</v>
      </c>
      <c r="P394" s="5" t="s">
        <v>44</v>
      </c>
      <c r="Q394" s="1"/>
      <c r="R394" s="2"/>
      <c r="S394" s="6"/>
      <c r="T394" t="s">
        <v>10902</v>
      </c>
      <c r="U394" t="s">
        <v>10902</v>
      </c>
      <c r="V394" t="s">
        <v>10902</v>
      </c>
      <c r="W394" t="s">
        <v>43</v>
      </c>
      <c r="X394" t="s">
        <v>11279</v>
      </c>
      <c r="Y394" t="s">
        <v>11280</v>
      </c>
      <c r="Z394" t="s">
        <v>11276</v>
      </c>
      <c r="AA394" t="s">
        <v>44</v>
      </c>
      <c r="AB394" t="s">
        <v>44</v>
      </c>
      <c r="AC394" s="4"/>
      <c r="AD394" s="4"/>
      <c r="AE394" s="2">
        <v>0</v>
      </c>
      <c r="AF394" s="4">
        <v>0</v>
      </c>
      <c r="AG394" s="2">
        <v>0.81</v>
      </c>
      <c r="AH394" s="2">
        <v>4310307.76</v>
      </c>
      <c r="AI394" s="2">
        <v>0.01</v>
      </c>
      <c r="AJ394" s="5">
        <v>44673</v>
      </c>
      <c r="AK394" t="s">
        <v>11658</v>
      </c>
      <c r="AL394" s="2">
        <v>0</v>
      </c>
      <c r="AM394" s="2">
        <v>0</v>
      </c>
      <c r="AN394" s="2">
        <v>0</v>
      </c>
      <c r="AO394" t="s">
        <v>44</v>
      </c>
      <c r="AP394" t="s">
        <v>11665</v>
      </c>
      <c r="AQ394" t="s">
        <v>4492</v>
      </c>
    </row>
    <row r="395" spans="1:43" x14ac:dyDescent="0.2">
      <c r="A395" t="s">
        <v>11657</v>
      </c>
      <c r="B395" t="s">
        <v>11037</v>
      </c>
      <c r="C395" t="s">
        <v>11276</v>
      </c>
      <c r="D395" t="s">
        <v>11736</v>
      </c>
      <c r="E395" t="s">
        <v>11737</v>
      </c>
      <c r="F395" t="s">
        <v>985</v>
      </c>
      <c r="G395" s="1">
        <v>8833</v>
      </c>
      <c r="H395" s="2">
        <v>4548995</v>
      </c>
      <c r="I395" s="2">
        <v>4778917.99</v>
      </c>
      <c r="J395" s="2">
        <v>0</v>
      </c>
      <c r="K395" s="2">
        <v>0</v>
      </c>
      <c r="L395" s="2">
        <v>4778917.99</v>
      </c>
      <c r="M395" s="3">
        <v>54103</v>
      </c>
      <c r="N395" s="4">
        <v>1.087255E-2</v>
      </c>
      <c r="O395" s="5" t="s">
        <v>44</v>
      </c>
      <c r="P395" s="5" t="s">
        <v>44</v>
      </c>
      <c r="Q395" s="1"/>
      <c r="R395" s="2"/>
      <c r="S395" s="6"/>
      <c r="T395" t="s">
        <v>10902</v>
      </c>
      <c r="U395" t="s">
        <v>10902</v>
      </c>
      <c r="V395" t="s">
        <v>10902</v>
      </c>
      <c r="W395" t="s">
        <v>43</v>
      </c>
      <c r="X395" t="s">
        <v>11279</v>
      </c>
      <c r="Y395" t="s">
        <v>11280</v>
      </c>
      <c r="Z395" t="s">
        <v>11276</v>
      </c>
      <c r="AA395" t="s">
        <v>44</v>
      </c>
      <c r="AB395" t="s">
        <v>44</v>
      </c>
      <c r="AC395" s="4"/>
      <c r="AD395" s="4"/>
      <c r="AE395" s="2">
        <v>0</v>
      </c>
      <c r="AF395" s="4">
        <v>0</v>
      </c>
      <c r="AG395" s="2">
        <v>0.9</v>
      </c>
      <c r="AH395" s="2">
        <v>4778917.99</v>
      </c>
      <c r="AI395" s="2">
        <v>0.01</v>
      </c>
      <c r="AJ395" s="5">
        <v>44673</v>
      </c>
      <c r="AK395" t="s">
        <v>11658</v>
      </c>
      <c r="AL395" s="2">
        <v>0</v>
      </c>
      <c r="AM395" s="2">
        <v>0</v>
      </c>
      <c r="AN395" s="2">
        <v>0</v>
      </c>
      <c r="AO395" t="s">
        <v>44</v>
      </c>
      <c r="AP395" t="s">
        <v>990</v>
      </c>
      <c r="AQ395" t="s">
        <v>11737</v>
      </c>
    </row>
    <row r="396" spans="1:43" x14ac:dyDescent="0.2">
      <c r="A396" t="s">
        <v>11657</v>
      </c>
      <c r="B396" t="s">
        <v>11037</v>
      </c>
      <c r="C396" t="s">
        <v>11276</v>
      </c>
      <c r="D396" t="s">
        <v>6112</v>
      </c>
      <c r="E396" t="s">
        <v>4527</v>
      </c>
      <c r="F396" t="s">
        <v>6112</v>
      </c>
      <c r="G396" s="1">
        <v>7091</v>
      </c>
      <c r="H396" s="2">
        <v>1236713.29</v>
      </c>
      <c r="I396" s="2">
        <v>1557750.88</v>
      </c>
      <c r="J396" s="2">
        <v>0</v>
      </c>
      <c r="K396" s="2">
        <v>0</v>
      </c>
      <c r="L396" s="2">
        <v>1557750.88</v>
      </c>
      <c r="M396" s="3">
        <v>21968</v>
      </c>
      <c r="N396" s="4">
        <v>3.54405E-3</v>
      </c>
      <c r="O396" s="5" t="s">
        <v>44</v>
      </c>
      <c r="P396" s="5" t="s">
        <v>44</v>
      </c>
      <c r="Q396" s="1"/>
      <c r="R396" s="2"/>
      <c r="S396" s="6"/>
      <c r="T396" t="s">
        <v>10902</v>
      </c>
      <c r="U396" t="s">
        <v>10902</v>
      </c>
      <c r="V396" t="s">
        <v>10902</v>
      </c>
      <c r="W396" t="s">
        <v>43</v>
      </c>
      <c r="X396" t="s">
        <v>11279</v>
      </c>
      <c r="Y396" t="s">
        <v>11280</v>
      </c>
      <c r="Z396" t="s">
        <v>11276</v>
      </c>
      <c r="AA396" t="s">
        <v>44</v>
      </c>
      <c r="AB396" t="s">
        <v>44</v>
      </c>
      <c r="AC396" s="4"/>
      <c r="AD396" s="4"/>
      <c r="AE396" s="2">
        <v>0</v>
      </c>
      <c r="AF396" s="4">
        <v>0</v>
      </c>
      <c r="AG396" s="2">
        <v>0.28999999999999998</v>
      </c>
      <c r="AH396" s="2">
        <v>1557750.88</v>
      </c>
      <c r="AI396" s="2">
        <v>0</v>
      </c>
      <c r="AJ396" s="5">
        <v>44673</v>
      </c>
      <c r="AK396" t="s">
        <v>11658</v>
      </c>
      <c r="AL396" s="2">
        <v>0</v>
      </c>
      <c r="AM396" s="2">
        <v>0</v>
      </c>
      <c r="AN396" s="2">
        <v>0</v>
      </c>
      <c r="AO396" t="s">
        <v>44</v>
      </c>
      <c r="AP396" t="s">
        <v>11666</v>
      </c>
      <c r="AQ396" t="s">
        <v>4527</v>
      </c>
    </row>
    <row r="397" spans="1:43" x14ac:dyDescent="0.2">
      <c r="A397" t="s">
        <v>11657</v>
      </c>
      <c r="B397" t="s">
        <v>11037</v>
      </c>
      <c r="C397" t="s">
        <v>11276</v>
      </c>
      <c r="D397" t="s">
        <v>11667</v>
      </c>
      <c r="E397" t="s">
        <v>4605</v>
      </c>
      <c r="F397" t="s">
        <v>11667</v>
      </c>
      <c r="G397" s="1">
        <v>26460</v>
      </c>
      <c r="H397" s="2">
        <v>1711270.39</v>
      </c>
      <c r="I397" s="2">
        <v>2535132.6</v>
      </c>
      <c r="J397" s="2">
        <v>0</v>
      </c>
      <c r="K397" s="2">
        <v>0</v>
      </c>
      <c r="L397" s="2">
        <v>2535132.6</v>
      </c>
      <c r="M397" s="3">
        <v>9581</v>
      </c>
      <c r="N397" s="4">
        <v>5.7676999999999997E-3</v>
      </c>
      <c r="O397" s="5" t="s">
        <v>44</v>
      </c>
      <c r="P397" s="5" t="s">
        <v>44</v>
      </c>
      <c r="Q397" s="1"/>
      <c r="R397" s="2"/>
      <c r="S397" s="6"/>
      <c r="T397" t="s">
        <v>10902</v>
      </c>
      <c r="U397" t="s">
        <v>10902</v>
      </c>
      <c r="V397" t="s">
        <v>10902</v>
      </c>
      <c r="W397" t="s">
        <v>43</v>
      </c>
      <c r="X397" t="s">
        <v>11279</v>
      </c>
      <c r="Y397" t="s">
        <v>11280</v>
      </c>
      <c r="Z397" t="s">
        <v>11276</v>
      </c>
      <c r="AA397" t="s">
        <v>44</v>
      </c>
      <c r="AB397" t="s">
        <v>44</v>
      </c>
      <c r="AC397" s="4"/>
      <c r="AD397" s="4"/>
      <c r="AE397" s="2">
        <v>0</v>
      </c>
      <c r="AF397" s="4">
        <v>0</v>
      </c>
      <c r="AG397" s="2">
        <v>0.48</v>
      </c>
      <c r="AH397" s="2">
        <v>2535132.6</v>
      </c>
      <c r="AI397" s="2">
        <v>0.01</v>
      </c>
      <c r="AJ397" s="5">
        <v>44673</v>
      </c>
      <c r="AK397" t="s">
        <v>11658</v>
      </c>
      <c r="AL397" s="2">
        <v>0</v>
      </c>
      <c r="AM397" s="2">
        <v>0</v>
      </c>
      <c r="AN397" s="2">
        <v>0</v>
      </c>
      <c r="AO397" t="s">
        <v>44</v>
      </c>
      <c r="AP397" t="s">
        <v>2095</v>
      </c>
      <c r="AQ397" t="s">
        <v>4605</v>
      </c>
    </row>
    <row r="398" spans="1:43" x14ac:dyDescent="0.2">
      <c r="A398" t="s">
        <v>11657</v>
      </c>
      <c r="B398" t="s">
        <v>11037</v>
      </c>
      <c r="C398" t="s">
        <v>11276</v>
      </c>
      <c r="D398" t="s">
        <v>6034</v>
      </c>
      <c r="E398" t="s">
        <v>4499</v>
      </c>
      <c r="F398" t="s">
        <v>6034</v>
      </c>
      <c r="G398" s="1">
        <v>28309</v>
      </c>
      <c r="H398" s="2">
        <v>3950744.97</v>
      </c>
      <c r="I398" s="2">
        <v>6063504.71</v>
      </c>
      <c r="J398" s="2">
        <v>0</v>
      </c>
      <c r="K398" s="2">
        <v>0</v>
      </c>
      <c r="L398" s="2">
        <v>6063504.71</v>
      </c>
      <c r="M398" s="3">
        <v>21419</v>
      </c>
      <c r="N398" s="4">
        <v>1.3795129999999999E-2</v>
      </c>
      <c r="O398" s="5" t="s">
        <v>44</v>
      </c>
      <c r="P398" s="5" t="s">
        <v>44</v>
      </c>
      <c r="Q398" s="1"/>
      <c r="R398" s="2"/>
      <c r="S398" s="6"/>
      <c r="T398" t="s">
        <v>10902</v>
      </c>
      <c r="U398" t="s">
        <v>10902</v>
      </c>
      <c r="V398" t="s">
        <v>10902</v>
      </c>
      <c r="W398" t="s">
        <v>43</v>
      </c>
      <c r="X398" t="s">
        <v>11279</v>
      </c>
      <c r="Y398" t="s">
        <v>11280</v>
      </c>
      <c r="Z398" t="s">
        <v>11276</v>
      </c>
      <c r="AA398" t="s">
        <v>44</v>
      </c>
      <c r="AB398" t="s">
        <v>44</v>
      </c>
      <c r="AC398" s="4"/>
      <c r="AD398" s="4"/>
      <c r="AE398" s="2">
        <v>0</v>
      </c>
      <c r="AF398" s="4">
        <v>0</v>
      </c>
      <c r="AG398" s="2">
        <v>1.1399999999999999</v>
      </c>
      <c r="AH398" s="2">
        <v>6063504.71</v>
      </c>
      <c r="AI398" s="2">
        <v>0.01</v>
      </c>
      <c r="AJ398" s="5">
        <v>44673</v>
      </c>
      <c r="AK398" t="s">
        <v>11658</v>
      </c>
      <c r="AL398" s="2">
        <v>0</v>
      </c>
      <c r="AM398" s="2">
        <v>0</v>
      </c>
      <c r="AN398" s="2">
        <v>0</v>
      </c>
      <c r="AO398" t="s">
        <v>44</v>
      </c>
      <c r="AP398" t="s">
        <v>11668</v>
      </c>
      <c r="AQ398" t="s">
        <v>4499</v>
      </c>
    </row>
    <row r="399" spans="1:43" x14ac:dyDescent="0.2">
      <c r="A399" t="s">
        <v>11657</v>
      </c>
      <c r="B399" t="s">
        <v>11037</v>
      </c>
      <c r="C399" t="s">
        <v>11276</v>
      </c>
      <c r="D399" t="s">
        <v>11284</v>
      </c>
      <c r="E399" t="s">
        <v>4506</v>
      </c>
      <c r="F399" t="s">
        <v>11284</v>
      </c>
      <c r="G399" s="1">
        <v>15310</v>
      </c>
      <c r="H399" s="2">
        <v>750369.38</v>
      </c>
      <c r="I399" s="2">
        <v>1007091.8</v>
      </c>
      <c r="J399" s="2">
        <v>0</v>
      </c>
      <c r="K399" s="2">
        <v>0</v>
      </c>
      <c r="L399" s="2">
        <v>1007091.8</v>
      </c>
      <c r="M399" s="3">
        <v>6578</v>
      </c>
      <c r="N399" s="4">
        <v>2.2912399999999999E-3</v>
      </c>
      <c r="O399" s="5" t="s">
        <v>44</v>
      </c>
      <c r="P399" s="5" t="s">
        <v>44</v>
      </c>
      <c r="Q399" s="1"/>
      <c r="R399" s="2"/>
      <c r="S399" s="6"/>
      <c r="T399" t="s">
        <v>10902</v>
      </c>
      <c r="U399" t="s">
        <v>10902</v>
      </c>
      <c r="V399" t="s">
        <v>10902</v>
      </c>
      <c r="W399" t="s">
        <v>43</v>
      </c>
      <c r="X399" t="s">
        <v>11279</v>
      </c>
      <c r="Y399" t="s">
        <v>11280</v>
      </c>
      <c r="Z399" t="s">
        <v>11276</v>
      </c>
      <c r="AA399" t="s">
        <v>44</v>
      </c>
      <c r="AB399" t="s">
        <v>44</v>
      </c>
      <c r="AC399" s="4"/>
      <c r="AD399" s="4"/>
      <c r="AE399" s="2">
        <v>0</v>
      </c>
      <c r="AF399" s="4">
        <v>0</v>
      </c>
      <c r="AG399" s="2">
        <v>0.19</v>
      </c>
      <c r="AH399" s="2">
        <v>1007091.8</v>
      </c>
      <c r="AI399" s="2">
        <v>0</v>
      </c>
      <c r="AJ399" s="5">
        <v>44673</v>
      </c>
      <c r="AK399" t="s">
        <v>11658</v>
      </c>
      <c r="AL399" s="2">
        <v>0</v>
      </c>
      <c r="AM399" s="2">
        <v>0</v>
      </c>
      <c r="AN399" s="2">
        <v>0</v>
      </c>
      <c r="AO399" t="s">
        <v>44</v>
      </c>
      <c r="AP399" t="s">
        <v>11285</v>
      </c>
      <c r="AQ399" t="s">
        <v>4506</v>
      </c>
    </row>
    <row r="400" spans="1:43" x14ac:dyDescent="0.2">
      <c r="A400" t="s">
        <v>11657</v>
      </c>
      <c r="B400" t="s">
        <v>11037</v>
      </c>
      <c r="C400" t="s">
        <v>11276</v>
      </c>
      <c r="D400" t="s">
        <v>6081</v>
      </c>
      <c r="E400" t="s">
        <v>4549</v>
      </c>
      <c r="F400" t="s">
        <v>6081</v>
      </c>
      <c r="G400" s="1">
        <v>25731</v>
      </c>
      <c r="H400" s="2">
        <v>4690864.79</v>
      </c>
      <c r="I400" s="2">
        <v>5238574.29</v>
      </c>
      <c r="J400" s="2">
        <v>0</v>
      </c>
      <c r="K400" s="2">
        <v>0</v>
      </c>
      <c r="L400" s="2">
        <v>5238574.29</v>
      </c>
      <c r="M400" s="3">
        <v>20359</v>
      </c>
      <c r="N400" s="4">
        <v>1.191832E-2</v>
      </c>
      <c r="O400" s="5" t="s">
        <v>44</v>
      </c>
      <c r="P400" s="5" t="s">
        <v>44</v>
      </c>
      <c r="Q400" s="1"/>
      <c r="R400" s="2"/>
      <c r="S400" s="6"/>
      <c r="T400" t="s">
        <v>10902</v>
      </c>
      <c r="U400" t="s">
        <v>10902</v>
      </c>
      <c r="V400" t="s">
        <v>10902</v>
      </c>
      <c r="W400" t="s">
        <v>43</v>
      </c>
      <c r="X400" t="s">
        <v>11279</v>
      </c>
      <c r="Y400" t="s">
        <v>11280</v>
      </c>
      <c r="Z400" t="s">
        <v>11276</v>
      </c>
      <c r="AA400" t="s">
        <v>44</v>
      </c>
      <c r="AB400" t="s">
        <v>44</v>
      </c>
      <c r="AC400" s="4"/>
      <c r="AD400" s="4"/>
      <c r="AE400" s="2">
        <v>0</v>
      </c>
      <c r="AF400" s="4">
        <v>0</v>
      </c>
      <c r="AG400" s="2">
        <v>0.99</v>
      </c>
      <c r="AH400" s="2">
        <v>5238574.29</v>
      </c>
      <c r="AI400" s="2">
        <v>0.01</v>
      </c>
      <c r="AJ400" s="5">
        <v>44673</v>
      </c>
      <c r="AK400" t="s">
        <v>11658</v>
      </c>
      <c r="AL400" s="2">
        <v>0</v>
      </c>
      <c r="AM400" s="2">
        <v>0</v>
      </c>
      <c r="AN400" s="2">
        <v>0</v>
      </c>
      <c r="AO400" t="s">
        <v>44</v>
      </c>
      <c r="AP400" t="s">
        <v>11669</v>
      </c>
      <c r="AQ400" t="s">
        <v>4549</v>
      </c>
    </row>
    <row r="401" spans="1:43" x14ac:dyDescent="0.2">
      <c r="A401" t="s">
        <v>11657</v>
      </c>
      <c r="B401" t="s">
        <v>11037</v>
      </c>
      <c r="C401" t="s">
        <v>11276</v>
      </c>
      <c r="D401" t="s">
        <v>6278</v>
      </c>
      <c r="E401" t="s">
        <v>4640</v>
      </c>
      <c r="F401" t="s">
        <v>6278</v>
      </c>
      <c r="G401" s="1">
        <v>1556</v>
      </c>
      <c r="H401" s="2">
        <v>826915.03</v>
      </c>
      <c r="I401" s="2">
        <v>788425.2</v>
      </c>
      <c r="J401" s="2">
        <v>0</v>
      </c>
      <c r="K401" s="2">
        <v>0</v>
      </c>
      <c r="L401" s="2">
        <v>788425.2</v>
      </c>
      <c r="M401" s="3">
        <v>50670</v>
      </c>
      <c r="N401" s="4">
        <v>1.79375E-3</v>
      </c>
      <c r="O401" s="5" t="s">
        <v>44</v>
      </c>
      <c r="P401" s="5" t="s">
        <v>44</v>
      </c>
      <c r="Q401" s="1"/>
      <c r="R401" s="2"/>
      <c r="S401" s="6"/>
      <c r="T401" t="s">
        <v>10902</v>
      </c>
      <c r="U401" t="s">
        <v>10902</v>
      </c>
      <c r="V401" t="s">
        <v>10902</v>
      </c>
      <c r="W401" t="s">
        <v>43</v>
      </c>
      <c r="X401" t="s">
        <v>11286</v>
      </c>
      <c r="Y401" t="s">
        <v>11280</v>
      </c>
      <c r="Z401" t="s">
        <v>11276</v>
      </c>
      <c r="AA401" t="s">
        <v>44</v>
      </c>
      <c r="AB401" t="s">
        <v>44</v>
      </c>
      <c r="AC401" s="4"/>
      <c r="AD401" s="4"/>
      <c r="AE401" s="2">
        <v>0</v>
      </c>
      <c r="AF401" s="4">
        <v>0</v>
      </c>
      <c r="AG401" s="2">
        <v>0.15</v>
      </c>
      <c r="AH401" s="2">
        <v>788425.2</v>
      </c>
      <c r="AI401" s="2">
        <v>0</v>
      </c>
      <c r="AJ401" s="5">
        <v>44673</v>
      </c>
      <c r="AK401" t="s">
        <v>11658</v>
      </c>
      <c r="AL401" s="2">
        <v>0</v>
      </c>
      <c r="AM401" s="2">
        <v>0</v>
      </c>
      <c r="AN401" s="2">
        <v>0</v>
      </c>
      <c r="AO401" t="s">
        <v>44</v>
      </c>
      <c r="AP401" t="s">
        <v>11287</v>
      </c>
      <c r="AQ401" t="s">
        <v>4640</v>
      </c>
    </row>
    <row r="402" spans="1:43" x14ac:dyDescent="0.2">
      <c r="A402" t="s">
        <v>11657</v>
      </c>
      <c r="B402" t="s">
        <v>11037</v>
      </c>
      <c r="C402" t="s">
        <v>11276</v>
      </c>
      <c r="D402" t="s">
        <v>11288</v>
      </c>
      <c r="E402" t="s">
        <v>4628</v>
      </c>
      <c r="F402" t="s">
        <v>11288</v>
      </c>
      <c r="G402" s="1">
        <v>16366</v>
      </c>
      <c r="H402" s="2">
        <v>6030316.8099999996</v>
      </c>
      <c r="I402" s="2">
        <v>4948751.08</v>
      </c>
      <c r="J402" s="2">
        <v>0</v>
      </c>
      <c r="K402" s="2">
        <v>124950.83</v>
      </c>
      <c r="L402" s="2">
        <v>5073701.91</v>
      </c>
      <c r="M402" s="3">
        <v>30238</v>
      </c>
      <c r="N402" s="4">
        <v>1.154322E-2</v>
      </c>
      <c r="O402" s="5" t="s">
        <v>44</v>
      </c>
      <c r="P402" s="5" t="s">
        <v>44</v>
      </c>
      <c r="Q402" s="1"/>
      <c r="R402" s="2"/>
      <c r="S402" s="6"/>
      <c r="T402" t="s">
        <v>10902</v>
      </c>
      <c r="U402" t="s">
        <v>10902</v>
      </c>
      <c r="V402" t="s">
        <v>10902</v>
      </c>
      <c r="W402" t="s">
        <v>43</v>
      </c>
      <c r="X402" t="s">
        <v>11289</v>
      </c>
      <c r="Y402" t="s">
        <v>11280</v>
      </c>
      <c r="Z402" t="s">
        <v>11276</v>
      </c>
      <c r="AA402" t="s">
        <v>44</v>
      </c>
      <c r="AB402" t="s">
        <v>44</v>
      </c>
      <c r="AC402" s="4"/>
      <c r="AD402" s="4"/>
      <c r="AE402" s="2">
        <v>0</v>
      </c>
      <c r="AF402" s="4">
        <v>0</v>
      </c>
      <c r="AG402" s="2">
        <v>0.96</v>
      </c>
      <c r="AH402" s="2">
        <v>5073701.91</v>
      </c>
      <c r="AI402" s="2">
        <v>0.01</v>
      </c>
      <c r="AJ402" s="5">
        <v>44673</v>
      </c>
      <c r="AK402" t="s">
        <v>11658</v>
      </c>
      <c r="AL402" s="2">
        <v>0</v>
      </c>
      <c r="AM402" s="2">
        <v>0</v>
      </c>
      <c r="AN402" s="2">
        <v>0</v>
      </c>
      <c r="AO402" t="s">
        <v>44</v>
      </c>
      <c r="AP402" t="s">
        <v>5923</v>
      </c>
      <c r="AQ402" t="s">
        <v>4628</v>
      </c>
    </row>
    <row r="403" spans="1:43" x14ac:dyDescent="0.2">
      <c r="A403" t="s">
        <v>11657</v>
      </c>
      <c r="B403" t="s">
        <v>11037</v>
      </c>
      <c r="C403" t="s">
        <v>11276</v>
      </c>
      <c r="D403" t="s">
        <v>11670</v>
      </c>
      <c r="E403" t="s">
        <v>11671</v>
      </c>
      <c r="F403" t="s">
        <v>11672</v>
      </c>
      <c r="G403" s="1">
        <v>11579</v>
      </c>
      <c r="H403" s="2">
        <v>2100422.5</v>
      </c>
      <c r="I403" s="2">
        <v>2131462.3199999998</v>
      </c>
      <c r="J403" s="2">
        <v>0</v>
      </c>
      <c r="K403" s="2">
        <v>0</v>
      </c>
      <c r="L403" s="2">
        <v>2131462.3199999998</v>
      </c>
      <c r="M403" s="3">
        <v>18408</v>
      </c>
      <c r="N403" s="4">
        <v>4.8493099999999999E-3</v>
      </c>
      <c r="O403" s="5" t="s">
        <v>44</v>
      </c>
      <c r="P403" s="5" t="s">
        <v>44</v>
      </c>
      <c r="Q403" s="1"/>
      <c r="R403" s="2"/>
      <c r="S403" s="6"/>
      <c r="T403" t="s">
        <v>10902</v>
      </c>
      <c r="U403" t="s">
        <v>10902</v>
      </c>
      <c r="V403" t="s">
        <v>10902</v>
      </c>
      <c r="W403" t="s">
        <v>43</v>
      </c>
      <c r="X403" t="s">
        <v>11279</v>
      </c>
      <c r="Y403" t="s">
        <v>11280</v>
      </c>
      <c r="Z403" t="s">
        <v>11276</v>
      </c>
      <c r="AA403" t="s">
        <v>44</v>
      </c>
      <c r="AB403" t="s">
        <v>44</v>
      </c>
      <c r="AC403" s="4"/>
      <c r="AD403" s="4"/>
      <c r="AE403" s="2">
        <v>0</v>
      </c>
      <c r="AF403" s="4">
        <v>0</v>
      </c>
      <c r="AG403" s="2">
        <v>0.4</v>
      </c>
      <c r="AH403" s="2">
        <v>2131462.3199999998</v>
      </c>
      <c r="AI403" s="2">
        <v>0</v>
      </c>
      <c r="AJ403" s="5">
        <v>44673</v>
      </c>
      <c r="AK403" t="s">
        <v>11658</v>
      </c>
      <c r="AL403" s="2">
        <v>0</v>
      </c>
      <c r="AM403" s="2">
        <v>0</v>
      </c>
      <c r="AN403" s="2">
        <v>0</v>
      </c>
      <c r="AO403" t="s">
        <v>44</v>
      </c>
      <c r="AP403" t="s">
        <v>11673</v>
      </c>
      <c r="AQ403" t="s">
        <v>11671</v>
      </c>
    </row>
    <row r="404" spans="1:43" x14ac:dyDescent="0.2">
      <c r="A404" t="s">
        <v>11657</v>
      </c>
      <c r="B404" t="s">
        <v>11037</v>
      </c>
      <c r="C404" t="s">
        <v>11276</v>
      </c>
      <c r="D404" t="s">
        <v>11290</v>
      </c>
      <c r="E404" t="s">
        <v>4478</v>
      </c>
      <c r="F404" t="s">
        <v>11290</v>
      </c>
      <c r="G404" s="1">
        <v>4834</v>
      </c>
      <c r="H404" s="2">
        <v>277379.77</v>
      </c>
      <c r="I404" s="2">
        <v>378985.6</v>
      </c>
      <c r="J404" s="2">
        <v>0</v>
      </c>
      <c r="K404" s="2">
        <v>0</v>
      </c>
      <c r="L404" s="2">
        <v>378985.6</v>
      </c>
      <c r="M404" s="3">
        <v>7840</v>
      </c>
      <c r="N404" s="4">
        <v>8.6222999999999996E-4</v>
      </c>
      <c r="O404" s="5" t="s">
        <v>44</v>
      </c>
      <c r="P404" s="5" t="s">
        <v>44</v>
      </c>
      <c r="Q404" s="1"/>
      <c r="R404" s="2"/>
      <c r="S404" s="6"/>
      <c r="T404" t="s">
        <v>10902</v>
      </c>
      <c r="U404" t="s">
        <v>10902</v>
      </c>
      <c r="V404" t="s">
        <v>10902</v>
      </c>
      <c r="W404" t="s">
        <v>43</v>
      </c>
      <c r="X404" t="s">
        <v>11277</v>
      </c>
      <c r="Y404" t="s">
        <v>11277</v>
      </c>
      <c r="Z404" t="s">
        <v>11276</v>
      </c>
      <c r="AA404" t="s">
        <v>44</v>
      </c>
      <c r="AB404" t="s">
        <v>44</v>
      </c>
      <c r="AC404" s="4"/>
      <c r="AD404" s="4"/>
      <c r="AE404" s="2">
        <v>0</v>
      </c>
      <c r="AF404" s="4">
        <v>0</v>
      </c>
      <c r="AG404" s="2">
        <v>7.0000000000000007E-2</v>
      </c>
      <c r="AH404" s="2">
        <v>378985.6</v>
      </c>
      <c r="AI404" s="2">
        <v>0</v>
      </c>
      <c r="AJ404" s="5">
        <v>44673</v>
      </c>
      <c r="AK404" t="s">
        <v>11658</v>
      </c>
      <c r="AL404" s="2">
        <v>0</v>
      </c>
      <c r="AM404" s="2">
        <v>0</v>
      </c>
      <c r="AN404" s="2">
        <v>0</v>
      </c>
      <c r="AO404" t="s">
        <v>44</v>
      </c>
      <c r="AP404" t="s">
        <v>11291</v>
      </c>
      <c r="AQ404" t="s">
        <v>4478</v>
      </c>
    </row>
    <row r="405" spans="1:43" x14ac:dyDescent="0.2">
      <c r="A405" t="s">
        <v>11657</v>
      </c>
      <c r="B405" t="s">
        <v>11037</v>
      </c>
      <c r="C405" t="s">
        <v>11276</v>
      </c>
      <c r="D405" t="s">
        <v>6743</v>
      </c>
      <c r="E405" t="s">
        <v>4570</v>
      </c>
      <c r="F405" t="s">
        <v>6743</v>
      </c>
      <c r="G405" s="1">
        <v>4947</v>
      </c>
      <c r="H405" s="2">
        <v>386458.19</v>
      </c>
      <c r="I405" s="2">
        <v>764459.91</v>
      </c>
      <c r="J405" s="2">
        <v>0</v>
      </c>
      <c r="K405" s="2">
        <v>0</v>
      </c>
      <c r="L405" s="2">
        <v>764459.91</v>
      </c>
      <c r="M405" s="3">
        <v>15453</v>
      </c>
      <c r="N405" s="4">
        <v>1.73923E-3</v>
      </c>
      <c r="O405" s="5" t="s">
        <v>44</v>
      </c>
      <c r="P405" s="5" t="s">
        <v>44</v>
      </c>
      <c r="Q405" s="1"/>
      <c r="R405" s="2"/>
      <c r="S405" s="6"/>
      <c r="T405" t="s">
        <v>10902</v>
      </c>
      <c r="U405" t="s">
        <v>10902</v>
      </c>
      <c r="V405" t="s">
        <v>10902</v>
      </c>
      <c r="W405" t="s">
        <v>43</v>
      </c>
      <c r="X405" t="s">
        <v>11279</v>
      </c>
      <c r="Y405" t="s">
        <v>11280</v>
      </c>
      <c r="Z405" t="s">
        <v>11276</v>
      </c>
      <c r="AA405" t="s">
        <v>44</v>
      </c>
      <c r="AB405" t="s">
        <v>44</v>
      </c>
      <c r="AC405" s="4"/>
      <c r="AD405" s="4"/>
      <c r="AE405" s="2">
        <v>0</v>
      </c>
      <c r="AF405" s="4">
        <v>0</v>
      </c>
      <c r="AG405" s="2">
        <v>0.14000000000000001</v>
      </c>
      <c r="AH405" s="2">
        <v>764459.91</v>
      </c>
      <c r="AI405" s="2">
        <v>0</v>
      </c>
      <c r="AJ405" s="5">
        <v>44673</v>
      </c>
      <c r="AK405" t="s">
        <v>11658</v>
      </c>
      <c r="AL405" s="2">
        <v>0</v>
      </c>
      <c r="AM405" s="2">
        <v>0</v>
      </c>
      <c r="AN405" s="2">
        <v>0</v>
      </c>
      <c r="AO405" t="s">
        <v>44</v>
      </c>
      <c r="AP405" t="s">
        <v>11294</v>
      </c>
      <c r="AQ405" t="s">
        <v>4570</v>
      </c>
    </row>
    <row r="406" spans="1:43" x14ac:dyDescent="0.2">
      <c r="A406" t="s">
        <v>11657</v>
      </c>
      <c r="B406" t="s">
        <v>11037</v>
      </c>
      <c r="C406" t="s">
        <v>11276</v>
      </c>
      <c r="D406" t="s">
        <v>6209</v>
      </c>
      <c r="E406" t="s">
        <v>520</v>
      </c>
      <c r="F406" t="s">
        <v>6209</v>
      </c>
      <c r="G406" s="1">
        <v>16289</v>
      </c>
      <c r="H406" s="2">
        <v>612556.74</v>
      </c>
      <c r="I406" s="2">
        <v>888402.06</v>
      </c>
      <c r="J406" s="2">
        <v>0</v>
      </c>
      <c r="K406" s="2">
        <v>0</v>
      </c>
      <c r="L406" s="2">
        <v>888402.06</v>
      </c>
      <c r="M406" s="3">
        <v>5454</v>
      </c>
      <c r="N406" s="4">
        <v>2.0212099999999998E-3</v>
      </c>
      <c r="O406" s="5" t="s">
        <v>44</v>
      </c>
      <c r="P406" s="5" t="s">
        <v>44</v>
      </c>
      <c r="Q406" s="1"/>
      <c r="R406" s="2"/>
      <c r="S406" s="6"/>
      <c r="T406" t="s">
        <v>10902</v>
      </c>
      <c r="U406" t="s">
        <v>10902</v>
      </c>
      <c r="V406" t="s">
        <v>10902</v>
      </c>
      <c r="W406" t="s">
        <v>43</v>
      </c>
      <c r="X406" t="s">
        <v>11289</v>
      </c>
      <c r="Y406" t="s">
        <v>11280</v>
      </c>
      <c r="Z406" t="s">
        <v>11276</v>
      </c>
      <c r="AA406" t="s">
        <v>44</v>
      </c>
      <c r="AB406" t="s">
        <v>44</v>
      </c>
      <c r="AC406" s="4"/>
      <c r="AD406" s="4"/>
      <c r="AE406" s="2">
        <v>0</v>
      </c>
      <c r="AF406" s="4">
        <v>0</v>
      </c>
      <c r="AG406" s="2">
        <v>0.17</v>
      </c>
      <c r="AH406" s="2">
        <v>888402.06</v>
      </c>
      <c r="AI406" s="2">
        <v>0</v>
      </c>
      <c r="AJ406" s="5">
        <v>44673</v>
      </c>
      <c r="AK406" t="s">
        <v>11658</v>
      </c>
      <c r="AL406" s="2">
        <v>0</v>
      </c>
      <c r="AM406" s="2">
        <v>0</v>
      </c>
      <c r="AN406" s="2">
        <v>0</v>
      </c>
      <c r="AO406" t="s">
        <v>44</v>
      </c>
      <c r="AP406" t="s">
        <v>11295</v>
      </c>
      <c r="AQ406" t="s">
        <v>520</v>
      </c>
    </row>
    <row r="407" spans="1:43" x14ac:dyDescent="0.2">
      <c r="A407" t="s">
        <v>11657</v>
      </c>
      <c r="B407" t="s">
        <v>11037</v>
      </c>
      <c r="C407" t="s">
        <v>11276</v>
      </c>
      <c r="D407" t="s">
        <v>5894</v>
      </c>
      <c r="E407" t="s">
        <v>4484</v>
      </c>
      <c r="F407" t="s">
        <v>5894</v>
      </c>
      <c r="G407" s="1">
        <v>17398</v>
      </c>
      <c r="H407" s="2">
        <v>4542338.0599999996</v>
      </c>
      <c r="I407" s="2">
        <v>6638380.8799999999</v>
      </c>
      <c r="J407" s="2">
        <v>0</v>
      </c>
      <c r="K407" s="2">
        <v>0</v>
      </c>
      <c r="L407" s="2">
        <v>6638380.8799999999</v>
      </c>
      <c r="M407" s="3">
        <v>38156</v>
      </c>
      <c r="N407" s="4">
        <v>1.510303E-2</v>
      </c>
      <c r="O407" s="5" t="s">
        <v>44</v>
      </c>
      <c r="P407" s="5" t="s">
        <v>44</v>
      </c>
      <c r="Q407" s="1"/>
      <c r="R407" s="2"/>
      <c r="S407" s="6"/>
      <c r="T407" t="s">
        <v>10902</v>
      </c>
      <c r="U407" t="s">
        <v>10902</v>
      </c>
      <c r="V407" t="s">
        <v>10902</v>
      </c>
      <c r="W407" t="s">
        <v>43</v>
      </c>
      <c r="X407" t="s">
        <v>11279</v>
      </c>
      <c r="Y407" t="s">
        <v>11280</v>
      </c>
      <c r="Z407" t="s">
        <v>11276</v>
      </c>
      <c r="AA407" t="s">
        <v>44</v>
      </c>
      <c r="AB407" t="s">
        <v>44</v>
      </c>
      <c r="AC407" s="4"/>
      <c r="AD407" s="4"/>
      <c r="AE407" s="2">
        <v>0</v>
      </c>
      <c r="AF407" s="4">
        <v>0</v>
      </c>
      <c r="AG407" s="2">
        <v>1.25</v>
      </c>
      <c r="AH407" s="2">
        <v>6638380.8799999999</v>
      </c>
      <c r="AI407" s="2">
        <v>0.02</v>
      </c>
      <c r="AJ407" s="5">
        <v>44673</v>
      </c>
      <c r="AK407" t="s">
        <v>11658</v>
      </c>
      <c r="AL407" s="2">
        <v>0</v>
      </c>
      <c r="AM407" s="2">
        <v>0</v>
      </c>
      <c r="AN407" s="2">
        <v>0</v>
      </c>
      <c r="AO407" t="s">
        <v>44</v>
      </c>
      <c r="AP407" t="s">
        <v>11674</v>
      </c>
      <c r="AQ407" t="s">
        <v>4484</v>
      </c>
    </row>
    <row r="408" spans="1:43" x14ac:dyDescent="0.2">
      <c r="A408" t="s">
        <v>11657</v>
      </c>
      <c r="B408" t="s">
        <v>11037</v>
      </c>
      <c r="C408" t="s">
        <v>11276</v>
      </c>
      <c r="D408" t="s">
        <v>11675</v>
      </c>
      <c r="E408" t="s">
        <v>11676</v>
      </c>
      <c r="F408" t="s">
        <v>11675</v>
      </c>
      <c r="G408" s="1">
        <v>88067</v>
      </c>
      <c r="H408" s="2">
        <v>4604347.54</v>
      </c>
      <c r="I408" s="2">
        <v>4990756.8899999997</v>
      </c>
      <c r="J408" s="2">
        <v>0</v>
      </c>
      <c r="K408" s="2">
        <v>0</v>
      </c>
      <c r="L408" s="2">
        <v>4990756.8899999997</v>
      </c>
      <c r="M408" s="3">
        <v>5667</v>
      </c>
      <c r="N408" s="4">
        <v>1.135451E-2</v>
      </c>
      <c r="O408" s="5" t="s">
        <v>44</v>
      </c>
      <c r="P408" s="5" t="s">
        <v>44</v>
      </c>
      <c r="Q408" s="1"/>
      <c r="R408" s="2"/>
      <c r="S408" s="6"/>
      <c r="T408" t="s">
        <v>10902</v>
      </c>
      <c r="U408" t="s">
        <v>10902</v>
      </c>
      <c r="V408" t="s">
        <v>10902</v>
      </c>
      <c r="W408" t="s">
        <v>43</v>
      </c>
      <c r="X408" t="s">
        <v>11279</v>
      </c>
      <c r="Y408" t="s">
        <v>11280</v>
      </c>
      <c r="Z408" t="s">
        <v>11276</v>
      </c>
      <c r="AA408" t="s">
        <v>44</v>
      </c>
      <c r="AB408" t="s">
        <v>44</v>
      </c>
      <c r="AC408" s="4"/>
      <c r="AD408" s="4"/>
      <c r="AE408" s="2">
        <v>0</v>
      </c>
      <c r="AF408" s="4">
        <v>0</v>
      </c>
      <c r="AG408" s="2">
        <v>0.94</v>
      </c>
      <c r="AH408" s="2">
        <v>4990756.8899999997</v>
      </c>
      <c r="AI408" s="2">
        <v>0.01</v>
      </c>
      <c r="AJ408" s="5">
        <v>44673</v>
      </c>
      <c r="AK408" t="s">
        <v>11658</v>
      </c>
      <c r="AL408" s="2">
        <v>0</v>
      </c>
      <c r="AM408" s="2">
        <v>0</v>
      </c>
      <c r="AN408" s="2">
        <v>0</v>
      </c>
      <c r="AO408" t="s">
        <v>44</v>
      </c>
      <c r="AP408" t="s">
        <v>11677</v>
      </c>
      <c r="AQ408" t="s">
        <v>11676</v>
      </c>
    </row>
    <row r="409" spans="1:43" x14ac:dyDescent="0.2">
      <c r="A409" t="s">
        <v>11657</v>
      </c>
      <c r="B409" t="s">
        <v>11037</v>
      </c>
      <c r="C409" t="s">
        <v>11276</v>
      </c>
      <c r="D409" t="s">
        <v>11678</v>
      </c>
      <c r="E409" t="s">
        <v>11679</v>
      </c>
      <c r="F409" t="s">
        <v>11680</v>
      </c>
      <c r="G409" s="1">
        <v>3992</v>
      </c>
      <c r="H409" s="2">
        <v>260232.92</v>
      </c>
      <c r="I409" s="2">
        <v>938998.24</v>
      </c>
      <c r="J409" s="2">
        <v>0</v>
      </c>
      <c r="K409" s="2">
        <v>0</v>
      </c>
      <c r="L409" s="2">
        <v>938998.24</v>
      </c>
      <c r="M409" s="3">
        <v>23522</v>
      </c>
      <c r="N409" s="4">
        <v>2.1363200000000001E-3</v>
      </c>
      <c r="O409" s="5" t="s">
        <v>44</v>
      </c>
      <c r="P409" s="5" t="s">
        <v>44</v>
      </c>
      <c r="Q409" s="1"/>
      <c r="R409" s="2"/>
      <c r="S409" s="6"/>
      <c r="T409" t="s">
        <v>10902</v>
      </c>
      <c r="U409" t="s">
        <v>10902</v>
      </c>
      <c r="V409" t="s">
        <v>10902</v>
      </c>
      <c r="W409" t="s">
        <v>43</v>
      </c>
      <c r="X409" t="s">
        <v>11279</v>
      </c>
      <c r="Y409" t="s">
        <v>11280</v>
      </c>
      <c r="Z409" t="s">
        <v>11276</v>
      </c>
      <c r="AA409" t="s">
        <v>44</v>
      </c>
      <c r="AB409" t="s">
        <v>44</v>
      </c>
      <c r="AC409" s="4"/>
      <c r="AD409" s="4"/>
      <c r="AE409" s="2">
        <v>0</v>
      </c>
      <c r="AF409" s="4">
        <v>0</v>
      </c>
      <c r="AG409" s="2">
        <v>0.18</v>
      </c>
      <c r="AH409" s="2">
        <v>938998.24</v>
      </c>
      <c r="AI409" s="2">
        <v>0</v>
      </c>
      <c r="AJ409" s="5">
        <v>44673</v>
      </c>
      <c r="AK409" t="s">
        <v>11658</v>
      </c>
      <c r="AL409" s="2">
        <v>0</v>
      </c>
      <c r="AM409" s="2">
        <v>0</v>
      </c>
      <c r="AN409" s="2">
        <v>0</v>
      </c>
      <c r="AO409" t="s">
        <v>44</v>
      </c>
      <c r="AP409" t="s">
        <v>11681</v>
      </c>
      <c r="AQ409" t="s">
        <v>11679</v>
      </c>
    </row>
    <row r="410" spans="1:43" x14ac:dyDescent="0.2">
      <c r="A410" t="s">
        <v>11657</v>
      </c>
      <c r="B410" t="s">
        <v>11037</v>
      </c>
      <c r="C410" t="s">
        <v>11296</v>
      </c>
      <c r="D410" t="s">
        <v>11297</v>
      </c>
      <c r="E410" t="s">
        <v>5955</v>
      </c>
      <c r="F410" t="s">
        <v>11297</v>
      </c>
      <c r="G410" s="1">
        <v>1720</v>
      </c>
      <c r="H410" s="2">
        <v>1522744.06</v>
      </c>
      <c r="I410" s="2">
        <v>1614168.4</v>
      </c>
      <c r="J410" s="2">
        <v>0</v>
      </c>
      <c r="K410" s="2">
        <v>0</v>
      </c>
      <c r="L410" s="2">
        <v>1614168.4</v>
      </c>
      <c r="M410" s="3">
        <v>93847</v>
      </c>
      <c r="N410" s="4">
        <v>3.6724100000000001E-3</v>
      </c>
      <c r="O410" s="5" t="s">
        <v>44</v>
      </c>
      <c r="P410" s="5" t="s">
        <v>44</v>
      </c>
      <c r="Q410" s="1"/>
      <c r="R410" s="2"/>
      <c r="S410" s="6"/>
      <c r="T410" t="s">
        <v>10902</v>
      </c>
      <c r="U410" t="s">
        <v>10902</v>
      </c>
      <c r="V410" t="s">
        <v>10902</v>
      </c>
      <c r="W410" t="s">
        <v>43</v>
      </c>
      <c r="X410" t="s">
        <v>11298</v>
      </c>
      <c r="Y410" t="s">
        <v>11299</v>
      </c>
      <c r="Z410" t="s">
        <v>11296</v>
      </c>
      <c r="AA410" t="s">
        <v>44</v>
      </c>
      <c r="AB410" t="s">
        <v>44</v>
      </c>
      <c r="AC410" s="4"/>
      <c r="AD410" s="4"/>
      <c r="AE410" s="2">
        <v>0</v>
      </c>
      <c r="AF410" s="4">
        <v>0</v>
      </c>
      <c r="AG410" s="2">
        <v>0.3</v>
      </c>
      <c r="AH410" s="2">
        <v>1614168.4</v>
      </c>
      <c r="AI410" s="2">
        <v>0</v>
      </c>
      <c r="AJ410" s="5">
        <v>44673</v>
      </c>
      <c r="AK410" t="s">
        <v>11658</v>
      </c>
      <c r="AL410" s="2">
        <v>0</v>
      </c>
      <c r="AM410" s="2">
        <v>0</v>
      </c>
      <c r="AN410" s="2">
        <v>0</v>
      </c>
      <c r="AO410" t="s">
        <v>44</v>
      </c>
      <c r="AP410" t="s">
        <v>1276</v>
      </c>
      <c r="AQ410" t="s">
        <v>5955</v>
      </c>
    </row>
    <row r="411" spans="1:43" x14ac:dyDescent="0.2">
      <c r="A411" t="s">
        <v>11657</v>
      </c>
      <c r="B411" t="s">
        <v>11037</v>
      </c>
      <c r="C411" t="s">
        <v>11296</v>
      </c>
      <c r="D411" t="s">
        <v>6200</v>
      </c>
      <c r="E411" t="s">
        <v>5051</v>
      </c>
      <c r="F411" t="s">
        <v>6200</v>
      </c>
      <c r="G411" s="1">
        <v>9546</v>
      </c>
      <c r="H411" s="2">
        <v>855106.23</v>
      </c>
      <c r="I411" s="2">
        <v>654855.6</v>
      </c>
      <c r="J411" s="2">
        <v>0</v>
      </c>
      <c r="K411" s="2">
        <v>0</v>
      </c>
      <c r="L411" s="2">
        <v>654855.6</v>
      </c>
      <c r="M411" s="3">
        <v>6860</v>
      </c>
      <c r="N411" s="4">
        <v>1.4898699999999999E-3</v>
      </c>
      <c r="O411" s="5" t="s">
        <v>44</v>
      </c>
      <c r="P411" s="5" t="s">
        <v>44</v>
      </c>
      <c r="Q411" s="1"/>
      <c r="R411" s="2"/>
      <c r="S411" s="6"/>
      <c r="T411" t="s">
        <v>10902</v>
      </c>
      <c r="U411" t="s">
        <v>10902</v>
      </c>
      <c r="V411" t="s">
        <v>10902</v>
      </c>
      <c r="W411" t="s">
        <v>43</v>
      </c>
      <c r="X411" t="s">
        <v>11300</v>
      </c>
      <c r="Y411" t="s">
        <v>11299</v>
      </c>
      <c r="Z411" t="s">
        <v>11296</v>
      </c>
      <c r="AA411" t="s">
        <v>44</v>
      </c>
      <c r="AB411" t="s">
        <v>44</v>
      </c>
      <c r="AC411" s="4"/>
      <c r="AD411" s="4"/>
      <c r="AE411" s="2">
        <v>0</v>
      </c>
      <c r="AF411" s="4">
        <v>0</v>
      </c>
      <c r="AG411" s="2">
        <v>0.12</v>
      </c>
      <c r="AH411" s="2">
        <v>654855.6</v>
      </c>
      <c r="AI411" s="2">
        <v>0</v>
      </c>
      <c r="AJ411" s="5">
        <v>44673</v>
      </c>
      <c r="AK411" t="s">
        <v>11658</v>
      </c>
      <c r="AL411" s="2">
        <v>0</v>
      </c>
      <c r="AM411" s="2">
        <v>0</v>
      </c>
      <c r="AN411" s="2">
        <v>0</v>
      </c>
      <c r="AO411" t="s">
        <v>44</v>
      </c>
      <c r="AP411" t="s">
        <v>11301</v>
      </c>
      <c r="AQ411" t="s">
        <v>5051</v>
      </c>
    </row>
    <row r="412" spans="1:43" x14ac:dyDescent="0.2">
      <c r="A412" t="s">
        <v>11657</v>
      </c>
      <c r="B412" t="s">
        <v>11037</v>
      </c>
      <c r="C412" t="s">
        <v>11296</v>
      </c>
      <c r="D412" t="s">
        <v>11682</v>
      </c>
      <c r="E412" t="s">
        <v>4951</v>
      </c>
      <c r="F412" t="s">
        <v>11682</v>
      </c>
      <c r="G412" s="1">
        <v>8013</v>
      </c>
      <c r="H412" s="2">
        <v>4420883.72</v>
      </c>
      <c r="I412" s="2">
        <v>5381931.4500000002</v>
      </c>
      <c r="J412" s="2">
        <v>0</v>
      </c>
      <c r="K412" s="2">
        <v>86081.79</v>
      </c>
      <c r="L412" s="2">
        <v>5468013.2400000002</v>
      </c>
      <c r="M412" s="3">
        <v>67165</v>
      </c>
      <c r="N412" s="4">
        <v>1.244032E-2</v>
      </c>
      <c r="O412" s="5" t="s">
        <v>44</v>
      </c>
      <c r="P412" s="5" t="s">
        <v>44</v>
      </c>
      <c r="Q412" s="1"/>
      <c r="R412" s="2"/>
      <c r="S412" s="6"/>
      <c r="T412" t="s">
        <v>10902</v>
      </c>
      <c r="U412" t="s">
        <v>10902</v>
      </c>
      <c r="V412" t="s">
        <v>10902</v>
      </c>
      <c r="W412" t="s">
        <v>43</v>
      </c>
      <c r="X412" t="s">
        <v>11683</v>
      </c>
      <c r="Y412" t="s">
        <v>11684</v>
      </c>
      <c r="Z412" t="s">
        <v>11296</v>
      </c>
      <c r="AA412" t="s">
        <v>44</v>
      </c>
      <c r="AB412" t="s">
        <v>44</v>
      </c>
      <c r="AC412" s="4"/>
      <c r="AD412" s="4"/>
      <c r="AE412" s="2">
        <v>0</v>
      </c>
      <c r="AF412" s="4">
        <v>0</v>
      </c>
      <c r="AG412" s="2">
        <v>1.03</v>
      </c>
      <c r="AH412" s="2">
        <v>5468013.2400000002</v>
      </c>
      <c r="AI412" s="2">
        <v>0.01</v>
      </c>
      <c r="AJ412" s="5">
        <v>44673</v>
      </c>
      <c r="AK412" t="s">
        <v>11658</v>
      </c>
      <c r="AL412" s="2">
        <v>0</v>
      </c>
      <c r="AM412" s="2">
        <v>0</v>
      </c>
      <c r="AN412" s="2">
        <v>0</v>
      </c>
      <c r="AO412" t="s">
        <v>44</v>
      </c>
      <c r="AP412" t="s">
        <v>819</v>
      </c>
      <c r="AQ412" t="s">
        <v>4951</v>
      </c>
    </row>
    <row r="413" spans="1:43" x14ac:dyDescent="0.2">
      <c r="A413" t="s">
        <v>11657</v>
      </c>
      <c r="B413" t="s">
        <v>11037</v>
      </c>
      <c r="C413" t="s">
        <v>11296</v>
      </c>
      <c r="D413" t="s">
        <v>11685</v>
      </c>
      <c r="E413" t="s">
        <v>1942</v>
      </c>
      <c r="F413" t="s">
        <v>11686</v>
      </c>
      <c r="G413" s="1">
        <v>161371</v>
      </c>
      <c r="H413" s="2">
        <v>25942877.41</v>
      </c>
      <c r="I413" s="2">
        <v>30959026.350000001</v>
      </c>
      <c r="J413" s="2">
        <v>0</v>
      </c>
      <c r="K413" s="2">
        <v>0</v>
      </c>
      <c r="L413" s="2">
        <v>30959026.350000001</v>
      </c>
      <c r="M413" s="3">
        <v>19185</v>
      </c>
      <c r="N413" s="4">
        <v>7.0435120000000004E-2</v>
      </c>
      <c r="O413" s="5" t="s">
        <v>44</v>
      </c>
      <c r="P413" s="5" t="s">
        <v>44</v>
      </c>
      <c r="Q413" s="1"/>
      <c r="R413" s="2"/>
      <c r="S413" s="6"/>
      <c r="T413" t="s">
        <v>10902</v>
      </c>
      <c r="U413" t="s">
        <v>10902</v>
      </c>
      <c r="V413" t="s">
        <v>10902</v>
      </c>
      <c r="W413" t="s">
        <v>43</v>
      </c>
      <c r="X413" t="s">
        <v>11687</v>
      </c>
      <c r="Y413" t="s">
        <v>11684</v>
      </c>
      <c r="Z413" t="s">
        <v>11296</v>
      </c>
      <c r="AA413" t="s">
        <v>44</v>
      </c>
      <c r="AB413" t="s">
        <v>44</v>
      </c>
      <c r="AC413" s="4"/>
      <c r="AD413" s="4"/>
      <c r="AE413" s="2">
        <v>0</v>
      </c>
      <c r="AF413" s="4">
        <v>0</v>
      </c>
      <c r="AG413" s="2">
        <v>5.84</v>
      </c>
      <c r="AH413" s="2">
        <v>30959026.350000001</v>
      </c>
      <c r="AI413" s="2">
        <v>7.0000000000000007E-2</v>
      </c>
      <c r="AJ413" s="5">
        <v>44673</v>
      </c>
      <c r="AK413" t="s">
        <v>11658</v>
      </c>
      <c r="AL413" s="2">
        <v>0</v>
      </c>
      <c r="AM413" s="2">
        <v>0</v>
      </c>
      <c r="AN413" s="2">
        <v>0</v>
      </c>
      <c r="AO413" t="s">
        <v>44</v>
      </c>
      <c r="AP413" t="s">
        <v>11688</v>
      </c>
      <c r="AQ413" t="s">
        <v>1942</v>
      </c>
    </row>
    <row r="414" spans="1:43" x14ac:dyDescent="0.2">
      <c r="A414" t="s">
        <v>11657</v>
      </c>
      <c r="B414" t="s">
        <v>11037</v>
      </c>
      <c r="C414" t="s">
        <v>11296</v>
      </c>
      <c r="D414" t="s">
        <v>6458</v>
      </c>
      <c r="E414" t="s">
        <v>5402</v>
      </c>
      <c r="F414" t="s">
        <v>11302</v>
      </c>
      <c r="G414" s="1">
        <v>2303</v>
      </c>
      <c r="H414" s="2">
        <v>420382.8</v>
      </c>
      <c r="I414" s="2">
        <v>398419</v>
      </c>
      <c r="J414" s="2">
        <v>0</v>
      </c>
      <c r="K414" s="2">
        <v>0</v>
      </c>
      <c r="L414" s="2">
        <v>398419</v>
      </c>
      <c r="M414" s="3">
        <v>17300</v>
      </c>
      <c r="N414" s="4">
        <v>9.0645000000000005E-4</v>
      </c>
      <c r="O414" s="5" t="s">
        <v>44</v>
      </c>
      <c r="P414" s="5" t="s">
        <v>44</v>
      </c>
      <c r="Q414" s="1"/>
      <c r="R414" s="2"/>
      <c r="S414" s="6"/>
      <c r="T414" t="s">
        <v>10902</v>
      </c>
      <c r="U414" t="s">
        <v>10902</v>
      </c>
      <c r="V414" t="s">
        <v>10902</v>
      </c>
      <c r="W414" t="s">
        <v>43</v>
      </c>
      <c r="X414" t="s">
        <v>11298</v>
      </c>
      <c r="Y414" t="s">
        <v>11299</v>
      </c>
      <c r="Z414" t="s">
        <v>11296</v>
      </c>
      <c r="AA414" t="s">
        <v>44</v>
      </c>
      <c r="AB414" t="s">
        <v>44</v>
      </c>
      <c r="AC414" s="4"/>
      <c r="AD414" s="4"/>
      <c r="AE414" s="2">
        <v>0</v>
      </c>
      <c r="AF414" s="4">
        <v>0</v>
      </c>
      <c r="AG414" s="2">
        <v>0.08</v>
      </c>
      <c r="AH414" s="2">
        <v>398419</v>
      </c>
      <c r="AI414" s="2">
        <v>0</v>
      </c>
      <c r="AJ414" s="5">
        <v>44673</v>
      </c>
      <c r="AK414" t="s">
        <v>11658</v>
      </c>
      <c r="AL414" s="2">
        <v>0</v>
      </c>
      <c r="AM414" s="2">
        <v>0</v>
      </c>
      <c r="AN414" s="2">
        <v>0</v>
      </c>
      <c r="AO414" t="s">
        <v>44</v>
      </c>
      <c r="AP414" t="s">
        <v>11303</v>
      </c>
      <c r="AQ414" t="s">
        <v>5402</v>
      </c>
    </row>
    <row r="415" spans="1:43" x14ac:dyDescent="0.2">
      <c r="A415" t="s">
        <v>11657</v>
      </c>
      <c r="B415" t="s">
        <v>11037</v>
      </c>
      <c r="C415" t="s">
        <v>11296</v>
      </c>
      <c r="D415" t="s">
        <v>6137</v>
      </c>
      <c r="E415" t="s">
        <v>4926</v>
      </c>
      <c r="F415" t="s">
        <v>6137</v>
      </c>
      <c r="G415" s="1">
        <v>4799</v>
      </c>
      <c r="H415" s="2">
        <v>872962.28</v>
      </c>
      <c r="I415" s="2">
        <v>747396.26</v>
      </c>
      <c r="J415" s="2">
        <v>0</v>
      </c>
      <c r="K415" s="2">
        <v>0</v>
      </c>
      <c r="L415" s="2">
        <v>747396.26</v>
      </c>
      <c r="M415" s="3">
        <v>15574</v>
      </c>
      <c r="N415" s="4">
        <v>1.7004100000000001E-3</v>
      </c>
      <c r="O415" s="5" t="s">
        <v>44</v>
      </c>
      <c r="P415" s="5" t="s">
        <v>44</v>
      </c>
      <c r="Q415" s="1"/>
      <c r="R415" s="2"/>
      <c r="S415" s="6"/>
      <c r="T415" t="s">
        <v>10902</v>
      </c>
      <c r="U415" t="s">
        <v>10902</v>
      </c>
      <c r="V415" t="s">
        <v>10902</v>
      </c>
      <c r="W415" t="s">
        <v>43</v>
      </c>
      <c r="X415" t="s">
        <v>11300</v>
      </c>
      <c r="Y415" t="s">
        <v>11299</v>
      </c>
      <c r="Z415" t="s">
        <v>11296</v>
      </c>
      <c r="AA415" t="s">
        <v>44</v>
      </c>
      <c r="AB415" t="s">
        <v>44</v>
      </c>
      <c r="AC415" s="4"/>
      <c r="AD415" s="4"/>
      <c r="AE415" s="2">
        <v>0</v>
      </c>
      <c r="AF415" s="4">
        <v>0</v>
      </c>
      <c r="AG415" s="2">
        <v>0.14000000000000001</v>
      </c>
      <c r="AH415" s="2">
        <v>747396.26</v>
      </c>
      <c r="AI415" s="2">
        <v>0</v>
      </c>
      <c r="AJ415" s="5">
        <v>44673</v>
      </c>
      <c r="AK415" t="s">
        <v>11658</v>
      </c>
      <c r="AL415" s="2">
        <v>0</v>
      </c>
      <c r="AM415" s="2">
        <v>0</v>
      </c>
      <c r="AN415" s="2">
        <v>0</v>
      </c>
      <c r="AO415" t="s">
        <v>44</v>
      </c>
      <c r="AP415" t="s">
        <v>11304</v>
      </c>
      <c r="AQ415" t="s">
        <v>4926</v>
      </c>
    </row>
    <row r="416" spans="1:43" x14ac:dyDescent="0.2">
      <c r="A416" t="s">
        <v>11657</v>
      </c>
      <c r="B416" t="s">
        <v>11037</v>
      </c>
      <c r="C416" t="s">
        <v>11305</v>
      </c>
      <c r="D416" t="s">
        <v>6592</v>
      </c>
      <c r="E416" t="s">
        <v>5424</v>
      </c>
      <c r="F416" t="s">
        <v>6592</v>
      </c>
      <c r="G416" s="1">
        <v>15747</v>
      </c>
      <c r="H416" s="2">
        <v>275875</v>
      </c>
      <c r="I416" s="2">
        <v>273525.39</v>
      </c>
      <c r="J416" s="2">
        <v>0</v>
      </c>
      <c r="K416" s="2">
        <v>0</v>
      </c>
      <c r="L416" s="2">
        <v>273525.39</v>
      </c>
      <c r="M416" s="3">
        <v>1737</v>
      </c>
      <c r="N416" s="4">
        <v>6.223E-4</v>
      </c>
      <c r="O416" s="5" t="s">
        <v>44</v>
      </c>
      <c r="P416" s="5" t="s">
        <v>44</v>
      </c>
      <c r="Q416" s="1"/>
      <c r="R416" s="2"/>
      <c r="S416" s="6"/>
      <c r="T416" t="s">
        <v>10902</v>
      </c>
      <c r="U416" t="s">
        <v>10902</v>
      </c>
      <c r="V416" t="s">
        <v>10902</v>
      </c>
      <c r="W416" t="s">
        <v>43</v>
      </c>
      <c r="X416" t="s">
        <v>11306</v>
      </c>
      <c r="Y416" t="s">
        <v>11307</v>
      </c>
      <c r="Z416" t="s">
        <v>11305</v>
      </c>
      <c r="AA416" t="s">
        <v>44</v>
      </c>
      <c r="AB416" t="s">
        <v>44</v>
      </c>
      <c r="AC416" s="4"/>
      <c r="AD416" s="4"/>
      <c r="AE416" s="2">
        <v>0</v>
      </c>
      <c r="AF416" s="4">
        <v>0</v>
      </c>
      <c r="AG416" s="2">
        <v>0.05</v>
      </c>
      <c r="AH416" s="2">
        <v>273525.39</v>
      </c>
      <c r="AI416" s="2">
        <v>0</v>
      </c>
      <c r="AJ416" s="5">
        <v>44673</v>
      </c>
      <c r="AK416" t="s">
        <v>11658</v>
      </c>
      <c r="AL416" s="2">
        <v>0</v>
      </c>
      <c r="AM416" s="2">
        <v>0</v>
      </c>
      <c r="AN416" s="2">
        <v>0</v>
      </c>
      <c r="AO416" t="s">
        <v>44</v>
      </c>
      <c r="AP416" t="s">
        <v>11308</v>
      </c>
      <c r="AQ416" t="s">
        <v>5424</v>
      </c>
    </row>
    <row r="417" spans="1:43" x14ac:dyDescent="0.2">
      <c r="A417" t="s">
        <v>11657</v>
      </c>
      <c r="B417" t="s">
        <v>11037</v>
      </c>
      <c r="C417" t="s">
        <v>11305</v>
      </c>
      <c r="D417" t="s">
        <v>11689</v>
      </c>
      <c r="E417" t="s">
        <v>4998</v>
      </c>
      <c r="F417" t="s">
        <v>11689</v>
      </c>
      <c r="G417" s="1">
        <v>11223</v>
      </c>
      <c r="H417" s="2">
        <v>3585965.92</v>
      </c>
      <c r="I417" s="2">
        <v>3703590</v>
      </c>
      <c r="J417" s="2">
        <v>0</v>
      </c>
      <c r="K417" s="2">
        <v>0</v>
      </c>
      <c r="L417" s="2">
        <v>3703590</v>
      </c>
      <c r="M417" s="3">
        <v>33000</v>
      </c>
      <c r="N417" s="4">
        <v>8.4260700000000008E-3</v>
      </c>
      <c r="O417" s="5" t="s">
        <v>44</v>
      </c>
      <c r="P417" s="5" t="s">
        <v>44</v>
      </c>
      <c r="Q417" s="1"/>
      <c r="R417" s="2"/>
      <c r="S417" s="6"/>
      <c r="T417" t="s">
        <v>10902</v>
      </c>
      <c r="U417" t="s">
        <v>10902</v>
      </c>
      <c r="V417" t="s">
        <v>10902</v>
      </c>
      <c r="W417" t="s">
        <v>43</v>
      </c>
      <c r="X417" t="s">
        <v>11310</v>
      </c>
      <c r="Y417" t="s">
        <v>11307</v>
      </c>
      <c r="Z417" t="s">
        <v>11305</v>
      </c>
      <c r="AA417" t="s">
        <v>44</v>
      </c>
      <c r="AB417" t="s">
        <v>44</v>
      </c>
      <c r="AC417" s="4"/>
      <c r="AD417" s="4"/>
      <c r="AE417" s="2">
        <v>0</v>
      </c>
      <c r="AF417" s="4">
        <v>0</v>
      </c>
      <c r="AG417" s="2">
        <v>0.7</v>
      </c>
      <c r="AH417" s="2">
        <v>3703590</v>
      </c>
      <c r="AI417" s="2">
        <v>0.01</v>
      </c>
      <c r="AJ417" s="5">
        <v>44673</v>
      </c>
      <c r="AK417" t="s">
        <v>11658</v>
      </c>
      <c r="AL417" s="2">
        <v>0</v>
      </c>
      <c r="AM417" s="2">
        <v>0</v>
      </c>
      <c r="AN417" s="2">
        <v>0</v>
      </c>
      <c r="AO417" t="s">
        <v>44</v>
      </c>
      <c r="AP417" t="s">
        <v>11690</v>
      </c>
      <c r="AQ417" t="s">
        <v>4998</v>
      </c>
    </row>
    <row r="418" spans="1:43" x14ac:dyDescent="0.2">
      <c r="A418" t="s">
        <v>11657</v>
      </c>
      <c r="B418" t="s">
        <v>11037</v>
      </c>
      <c r="C418" t="s">
        <v>11305</v>
      </c>
      <c r="D418" t="s">
        <v>11691</v>
      </c>
      <c r="E418" t="s">
        <v>4964</v>
      </c>
      <c r="F418" t="s">
        <v>11691</v>
      </c>
      <c r="G418" s="1">
        <v>8125</v>
      </c>
      <c r="H418" s="2">
        <v>2509009.25</v>
      </c>
      <c r="I418" s="2">
        <v>2575543.75</v>
      </c>
      <c r="J418" s="2">
        <v>0</v>
      </c>
      <c r="K418" s="2">
        <v>0</v>
      </c>
      <c r="L418" s="2">
        <v>2575543.75</v>
      </c>
      <c r="M418" s="3">
        <v>31699</v>
      </c>
      <c r="N418" s="4">
        <v>5.8596400000000002E-3</v>
      </c>
      <c r="O418" s="5" t="s">
        <v>44</v>
      </c>
      <c r="P418" s="5" t="s">
        <v>44</v>
      </c>
      <c r="Q418" s="1"/>
      <c r="R418" s="2"/>
      <c r="S418" s="6"/>
      <c r="T418" t="s">
        <v>10902</v>
      </c>
      <c r="U418" t="s">
        <v>10902</v>
      </c>
      <c r="V418" t="s">
        <v>10902</v>
      </c>
      <c r="W418" t="s">
        <v>43</v>
      </c>
      <c r="X418" t="s">
        <v>11310</v>
      </c>
      <c r="Y418" t="s">
        <v>11307</v>
      </c>
      <c r="Z418" t="s">
        <v>11305</v>
      </c>
      <c r="AA418" t="s">
        <v>44</v>
      </c>
      <c r="AB418" t="s">
        <v>44</v>
      </c>
      <c r="AC418" s="4"/>
      <c r="AD418" s="4"/>
      <c r="AE418" s="2">
        <v>0</v>
      </c>
      <c r="AF418" s="4">
        <v>0</v>
      </c>
      <c r="AG418" s="2">
        <v>0.49</v>
      </c>
      <c r="AH418" s="2">
        <v>2575543.75</v>
      </c>
      <c r="AI418" s="2">
        <v>0.01</v>
      </c>
      <c r="AJ418" s="5">
        <v>44673</v>
      </c>
      <c r="AK418" t="s">
        <v>11658</v>
      </c>
      <c r="AL418" s="2">
        <v>0</v>
      </c>
      <c r="AM418" s="2">
        <v>0</v>
      </c>
      <c r="AN418" s="2">
        <v>0</v>
      </c>
      <c r="AO418" t="s">
        <v>44</v>
      </c>
      <c r="AP418" t="s">
        <v>11692</v>
      </c>
      <c r="AQ418" t="s">
        <v>4964</v>
      </c>
    </row>
    <row r="419" spans="1:43" x14ac:dyDescent="0.2">
      <c r="A419" t="s">
        <v>11657</v>
      </c>
      <c r="B419" t="s">
        <v>11037</v>
      </c>
      <c r="C419" t="s">
        <v>11305</v>
      </c>
      <c r="D419" t="s">
        <v>11309</v>
      </c>
      <c r="E419" t="s">
        <v>5389</v>
      </c>
      <c r="F419" t="s">
        <v>11309</v>
      </c>
      <c r="G419" s="1">
        <v>9148</v>
      </c>
      <c r="H419" s="2">
        <v>269286.42</v>
      </c>
      <c r="I419" s="2">
        <v>344330.72</v>
      </c>
      <c r="J419" s="2">
        <v>0</v>
      </c>
      <c r="K419" s="2">
        <v>0</v>
      </c>
      <c r="L419" s="2">
        <v>344330.72</v>
      </c>
      <c r="M419" s="3">
        <v>3764</v>
      </c>
      <c r="N419" s="4">
        <v>7.8339000000000002E-4</v>
      </c>
      <c r="O419" s="5" t="s">
        <v>44</v>
      </c>
      <c r="P419" s="5" t="s">
        <v>44</v>
      </c>
      <c r="Q419" s="1"/>
      <c r="R419" s="2"/>
      <c r="S419" s="6"/>
      <c r="T419" t="s">
        <v>10902</v>
      </c>
      <c r="U419" t="s">
        <v>10902</v>
      </c>
      <c r="V419" t="s">
        <v>10902</v>
      </c>
      <c r="W419" t="s">
        <v>43</v>
      </c>
      <c r="X419" t="s">
        <v>11310</v>
      </c>
      <c r="Y419" t="s">
        <v>11307</v>
      </c>
      <c r="Z419" t="s">
        <v>11305</v>
      </c>
      <c r="AA419" t="s">
        <v>44</v>
      </c>
      <c r="AB419" t="s">
        <v>44</v>
      </c>
      <c r="AC419" s="4"/>
      <c r="AD419" s="4"/>
      <c r="AE419" s="2">
        <v>0</v>
      </c>
      <c r="AF419" s="4">
        <v>0</v>
      </c>
      <c r="AG419" s="2">
        <v>0.06</v>
      </c>
      <c r="AH419" s="2">
        <v>344330.72</v>
      </c>
      <c r="AI419" s="2">
        <v>0</v>
      </c>
      <c r="AJ419" s="5">
        <v>44673</v>
      </c>
      <c r="AK419" t="s">
        <v>11658</v>
      </c>
      <c r="AL419" s="2">
        <v>0</v>
      </c>
      <c r="AM419" s="2">
        <v>0</v>
      </c>
      <c r="AN419" s="2">
        <v>0</v>
      </c>
      <c r="AO419" t="s">
        <v>44</v>
      </c>
      <c r="AP419" t="s">
        <v>11311</v>
      </c>
      <c r="AQ419" t="s">
        <v>5389</v>
      </c>
    </row>
    <row r="420" spans="1:43" x14ac:dyDescent="0.2">
      <c r="A420" t="s">
        <v>11657</v>
      </c>
      <c r="B420" t="s">
        <v>11037</v>
      </c>
      <c r="C420" t="s">
        <v>11305</v>
      </c>
      <c r="D420" t="s">
        <v>6609</v>
      </c>
      <c r="E420" t="s">
        <v>5271</v>
      </c>
      <c r="F420" t="s">
        <v>6609</v>
      </c>
      <c r="G420" s="1">
        <v>14000</v>
      </c>
      <c r="H420" s="2">
        <v>234615.71</v>
      </c>
      <c r="I420" s="2">
        <v>236460</v>
      </c>
      <c r="J420" s="2">
        <v>0</v>
      </c>
      <c r="K420" s="2">
        <v>0</v>
      </c>
      <c r="L420" s="2">
        <v>236460</v>
      </c>
      <c r="M420" s="3">
        <v>1689</v>
      </c>
      <c r="N420" s="4">
        <v>5.3797000000000003E-4</v>
      </c>
      <c r="O420" s="5" t="s">
        <v>44</v>
      </c>
      <c r="P420" s="5" t="s">
        <v>44</v>
      </c>
      <c r="Q420" s="1"/>
      <c r="R420" s="2"/>
      <c r="S420" s="6"/>
      <c r="T420" t="s">
        <v>10902</v>
      </c>
      <c r="U420" t="s">
        <v>10902</v>
      </c>
      <c r="V420" t="s">
        <v>10902</v>
      </c>
      <c r="W420" t="s">
        <v>43</v>
      </c>
      <c r="X420" t="s">
        <v>11306</v>
      </c>
      <c r="Y420" t="s">
        <v>11307</v>
      </c>
      <c r="Z420" t="s">
        <v>11305</v>
      </c>
      <c r="AA420" t="s">
        <v>44</v>
      </c>
      <c r="AB420" t="s">
        <v>44</v>
      </c>
      <c r="AC420" s="4"/>
      <c r="AD420" s="4"/>
      <c r="AE420" s="2">
        <v>0</v>
      </c>
      <c r="AF420" s="4">
        <v>0</v>
      </c>
      <c r="AG420" s="2">
        <v>0.04</v>
      </c>
      <c r="AH420" s="2">
        <v>236460</v>
      </c>
      <c r="AI420" s="2">
        <v>0</v>
      </c>
      <c r="AJ420" s="5">
        <v>44673</v>
      </c>
      <c r="AK420" t="s">
        <v>11658</v>
      </c>
      <c r="AL420" s="2">
        <v>0</v>
      </c>
      <c r="AM420" s="2">
        <v>0</v>
      </c>
      <c r="AN420" s="2">
        <v>0</v>
      </c>
      <c r="AO420" t="s">
        <v>44</v>
      </c>
      <c r="AP420" t="s">
        <v>11312</v>
      </c>
      <c r="AQ420" t="s">
        <v>5271</v>
      </c>
    </row>
    <row r="421" spans="1:43" x14ac:dyDescent="0.2">
      <c r="A421" t="s">
        <v>11657</v>
      </c>
      <c r="B421" t="s">
        <v>11037</v>
      </c>
      <c r="C421" t="s">
        <v>11305</v>
      </c>
      <c r="D421" t="s">
        <v>6372</v>
      </c>
      <c r="E421" t="s">
        <v>6607</v>
      </c>
      <c r="F421" t="s">
        <v>6372</v>
      </c>
      <c r="G421" s="1">
        <v>4833</v>
      </c>
      <c r="H421" s="2">
        <v>487748.65</v>
      </c>
      <c r="I421" s="2">
        <v>539991.09</v>
      </c>
      <c r="J421" s="2">
        <v>0</v>
      </c>
      <c r="K421" s="2">
        <v>0</v>
      </c>
      <c r="L421" s="2">
        <v>539991.09</v>
      </c>
      <c r="M421" s="3">
        <v>11173</v>
      </c>
      <c r="N421" s="4">
        <v>1.22854E-3</v>
      </c>
      <c r="O421" s="5" t="s">
        <v>44</v>
      </c>
      <c r="P421" s="5" t="s">
        <v>44</v>
      </c>
      <c r="Q421" s="1"/>
      <c r="R421" s="2"/>
      <c r="S421" s="6"/>
      <c r="T421" t="s">
        <v>10902</v>
      </c>
      <c r="U421" t="s">
        <v>10902</v>
      </c>
      <c r="V421" t="s">
        <v>10902</v>
      </c>
      <c r="W421" t="s">
        <v>43</v>
      </c>
      <c r="X421" t="s">
        <v>11306</v>
      </c>
      <c r="Y421" t="s">
        <v>11307</v>
      </c>
      <c r="Z421" t="s">
        <v>11305</v>
      </c>
      <c r="AA421" t="s">
        <v>44</v>
      </c>
      <c r="AB421" t="s">
        <v>44</v>
      </c>
      <c r="AC421" s="4"/>
      <c r="AD421" s="4"/>
      <c r="AE421" s="2">
        <v>0</v>
      </c>
      <c r="AF421" s="4">
        <v>0</v>
      </c>
      <c r="AG421" s="2">
        <v>0.1</v>
      </c>
      <c r="AH421" s="2">
        <v>539991.09</v>
      </c>
      <c r="AI421" s="2">
        <v>0</v>
      </c>
      <c r="AJ421" s="5">
        <v>44673</v>
      </c>
      <c r="AK421" t="s">
        <v>11658</v>
      </c>
      <c r="AL421" s="2">
        <v>0</v>
      </c>
      <c r="AM421" s="2">
        <v>0</v>
      </c>
      <c r="AN421" s="2">
        <v>0</v>
      </c>
      <c r="AO421" t="s">
        <v>44</v>
      </c>
      <c r="AP421" t="s">
        <v>11313</v>
      </c>
      <c r="AQ421" t="s">
        <v>6607</v>
      </c>
    </row>
    <row r="422" spans="1:43" x14ac:dyDescent="0.2">
      <c r="A422" t="s">
        <v>11657</v>
      </c>
      <c r="B422" t="s">
        <v>11037</v>
      </c>
      <c r="C422" t="s">
        <v>11305</v>
      </c>
      <c r="D422" t="s">
        <v>6073</v>
      </c>
      <c r="E422" t="s">
        <v>4984</v>
      </c>
      <c r="F422" t="s">
        <v>6073</v>
      </c>
      <c r="G422" s="1">
        <v>8627</v>
      </c>
      <c r="H422" s="2">
        <v>1756946.7</v>
      </c>
      <c r="I422" s="2">
        <v>1903978.9</v>
      </c>
      <c r="J422" s="2">
        <v>0</v>
      </c>
      <c r="K422" s="2">
        <v>0</v>
      </c>
      <c r="L422" s="2">
        <v>1903978.9</v>
      </c>
      <c r="M422" s="3">
        <v>22070</v>
      </c>
      <c r="N422" s="4">
        <v>4.3317599999999996E-3</v>
      </c>
      <c r="O422" s="5" t="s">
        <v>44</v>
      </c>
      <c r="P422" s="5" t="s">
        <v>44</v>
      </c>
      <c r="Q422" s="1"/>
      <c r="R422" s="2"/>
      <c r="S422" s="6"/>
      <c r="T422" t="s">
        <v>10902</v>
      </c>
      <c r="U422" t="s">
        <v>10902</v>
      </c>
      <c r="V422" t="s">
        <v>10902</v>
      </c>
      <c r="W422" t="s">
        <v>43</v>
      </c>
      <c r="X422" t="s">
        <v>11306</v>
      </c>
      <c r="Y422" t="s">
        <v>11307</v>
      </c>
      <c r="Z422" t="s">
        <v>11305</v>
      </c>
      <c r="AA422" t="s">
        <v>44</v>
      </c>
      <c r="AB422" t="s">
        <v>44</v>
      </c>
      <c r="AC422" s="4"/>
      <c r="AD422" s="4"/>
      <c r="AE422" s="2">
        <v>0</v>
      </c>
      <c r="AF422" s="4">
        <v>0</v>
      </c>
      <c r="AG422" s="2">
        <v>0.36</v>
      </c>
      <c r="AH422" s="2">
        <v>1903978.9</v>
      </c>
      <c r="AI422" s="2">
        <v>0</v>
      </c>
      <c r="AJ422" s="5">
        <v>44673</v>
      </c>
      <c r="AK422" t="s">
        <v>11658</v>
      </c>
      <c r="AL422" s="2">
        <v>0</v>
      </c>
      <c r="AM422" s="2">
        <v>0</v>
      </c>
      <c r="AN422" s="2">
        <v>0</v>
      </c>
      <c r="AO422" t="s">
        <v>44</v>
      </c>
      <c r="AP422" t="s">
        <v>11693</v>
      </c>
      <c r="AQ422" t="s">
        <v>4984</v>
      </c>
    </row>
    <row r="423" spans="1:43" x14ac:dyDescent="0.2">
      <c r="A423" t="s">
        <v>11657</v>
      </c>
      <c r="B423" t="s">
        <v>11037</v>
      </c>
      <c r="C423" t="s">
        <v>11305</v>
      </c>
      <c r="D423" t="s">
        <v>11694</v>
      </c>
      <c r="E423" t="s">
        <v>6518</v>
      </c>
      <c r="F423" t="s">
        <v>11694</v>
      </c>
      <c r="G423" s="1">
        <v>11872</v>
      </c>
      <c r="H423" s="2">
        <v>1401734.45</v>
      </c>
      <c r="I423" s="2">
        <v>1527451.52</v>
      </c>
      <c r="J423" s="2">
        <v>0</v>
      </c>
      <c r="K423" s="2">
        <v>0</v>
      </c>
      <c r="L423" s="2">
        <v>1527451.52</v>
      </c>
      <c r="M423" s="3">
        <v>12866</v>
      </c>
      <c r="N423" s="4">
        <v>3.4751199999999999E-3</v>
      </c>
      <c r="O423" s="5" t="s">
        <v>44</v>
      </c>
      <c r="P423" s="5" t="s">
        <v>44</v>
      </c>
      <c r="Q423" s="1"/>
      <c r="R423" s="2"/>
      <c r="S423" s="6"/>
      <c r="T423" t="s">
        <v>10902</v>
      </c>
      <c r="U423" t="s">
        <v>10902</v>
      </c>
      <c r="V423" t="s">
        <v>10902</v>
      </c>
      <c r="W423" t="s">
        <v>43</v>
      </c>
      <c r="X423" t="s">
        <v>44</v>
      </c>
      <c r="Y423" t="s">
        <v>11695</v>
      </c>
      <c r="Z423" t="s">
        <v>11305</v>
      </c>
      <c r="AA423" t="s">
        <v>44</v>
      </c>
      <c r="AB423" t="s">
        <v>44</v>
      </c>
      <c r="AC423" s="4"/>
      <c r="AD423" s="4"/>
      <c r="AE423" s="2">
        <v>0</v>
      </c>
      <c r="AF423" s="4">
        <v>0</v>
      </c>
      <c r="AG423" s="2">
        <v>0.28999999999999998</v>
      </c>
      <c r="AH423" s="2">
        <v>1527451.52</v>
      </c>
      <c r="AI423" s="2">
        <v>0</v>
      </c>
      <c r="AJ423" s="5">
        <v>44673</v>
      </c>
      <c r="AK423" t="s">
        <v>11658</v>
      </c>
      <c r="AL423" s="2">
        <v>0</v>
      </c>
      <c r="AM423" s="2">
        <v>0</v>
      </c>
      <c r="AN423" s="2">
        <v>0</v>
      </c>
      <c r="AO423" t="s">
        <v>44</v>
      </c>
      <c r="AP423" t="s">
        <v>11696</v>
      </c>
      <c r="AQ423" t="s">
        <v>6518</v>
      </c>
    </row>
    <row r="424" spans="1:43" x14ac:dyDescent="0.2">
      <c r="A424" t="s">
        <v>11657</v>
      </c>
      <c r="B424" t="s">
        <v>11037</v>
      </c>
      <c r="C424" t="s">
        <v>11305</v>
      </c>
      <c r="D424" t="s">
        <v>11314</v>
      </c>
      <c r="E424" t="s">
        <v>6750</v>
      </c>
      <c r="F424" t="s">
        <v>11314</v>
      </c>
      <c r="G424" s="1">
        <v>46894</v>
      </c>
      <c r="H424" s="2">
        <v>978228.83</v>
      </c>
      <c r="I424" s="2">
        <v>1022758.14</v>
      </c>
      <c r="J424" s="2">
        <v>0</v>
      </c>
      <c r="K424" s="2">
        <v>0</v>
      </c>
      <c r="L424" s="2">
        <v>1022758.14</v>
      </c>
      <c r="M424" s="3">
        <v>2181</v>
      </c>
      <c r="N424" s="4">
        <v>2.3268799999999999E-3</v>
      </c>
      <c r="O424" s="5" t="s">
        <v>44</v>
      </c>
      <c r="P424" s="5" t="s">
        <v>44</v>
      </c>
      <c r="Q424" s="1"/>
      <c r="R424" s="2"/>
      <c r="S424" s="6"/>
      <c r="T424" t="s">
        <v>10902</v>
      </c>
      <c r="U424" t="s">
        <v>10902</v>
      </c>
      <c r="V424" t="s">
        <v>10902</v>
      </c>
      <c r="W424" t="s">
        <v>43</v>
      </c>
      <c r="X424" t="s">
        <v>11306</v>
      </c>
      <c r="Y424" t="s">
        <v>11307</v>
      </c>
      <c r="Z424" t="s">
        <v>11305</v>
      </c>
      <c r="AA424" t="s">
        <v>44</v>
      </c>
      <c r="AB424" t="s">
        <v>44</v>
      </c>
      <c r="AC424" s="4"/>
      <c r="AD424" s="4"/>
      <c r="AE424" s="2">
        <v>0</v>
      </c>
      <c r="AF424" s="4">
        <v>0</v>
      </c>
      <c r="AG424" s="2">
        <v>0.19</v>
      </c>
      <c r="AH424" s="2">
        <v>1022758.14</v>
      </c>
      <c r="AI424" s="2">
        <v>0</v>
      </c>
      <c r="AJ424" s="5">
        <v>44673</v>
      </c>
      <c r="AK424" t="s">
        <v>11658</v>
      </c>
      <c r="AL424" s="2">
        <v>0</v>
      </c>
      <c r="AM424" s="2">
        <v>0</v>
      </c>
      <c r="AN424" s="2">
        <v>0</v>
      </c>
      <c r="AO424" t="s">
        <v>44</v>
      </c>
      <c r="AP424" t="s">
        <v>11315</v>
      </c>
      <c r="AQ424" t="s">
        <v>6750</v>
      </c>
    </row>
    <row r="425" spans="1:43" x14ac:dyDescent="0.2">
      <c r="A425" t="s">
        <v>11657</v>
      </c>
      <c r="B425" t="s">
        <v>11037</v>
      </c>
      <c r="C425" t="s">
        <v>11305</v>
      </c>
      <c r="D425" t="s">
        <v>11316</v>
      </c>
      <c r="E425" t="s">
        <v>5173</v>
      </c>
      <c r="F425" t="s">
        <v>11316</v>
      </c>
      <c r="G425" s="1">
        <v>10301</v>
      </c>
      <c r="H425" s="2">
        <v>582706.69999999995</v>
      </c>
      <c r="I425" s="2">
        <v>616102.81000000006</v>
      </c>
      <c r="J425" s="2">
        <v>0</v>
      </c>
      <c r="K425" s="2">
        <v>0</v>
      </c>
      <c r="L425" s="2">
        <v>616102.81000000006</v>
      </c>
      <c r="M425" s="3">
        <v>5981</v>
      </c>
      <c r="N425" s="4">
        <v>1.4017000000000001E-3</v>
      </c>
      <c r="O425" s="5" t="s">
        <v>44</v>
      </c>
      <c r="P425" s="5" t="s">
        <v>44</v>
      </c>
      <c r="Q425" s="1"/>
      <c r="R425" s="2"/>
      <c r="S425" s="6"/>
      <c r="T425" t="s">
        <v>10902</v>
      </c>
      <c r="U425" t="s">
        <v>10902</v>
      </c>
      <c r="V425" t="s">
        <v>10902</v>
      </c>
      <c r="W425" t="s">
        <v>43</v>
      </c>
      <c r="X425" t="s">
        <v>11310</v>
      </c>
      <c r="Y425" t="s">
        <v>11307</v>
      </c>
      <c r="Z425" t="s">
        <v>11305</v>
      </c>
      <c r="AA425" t="s">
        <v>44</v>
      </c>
      <c r="AB425" t="s">
        <v>44</v>
      </c>
      <c r="AC425" s="4"/>
      <c r="AD425" s="4"/>
      <c r="AE425" s="2">
        <v>0</v>
      </c>
      <c r="AF425" s="4">
        <v>0</v>
      </c>
      <c r="AG425" s="2">
        <v>0.12</v>
      </c>
      <c r="AH425" s="2">
        <v>616102.81000000006</v>
      </c>
      <c r="AI425" s="2">
        <v>0</v>
      </c>
      <c r="AJ425" s="5">
        <v>44673</v>
      </c>
      <c r="AK425" t="s">
        <v>11658</v>
      </c>
      <c r="AL425" s="2">
        <v>0</v>
      </c>
      <c r="AM425" s="2">
        <v>0</v>
      </c>
      <c r="AN425" s="2">
        <v>0</v>
      </c>
      <c r="AO425" t="s">
        <v>44</v>
      </c>
      <c r="AP425" t="s">
        <v>11317</v>
      </c>
      <c r="AQ425" t="s">
        <v>5173</v>
      </c>
    </row>
    <row r="426" spans="1:43" x14ac:dyDescent="0.2">
      <c r="A426" t="s">
        <v>11657</v>
      </c>
      <c r="B426" t="s">
        <v>11037</v>
      </c>
      <c r="C426" t="s">
        <v>11305</v>
      </c>
      <c r="D426" t="s">
        <v>5981</v>
      </c>
      <c r="E426" t="s">
        <v>4900</v>
      </c>
      <c r="F426" t="s">
        <v>5981</v>
      </c>
      <c r="G426" s="1">
        <v>17071</v>
      </c>
      <c r="H426" s="2">
        <v>3254130.38</v>
      </c>
      <c r="I426" s="2">
        <v>4079456.87</v>
      </c>
      <c r="J426" s="2">
        <v>0</v>
      </c>
      <c r="K426" s="2">
        <v>0</v>
      </c>
      <c r="L426" s="2">
        <v>4079456.87</v>
      </c>
      <c r="M426" s="3">
        <v>23897</v>
      </c>
      <c r="N426" s="4">
        <v>9.2811999999999999E-3</v>
      </c>
      <c r="O426" s="5" t="s">
        <v>44</v>
      </c>
      <c r="P426" s="5" t="s">
        <v>44</v>
      </c>
      <c r="Q426" s="1"/>
      <c r="R426" s="2"/>
      <c r="S426" s="6"/>
      <c r="T426" t="s">
        <v>10902</v>
      </c>
      <c r="U426" t="s">
        <v>10902</v>
      </c>
      <c r="V426" t="s">
        <v>10902</v>
      </c>
      <c r="W426" t="s">
        <v>43</v>
      </c>
      <c r="X426" t="s">
        <v>11310</v>
      </c>
      <c r="Y426" t="s">
        <v>11307</v>
      </c>
      <c r="Z426" t="s">
        <v>11305</v>
      </c>
      <c r="AA426" t="s">
        <v>44</v>
      </c>
      <c r="AB426" t="s">
        <v>44</v>
      </c>
      <c r="AC426" s="4"/>
      <c r="AD426" s="4"/>
      <c r="AE426" s="2">
        <v>0</v>
      </c>
      <c r="AF426" s="4">
        <v>0</v>
      </c>
      <c r="AG426" s="2">
        <v>0.77</v>
      </c>
      <c r="AH426" s="2">
        <v>4079456.87</v>
      </c>
      <c r="AI426" s="2">
        <v>0.01</v>
      </c>
      <c r="AJ426" s="5">
        <v>44673</v>
      </c>
      <c r="AK426" t="s">
        <v>11658</v>
      </c>
      <c r="AL426" s="2">
        <v>0</v>
      </c>
      <c r="AM426" s="2">
        <v>0</v>
      </c>
      <c r="AN426" s="2">
        <v>0</v>
      </c>
      <c r="AO426" t="s">
        <v>44</v>
      </c>
      <c r="AP426" t="s">
        <v>11697</v>
      </c>
      <c r="AQ426" t="s">
        <v>4900</v>
      </c>
    </row>
    <row r="427" spans="1:43" x14ac:dyDescent="0.2">
      <c r="A427" t="s">
        <v>11657</v>
      </c>
      <c r="B427" t="s">
        <v>11037</v>
      </c>
      <c r="C427" t="s">
        <v>11305</v>
      </c>
      <c r="D427" t="s">
        <v>11318</v>
      </c>
      <c r="E427" t="s">
        <v>4978</v>
      </c>
      <c r="F427" t="s">
        <v>11318</v>
      </c>
      <c r="G427" s="1">
        <v>9564</v>
      </c>
      <c r="H427" s="2">
        <v>1301810.96</v>
      </c>
      <c r="I427" s="2">
        <v>1333317.24</v>
      </c>
      <c r="J427" s="2">
        <v>0</v>
      </c>
      <c r="K427" s="2">
        <v>0</v>
      </c>
      <c r="L427" s="2">
        <v>1333317.24</v>
      </c>
      <c r="M427" s="3">
        <v>13941</v>
      </c>
      <c r="N427" s="4">
        <v>3.0334400000000001E-3</v>
      </c>
      <c r="O427" s="5" t="s">
        <v>44</v>
      </c>
      <c r="P427" s="5" t="s">
        <v>44</v>
      </c>
      <c r="Q427" s="1"/>
      <c r="R427" s="2"/>
      <c r="S427" s="6"/>
      <c r="T427" t="s">
        <v>10902</v>
      </c>
      <c r="U427" t="s">
        <v>10902</v>
      </c>
      <c r="V427" t="s">
        <v>10902</v>
      </c>
      <c r="W427" t="s">
        <v>43</v>
      </c>
      <c r="X427" t="s">
        <v>11306</v>
      </c>
      <c r="Y427" t="s">
        <v>11307</v>
      </c>
      <c r="Z427" t="s">
        <v>11305</v>
      </c>
      <c r="AA427" t="s">
        <v>44</v>
      </c>
      <c r="AB427" t="s">
        <v>44</v>
      </c>
      <c r="AC427" s="4"/>
      <c r="AD427" s="4"/>
      <c r="AE427" s="2">
        <v>0</v>
      </c>
      <c r="AF427" s="4">
        <v>0</v>
      </c>
      <c r="AG427" s="2">
        <v>0.25</v>
      </c>
      <c r="AH427" s="2">
        <v>1333317.24</v>
      </c>
      <c r="AI427" s="2">
        <v>0</v>
      </c>
      <c r="AJ427" s="5">
        <v>44673</v>
      </c>
      <c r="AK427" t="s">
        <v>11658</v>
      </c>
      <c r="AL427" s="2">
        <v>0</v>
      </c>
      <c r="AM427" s="2">
        <v>0</v>
      </c>
      <c r="AN427" s="2">
        <v>0</v>
      </c>
      <c r="AO427" t="s">
        <v>44</v>
      </c>
      <c r="AP427" t="s">
        <v>11319</v>
      </c>
      <c r="AQ427" t="s">
        <v>4978</v>
      </c>
    </row>
    <row r="428" spans="1:43" x14ac:dyDescent="0.2">
      <c r="A428" t="s">
        <v>11657</v>
      </c>
      <c r="B428" t="s">
        <v>11037</v>
      </c>
      <c r="C428" t="s">
        <v>11305</v>
      </c>
      <c r="D428" t="s">
        <v>11698</v>
      </c>
      <c r="E428" t="s">
        <v>4919</v>
      </c>
      <c r="F428" t="s">
        <v>11698</v>
      </c>
      <c r="G428" s="1">
        <v>5736</v>
      </c>
      <c r="H428" s="2">
        <v>1173211.92</v>
      </c>
      <c r="I428" s="2">
        <v>953323.2</v>
      </c>
      <c r="J428" s="2">
        <v>0</v>
      </c>
      <c r="K428" s="2">
        <v>0</v>
      </c>
      <c r="L428" s="2">
        <v>953323.2</v>
      </c>
      <c r="M428" s="3">
        <v>16620</v>
      </c>
      <c r="N428" s="4">
        <v>2.16891E-3</v>
      </c>
      <c r="O428" s="5" t="s">
        <v>44</v>
      </c>
      <c r="P428" s="5" t="s">
        <v>44</v>
      </c>
      <c r="Q428" s="1"/>
      <c r="R428" s="2"/>
      <c r="S428" s="6"/>
      <c r="T428" t="s">
        <v>10902</v>
      </c>
      <c r="U428" t="s">
        <v>10902</v>
      </c>
      <c r="V428" t="s">
        <v>10902</v>
      </c>
      <c r="W428" t="s">
        <v>43</v>
      </c>
      <c r="X428" t="s">
        <v>11310</v>
      </c>
      <c r="Y428" t="s">
        <v>11307</v>
      </c>
      <c r="Z428" t="s">
        <v>11305</v>
      </c>
      <c r="AA428" t="s">
        <v>44</v>
      </c>
      <c r="AB428" t="s">
        <v>44</v>
      </c>
      <c r="AC428" s="4"/>
      <c r="AD428" s="4"/>
      <c r="AE428" s="2">
        <v>0</v>
      </c>
      <c r="AF428" s="4">
        <v>0</v>
      </c>
      <c r="AG428" s="2">
        <v>0.18</v>
      </c>
      <c r="AH428" s="2">
        <v>953323.2</v>
      </c>
      <c r="AI428" s="2">
        <v>0</v>
      </c>
      <c r="AJ428" s="5">
        <v>44673</v>
      </c>
      <c r="AK428" t="s">
        <v>11658</v>
      </c>
      <c r="AL428" s="2">
        <v>0</v>
      </c>
      <c r="AM428" s="2">
        <v>0</v>
      </c>
      <c r="AN428" s="2">
        <v>0</v>
      </c>
      <c r="AO428" t="s">
        <v>44</v>
      </c>
      <c r="AP428" t="s">
        <v>11699</v>
      </c>
      <c r="AQ428" t="s">
        <v>4919</v>
      </c>
    </row>
    <row r="429" spans="1:43" x14ac:dyDescent="0.2">
      <c r="A429" t="s">
        <v>11657</v>
      </c>
      <c r="B429" t="s">
        <v>11037</v>
      </c>
      <c r="C429" t="s">
        <v>11305</v>
      </c>
      <c r="D429" t="s">
        <v>6224</v>
      </c>
      <c r="E429" t="s">
        <v>3901</v>
      </c>
      <c r="F429" t="s">
        <v>6224</v>
      </c>
      <c r="G429" s="1">
        <v>12159</v>
      </c>
      <c r="H429" s="2">
        <v>685513.67</v>
      </c>
      <c r="I429" s="2">
        <v>677499.48</v>
      </c>
      <c r="J429" s="2">
        <v>0</v>
      </c>
      <c r="K429" s="2">
        <v>0</v>
      </c>
      <c r="L429" s="2">
        <v>677499.48</v>
      </c>
      <c r="M429" s="3">
        <v>5572</v>
      </c>
      <c r="N429" s="4">
        <v>1.54138E-3</v>
      </c>
      <c r="O429" s="5" t="s">
        <v>44</v>
      </c>
      <c r="P429" s="5" t="s">
        <v>44</v>
      </c>
      <c r="Q429" s="1"/>
      <c r="R429" s="2"/>
      <c r="S429" s="6"/>
      <c r="T429" t="s">
        <v>10902</v>
      </c>
      <c r="U429" t="s">
        <v>10902</v>
      </c>
      <c r="V429" t="s">
        <v>10902</v>
      </c>
      <c r="W429" t="s">
        <v>43</v>
      </c>
      <c r="X429" t="s">
        <v>11306</v>
      </c>
      <c r="Y429" t="s">
        <v>11307</v>
      </c>
      <c r="Z429" t="s">
        <v>11305</v>
      </c>
      <c r="AA429" t="s">
        <v>44</v>
      </c>
      <c r="AB429" t="s">
        <v>44</v>
      </c>
      <c r="AC429" s="4"/>
      <c r="AD429" s="4"/>
      <c r="AE429" s="2">
        <v>0</v>
      </c>
      <c r="AF429" s="4">
        <v>0</v>
      </c>
      <c r="AG429" s="2">
        <v>0.13</v>
      </c>
      <c r="AH429" s="2">
        <v>677499.48</v>
      </c>
      <c r="AI429" s="2">
        <v>0</v>
      </c>
      <c r="AJ429" s="5">
        <v>44673</v>
      </c>
      <c r="AK429" t="s">
        <v>11658</v>
      </c>
      <c r="AL429" s="2">
        <v>0</v>
      </c>
      <c r="AM429" s="2">
        <v>0</v>
      </c>
      <c r="AN429" s="2">
        <v>0</v>
      </c>
      <c r="AO429" t="s">
        <v>44</v>
      </c>
      <c r="AP429" t="s">
        <v>11320</v>
      </c>
      <c r="AQ429" t="s">
        <v>3901</v>
      </c>
    </row>
    <row r="430" spans="1:43" x14ac:dyDescent="0.2">
      <c r="A430" t="s">
        <v>11657</v>
      </c>
      <c r="B430" t="s">
        <v>11037</v>
      </c>
      <c r="C430" t="s">
        <v>11305</v>
      </c>
      <c r="D430" t="s">
        <v>11700</v>
      </c>
      <c r="E430" t="s">
        <v>4938</v>
      </c>
      <c r="F430" t="s">
        <v>11700</v>
      </c>
      <c r="G430" s="1">
        <v>31784</v>
      </c>
      <c r="H430" s="2">
        <v>1887637.91</v>
      </c>
      <c r="I430" s="2">
        <v>1892419.36</v>
      </c>
      <c r="J430" s="2">
        <v>0</v>
      </c>
      <c r="K430" s="2">
        <v>0</v>
      </c>
      <c r="L430" s="2">
        <v>1892419.36</v>
      </c>
      <c r="M430" s="3">
        <v>5954</v>
      </c>
      <c r="N430" s="4">
        <v>4.3054599999999997E-3</v>
      </c>
      <c r="O430" s="5" t="s">
        <v>44</v>
      </c>
      <c r="P430" s="5" t="s">
        <v>44</v>
      </c>
      <c r="Q430" s="1"/>
      <c r="R430" s="2"/>
      <c r="S430" s="6"/>
      <c r="T430" t="s">
        <v>10902</v>
      </c>
      <c r="U430" t="s">
        <v>10902</v>
      </c>
      <c r="V430" t="s">
        <v>10902</v>
      </c>
      <c r="W430" t="s">
        <v>43</v>
      </c>
      <c r="X430" t="s">
        <v>11306</v>
      </c>
      <c r="Y430" t="s">
        <v>11307</v>
      </c>
      <c r="Z430" t="s">
        <v>11305</v>
      </c>
      <c r="AA430" t="s">
        <v>44</v>
      </c>
      <c r="AB430" t="s">
        <v>44</v>
      </c>
      <c r="AC430" s="4"/>
      <c r="AD430" s="4"/>
      <c r="AE430" s="2">
        <v>0</v>
      </c>
      <c r="AF430" s="4">
        <v>0</v>
      </c>
      <c r="AG430" s="2">
        <v>0.36</v>
      </c>
      <c r="AH430" s="2">
        <v>1892419.36</v>
      </c>
      <c r="AI430" s="2">
        <v>0</v>
      </c>
      <c r="AJ430" s="5">
        <v>44673</v>
      </c>
      <c r="AK430" t="s">
        <v>11658</v>
      </c>
      <c r="AL430" s="2">
        <v>0</v>
      </c>
      <c r="AM430" s="2">
        <v>0</v>
      </c>
      <c r="AN430" s="2">
        <v>0</v>
      </c>
      <c r="AO430" t="s">
        <v>44</v>
      </c>
      <c r="AP430" t="s">
        <v>11701</v>
      </c>
      <c r="AQ430" t="s">
        <v>4938</v>
      </c>
    </row>
    <row r="431" spans="1:43" x14ac:dyDescent="0.2">
      <c r="A431" t="s">
        <v>11657</v>
      </c>
      <c r="B431" t="s">
        <v>11037</v>
      </c>
      <c r="C431" t="s">
        <v>11195</v>
      </c>
      <c r="D431" t="s">
        <v>5925</v>
      </c>
      <c r="E431" t="s">
        <v>5026</v>
      </c>
      <c r="F431" t="s">
        <v>5925</v>
      </c>
      <c r="G431" s="1">
        <v>24114</v>
      </c>
      <c r="H431" s="2">
        <v>3571827.97</v>
      </c>
      <c r="I431" s="2">
        <v>4004129.7</v>
      </c>
      <c r="J431" s="2">
        <v>0</v>
      </c>
      <c r="K431" s="2">
        <v>114541.5</v>
      </c>
      <c r="L431" s="2">
        <v>4118671.2</v>
      </c>
      <c r="M431" s="3">
        <v>16605</v>
      </c>
      <c r="N431" s="4">
        <v>9.3704200000000008E-3</v>
      </c>
      <c r="O431" s="5" t="s">
        <v>44</v>
      </c>
      <c r="P431" s="5" t="s">
        <v>44</v>
      </c>
      <c r="Q431" s="1"/>
      <c r="R431" s="2"/>
      <c r="S431" s="6"/>
      <c r="T431" t="s">
        <v>10902</v>
      </c>
      <c r="U431" t="s">
        <v>10902</v>
      </c>
      <c r="V431" t="s">
        <v>10902</v>
      </c>
      <c r="W431" t="s">
        <v>43</v>
      </c>
      <c r="X431" t="s">
        <v>11034</v>
      </c>
      <c r="Y431" t="s">
        <v>11034</v>
      </c>
      <c r="Z431" t="s">
        <v>11195</v>
      </c>
      <c r="AA431" t="s">
        <v>44</v>
      </c>
      <c r="AB431" t="s">
        <v>44</v>
      </c>
      <c r="AC431" s="4"/>
      <c r="AD431" s="4"/>
      <c r="AE431" s="2">
        <v>0</v>
      </c>
      <c r="AF431" s="4">
        <v>0</v>
      </c>
      <c r="AG431" s="2">
        <v>0.78</v>
      </c>
      <c r="AH431" s="2">
        <v>4118671.2</v>
      </c>
      <c r="AI431" s="2">
        <v>0.01</v>
      </c>
      <c r="AJ431" s="5">
        <v>44673</v>
      </c>
      <c r="AK431" t="s">
        <v>11658</v>
      </c>
      <c r="AL431" s="2">
        <v>0</v>
      </c>
      <c r="AM431" s="2">
        <v>0</v>
      </c>
      <c r="AN431" s="2">
        <v>0</v>
      </c>
      <c r="AO431" t="s">
        <v>44</v>
      </c>
      <c r="AP431" t="s">
        <v>11702</v>
      </c>
      <c r="AQ431" t="s">
        <v>5026</v>
      </c>
    </row>
    <row r="432" spans="1:43" x14ac:dyDescent="0.2">
      <c r="A432" t="s">
        <v>11657</v>
      </c>
      <c r="B432" t="s">
        <v>11037</v>
      </c>
      <c r="C432" t="s">
        <v>11195</v>
      </c>
      <c r="D432" t="s">
        <v>6003</v>
      </c>
      <c r="E432" t="s">
        <v>4789</v>
      </c>
      <c r="F432" t="s">
        <v>6003</v>
      </c>
      <c r="G432" s="1">
        <v>2767</v>
      </c>
      <c r="H432" s="2">
        <v>5343716.6500000004</v>
      </c>
      <c r="I432" s="2">
        <v>5931451.8799999999</v>
      </c>
      <c r="J432" s="2">
        <v>0</v>
      </c>
      <c r="K432" s="2">
        <v>0</v>
      </c>
      <c r="L432" s="2">
        <v>5931451.8799999999</v>
      </c>
      <c r="M432" s="3">
        <v>214364</v>
      </c>
      <c r="N432" s="4">
        <v>1.349469E-2</v>
      </c>
      <c r="O432" s="5" t="s">
        <v>44</v>
      </c>
      <c r="P432" s="5" t="s">
        <v>44</v>
      </c>
      <c r="Q432" s="1"/>
      <c r="R432" s="2"/>
      <c r="S432" s="6"/>
      <c r="T432" t="s">
        <v>10902</v>
      </c>
      <c r="U432" t="s">
        <v>10902</v>
      </c>
      <c r="V432" t="s">
        <v>10902</v>
      </c>
      <c r="W432" t="s">
        <v>43</v>
      </c>
      <c r="X432" t="s">
        <v>11034</v>
      </c>
      <c r="Y432" t="s">
        <v>11034</v>
      </c>
      <c r="Z432" t="s">
        <v>11195</v>
      </c>
      <c r="AA432" t="s">
        <v>44</v>
      </c>
      <c r="AB432" t="s">
        <v>44</v>
      </c>
      <c r="AC432" s="4"/>
      <c r="AD432" s="4"/>
      <c r="AE432" s="2">
        <v>0</v>
      </c>
      <c r="AF432" s="4">
        <v>0</v>
      </c>
      <c r="AG432" s="2">
        <v>1.1200000000000001</v>
      </c>
      <c r="AH432" s="2">
        <v>5931451.8799999999</v>
      </c>
      <c r="AI432" s="2">
        <v>0.01</v>
      </c>
      <c r="AJ432" s="5">
        <v>44673</v>
      </c>
      <c r="AK432" t="s">
        <v>11658</v>
      </c>
      <c r="AL432" s="2">
        <v>0</v>
      </c>
      <c r="AM432" s="2">
        <v>0</v>
      </c>
      <c r="AN432" s="2">
        <v>0</v>
      </c>
      <c r="AO432" t="s">
        <v>44</v>
      </c>
      <c r="AP432" t="s">
        <v>11703</v>
      </c>
      <c r="AQ432" t="s">
        <v>4789</v>
      </c>
    </row>
    <row r="433" spans="1:43" x14ac:dyDescent="0.2">
      <c r="A433" t="s">
        <v>11657</v>
      </c>
      <c r="B433" t="s">
        <v>11037</v>
      </c>
      <c r="C433" t="s">
        <v>11195</v>
      </c>
      <c r="D433" t="s">
        <v>6419</v>
      </c>
      <c r="E433" t="s">
        <v>5072</v>
      </c>
      <c r="F433" t="s">
        <v>6419</v>
      </c>
      <c r="G433" s="1">
        <v>7576</v>
      </c>
      <c r="H433" s="2">
        <v>384491.47</v>
      </c>
      <c r="I433" s="2">
        <v>317888.96000000002</v>
      </c>
      <c r="J433" s="2">
        <v>0</v>
      </c>
      <c r="K433" s="2">
        <v>0</v>
      </c>
      <c r="L433" s="2">
        <v>317888.96000000002</v>
      </c>
      <c r="M433" s="3">
        <v>4196</v>
      </c>
      <c r="N433" s="4">
        <v>7.2323000000000005E-4</v>
      </c>
      <c r="O433" s="5" t="s">
        <v>44</v>
      </c>
      <c r="P433" s="5" t="s">
        <v>44</v>
      </c>
      <c r="Q433" s="1"/>
      <c r="R433" s="2"/>
      <c r="S433" s="6"/>
      <c r="T433" t="s">
        <v>10902</v>
      </c>
      <c r="U433" t="s">
        <v>10902</v>
      </c>
      <c r="V433" t="s">
        <v>10902</v>
      </c>
      <c r="W433" t="s">
        <v>43</v>
      </c>
      <c r="X433" t="s">
        <v>11327</v>
      </c>
      <c r="Y433" t="s">
        <v>11198</v>
      </c>
      <c r="Z433" t="s">
        <v>11195</v>
      </c>
      <c r="AA433" t="s">
        <v>44</v>
      </c>
      <c r="AB433" t="s">
        <v>44</v>
      </c>
      <c r="AC433" s="4"/>
      <c r="AD433" s="4"/>
      <c r="AE433" s="2">
        <v>0</v>
      </c>
      <c r="AF433" s="4">
        <v>0</v>
      </c>
      <c r="AG433" s="2">
        <v>0.06</v>
      </c>
      <c r="AH433" s="2">
        <v>317888.96000000002</v>
      </c>
      <c r="AI433" s="2">
        <v>0</v>
      </c>
      <c r="AJ433" s="5">
        <v>44673</v>
      </c>
      <c r="AK433" t="s">
        <v>11658</v>
      </c>
      <c r="AL433" s="2">
        <v>0</v>
      </c>
      <c r="AM433" s="2">
        <v>0</v>
      </c>
      <c r="AN433" s="2">
        <v>0</v>
      </c>
      <c r="AO433" t="s">
        <v>44</v>
      </c>
      <c r="AP433" t="s">
        <v>11328</v>
      </c>
      <c r="AQ433" t="s">
        <v>5072</v>
      </c>
    </row>
    <row r="434" spans="1:43" x14ac:dyDescent="0.2">
      <c r="A434" t="s">
        <v>11657</v>
      </c>
      <c r="B434" t="s">
        <v>11037</v>
      </c>
      <c r="C434" t="s">
        <v>11195</v>
      </c>
      <c r="D434" t="s">
        <v>11704</v>
      </c>
      <c r="E434" t="s">
        <v>3205</v>
      </c>
      <c r="F434" t="s">
        <v>11704</v>
      </c>
      <c r="G434" s="1">
        <v>17542</v>
      </c>
      <c r="H434" s="2">
        <v>2340861.2599999998</v>
      </c>
      <c r="I434" s="2">
        <v>2887413.2</v>
      </c>
      <c r="J434" s="2">
        <v>0</v>
      </c>
      <c r="K434" s="2">
        <v>0</v>
      </c>
      <c r="L434" s="2">
        <v>2887413.2</v>
      </c>
      <c r="M434" s="3">
        <v>16460</v>
      </c>
      <c r="N434" s="4">
        <v>6.56918E-3</v>
      </c>
      <c r="O434" s="5" t="s">
        <v>44</v>
      </c>
      <c r="P434" s="5" t="s">
        <v>44</v>
      </c>
      <c r="Q434" s="1"/>
      <c r="R434" s="2"/>
      <c r="S434" s="6"/>
      <c r="T434" t="s">
        <v>10902</v>
      </c>
      <c r="U434" t="s">
        <v>10902</v>
      </c>
      <c r="V434" t="s">
        <v>10902</v>
      </c>
      <c r="W434" t="s">
        <v>43</v>
      </c>
      <c r="X434" t="s">
        <v>11334</v>
      </c>
      <c r="Y434" t="s">
        <v>11335</v>
      </c>
      <c r="Z434" t="s">
        <v>11195</v>
      </c>
      <c r="AA434" t="s">
        <v>44</v>
      </c>
      <c r="AB434" t="s">
        <v>44</v>
      </c>
      <c r="AC434" s="4"/>
      <c r="AD434" s="4"/>
      <c r="AE434" s="2">
        <v>0</v>
      </c>
      <c r="AF434" s="4">
        <v>0</v>
      </c>
      <c r="AG434" s="2">
        <v>0.54</v>
      </c>
      <c r="AH434" s="2">
        <v>2887413.2</v>
      </c>
      <c r="AI434" s="2">
        <v>0.01</v>
      </c>
      <c r="AJ434" s="5">
        <v>44673</v>
      </c>
      <c r="AK434" t="s">
        <v>11658</v>
      </c>
      <c r="AL434" s="2">
        <v>0</v>
      </c>
      <c r="AM434" s="2">
        <v>0</v>
      </c>
      <c r="AN434" s="2">
        <v>0</v>
      </c>
      <c r="AO434" t="s">
        <v>44</v>
      </c>
      <c r="AP434" t="s">
        <v>11705</v>
      </c>
      <c r="AQ434" t="s">
        <v>3205</v>
      </c>
    </row>
    <row r="435" spans="1:43" x14ac:dyDescent="0.2">
      <c r="A435" t="s">
        <v>11657</v>
      </c>
      <c r="B435" t="s">
        <v>11037</v>
      </c>
      <c r="C435" t="s">
        <v>11195</v>
      </c>
      <c r="D435" t="s">
        <v>11196</v>
      </c>
      <c r="E435" t="s">
        <v>5755</v>
      </c>
      <c r="F435" t="s">
        <v>11196</v>
      </c>
      <c r="G435" s="1">
        <v>19938</v>
      </c>
      <c r="H435" s="2">
        <v>412059.58</v>
      </c>
      <c r="I435" s="2">
        <v>430262.04</v>
      </c>
      <c r="J435" s="2">
        <v>0</v>
      </c>
      <c r="K435" s="2">
        <v>0</v>
      </c>
      <c r="L435" s="2">
        <v>430262.04</v>
      </c>
      <c r="M435" s="3">
        <v>2158</v>
      </c>
      <c r="N435" s="4">
        <v>9.7889000000000006E-4</v>
      </c>
      <c r="O435" s="5" t="s">
        <v>44</v>
      </c>
      <c r="P435" s="5" t="s">
        <v>44</v>
      </c>
      <c r="Q435" s="1"/>
      <c r="R435" s="2"/>
      <c r="S435" s="6"/>
      <c r="T435" t="s">
        <v>10902</v>
      </c>
      <c r="U435" t="s">
        <v>10902</v>
      </c>
      <c r="V435" t="s">
        <v>10902</v>
      </c>
      <c r="W435" t="s">
        <v>43</v>
      </c>
      <c r="X435" t="s">
        <v>11197</v>
      </c>
      <c r="Y435" t="s">
        <v>11198</v>
      </c>
      <c r="Z435" t="s">
        <v>11195</v>
      </c>
      <c r="AA435" t="s">
        <v>44</v>
      </c>
      <c r="AB435" t="s">
        <v>44</v>
      </c>
      <c r="AC435" s="4"/>
      <c r="AD435" s="4"/>
      <c r="AE435" s="2">
        <v>0</v>
      </c>
      <c r="AF435" s="4">
        <v>0</v>
      </c>
      <c r="AG435" s="2">
        <v>0.08</v>
      </c>
      <c r="AH435" s="2">
        <v>430262.04</v>
      </c>
      <c r="AI435" s="2">
        <v>0</v>
      </c>
      <c r="AJ435" s="5">
        <v>44673</v>
      </c>
      <c r="AK435" t="s">
        <v>11658</v>
      </c>
      <c r="AL435" s="2">
        <v>0</v>
      </c>
      <c r="AM435" s="2">
        <v>0</v>
      </c>
      <c r="AN435" s="2">
        <v>0</v>
      </c>
      <c r="AO435" t="s">
        <v>44</v>
      </c>
      <c r="AP435" t="s">
        <v>11199</v>
      </c>
      <c r="AQ435" t="s">
        <v>5755</v>
      </c>
    </row>
    <row r="436" spans="1:43" x14ac:dyDescent="0.2">
      <c r="A436" t="s">
        <v>11657</v>
      </c>
      <c r="B436" t="s">
        <v>11037</v>
      </c>
      <c r="C436" t="s">
        <v>11195</v>
      </c>
      <c r="D436" t="s">
        <v>11706</v>
      </c>
      <c r="E436" t="s">
        <v>4801</v>
      </c>
      <c r="F436" t="s">
        <v>11706</v>
      </c>
      <c r="G436" s="1">
        <v>158469</v>
      </c>
      <c r="H436" s="2">
        <v>9856347.2100000009</v>
      </c>
      <c r="I436" s="2">
        <v>11024688.33</v>
      </c>
      <c r="J436" s="2">
        <v>0</v>
      </c>
      <c r="K436" s="2">
        <v>0</v>
      </c>
      <c r="L436" s="2">
        <v>11024688.33</v>
      </c>
      <c r="M436" s="3">
        <v>6957</v>
      </c>
      <c r="N436" s="4">
        <v>2.508235E-2</v>
      </c>
      <c r="O436" s="5" t="s">
        <v>44</v>
      </c>
      <c r="P436" s="5" t="s">
        <v>44</v>
      </c>
      <c r="Q436" s="1"/>
      <c r="R436" s="2"/>
      <c r="S436" s="6"/>
      <c r="T436" t="s">
        <v>10902</v>
      </c>
      <c r="U436" t="s">
        <v>10902</v>
      </c>
      <c r="V436" t="s">
        <v>10902</v>
      </c>
      <c r="W436" t="s">
        <v>43</v>
      </c>
      <c r="X436" t="s">
        <v>11034</v>
      </c>
      <c r="Y436" t="s">
        <v>11034</v>
      </c>
      <c r="Z436" t="s">
        <v>11195</v>
      </c>
      <c r="AA436" t="s">
        <v>44</v>
      </c>
      <c r="AB436" t="s">
        <v>44</v>
      </c>
      <c r="AC436" s="4"/>
      <c r="AD436" s="4"/>
      <c r="AE436" s="2">
        <v>0</v>
      </c>
      <c r="AF436" s="4">
        <v>0</v>
      </c>
      <c r="AG436" s="2">
        <v>2.08</v>
      </c>
      <c r="AH436" s="2">
        <v>11024688.33</v>
      </c>
      <c r="AI436" s="2">
        <v>0.03</v>
      </c>
      <c r="AJ436" s="5">
        <v>44673</v>
      </c>
      <c r="AK436" t="s">
        <v>11658</v>
      </c>
      <c r="AL436" s="2">
        <v>0</v>
      </c>
      <c r="AM436" s="2">
        <v>0</v>
      </c>
      <c r="AN436" s="2">
        <v>0</v>
      </c>
      <c r="AO436" t="s">
        <v>44</v>
      </c>
      <c r="AP436" t="s">
        <v>11707</v>
      </c>
      <c r="AQ436" t="s">
        <v>4801</v>
      </c>
    </row>
    <row r="437" spans="1:43" x14ac:dyDescent="0.2">
      <c r="A437" t="s">
        <v>11657</v>
      </c>
      <c r="B437" t="s">
        <v>11037</v>
      </c>
      <c r="C437" t="s">
        <v>11195</v>
      </c>
      <c r="D437" t="s">
        <v>11200</v>
      </c>
      <c r="E437" t="s">
        <v>5277</v>
      </c>
      <c r="F437" t="s">
        <v>11200</v>
      </c>
      <c r="G437" s="1">
        <v>33135</v>
      </c>
      <c r="H437" s="2">
        <v>473272</v>
      </c>
      <c r="I437" s="2">
        <v>413193.45</v>
      </c>
      <c r="J437" s="2">
        <v>0</v>
      </c>
      <c r="K437" s="2">
        <v>0</v>
      </c>
      <c r="L437" s="2">
        <v>413193.45</v>
      </c>
      <c r="M437" s="3">
        <v>1247</v>
      </c>
      <c r="N437" s="4">
        <v>9.4006000000000005E-4</v>
      </c>
      <c r="O437" s="5" t="s">
        <v>44</v>
      </c>
      <c r="P437" s="5" t="s">
        <v>44</v>
      </c>
      <c r="Q437" s="1"/>
      <c r="R437" s="2"/>
      <c r="S437" s="6"/>
      <c r="T437" t="s">
        <v>10902</v>
      </c>
      <c r="U437" t="s">
        <v>10902</v>
      </c>
      <c r="V437" t="s">
        <v>10902</v>
      </c>
      <c r="W437" t="s">
        <v>43</v>
      </c>
      <c r="X437" t="s">
        <v>11197</v>
      </c>
      <c r="Y437" t="s">
        <v>11198</v>
      </c>
      <c r="Z437" t="s">
        <v>11195</v>
      </c>
      <c r="AA437" t="s">
        <v>44</v>
      </c>
      <c r="AB437" t="s">
        <v>44</v>
      </c>
      <c r="AC437" s="4"/>
      <c r="AD437" s="4"/>
      <c r="AE437" s="2">
        <v>0</v>
      </c>
      <c r="AF437" s="4">
        <v>0</v>
      </c>
      <c r="AG437" s="2">
        <v>0.08</v>
      </c>
      <c r="AH437" s="2">
        <v>413193.45</v>
      </c>
      <c r="AI437" s="2">
        <v>0</v>
      </c>
      <c r="AJ437" s="5">
        <v>44673</v>
      </c>
      <c r="AK437" t="s">
        <v>11658</v>
      </c>
      <c r="AL437" s="2">
        <v>0</v>
      </c>
      <c r="AM437" s="2">
        <v>0</v>
      </c>
      <c r="AN437" s="2">
        <v>0</v>
      </c>
      <c r="AO437" t="s">
        <v>44</v>
      </c>
      <c r="AP437" t="s">
        <v>11201</v>
      </c>
      <c r="AQ437" t="s">
        <v>5277</v>
      </c>
    </row>
    <row r="438" spans="1:43" x14ac:dyDescent="0.2">
      <c r="A438" t="s">
        <v>11657</v>
      </c>
      <c r="B438" t="s">
        <v>11037</v>
      </c>
      <c r="C438" t="s">
        <v>11195</v>
      </c>
      <c r="D438" t="s">
        <v>5988</v>
      </c>
      <c r="E438" t="s">
        <v>3145</v>
      </c>
      <c r="F438" t="s">
        <v>5988</v>
      </c>
      <c r="G438" s="1">
        <v>98379</v>
      </c>
      <c r="H438" s="2">
        <v>1393600.98</v>
      </c>
      <c r="I438" s="2">
        <v>1377306</v>
      </c>
      <c r="J438" s="2">
        <v>0</v>
      </c>
      <c r="K438" s="2">
        <v>0</v>
      </c>
      <c r="L438" s="2">
        <v>1377306</v>
      </c>
      <c r="M438" s="3">
        <v>1400</v>
      </c>
      <c r="N438" s="4">
        <v>3.1335199999999999E-3</v>
      </c>
      <c r="O438" s="5" t="s">
        <v>44</v>
      </c>
      <c r="P438" s="5" t="s">
        <v>44</v>
      </c>
      <c r="Q438" s="1"/>
      <c r="R438" s="2"/>
      <c r="S438" s="6"/>
      <c r="T438" t="s">
        <v>10902</v>
      </c>
      <c r="U438" t="s">
        <v>10902</v>
      </c>
      <c r="V438" t="s">
        <v>10902</v>
      </c>
      <c r="W438" t="s">
        <v>43</v>
      </c>
      <c r="X438" t="s">
        <v>11197</v>
      </c>
      <c r="Y438" t="s">
        <v>11198</v>
      </c>
      <c r="Z438" t="s">
        <v>11195</v>
      </c>
      <c r="AA438" t="s">
        <v>44</v>
      </c>
      <c r="AB438" t="s">
        <v>44</v>
      </c>
      <c r="AC438" s="4"/>
      <c r="AD438" s="4"/>
      <c r="AE438" s="2">
        <v>0</v>
      </c>
      <c r="AF438" s="4">
        <v>0</v>
      </c>
      <c r="AG438" s="2">
        <v>0.26</v>
      </c>
      <c r="AH438" s="2">
        <v>1377306</v>
      </c>
      <c r="AI438" s="2">
        <v>0</v>
      </c>
      <c r="AJ438" s="5">
        <v>44673</v>
      </c>
      <c r="AK438" t="s">
        <v>11658</v>
      </c>
      <c r="AL438" s="2">
        <v>0</v>
      </c>
      <c r="AM438" s="2">
        <v>0</v>
      </c>
      <c r="AN438" s="2">
        <v>0</v>
      </c>
      <c r="AO438" t="s">
        <v>44</v>
      </c>
      <c r="AP438" t="s">
        <v>11202</v>
      </c>
      <c r="AQ438" t="s">
        <v>3145</v>
      </c>
    </row>
    <row r="439" spans="1:43" x14ac:dyDescent="0.2">
      <c r="A439" t="s">
        <v>11657</v>
      </c>
      <c r="B439" t="s">
        <v>11037</v>
      </c>
      <c r="C439" t="s">
        <v>11195</v>
      </c>
      <c r="D439" t="s">
        <v>6332</v>
      </c>
      <c r="E439" t="s">
        <v>3152</v>
      </c>
      <c r="F439" t="s">
        <v>6332</v>
      </c>
      <c r="G439" s="1">
        <v>9771</v>
      </c>
      <c r="H439" s="2">
        <v>268155.59999999998</v>
      </c>
      <c r="I439" s="2">
        <v>352537.68</v>
      </c>
      <c r="J439" s="2">
        <v>0</v>
      </c>
      <c r="K439" s="2">
        <v>0</v>
      </c>
      <c r="L439" s="2">
        <v>352537.68</v>
      </c>
      <c r="M439" s="3">
        <v>3608</v>
      </c>
      <c r="N439" s="4">
        <v>8.0205999999999995E-4</v>
      </c>
      <c r="O439" s="5" t="s">
        <v>44</v>
      </c>
      <c r="P439" s="5" t="s">
        <v>44</v>
      </c>
      <c r="Q439" s="1"/>
      <c r="R439" s="2"/>
      <c r="S439" s="6"/>
      <c r="T439" t="s">
        <v>10902</v>
      </c>
      <c r="U439" t="s">
        <v>10902</v>
      </c>
      <c r="V439" t="s">
        <v>10902</v>
      </c>
      <c r="W439" t="s">
        <v>43</v>
      </c>
      <c r="X439" t="s">
        <v>11197</v>
      </c>
      <c r="Y439" t="s">
        <v>11198</v>
      </c>
      <c r="Z439" t="s">
        <v>11195</v>
      </c>
      <c r="AA439" t="s">
        <v>44</v>
      </c>
      <c r="AB439" t="s">
        <v>44</v>
      </c>
      <c r="AC439" s="4"/>
      <c r="AD439" s="4"/>
      <c r="AE439" s="2">
        <v>0</v>
      </c>
      <c r="AF439" s="4">
        <v>0</v>
      </c>
      <c r="AG439" s="2">
        <v>7.0000000000000007E-2</v>
      </c>
      <c r="AH439" s="2">
        <v>352537.68</v>
      </c>
      <c r="AI439" s="2">
        <v>0</v>
      </c>
      <c r="AJ439" s="5">
        <v>44673</v>
      </c>
      <c r="AK439" t="s">
        <v>11658</v>
      </c>
      <c r="AL439" s="2">
        <v>0</v>
      </c>
      <c r="AM439" s="2">
        <v>0</v>
      </c>
      <c r="AN439" s="2">
        <v>0</v>
      </c>
      <c r="AO439" t="s">
        <v>44</v>
      </c>
      <c r="AP439" t="s">
        <v>11203</v>
      </c>
      <c r="AQ439" t="s">
        <v>3152</v>
      </c>
    </row>
    <row r="440" spans="1:43" x14ac:dyDescent="0.2">
      <c r="A440" t="s">
        <v>11657</v>
      </c>
      <c r="B440" t="s">
        <v>11037</v>
      </c>
      <c r="C440" t="s">
        <v>11195</v>
      </c>
      <c r="D440" t="s">
        <v>11329</v>
      </c>
      <c r="E440" t="s">
        <v>4814</v>
      </c>
      <c r="F440" t="s">
        <v>11329</v>
      </c>
      <c r="G440" s="1">
        <v>8449</v>
      </c>
      <c r="H440" s="2">
        <v>502284.52</v>
      </c>
      <c r="I440" s="2">
        <v>837464.88</v>
      </c>
      <c r="J440" s="2">
        <v>0</v>
      </c>
      <c r="K440" s="2">
        <v>0</v>
      </c>
      <c r="L440" s="2">
        <v>837464.88</v>
      </c>
      <c r="M440" s="3">
        <v>9912</v>
      </c>
      <c r="N440" s="4">
        <v>1.9053200000000001E-3</v>
      </c>
      <c r="O440" s="5" t="s">
        <v>44</v>
      </c>
      <c r="P440" s="5" t="s">
        <v>44</v>
      </c>
      <c r="Q440" s="1"/>
      <c r="R440" s="2"/>
      <c r="S440" s="6"/>
      <c r="T440" t="s">
        <v>10902</v>
      </c>
      <c r="U440" t="s">
        <v>10902</v>
      </c>
      <c r="V440" t="s">
        <v>10902</v>
      </c>
      <c r="W440" t="s">
        <v>43</v>
      </c>
      <c r="X440" t="s">
        <v>11327</v>
      </c>
      <c r="Y440" t="s">
        <v>11198</v>
      </c>
      <c r="Z440" t="s">
        <v>11195</v>
      </c>
      <c r="AA440" t="s">
        <v>44</v>
      </c>
      <c r="AB440" t="s">
        <v>44</v>
      </c>
      <c r="AC440" s="4"/>
      <c r="AD440" s="4"/>
      <c r="AE440" s="2">
        <v>0</v>
      </c>
      <c r="AF440" s="4">
        <v>0</v>
      </c>
      <c r="AG440" s="2">
        <v>0.16</v>
      </c>
      <c r="AH440" s="2">
        <v>837464.88</v>
      </c>
      <c r="AI440" s="2">
        <v>0</v>
      </c>
      <c r="AJ440" s="5">
        <v>44673</v>
      </c>
      <c r="AK440" t="s">
        <v>11658</v>
      </c>
      <c r="AL440" s="2">
        <v>0</v>
      </c>
      <c r="AM440" s="2">
        <v>0</v>
      </c>
      <c r="AN440" s="2">
        <v>0</v>
      </c>
      <c r="AO440" t="s">
        <v>44</v>
      </c>
      <c r="AP440" t="s">
        <v>11330</v>
      </c>
      <c r="AQ440" t="s">
        <v>4814</v>
      </c>
    </row>
    <row r="441" spans="1:43" x14ac:dyDescent="0.2">
      <c r="A441" t="s">
        <v>11657</v>
      </c>
      <c r="B441" t="s">
        <v>11037</v>
      </c>
      <c r="C441" t="s">
        <v>11195</v>
      </c>
      <c r="D441" t="s">
        <v>11708</v>
      </c>
      <c r="E441" t="s">
        <v>4821</v>
      </c>
      <c r="F441" t="s">
        <v>11708</v>
      </c>
      <c r="G441" s="1">
        <v>21797</v>
      </c>
      <c r="H441" s="2">
        <v>1345314.34</v>
      </c>
      <c r="I441" s="2">
        <v>2109077.7200000002</v>
      </c>
      <c r="J441" s="2">
        <v>0</v>
      </c>
      <c r="K441" s="2">
        <v>0</v>
      </c>
      <c r="L441" s="2">
        <v>2109077.7200000002</v>
      </c>
      <c r="M441" s="3">
        <v>9676</v>
      </c>
      <c r="N441" s="4">
        <v>4.7983799999999997E-3</v>
      </c>
      <c r="O441" s="5" t="s">
        <v>44</v>
      </c>
      <c r="P441" s="5" t="s">
        <v>44</v>
      </c>
      <c r="Q441" s="1"/>
      <c r="R441" s="2"/>
      <c r="S441" s="6"/>
      <c r="T441" t="s">
        <v>10902</v>
      </c>
      <c r="U441" t="s">
        <v>10902</v>
      </c>
      <c r="V441" t="s">
        <v>10902</v>
      </c>
      <c r="W441" t="s">
        <v>43</v>
      </c>
      <c r="X441" t="s">
        <v>11327</v>
      </c>
      <c r="Y441" t="s">
        <v>11198</v>
      </c>
      <c r="Z441" t="s">
        <v>11195</v>
      </c>
      <c r="AA441" t="s">
        <v>44</v>
      </c>
      <c r="AB441" t="s">
        <v>44</v>
      </c>
      <c r="AC441" s="4"/>
      <c r="AD441" s="4"/>
      <c r="AE441" s="2">
        <v>0</v>
      </c>
      <c r="AF441" s="4">
        <v>0</v>
      </c>
      <c r="AG441" s="2">
        <v>0.4</v>
      </c>
      <c r="AH441" s="2">
        <v>2109077.7200000002</v>
      </c>
      <c r="AI441" s="2">
        <v>0</v>
      </c>
      <c r="AJ441" s="5">
        <v>44673</v>
      </c>
      <c r="AK441" t="s">
        <v>11658</v>
      </c>
      <c r="AL441" s="2">
        <v>0</v>
      </c>
      <c r="AM441" s="2">
        <v>0</v>
      </c>
      <c r="AN441" s="2">
        <v>0</v>
      </c>
      <c r="AO441" t="s">
        <v>44</v>
      </c>
      <c r="AP441" t="s">
        <v>11709</v>
      </c>
      <c r="AQ441" t="s">
        <v>4821</v>
      </c>
    </row>
    <row r="442" spans="1:43" x14ac:dyDescent="0.2">
      <c r="A442" t="s">
        <v>11657</v>
      </c>
      <c r="B442" t="s">
        <v>11037</v>
      </c>
      <c r="C442" t="s">
        <v>11195</v>
      </c>
      <c r="D442" t="s">
        <v>11710</v>
      </c>
      <c r="E442" t="s">
        <v>5671</v>
      </c>
      <c r="F442" t="s">
        <v>11710</v>
      </c>
      <c r="G442" s="1">
        <v>2156</v>
      </c>
      <c r="H442" s="2">
        <v>21957.7</v>
      </c>
      <c r="I442" s="2">
        <v>26518.799999999999</v>
      </c>
      <c r="J442" s="2">
        <v>0</v>
      </c>
      <c r="K442" s="2">
        <v>0</v>
      </c>
      <c r="L442" s="2">
        <v>26518.799999999999</v>
      </c>
      <c r="M442" s="3">
        <v>1230</v>
      </c>
      <c r="N442" s="4">
        <v>6.033E-5</v>
      </c>
      <c r="O442" s="5" t="s">
        <v>44</v>
      </c>
      <c r="P442" s="5" t="s">
        <v>44</v>
      </c>
      <c r="Q442" s="1"/>
      <c r="R442" s="2"/>
      <c r="S442" s="6"/>
      <c r="T442" t="s">
        <v>10902</v>
      </c>
      <c r="U442" t="s">
        <v>10902</v>
      </c>
      <c r="V442" t="s">
        <v>10902</v>
      </c>
      <c r="W442" t="s">
        <v>43</v>
      </c>
      <c r="X442" t="s">
        <v>11197</v>
      </c>
      <c r="Y442" t="s">
        <v>11198</v>
      </c>
      <c r="Z442" t="s">
        <v>11195</v>
      </c>
      <c r="AA442" t="s">
        <v>44</v>
      </c>
      <c r="AB442" t="s">
        <v>44</v>
      </c>
      <c r="AC442" s="4"/>
      <c r="AD442" s="4"/>
      <c r="AE442" s="2">
        <v>0</v>
      </c>
      <c r="AF442" s="4">
        <v>0</v>
      </c>
      <c r="AG442" s="2">
        <v>0.01</v>
      </c>
      <c r="AH442" s="2">
        <v>26518.799999999999</v>
      </c>
      <c r="AI442" s="2">
        <v>0</v>
      </c>
      <c r="AJ442" s="5">
        <v>44673</v>
      </c>
      <c r="AK442" t="s">
        <v>11658</v>
      </c>
      <c r="AL442" s="2">
        <v>0</v>
      </c>
      <c r="AM442" s="2">
        <v>0</v>
      </c>
      <c r="AN442" s="2">
        <v>0</v>
      </c>
      <c r="AO442" t="s">
        <v>44</v>
      </c>
      <c r="AP442" t="s">
        <v>11711</v>
      </c>
      <c r="AQ442" t="s">
        <v>5671</v>
      </c>
    </row>
    <row r="443" spans="1:43" x14ac:dyDescent="0.2">
      <c r="A443" t="s">
        <v>11657</v>
      </c>
      <c r="B443" t="s">
        <v>11037</v>
      </c>
      <c r="C443" t="s">
        <v>11195</v>
      </c>
      <c r="D443" t="s">
        <v>6450</v>
      </c>
      <c r="E443" t="s">
        <v>5121</v>
      </c>
      <c r="F443" t="s">
        <v>6450</v>
      </c>
      <c r="G443" s="1">
        <v>2456</v>
      </c>
      <c r="H443" s="2">
        <v>261845.9</v>
      </c>
      <c r="I443" s="2">
        <v>272345.84000000003</v>
      </c>
      <c r="J443" s="2">
        <v>0</v>
      </c>
      <c r="K443" s="2">
        <v>0</v>
      </c>
      <c r="L443" s="2">
        <v>272345.84000000003</v>
      </c>
      <c r="M443" s="3">
        <v>11089</v>
      </c>
      <c r="N443" s="4">
        <v>6.1961999999999998E-4</v>
      </c>
      <c r="O443" s="5" t="s">
        <v>44</v>
      </c>
      <c r="P443" s="5" t="s">
        <v>44</v>
      </c>
      <c r="Q443" s="1"/>
      <c r="R443" s="2"/>
      <c r="S443" s="6"/>
      <c r="T443" t="s">
        <v>10902</v>
      </c>
      <c r="U443" t="s">
        <v>10902</v>
      </c>
      <c r="V443" t="s">
        <v>10902</v>
      </c>
      <c r="W443" t="s">
        <v>43</v>
      </c>
      <c r="X443" t="s">
        <v>11327</v>
      </c>
      <c r="Y443" t="s">
        <v>11198</v>
      </c>
      <c r="Z443" t="s">
        <v>11195</v>
      </c>
      <c r="AA443" t="s">
        <v>44</v>
      </c>
      <c r="AB443" t="s">
        <v>44</v>
      </c>
      <c r="AC443" s="4"/>
      <c r="AD443" s="4"/>
      <c r="AE443" s="2">
        <v>0</v>
      </c>
      <c r="AF443" s="4">
        <v>0</v>
      </c>
      <c r="AG443" s="2">
        <v>0.05</v>
      </c>
      <c r="AH443" s="2">
        <v>272345.84000000003</v>
      </c>
      <c r="AI443" s="2">
        <v>0</v>
      </c>
      <c r="AJ443" s="5">
        <v>44673</v>
      </c>
      <c r="AK443" t="s">
        <v>11658</v>
      </c>
      <c r="AL443" s="2">
        <v>0</v>
      </c>
      <c r="AM443" s="2">
        <v>0</v>
      </c>
      <c r="AN443" s="2">
        <v>0</v>
      </c>
      <c r="AO443" t="s">
        <v>44</v>
      </c>
      <c r="AP443" t="s">
        <v>11331</v>
      </c>
      <c r="AQ443" t="s">
        <v>5121</v>
      </c>
    </row>
    <row r="444" spans="1:43" x14ac:dyDescent="0.2">
      <c r="A444" t="s">
        <v>11657</v>
      </c>
      <c r="B444" t="s">
        <v>11037</v>
      </c>
      <c r="C444" t="s">
        <v>11195</v>
      </c>
      <c r="D444" t="s">
        <v>11204</v>
      </c>
      <c r="E444" t="s">
        <v>5699</v>
      </c>
      <c r="F444" t="s">
        <v>11204</v>
      </c>
      <c r="G444" s="1">
        <v>13077</v>
      </c>
      <c r="H444" s="2">
        <v>233506.6</v>
      </c>
      <c r="I444" s="2">
        <v>286124.76</v>
      </c>
      <c r="J444" s="2">
        <v>0</v>
      </c>
      <c r="K444" s="2">
        <v>0</v>
      </c>
      <c r="L444" s="2">
        <v>286124.76</v>
      </c>
      <c r="M444" s="3">
        <v>2188</v>
      </c>
      <c r="N444" s="4">
        <v>6.5096000000000002E-4</v>
      </c>
      <c r="O444" s="5" t="s">
        <v>44</v>
      </c>
      <c r="P444" s="5" t="s">
        <v>44</v>
      </c>
      <c r="Q444" s="1"/>
      <c r="R444" s="2"/>
      <c r="S444" s="6"/>
      <c r="T444" t="s">
        <v>10902</v>
      </c>
      <c r="U444" t="s">
        <v>10902</v>
      </c>
      <c r="V444" t="s">
        <v>10902</v>
      </c>
      <c r="W444" t="s">
        <v>43</v>
      </c>
      <c r="X444" t="s">
        <v>11197</v>
      </c>
      <c r="Y444" t="s">
        <v>11198</v>
      </c>
      <c r="Z444" t="s">
        <v>11195</v>
      </c>
      <c r="AA444" t="s">
        <v>44</v>
      </c>
      <c r="AB444" t="s">
        <v>44</v>
      </c>
      <c r="AC444" s="4"/>
      <c r="AD444" s="4"/>
      <c r="AE444" s="2">
        <v>0</v>
      </c>
      <c r="AF444" s="4">
        <v>0</v>
      </c>
      <c r="AG444" s="2">
        <v>0.05</v>
      </c>
      <c r="AH444" s="2">
        <v>286124.76</v>
      </c>
      <c r="AI444" s="2">
        <v>0</v>
      </c>
      <c r="AJ444" s="5">
        <v>44673</v>
      </c>
      <c r="AK444" t="s">
        <v>11658</v>
      </c>
      <c r="AL444" s="2">
        <v>0</v>
      </c>
      <c r="AM444" s="2">
        <v>0</v>
      </c>
      <c r="AN444" s="2">
        <v>0</v>
      </c>
      <c r="AO444" t="s">
        <v>44</v>
      </c>
      <c r="AP444" t="s">
        <v>11205</v>
      </c>
      <c r="AQ444" t="s">
        <v>5699</v>
      </c>
    </row>
    <row r="445" spans="1:43" x14ac:dyDescent="0.2">
      <c r="A445" t="s">
        <v>11657</v>
      </c>
      <c r="B445" t="s">
        <v>11037</v>
      </c>
      <c r="C445" t="s">
        <v>11195</v>
      </c>
      <c r="D445" t="s">
        <v>11332</v>
      </c>
      <c r="E445" t="s">
        <v>11333</v>
      </c>
      <c r="F445" t="s">
        <v>11332</v>
      </c>
      <c r="G445" s="1">
        <v>35898</v>
      </c>
      <c r="H445" s="2">
        <v>637967.13</v>
      </c>
      <c r="I445" s="2">
        <v>606317.22</v>
      </c>
      <c r="J445" s="2">
        <v>0</v>
      </c>
      <c r="K445" s="2">
        <v>0</v>
      </c>
      <c r="L445" s="2">
        <v>606317.22</v>
      </c>
      <c r="M445" s="3">
        <v>1689</v>
      </c>
      <c r="N445" s="4">
        <v>1.37944E-3</v>
      </c>
      <c r="O445" s="5" t="s">
        <v>44</v>
      </c>
      <c r="P445" s="5" t="s">
        <v>44</v>
      </c>
      <c r="Q445" s="1"/>
      <c r="R445" s="2"/>
      <c r="S445" s="6"/>
      <c r="T445" t="s">
        <v>10902</v>
      </c>
      <c r="U445" t="s">
        <v>10902</v>
      </c>
      <c r="V445" t="s">
        <v>10902</v>
      </c>
      <c r="W445" t="s">
        <v>43</v>
      </c>
      <c r="X445" t="s">
        <v>11334</v>
      </c>
      <c r="Y445" t="s">
        <v>11335</v>
      </c>
      <c r="Z445" t="s">
        <v>11195</v>
      </c>
      <c r="AA445" t="s">
        <v>44</v>
      </c>
      <c r="AB445" t="s">
        <v>44</v>
      </c>
      <c r="AC445" s="4"/>
      <c r="AD445" s="4"/>
      <c r="AE445" s="2">
        <v>0</v>
      </c>
      <c r="AF445" s="4">
        <v>0</v>
      </c>
      <c r="AG445" s="2">
        <v>0.11</v>
      </c>
      <c r="AH445" s="2">
        <v>606317.22</v>
      </c>
      <c r="AI445" s="2">
        <v>0</v>
      </c>
      <c r="AJ445" s="5">
        <v>44673</v>
      </c>
      <c r="AK445" t="s">
        <v>11658</v>
      </c>
      <c r="AL445" s="2">
        <v>0</v>
      </c>
      <c r="AM445" s="2">
        <v>0</v>
      </c>
      <c r="AN445" s="2">
        <v>0</v>
      </c>
      <c r="AO445" t="s">
        <v>44</v>
      </c>
      <c r="AP445" t="s">
        <v>11336</v>
      </c>
      <c r="AQ445" t="s">
        <v>11333</v>
      </c>
    </row>
    <row r="446" spans="1:43" x14ac:dyDescent="0.2">
      <c r="A446" t="s">
        <v>11657</v>
      </c>
      <c r="B446" t="s">
        <v>11037</v>
      </c>
      <c r="C446" t="s">
        <v>11195</v>
      </c>
      <c r="D446" t="s">
        <v>5965</v>
      </c>
      <c r="E446" t="s">
        <v>4848</v>
      </c>
      <c r="F446" t="s">
        <v>5965</v>
      </c>
      <c r="G446" s="1">
        <v>14767</v>
      </c>
      <c r="H446" s="2">
        <v>2651305.5099999998</v>
      </c>
      <c r="I446" s="2">
        <v>3289201.58</v>
      </c>
      <c r="J446" s="2">
        <v>0</v>
      </c>
      <c r="K446" s="2">
        <v>0</v>
      </c>
      <c r="L446" s="2">
        <v>3289201.58</v>
      </c>
      <c r="M446" s="3">
        <v>22274</v>
      </c>
      <c r="N446" s="4">
        <v>7.4832900000000001E-3</v>
      </c>
      <c r="O446" s="5" t="s">
        <v>44</v>
      </c>
      <c r="P446" s="5" t="s">
        <v>44</v>
      </c>
      <c r="Q446" s="1"/>
      <c r="R446" s="2"/>
      <c r="S446" s="6"/>
      <c r="T446" t="s">
        <v>10902</v>
      </c>
      <c r="U446" t="s">
        <v>10902</v>
      </c>
      <c r="V446" t="s">
        <v>10902</v>
      </c>
      <c r="W446" t="s">
        <v>43</v>
      </c>
      <c r="X446" t="s">
        <v>11034</v>
      </c>
      <c r="Y446" t="s">
        <v>11034</v>
      </c>
      <c r="Z446" t="s">
        <v>11195</v>
      </c>
      <c r="AA446" t="s">
        <v>44</v>
      </c>
      <c r="AB446" t="s">
        <v>44</v>
      </c>
      <c r="AC446" s="4"/>
      <c r="AD446" s="4"/>
      <c r="AE446" s="2">
        <v>0</v>
      </c>
      <c r="AF446" s="4">
        <v>0</v>
      </c>
      <c r="AG446" s="2">
        <v>0.62</v>
      </c>
      <c r="AH446" s="2">
        <v>3289201.58</v>
      </c>
      <c r="AI446" s="2">
        <v>0.01</v>
      </c>
      <c r="AJ446" s="5">
        <v>44673</v>
      </c>
      <c r="AK446" t="s">
        <v>11658</v>
      </c>
      <c r="AL446" s="2">
        <v>0</v>
      </c>
      <c r="AM446" s="2">
        <v>0</v>
      </c>
      <c r="AN446" s="2">
        <v>0</v>
      </c>
      <c r="AO446" t="s">
        <v>44</v>
      </c>
      <c r="AP446" t="s">
        <v>11712</v>
      </c>
      <c r="AQ446" t="s">
        <v>4848</v>
      </c>
    </row>
    <row r="447" spans="1:43" x14ac:dyDescent="0.2">
      <c r="A447" t="s">
        <v>11657</v>
      </c>
      <c r="B447" t="s">
        <v>11037</v>
      </c>
      <c r="C447" t="s">
        <v>11195</v>
      </c>
      <c r="D447" t="s">
        <v>11206</v>
      </c>
      <c r="E447" t="s">
        <v>5005</v>
      </c>
      <c r="F447" t="s">
        <v>11206</v>
      </c>
      <c r="G447" s="1">
        <v>13789</v>
      </c>
      <c r="H447" s="2">
        <v>1438393.2</v>
      </c>
      <c r="I447" s="2">
        <v>1327880.7</v>
      </c>
      <c r="J447" s="2">
        <v>0</v>
      </c>
      <c r="K447" s="2">
        <v>0</v>
      </c>
      <c r="L447" s="2">
        <v>1327880.7</v>
      </c>
      <c r="M447" s="3">
        <v>9630</v>
      </c>
      <c r="N447" s="4">
        <v>3.0210699999999998E-3</v>
      </c>
      <c r="O447" s="5" t="s">
        <v>44</v>
      </c>
      <c r="P447" s="5" t="s">
        <v>44</v>
      </c>
      <c r="Q447" s="1"/>
      <c r="R447" s="2"/>
      <c r="S447" s="6"/>
      <c r="T447" t="s">
        <v>10902</v>
      </c>
      <c r="U447" t="s">
        <v>10902</v>
      </c>
      <c r="V447" t="s">
        <v>10902</v>
      </c>
      <c r="W447" t="s">
        <v>43</v>
      </c>
      <c r="X447" t="s">
        <v>11197</v>
      </c>
      <c r="Y447" t="s">
        <v>11198</v>
      </c>
      <c r="Z447" t="s">
        <v>11195</v>
      </c>
      <c r="AA447" t="s">
        <v>44</v>
      </c>
      <c r="AB447" t="s">
        <v>44</v>
      </c>
      <c r="AC447" s="4"/>
      <c r="AD447" s="4"/>
      <c r="AE447" s="2">
        <v>0</v>
      </c>
      <c r="AF447" s="4">
        <v>0</v>
      </c>
      <c r="AG447" s="2">
        <v>0.25</v>
      </c>
      <c r="AH447" s="2">
        <v>1327880.7</v>
      </c>
      <c r="AI447" s="2">
        <v>0</v>
      </c>
      <c r="AJ447" s="5">
        <v>44673</v>
      </c>
      <c r="AK447" t="s">
        <v>11658</v>
      </c>
      <c r="AL447" s="2">
        <v>0</v>
      </c>
      <c r="AM447" s="2">
        <v>0</v>
      </c>
      <c r="AN447" s="2">
        <v>0</v>
      </c>
      <c r="AO447" t="s">
        <v>44</v>
      </c>
      <c r="AP447" t="s">
        <v>11207</v>
      </c>
      <c r="AQ447" t="s">
        <v>5005</v>
      </c>
    </row>
    <row r="448" spans="1:43" x14ac:dyDescent="0.2">
      <c r="A448" t="s">
        <v>11657</v>
      </c>
      <c r="B448" t="s">
        <v>11037</v>
      </c>
      <c r="C448" t="s">
        <v>11195</v>
      </c>
      <c r="D448" t="s">
        <v>11337</v>
      </c>
      <c r="E448" t="s">
        <v>11338</v>
      </c>
      <c r="F448" t="s">
        <v>11339</v>
      </c>
      <c r="G448" s="1">
        <v>4283</v>
      </c>
      <c r="H448" s="2">
        <v>217618.61</v>
      </c>
      <c r="I448" s="2">
        <v>216634.14</v>
      </c>
      <c r="J448" s="2">
        <v>0</v>
      </c>
      <c r="K448" s="2">
        <v>0</v>
      </c>
      <c r="L448" s="2">
        <v>216634.14</v>
      </c>
      <c r="M448" s="3">
        <v>5058</v>
      </c>
      <c r="N448" s="4">
        <v>4.9286999999999996E-4</v>
      </c>
      <c r="O448" s="5" t="s">
        <v>44</v>
      </c>
      <c r="P448" s="5" t="s">
        <v>44</v>
      </c>
      <c r="Q448" s="1"/>
      <c r="R448" s="2"/>
      <c r="S448" s="6"/>
      <c r="T448" t="s">
        <v>10902</v>
      </c>
      <c r="U448" t="s">
        <v>10902</v>
      </c>
      <c r="V448" t="s">
        <v>10902</v>
      </c>
      <c r="W448" t="s">
        <v>43</v>
      </c>
      <c r="X448" t="s">
        <v>11327</v>
      </c>
      <c r="Y448" t="s">
        <v>11198</v>
      </c>
      <c r="Z448" t="s">
        <v>11195</v>
      </c>
      <c r="AA448" t="s">
        <v>44</v>
      </c>
      <c r="AB448" t="s">
        <v>44</v>
      </c>
      <c r="AC448" s="4"/>
      <c r="AD448" s="4"/>
      <c r="AE448" s="2">
        <v>0</v>
      </c>
      <c r="AF448" s="4">
        <v>0</v>
      </c>
      <c r="AG448" s="2">
        <v>0.04</v>
      </c>
      <c r="AH448" s="2">
        <v>216634.14</v>
      </c>
      <c r="AI448" s="2">
        <v>0</v>
      </c>
      <c r="AJ448" s="5">
        <v>44673</v>
      </c>
      <c r="AK448" t="s">
        <v>11658</v>
      </c>
      <c r="AL448" s="2">
        <v>0</v>
      </c>
      <c r="AM448" s="2">
        <v>0</v>
      </c>
      <c r="AN448" s="2">
        <v>0</v>
      </c>
      <c r="AO448" t="s">
        <v>44</v>
      </c>
      <c r="AP448" t="s">
        <v>11340</v>
      </c>
      <c r="AQ448" t="s">
        <v>11338</v>
      </c>
    </row>
    <row r="449" spans="1:43" x14ac:dyDescent="0.2">
      <c r="A449" t="s">
        <v>11657</v>
      </c>
      <c r="B449" t="s">
        <v>11037</v>
      </c>
      <c r="C449" t="s">
        <v>11195</v>
      </c>
      <c r="D449" t="s">
        <v>11341</v>
      </c>
      <c r="E449" t="s">
        <v>11342</v>
      </c>
      <c r="F449" t="s">
        <v>11341</v>
      </c>
      <c r="G449" s="1">
        <v>5119</v>
      </c>
      <c r="H449" s="2">
        <v>269758.59000000003</v>
      </c>
      <c r="I449" s="2">
        <v>267007.03999999998</v>
      </c>
      <c r="J449" s="2">
        <v>0</v>
      </c>
      <c r="K449" s="2">
        <v>0</v>
      </c>
      <c r="L449" s="2">
        <v>267007.03999999998</v>
      </c>
      <c r="M449" s="3">
        <v>5216</v>
      </c>
      <c r="N449" s="4">
        <v>6.0747000000000004E-4</v>
      </c>
      <c r="O449" s="5" t="s">
        <v>44</v>
      </c>
      <c r="P449" s="5" t="s">
        <v>44</v>
      </c>
      <c r="Q449" s="1"/>
      <c r="R449" s="2"/>
      <c r="S449" s="6"/>
      <c r="T449" t="s">
        <v>10902</v>
      </c>
      <c r="U449" t="s">
        <v>10902</v>
      </c>
      <c r="V449" t="s">
        <v>10902</v>
      </c>
      <c r="W449" t="s">
        <v>43</v>
      </c>
      <c r="X449" t="s">
        <v>11327</v>
      </c>
      <c r="Y449" t="s">
        <v>11198</v>
      </c>
      <c r="Z449" t="s">
        <v>11195</v>
      </c>
      <c r="AA449" t="s">
        <v>44</v>
      </c>
      <c r="AB449" t="s">
        <v>44</v>
      </c>
      <c r="AC449" s="4"/>
      <c r="AD449" s="4"/>
      <c r="AE449" s="2">
        <v>0</v>
      </c>
      <c r="AF449" s="4">
        <v>0</v>
      </c>
      <c r="AG449" s="2">
        <v>0.05</v>
      </c>
      <c r="AH449" s="2">
        <v>267007.03999999998</v>
      </c>
      <c r="AI449" s="2">
        <v>0</v>
      </c>
      <c r="AJ449" s="5">
        <v>44673</v>
      </c>
      <c r="AK449" t="s">
        <v>11658</v>
      </c>
      <c r="AL449" s="2">
        <v>0</v>
      </c>
      <c r="AM449" s="2">
        <v>0</v>
      </c>
      <c r="AN449" s="2">
        <v>0</v>
      </c>
      <c r="AO449" t="s">
        <v>44</v>
      </c>
      <c r="AP449" t="s">
        <v>11343</v>
      </c>
      <c r="AQ449" t="s">
        <v>11342</v>
      </c>
    </row>
    <row r="450" spans="1:43" x14ac:dyDescent="0.2">
      <c r="A450" t="s">
        <v>11657</v>
      </c>
      <c r="B450" t="s">
        <v>11037</v>
      </c>
      <c r="C450" t="s">
        <v>11195</v>
      </c>
      <c r="D450" t="s">
        <v>5940</v>
      </c>
      <c r="E450" t="s">
        <v>5019</v>
      </c>
      <c r="F450" t="s">
        <v>5940</v>
      </c>
      <c r="G450" s="1">
        <v>150232</v>
      </c>
      <c r="H450" s="2">
        <v>2023443.74</v>
      </c>
      <c r="I450" s="2">
        <v>1861374.48</v>
      </c>
      <c r="J450" s="2">
        <v>0</v>
      </c>
      <c r="K450" s="2">
        <v>76618.320000000007</v>
      </c>
      <c r="L450" s="2">
        <v>1937992.8</v>
      </c>
      <c r="M450" s="3">
        <v>1239</v>
      </c>
      <c r="N450" s="4">
        <v>4.4091399999999998E-3</v>
      </c>
      <c r="O450" s="5" t="s">
        <v>44</v>
      </c>
      <c r="P450" s="5" t="s">
        <v>44</v>
      </c>
      <c r="Q450" s="1"/>
      <c r="R450" s="2"/>
      <c r="S450" s="6"/>
      <c r="T450" t="s">
        <v>10902</v>
      </c>
      <c r="U450" t="s">
        <v>10902</v>
      </c>
      <c r="V450" t="s">
        <v>10902</v>
      </c>
      <c r="W450" t="s">
        <v>43</v>
      </c>
      <c r="X450" t="s">
        <v>11334</v>
      </c>
      <c r="Y450" t="s">
        <v>11335</v>
      </c>
      <c r="Z450" t="s">
        <v>11195</v>
      </c>
      <c r="AA450" t="s">
        <v>44</v>
      </c>
      <c r="AB450" t="s">
        <v>44</v>
      </c>
      <c r="AC450" s="4"/>
      <c r="AD450" s="4"/>
      <c r="AE450" s="2">
        <v>0</v>
      </c>
      <c r="AF450" s="4">
        <v>0</v>
      </c>
      <c r="AG450" s="2">
        <v>0.37</v>
      </c>
      <c r="AH450" s="2">
        <v>1937992.8</v>
      </c>
      <c r="AI450" s="2">
        <v>0</v>
      </c>
      <c r="AJ450" s="5">
        <v>44673</v>
      </c>
      <c r="AK450" t="s">
        <v>11658</v>
      </c>
      <c r="AL450" s="2">
        <v>0</v>
      </c>
      <c r="AM450" s="2">
        <v>0</v>
      </c>
      <c r="AN450" s="2">
        <v>0</v>
      </c>
      <c r="AO450" t="s">
        <v>44</v>
      </c>
      <c r="AP450" t="s">
        <v>11713</v>
      </c>
      <c r="AQ450" t="s">
        <v>5019</v>
      </c>
    </row>
    <row r="451" spans="1:43" x14ac:dyDescent="0.2">
      <c r="A451" t="s">
        <v>11657</v>
      </c>
      <c r="B451" t="s">
        <v>11037</v>
      </c>
      <c r="C451" t="s">
        <v>11195</v>
      </c>
      <c r="D451" t="s">
        <v>6128</v>
      </c>
      <c r="E451" t="s">
        <v>6759</v>
      </c>
      <c r="F451" t="s">
        <v>6128</v>
      </c>
      <c r="G451" s="1">
        <v>4629</v>
      </c>
      <c r="H451" s="2">
        <v>345764.06</v>
      </c>
      <c r="I451" s="2">
        <v>446698.5</v>
      </c>
      <c r="J451" s="2">
        <v>0</v>
      </c>
      <c r="K451" s="2">
        <v>0</v>
      </c>
      <c r="L451" s="2">
        <v>446698.5</v>
      </c>
      <c r="M451" s="3">
        <v>9650</v>
      </c>
      <c r="N451" s="4">
        <v>1.01629E-3</v>
      </c>
      <c r="O451" s="5" t="s">
        <v>44</v>
      </c>
      <c r="P451" s="5" t="s">
        <v>44</v>
      </c>
      <c r="Q451" s="1"/>
      <c r="R451" s="2"/>
      <c r="S451" s="6"/>
      <c r="T451" t="s">
        <v>10902</v>
      </c>
      <c r="U451" t="s">
        <v>10902</v>
      </c>
      <c r="V451" t="s">
        <v>10902</v>
      </c>
      <c r="W451" t="s">
        <v>43</v>
      </c>
      <c r="X451" t="s">
        <v>11327</v>
      </c>
      <c r="Y451" t="s">
        <v>11198</v>
      </c>
      <c r="Z451" t="s">
        <v>11195</v>
      </c>
      <c r="AA451" t="s">
        <v>44</v>
      </c>
      <c r="AB451" t="s">
        <v>44</v>
      </c>
      <c r="AC451" s="4"/>
      <c r="AD451" s="4"/>
      <c r="AE451" s="2">
        <v>0</v>
      </c>
      <c r="AF451" s="4">
        <v>0</v>
      </c>
      <c r="AG451" s="2">
        <v>0.08</v>
      </c>
      <c r="AH451" s="2">
        <v>446698.5</v>
      </c>
      <c r="AI451" s="2">
        <v>0</v>
      </c>
      <c r="AJ451" s="5">
        <v>44673</v>
      </c>
      <c r="AK451" t="s">
        <v>11658</v>
      </c>
      <c r="AL451" s="2">
        <v>0</v>
      </c>
      <c r="AM451" s="2">
        <v>0</v>
      </c>
      <c r="AN451" s="2">
        <v>0</v>
      </c>
      <c r="AO451" t="s">
        <v>44</v>
      </c>
      <c r="AP451" t="s">
        <v>11344</v>
      </c>
      <c r="AQ451" t="s">
        <v>6759</v>
      </c>
    </row>
    <row r="452" spans="1:43" x14ac:dyDescent="0.2">
      <c r="A452" t="s">
        <v>11657</v>
      </c>
      <c r="B452" t="s">
        <v>11037</v>
      </c>
      <c r="C452" t="s">
        <v>11195</v>
      </c>
      <c r="D452" t="s">
        <v>11345</v>
      </c>
      <c r="E452" t="s">
        <v>5409</v>
      </c>
      <c r="F452" t="s">
        <v>11345</v>
      </c>
      <c r="G452" s="1">
        <v>26588</v>
      </c>
      <c r="H452" s="2">
        <v>771164.74</v>
      </c>
      <c r="I452" s="2">
        <v>733828.8</v>
      </c>
      <c r="J452" s="2">
        <v>0</v>
      </c>
      <c r="K452" s="2">
        <v>20807.740000000002</v>
      </c>
      <c r="L452" s="2">
        <v>754636.54</v>
      </c>
      <c r="M452" s="3">
        <v>2760</v>
      </c>
      <c r="N452" s="4">
        <v>1.7168800000000001E-3</v>
      </c>
      <c r="O452" s="5" t="s">
        <v>44</v>
      </c>
      <c r="P452" s="5" t="s">
        <v>44</v>
      </c>
      <c r="Q452" s="1"/>
      <c r="R452" s="2"/>
      <c r="S452" s="6"/>
      <c r="T452" t="s">
        <v>10902</v>
      </c>
      <c r="U452" t="s">
        <v>10902</v>
      </c>
      <c r="V452" t="s">
        <v>10902</v>
      </c>
      <c r="W452" t="s">
        <v>43</v>
      </c>
      <c r="X452" t="s">
        <v>11327</v>
      </c>
      <c r="Y452" t="s">
        <v>11198</v>
      </c>
      <c r="Z452" t="s">
        <v>11195</v>
      </c>
      <c r="AA452" t="s">
        <v>44</v>
      </c>
      <c r="AB452" t="s">
        <v>44</v>
      </c>
      <c r="AC452" s="4"/>
      <c r="AD452" s="4"/>
      <c r="AE452" s="2">
        <v>0</v>
      </c>
      <c r="AF452" s="4">
        <v>0</v>
      </c>
      <c r="AG452" s="2">
        <v>0.14000000000000001</v>
      </c>
      <c r="AH452" s="2">
        <v>754636.54</v>
      </c>
      <c r="AI452" s="2">
        <v>0</v>
      </c>
      <c r="AJ452" s="5">
        <v>44673</v>
      </c>
      <c r="AK452" t="s">
        <v>11658</v>
      </c>
      <c r="AL452" s="2">
        <v>0</v>
      </c>
      <c r="AM452" s="2">
        <v>0</v>
      </c>
      <c r="AN452" s="2">
        <v>0</v>
      </c>
      <c r="AO452" t="s">
        <v>44</v>
      </c>
      <c r="AP452" t="s">
        <v>11346</v>
      </c>
      <c r="AQ452" t="s">
        <v>5409</v>
      </c>
    </row>
    <row r="453" spans="1:43" x14ac:dyDescent="0.2">
      <c r="A453" t="s">
        <v>11657</v>
      </c>
      <c r="B453" t="s">
        <v>11037</v>
      </c>
      <c r="C453" t="s">
        <v>11195</v>
      </c>
      <c r="D453" t="s">
        <v>6263</v>
      </c>
      <c r="E453" t="s">
        <v>6850</v>
      </c>
      <c r="F453" t="s">
        <v>6263</v>
      </c>
      <c r="G453" s="1">
        <v>22225</v>
      </c>
      <c r="H453" s="2">
        <v>463492.88</v>
      </c>
      <c r="I453" s="2">
        <v>588740.25</v>
      </c>
      <c r="J453" s="2">
        <v>0</v>
      </c>
      <c r="K453" s="2">
        <v>36782.379999999997</v>
      </c>
      <c r="L453" s="2">
        <v>625522.63</v>
      </c>
      <c r="M453" s="3">
        <v>2649</v>
      </c>
      <c r="N453" s="4">
        <v>1.4231300000000001E-3</v>
      </c>
      <c r="O453" s="5" t="s">
        <v>44</v>
      </c>
      <c r="P453" s="5" t="s">
        <v>44</v>
      </c>
      <c r="Q453" s="1"/>
      <c r="R453" s="2"/>
      <c r="S453" s="6"/>
      <c r="T453" t="s">
        <v>10902</v>
      </c>
      <c r="U453" t="s">
        <v>10902</v>
      </c>
      <c r="V453" t="s">
        <v>10902</v>
      </c>
      <c r="W453" t="s">
        <v>43</v>
      </c>
      <c r="X453" t="s">
        <v>11347</v>
      </c>
      <c r="Y453" t="s">
        <v>11348</v>
      </c>
      <c r="Z453" t="s">
        <v>11195</v>
      </c>
      <c r="AA453" t="s">
        <v>44</v>
      </c>
      <c r="AB453" t="s">
        <v>44</v>
      </c>
      <c r="AC453" s="4"/>
      <c r="AD453" s="4"/>
      <c r="AE453" s="2">
        <v>0</v>
      </c>
      <c r="AF453" s="4">
        <v>0</v>
      </c>
      <c r="AG453" s="2">
        <v>0.12</v>
      </c>
      <c r="AH453" s="2">
        <v>625522.63</v>
      </c>
      <c r="AI453" s="2">
        <v>0</v>
      </c>
      <c r="AJ453" s="5">
        <v>44673</v>
      </c>
      <c r="AK453" t="s">
        <v>11658</v>
      </c>
      <c r="AL453" s="2">
        <v>0</v>
      </c>
      <c r="AM453" s="2">
        <v>0</v>
      </c>
      <c r="AN453" s="2">
        <v>0</v>
      </c>
      <c r="AO453" t="s">
        <v>44</v>
      </c>
      <c r="AP453" t="s">
        <v>11349</v>
      </c>
      <c r="AQ453" t="s">
        <v>6850</v>
      </c>
    </row>
    <row r="454" spans="1:43" x14ac:dyDescent="0.2">
      <c r="A454" t="s">
        <v>11657</v>
      </c>
      <c r="B454" t="s">
        <v>11037</v>
      </c>
      <c r="C454" t="s">
        <v>11195</v>
      </c>
      <c r="D454" t="s">
        <v>11208</v>
      </c>
      <c r="E454" t="s">
        <v>3160</v>
      </c>
      <c r="F454" t="s">
        <v>11208</v>
      </c>
      <c r="G454" s="1">
        <v>258717</v>
      </c>
      <c r="H454" s="2">
        <v>1165693.45</v>
      </c>
      <c r="I454" s="2">
        <v>1146116.31</v>
      </c>
      <c r="J454" s="2">
        <v>0</v>
      </c>
      <c r="K454" s="2">
        <v>0</v>
      </c>
      <c r="L454" s="2">
        <v>1146116.31</v>
      </c>
      <c r="M454" s="3">
        <v>443</v>
      </c>
      <c r="N454" s="4">
        <v>2.6075400000000002E-3</v>
      </c>
      <c r="O454" s="5" t="s">
        <v>44</v>
      </c>
      <c r="P454" s="5" t="s">
        <v>44</v>
      </c>
      <c r="Q454" s="1"/>
      <c r="R454" s="2"/>
      <c r="S454" s="6"/>
      <c r="T454" t="s">
        <v>10902</v>
      </c>
      <c r="U454" t="s">
        <v>10902</v>
      </c>
      <c r="V454" t="s">
        <v>10902</v>
      </c>
      <c r="W454" t="s">
        <v>43</v>
      </c>
      <c r="X454" t="s">
        <v>11197</v>
      </c>
      <c r="Y454" t="s">
        <v>11198</v>
      </c>
      <c r="Z454" t="s">
        <v>11195</v>
      </c>
      <c r="AA454" t="s">
        <v>44</v>
      </c>
      <c r="AB454" t="s">
        <v>44</v>
      </c>
      <c r="AC454" s="4"/>
      <c r="AD454" s="4"/>
      <c r="AE454" s="2">
        <v>0</v>
      </c>
      <c r="AF454" s="4">
        <v>0</v>
      </c>
      <c r="AG454" s="2">
        <v>0.22</v>
      </c>
      <c r="AH454" s="2">
        <v>1146116.31</v>
      </c>
      <c r="AI454" s="2">
        <v>0</v>
      </c>
      <c r="AJ454" s="5">
        <v>44673</v>
      </c>
      <c r="AK454" t="s">
        <v>11658</v>
      </c>
      <c r="AL454" s="2">
        <v>0</v>
      </c>
      <c r="AM454" s="2">
        <v>0</v>
      </c>
      <c r="AN454" s="2">
        <v>0</v>
      </c>
      <c r="AO454" t="s">
        <v>44</v>
      </c>
      <c r="AP454" t="s">
        <v>11209</v>
      </c>
      <c r="AQ454" t="s">
        <v>3160</v>
      </c>
    </row>
    <row r="455" spans="1:43" x14ac:dyDescent="0.2">
      <c r="A455" t="s">
        <v>11657</v>
      </c>
      <c r="B455" t="s">
        <v>11037</v>
      </c>
      <c r="C455" t="s">
        <v>11195</v>
      </c>
      <c r="D455" t="s">
        <v>11714</v>
      </c>
      <c r="E455" t="s">
        <v>5012</v>
      </c>
      <c r="F455" t="s">
        <v>11714</v>
      </c>
      <c r="G455" s="1">
        <v>4018</v>
      </c>
      <c r="H455" s="2">
        <v>1143098.56</v>
      </c>
      <c r="I455" s="2">
        <v>1285157.3</v>
      </c>
      <c r="J455" s="2">
        <v>0</v>
      </c>
      <c r="K455" s="2">
        <v>0</v>
      </c>
      <c r="L455" s="2">
        <v>1285157.3</v>
      </c>
      <c r="M455" s="3">
        <v>31985</v>
      </c>
      <c r="N455" s="4">
        <v>2.9238699999999999E-3</v>
      </c>
      <c r="O455" s="5" t="s">
        <v>44</v>
      </c>
      <c r="P455" s="5" t="s">
        <v>44</v>
      </c>
      <c r="Q455" s="1"/>
      <c r="R455" s="2"/>
      <c r="S455" s="6"/>
      <c r="T455" t="s">
        <v>10902</v>
      </c>
      <c r="U455" t="s">
        <v>10902</v>
      </c>
      <c r="V455" t="s">
        <v>10902</v>
      </c>
      <c r="W455" t="s">
        <v>43</v>
      </c>
      <c r="X455" t="s">
        <v>11327</v>
      </c>
      <c r="Y455" t="s">
        <v>11198</v>
      </c>
      <c r="Z455" t="s">
        <v>11195</v>
      </c>
      <c r="AA455" t="s">
        <v>44</v>
      </c>
      <c r="AB455" t="s">
        <v>44</v>
      </c>
      <c r="AC455" s="4"/>
      <c r="AD455" s="4"/>
      <c r="AE455" s="2">
        <v>0</v>
      </c>
      <c r="AF455" s="4">
        <v>0</v>
      </c>
      <c r="AG455" s="2">
        <v>0.24</v>
      </c>
      <c r="AH455" s="2">
        <v>1285157.3</v>
      </c>
      <c r="AI455" s="2">
        <v>0</v>
      </c>
      <c r="AJ455" s="5">
        <v>44673</v>
      </c>
      <c r="AK455" t="s">
        <v>11658</v>
      </c>
      <c r="AL455" s="2">
        <v>0</v>
      </c>
      <c r="AM455" s="2">
        <v>0</v>
      </c>
      <c r="AN455" s="2">
        <v>0</v>
      </c>
      <c r="AO455" t="s">
        <v>44</v>
      </c>
      <c r="AP455" t="s">
        <v>11715</v>
      </c>
      <c r="AQ455" t="s">
        <v>5012</v>
      </c>
    </row>
    <row r="456" spans="1:43" x14ac:dyDescent="0.2">
      <c r="A456" t="s">
        <v>11657</v>
      </c>
      <c r="B456" t="s">
        <v>11037</v>
      </c>
      <c r="C456" t="s">
        <v>11195</v>
      </c>
      <c r="D456" t="s">
        <v>11210</v>
      </c>
      <c r="E456" t="s">
        <v>3167</v>
      </c>
      <c r="F456" t="s">
        <v>11211</v>
      </c>
      <c r="G456" s="1">
        <v>9476</v>
      </c>
      <c r="H456" s="2">
        <v>511985.2</v>
      </c>
      <c r="I456" s="2">
        <v>554346</v>
      </c>
      <c r="J456" s="2">
        <v>0</v>
      </c>
      <c r="K456" s="2">
        <v>0</v>
      </c>
      <c r="L456" s="2">
        <v>554346</v>
      </c>
      <c r="M456" s="3">
        <v>5850</v>
      </c>
      <c r="N456" s="4">
        <v>1.2612000000000001E-3</v>
      </c>
      <c r="O456" s="5" t="s">
        <v>44</v>
      </c>
      <c r="P456" s="5" t="s">
        <v>44</v>
      </c>
      <c r="Q456" s="1"/>
      <c r="R456" s="2"/>
      <c r="S456" s="6"/>
      <c r="T456" t="s">
        <v>10902</v>
      </c>
      <c r="U456" t="s">
        <v>10902</v>
      </c>
      <c r="V456" t="s">
        <v>11212</v>
      </c>
      <c r="W456" t="s">
        <v>43</v>
      </c>
      <c r="X456" t="s">
        <v>11197</v>
      </c>
      <c r="Y456" t="s">
        <v>11198</v>
      </c>
      <c r="Z456" t="s">
        <v>11195</v>
      </c>
      <c r="AA456" t="s">
        <v>44</v>
      </c>
      <c r="AB456" t="s">
        <v>44</v>
      </c>
      <c r="AC456" s="4"/>
      <c r="AD456" s="4"/>
      <c r="AE456" s="2">
        <v>0</v>
      </c>
      <c r="AF456" s="4">
        <v>0</v>
      </c>
      <c r="AG456" s="2">
        <v>0.1</v>
      </c>
      <c r="AH456" s="2">
        <v>554346</v>
      </c>
      <c r="AI456" s="2">
        <v>0</v>
      </c>
      <c r="AJ456" s="5">
        <v>44673</v>
      </c>
      <c r="AK456" t="s">
        <v>11658</v>
      </c>
      <c r="AL456" s="2">
        <v>0</v>
      </c>
      <c r="AM456" s="2">
        <v>0</v>
      </c>
      <c r="AN456" s="2">
        <v>0</v>
      </c>
      <c r="AO456" t="s">
        <v>44</v>
      </c>
      <c r="AP456" t="s">
        <v>11213</v>
      </c>
      <c r="AQ456" t="s">
        <v>3167</v>
      </c>
    </row>
    <row r="457" spans="1:43" x14ac:dyDescent="0.2">
      <c r="A457" t="s">
        <v>11657</v>
      </c>
      <c r="B457" t="s">
        <v>11037</v>
      </c>
      <c r="C457" t="s">
        <v>11195</v>
      </c>
      <c r="D457" t="s">
        <v>5917</v>
      </c>
      <c r="E457" t="s">
        <v>4907</v>
      </c>
      <c r="F457" t="s">
        <v>5917</v>
      </c>
      <c r="G457" s="1">
        <v>57058</v>
      </c>
      <c r="H457" s="2">
        <v>3560228.72</v>
      </c>
      <c r="I457" s="2">
        <v>3951837.08</v>
      </c>
      <c r="J457" s="2">
        <v>0</v>
      </c>
      <c r="K457" s="2">
        <v>0</v>
      </c>
      <c r="L457" s="2">
        <v>3951837.08</v>
      </c>
      <c r="M457" s="3">
        <v>6926</v>
      </c>
      <c r="N457" s="4">
        <v>8.9908499999999999E-3</v>
      </c>
      <c r="O457" s="5" t="s">
        <v>44</v>
      </c>
      <c r="P457" s="5" t="s">
        <v>44</v>
      </c>
      <c r="Q457" s="1"/>
      <c r="R457" s="2"/>
      <c r="S457" s="6"/>
      <c r="T457" t="s">
        <v>10902</v>
      </c>
      <c r="U457" t="s">
        <v>10902</v>
      </c>
      <c r="V457" t="s">
        <v>10902</v>
      </c>
      <c r="W457" t="s">
        <v>43</v>
      </c>
      <c r="X457" t="s">
        <v>11334</v>
      </c>
      <c r="Y457" t="s">
        <v>11335</v>
      </c>
      <c r="Z457" t="s">
        <v>11195</v>
      </c>
      <c r="AA457" t="s">
        <v>44</v>
      </c>
      <c r="AB457" t="s">
        <v>44</v>
      </c>
      <c r="AC457" s="4"/>
      <c r="AD457" s="4"/>
      <c r="AE457" s="2">
        <v>0</v>
      </c>
      <c r="AF457" s="4">
        <v>0</v>
      </c>
      <c r="AG457" s="2">
        <v>0.75</v>
      </c>
      <c r="AH457" s="2">
        <v>3951837.08</v>
      </c>
      <c r="AI457" s="2">
        <v>0.01</v>
      </c>
      <c r="AJ457" s="5">
        <v>44673</v>
      </c>
      <c r="AK457" t="s">
        <v>11658</v>
      </c>
      <c r="AL457" s="2">
        <v>0</v>
      </c>
      <c r="AM457" s="2">
        <v>0</v>
      </c>
      <c r="AN457" s="2">
        <v>0</v>
      </c>
      <c r="AO457" t="s">
        <v>44</v>
      </c>
      <c r="AP457" t="s">
        <v>11716</v>
      </c>
      <c r="AQ457" t="s">
        <v>4907</v>
      </c>
    </row>
    <row r="458" spans="1:43" x14ac:dyDescent="0.2">
      <c r="A458" t="s">
        <v>11657</v>
      </c>
      <c r="B458" t="s">
        <v>11037</v>
      </c>
      <c r="C458" t="s">
        <v>11195</v>
      </c>
      <c r="D458" t="s">
        <v>6379</v>
      </c>
      <c r="E458" t="s">
        <v>5199</v>
      </c>
      <c r="F458" t="s">
        <v>6379</v>
      </c>
      <c r="G458" s="1">
        <v>1218</v>
      </c>
      <c r="H458" s="2">
        <v>287434.2</v>
      </c>
      <c r="I458" s="2">
        <v>355656</v>
      </c>
      <c r="J458" s="2">
        <v>0</v>
      </c>
      <c r="K458" s="2">
        <v>0</v>
      </c>
      <c r="L458" s="2">
        <v>355656</v>
      </c>
      <c r="M458" s="3">
        <v>29200</v>
      </c>
      <c r="N458" s="4">
        <v>8.0915999999999996E-4</v>
      </c>
      <c r="O458" s="5" t="s">
        <v>44</v>
      </c>
      <c r="P458" s="5" t="s">
        <v>44</v>
      </c>
      <c r="Q458" s="1"/>
      <c r="R458" s="2"/>
      <c r="S458" s="6"/>
      <c r="T458" t="s">
        <v>10902</v>
      </c>
      <c r="U458" t="s">
        <v>10902</v>
      </c>
      <c r="V458" t="s">
        <v>10902</v>
      </c>
      <c r="W458" t="s">
        <v>43</v>
      </c>
      <c r="X458" t="s">
        <v>11350</v>
      </c>
      <c r="Y458" t="s">
        <v>11335</v>
      </c>
      <c r="Z458" t="s">
        <v>11195</v>
      </c>
      <c r="AA458" t="s">
        <v>44</v>
      </c>
      <c r="AB458" t="s">
        <v>44</v>
      </c>
      <c r="AC458" s="4"/>
      <c r="AD458" s="4"/>
      <c r="AE458" s="2">
        <v>0</v>
      </c>
      <c r="AF458" s="4">
        <v>0</v>
      </c>
      <c r="AG458" s="2">
        <v>7.0000000000000007E-2</v>
      </c>
      <c r="AH458" s="2">
        <v>355656</v>
      </c>
      <c r="AI458" s="2">
        <v>0</v>
      </c>
      <c r="AJ458" s="5">
        <v>44673</v>
      </c>
      <c r="AK458" t="s">
        <v>11658</v>
      </c>
      <c r="AL458" s="2">
        <v>0</v>
      </c>
      <c r="AM458" s="2">
        <v>0</v>
      </c>
      <c r="AN458" s="2">
        <v>0</v>
      </c>
      <c r="AO458" t="s">
        <v>44</v>
      </c>
      <c r="AP458" t="s">
        <v>11351</v>
      </c>
      <c r="AQ458" t="s">
        <v>5199</v>
      </c>
    </row>
    <row r="459" spans="1:43" x14ac:dyDescent="0.2">
      <c r="A459" t="s">
        <v>11657</v>
      </c>
      <c r="B459" t="s">
        <v>11037</v>
      </c>
      <c r="C459" t="s">
        <v>11195</v>
      </c>
      <c r="D459" t="s">
        <v>6710</v>
      </c>
      <c r="E459" t="s">
        <v>1780</v>
      </c>
      <c r="F459" t="s">
        <v>6710</v>
      </c>
      <c r="G459" s="1">
        <v>8802</v>
      </c>
      <c r="H459" s="2">
        <v>233785.91</v>
      </c>
      <c r="I459" s="2">
        <v>209487.6</v>
      </c>
      <c r="J459" s="2">
        <v>0</v>
      </c>
      <c r="K459" s="2">
        <v>0</v>
      </c>
      <c r="L459" s="2">
        <v>209487.6</v>
      </c>
      <c r="M459" s="3">
        <v>2380</v>
      </c>
      <c r="N459" s="4">
        <v>4.7660999999999998E-4</v>
      </c>
      <c r="O459" s="5" t="s">
        <v>44</v>
      </c>
      <c r="P459" s="5" t="s">
        <v>44</v>
      </c>
      <c r="Q459" s="1"/>
      <c r="R459" s="2"/>
      <c r="S459" s="6"/>
      <c r="T459" t="s">
        <v>10902</v>
      </c>
      <c r="U459" t="s">
        <v>10902</v>
      </c>
      <c r="V459" t="s">
        <v>10902</v>
      </c>
      <c r="W459" t="s">
        <v>43</v>
      </c>
      <c r="X459" t="s">
        <v>11197</v>
      </c>
      <c r="Y459" t="s">
        <v>11198</v>
      </c>
      <c r="Z459" t="s">
        <v>11195</v>
      </c>
      <c r="AA459" t="s">
        <v>44</v>
      </c>
      <c r="AB459" t="s">
        <v>44</v>
      </c>
      <c r="AC459" s="4"/>
      <c r="AD459" s="4"/>
      <c r="AE459" s="2">
        <v>0</v>
      </c>
      <c r="AF459" s="4">
        <v>0</v>
      </c>
      <c r="AG459" s="2">
        <v>0.04</v>
      </c>
      <c r="AH459" s="2">
        <v>209487.6</v>
      </c>
      <c r="AI459" s="2">
        <v>0</v>
      </c>
      <c r="AJ459" s="5">
        <v>44673</v>
      </c>
      <c r="AK459" t="s">
        <v>11658</v>
      </c>
      <c r="AL459" s="2">
        <v>0</v>
      </c>
      <c r="AM459" s="2">
        <v>0</v>
      </c>
      <c r="AN459" s="2">
        <v>0</v>
      </c>
      <c r="AO459" t="s">
        <v>44</v>
      </c>
      <c r="AP459" t="s">
        <v>11214</v>
      </c>
      <c r="AQ459" t="s">
        <v>1780</v>
      </c>
    </row>
    <row r="460" spans="1:43" x14ac:dyDescent="0.2">
      <c r="A460" t="s">
        <v>11657</v>
      </c>
      <c r="B460" t="s">
        <v>11037</v>
      </c>
      <c r="C460" t="s">
        <v>11195</v>
      </c>
      <c r="D460" t="s">
        <v>5876</v>
      </c>
      <c r="E460" t="s">
        <v>4893</v>
      </c>
      <c r="F460" t="s">
        <v>5876</v>
      </c>
      <c r="G460" s="1">
        <v>44074</v>
      </c>
      <c r="H460" s="2">
        <v>6395357.3600000003</v>
      </c>
      <c r="I460" s="2">
        <v>7534009.5599999996</v>
      </c>
      <c r="J460" s="2">
        <v>0</v>
      </c>
      <c r="K460" s="2">
        <v>0</v>
      </c>
      <c r="L460" s="2">
        <v>7534009.5599999996</v>
      </c>
      <c r="M460" s="3">
        <v>17094</v>
      </c>
      <c r="N460" s="4">
        <v>1.7140679999999998E-2</v>
      </c>
      <c r="O460" s="5" t="s">
        <v>44</v>
      </c>
      <c r="P460" s="5" t="s">
        <v>44</v>
      </c>
      <c r="Q460" s="1"/>
      <c r="R460" s="2"/>
      <c r="S460" s="6"/>
      <c r="T460" t="s">
        <v>10902</v>
      </c>
      <c r="U460" t="s">
        <v>10902</v>
      </c>
      <c r="V460" t="s">
        <v>10902</v>
      </c>
      <c r="W460" t="s">
        <v>43</v>
      </c>
      <c r="X460" t="s">
        <v>11034</v>
      </c>
      <c r="Y460" t="s">
        <v>11034</v>
      </c>
      <c r="Z460" t="s">
        <v>11195</v>
      </c>
      <c r="AA460" t="s">
        <v>44</v>
      </c>
      <c r="AB460" t="s">
        <v>44</v>
      </c>
      <c r="AC460" s="4"/>
      <c r="AD460" s="4"/>
      <c r="AE460" s="2">
        <v>0</v>
      </c>
      <c r="AF460" s="4">
        <v>0</v>
      </c>
      <c r="AG460" s="2">
        <v>1.42</v>
      </c>
      <c r="AH460" s="2">
        <v>7534009.5599999996</v>
      </c>
      <c r="AI460" s="2">
        <v>0.02</v>
      </c>
      <c r="AJ460" s="5">
        <v>44673</v>
      </c>
      <c r="AK460" t="s">
        <v>11658</v>
      </c>
      <c r="AL460" s="2">
        <v>0</v>
      </c>
      <c r="AM460" s="2">
        <v>0</v>
      </c>
      <c r="AN460" s="2">
        <v>0</v>
      </c>
      <c r="AO460" t="s">
        <v>44</v>
      </c>
      <c r="AP460" t="s">
        <v>11352</v>
      </c>
      <c r="AQ460" t="s">
        <v>4893</v>
      </c>
    </row>
    <row r="461" spans="1:43" x14ac:dyDescent="0.2">
      <c r="A461" t="s">
        <v>11657</v>
      </c>
      <c r="B461" t="s">
        <v>11037</v>
      </c>
      <c r="C461" t="s">
        <v>11195</v>
      </c>
      <c r="D461" t="s">
        <v>11353</v>
      </c>
      <c r="E461" t="s">
        <v>5706</v>
      </c>
      <c r="F461" t="s">
        <v>11353</v>
      </c>
      <c r="G461" s="1">
        <v>16634</v>
      </c>
      <c r="H461" s="2">
        <v>663595.16</v>
      </c>
      <c r="I461" s="2">
        <v>831700</v>
      </c>
      <c r="J461" s="2">
        <v>0</v>
      </c>
      <c r="K461" s="2">
        <v>0</v>
      </c>
      <c r="L461" s="2">
        <v>831700</v>
      </c>
      <c r="M461" s="3">
        <v>5000</v>
      </c>
      <c r="N461" s="4">
        <v>1.8922100000000001E-3</v>
      </c>
      <c r="O461" s="5" t="s">
        <v>44</v>
      </c>
      <c r="P461" s="5" t="s">
        <v>44</v>
      </c>
      <c r="Q461" s="1"/>
      <c r="R461" s="2"/>
      <c r="S461" s="6"/>
      <c r="T461" t="s">
        <v>10902</v>
      </c>
      <c r="U461" t="s">
        <v>10902</v>
      </c>
      <c r="V461" t="s">
        <v>10902</v>
      </c>
      <c r="W461" t="s">
        <v>43</v>
      </c>
      <c r="X461" t="s">
        <v>11327</v>
      </c>
      <c r="Y461" t="s">
        <v>11198</v>
      </c>
      <c r="Z461" t="s">
        <v>11195</v>
      </c>
      <c r="AA461" t="s">
        <v>44</v>
      </c>
      <c r="AB461" t="s">
        <v>44</v>
      </c>
      <c r="AC461" s="4"/>
      <c r="AD461" s="4"/>
      <c r="AE461" s="2">
        <v>0</v>
      </c>
      <c r="AF461" s="4">
        <v>0</v>
      </c>
      <c r="AG461" s="2">
        <v>0.16</v>
      </c>
      <c r="AH461" s="2">
        <v>831700</v>
      </c>
      <c r="AI461" s="2">
        <v>0</v>
      </c>
      <c r="AJ461" s="5">
        <v>44673</v>
      </c>
      <c r="AK461" t="s">
        <v>11658</v>
      </c>
      <c r="AL461" s="2">
        <v>0</v>
      </c>
      <c r="AM461" s="2">
        <v>0</v>
      </c>
      <c r="AN461" s="2">
        <v>0</v>
      </c>
      <c r="AO461" t="s">
        <v>44</v>
      </c>
      <c r="AP461" t="s">
        <v>11354</v>
      </c>
      <c r="AQ461" t="s">
        <v>5706</v>
      </c>
    </row>
    <row r="462" spans="1:43" x14ac:dyDescent="0.2">
      <c r="A462" t="s">
        <v>11657</v>
      </c>
      <c r="B462" t="s">
        <v>11037</v>
      </c>
      <c r="C462" t="s">
        <v>11195</v>
      </c>
      <c r="D462" t="s">
        <v>6348</v>
      </c>
      <c r="E462" t="s">
        <v>5241</v>
      </c>
      <c r="F462" t="s">
        <v>6348</v>
      </c>
      <c r="G462" s="1">
        <v>24923</v>
      </c>
      <c r="H462" s="2">
        <v>295367.65000000002</v>
      </c>
      <c r="I462" s="2">
        <v>333968.2</v>
      </c>
      <c r="J462" s="2">
        <v>0</v>
      </c>
      <c r="K462" s="2">
        <v>0</v>
      </c>
      <c r="L462" s="2">
        <v>333968.2</v>
      </c>
      <c r="M462" s="3">
        <v>1340</v>
      </c>
      <c r="N462" s="4">
        <v>7.5980999999999998E-4</v>
      </c>
      <c r="O462" s="5" t="s">
        <v>44</v>
      </c>
      <c r="P462" s="5" t="s">
        <v>44</v>
      </c>
      <c r="Q462" s="1"/>
      <c r="R462" s="2"/>
      <c r="S462" s="6"/>
      <c r="T462" t="s">
        <v>10902</v>
      </c>
      <c r="U462" t="s">
        <v>10902</v>
      </c>
      <c r="V462" t="s">
        <v>10902</v>
      </c>
      <c r="W462" t="s">
        <v>43</v>
      </c>
      <c r="X462" t="s">
        <v>11197</v>
      </c>
      <c r="Y462" t="s">
        <v>11198</v>
      </c>
      <c r="Z462" t="s">
        <v>11195</v>
      </c>
      <c r="AA462" t="s">
        <v>44</v>
      </c>
      <c r="AB462" t="s">
        <v>44</v>
      </c>
      <c r="AC462" s="4"/>
      <c r="AD462" s="4"/>
      <c r="AE462" s="2">
        <v>0</v>
      </c>
      <c r="AF462" s="4">
        <v>0</v>
      </c>
      <c r="AG462" s="2">
        <v>0.06</v>
      </c>
      <c r="AH462" s="2">
        <v>333968.2</v>
      </c>
      <c r="AI462" s="2">
        <v>0</v>
      </c>
      <c r="AJ462" s="5">
        <v>44673</v>
      </c>
      <c r="AK462" t="s">
        <v>11658</v>
      </c>
      <c r="AL462" s="2">
        <v>0</v>
      </c>
      <c r="AM462" s="2">
        <v>0</v>
      </c>
      <c r="AN462" s="2">
        <v>0</v>
      </c>
      <c r="AO462" t="s">
        <v>44</v>
      </c>
      <c r="AP462" t="s">
        <v>11215</v>
      </c>
      <c r="AQ462" t="s">
        <v>5241</v>
      </c>
    </row>
    <row r="463" spans="1:43" x14ac:dyDescent="0.2">
      <c r="A463" t="s">
        <v>11657</v>
      </c>
      <c r="B463" t="s">
        <v>11037</v>
      </c>
      <c r="C463" t="s">
        <v>11355</v>
      </c>
      <c r="D463" t="s">
        <v>6145</v>
      </c>
      <c r="E463" t="s">
        <v>4768</v>
      </c>
      <c r="F463" t="s">
        <v>6145</v>
      </c>
      <c r="G463" s="1">
        <v>12383</v>
      </c>
      <c r="H463" s="2">
        <v>2876512.2</v>
      </c>
      <c r="I463" s="2">
        <v>2173711.8199999998</v>
      </c>
      <c r="J463" s="2">
        <v>0</v>
      </c>
      <c r="K463" s="2">
        <v>0</v>
      </c>
      <c r="L463" s="2">
        <v>2173711.8199999998</v>
      </c>
      <c r="M463" s="3">
        <v>17554</v>
      </c>
      <c r="N463" s="4">
        <v>4.9454299999999998E-3</v>
      </c>
      <c r="O463" s="5" t="s">
        <v>44</v>
      </c>
      <c r="P463" s="5" t="s">
        <v>44</v>
      </c>
      <c r="Q463" s="1"/>
      <c r="R463" s="2"/>
      <c r="S463" s="6"/>
      <c r="T463" t="s">
        <v>10902</v>
      </c>
      <c r="U463" t="s">
        <v>10902</v>
      </c>
      <c r="V463" t="s">
        <v>10902</v>
      </c>
      <c r="W463" t="s">
        <v>43</v>
      </c>
      <c r="X463" t="s">
        <v>11717</v>
      </c>
      <c r="Y463" t="s">
        <v>11358</v>
      </c>
      <c r="Z463" t="s">
        <v>11355</v>
      </c>
      <c r="AA463" t="s">
        <v>44</v>
      </c>
      <c r="AB463" t="s">
        <v>44</v>
      </c>
      <c r="AC463" s="4"/>
      <c r="AD463" s="4"/>
      <c r="AE463" s="2">
        <v>0</v>
      </c>
      <c r="AF463" s="4">
        <v>0</v>
      </c>
      <c r="AG463" s="2">
        <v>0.41</v>
      </c>
      <c r="AH463" s="2">
        <v>2173711.8199999998</v>
      </c>
      <c r="AI463" s="2">
        <v>0</v>
      </c>
      <c r="AJ463" s="5">
        <v>44673</v>
      </c>
      <c r="AK463" t="s">
        <v>11658</v>
      </c>
      <c r="AL463" s="2">
        <v>0</v>
      </c>
      <c r="AM463" s="2">
        <v>0</v>
      </c>
      <c r="AN463" s="2">
        <v>0</v>
      </c>
      <c r="AO463" t="s">
        <v>44</v>
      </c>
      <c r="AP463" t="s">
        <v>11718</v>
      </c>
      <c r="AQ463" t="s">
        <v>4768</v>
      </c>
    </row>
    <row r="464" spans="1:43" x14ac:dyDescent="0.2">
      <c r="A464" t="s">
        <v>11657</v>
      </c>
      <c r="B464" t="s">
        <v>11037</v>
      </c>
      <c r="C464" t="s">
        <v>11355</v>
      </c>
      <c r="D464" t="s">
        <v>11356</v>
      </c>
      <c r="E464" t="s">
        <v>4971</v>
      </c>
      <c r="F464" t="s">
        <v>6192</v>
      </c>
      <c r="G464" s="1">
        <v>40395</v>
      </c>
      <c r="H464" s="2">
        <v>1011525.57</v>
      </c>
      <c r="I464" s="2">
        <v>910099.35</v>
      </c>
      <c r="J464" s="2">
        <v>0</v>
      </c>
      <c r="K464" s="2">
        <v>0</v>
      </c>
      <c r="L464" s="2">
        <v>910099.35</v>
      </c>
      <c r="M464" s="3">
        <v>2253</v>
      </c>
      <c r="N464" s="4">
        <v>2.0705699999999999E-3</v>
      </c>
      <c r="O464" s="5" t="s">
        <v>44</v>
      </c>
      <c r="P464" s="5" t="s">
        <v>44</v>
      </c>
      <c r="Q464" s="1"/>
      <c r="R464" s="2"/>
      <c r="S464" s="6"/>
      <c r="T464" t="s">
        <v>10902</v>
      </c>
      <c r="U464" t="s">
        <v>10902</v>
      </c>
      <c r="V464" t="s">
        <v>10902</v>
      </c>
      <c r="W464" t="s">
        <v>43</v>
      </c>
      <c r="X464" t="s">
        <v>11357</v>
      </c>
      <c r="Y464" t="s">
        <v>11358</v>
      </c>
      <c r="Z464" t="s">
        <v>11355</v>
      </c>
      <c r="AA464" t="s">
        <v>44</v>
      </c>
      <c r="AB464" t="s">
        <v>44</v>
      </c>
      <c r="AC464" s="4"/>
      <c r="AD464" s="4"/>
      <c r="AE464" s="2">
        <v>0</v>
      </c>
      <c r="AF464" s="4">
        <v>0</v>
      </c>
      <c r="AG464" s="2">
        <v>0.17</v>
      </c>
      <c r="AH464" s="2">
        <v>910099.35</v>
      </c>
      <c r="AI464" s="2">
        <v>0</v>
      </c>
      <c r="AJ464" s="5">
        <v>44673</v>
      </c>
      <c r="AK464" t="s">
        <v>11658</v>
      </c>
      <c r="AL464" s="2">
        <v>0</v>
      </c>
      <c r="AM464" s="2">
        <v>0</v>
      </c>
      <c r="AN464" s="2">
        <v>0</v>
      </c>
      <c r="AO464" t="s">
        <v>44</v>
      </c>
      <c r="AP464" t="s">
        <v>11359</v>
      </c>
      <c r="AQ464" t="s">
        <v>4971</v>
      </c>
    </row>
    <row r="465" spans="1:43" x14ac:dyDescent="0.2">
      <c r="A465" t="s">
        <v>11657</v>
      </c>
      <c r="B465" t="s">
        <v>11037</v>
      </c>
      <c r="C465" t="s">
        <v>11355</v>
      </c>
      <c r="D465" t="s">
        <v>11360</v>
      </c>
      <c r="E465" t="s">
        <v>4991</v>
      </c>
      <c r="F465" t="s">
        <v>11360</v>
      </c>
      <c r="G465" s="1">
        <v>11651</v>
      </c>
      <c r="H465" s="2">
        <v>744886.73</v>
      </c>
      <c r="I465" s="2">
        <v>881165.13</v>
      </c>
      <c r="J465" s="2">
        <v>0</v>
      </c>
      <c r="K465" s="2">
        <v>0</v>
      </c>
      <c r="L465" s="2">
        <v>881165.13</v>
      </c>
      <c r="M465" s="3">
        <v>7563</v>
      </c>
      <c r="N465" s="4">
        <v>2.00475E-3</v>
      </c>
      <c r="O465" s="5" t="s">
        <v>44</v>
      </c>
      <c r="P465" s="5" t="s">
        <v>44</v>
      </c>
      <c r="Q465" s="1"/>
      <c r="R465" s="2"/>
      <c r="S465" s="6"/>
      <c r="T465" t="s">
        <v>10902</v>
      </c>
      <c r="U465" t="s">
        <v>10902</v>
      </c>
      <c r="V465" t="s">
        <v>10902</v>
      </c>
      <c r="W465" t="s">
        <v>43</v>
      </c>
      <c r="X465" t="s">
        <v>11357</v>
      </c>
      <c r="Y465" t="s">
        <v>11358</v>
      </c>
      <c r="Z465" t="s">
        <v>11355</v>
      </c>
      <c r="AA465" t="s">
        <v>44</v>
      </c>
      <c r="AB465" t="s">
        <v>44</v>
      </c>
      <c r="AC465" s="4"/>
      <c r="AD465" s="4"/>
      <c r="AE465" s="2">
        <v>0</v>
      </c>
      <c r="AF465" s="4">
        <v>0</v>
      </c>
      <c r="AG465" s="2">
        <v>0.17</v>
      </c>
      <c r="AH465" s="2">
        <v>881165.13</v>
      </c>
      <c r="AI465" s="2">
        <v>0</v>
      </c>
      <c r="AJ465" s="5">
        <v>44673</v>
      </c>
      <c r="AK465" t="s">
        <v>11658</v>
      </c>
      <c r="AL465" s="2">
        <v>0</v>
      </c>
      <c r="AM465" s="2">
        <v>0</v>
      </c>
      <c r="AN465" s="2">
        <v>0</v>
      </c>
      <c r="AO465" t="s">
        <v>44</v>
      </c>
      <c r="AP465" t="s">
        <v>11361</v>
      </c>
      <c r="AQ465" t="s">
        <v>4991</v>
      </c>
    </row>
    <row r="466" spans="1:43" x14ac:dyDescent="0.2">
      <c r="A466" t="s">
        <v>11657</v>
      </c>
      <c r="B466" t="s">
        <v>11037</v>
      </c>
      <c r="C466" t="s">
        <v>11355</v>
      </c>
      <c r="D466" t="s">
        <v>11362</v>
      </c>
      <c r="E466" t="s">
        <v>4862</v>
      </c>
      <c r="F466" t="s">
        <v>11362</v>
      </c>
      <c r="G466" s="1">
        <v>42150</v>
      </c>
      <c r="H466" s="2">
        <v>718275.94</v>
      </c>
      <c r="I466" s="2">
        <v>674400</v>
      </c>
      <c r="J466" s="2">
        <v>0</v>
      </c>
      <c r="K466" s="2">
        <v>0</v>
      </c>
      <c r="L466" s="2">
        <v>674400</v>
      </c>
      <c r="M466" s="3">
        <v>1600</v>
      </c>
      <c r="N466" s="4">
        <v>1.53433E-3</v>
      </c>
      <c r="O466" s="5" t="s">
        <v>44</v>
      </c>
      <c r="P466" s="5" t="s">
        <v>44</v>
      </c>
      <c r="Q466" s="1"/>
      <c r="R466" s="2"/>
      <c r="S466" s="6"/>
      <c r="T466" t="s">
        <v>10902</v>
      </c>
      <c r="U466" t="s">
        <v>10902</v>
      </c>
      <c r="V466" t="s">
        <v>10902</v>
      </c>
      <c r="W466" t="s">
        <v>43</v>
      </c>
      <c r="X466" t="s">
        <v>11357</v>
      </c>
      <c r="Y466" t="s">
        <v>11358</v>
      </c>
      <c r="Z466" t="s">
        <v>11355</v>
      </c>
      <c r="AA466" t="s">
        <v>44</v>
      </c>
      <c r="AB466" t="s">
        <v>44</v>
      </c>
      <c r="AC466" s="4"/>
      <c r="AD466" s="4"/>
      <c r="AE466" s="2">
        <v>0</v>
      </c>
      <c r="AF466" s="4">
        <v>0</v>
      </c>
      <c r="AG466" s="2">
        <v>0.13</v>
      </c>
      <c r="AH466" s="2">
        <v>674400</v>
      </c>
      <c r="AI466" s="2">
        <v>0</v>
      </c>
      <c r="AJ466" s="5">
        <v>44673</v>
      </c>
      <c r="AK466" t="s">
        <v>11658</v>
      </c>
      <c r="AL466" s="2">
        <v>0</v>
      </c>
      <c r="AM466" s="2">
        <v>0</v>
      </c>
      <c r="AN466" s="2">
        <v>0</v>
      </c>
      <c r="AO466" t="s">
        <v>44</v>
      </c>
      <c r="AP466" t="s">
        <v>11363</v>
      </c>
      <c r="AQ466" t="s">
        <v>4862</v>
      </c>
    </row>
    <row r="467" spans="1:43" x14ac:dyDescent="0.2">
      <c r="A467" t="s">
        <v>11657</v>
      </c>
      <c r="B467" t="s">
        <v>11037</v>
      </c>
      <c r="C467" t="s">
        <v>11364</v>
      </c>
      <c r="D467" t="s">
        <v>6240</v>
      </c>
      <c r="E467" t="s">
        <v>5065</v>
      </c>
      <c r="F467" t="s">
        <v>6240</v>
      </c>
      <c r="G467" s="1">
        <v>5954</v>
      </c>
      <c r="H467" s="2">
        <v>581561.67000000004</v>
      </c>
      <c r="I467" s="2">
        <v>688580.1</v>
      </c>
      <c r="J467" s="2">
        <v>0</v>
      </c>
      <c r="K467" s="2">
        <v>0</v>
      </c>
      <c r="L467" s="2">
        <v>688580.1</v>
      </c>
      <c r="M467" s="3">
        <v>11565</v>
      </c>
      <c r="N467" s="4">
        <v>1.5665900000000001E-3</v>
      </c>
      <c r="O467" s="5" t="s">
        <v>44</v>
      </c>
      <c r="P467" s="5" t="s">
        <v>44</v>
      </c>
      <c r="Q467" s="1"/>
      <c r="R467" s="2"/>
      <c r="S467" s="6"/>
      <c r="T467" t="s">
        <v>10902</v>
      </c>
      <c r="U467" t="s">
        <v>10902</v>
      </c>
      <c r="V467" t="s">
        <v>10902</v>
      </c>
      <c r="W467" t="s">
        <v>43</v>
      </c>
      <c r="X467" t="s">
        <v>11369</v>
      </c>
      <c r="Y467" t="s">
        <v>11367</v>
      </c>
      <c r="Z467" t="s">
        <v>11364</v>
      </c>
      <c r="AA467" t="s">
        <v>44</v>
      </c>
      <c r="AB467" t="s">
        <v>44</v>
      </c>
      <c r="AC467" s="4"/>
      <c r="AD467" s="4"/>
      <c r="AE467" s="2">
        <v>0</v>
      </c>
      <c r="AF467" s="4">
        <v>0</v>
      </c>
      <c r="AG467" s="2">
        <v>0.13</v>
      </c>
      <c r="AH467" s="2">
        <v>688580.1</v>
      </c>
      <c r="AI467" s="2">
        <v>0</v>
      </c>
      <c r="AJ467" s="5">
        <v>44673</v>
      </c>
      <c r="AK467" t="s">
        <v>11658</v>
      </c>
      <c r="AL467" s="2">
        <v>0</v>
      </c>
      <c r="AM467" s="2">
        <v>0</v>
      </c>
      <c r="AN467" s="2">
        <v>0</v>
      </c>
      <c r="AO467" t="s">
        <v>44</v>
      </c>
      <c r="AP467" t="s">
        <v>11370</v>
      </c>
      <c r="AQ467" t="s">
        <v>5065</v>
      </c>
    </row>
    <row r="468" spans="1:43" x14ac:dyDescent="0.2">
      <c r="A468" t="s">
        <v>11657</v>
      </c>
      <c r="B468" t="s">
        <v>11037</v>
      </c>
      <c r="C468" t="s">
        <v>11364</v>
      </c>
      <c r="D468" t="s">
        <v>11719</v>
      </c>
      <c r="E468" t="s">
        <v>7182</v>
      </c>
      <c r="F468" t="s">
        <v>11719</v>
      </c>
      <c r="G468" s="1">
        <v>1161438</v>
      </c>
      <c r="H468" s="2">
        <v>11614.38</v>
      </c>
      <c r="I468" s="2">
        <v>46457.52</v>
      </c>
      <c r="J468" s="2">
        <v>0</v>
      </c>
      <c r="K468" s="2">
        <v>0</v>
      </c>
      <c r="L468" s="2">
        <v>46457.52</v>
      </c>
      <c r="M468" s="3">
        <v>4</v>
      </c>
      <c r="N468" s="4">
        <v>1.0569999999999999E-4</v>
      </c>
      <c r="O468" s="5" t="s">
        <v>44</v>
      </c>
      <c r="P468" s="5" t="s">
        <v>44</v>
      </c>
      <c r="Q468" s="1"/>
      <c r="R468" s="2"/>
      <c r="S468" s="6"/>
      <c r="T468" t="s">
        <v>10902</v>
      </c>
      <c r="U468" t="s">
        <v>10902</v>
      </c>
      <c r="V468" t="s">
        <v>10902</v>
      </c>
      <c r="W468" t="s">
        <v>43</v>
      </c>
      <c r="X468" t="s">
        <v>11720</v>
      </c>
      <c r="Y468" t="s">
        <v>11721</v>
      </c>
      <c r="Z468" t="s">
        <v>11364</v>
      </c>
      <c r="AA468" t="s">
        <v>44</v>
      </c>
      <c r="AB468" t="s">
        <v>44</v>
      </c>
      <c r="AC468" s="4"/>
      <c r="AD468" s="4"/>
      <c r="AE468" s="2">
        <v>0</v>
      </c>
      <c r="AF468" s="4">
        <v>0</v>
      </c>
      <c r="AG468" s="2">
        <v>0.01</v>
      </c>
      <c r="AH468" s="2">
        <v>46457.52</v>
      </c>
      <c r="AI468" s="2">
        <v>0</v>
      </c>
      <c r="AJ468" s="5">
        <v>44673</v>
      </c>
      <c r="AK468" t="s">
        <v>11658</v>
      </c>
      <c r="AL468" s="2">
        <v>0</v>
      </c>
      <c r="AM468" s="2">
        <v>0</v>
      </c>
      <c r="AN468" s="2">
        <v>0</v>
      </c>
      <c r="AO468" t="s">
        <v>44</v>
      </c>
      <c r="AP468" t="s">
        <v>11722</v>
      </c>
      <c r="AQ468" t="s">
        <v>7182</v>
      </c>
    </row>
    <row r="469" spans="1:43" x14ac:dyDescent="0.2">
      <c r="A469" t="s">
        <v>11657</v>
      </c>
      <c r="B469" t="s">
        <v>11037</v>
      </c>
      <c r="C469" t="s">
        <v>11364</v>
      </c>
      <c r="D469" t="s">
        <v>11371</v>
      </c>
      <c r="E469" t="s">
        <v>5127</v>
      </c>
      <c r="F469" t="s">
        <v>11371</v>
      </c>
      <c r="G469" s="1">
        <v>75490</v>
      </c>
      <c r="H469" s="2">
        <v>337723.71</v>
      </c>
      <c r="I469" s="2">
        <v>388773.5</v>
      </c>
      <c r="J469" s="2">
        <v>0</v>
      </c>
      <c r="K469" s="2">
        <v>0</v>
      </c>
      <c r="L469" s="2">
        <v>388773.5</v>
      </c>
      <c r="M469" s="3">
        <v>515</v>
      </c>
      <c r="N469" s="4">
        <v>8.8449999999999998E-4</v>
      </c>
      <c r="O469" s="5" t="s">
        <v>44</v>
      </c>
      <c r="P469" s="5" t="s">
        <v>44</v>
      </c>
      <c r="Q469" s="1"/>
      <c r="R469" s="2"/>
      <c r="S469" s="6"/>
      <c r="T469" t="s">
        <v>10902</v>
      </c>
      <c r="U469" t="s">
        <v>10902</v>
      </c>
      <c r="V469" t="s">
        <v>10902</v>
      </c>
      <c r="W469" t="s">
        <v>43</v>
      </c>
      <c r="X469" t="s">
        <v>11369</v>
      </c>
      <c r="Y469" t="s">
        <v>11367</v>
      </c>
      <c r="Z469" t="s">
        <v>11364</v>
      </c>
      <c r="AA469" t="s">
        <v>44</v>
      </c>
      <c r="AB469" t="s">
        <v>44</v>
      </c>
      <c r="AC469" s="4"/>
      <c r="AD469" s="4"/>
      <c r="AE469" s="2">
        <v>0</v>
      </c>
      <c r="AF469" s="4">
        <v>0</v>
      </c>
      <c r="AG469" s="2">
        <v>7.0000000000000007E-2</v>
      </c>
      <c r="AH469" s="2">
        <v>388773.5</v>
      </c>
      <c r="AI469" s="2">
        <v>0</v>
      </c>
      <c r="AJ469" s="5">
        <v>44673</v>
      </c>
      <c r="AK469" t="s">
        <v>11658</v>
      </c>
      <c r="AL469" s="2">
        <v>0</v>
      </c>
      <c r="AM469" s="2">
        <v>0</v>
      </c>
      <c r="AN469" s="2">
        <v>0</v>
      </c>
      <c r="AO469" t="s">
        <v>44</v>
      </c>
      <c r="AP469" t="s">
        <v>11372</v>
      </c>
      <c r="AQ469" t="s">
        <v>5127</v>
      </c>
    </row>
    <row r="470" spans="1:43" x14ac:dyDescent="0.2">
      <c r="A470" t="s">
        <v>11657</v>
      </c>
      <c r="B470" t="s">
        <v>11037</v>
      </c>
      <c r="C470" t="s">
        <v>11364</v>
      </c>
      <c r="D470" t="s">
        <v>6915</v>
      </c>
      <c r="E470" t="s">
        <v>5570</v>
      </c>
      <c r="F470" t="s">
        <v>6915</v>
      </c>
      <c r="G470" s="1">
        <v>6000</v>
      </c>
      <c r="H470" s="2">
        <v>253120.05</v>
      </c>
      <c r="I470" s="2">
        <v>240720</v>
      </c>
      <c r="J470" s="2">
        <v>0</v>
      </c>
      <c r="K470" s="2">
        <v>0</v>
      </c>
      <c r="L470" s="2">
        <v>240720</v>
      </c>
      <c r="M470" s="3">
        <v>4012</v>
      </c>
      <c r="N470" s="4">
        <v>5.4766000000000005E-4</v>
      </c>
      <c r="O470" s="5" t="s">
        <v>44</v>
      </c>
      <c r="P470" s="5" t="s">
        <v>44</v>
      </c>
      <c r="Q470" s="1"/>
      <c r="R470" s="2"/>
      <c r="S470" s="6"/>
      <c r="T470" t="s">
        <v>10902</v>
      </c>
      <c r="U470" t="s">
        <v>10902</v>
      </c>
      <c r="V470" t="s">
        <v>10902</v>
      </c>
      <c r="W470" t="s">
        <v>43</v>
      </c>
      <c r="X470" t="s">
        <v>11720</v>
      </c>
      <c r="Y470" t="s">
        <v>11721</v>
      </c>
      <c r="Z470" t="s">
        <v>11364</v>
      </c>
      <c r="AA470" t="s">
        <v>44</v>
      </c>
      <c r="AB470" t="s">
        <v>44</v>
      </c>
      <c r="AC470" s="4"/>
      <c r="AD470" s="4"/>
      <c r="AE470" s="2">
        <v>0</v>
      </c>
      <c r="AF470" s="4">
        <v>0</v>
      </c>
      <c r="AG470" s="2">
        <v>0.05</v>
      </c>
      <c r="AH470" s="2">
        <v>240720</v>
      </c>
      <c r="AI470" s="2">
        <v>0</v>
      </c>
      <c r="AJ470" s="5">
        <v>44673</v>
      </c>
      <c r="AK470" t="s">
        <v>11658</v>
      </c>
      <c r="AL470" s="2">
        <v>0</v>
      </c>
      <c r="AM470" s="2">
        <v>0</v>
      </c>
      <c r="AN470" s="2">
        <v>0</v>
      </c>
      <c r="AO470" t="s">
        <v>44</v>
      </c>
      <c r="AP470" t="s">
        <v>12498</v>
      </c>
      <c r="AQ470" t="s">
        <v>5570</v>
      </c>
    </row>
    <row r="471" spans="1:43" x14ac:dyDescent="0.2">
      <c r="A471" t="s">
        <v>11657</v>
      </c>
      <c r="B471" t="s">
        <v>11037</v>
      </c>
      <c r="C471" t="s">
        <v>11364</v>
      </c>
      <c r="D471" t="s">
        <v>5973</v>
      </c>
      <c r="E471" t="s">
        <v>4873</v>
      </c>
      <c r="F471" t="s">
        <v>5973</v>
      </c>
      <c r="G471" s="1">
        <v>17568</v>
      </c>
      <c r="H471" s="2">
        <v>2358497.2000000002</v>
      </c>
      <c r="I471" s="2">
        <v>2558779.2000000002</v>
      </c>
      <c r="J471" s="2">
        <v>0</v>
      </c>
      <c r="K471" s="2">
        <v>8784</v>
      </c>
      <c r="L471" s="2">
        <v>2567563.2000000002</v>
      </c>
      <c r="M471" s="3">
        <v>14565</v>
      </c>
      <c r="N471" s="4">
        <v>5.8414799999999996E-3</v>
      </c>
      <c r="O471" s="5" t="s">
        <v>44</v>
      </c>
      <c r="P471" s="5" t="s">
        <v>44</v>
      </c>
      <c r="Q471" s="1"/>
      <c r="R471" s="2"/>
      <c r="S471" s="6"/>
      <c r="T471" t="s">
        <v>10902</v>
      </c>
      <c r="U471" t="s">
        <v>10902</v>
      </c>
      <c r="V471" t="s">
        <v>10902</v>
      </c>
      <c r="W471" t="s">
        <v>43</v>
      </c>
      <c r="X471" t="s">
        <v>11369</v>
      </c>
      <c r="Y471" t="s">
        <v>11367</v>
      </c>
      <c r="Z471" t="s">
        <v>11364</v>
      </c>
      <c r="AA471" t="s">
        <v>44</v>
      </c>
      <c r="AB471" t="s">
        <v>44</v>
      </c>
      <c r="AC471" s="4"/>
      <c r="AD471" s="4"/>
      <c r="AE471" s="2">
        <v>0</v>
      </c>
      <c r="AF471" s="4">
        <v>0</v>
      </c>
      <c r="AG471" s="2">
        <v>0.48</v>
      </c>
      <c r="AH471" s="2">
        <v>2567563.2000000002</v>
      </c>
      <c r="AI471" s="2">
        <v>0.01</v>
      </c>
      <c r="AJ471" s="5">
        <v>44673</v>
      </c>
      <c r="AK471" t="s">
        <v>11658</v>
      </c>
      <c r="AL471" s="2">
        <v>0</v>
      </c>
      <c r="AM471" s="2">
        <v>0</v>
      </c>
      <c r="AN471" s="2">
        <v>0</v>
      </c>
      <c r="AO471" t="s">
        <v>44</v>
      </c>
      <c r="AP471" t="s">
        <v>11723</v>
      </c>
      <c r="AQ471" t="s">
        <v>4873</v>
      </c>
    </row>
    <row r="472" spans="1:43" x14ac:dyDescent="0.2">
      <c r="A472" t="s">
        <v>11657</v>
      </c>
      <c r="B472" t="s">
        <v>11037</v>
      </c>
      <c r="C472" t="s">
        <v>11364</v>
      </c>
      <c r="D472" t="s">
        <v>6443</v>
      </c>
      <c r="E472" t="s">
        <v>5186</v>
      </c>
      <c r="F472" t="s">
        <v>6443</v>
      </c>
      <c r="G472" s="1">
        <v>4930</v>
      </c>
      <c r="H472" s="2">
        <v>246727.77</v>
      </c>
      <c r="I472" s="2">
        <v>217708.79999999999</v>
      </c>
      <c r="J472" s="2">
        <v>0</v>
      </c>
      <c r="K472" s="2">
        <v>0</v>
      </c>
      <c r="L472" s="2">
        <v>217708.79999999999</v>
      </c>
      <c r="M472" s="3">
        <v>4416</v>
      </c>
      <c r="N472" s="4">
        <v>4.9531E-4</v>
      </c>
      <c r="O472" s="5" t="s">
        <v>44</v>
      </c>
      <c r="P472" s="5" t="s">
        <v>44</v>
      </c>
      <c r="Q472" s="1"/>
      <c r="R472" s="2"/>
      <c r="S472" s="6"/>
      <c r="T472" t="s">
        <v>10902</v>
      </c>
      <c r="U472" t="s">
        <v>10902</v>
      </c>
      <c r="V472" t="s">
        <v>10902</v>
      </c>
      <c r="W472" t="s">
        <v>43</v>
      </c>
      <c r="X472" t="s">
        <v>11366</v>
      </c>
      <c r="Y472" t="s">
        <v>11367</v>
      </c>
      <c r="Z472" t="s">
        <v>11364</v>
      </c>
      <c r="AA472" t="s">
        <v>44</v>
      </c>
      <c r="AB472" t="s">
        <v>44</v>
      </c>
      <c r="AC472" s="4"/>
      <c r="AD472" s="4"/>
      <c r="AE472" s="2">
        <v>0</v>
      </c>
      <c r="AF472" s="4">
        <v>0</v>
      </c>
      <c r="AG472" s="2">
        <v>0.04</v>
      </c>
      <c r="AH472" s="2">
        <v>217708.79999999999</v>
      </c>
      <c r="AI472" s="2">
        <v>0</v>
      </c>
      <c r="AJ472" s="5">
        <v>44673</v>
      </c>
      <c r="AK472" t="s">
        <v>11658</v>
      </c>
      <c r="AL472" s="2">
        <v>0</v>
      </c>
      <c r="AM472" s="2">
        <v>0</v>
      </c>
      <c r="AN472" s="2">
        <v>0</v>
      </c>
      <c r="AO472" t="s">
        <v>44</v>
      </c>
      <c r="AP472" t="s">
        <v>11373</v>
      </c>
      <c r="AQ472" t="s">
        <v>5186</v>
      </c>
    </row>
    <row r="473" spans="1:43" x14ac:dyDescent="0.2">
      <c r="A473" t="s">
        <v>11657</v>
      </c>
      <c r="B473" t="s">
        <v>11037</v>
      </c>
      <c r="C473" t="s">
        <v>11364</v>
      </c>
      <c r="D473" t="s">
        <v>11374</v>
      </c>
      <c r="E473" t="s">
        <v>1786</v>
      </c>
      <c r="F473" t="s">
        <v>11374</v>
      </c>
      <c r="G473" s="1">
        <v>11033</v>
      </c>
      <c r="H473" s="2">
        <v>381348.73</v>
      </c>
      <c r="I473" s="2">
        <v>297891</v>
      </c>
      <c r="J473" s="2">
        <v>0</v>
      </c>
      <c r="K473" s="2">
        <v>0</v>
      </c>
      <c r="L473" s="2">
        <v>297891</v>
      </c>
      <c r="M473" s="3">
        <v>2700</v>
      </c>
      <c r="N473" s="4">
        <v>6.7772999999999998E-4</v>
      </c>
      <c r="O473" s="5" t="s">
        <v>44</v>
      </c>
      <c r="P473" s="5" t="s">
        <v>44</v>
      </c>
      <c r="Q473" s="1"/>
      <c r="R473" s="2"/>
      <c r="S473" s="6"/>
      <c r="T473" t="s">
        <v>10902</v>
      </c>
      <c r="U473" t="s">
        <v>10902</v>
      </c>
      <c r="V473" t="s">
        <v>10902</v>
      </c>
      <c r="W473" t="s">
        <v>43</v>
      </c>
      <c r="X473" t="s">
        <v>11375</v>
      </c>
      <c r="Y473" t="s">
        <v>11367</v>
      </c>
      <c r="Z473" t="s">
        <v>11364</v>
      </c>
      <c r="AA473" t="s">
        <v>44</v>
      </c>
      <c r="AB473" t="s">
        <v>44</v>
      </c>
      <c r="AC473" s="4"/>
      <c r="AD473" s="4"/>
      <c r="AE473" s="2">
        <v>0</v>
      </c>
      <c r="AF473" s="4">
        <v>0</v>
      </c>
      <c r="AG473" s="2">
        <v>0.06</v>
      </c>
      <c r="AH473" s="2">
        <v>297891</v>
      </c>
      <c r="AI473" s="2">
        <v>0</v>
      </c>
      <c r="AJ473" s="5">
        <v>44673</v>
      </c>
      <c r="AK473" t="s">
        <v>11658</v>
      </c>
      <c r="AL473" s="2">
        <v>0</v>
      </c>
      <c r="AM473" s="2">
        <v>0</v>
      </c>
      <c r="AN473" s="2">
        <v>0</v>
      </c>
      <c r="AO473" t="s">
        <v>44</v>
      </c>
      <c r="AP473" t="s">
        <v>11376</v>
      </c>
      <c r="AQ473" t="s">
        <v>1786</v>
      </c>
    </row>
    <row r="474" spans="1:43" x14ac:dyDescent="0.2">
      <c r="A474" t="s">
        <v>11657</v>
      </c>
      <c r="B474" t="s">
        <v>11037</v>
      </c>
      <c r="C474" t="s">
        <v>11364</v>
      </c>
      <c r="D474" t="s">
        <v>11377</v>
      </c>
      <c r="E474" t="s">
        <v>5599</v>
      </c>
      <c r="F474" t="s">
        <v>11378</v>
      </c>
      <c r="G474" s="1">
        <v>523</v>
      </c>
      <c r="H474" s="2">
        <v>245739.24</v>
      </c>
      <c r="I474" s="2">
        <v>282780.87</v>
      </c>
      <c r="J474" s="2">
        <v>0</v>
      </c>
      <c r="K474" s="2">
        <v>0</v>
      </c>
      <c r="L474" s="2">
        <v>282780.87</v>
      </c>
      <c r="M474" s="3">
        <v>54069</v>
      </c>
      <c r="N474" s="4">
        <v>6.4336000000000005E-4</v>
      </c>
      <c r="O474" s="5" t="s">
        <v>44</v>
      </c>
      <c r="P474" s="5" t="s">
        <v>44</v>
      </c>
      <c r="Q474" s="1"/>
      <c r="R474" s="2"/>
      <c r="S474" s="6"/>
      <c r="T474" t="s">
        <v>10902</v>
      </c>
      <c r="U474" t="s">
        <v>10902</v>
      </c>
      <c r="V474" t="s">
        <v>10902</v>
      </c>
      <c r="W474" t="s">
        <v>43</v>
      </c>
      <c r="X474" t="s">
        <v>11375</v>
      </c>
      <c r="Y474" t="s">
        <v>11367</v>
      </c>
      <c r="Z474" t="s">
        <v>11364</v>
      </c>
      <c r="AA474" t="s">
        <v>44</v>
      </c>
      <c r="AB474" t="s">
        <v>44</v>
      </c>
      <c r="AC474" s="4"/>
      <c r="AD474" s="4"/>
      <c r="AE474" s="2">
        <v>0</v>
      </c>
      <c r="AF474" s="4">
        <v>0</v>
      </c>
      <c r="AG474" s="2">
        <v>0.05</v>
      </c>
      <c r="AH474" s="2">
        <v>282780.87</v>
      </c>
      <c r="AI474" s="2">
        <v>0</v>
      </c>
      <c r="AJ474" s="5">
        <v>44673</v>
      </c>
      <c r="AK474" t="s">
        <v>11658</v>
      </c>
      <c r="AL474" s="2">
        <v>0</v>
      </c>
      <c r="AM474" s="2">
        <v>0</v>
      </c>
      <c r="AN474" s="2">
        <v>0</v>
      </c>
      <c r="AO474" t="s">
        <v>44</v>
      </c>
      <c r="AP474" t="s">
        <v>11379</v>
      </c>
      <c r="AQ474" t="s">
        <v>5599</v>
      </c>
    </row>
    <row r="475" spans="1:43" x14ac:dyDescent="0.2">
      <c r="A475" t="s">
        <v>11657</v>
      </c>
      <c r="B475" t="s">
        <v>11037</v>
      </c>
      <c r="C475" t="s">
        <v>11364</v>
      </c>
      <c r="D475" t="s">
        <v>11724</v>
      </c>
      <c r="E475" t="s">
        <v>4782</v>
      </c>
      <c r="F475" t="s">
        <v>11724</v>
      </c>
      <c r="G475" s="1">
        <v>11381</v>
      </c>
      <c r="H475" s="2">
        <v>2247543.9500000002</v>
      </c>
      <c r="I475" s="2">
        <v>2510420.98</v>
      </c>
      <c r="J475" s="2">
        <v>0</v>
      </c>
      <c r="K475" s="2">
        <v>0</v>
      </c>
      <c r="L475" s="2">
        <v>2510420.98</v>
      </c>
      <c r="M475" s="3">
        <v>22058</v>
      </c>
      <c r="N475" s="4">
        <v>5.7114799999999997E-3</v>
      </c>
      <c r="O475" s="5" t="s">
        <v>44</v>
      </c>
      <c r="P475" s="5" t="s">
        <v>44</v>
      </c>
      <c r="Q475" s="1"/>
      <c r="R475" s="2"/>
      <c r="S475" s="6"/>
      <c r="T475" t="s">
        <v>10902</v>
      </c>
      <c r="U475" t="s">
        <v>10902</v>
      </c>
      <c r="V475" t="s">
        <v>10902</v>
      </c>
      <c r="W475" t="s">
        <v>43</v>
      </c>
      <c r="X475" t="s">
        <v>11725</v>
      </c>
      <c r="Y475" t="s">
        <v>11367</v>
      </c>
      <c r="Z475" t="s">
        <v>11364</v>
      </c>
      <c r="AA475" t="s">
        <v>44</v>
      </c>
      <c r="AB475" t="s">
        <v>44</v>
      </c>
      <c r="AC475" s="4"/>
      <c r="AD475" s="4"/>
      <c r="AE475" s="2">
        <v>0</v>
      </c>
      <c r="AF475" s="4">
        <v>0</v>
      </c>
      <c r="AG475" s="2">
        <v>0.47</v>
      </c>
      <c r="AH475" s="2">
        <v>2510420.98</v>
      </c>
      <c r="AI475" s="2">
        <v>0.01</v>
      </c>
      <c r="AJ475" s="5">
        <v>44673</v>
      </c>
      <c r="AK475" t="s">
        <v>11658</v>
      </c>
      <c r="AL475" s="2">
        <v>0</v>
      </c>
      <c r="AM475" s="2">
        <v>0</v>
      </c>
      <c r="AN475" s="2">
        <v>0</v>
      </c>
      <c r="AO475" t="s">
        <v>44</v>
      </c>
      <c r="AP475" t="s">
        <v>11726</v>
      </c>
      <c r="AQ475" t="s">
        <v>4782</v>
      </c>
    </row>
    <row r="476" spans="1:43" x14ac:dyDescent="0.2">
      <c r="A476" t="s">
        <v>11657</v>
      </c>
      <c r="B476" t="s">
        <v>11037</v>
      </c>
      <c r="C476" t="s">
        <v>11727</v>
      </c>
      <c r="D476" t="s">
        <v>11728</v>
      </c>
      <c r="E476" t="s">
        <v>4855</v>
      </c>
      <c r="F476" t="s">
        <v>11728</v>
      </c>
      <c r="G476" s="1">
        <v>6691</v>
      </c>
      <c r="H476" s="2">
        <v>15779933.52</v>
      </c>
      <c r="I476" s="2">
        <v>10085210.48</v>
      </c>
      <c r="J476" s="2">
        <v>0</v>
      </c>
      <c r="K476" s="2">
        <v>0</v>
      </c>
      <c r="L476" s="2">
        <v>10085210.48</v>
      </c>
      <c r="M476" s="3">
        <v>150728</v>
      </c>
      <c r="N476" s="4">
        <v>2.294494E-2</v>
      </c>
      <c r="O476" s="5" t="s">
        <v>44</v>
      </c>
      <c r="P476" s="5" t="s">
        <v>44</v>
      </c>
      <c r="Q476" s="1"/>
      <c r="R476" s="2"/>
      <c r="S476" s="6"/>
      <c r="T476" t="s">
        <v>10902</v>
      </c>
      <c r="U476" t="s">
        <v>10902</v>
      </c>
      <c r="V476" t="s">
        <v>10902</v>
      </c>
      <c r="W476" t="s">
        <v>43</v>
      </c>
      <c r="X476" t="s">
        <v>11729</v>
      </c>
      <c r="Y476" t="s">
        <v>11727</v>
      </c>
      <c r="Z476" t="s">
        <v>11727</v>
      </c>
      <c r="AA476" t="s">
        <v>44</v>
      </c>
      <c r="AB476" t="s">
        <v>44</v>
      </c>
      <c r="AC476" s="4"/>
      <c r="AD476" s="4"/>
      <c r="AE476" s="2">
        <v>0</v>
      </c>
      <c r="AF476" s="4">
        <v>0</v>
      </c>
      <c r="AG476" s="2">
        <v>1.9</v>
      </c>
      <c r="AH476" s="2">
        <v>10085210.48</v>
      </c>
      <c r="AI476" s="2">
        <v>0.02</v>
      </c>
      <c r="AJ476" s="5">
        <v>44673</v>
      </c>
      <c r="AK476" t="s">
        <v>11658</v>
      </c>
      <c r="AL476" s="2">
        <v>0</v>
      </c>
      <c r="AM476" s="2">
        <v>0</v>
      </c>
      <c r="AN476" s="2">
        <v>0</v>
      </c>
      <c r="AO476" t="s">
        <v>44</v>
      </c>
      <c r="AP476" t="s">
        <v>11730</v>
      </c>
      <c r="AQ476" t="s">
        <v>4855</v>
      </c>
    </row>
    <row r="477" spans="1:43" x14ac:dyDescent="0.2">
      <c r="A477" t="s">
        <v>11657</v>
      </c>
      <c r="B477" t="s">
        <v>11037</v>
      </c>
      <c r="C477" t="s">
        <v>11727</v>
      </c>
      <c r="D477" t="s">
        <v>11731</v>
      </c>
      <c r="E477" t="s">
        <v>2068</v>
      </c>
      <c r="F477" t="s">
        <v>11731</v>
      </c>
      <c r="G477" s="1">
        <v>7209</v>
      </c>
      <c r="H477" s="2">
        <v>8571005.9800000004</v>
      </c>
      <c r="I477" s="2">
        <v>5323486.05</v>
      </c>
      <c r="J477" s="2">
        <v>0</v>
      </c>
      <c r="K477" s="2">
        <v>0</v>
      </c>
      <c r="L477" s="2">
        <v>5323486.05</v>
      </c>
      <c r="M477" s="3">
        <v>73845</v>
      </c>
      <c r="N477" s="4">
        <v>1.2111500000000001E-2</v>
      </c>
      <c r="O477" s="5" t="s">
        <v>44</v>
      </c>
      <c r="P477" s="5" t="s">
        <v>44</v>
      </c>
      <c r="Q477" s="1"/>
      <c r="R477" s="2"/>
      <c r="S477" s="6"/>
      <c r="T477" t="s">
        <v>10902</v>
      </c>
      <c r="U477" t="s">
        <v>10902</v>
      </c>
      <c r="V477" t="s">
        <v>10902</v>
      </c>
      <c r="W477" t="s">
        <v>43</v>
      </c>
      <c r="X477" t="s">
        <v>11729</v>
      </c>
      <c r="Y477" t="s">
        <v>11727</v>
      </c>
      <c r="Z477" t="s">
        <v>11727</v>
      </c>
      <c r="AA477" t="s">
        <v>44</v>
      </c>
      <c r="AB477" t="s">
        <v>44</v>
      </c>
      <c r="AC477" s="4"/>
      <c r="AD477" s="4"/>
      <c r="AE477" s="2">
        <v>0</v>
      </c>
      <c r="AF477" s="4">
        <v>0</v>
      </c>
      <c r="AG477" s="2">
        <v>1</v>
      </c>
      <c r="AH477" s="2">
        <v>5323486.05</v>
      </c>
      <c r="AI477" s="2">
        <v>0.01</v>
      </c>
      <c r="AJ477" s="5">
        <v>44673</v>
      </c>
      <c r="AK477" t="s">
        <v>11658</v>
      </c>
      <c r="AL477" s="2">
        <v>0</v>
      </c>
      <c r="AM477" s="2">
        <v>0</v>
      </c>
      <c r="AN477" s="2">
        <v>0</v>
      </c>
      <c r="AO477" t="s">
        <v>44</v>
      </c>
      <c r="AP477" t="s">
        <v>2073</v>
      </c>
      <c r="AQ477" t="s">
        <v>2068</v>
      </c>
    </row>
    <row r="478" spans="1:43" x14ac:dyDescent="0.2">
      <c r="A478" t="s">
        <v>11657</v>
      </c>
      <c r="B478" t="s">
        <v>11037</v>
      </c>
      <c r="C478" t="s">
        <v>11380</v>
      </c>
      <c r="D478" t="s">
        <v>5901</v>
      </c>
      <c r="E478" t="s">
        <v>4841</v>
      </c>
      <c r="F478" t="s">
        <v>5901</v>
      </c>
      <c r="G478" s="1">
        <v>56097</v>
      </c>
      <c r="H478" s="2">
        <v>7755143.21</v>
      </c>
      <c r="I478" s="2">
        <v>9704781</v>
      </c>
      <c r="J478" s="2">
        <v>0</v>
      </c>
      <c r="K478" s="2">
        <v>0</v>
      </c>
      <c r="L478" s="2">
        <v>9704781</v>
      </c>
      <c r="M478" s="3">
        <v>17300</v>
      </c>
      <c r="N478" s="4">
        <v>2.2079419999999999E-2</v>
      </c>
      <c r="O478" s="5" t="s">
        <v>44</v>
      </c>
      <c r="P478" s="5" t="s">
        <v>44</v>
      </c>
      <c r="Q478" s="1"/>
      <c r="R478" s="2"/>
      <c r="S478" s="6"/>
      <c r="T478" t="s">
        <v>10902</v>
      </c>
      <c r="U478" t="s">
        <v>10902</v>
      </c>
      <c r="V478" t="s">
        <v>10902</v>
      </c>
      <c r="W478" t="s">
        <v>43</v>
      </c>
      <c r="X478" t="s">
        <v>11732</v>
      </c>
      <c r="Y478" t="s">
        <v>11380</v>
      </c>
      <c r="Z478" t="s">
        <v>11380</v>
      </c>
      <c r="AA478" t="s">
        <v>44</v>
      </c>
      <c r="AB478" t="s">
        <v>44</v>
      </c>
      <c r="AC478" s="4"/>
      <c r="AD478" s="4"/>
      <c r="AE478" s="2">
        <v>0</v>
      </c>
      <c r="AF478" s="4">
        <v>0</v>
      </c>
      <c r="AG478" s="2">
        <v>1.83</v>
      </c>
      <c r="AH478" s="2">
        <v>9704781</v>
      </c>
      <c r="AI478" s="2">
        <v>0.02</v>
      </c>
      <c r="AJ478" s="5">
        <v>44673</v>
      </c>
      <c r="AK478" t="s">
        <v>11658</v>
      </c>
      <c r="AL478" s="2">
        <v>0</v>
      </c>
      <c r="AM478" s="2">
        <v>0</v>
      </c>
      <c r="AN478" s="2">
        <v>0</v>
      </c>
      <c r="AO478" t="s">
        <v>44</v>
      </c>
      <c r="AP478" t="s">
        <v>11733</v>
      </c>
      <c r="AQ478" t="s">
        <v>4841</v>
      </c>
    </row>
    <row r="479" spans="1:43" x14ac:dyDescent="0.2">
      <c r="A479" t="s">
        <v>11657</v>
      </c>
      <c r="B479" t="s">
        <v>11037</v>
      </c>
      <c r="C479" t="s">
        <v>11380</v>
      </c>
      <c r="D479" t="s">
        <v>11381</v>
      </c>
      <c r="E479" t="s">
        <v>5221</v>
      </c>
      <c r="F479" t="s">
        <v>11381</v>
      </c>
      <c r="G479" s="1">
        <v>8418</v>
      </c>
      <c r="H479" s="2">
        <v>359151.73</v>
      </c>
      <c r="I479" s="2">
        <v>374601</v>
      </c>
      <c r="J479" s="2">
        <v>0</v>
      </c>
      <c r="K479" s="2">
        <v>0</v>
      </c>
      <c r="L479" s="2">
        <v>374601</v>
      </c>
      <c r="M479" s="3">
        <v>4450</v>
      </c>
      <c r="N479" s="4">
        <v>8.5225999999999998E-4</v>
      </c>
      <c r="O479" s="5" t="s">
        <v>44</v>
      </c>
      <c r="P479" s="5" t="s">
        <v>44</v>
      </c>
      <c r="Q479" s="1"/>
      <c r="R479" s="2"/>
      <c r="S479" s="6"/>
      <c r="T479" t="s">
        <v>10902</v>
      </c>
      <c r="U479" t="s">
        <v>10902</v>
      </c>
      <c r="V479" t="s">
        <v>10902</v>
      </c>
      <c r="W479" t="s">
        <v>43</v>
      </c>
      <c r="X479" t="s">
        <v>11382</v>
      </c>
      <c r="Y479" t="s">
        <v>11380</v>
      </c>
      <c r="Z479" t="s">
        <v>11380</v>
      </c>
      <c r="AA479" t="s">
        <v>44</v>
      </c>
      <c r="AB479" t="s">
        <v>44</v>
      </c>
      <c r="AC479" s="4"/>
      <c r="AD479" s="4"/>
      <c r="AE479" s="2">
        <v>0</v>
      </c>
      <c r="AF479" s="4">
        <v>0</v>
      </c>
      <c r="AG479" s="2">
        <v>7.0000000000000007E-2</v>
      </c>
      <c r="AH479" s="2">
        <v>374601</v>
      </c>
      <c r="AI479" s="2">
        <v>0</v>
      </c>
      <c r="AJ479" s="5">
        <v>44673</v>
      </c>
      <c r="AK479" t="s">
        <v>11658</v>
      </c>
      <c r="AL479" s="2">
        <v>0</v>
      </c>
      <c r="AM479" s="2">
        <v>0</v>
      </c>
      <c r="AN479" s="2">
        <v>0</v>
      </c>
      <c r="AO479" t="s">
        <v>44</v>
      </c>
      <c r="AP479" t="s">
        <v>11383</v>
      </c>
      <c r="AQ479" t="s">
        <v>5221</v>
      </c>
    </row>
    <row r="480" spans="1:43" x14ac:dyDescent="0.2">
      <c r="A480" t="s">
        <v>11657</v>
      </c>
      <c r="B480" t="s">
        <v>11037</v>
      </c>
      <c r="C480" t="s">
        <v>11380</v>
      </c>
      <c r="D480" t="s">
        <v>11734</v>
      </c>
      <c r="E480" t="s">
        <v>1469</v>
      </c>
      <c r="F480" t="s">
        <v>11734</v>
      </c>
      <c r="G480" s="1">
        <v>18627</v>
      </c>
      <c r="H480" s="2">
        <v>2690861.69</v>
      </c>
      <c r="I480" s="2">
        <v>2799824.37</v>
      </c>
      <c r="J480" s="2">
        <v>0</v>
      </c>
      <c r="K480" s="2">
        <v>0</v>
      </c>
      <c r="L480" s="2">
        <v>2799824.37</v>
      </c>
      <c r="M480" s="3">
        <v>15031</v>
      </c>
      <c r="N480" s="4">
        <v>6.3699000000000004E-3</v>
      </c>
      <c r="O480" s="5" t="s">
        <v>44</v>
      </c>
      <c r="P480" s="5" t="s">
        <v>44</v>
      </c>
      <c r="Q480" s="1"/>
      <c r="R480" s="2"/>
      <c r="S480" s="6"/>
      <c r="T480" t="s">
        <v>10902</v>
      </c>
      <c r="U480" t="s">
        <v>10902</v>
      </c>
      <c r="V480" t="s">
        <v>10902</v>
      </c>
      <c r="W480" t="s">
        <v>43</v>
      </c>
      <c r="X480" t="s">
        <v>11732</v>
      </c>
      <c r="Y480" t="s">
        <v>11380</v>
      </c>
      <c r="Z480" t="s">
        <v>11380</v>
      </c>
      <c r="AA480" t="s">
        <v>44</v>
      </c>
      <c r="AB480" t="s">
        <v>44</v>
      </c>
      <c r="AC480" s="4"/>
      <c r="AD480" s="4"/>
      <c r="AE480" s="2">
        <v>0</v>
      </c>
      <c r="AF480" s="4">
        <v>0</v>
      </c>
      <c r="AG480" s="2">
        <v>0.53</v>
      </c>
      <c r="AH480" s="2">
        <v>2799824.37</v>
      </c>
      <c r="AI480" s="2">
        <v>0.01</v>
      </c>
      <c r="AJ480" s="5">
        <v>44673</v>
      </c>
      <c r="AK480" t="s">
        <v>11658</v>
      </c>
      <c r="AL480" s="2">
        <v>0</v>
      </c>
      <c r="AM480" s="2">
        <v>0</v>
      </c>
      <c r="AN480" s="2">
        <v>0</v>
      </c>
      <c r="AO480" t="s">
        <v>44</v>
      </c>
      <c r="AP480" t="s">
        <v>11735</v>
      </c>
      <c r="AQ480" t="s">
        <v>1469</v>
      </c>
    </row>
    <row r="481" spans="1:43" x14ac:dyDescent="0.2">
      <c r="A481" t="s">
        <v>11657</v>
      </c>
      <c r="B481" t="s">
        <v>11037</v>
      </c>
      <c r="C481" t="s">
        <v>11030</v>
      </c>
      <c r="D481" t="s">
        <v>11741</v>
      </c>
      <c r="E481" t="s">
        <v>11742</v>
      </c>
      <c r="F481" t="s">
        <v>11741</v>
      </c>
      <c r="G481" s="1">
        <v>79583</v>
      </c>
      <c r="H481" s="2">
        <v>0.01</v>
      </c>
      <c r="I481" s="2">
        <v>0</v>
      </c>
      <c r="J481" s="2">
        <v>0</v>
      </c>
      <c r="K481" s="2">
        <v>0</v>
      </c>
      <c r="L481" s="2">
        <v>0</v>
      </c>
      <c r="M481" s="3">
        <v>0</v>
      </c>
      <c r="N481" s="4">
        <v>0</v>
      </c>
      <c r="O481" s="5" t="s">
        <v>44</v>
      </c>
      <c r="P481" s="5" t="s">
        <v>44</v>
      </c>
      <c r="Q481" s="1"/>
      <c r="R481" s="2"/>
      <c r="S481" s="6"/>
      <c r="T481" t="s">
        <v>10902</v>
      </c>
      <c r="U481" t="s">
        <v>10902</v>
      </c>
      <c r="V481" t="s">
        <v>10902</v>
      </c>
      <c r="W481" t="s">
        <v>43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s="4"/>
      <c r="AD481" s="4"/>
      <c r="AE481" s="2">
        <v>0</v>
      </c>
      <c r="AF481" s="4">
        <v>0</v>
      </c>
      <c r="AG481" s="2">
        <v>0</v>
      </c>
      <c r="AH481" s="2">
        <v>0</v>
      </c>
      <c r="AI481" s="2">
        <v>0</v>
      </c>
      <c r="AJ481" s="5">
        <v>44673</v>
      </c>
      <c r="AK481" t="s">
        <v>11658</v>
      </c>
      <c r="AL481" s="2">
        <v>0</v>
      </c>
      <c r="AM481" s="2">
        <v>0</v>
      </c>
      <c r="AN481" s="2">
        <v>0</v>
      </c>
      <c r="AO481" t="s">
        <v>44</v>
      </c>
      <c r="AP481" t="s">
        <v>12256</v>
      </c>
      <c r="AQ481" t="s">
        <v>11742</v>
      </c>
    </row>
    <row r="482" spans="1:43" x14ac:dyDescent="0.2">
      <c r="A482" t="s">
        <v>11657</v>
      </c>
      <c r="B482" t="s">
        <v>11037</v>
      </c>
      <c r="C482" t="s">
        <v>11743</v>
      </c>
      <c r="D482" t="s">
        <v>11744</v>
      </c>
      <c r="E482" t="s">
        <v>11745</v>
      </c>
      <c r="F482" t="s">
        <v>11746</v>
      </c>
      <c r="G482" s="1">
        <v>1611</v>
      </c>
      <c r="H482" s="2">
        <v>279802.90999999997</v>
      </c>
      <c r="I482" s="2">
        <v>262544.67</v>
      </c>
      <c r="J482" s="2">
        <v>0</v>
      </c>
      <c r="K482" s="2">
        <v>0</v>
      </c>
      <c r="L482" s="2">
        <v>262544.67</v>
      </c>
      <c r="M482" s="3">
        <v>16297</v>
      </c>
      <c r="N482" s="4">
        <v>5.9732000000000003E-4</v>
      </c>
      <c r="O482" s="5" t="s">
        <v>44</v>
      </c>
      <c r="P482" s="5" t="s">
        <v>44</v>
      </c>
      <c r="Q482" s="1"/>
      <c r="R482" s="2"/>
      <c r="S482" s="6"/>
      <c r="T482" t="s">
        <v>10902</v>
      </c>
      <c r="U482" t="s">
        <v>10902</v>
      </c>
      <c r="V482" t="s">
        <v>10902</v>
      </c>
      <c r="W482" t="s">
        <v>43</v>
      </c>
      <c r="X482" t="s">
        <v>11747</v>
      </c>
      <c r="Y482" t="s">
        <v>11743</v>
      </c>
      <c r="Z482" t="s">
        <v>11743</v>
      </c>
      <c r="AA482" t="s">
        <v>44</v>
      </c>
      <c r="AB482" t="s">
        <v>44</v>
      </c>
      <c r="AC482" s="4"/>
      <c r="AD482" s="4"/>
      <c r="AE482" s="2">
        <v>0</v>
      </c>
      <c r="AF482" s="4">
        <v>0</v>
      </c>
      <c r="AG482" s="2">
        <v>0.05</v>
      </c>
      <c r="AH482" s="2">
        <v>262544.67</v>
      </c>
      <c r="AI482" s="2">
        <v>0</v>
      </c>
      <c r="AJ482" s="5">
        <v>44673</v>
      </c>
      <c r="AK482" t="s">
        <v>11658</v>
      </c>
      <c r="AL482" s="2">
        <v>0</v>
      </c>
      <c r="AM482" s="2">
        <v>0</v>
      </c>
      <c r="AN482" s="2">
        <v>0</v>
      </c>
      <c r="AO482" t="s">
        <v>44</v>
      </c>
      <c r="AP482" t="s">
        <v>11748</v>
      </c>
      <c r="AQ482" t="s">
        <v>11745</v>
      </c>
    </row>
    <row r="483" spans="1:43" x14ac:dyDescent="0.2">
      <c r="A483" t="s">
        <v>11657</v>
      </c>
      <c r="B483" t="s">
        <v>10951</v>
      </c>
      <c r="C483" t="s">
        <v>10952</v>
      </c>
      <c r="D483" t="s">
        <v>11738</v>
      </c>
      <c r="E483" t="s">
        <v>11739</v>
      </c>
      <c r="F483" t="s">
        <v>11738</v>
      </c>
      <c r="G483" s="1">
        <v>488000</v>
      </c>
      <c r="H483" s="2">
        <v>0.05</v>
      </c>
      <c r="I483" s="2">
        <v>0</v>
      </c>
      <c r="J483" s="2">
        <v>0</v>
      </c>
      <c r="K483" s="2">
        <v>0</v>
      </c>
      <c r="L483" s="2">
        <v>0</v>
      </c>
      <c r="M483" s="3">
        <v>0</v>
      </c>
      <c r="N483" s="4">
        <v>0</v>
      </c>
      <c r="O483" s="5" t="s">
        <v>44</v>
      </c>
      <c r="P483" s="5" t="s">
        <v>44</v>
      </c>
      <c r="Q483" s="1"/>
      <c r="R483" s="2"/>
      <c r="S483" s="6"/>
      <c r="T483" t="s">
        <v>10902</v>
      </c>
      <c r="U483" t="s">
        <v>10953</v>
      </c>
      <c r="V483" t="s">
        <v>10902</v>
      </c>
      <c r="W483" t="s">
        <v>43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s="4"/>
      <c r="AD483" s="4"/>
      <c r="AE483" s="2">
        <v>0</v>
      </c>
      <c r="AF483" s="4">
        <v>0</v>
      </c>
      <c r="AG483" s="2">
        <v>0</v>
      </c>
      <c r="AH483" s="2">
        <v>0</v>
      </c>
      <c r="AI483" s="2">
        <v>0</v>
      </c>
      <c r="AJ483" s="5">
        <v>44673</v>
      </c>
      <c r="AK483" t="s">
        <v>11658</v>
      </c>
      <c r="AL483" s="2">
        <v>0</v>
      </c>
      <c r="AM483" s="2">
        <v>0</v>
      </c>
      <c r="AN483" s="2">
        <v>0</v>
      </c>
      <c r="AO483" t="s">
        <v>44</v>
      </c>
      <c r="AP483" t="s">
        <v>11740</v>
      </c>
      <c r="AQ483" t="s">
        <v>11739</v>
      </c>
    </row>
    <row r="484" spans="1:43" x14ac:dyDescent="0.2">
      <c r="A484" t="s">
        <v>11749</v>
      </c>
      <c r="B484" t="s">
        <v>45</v>
      </c>
      <c r="C484" t="s">
        <v>11000</v>
      </c>
      <c r="D484" t="s">
        <v>11268</v>
      </c>
      <c r="E484" t="s">
        <v>11269</v>
      </c>
      <c r="F484" t="s">
        <v>11268</v>
      </c>
      <c r="G484" s="1">
        <v>3925386.72</v>
      </c>
      <c r="H484" s="2">
        <v>3925386.72</v>
      </c>
      <c r="I484" s="2">
        <v>3925386.72</v>
      </c>
      <c r="J484" s="2">
        <v>12610.06</v>
      </c>
      <c r="K484" s="2">
        <v>0</v>
      </c>
      <c r="L484" s="2">
        <v>3937996.78</v>
      </c>
      <c r="M484" s="3">
        <v>4.617</v>
      </c>
      <c r="N484" s="4">
        <v>8.9593699999999995E-3</v>
      </c>
      <c r="O484" s="5" t="s">
        <v>44</v>
      </c>
      <c r="P484" s="5">
        <v>47848</v>
      </c>
      <c r="Q484" s="1">
        <v>4.617</v>
      </c>
      <c r="R484" s="2">
        <v>0.08</v>
      </c>
      <c r="S484" s="6"/>
      <c r="T484" t="s">
        <v>112</v>
      </c>
      <c r="U484" t="s">
        <v>46</v>
      </c>
      <c r="V484" t="s">
        <v>11270</v>
      </c>
      <c r="W484" t="s">
        <v>43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s="4">
        <v>4.7160921900000004</v>
      </c>
      <c r="AD484" s="4">
        <v>4.6171215200000004</v>
      </c>
      <c r="AE484" s="2">
        <v>4.72</v>
      </c>
      <c r="AF484" s="4">
        <v>4.6171215200000004</v>
      </c>
      <c r="AG484" s="2">
        <v>2.14</v>
      </c>
      <c r="AH484" s="2">
        <v>3937996.78</v>
      </c>
      <c r="AI484" s="2">
        <v>0.01</v>
      </c>
      <c r="AJ484" s="5">
        <v>44673</v>
      </c>
      <c r="AK484" t="s">
        <v>11750</v>
      </c>
      <c r="AL484" s="2">
        <v>4.66</v>
      </c>
      <c r="AM484" s="2">
        <v>4.62</v>
      </c>
      <c r="AN484" s="2">
        <v>0</v>
      </c>
      <c r="AO484" t="s">
        <v>44</v>
      </c>
      <c r="AP484" t="s">
        <v>44</v>
      </c>
      <c r="AQ484" t="s">
        <v>11269</v>
      </c>
    </row>
    <row r="485" spans="1:43" x14ac:dyDescent="0.2">
      <c r="A485" t="s">
        <v>11749</v>
      </c>
      <c r="B485" t="s">
        <v>45</v>
      </c>
      <c r="C485" t="s">
        <v>11000</v>
      </c>
      <c r="D485" t="s">
        <v>11271</v>
      </c>
      <c r="E485" t="s">
        <v>11272</v>
      </c>
      <c r="F485" t="s">
        <v>11271</v>
      </c>
      <c r="G485" s="1">
        <v>3720000</v>
      </c>
      <c r="H485" s="2">
        <v>3720000</v>
      </c>
      <c r="I485" s="2">
        <v>3720000</v>
      </c>
      <c r="J485" s="2">
        <v>11950.27</v>
      </c>
      <c r="K485" s="2">
        <v>0</v>
      </c>
      <c r="L485" s="2">
        <v>3731950.27</v>
      </c>
      <c r="M485" s="3">
        <v>4.617</v>
      </c>
      <c r="N485" s="4">
        <v>8.4905899999999992E-3</v>
      </c>
      <c r="O485" s="5" t="s">
        <v>44</v>
      </c>
      <c r="P485" s="5">
        <v>47848</v>
      </c>
      <c r="Q485" s="1">
        <v>4.617</v>
      </c>
      <c r="R485" s="2">
        <v>0.08</v>
      </c>
      <c r="S485" s="6"/>
      <c r="T485" t="s">
        <v>112</v>
      </c>
      <c r="U485" t="s">
        <v>46</v>
      </c>
      <c r="V485" t="s">
        <v>11270</v>
      </c>
      <c r="W485" t="s">
        <v>43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s="4">
        <v>4.7160921900000004</v>
      </c>
      <c r="AD485" s="4">
        <v>4.6171215200000004</v>
      </c>
      <c r="AE485" s="2">
        <v>4.72</v>
      </c>
      <c r="AF485" s="4">
        <v>4.6171215200000004</v>
      </c>
      <c r="AG485" s="2">
        <v>2.0299999999999998</v>
      </c>
      <c r="AH485" s="2">
        <v>3731950.27</v>
      </c>
      <c r="AI485" s="2">
        <v>0.01</v>
      </c>
      <c r="AJ485" s="5">
        <v>44673</v>
      </c>
      <c r="AK485" t="s">
        <v>11750</v>
      </c>
      <c r="AL485" s="2">
        <v>4.66</v>
      </c>
      <c r="AM485" s="2">
        <v>4.62</v>
      </c>
      <c r="AN485" s="2">
        <v>0</v>
      </c>
      <c r="AO485" t="s">
        <v>44</v>
      </c>
      <c r="AP485" t="s">
        <v>44</v>
      </c>
      <c r="AQ485" t="s">
        <v>11272</v>
      </c>
    </row>
    <row r="486" spans="1:43" x14ac:dyDescent="0.2">
      <c r="A486" t="s">
        <v>11749</v>
      </c>
      <c r="B486" t="s">
        <v>45</v>
      </c>
      <c r="C486" t="s">
        <v>11000</v>
      </c>
      <c r="D486" t="s">
        <v>11001</v>
      </c>
      <c r="E486" t="s">
        <v>11002</v>
      </c>
      <c r="F486" t="s">
        <v>11001</v>
      </c>
      <c r="G486" s="1">
        <v>22454404.289999999</v>
      </c>
      <c r="H486" s="2">
        <v>22454404.300000001</v>
      </c>
      <c r="I486" s="2">
        <v>22454404.309999999</v>
      </c>
      <c r="J486" s="2">
        <v>71602.2</v>
      </c>
      <c r="K486" s="2">
        <v>0</v>
      </c>
      <c r="L486" s="2">
        <v>22526006.510000002</v>
      </c>
      <c r="M486" s="3"/>
      <c r="N486" s="4">
        <v>5.1249089999999997E-2</v>
      </c>
      <c r="O486" s="5">
        <v>40756</v>
      </c>
      <c r="P486" s="5">
        <v>73020</v>
      </c>
      <c r="Q486" s="1">
        <v>0</v>
      </c>
      <c r="R486" s="2"/>
      <c r="S486" s="6"/>
      <c r="T486" t="s">
        <v>111</v>
      </c>
      <c r="U486" t="s">
        <v>11003</v>
      </c>
      <c r="V486" t="s">
        <v>46</v>
      </c>
      <c r="W486" t="s">
        <v>43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s="4"/>
      <c r="AD486" s="4"/>
      <c r="AE486" s="2">
        <v>0</v>
      </c>
      <c r="AF486" s="4">
        <v>0</v>
      </c>
      <c r="AG486" s="2">
        <v>12.23</v>
      </c>
      <c r="AH486" s="2">
        <v>22526006.510000002</v>
      </c>
      <c r="AI486" s="2">
        <v>0.05</v>
      </c>
      <c r="AJ486" s="5">
        <v>44673</v>
      </c>
      <c r="AK486" t="s">
        <v>11750</v>
      </c>
      <c r="AL486" s="2">
        <v>0</v>
      </c>
      <c r="AM486" s="2">
        <v>0</v>
      </c>
      <c r="AN486" s="2">
        <v>0</v>
      </c>
      <c r="AO486" t="s">
        <v>44</v>
      </c>
      <c r="AP486" t="s">
        <v>11004</v>
      </c>
      <c r="AQ486" t="s">
        <v>11002</v>
      </c>
    </row>
    <row r="487" spans="1:43" x14ac:dyDescent="0.2">
      <c r="A487" t="s">
        <v>11749</v>
      </c>
      <c r="B487" t="s">
        <v>45</v>
      </c>
      <c r="C487" t="s">
        <v>11144</v>
      </c>
      <c r="D487" t="s">
        <v>11145</v>
      </c>
      <c r="E487" t="s">
        <v>11146</v>
      </c>
      <c r="F487" t="s">
        <v>11147</v>
      </c>
      <c r="G487" s="1">
        <v>2976678</v>
      </c>
      <c r="H487" s="2">
        <v>2976678</v>
      </c>
      <c r="I487" s="2">
        <v>2976678</v>
      </c>
      <c r="J487" s="2">
        <v>7969.89</v>
      </c>
      <c r="K487" s="2">
        <v>0</v>
      </c>
      <c r="L487" s="2">
        <v>2984647.89</v>
      </c>
      <c r="M487" s="3">
        <v>6.88</v>
      </c>
      <c r="N487" s="4">
        <v>6.7904000000000003E-3</v>
      </c>
      <c r="O487" s="5" t="s">
        <v>44</v>
      </c>
      <c r="P487" s="5">
        <v>55153</v>
      </c>
      <c r="Q487" s="1">
        <v>6.88</v>
      </c>
      <c r="R487" s="2">
        <v>0.08</v>
      </c>
      <c r="S487" s="6">
        <v>2.6006750000000002E-3</v>
      </c>
      <c r="T487" t="s">
        <v>112</v>
      </c>
      <c r="U487" t="s">
        <v>46</v>
      </c>
      <c r="V487" t="s">
        <v>11148</v>
      </c>
      <c r="W487" t="s">
        <v>43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s="4"/>
      <c r="AD487" s="4"/>
      <c r="AE487" s="2">
        <v>0</v>
      </c>
      <c r="AF487" s="4">
        <v>0</v>
      </c>
      <c r="AG487" s="2">
        <v>1.62</v>
      </c>
      <c r="AH487" s="2">
        <v>2984647.89</v>
      </c>
      <c r="AI487" s="2">
        <v>0.01</v>
      </c>
      <c r="AJ487" s="5">
        <v>44673</v>
      </c>
      <c r="AK487" t="s">
        <v>11750</v>
      </c>
      <c r="AL487" s="2">
        <v>0</v>
      </c>
      <c r="AM487" s="2">
        <v>6.88</v>
      </c>
      <c r="AN487" s="2">
        <v>0</v>
      </c>
      <c r="AO487" t="s">
        <v>11146</v>
      </c>
      <c r="AP487" t="s">
        <v>44</v>
      </c>
      <c r="AQ487" t="s">
        <v>11146</v>
      </c>
    </row>
    <row r="488" spans="1:43" x14ac:dyDescent="0.2">
      <c r="A488" t="s">
        <v>11749</v>
      </c>
      <c r="B488" t="s">
        <v>45</v>
      </c>
      <c r="C488" t="s">
        <v>47</v>
      </c>
      <c r="D488" t="s">
        <v>48</v>
      </c>
      <c r="E488" t="s">
        <v>49</v>
      </c>
      <c r="F488" t="s">
        <v>50</v>
      </c>
      <c r="G488" s="1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3359.5</v>
      </c>
      <c r="M488" s="3"/>
      <c r="N488" s="4">
        <v>7.6399999999999997E-6</v>
      </c>
      <c r="O488" s="5" t="s">
        <v>44</v>
      </c>
      <c r="P488" s="5" t="s">
        <v>44</v>
      </c>
      <c r="Q488" s="1"/>
      <c r="R488" s="2">
        <v>0.08</v>
      </c>
      <c r="S488" s="6"/>
      <c r="T488" t="s">
        <v>45</v>
      </c>
      <c r="U488" t="s">
        <v>46</v>
      </c>
      <c r="V488" t="s">
        <v>44</v>
      </c>
      <c r="W488" t="s">
        <v>43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s="4">
        <v>5.1163389600000002</v>
      </c>
      <c r="AD488" s="4">
        <v>5.0001424999999999</v>
      </c>
      <c r="AE488" s="2">
        <v>5.12</v>
      </c>
      <c r="AF488" s="4">
        <v>5.0001424999999999</v>
      </c>
      <c r="AG488" s="2">
        <v>0</v>
      </c>
      <c r="AH488" s="2">
        <v>3359.5</v>
      </c>
      <c r="AI488" s="2">
        <v>0</v>
      </c>
      <c r="AJ488" s="5">
        <v>44673</v>
      </c>
      <c r="AK488" t="s">
        <v>11750</v>
      </c>
      <c r="AL488" s="2">
        <v>5.05</v>
      </c>
      <c r="AM488" s="2">
        <v>0</v>
      </c>
      <c r="AN488" s="2">
        <v>0</v>
      </c>
      <c r="AO488" t="s">
        <v>44</v>
      </c>
      <c r="AP488" t="s">
        <v>44</v>
      </c>
      <c r="AQ488" t="s">
        <v>44</v>
      </c>
    </row>
    <row r="489" spans="1:43" x14ac:dyDescent="0.2">
      <c r="A489" t="s">
        <v>11749</v>
      </c>
      <c r="B489" t="s">
        <v>45</v>
      </c>
      <c r="C489" t="s">
        <v>47</v>
      </c>
      <c r="D489" t="s">
        <v>51</v>
      </c>
      <c r="E489" t="s">
        <v>52</v>
      </c>
      <c r="F489" t="s">
        <v>51</v>
      </c>
      <c r="G489" s="1">
        <v>426423.63</v>
      </c>
      <c r="H489" s="2">
        <v>426423.63</v>
      </c>
      <c r="I489" s="2">
        <v>426423.63</v>
      </c>
      <c r="J489" s="2">
        <v>0</v>
      </c>
      <c r="K489" s="2">
        <v>0</v>
      </c>
      <c r="L489" s="2">
        <v>426423.63</v>
      </c>
      <c r="M489" s="3"/>
      <c r="N489" s="4">
        <v>9.7015999999999997E-4</v>
      </c>
      <c r="O489" s="5" t="s">
        <v>44</v>
      </c>
      <c r="P489" s="5" t="s">
        <v>44</v>
      </c>
      <c r="Q489" s="1"/>
      <c r="R489" s="2">
        <v>0.08</v>
      </c>
      <c r="S489" s="6"/>
      <c r="T489" t="s">
        <v>45</v>
      </c>
      <c r="U489" t="s">
        <v>53</v>
      </c>
      <c r="V489" t="s">
        <v>44</v>
      </c>
      <c r="W489" t="s">
        <v>43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s="4">
        <v>5.1163389600000002</v>
      </c>
      <c r="AD489" s="4">
        <v>5.0001424999999999</v>
      </c>
      <c r="AE489" s="2">
        <v>5.12</v>
      </c>
      <c r="AF489" s="4">
        <v>5.0001424999999999</v>
      </c>
      <c r="AG489" s="2">
        <v>0.23</v>
      </c>
      <c r="AH489" s="2">
        <v>426423.63</v>
      </c>
      <c r="AI489" s="2">
        <v>0</v>
      </c>
      <c r="AJ489" s="5">
        <v>44673</v>
      </c>
      <c r="AK489" t="s">
        <v>11750</v>
      </c>
      <c r="AL489" s="2">
        <v>5.05</v>
      </c>
      <c r="AM489" s="2">
        <v>0</v>
      </c>
      <c r="AN489" s="2">
        <v>0</v>
      </c>
      <c r="AO489" t="s">
        <v>44</v>
      </c>
      <c r="AP489" t="s">
        <v>44</v>
      </c>
      <c r="AQ489" t="s">
        <v>43</v>
      </c>
    </row>
    <row r="490" spans="1:43" x14ac:dyDescent="0.2">
      <c r="A490" t="s">
        <v>11749</v>
      </c>
      <c r="B490" t="s">
        <v>45</v>
      </c>
      <c r="C490" t="s">
        <v>11005</v>
      </c>
      <c r="D490" t="s">
        <v>11009</v>
      </c>
      <c r="E490" t="s">
        <v>11010</v>
      </c>
      <c r="F490" t="s">
        <v>44</v>
      </c>
      <c r="G490" s="1">
        <v>-0.33</v>
      </c>
      <c r="H490" s="2">
        <v>-0.33</v>
      </c>
      <c r="I490" s="2">
        <v>-0.33</v>
      </c>
      <c r="J490" s="2">
        <v>0</v>
      </c>
      <c r="K490" s="2"/>
      <c r="L490" s="2">
        <v>-0.33</v>
      </c>
      <c r="M490" s="3"/>
      <c r="N490" s="4">
        <v>0</v>
      </c>
      <c r="O490" s="5" t="s">
        <v>44</v>
      </c>
      <c r="P490" s="5">
        <v>73051</v>
      </c>
      <c r="Q490" s="1">
        <v>0</v>
      </c>
      <c r="R490" s="2">
        <v>0.08</v>
      </c>
      <c r="S490" s="6"/>
      <c r="T490" t="s">
        <v>45</v>
      </c>
      <c r="U490" t="s">
        <v>44</v>
      </c>
      <c r="V490" t="s">
        <v>44</v>
      </c>
      <c r="W490" t="s">
        <v>43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s="4">
        <v>5.1163389600000002</v>
      </c>
      <c r="AD490" s="4">
        <v>5.0001424999999999</v>
      </c>
      <c r="AE490" s="2">
        <v>5.12</v>
      </c>
      <c r="AF490" s="4">
        <v>5.0001424999999999</v>
      </c>
      <c r="AG490" s="2">
        <v>0</v>
      </c>
      <c r="AH490" s="2">
        <v>-0.33</v>
      </c>
      <c r="AI490" s="2">
        <v>0</v>
      </c>
      <c r="AJ490" s="5">
        <v>44673</v>
      </c>
      <c r="AK490" t="s">
        <v>11750</v>
      </c>
      <c r="AL490" s="2">
        <v>5.05</v>
      </c>
      <c r="AM490" s="2">
        <v>0</v>
      </c>
      <c r="AN490" s="2">
        <v>0</v>
      </c>
      <c r="AO490" t="s">
        <v>44</v>
      </c>
      <c r="AP490" t="s">
        <v>44</v>
      </c>
      <c r="AQ490" t="s">
        <v>44</v>
      </c>
    </row>
    <row r="491" spans="1:43" x14ac:dyDescent="0.2">
      <c r="A491" t="s">
        <v>11749</v>
      </c>
      <c r="B491" t="s">
        <v>45</v>
      </c>
      <c r="C491" t="s">
        <v>11005</v>
      </c>
      <c r="D491" t="s">
        <v>11149</v>
      </c>
      <c r="E491" t="s">
        <v>11150</v>
      </c>
      <c r="F491" t="s">
        <v>44</v>
      </c>
      <c r="G491" s="1">
        <v>-310980</v>
      </c>
      <c r="H491" s="2">
        <v>-310980</v>
      </c>
      <c r="I491" s="2">
        <v>-310980</v>
      </c>
      <c r="J491" s="2">
        <v>0</v>
      </c>
      <c r="K491" s="2"/>
      <c r="L491" s="2">
        <v>-310980</v>
      </c>
      <c r="M491" s="3"/>
      <c r="N491" s="4">
        <v>-7.0750999999999995E-4</v>
      </c>
      <c r="O491" s="5" t="s">
        <v>44</v>
      </c>
      <c r="P491" s="5">
        <v>73051</v>
      </c>
      <c r="Q491" s="1">
        <v>0</v>
      </c>
      <c r="R491" s="2">
        <v>0.08</v>
      </c>
      <c r="S491" s="6"/>
      <c r="T491" t="s">
        <v>45</v>
      </c>
      <c r="U491" t="s">
        <v>44</v>
      </c>
      <c r="V491" t="s">
        <v>44</v>
      </c>
      <c r="W491" t="s">
        <v>43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s="4">
        <v>5.1163389600000002</v>
      </c>
      <c r="AD491" s="4">
        <v>5.0001424999999999</v>
      </c>
      <c r="AE491" s="2">
        <v>5.12</v>
      </c>
      <c r="AF491" s="4">
        <v>5.0001424999999999</v>
      </c>
      <c r="AG491" s="2">
        <v>-0.17</v>
      </c>
      <c r="AH491" s="2">
        <v>-310980</v>
      </c>
      <c r="AI491" s="2">
        <v>0</v>
      </c>
      <c r="AJ491" s="5">
        <v>44673</v>
      </c>
      <c r="AK491" t="s">
        <v>11750</v>
      </c>
      <c r="AL491" s="2">
        <v>5.05</v>
      </c>
      <c r="AM491" s="2">
        <v>0</v>
      </c>
      <c r="AN491" s="2">
        <v>0</v>
      </c>
      <c r="AO491" t="s">
        <v>44</v>
      </c>
      <c r="AP491" t="s">
        <v>44</v>
      </c>
      <c r="AQ491" t="s">
        <v>44</v>
      </c>
    </row>
    <row r="492" spans="1:43" x14ac:dyDescent="0.2">
      <c r="A492" t="s">
        <v>11749</v>
      </c>
      <c r="B492" t="s">
        <v>11013</v>
      </c>
      <c r="C492" t="s">
        <v>11014</v>
      </c>
      <c r="D492" t="s">
        <v>11751</v>
      </c>
      <c r="E492" t="s">
        <v>11752</v>
      </c>
      <c r="F492" t="s">
        <v>11751</v>
      </c>
      <c r="G492" s="1">
        <v>120694349.5915</v>
      </c>
      <c r="H492" s="2">
        <v>124015071.54000001</v>
      </c>
      <c r="I492" s="2">
        <v>119740864.23</v>
      </c>
      <c r="J492" s="2">
        <v>0</v>
      </c>
      <c r="K492" s="2">
        <v>0</v>
      </c>
      <c r="L492" s="2">
        <v>119740864.23</v>
      </c>
      <c r="M492" s="3">
        <v>0.99209999999999998</v>
      </c>
      <c r="N492" s="4">
        <v>0.27242336</v>
      </c>
      <c r="O492" s="5" t="s">
        <v>44</v>
      </c>
      <c r="P492" s="5" t="s">
        <v>44</v>
      </c>
      <c r="Q492" s="1"/>
      <c r="R492" s="2"/>
      <c r="S492" s="6"/>
      <c r="T492" t="s">
        <v>10902</v>
      </c>
      <c r="U492" t="s">
        <v>11003</v>
      </c>
      <c r="V492" t="s">
        <v>11003</v>
      </c>
      <c r="W492" t="s">
        <v>43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s="4"/>
      <c r="AD492" s="4"/>
      <c r="AE492" s="2">
        <v>0</v>
      </c>
      <c r="AF492" s="4">
        <v>0</v>
      </c>
      <c r="AG492" s="2">
        <v>65.010000000000005</v>
      </c>
      <c r="AH492" s="2">
        <v>119740864.23</v>
      </c>
      <c r="AI492" s="2">
        <v>0.27</v>
      </c>
      <c r="AJ492" s="5">
        <v>44673</v>
      </c>
      <c r="AK492" t="s">
        <v>11750</v>
      </c>
      <c r="AL492" s="2">
        <v>0</v>
      </c>
      <c r="AM492" s="2">
        <v>0</v>
      </c>
      <c r="AN492" s="2">
        <v>0</v>
      </c>
      <c r="AO492" t="s">
        <v>44</v>
      </c>
      <c r="AP492" t="s">
        <v>11753</v>
      </c>
      <c r="AQ492" t="s">
        <v>11752</v>
      </c>
    </row>
    <row r="493" spans="1:43" x14ac:dyDescent="0.2">
      <c r="A493" t="s">
        <v>11749</v>
      </c>
      <c r="B493" t="s">
        <v>11024</v>
      </c>
      <c r="C493" t="s">
        <v>57</v>
      </c>
      <c r="D493" t="s">
        <v>11754</v>
      </c>
      <c r="E493" t="s">
        <v>11754</v>
      </c>
      <c r="F493" t="s">
        <v>11754</v>
      </c>
      <c r="G493" s="1">
        <v>96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3">
        <v>20012</v>
      </c>
      <c r="N493" s="4">
        <v>0</v>
      </c>
      <c r="O493" s="5" t="s">
        <v>44</v>
      </c>
      <c r="P493" s="5">
        <v>44727</v>
      </c>
      <c r="Q493" s="1"/>
      <c r="R493" s="2"/>
      <c r="S493" s="6"/>
      <c r="T493" t="s">
        <v>11026</v>
      </c>
      <c r="U493" t="s">
        <v>11025</v>
      </c>
      <c r="V493" t="s">
        <v>11027</v>
      </c>
      <c r="W493" t="s">
        <v>43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s="4"/>
      <c r="AD493" s="4"/>
      <c r="AE493" s="2">
        <v>0</v>
      </c>
      <c r="AF493" s="4">
        <v>0</v>
      </c>
      <c r="AG493" s="2">
        <v>0</v>
      </c>
      <c r="AH493" s="2">
        <v>19211520</v>
      </c>
      <c r="AI493" s="2">
        <v>0.04</v>
      </c>
      <c r="AJ493" s="5">
        <v>44673</v>
      </c>
      <c r="AK493" t="s">
        <v>11750</v>
      </c>
      <c r="AL493" s="2">
        <v>0</v>
      </c>
      <c r="AM493" s="2">
        <v>0</v>
      </c>
      <c r="AN493" s="2">
        <v>0</v>
      </c>
      <c r="AO493" t="s">
        <v>44</v>
      </c>
      <c r="AP493" t="s">
        <v>11755</v>
      </c>
      <c r="AQ493" t="s">
        <v>11754</v>
      </c>
    </row>
    <row r="494" spans="1:43" x14ac:dyDescent="0.2">
      <c r="A494" t="s">
        <v>11749</v>
      </c>
      <c r="B494" t="s">
        <v>11024</v>
      </c>
      <c r="C494" t="s">
        <v>57</v>
      </c>
      <c r="D494" t="s">
        <v>11756</v>
      </c>
      <c r="E494" t="s">
        <v>11756</v>
      </c>
      <c r="F494" t="s">
        <v>11756</v>
      </c>
      <c r="G494" s="1">
        <v>30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3">
        <v>29067</v>
      </c>
      <c r="N494" s="4">
        <v>0</v>
      </c>
      <c r="O494" s="5" t="s">
        <v>44</v>
      </c>
      <c r="P494" s="5">
        <v>44727</v>
      </c>
      <c r="Q494" s="1"/>
      <c r="R494" s="2"/>
      <c r="S494" s="6"/>
      <c r="T494" t="s">
        <v>11026</v>
      </c>
      <c r="U494" t="s">
        <v>11025</v>
      </c>
      <c r="V494" t="s">
        <v>11027</v>
      </c>
      <c r="W494" t="s">
        <v>43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s="4"/>
      <c r="AD494" s="4"/>
      <c r="AE494" s="2">
        <v>0</v>
      </c>
      <c r="AF494" s="4">
        <v>0</v>
      </c>
      <c r="AG494" s="2">
        <v>0</v>
      </c>
      <c r="AH494" s="2">
        <v>8720100</v>
      </c>
      <c r="AI494" s="2">
        <v>0.02</v>
      </c>
      <c r="AJ494" s="5">
        <v>44673</v>
      </c>
      <c r="AK494" t="s">
        <v>11750</v>
      </c>
      <c r="AL494" s="2">
        <v>0</v>
      </c>
      <c r="AM494" s="2">
        <v>0</v>
      </c>
      <c r="AN494" s="2">
        <v>0</v>
      </c>
      <c r="AO494" t="s">
        <v>44</v>
      </c>
      <c r="AP494" t="s">
        <v>11757</v>
      </c>
      <c r="AQ494" t="s">
        <v>11756</v>
      </c>
    </row>
    <row r="495" spans="1:43" x14ac:dyDescent="0.2">
      <c r="A495" t="s">
        <v>11749</v>
      </c>
      <c r="B495" t="s">
        <v>11037</v>
      </c>
      <c r="C495" t="s">
        <v>11276</v>
      </c>
      <c r="D495" t="s">
        <v>6473</v>
      </c>
      <c r="E495" t="s">
        <v>4464</v>
      </c>
      <c r="F495" t="s">
        <v>6473</v>
      </c>
      <c r="G495" s="1">
        <v>3000</v>
      </c>
      <c r="H495" s="2">
        <v>269730</v>
      </c>
      <c r="I495" s="2">
        <v>300000</v>
      </c>
      <c r="J495" s="2">
        <v>0</v>
      </c>
      <c r="K495" s="2">
        <v>0</v>
      </c>
      <c r="L495" s="2">
        <v>300000</v>
      </c>
      <c r="M495" s="3">
        <v>10000</v>
      </c>
      <c r="N495" s="4">
        <v>6.8252999999999999E-4</v>
      </c>
      <c r="O495" s="5" t="s">
        <v>44</v>
      </c>
      <c r="P495" s="5" t="s">
        <v>44</v>
      </c>
      <c r="Q495" s="1"/>
      <c r="R495" s="2"/>
      <c r="S495" s="6"/>
      <c r="T495" t="s">
        <v>10902</v>
      </c>
      <c r="U495" t="s">
        <v>10902</v>
      </c>
      <c r="V495" t="s">
        <v>10902</v>
      </c>
      <c r="W495" t="s">
        <v>43</v>
      </c>
      <c r="X495" t="s">
        <v>11277</v>
      </c>
      <c r="Y495" t="s">
        <v>11277</v>
      </c>
      <c r="Z495" t="s">
        <v>11276</v>
      </c>
      <c r="AA495" t="s">
        <v>44</v>
      </c>
      <c r="AB495" t="s">
        <v>44</v>
      </c>
      <c r="AC495" s="4"/>
      <c r="AD495" s="4"/>
      <c r="AE495" s="2">
        <v>0</v>
      </c>
      <c r="AF495" s="4">
        <v>0</v>
      </c>
      <c r="AG495" s="2">
        <v>0.16</v>
      </c>
      <c r="AH495" s="2">
        <v>300000</v>
      </c>
      <c r="AI495" s="2">
        <v>0</v>
      </c>
      <c r="AJ495" s="5">
        <v>44673</v>
      </c>
      <c r="AK495" t="s">
        <v>11750</v>
      </c>
      <c r="AL495" s="2">
        <v>0</v>
      </c>
      <c r="AM495" s="2">
        <v>0</v>
      </c>
      <c r="AN495" s="2">
        <v>0</v>
      </c>
      <c r="AO495" t="s">
        <v>44</v>
      </c>
      <c r="AP495" t="s">
        <v>11278</v>
      </c>
      <c r="AQ495" t="s">
        <v>4464</v>
      </c>
    </row>
    <row r="496" spans="1:43" x14ac:dyDescent="0.2">
      <c r="A496" t="s">
        <v>11749</v>
      </c>
      <c r="B496" t="s">
        <v>11037</v>
      </c>
      <c r="C496" t="s">
        <v>11276</v>
      </c>
      <c r="D496" t="s">
        <v>6316</v>
      </c>
      <c r="E496" t="s">
        <v>4585</v>
      </c>
      <c r="F496" t="s">
        <v>6316</v>
      </c>
      <c r="G496" s="1">
        <v>3280</v>
      </c>
      <c r="H496" s="2">
        <v>405014.4</v>
      </c>
      <c r="I496" s="2">
        <v>795465.6</v>
      </c>
      <c r="J496" s="2">
        <v>0</v>
      </c>
      <c r="K496" s="2">
        <v>0</v>
      </c>
      <c r="L496" s="2">
        <v>795465.6</v>
      </c>
      <c r="M496" s="3">
        <v>24252</v>
      </c>
      <c r="N496" s="4">
        <v>1.80977E-3</v>
      </c>
      <c r="O496" s="5" t="s">
        <v>44</v>
      </c>
      <c r="P496" s="5" t="s">
        <v>44</v>
      </c>
      <c r="Q496" s="1"/>
      <c r="R496" s="2"/>
      <c r="S496" s="6"/>
      <c r="T496" t="s">
        <v>10902</v>
      </c>
      <c r="U496" t="s">
        <v>10902</v>
      </c>
      <c r="V496" t="s">
        <v>10902</v>
      </c>
      <c r="W496" t="s">
        <v>43</v>
      </c>
      <c r="X496" t="s">
        <v>11279</v>
      </c>
      <c r="Y496" t="s">
        <v>11280</v>
      </c>
      <c r="Z496" t="s">
        <v>11276</v>
      </c>
      <c r="AA496" t="s">
        <v>44</v>
      </c>
      <c r="AB496" t="s">
        <v>44</v>
      </c>
      <c r="AC496" s="4"/>
      <c r="AD496" s="4"/>
      <c r="AE496" s="2">
        <v>0</v>
      </c>
      <c r="AF496" s="4">
        <v>0</v>
      </c>
      <c r="AG496" s="2">
        <v>0.43</v>
      </c>
      <c r="AH496" s="2">
        <v>795465.6</v>
      </c>
      <c r="AI496" s="2">
        <v>0</v>
      </c>
      <c r="AJ496" s="5">
        <v>44673</v>
      </c>
      <c r="AK496" t="s">
        <v>11750</v>
      </c>
      <c r="AL496" s="2">
        <v>0</v>
      </c>
      <c r="AM496" s="2">
        <v>0</v>
      </c>
      <c r="AN496" s="2">
        <v>0</v>
      </c>
      <c r="AO496" t="s">
        <v>44</v>
      </c>
      <c r="AP496" t="s">
        <v>11281</v>
      </c>
      <c r="AQ496" t="s">
        <v>4585</v>
      </c>
    </row>
    <row r="497" spans="1:43" x14ac:dyDescent="0.2">
      <c r="A497" t="s">
        <v>11749</v>
      </c>
      <c r="B497" t="s">
        <v>11037</v>
      </c>
      <c r="C497" t="s">
        <v>11276</v>
      </c>
      <c r="D497" t="s">
        <v>11661</v>
      </c>
      <c r="E497" t="s">
        <v>4578</v>
      </c>
      <c r="F497" t="s">
        <v>11661</v>
      </c>
      <c r="G497" s="1">
        <v>1157</v>
      </c>
      <c r="H497" s="2">
        <v>765450.62</v>
      </c>
      <c r="I497" s="2">
        <v>813914.79</v>
      </c>
      <c r="J497" s="2">
        <v>0</v>
      </c>
      <c r="K497" s="2">
        <v>8995.02</v>
      </c>
      <c r="L497" s="2">
        <v>822909.81</v>
      </c>
      <c r="M497" s="3">
        <v>70347</v>
      </c>
      <c r="N497" s="4">
        <v>1.87221E-3</v>
      </c>
      <c r="O497" s="5" t="s">
        <v>44</v>
      </c>
      <c r="P497" s="5" t="s">
        <v>44</v>
      </c>
      <c r="Q497" s="1"/>
      <c r="R497" s="2"/>
      <c r="S497" s="6"/>
      <c r="T497" t="s">
        <v>10902</v>
      </c>
      <c r="U497" t="s">
        <v>10902</v>
      </c>
      <c r="V497" t="s">
        <v>10902</v>
      </c>
      <c r="W497" t="s">
        <v>43</v>
      </c>
      <c r="X497" t="s">
        <v>11279</v>
      </c>
      <c r="Y497" t="s">
        <v>11280</v>
      </c>
      <c r="Z497" t="s">
        <v>11276</v>
      </c>
      <c r="AA497" t="s">
        <v>44</v>
      </c>
      <c r="AB497" t="s">
        <v>44</v>
      </c>
      <c r="AC497" s="4"/>
      <c r="AD497" s="4"/>
      <c r="AE497" s="2">
        <v>0</v>
      </c>
      <c r="AF497" s="4">
        <v>0</v>
      </c>
      <c r="AG497" s="2">
        <v>0.45</v>
      </c>
      <c r="AH497" s="2">
        <v>822909.81</v>
      </c>
      <c r="AI497" s="2">
        <v>0</v>
      </c>
      <c r="AJ497" s="5">
        <v>44673</v>
      </c>
      <c r="AK497" t="s">
        <v>11750</v>
      </c>
      <c r="AL497" s="2">
        <v>0</v>
      </c>
      <c r="AM497" s="2">
        <v>0</v>
      </c>
      <c r="AN497" s="2">
        <v>0</v>
      </c>
      <c r="AO497" t="s">
        <v>44</v>
      </c>
      <c r="AP497" t="s">
        <v>2559</v>
      </c>
      <c r="AQ497" t="s">
        <v>4578</v>
      </c>
    </row>
    <row r="498" spans="1:43" x14ac:dyDescent="0.2">
      <c r="A498" t="s">
        <v>11749</v>
      </c>
      <c r="B498" t="s">
        <v>11037</v>
      </c>
      <c r="C498" t="s">
        <v>11276</v>
      </c>
      <c r="D498" t="s">
        <v>11282</v>
      </c>
      <c r="E498" t="s">
        <v>7222</v>
      </c>
      <c r="F498" t="s">
        <v>11282</v>
      </c>
      <c r="G498" s="1">
        <v>13000</v>
      </c>
      <c r="H498" s="2">
        <v>231555.07</v>
      </c>
      <c r="I498" s="2">
        <v>175630</v>
      </c>
      <c r="J498" s="2">
        <v>0</v>
      </c>
      <c r="K498" s="2">
        <v>0</v>
      </c>
      <c r="L498" s="2">
        <v>175630</v>
      </c>
      <c r="M498" s="3">
        <v>1351</v>
      </c>
      <c r="N498" s="4">
        <v>3.9958000000000002E-4</v>
      </c>
      <c r="O498" s="5" t="s">
        <v>44</v>
      </c>
      <c r="P498" s="5" t="s">
        <v>44</v>
      </c>
      <c r="Q498" s="1"/>
      <c r="R498" s="2"/>
      <c r="S498" s="6"/>
      <c r="T498" t="s">
        <v>10902</v>
      </c>
      <c r="U498" t="s">
        <v>10902</v>
      </c>
      <c r="V498" t="s">
        <v>10902</v>
      </c>
      <c r="W498" t="s">
        <v>43</v>
      </c>
      <c r="X498" t="s">
        <v>11279</v>
      </c>
      <c r="Y498" t="s">
        <v>11280</v>
      </c>
      <c r="Z498" t="s">
        <v>11276</v>
      </c>
      <c r="AA498" t="s">
        <v>44</v>
      </c>
      <c r="AB498" t="s">
        <v>44</v>
      </c>
      <c r="AC498" s="4"/>
      <c r="AD498" s="4"/>
      <c r="AE498" s="2">
        <v>0</v>
      </c>
      <c r="AF498" s="4">
        <v>0</v>
      </c>
      <c r="AG498" s="2">
        <v>0.1</v>
      </c>
      <c r="AH498" s="2">
        <v>175630</v>
      </c>
      <c r="AI498" s="2">
        <v>0</v>
      </c>
      <c r="AJ498" s="5">
        <v>44673</v>
      </c>
      <c r="AK498" t="s">
        <v>11750</v>
      </c>
      <c r="AL498" s="2">
        <v>0</v>
      </c>
      <c r="AM498" s="2">
        <v>0</v>
      </c>
      <c r="AN498" s="2">
        <v>0</v>
      </c>
      <c r="AO498" t="s">
        <v>44</v>
      </c>
      <c r="AP498" t="s">
        <v>11283</v>
      </c>
      <c r="AQ498" t="s">
        <v>7222</v>
      </c>
    </row>
    <row r="499" spans="1:43" x14ac:dyDescent="0.2">
      <c r="A499" t="s">
        <v>11749</v>
      </c>
      <c r="B499" t="s">
        <v>11037</v>
      </c>
      <c r="C499" t="s">
        <v>11276</v>
      </c>
      <c r="D499" t="s">
        <v>11284</v>
      </c>
      <c r="E499" t="s">
        <v>4506</v>
      </c>
      <c r="F499" t="s">
        <v>11284</v>
      </c>
      <c r="G499" s="1">
        <v>9800</v>
      </c>
      <c r="H499" s="2">
        <v>405996.64</v>
      </c>
      <c r="I499" s="2">
        <v>644644</v>
      </c>
      <c r="J499" s="2">
        <v>0</v>
      </c>
      <c r="K499" s="2">
        <v>0</v>
      </c>
      <c r="L499" s="2">
        <v>644644</v>
      </c>
      <c r="M499" s="3">
        <v>6578</v>
      </c>
      <c r="N499" s="4">
        <v>1.46663E-3</v>
      </c>
      <c r="O499" s="5" t="s">
        <v>44</v>
      </c>
      <c r="P499" s="5" t="s">
        <v>44</v>
      </c>
      <c r="Q499" s="1"/>
      <c r="R499" s="2"/>
      <c r="S499" s="6"/>
      <c r="T499" t="s">
        <v>10902</v>
      </c>
      <c r="U499" t="s">
        <v>10902</v>
      </c>
      <c r="V499" t="s">
        <v>10902</v>
      </c>
      <c r="W499" t="s">
        <v>43</v>
      </c>
      <c r="X499" t="s">
        <v>11279</v>
      </c>
      <c r="Y499" t="s">
        <v>11280</v>
      </c>
      <c r="Z499" t="s">
        <v>11276</v>
      </c>
      <c r="AA499" t="s">
        <v>44</v>
      </c>
      <c r="AB499" t="s">
        <v>44</v>
      </c>
      <c r="AC499" s="4"/>
      <c r="AD499" s="4"/>
      <c r="AE499" s="2">
        <v>0</v>
      </c>
      <c r="AF499" s="4">
        <v>0</v>
      </c>
      <c r="AG499" s="2">
        <v>0.35</v>
      </c>
      <c r="AH499" s="2">
        <v>644644</v>
      </c>
      <c r="AI499" s="2">
        <v>0</v>
      </c>
      <c r="AJ499" s="5">
        <v>44673</v>
      </c>
      <c r="AK499" t="s">
        <v>11750</v>
      </c>
      <c r="AL499" s="2">
        <v>0</v>
      </c>
      <c r="AM499" s="2">
        <v>0</v>
      </c>
      <c r="AN499" s="2">
        <v>0</v>
      </c>
      <c r="AO499" t="s">
        <v>44</v>
      </c>
      <c r="AP499" t="s">
        <v>11285</v>
      </c>
      <c r="AQ499" t="s">
        <v>4506</v>
      </c>
    </row>
    <row r="500" spans="1:43" x14ac:dyDescent="0.2">
      <c r="A500" t="s">
        <v>11749</v>
      </c>
      <c r="B500" t="s">
        <v>11037</v>
      </c>
      <c r="C500" t="s">
        <v>11276</v>
      </c>
      <c r="D500" t="s">
        <v>6278</v>
      </c>
      <c r="E500" t="s">
        <v>4640</v>
      </c>
      <c r="F500" t="s">
        <v>6278</v>
      </c>
      <c r="G500" s="1">
        <v>1783</v>
      </c>
      <c r="H500" s="2">
        <v>732427.51</v>
      </c>
      <c r="I500" s="2">
        <v>903446.1</v>
      </c>
      <c r="J500" s="2">
        <v>0</v>
      </c>
      <c r="K500" s="2">
        <v>0</v>
      </c>
      <c r="L500" s="2">
        <v>903446.1</v>
      </c>
      <c r="M500" s="3">
        <v>50670</v>
      </c>
      <c r="N500" s="4">
        <v>2.05544E-3</v>
      </c>
      <c r="O500" s="5" t="s">
        <v>44</v>
      </c>
      <c r="P500" s="5" t="s">
        <v>44</v>
      </c>
      <c r="Q500" s="1"/>
      <c r="R500" s="2"/>
      <c r="S500" s="6"/>
      <c r="T500" t="s">
        <v>10902</v>
      </c>
      <c r="U500" t="s">
        <v>10902</v>
      </c>
      <c r="V500" t="s">
        <v>10902</v>
      </c>
      <c r="W500" t="s">
        <v>43</v>
      </c>
      <c r="X500" t="s">
        <v>11286</v>
      </c>
      <c r="Y500" t="s">
        <v>11280</v>
      </c>
      <c r="Z500" t="s">
        <v>11276</v>
      </c>
      <c r="AA500" t="s">
        <v>44</v>
      </c>
      <c r="AB500" t="s">
        <v>44</v>
      </c>
      <c r="AC500" s="4"/>
      <c r="AD500" s="4"/>
      <c r="AE500" s="2">
        <v>0</v>
      </c>
      <c r="AF500" s="4">
        <v>0</v>
      </c>
      <c r="AG500" s="2">
        <v>0.49</v>
      </c>
      <c r="AH500" s="2">
        <v>903446.1</v>
      </c>
      <c r="AI500" s="2">
        <v>0</v>
      </c>
      <c r="AJ500" s="5">
        <v>44673</v>
      </c>
      <c r="AK500" t="s">
        <v>11750</v>
      </c>
      <c r="AL500" s="2">
        <v>0</v>
      </c>
      <c r="AM500" s="2">
        <v>0</v>
      </c>
      <c r="AN500" s="2">
        <v>0</v>
      </c>
      <c r="AO500" t="s">
        <v>44</v>
      </c>
      <c r="AP500" t="s">
        <v>11287</v>
      </c>
      <c r="AQ500" t="s">
        <v>4640</v>
      </c>
    </row>
    <row r="501" spans="1:43" x14ac:dyDescent="0.2">
      <c r="A501" t="s">
        <v>11749</v>
      </c>
      <c r="B501" t="s">
        <v>11037</v>
      </c>
      <c r="C501" t="s">
        <v>11276</v>
      </c>
      <c r="D501" t="s">
        <v>11292</v>
      </c>
      <c r="E501" t="s">
        <v>4513</v>
      </c>
      <c r="F501" t="s">
        <v>11292</v>
      </c>
      <c r="G501" s="1">
        <v>30000</v>
      </c>
      <c r="H501" s="2">
        <v>164371.48000000001</v>
      </c>
      <c r="I501" s="2">
        <v>128700</v>
      </c>
      <c r="J501" s="2">
        <v>0</v>
      </c>
      <c r="K501" s="2">
        <v>0</v>
      </c>
      <c r="L501" s="2">
        <v>128700</v>
      </c>
      <c r="M501" s="3">
        <v>429</v>
      </c>
      <c r="N501" s="4">
        <v>2.9281000000000001E-4</v>
      </c>
      <c r="O501" s="5" t="s">
        <v>44</v>
      </c>
      <c r="P501" s="5" t="s">
        <v>44</v>
      </c>
      <c r="Q501" s="1"/>
      <c r="R501" s="2"/>
      <c r="S501" s="6"/>
      <c r="T501" t="s">
        <v>10902</v>
      </c>
      <c r="U501" t="s">
        <v>10902</v>
      </c>
      <c r="V501" t="s">
        <v>10902</v>
      </c>
      <c r="W501" t="s">
        <v>43</v>
      </c>
      <c r="X501" t="s">
        <v>11279</v>
      </c>
      <c r="Y501" t="s">
        <v>11280</v>
      </c>
      <c r="Z501" t="s">
        <v>11276</v>
      </c>
      <c r="AA501" t="s">
        <v>44</v>
      </c>
      <c r="AB501" t="s">
        <v>44</v>
      </c>
      <c r="AC501" s="4"/>
      <c r="AD501" s="4"/>
      <c r="AE501" s="2">
        <v>0</v>
      </c>
      <c r="AF501" s="4">
        <v>0</v>
      </c>
      <c r="AG501" s="2">
        <v>7.0000000000000007E-2</v>
      </c>
      <c r="AH501" s="2">
        <v>128700</v>
      </c>
      <c r="AI501" s="2">
        <v>0</v>
      </c>
      <c r="AJ501" s="5">
        <v>44673</v>
      </c>
      <c r="AK501" t="s">
        <v>11750</v>
      </c>
      <c r="AL501" s="2">
        <v>0</v>
      </c>
      <c r="AM501" s="2">
        <v>0</v>
      </c>
      <c r="AN501" s="2">
        <v>0</v>
      </c>
      <c r="AO501" t="s">
        <v>44</v>
      </c>
      <c r="AP501" t="s">
        <v>11293</v>
      </c>
      <c r="AQ501" t="s">
        <v>4513</v>
      </c>
    </row>
    <row r="502" spans="1:43" x14ac:dyDescent="0.2">
      <c r="A502" t="s">
        <v>11749</v>
      </c>
      <c r="B502" t="s">
        <v>11037</v>
      </c>
      <c r="C502" t="s">
        <v>11276</v>
      </c>
      <c r="D502" t="s">
        <v>6743</v>
      </c>
      <c r="E502" t="s">
        <v>4570</v>
      </c>
      <c r="F502" t="s">
        <v>6743</v>
      </c>
      <c r="G502" s="1">
        <v>3200</v>
      </c>
      <c r="H502" s="2">
        <v>304050.90000000002</v>
      </c>
      <c r="I502" s="2">
        <v>494496</v>
      </c>
      <c r="J502" s="2">
        <v>0</v>
      </c>
      <c r="K502" s="2">
        <v>0</v>
      </c>
      <c r="L502" s="2">
        <v>494496</v>
      </c>
      <c r="M502" s="3">
        <v>15453</v>
      </c>
      <c r="N502" s="4">
        <v>1.12503E-3</v>
      </c>
      <c r="O502" s="5" t="s">
        <v>44</v>
      </c>
      <c r="P502" s="5" t="s">
        <v>44</v>
      </c>
      <c r="Q502" s="1"/>
      <c r="R502" s="2"/>
      <c r="S502" s="6"/>
      <c r="T502" t="s">
        <v>10902</v>
      </c>
      <c r="U502" t="s">
        <v>10902</v>
      </c>
      <c r="V502" t="s">
        <v>10902</v>
      </c>
      <c r="W502" t="s">
        <v>43</v>
      </c>
      <c r="X502" t="s">
        <v>11279</v>
      </c>
      <c r="Y502" t="s">
        <v>11280</v>
      </c>
      <c r="Z502" t="s">
        <v>11276</v>
      </c>
      <c r="AA502" t="s">
        <v>44</v>
      </c>
      <c r="AB502" t="s">
        <v>44</v>
      </c>
      <c r="AC502" s="4"/>
      <c r="AD502" s="4"/>
      <c r="AE502" s="2">
        <v>0</v>
      </c>
      <c r="AF502" s="4">
        <v>0</v>
      </c>
      <c r="AG502" s="2">
        <v>0.27</v>
      </c>
      <c r="AH502" s="2">
        <v>494496</v>
      </c>
      <c r="AI502" s="2">
        <v>0</v>
      </c>
      <c r="AJ502" s="5">
        <v>44673</v>
      </c>
      <c r="AK502" t="s">
        <v>11750</v>
      </c>
      <c r="AL502" s="2">
        <v>0</v>
      </c>
      <c r="AM502" s="2">
        <v>0</v>
      </c>
      <c r="AN502" s="2">
        <v>0</v>
      </c>
      <c r="AO502" t="s">
        <v>44</v>
      </c>
      <c r="AP502" t="s">
        <v>11294</v>
      </c>
      <c r="AQ502" t="s">
        <v>4570</v>
      </c>
    </row>
    <row r="503" spans="1:43" x14ac:dyDescent="0.2">
      <c r="A503" t="s">
        <v>11749</v>
      </c>
      <c r="B503" t="s">
        <v>11037</v>
      </c>
      <c r="C503" t="s">
        <v>11276</v>
      </c>
      <c r="D503" t="s">
        <v>6209</v>
      </c>
      <c r="E503" t="s">
        <v>520</v>
      </c>
      <c r="F503" t="s">
        <v>6209</v>
      </c>
      <c r="G503" s="1">
        <v>14210</v>
      </c>
      <c r="H503" s="2">
        <v>550704.87</v>
      </c>
      <c r="I503" s="2">
        <v>775013.4</v>
      </c>
      <c r="J503" s="2">
        <v>0</v>
      </c>
      <c r="K503" s="2">
        <v>0</v>
      </c>
      <c r="L503" s="2">
        <v>775013.4</v>
      </c>
      <c r="M503" s="3">
        <v>5454</v>
      </c>
      <c r="N503" s="4">
        <v>1.7632399999999999E-3</v>
      </c>
      <c r="O503" s="5" t="s">
        <v>44</v>
      </c>
      <c r="P503" s="5" t="s">
        <v>44</v>
      </c>
      <c r="Q503" s="1"/>
      <c r="R503" s="2"/>
      <c r="S503" s="6"/>
      <c r="T503" t="s">
        <v>10902</v>
      </c>
      <c r="U503" t="s">
        <v>10902</v>
      </c>
      <c r="V503" t="s">
        <v>10902</v>
      </c>
      <c r="W503" t="s">
        <v>43</v>
      </c>
      <c r="X503" t="s">
        <v>11289</v>
      </c>
      <c r="Y503" t="s">
        <v>11280</v>
      </c>
      <c r="Z503" t="s">
        <v>11276</v>
      </c>
      <c r="AA503" t="s">
        <v>44</v>
      </c>
      <c r="AB503" t="s">
        <v>44</v>
      </c>
      <c r="AC503" s="4"/>
      <c r="AD503" s="4"/>
      <c r="AE503" s="2">
        <v>0</v>
      </c>
      <c r="AF503" s="4">
        <v>0</v>
      </c>
      <c r="AG503" s="2">
        <v>0.42</v>
      </c>
      <c r="AH503" s="2">
        <v>775013.4</v>
      </c>
      <c r="AI503" s="2">
        <v>0</v>
      </c>
      <c r="AJ503" s="5">
        <v>44673</v>
      </c>
      <c r="AK503" t="s">
        <v>11750</v>
      </c>
      <c r="AL503" s="2">
        <v>0</v>
      </c>
      <c r="AM503" s="2">
        <v>0</v>
      </c>
      <c r="AN503" s="2">
        <v>0</v>
      </c>
      <c r="AO503" t="s">
        <v>44</v>
      </c>
      <c r="AP503" t="s">
        <v>11295</v>
      </c>
      <c r="AQ503" t="s">
        <v>520</v>
      </c>
    </row>
    <row r="504" spans="1:43" x14ac:dyDescent="0.2">
      <c r="A504" t="s">
        <v>11749</v>
      </c>
      <c r="B504" t="s">
        <v>11037</v>
      </c>
      <c r="C504" t="s">
        <v>11276</v>
      </c>
      <c r="D504" t="s">
        <v>11678</v>
      </c>
      <c r="E504" t="s">
        <v>11679</v>
      </c>
      <c r="F504" t="s">
        <v>11680</v>
      </c>
      <c r="G504" s="1">
        <v>2500</v>
      </c>
      <c r="H504" s="2">
        <v>399162.79</v>
      </c>
      <c r="I504" s="2">
        <v>588050</v>
      </c>
      <c r="J504" s="2">
        <v>0</v>
      </c>
      <c r="K504" s="2">
        <v>0</v>
      </c>
      <c r="L504" s="2">
        <v>588050</v>
      </c>
      <c r="M504" s="3">
        <v>23522</v>
      </c>
      <c r="N504" s="4">
        <v>1.3378800000000001E-3</v>
      </c>
      <c r="O504" s="5" t="s">
        <v>44</v>
      </c>
      <c r="P504" s="5" t="s">
        <v>44</v>
      </c>
      <c r="Q504" s="1"/>
      <c r="R504" s="2"/>
      <c r="S504" s="6"/>
      <c r="T504" t="s">
        <v>10902</v>
      </c>
      <c r="U504" t="s">
        <v>10902</v>
      </c>
      <c r="V504" t="s">
        <v>10902</v>
      </c>
      <c r="W504" t="s">
        <v>43</v>
      </c>
      <c r="X504" t="s">
        <v>11279</v>
      </c>
      <c r="Y504" t="s">
        <v>11280</v>
      </c>
      <c r="Z504" t="s">
        <v>11276</v>
      </c>
      <c r="AA504" t="s">
        <v>44</v>
      </c>
      <c r="AB504" t="s">
        <v>44</v>
      </c>
      <c r="AC504" s="4"/>
      <c r="AD504" s="4"/>
      <c r="AE504" s="2">
        <v>0</v>
      </c>
      <c r="AF504" s="4">
        <v>0</v>
      </c>
      <c r="AG504" s="2">
        <v>0.32</v>
      </c>
      <c r="AH504" s="2">
        <v>588050</v>
      </c>
      <c r="AI504" s="2">
        <v>0</v>
      </c>
      <c r="AJ504" s="5">
        <v>44673</v>
      </c>
      <c r="AK504" t="s">
        <v>11750</v>
      </c>
      <c r="AL504" s="2">
        <v>0</v>
      </c>
      <c r="AM504" s="2">
        <v>0</v>
      </c>
      <c r="AN504" s="2">
        <v>0</v>
      </c>
      <c r="AO504" t="s">
        <v>44</v>
      </c>
      <c r="AP504" t="s">
        <v>11681</v>
      </c>
      <c r="AQ504" t="s">
        <v>11679</v>
      </c>
    </row>
    <row r="505" spans="1:43" x14ac:dyDescent="0.2">
      <c r="A505" t="s">
        <v>11749</v>
      </c>
      <c r="B505" t="s">
        <v>11037</v>
      </c>
      <c r="C505" t="s">
        <v>11296</v>
      </c>
      <c r="D505" t="s">
        <v>11297</v>
      </c>
      <c r="E505" t="s">
        <v>5955</v>
      </c>
      <c r="F505" t="s">
        <v>11297</v>
      </c>
      <c r="G505" s="1">
        <v>24</v>
      </c>
      <c r="H505" s="2">
        <v>20308.61</v>
      </c>
      <c r="I505" s="2">
        <v>22523.279999999999</v>
      </c>
      <c r="J505" s="2">
        <v>0</v>
      </c>
      <c r="K505" s="2">
        <v>0</v>
      </c>
      <c r="L505" s="2">
        <v>22523.279999999999</v>
      </c>
      <c r="M505" s="3">
        <v>93847</v>
      </c>
      <c r="N505" s="4">
        <v>5.1239999999999997E-5</v>
      </c>
      <c r="O505" s="5" t="s">
        <v>44</v>
      </c>
      <c r="P505" s="5" t="s">
        <v>44</v>
      </c>
      <c r="Q505" s="1"/>
      <c r="R505" s="2"/>
      <c r="S505" s="6"/>
      <c r="T505" t="s">
        <v>10902</v>
      </c>
      <c r="U505" t="s">
        <v>10902</v>
      </c>
      <c r="V505" t="s">
        <v>10902</v>
      </c>
      <c r="W505" t="s">
        <v>43</v>
      </c>
      <c r="X505" t="s">
        <v>11298</v>
      </c>
      <c r="Y505" t="s">
        <v>11299</v>
      </c>
      <c r="Z505" t="s">
        <v>11296</v>
      </c>
      <c r="AA505" t="s">
        <v>44</v>
      </c>
      <c r="AB505" t="s">
        <v>44</v>
      </c>
      <c r="AC505" s="4"/>
      <c r="AD505" s="4"/>
      <c r="AE505" s="2">
        <v>0</v>
      </c>
      <c r="AF505" s="4">
        <v>0</v>
      </c>
      <c r="AG505" s="2">
        <v>0.01</v>
      </c>
      <c r="AH505" s="2">
        <v>22523.279999999999</v>
      </c>
      <c r="AI505" s="2">
        <v>0</v>
      </c>
      <c r="AJ505" s="5">
        <v>44673</v>
      </c>
      <c r="AK505" t="s">
        <v>11750</v>
      </c>
      <c r="AL505" s="2">
        <v>0</v>
      </c>
      <c r="AM505" s="2">
        <v>0</v>
      </c>
      <c r="AN505" s="2">
        <v>0</v>
      </c>
      <c r="AO505" t="s">
        <v>44</v>
      </c>
      <c r="AP505" t="s">
        <v>1276</v>
      </c>
      <c r="AQ505" t="s">
        <v>5955</v>
      </c>
    </row>
    <row r="506" spans="1:43" x14ac:dyDescent="0.2">
      <c r="A506" t="s">
        <v>11749</v>
      </c>
      <c r="B506" t="s">
        <v>11037</v>
      </c>
      <c r="C506" t="s">
        <v>11296</v>
      </c>
      <c r="D506" t="s">
        <v>6632</v>
      </c>
      <c r="E506" t="s">
        <v>5444</v>
      </c>
      <c r="F506" t="s">
        <v>6632</v>
      </c>
      <c r="G506" s="1">
        <v>1012</v>
      </c>
      <c r="H506" s="2">
        <v>197419.2</v>
      </c>
      <c r="I506" s="2">
        <v>147094.20000000001</v>
      </c>
      <c r="J506" s="2">
        <v>0</v>
      </c>
      <c r="K506" s="2">
        <v>0</v>
      </c>
      <c r="L506" s="2">
        <v>147094.20000000001</v>
      </c>
      <c r="M506" s="3">
        <v>14535</v>
      </c>
      <c r="N506" s="4">
        <v>3.3466000000000002E-4</v>
      </c>
      <c r="O506" s="5" t="s">
        <v>44</v>
      </c>
      <c r="P506" s="5" t="s">
        <v>44</v>
      </c>
      <c r="Q506" s="1"/>
      <c r="R506" s="2"/>
      <c r="S506" s="6"/>
      <c r="T506" t="s">
        <v>10902</v>
      </c>
      <c r="U506" t="s">
        <v>10902</v>
      </c>
      <c r="V506" t="s">
        <v>10902</v>
      </c>
      <c r="W506" t="s">
        <v>43</v>
      </c>
      <c r="X506" t="s">
        <v>11300</v>
      </c>
      <c r="Y506" t="s">
        <v>11299</v>
      </c>
      <c r="Z506" t="s">
        <v>11296</v>
      </c>
      <c r="AA506" t="s">
        <v>44</v>
      </c>
      <c r="AB506" t="s">
        <v>44</v>
      </c>
      <c r="AC506" s="4"/>
      <c r="AD506" s="4"/>
      <c r="AE506" s="2">
        <v>0</v>
      </c>
      <c r="AF506" s="4">
        <v>0</v>
      </c>
      <c r="AG506" s="2">
        <v>0.08</v>
      </c>
      <c r="AH506" s="2">
        <v>147094.20000000001</v>
      </c>
      <c r="AI506" s="2">
        <v>0</v>
      </c>
      <c r="AJ506" s="5">
        <v>44673</v>
      </c>
      <c r="AK506" t="s">
        <v>11750</v>
      </c>
      <c r="AL506" s="2">
        <v>0</v>
      </c>
      <c r="AM506" s="2">
        <v>0</v>
      </c>
      <c r="AN506" s="2">
        <v>0</v>
      </c>
      <c r="AO506" t="s">
        <v>44</v>
      </c>
      <c r="AP506" t="s">
        <v>11758</v>
      </c>
      <c r="AQ506" t="s">
        <v>5444</v>
      </c>
    </row>
    <row r="507" spans="1:43" x14ac:dyDescent="0.2">
      <c r="A507" t="s">
        <v>11749</v>
      </c>
      <c r="B507" t="s">
        <v>11037</v>
      </c>
      <c r="C507" t="s">
        <v>11296</v>
      </c>
      <c r="D507" t="s">
        <v>6200</v>
      </c>
      <c r="E507" t="s">
        <v>5051</v>
      </c>
      <c r="F507" t="s">
        <v>6200</v>
      </c>
      <c r="G507" s="1">
        <v>12531</v>
      </c>
      <c r="H507" s="2">
        <v>1065869.05</v>
      </c>
      <c r="I507" s="2">
        <v>859626.6</v>
      </c>
      <c r="J507" s="2">
        <v>0</v>
      </c>
      <c r="K507" s="2">
        <v>0</v>
      </c>
      <c r="L507" s="2">
        <v>859626.6</v>
      </c>
      <c r="M507" s="3">
        <v>6860</v>
      </c>
      <c r="N507" s="4">
        <v>1.9557400000000001E-3</v>
      </c>
      <c r="O507" s="5" t="s">
        <v>44</v>
      </c>
      <c r="P507" s="5" t="s">
        <v>44</v>
      </c>
      <c r="Q507" s="1"/>
      <c r="R507" s="2"/>
      <c r="S507" s="6"/>
      <c r="T507" t="s">
        <v>10902</v>
      </c>
      <c r="U507" t="s">
        <v>10902</v>
      </c>
      <c r="V507" t="s">
        <v>10902</v>
      </c>
      <c r="W507" t="s">
        <v>43</v>
      </c>
      <c r="X507" t="s">
        <v>11300</v>
      </c>
      <c r="Y507" t="s">
        <v>11299</v>
      </c>
      <c r="Z507" t="s">
        <v>11296</v>
      </c>
      <c r="AA507" t="s">
        <v>44</v>
      </c>
      <c r="AB507" t="s">
        <v>44</v>
      </c>
      <c r="AC507" s="4"/>
      <c r="AD507" s="4"/>
      <c r="AE507" s="2">
        <v>0</v>
      </c>
      <c r="AF507" s="4">
        <v>0</v>
      </c>
      <c r="AG507" s="2">
        <v>0.47</v>
      </c>
      <c r="AH507" s="2">
        <v>859626.6</v>
      </c>
      <c r="AI507" s="2">
        <v>0</v>
      </c>
      <c r="AJ507" s="5">
        <v>44673</v>
      </c>
      <c r="AK507" t="s">
        <v>11750</v>
      </c>
      <c r="AL507" s="2">
        <v>0</v>
      </c>
      <c r="AM507" s="2">
        <v>0</v>
      </c>
      <c r="AN507" s="2">
        <v>0</v>
      </c>
      <c r="AO507" t="s">
        <v>44</v>
      </c>
      <c r="AP507" t="s">
        <v>11301</v>
      </c>
      <c r="AQ507" t="s">
        <v>5051</v>
      </c>
    </row>
    <row r="508" spans="1:43" x14ac:dyDescent="0.2">
      <c r="A508" t="s">
        <v>11749</v>
      </c>
      <c r="B508" t="s">
        <v>11037</v>
      </c>
      <c r="C508" t="s">
        <v>11296</v>
      </c>
      <c r="D508" t="s">
        <v>6458</v>
      </c>
      <c r="E508" t="s">
        <v>5402</v>
      </c>
      <c r="F508" t="s">
        <v>11302</v>
      </c>
      <c r="G508" s="1">
        <v>2704</v>
      </c>
      <c r="H508" s="2">
        <v>347950.72</v>
      </c>
      <c r="I508" s="2">
        <v>467792</v>
      </c>
      <c r="J508" s="2">
        <v>0</v>
      </c>
      <c r="K508" s="2">
        <v>0</v>
      </c>
      <c r="L508" s="2">
        <v>467792</v>
      </c>
      <c r="M508" s="3">
        <v>17300</v>
      </c>
      <c r="N508" s="4">
        <v>1.0642799999999999E-3</v>
      </c>
      <c r="O508" s="5" t="s">
        <v>44</v>
      </c>
      <c r="P508" s="5" t="s">
        <v>44</v>
      </c>
      <c r="Q508" s="1"/>
      <c r="R508" s="2"/>
      <c r="S508" s="6"/>
      <c r="T508" t="s">
        <v>10902</v>
      </c>
      <c r="U508" t="s">
        <v>10902</v>
      </c>
      <c r="V508" t="s">
        <v>10902</v>
      </c>
      <c r="W508" t="s">
        <v>43</v>
      </c>
      <c r="X508" t="s">
        <v>11298</v>
      </c>
      <c r="Y508" t="s">
        <v>11299</v>
      </c>
      <c r="Z508" t="s">
        <v>11296</v>
      </c>
      <c r="AA508" t="s">
        <v>44</v>
      </c>
      <c r="AB508" t="s">
        <v>44</v>
      </c>
      <c r="AC508" s="4"/>
      <c r="AD508" s="4"/>
      <c r="AE508" s="2">
        <v>0</v>
      </c>
      <c r="AF508" s="4">
        <v>0</v>
      </c>
      <c r="AG508" s="2">
        <v>0.25</v>
      </c>
      <c r="AH508" s="2">
        <v>467792</v>
      </c>
      <c r="AI508" s="2">
        <v>0</v>
      </c>
      <c r="AJ508" s="5">
        <v>44673</v>
      </c>
      <c r="AK508" t="s">
        <v>11750</v>
      </c>
      <c r="AL508" s="2">
        <v>0</v>
      </c>
      <c r="AM508" s="2">
        <v>0</v>
      </c>
      <c r="AN508" s="2">
        <v>0</v>
      </c>
      <c r="AO508" t="s">
        <v>44</v>
      </c>
      <c r="AP508" t="s">
        <v>11303</v>
      </c>
      <c r="AQ508" t="s">
        <v>5402</v>
      </c>
    </row>
    <row r="509" spans="1:43" x14ac:dyDescent="0.2">
      <c r="A509" t="s">
        <v>11749</v>
      </c>
      <c r="B509" t="s">
        <v>11037</v>
      </c>
      <c r="C509" t="s">
        <v>11296</v>
      </c>
      <c r="D509" t="s">
        <v>6137</v>
      </c>
      <c r="E509" t="s">
        <v>4926</v>
      </c>
      <c r="F509" t="s">
        <v>6137</v>
      </c>
      <c r="G509" s="1">
        <v>5355</v>
      </c>
      <c r="H509" s="2">
        <v>923740.58</v>
      </c>
      <c r="I509" s="2">
        <v>833987.7</v>
      </c>
      <c r="J509" s="2">
        <v>0</v>
      </c>
      <c r="K509" s="2">
        <v>0</v>
      </c>
      <c r="L509" s="2">
        <v>833987.7</v>
      </c>
      <c r="M509" s="3">
        <v>15574</v>
      </c>
      <c r="N509" s="4">
        <v>1.89741E-3</v>
      </c>
      <c r="O509" s="5" t="s">
        <v>44</v>
      </c>
      <c r="P509" s="5" t="s">
        <v>44</v>
      </c>
      <c r="Q509" s="1"/>
      <c r="R509" s="2"/>
      <c r="S509" s="6"/>
      <c r="T509" t="s">
        <v>10902</v>
      </c>
      <c r="U509" t="s">
        <v>10902</v>
      </c>
      <c r="V509" t="s">
        <v>10902</v>
      </c>
      <c r="W509" t="s">
        <v>43</v>
      </c>
      <c r="X509" t="s">
        <v>11300</v>
      </c>
      <c r="Y509" t="s">
        <v>11299</v>
      </c>
      <c r="Z509" t="s">
        <v>11296</v>
      </c>
      <c r="AA509" t="s">
        <v>44</v>
      </c>
      <c r="AB509" t="s">
        <v>44</v>
      </c>
      <c r="AC509" s="4"/>
      <c r="AD509" s="4"/>
      <c r="AE509" s="2">
        <v>0</v>
      </c>
      <c r="AF509" s="4">
        <v>0</v>
      </c>
      <c r="AG509" s="2">
        <v>0.45</v>
      </c>
      <c r="AH509" s="2">
        <v>833987.7</v>
      </c>
      <c r="AI509" s="2">
        <v>0</v>
      </c>
      <c r="AJ509" s="5">
        <v>44673</v>
      </c>
      <c r="AK509" t="s">
        <v>11750</v>
      </c>
      <c r="AL509" s="2">
        <v>0</v>
      </c>
      <c r="AM509" s="2">
        <v>0</v>
      </c>
      <c r="AN509" s="2">
        <v>0</v>
      </c>
      <c r="AO509" t="s">
        <v>44</v>
      </c>
      <c r="AP509" t="s">
        <v>11304</v>
      </c>
      <c r="AQ509" t="s">
        <v>4926</v>
      </c>
    </row>
    <row r="510" spans="1:43" x14ac:dyDescent="0.2">
      <c r="A510" t="s">
        <v>11749</v>
      </c>
      <c r="B510" t="s">
        <v>11037</v>
      </c>
      <c r="C510" t="s">
        <v>11305</v>
      </c>
      <c r="D510" t="s">
        <v>11309</v>
      </c>
      <c r="E510" t="s">
        <v>5389</v>
      </c>
      <c r="F510" t="s">
        <v>11309</v>
      </c>
      <c r="G510" s="1">
        <v>10281</v>
      </c>
      <c r="H510" s="2">
        <v>357367.56</v>
      </c>
      <c r="I510" s="2">
        <v>386976.84</v>
      </c>
      <c r="J510" s="2">
        <v>0</v>
      </c>
      <c r="K510" s="2">
        <v>0</v>
      </c>
      <c r="L510" s="2">
        <v>386976.84</v>
      </c>
      <c r="M510" s="3">
        <v>3764</v>
      </c>
      <c r="N510" s="4">
        <v>8.8040999999999998E-4</v>
      </c>
      <c r="O510" s="5" t="s">
        <v>44</v>
      </c>
      <c r="P510" s="5" t="s">
        <v>44</v>
      </c>
      <c r="Q510" s="1"/>
      <c r="R510" s="2"/>
      <c r="S510" s="6"/>
      <c r="T510" t="s">
        <v>10902</v>
      </c>
      <c r="U510" t="s">
        <v>10902</v>
      </c>
      <c r="V510" t="s">
        <v>10902</v>
      </c>
      <c r="W510" t="s">
        <v>43</v>
      </c>
      <c r="X510" t="s">
        <v>11310</v>
      </c>
      <c r="Y510" t="s">
        <v>11307</v>
      </c>
      <c r="Z510" t="s">
        <v>11305</v>
      </c>
      <c r="AA510" t="s">
        <v>44</v>
      </c>
      <c r="AB510" t="s">
        <v>44</v>
      </c>
      <c r="AC510" s="4"/>
      <c r="AD510" s="4"/>
      <c r="AE510" s="2">
        <v>0</v>
      </c>
      <c r="AF510" s="4">
        <v>0</v>
      </c>
      <c r="AG510" s="2">
        <v>0.21</v>
      </c>
      <c r="AH510" s="2">
        <v>386976.84</v>
      </c>
      <c r="AI510" s="2">
        <v>0</v>
      </c>
      <c r="AJ510" s="5">
        <v>44673</v>
      </c>
      <c r="AK510" t="s">
        <v>11750</v>
      </c>
      <c r="AL510" s="2">
        <v>0</v>
      </c>
      <c r="AM510" s="2">
        <v>0</v>
      </c>
      <c r="AN510" s="2">
        <v>0</v>
      </c>
      <c r="AO510" t="s">
        <v>44</v>
      </c>
      <c r="AP510" t="s">
        <v>11311</v>
      </c>
      <c r="AQ510" t="s">
        <v>5389</v>
      </c>
    </row>
    <row r="511" spans="1:43" x14ac:dyDescent="0.2">
      <c r="A511" t="s">
        <v>11749</v>
      </c>
      <c r="B511" t="s">
        <v>11037</v>
      </c>
      <c r="C511" t="s">
        <v>11305</v>
      </c>
      <c r="D511" t="s">
        <v>6609</v>
      </c>
      <c r="E511" t="s">
        <v>5271</v>
      </c>
      <c r="F511" t="s">
        <v>6609</v>
      </c>
      <c r="G511" s="1">
        <v>18000</v>
      </c>
      <c r="H511" s="2">
        <v>180628</v>
      </c>
      <c r="I511" s="2">
        <v>304020</v>
      </c>
      <c r="J511" s="2">
        <v>0</v>
      </c>
      <c r="K511" s="2">
        <v>0</v>
      </c>
      <c r="L511" s="2">
        <v>304020</v>
      </c>
      <c r="M511" s="3">
        <v>1689</v>
      </c>
      <c r="N511" s="4">
        <v>6.9167999999999996E-4</v>
      </c>
      <c r="O511" s="5" t="s">
        <v>44</v>
      </c>
      <c r="P511" s="5" t="s">
        <v>44</v>
      </c>
      <c r="Q511" s="1"/>
      <c r="R511" s="2"/>
      <c r="S511" s="6"/>
      <c r="T511" t="s">
        <v>10902</v>
      </c>
      <c r="U511" t="s">
        <v>10902</v>
      </c>
      <c r="V511" t="s">
        <v>10902</v>
      </c>
      <c r="W511" t="s">
        <v>43</v>
      </c>
      <c r="X511" t="s">
        <v>11306</v>
      </c>
      <c r="Y511" t="s">
        <v>11307</v>
      </c>
      <c r="Z511" t="s">
        <v>11305</v>
      </c>
      <c r="AA511" t="s">
        <v>44</v>
      </c>
      <c r="AB511" t="s">
        <v>44</v>
      </c>
      <c r="AC511" s="4"/>
      <c r="AD511" s="4"/>
      <c r="AE511" s="2">
        <v>0</v>
      </c>
      <c r="AF511" s="4">
        <v>0</v>
      </c>
      <c r="AG511" s="2">
        <v>0.17</v>
      </c>
      <c r="AH511" s="2">
        <v>304020</v>
      </c>
      <c r="AI511" s="2">
        <v>0</v>
      </c>
      <c r="AJ511" s="5">
        <v>44673</v>
      </c>
      <c r="AK511" t="s">
        <v>11750</v>
      </c>
      <c r="AL511" s="2">
        <v>0</v>
      </c>
      <c r="AM511" s="2">
        <v>0</v>
      </c>
      <c r="AN511" s="2">
        <v>0</v>
      </c>
      <c r="AO511" t="s">
        <v>44</v>
      </c>
      <c r="AP511" t="s">
        <v>11312</v>
      </c>
      <c r="AQ511" t="s">
        <v>5271</v>
      </c>
    </row>
    <row r="512" spans="1:43" x14ac:dyDescent="0.2">
      <c r="A512" t="s">
        <v>11749</v>
      </c>
      <c r="B512" t="s">
        <v>11037</v>
      </c>
      <c r="C512" t="s">
        <v>11305</v>
      </c>
      <c r="D512" t="s">
        <v>6372</v>
      </c>
      <c r="E512" t="s">
        <v>6607</v>
      </c>
      <c r="F512" t="s">
        <v>6372</v>
      </c>
      <c r="G512" s="1">
        <v>6000</v>
      </c>
      <c r="H512" s="2">
        <v>517502.81</v>
      </c>
      <c r="I512" s="2">
        <v>670380</v>
      </c>
      <c r="J512" s="2">
        <v>0</v>
      </c>
      <c r="K512" s="2">
        <v>0</v>
      </c>
      <c r="L512" s="2">
        <v>670380</v>
      </c>
      <c r="M512" s="3">
        <v>11173</v>
      </c>
      <c r="N512" s="4">
        <v>1.5251900000000001E-3</v>
      </c>
      <c r="O512" s="5" t="s">
        <v>44</v>
      </c>
      <c r="P512" s="5" t="s">
        <v>44</v>
      </c>
      <c r="Q512" s="1"/>
      <c r="R512" s="2"/>
      <c r="S512" s="6"/>
      <c r="T512" t="s">
        <v>10902</v>
      </c>
      <c r="U512" t="s">
        <v>10902</v>
      </c>
      <c r="V512" t="s">
        <v>10902</v>
      </c>
      <c r="W512" t="s">
        <v>43</v>
      </c>
      <c r="X512" t="s">
        <v>11306</v>
      </c>
      <c r="Y512" t="s">
        <v>11307</v>
      </c>
      <c r="Z512" t="s">
        <v>11305</v>
      </c>
      <c r="AA512" t="s">
        <v>44</v>
      </c>
      <c r="AB512" t="s">
        <v>44</v>
      </c>
      <c r="AC512" s="4"/>
      <c r="AD512" s="4"/>
      <c r="AE512" s="2">
        <v>0</v>
      </c>
      <c r="AF512" s="4">
        <v>0</v>
      </c>
      <c r="AG512" s="2">
        <v>0.36</v>
      </c>
      <c r="AH512" s="2">
        <v>670380</v>
      </c>
      <c r="AI512" s="2">
        <v>0</v>
      </c>
      <c r="AJ512" s="5">
        <v>44673</v>
      </c>
      <c r="AK512" t="s">
        <v>11750</v>
      </c>
      <c r="AL512" s="2">
        <v>0</v>
      </c>
      <c r="AM512" s="2">
        <v>0</v>
      </c>
      <c r="AN512" s="2">
        <v>0</v>
      </c>
      <c r="AO512" t="s">
        <v>44</v>
      </c>
      <c r="AP512" t="s">
        <v>11313</v>
      </c>
      <c r="AQ512" t="s">
        <v>6607</v>
      </c>
    </row>
    <row r="513" spans="1:43" x14ac:dyDescent="0.2">
      <c r="A513" t="s">
        <v>11749</v>
      </c>
      <c r="B513" t="s">
        <v>11037</v>
      </c>
      <c r="C513" t="s">
        <v>11305</v>
      </c>
      <c r="D513" t="s">
        <v>11694</v>
      </c>
      <c r="E513" t="s">
        <v>6518</v>
      </c>
      <c r="F513" t="s">
        <v>11694</v>
      </c>
      <c r="G513" s="1">
        <v>1160</v>
      </c>
      <c r="H513" s="2">
        <v>123076</v>
      </c>
      <c r="I513" s="2">
        <v>149245.6</v>
      </c>
      <c r="J513" s="2">
        <v>0</v>
      </c>
      <c r="K513" s="2">
        <v>0</v>
      </c>
      <c r="L513" s="2">
        <v>149245.6</v>
      </c>
      <c r="M513" s="3">
        <v>12866</v>
      </c>
      <c r="N513" s="4">
        <v>3.3954999999999999E-4</v>
      </c>
      <c r="O513" s="5" t="s">
        <v>44</v>
      </c>
      <c r="P513" s="5" t="s">
        <v>44</v>
      </c>
      <c r="Q513" s="1"/>
      <c r="R513" s="2"/>
      <c r="S513" s="6"/>
      <c r="T513" t="s">
        <v>10902</v>
      </c>
      <c r="U513" t="s">
        <v>10902</v>
      </c>
      <c r="V513" t="s">
        <v>10902</v>
      </c>
      <c r="W513" t="s">
        <v>43</v>
      </c>
      <c r="X513" t="s">
        <v>44</v>
      </c>
      <c r="Y513" t="s">
        <v>11695</v>
      </c>
      <c r="Z513" t="s">
        <v>11305</v>
      </c>
      <c r="AA513" t="s">
        <v>44</v>
      </c>
      <c r="AB513" t="s">
        <v>44</v>
      </c>
      <c r="AC513" s="4"/>
      <c r="AD513" s="4"/>
      <c r="AE513" s="2">
        <v>0</v>
      </c>
      <c r="AF513" s="4">
        <v>0</v>
      </c>
      <c r="AG513" s="2">
        <v>0.08</v>
      </c>
      <c r="AH513" s="2">
        <v>149245.6</v>
      </c>
      <c r="AI513" s="2">
        <v>0</v>
      </c>
      <c r="AJ513" s="5">
        <v>44673</v>
      </c>
      <c r="AK513" t="s">
        <v>11750</v>
      </c>
      <c r="AL513" s="2">
        <v>0</v>
      </c>
      <c r="AM513" s="2">
        <v>0</v>
      </c>
      <c r="AN513" s="2">
        <v>0</v>
      </c>
      <c r="AO513" t="s">
        <v>44</v>
      </c>
      <c r="AP513" t="s">
        <v>11696</v>
      </c>
      <c r="AQ513" t="s">
        <v>6518</v>
      </c>
    </row>
    <row r="514" spans="1:43" x14ac:dyDescent="0.2">
      <c r="A514" t="s">
        <v>11749</v>
      </c>
      <c r="B514" t="s">
        <v>11037</v>
      </c>
      <c r="C514" t="s">
        <v>11305</v>
      </c>
      <c r="D514" t="s">
        <v>11314</v>
      </c>
      <c r="E514" t="s">
        <v>6750</v>
      </c>
      <c r="F514" t="s">
        <v>11314</v>
      </c>
      <c r="G514" s="1">
        <v>60700</v>
      </c>
      <c r="H514" s="2">
        <v>1102075.18</v>
      </c>
      <c r="I514" s="2">
        <v>1323867</v>
      </c>
      <c r="J514" s="2">
        <v>0</v>
      </c>
      <c r="K514" s="2">
        <v>0</v>
      </c>
      <c r="L514" s="2">
        <v>1323867</v>
      </c>
      <c r="M514" s="3">
        <v>2181</v>
      </c>
      <c r="N514" s="4">
        <v>3.0119399999999998E-3</v>
      </c>
      <c r="O514" s="5" t="s">
        <v>44</v>
      </c>
      <c r="P514" s="5" t="s">
        <v>44</v>
      </c>
      <c r="Q514" s="1"/>
      <c r="R514" s="2"/>
      <c r="S514" s="6"/>
      <c r="T514" t="s">
        <v>10902</v>
      </c>
      <c r="U514" t="s">
        <v>10902</v>
      </c>
      <c r="V514" t="s">
        <v>10902</v>
      </c>
      <c r="W514" t="s">
        <v>43</v>
      </c>
      <c r="X514" t="s">
        <v>11306</v>
      </c>
      <c r="Y514" t="s">
        <v>11307</v>
      </c>
      <c r="Z514" t="s">
        <v>11305</v>
      </c>
      <c r="AA514" t="s">
        <v>44</v>
      </c>
      <c r="AB514" t="s">
        <v>44</v>
      </c>
      <c r="AC514" s="4"/>
      <c r="AD514" s="4"/>
      <c r="AE514" s="2">
        <v>0</v>
      </c>
      <c r="AF514" s="4">
        <v>0</v>
      </c>
      <c r="AG514" s="2">
        <v>0.72</v>
      </c>
      <c r="AH514" s="2">
        <v>1323867</v>
      </c>
      <c r="AI514" s="2">
        <v>0</v>
      </c>
      <c r="AJ514" s="5">
        <v>44673</v>
      </c>
      <c r="AK514" t="s">
        <v>11750</v>
      </c>
      <c r="AL514" s="2">
        <v>0</v>
      </c>
      <c r="AM514" s="2">
        <v>0</v>
      </c>
      <c r="AN514" s="2">
        <v>0</v>
      </c>
      <c r="AO514" t="s">
        <v>44</v>
      </c>
      <c r="AP514" t="s">
        <v>11315</v>
      </c>
      <c r="AQ514" t="s">
        <v>6750</v>
      </c>
    </row>
    <row r="515" spans="1:43" x14ac:dyDescent="0.2">
      <c r="A515" t="s">
        <v>11749</v>
      </c>
      <c r="B515" t="s">
        <v>11037</v>
      </c>
      <c r="C515" t="s">
        <v>11305</v>
      </c>
      <c r="D515" t="s">
        <v>11316</v>
      </c>
      <c r="E515" t="s">
        <v>5173</v>
      </c>
      <c r="F515" t="s">
        <v>11316</v>
      </c>
      <c r="G515" s="1">
        <v>13738</v>
      </c>
      <c r="H515" s="2">
        <v>859378.95</v>
      </c>
      <c r="I515" s="2">
        <v>821669.78</v>
      </c>
      <c r="J515" s="2">
        <v>0</v>
      </c>
      <c r="K515" s="2">
        <v>0</v>
      </c>
      <c r="L515" s="2">
        <v>821669.78</v>
      </c>
      <c r="M515" s="3">
        <v>5981</v>
      </c>
      <c r="N515" s="4">
        <v>1.8693900000000001E-3</v>
      </c>
      <c r="O515" s="5" t="s">
        <v>44</v>
      </c>
      <c r="P515" s="5" t="s">
        <v>44</v>
      </c>
      <c r="Q515" s="1"/>
      <c r="R515" s="2"/>
      <c r="S515" s="6"/>
      <c r="T515" t="s">
        <v>10902</v>
      </c>
      <c r="U515" t="s">
        <v>10902</v>
      </c>
      <c r="V515" t="s">
        <v>10902</v>
      </c>
      <c r="W515" t="s">
        <v>43</v>
      </c>
      <c r="X515" t="s">
        <v>11310</v>
      </c>
      <c r="Y515" t="s">
        <v>11307</v>
      </c>
      <c r="Z515" t="s">
        <v>11305</v>
      </c>
      <c r="AA515" t="s">
        <v>44</v>
      </c>
      <c r="AB515" t="s">
        <v>44</v>
      </c>
      <c r="AC515" s="4"/>
      <c r="AD515" s="4"/>
      <c r="AE515" s="2">
        <v>0</v>
      </c>
      <c r="AF515" s="4">
        <v>0</v>
      </c>
      <c r="AG515" s="2">
        <v>0.45</v>
      </c>
      <c r="AH515" s="2">
        <v>821669.78</v>
      </c>
      <c r="AI515" s="2">
        <v>0</v>
      </c>
      <c r="AJ515" s="5">
        <v>44673</v>
      </c>
      <c r="AK515" t="s">
        <v>11750</v>
      </c>
      <c r="AL515" s="2">
        <v>0</v>
      </c>
      <c r="AM515" s="2">
        <v>0</v>
      </c>
      <c r="AN515" s="2">
        <v>0</v>
      </c>
      <c r="AO515" t="s">
        <v>44</v>
      </c>
      <c r="AP515" t="s">
        <v>11317</v>
      </c>
      <c r="AQ515" t="s">
        <v>5173</v>
      </c>
    </row>
    <row r="516" spans="1:43" x14ac:dyDescent="0.2">
      <c r="A516" t="s">
        <v>11749</v>
      </c>
      <c r="B516" t="s">
        <v>11037</v>
      </c>
      <c r="C516" t="s">
        <v>11305</v>
      </c>
      <c r="D516" t="s">
        <v>11698</v>
      </c>
      <c r="E516" t="s">
        <v>4919</v>
      </c>
      <c r="F516" t="s">
        <v>11698</v>
      </c>
      <c r="G516" s="1">
        <v>7000</v>
      </c>
      <c r="H516" s="2">
        <v>1129527.06</v>
      </c>
      <c r="I516" s="2">
        <v>1163400</v>
      </c>
      <c r="J516" s="2">
        <v>0</v>
      </c>
      <c r="K516" s="2">
        <v>0</v>
      </c>
      <c r="L516" s="2">
        <v>1163400</v>
      </c>
      <c r="M516" s="3">
        <v>16620</v>
      </c>
      <c r="N516" s="4">
        <v>2.64686E-3</v>
      </c>
      <c r="O516" s="5" t="s">
        <v>44</v>
      </c>
      <c r="P516" s="5" t="s">
        <v>44</v>
      </c>
      <c r="Q516" s="1"/>
      <c r="R516" s="2"/>
      <c r="S516" s="6"/>
      <c r="T516" t="s">
        <v>10902</v>
      </c>
      <c r="U516" t="s">
        <v>10902</v>
      </c>
      <c r="V516" t="s">
        <v>10902</v>
      </c>
      <c r="W516" t="s">
        <v>43</v>
      </c>
      <c r="X516" t="s">
        <v>11310</v>
      </c>
      <c r="Y516" t="s">
        <v>11307</v>
      </c>
      <c r="Z516" t="s">
        <v>11305</v>
      </c>
      <c r="AA516" t="s">
        <v>44</v>
      </c>
      <c r="AB516" t="s">
        <v>44</v>
      </c>
      <c r="AC516" s="4"/>
      <c r="AD516" s="4"/>
      <c r="AE516" s="2">
        <v>0</v>
      </c>
      <c r="AF516" s="4">
        <v>0</v>
      </c>
      <c r="AG516" s="2">
        <v>0.63</v>
      </c>
      <c r="AH516" s="2">
        <v>1163400</v>
      </c>
      <c r="AI516" s="2">
        <v>0</v>
      </c>
      <c r="AJ516" s="5">
        <v>44673</v>
      </c>
      <c r="AK516" t="s">
        <v>11750</v>
      </c>
      <c r="AL516" s="2">
        <v>0</v>
      </c>
      <c r="AM516" s="2">
        <v>0</v>
      </c>
      <c r="AN516" s="2">
        <v>0</v>
      </c>
      <c r="AO516" t="s">
        <v>44</v>
      </c>
      <c r="AP516" t="s">
        <v>11699</v>
      </c>
      <c r="AQ516" t="s">
        <v>4919</v>
      </c>
    </row>
    <row r="517" spans="1:43" x14ac:dyDescent="0.2">
      <c r="A517" t="s">
        <v>11749</v>
      </c>
      <c r="B517" t="s">
        <v>11037</v>
      </c>
      <c r="C517" t="s">
        <v>11305</v>
      </c>
      <c r="D517" t="s">
        <v>6224</v>
      </c>
      <c r="E517" t="s">
        <v>3901</v>
      </c>
      <c r="F517" t="s">
        <v>6224</v>
      </c>
      <c r="G517" s="1">
        <v>13708</v>
      </c>
      <c r="H517" s="2">
        <v>901819.94</v>
      </c>
      <c r="I517" s="2">
        <v>763809.76</v>
      </c>
      <c r="J517" s="2">
        <v>0</v>
      </c>
      <c r="K517" s="2">
        <v>0</v>
      </c>
      <c r="L517" s="2">
        <v>763809.76</v>
      </c>
      <c r="M517" s="3">
        <v>5572</v>
      </c>
      <c r="N517" s="4">
        <v>1.7377499999999999E-3</v>
      </c>
      <c r="O517" s="5" t="s">
        <v>44</v>
      </c>
      <c r="P517" s="5" t="s">
        <v>44</v>
      </c>
      <c r="Q517" s="1"/>
      <c r="R517" s="2"/>
      <c r="S517" s="6"/>
      <c r="T517" t="s">
        <v>10902</v>
      </c>
      <c r="U517" t="s">
        <v>10902</v>
      </c>
      <c r="V517" t="s">
        <v>10902</v>
      </c>
      <c r="W517" t="s">
        <v>43</v>
      </c>
      <c r="X517" t="s">
        <v>11306</v>
      </c>
      <c r="Y517" t="s">
        <v>11307</v>
      </c>
      <c r="Z517" t="s">
        <v>11305</v>
      </c>
      <c r="AA517" t="s">
        <v>44</v>
      </c>
      <c r="AB517" t="s">
        <v>44</v>
      </c>
      <c r="AC517" s="4"/>
      <c r="AD517" s="4"/>
      <c r="AE517" s="2">
        <v>0</v>
      </c>
      <c r="AF517" s="4">
        <v>0</v>
      </c>
      <c r="AG517" s="2">
        <v>0.41</v>
      </c>
      <c r="AH517" s="2">
        <v>763809.76</v>
      </c>
      <c r="AI517" s="2">
        <v>0</v>
      </c>
      <c r="AJ517" s="5">
        <v>44673</v>
      </c>
      <c r="AK517" t="s">
        <v>11750</v>
      </c>
      <c r="AL517" s="2">
        <v>0</v>
      </c>
      <c r="AM517" s="2">
        <v>0</v>
      </c>
      <c r="AN517" s="2">
        <v>0</v>
      </c>
      <c r="AO517" t="s">
        <v>44</v>
      </c>
      <c r="AP517" t="s">
        <v>11320</v>
      </c>
      <c r="AQ517" t="s">
        <v>3901</v>
      </c>
    </row>
    <row r="518" spans="1:43" x14ac:dyDescent="0.2">
      <c r="A518" t="s">
        <v>11749</v>
      </c>
      <c r="B518" t="s">
        <v>11037</v>
      </c>
      <c r="C518" t="s">
        <v>11195</v>
      </c>
      <c r="D518" t="s">
        <v>6419</v>
      </c>
      <c r="E518" t="s">
        <v>5072</v>
      </c>
      <c r="F518" t="s">
        <v>6419</v>
      </c>
      <c r="G518" s="1">
        <v>10275</v>
      </c>
      <c r="H518" s="2">
        <v>710619</v>
      </c>
      <c r="I518" s="2">
        <v>431139</v>
      </c>
      <c r="J518" s="2">
        <v>0</v>
      </c>
      <c r="K518" s="2">
        <v>0</v>
      </c>
      <c r="L518" s="2">
        <v>431139</v>
      </c>
      <c r="M518" s="3">
        <v>4196</v>
      </c>
      <c r="N518" s="4">
        <v>9.808900000000001E-4</v>
      </c>
      <c r="O518" s="5" t="s">
        <v>44</v>
      </c>
      <c r="P518" s="5" t="s">
        <v>44</v>
      </c>
      <c r="Q518" s="1"/>
      <c r="R518" s="2"/>
      <c r="S518" s="6"/>
      <c r="T518" t="s">
        <v>10902</v>
      </c>
      <c r="U518" t="s">
        <v>10902</v>
      </c>
      <c r="V518" t="s">
        <v>10902</v>
      </c>
      <c r="W518" t="s">
        <v>43</v>
      </c>
      <c r="X518" t="s">
        <v>11327</v>
      </c>
      <c r="Y518" t="s">
        <v>11198</v>
      </c>
      <c r="Z518" t="s">
        <v>11195</v>
      </c>
      <c r="AA518" t="s">
        <v>44</v>
      </c>
      <c r="AB518" t="s">
        <v>44</v>
      </c>
      <c r="AC518" s="4"/>
      <c r="AD518" s="4"/>
      <c r="AE518" s="2">
        <v>0</v>
      </c>
      <c r="AF518" s="4">
        <v>0</v>
      </c>
      <c r="AG518" s="2">
        <v>0.23</v>
      </c>
      <c r="AH518" s="2">
        <v>431139</v>
      </c>
      <c r="AI518" s="2">
        <v>0</v>
      </c>
      <c r="AJ518" s="5">
        <v>44673</v>
      </c>
      <c r="AK518" t="s">
        <v>11750</v>
      </c>
      <c r="AL518" s="2">
        <v>0</v>
      </c>
      <c r="AM518" s="2">
        <v>0</v>
      </c>
      <c r="AN518" s="2">
        <v>0</v>
      </c>
      <c r="AO518" t="s">
        <v>44</v>
      </c>
      <c r="AP518" t="s">
        <v>11328</v>
      </c>
      <c r="AQ518" t="s">
        <v>5072</v>
      </c>
    </row>
    <row r="519" spans="1:43" x14ac:dyDescent="0.2">
      <c r="A519" t="s">
        <v>11749</v>
      </c>
      <c r="B519" t="s">
        <v>11037</v>
      </c>
      <c r="C519" t="s">
        <v>11195</v>
      </c>
      <c r="D519" t="s">
        <v>11704</v>
      </c>
      <c r="E519" t="s">
        <v>3205</v>
      </c>
      <c r="F519" t="s">
        <v>11704</v>
      </c>
      <c r="G519" s="1">
        <v>3150</v>
      </c>
      <c r="H519" s="2">
        <v>394229.62</v>
      </c>
      <c r="I519" s="2">
        <v>518490</v>
      </c>
      <c r="J519" s="2">
        <v>0</v>
      </c>
      <c r="K519" s="2">
        <v>0</v>
      </c>
      <c r="L519" s="2">
        <v>518490</v>
      </c>
      <c r="M519" s="3">
        <v>16460</v>
      </c>
      <c r="N519" s="4">
        <v>1.1796199999999999E-3</v>
      </c>
      <c r="O519" s="5" t="s">
        <v>44</v>
      </c>
      <c r="P519" s="5" t="s">
        <v>44</v>
      </c>
      <c r="Q519" s="1"/>
      <c r="R519" s="2"/>
      <c r="S519" s="6"/>
      <c r="T519" t="s">
        <v>10902</v>
      </c>
      <c r="U519" t="s">
        <v>10902</v>
      </c>
      <c r="V519" t="s">
        <v>10902</v>
      </c>
      <c r="W519" t="s">
        <v>43</v>
      </c>
      <c r="X519" t="s">
        <v>11334</v>
      </c>
      <c r="Y519" t="s">
        <v>11335</v>
      </c>
      <c r="Z519" t="s">
        <v>11195</v>
      </c>
      <c r="AA519" t="s">
        <v>44</v>
      </c>
      <c r="AB519" t="s">
        <v>44</v>
      </c>
      <c r="AC519" s="4"/>
      <c r="AD519" s="4"/>
      <c r="AE519" s="2">
        <v>0</v>
      </c>
      <c r="AF519" s="4">
        <v>0</v>
      </c>
      <c r="AG519" s="2">
        <v>0.28000000000000003</v>
      </c>
      <c r="AH519" s="2">
        <v>518490</v>
      </c>
      <c r="AI519" s="2">
        <v>0</v>
      </c>
      <c r="AJ519" s="5">
        <v>44673</v>
      </c>
      <c r="AK519" t="s">
        <v>11750</v>
      </c>
      <c r="AL519" s="2">
        <v>0</v>
      </c>
      <c r="AM519" s="2">
        <v>0</v>
      </c>
      <c r="AN519" s="2">
        <v>0</v>
      </c>
      <c r="AO519" t="s">
        <v>44</v>
      </c>
      <c r="AP519" t="s">
        <v>11705</v>
      </c>
      <c r="AQ519" t="s">
        <v>3205</v>
      </c>
    </row>
    <row r="520" spans="1:43" x14ac:dyDescent="0.2">
      <c r="A520" t="s">
        <v>11749</v>
      </c>
      <c r="B520" t="s">
        <v>11037</v>
      </c>
      <c r="C520" t="s">
        <v>11195</v>
      </c>
      <c r="D520" t="s">
        <v>11196</v>
      </c>
      <c r="E520" t="s">
        <v>5755</v>
      </c>
      <c r="F520" t="s">
        <v>11196</v>
      </c>
      <c r="G520" s="1">
        <v>26181</v>
      </c>
      <c r="H520" s="2">
        <v>447759.96</v>
      </c>
      <c r="I520" s="2">
        <v>564985.98</v>
      </c>
      <c r="J520" s="2">
        <v>0</v>
      </c>
      <c r="K520" s="2">
        <v>0</v>
      </c>
      <c r="L520" s="2">
        <v>564985.98</v>
      </c>
      <c r="M520" s="3">
        <v>2158</v>
      </c>
      <c r="N520" s="4">
        <v>1.2853999999999999E-3</v>
      </c>
      <c r="O520" s="5" t="s">
        <v>44</v>
      </c>
      <c r="P520" s="5" t="s">
        <v>44</v>
      </c>
      <c r="Q520" s="1"/>
      <c r="R520" s="2"/>
      <c r="S520" s="6"/>
      <c r="T520" t="s">
        <v>10902</v>
      </c>
      <c r="U520" t="s">
        <v>10902</v>
      </c>
      <c r="V520" t="s">
        <v>10902</v>
      </c>
      <c r="W520" t="s">
        <v>43</v>
      </c>
      <c r="X520" t="s">
        <v>11197</v>
      </c>
      <c r="Y520" t="s">
        <v>11198</v>
      </c>
      <c r="Z520" t="s">
        <v>11195</v>
      </c>
      <c r="AA520" t="s">
        <v>44</v>
      </c>
      <c r="AB520" t="s">
        <v>44</v>
      </c>
      <c r="AC520" s="4"/>
      <c r="AD520" s="4"/>
      <c r="AE520" s="2">
        <v>0</v>
      </c>
      <c r="AF520" s="4">
        <v>0</v>
      </c>
      <c r="AG520" s="2">
        <v>0.31</v>
      </c>
      <c r="AH520" s="2">
        <v>564985.98</v>
      </c>
      <c r="AI520" s="2">
        <v>0</v>
      </c>
      <c r="AJ520" s="5">
        <v>44673</v>
      </c>
      <c r="AK520" t="s">
        <v>11750</v>
      </c>
      <c r="AL520" s="2">
        <v>0</v>
      </c>
      <c r="AM520" s="2">
        <v>0</v>
      </c>
      <c r="AN520" s="2">
        <v>0</v>
      </c>
      <c r="AO520" t="s">
        <v>44</v>
      </c>
      <c r="AP520" t="s">
        <v>11199</v>
      </c>
      <c r="AQ520" t="s">
        <v>5755</v>
      </c>
    </row>
    <row r="521" spans="1:43" x14ac:dyDescent="0.2">
      <c r="A521" t="s">
        <v>11749</v>
      </c>
      <c r="B521" t="s">
        <v>11037</v>
      </c>
      <c r="C521" t="s">
        <v>11195</v>
      </c>
      <c r="D521" t="s">
        <v>11706</v>
      </c>
      <c r="E521" t="s">
        <v>4801</v>
      </c>
      <c r="F521" t="s">
        <v>11706</v>
      </c>
      <c r="G521" s="1">
        <v>25292</v>
      </c>
      <c r="H521" s="2">
        <v>1668746.97</v>
      </c>
      <c r="I521" s="2">
        <v>1759564.44</v>
      </c>
      <c r="J521" s="2">
        <v>0</v>
      </c>
      <c r="K521" s="2">
        <v>0</v>
      </c>
      <c r="L521" s="2">
        <v>1759564.44</v>
      </c>
      <c r="M521" s="3">
        <v>6957</v>
      </c>
      <c r="N521" s="4">
        <v>4.0032000000000002E-3</v>
      </c>
      <c r="O521" s="5" t="s">
        <v>44</v>
      </c>
      <c r="P521" s="5" t="s">
        <v>44</v>
      </c>
      <c r="Q521" s="1"/>
      <c r="R521" s="2"/>
      <c r="S521" s="6"/>
      <c r="T521" t="s">
        <v>10902</v>
      </c>
      <c r="U521" t="s">
        <v>10902</v>
      </c>
      <c r="V521" t="s">
        <v>10902</v>
      </c>
      <c r="W521" t="s">
        <v>43</v>
      </c>
      <c r="X521" t="s">
        <v>11034</v>
      </c>
      <c r="Y521" t="s">
        <v>11034</v>
      </c>
      <c r="Z521" t="s">
        <v>11195</v>
      </c>
      <c r="AA521" t="s">
        <v>44</v>
      </c>
      <c r="AB521" t="s">
        <v>44</v>
      </c>
      <c r="AC521" s="4"/>
      <c r="AD521" s="4"/>
      <c r="AE521" s="2">
        <v>0</v>
      </c>
      <c r="AF521" s="4">
        <v>0</v>
      </c>
      <c r="AG521" s="2">
        <v>0.96</v>
      </c>
      <c r="AH521" s="2">
        <v>1759564.44</v>
      </c>
      <c r="AI521" s="2">
        <v>0</v>
      </c>
      <c r="AJ521" s="5">
        <v>44673</v>
      </c>
      <c r="AK521" t="s">
        <v>11750</v>
      </c>
      <c r="AL521" s="2">
        <v>0</v>
      </c>
      <c r="AM521" s="2">
        <v>0</v>
      </c>
      <c r="AN521" s="2">
        <v>0</v>
      </c>
      <c r="AO521" t="s">
        <v>44</v>
      </c>
      <c r="AP521" t="s">
        <v>11707</v>
      </c>
      <c r="AQ521" t="s">
        <v>4801</v>
      </c>
    </row>
    <row r="522" spans="1:43" x14ac:dyDescent="0.2">
      <c r="A522" t="s">
        <v>11749</v>
      </c>
      <c r="B522" t="s">
        <v>11037</v>
      </c>
      <c r="C522" t="s">
        <v>11195</v>
      </c>
      <c r="D522" t="s">
        <v>11200</v>
      </c>
      <c r="E522" t="s">
        <v>5277</v>
      </c>
      <c r="F522" t="s">
        <v>11200</v>
      </c>
      <c r="G522" s="1">
        <v>52397</v>
      </c>
      <c r="H522" s="2">
        <v>775458.4</v>
      </c>
      <c r="I522" s="2">
        <v>653390.59</v>
      </c>
      <c r="J522" s="2">
        <v>0</v>
      </c>
      <c r="K522" s="2">
        <v>0</v>
      </c>
      <c r="L522" s="2">
        <v>653390.59</v>
      </c>
      <c r="M522" s="3">
        <v>1247</v>
      </c>
      <c r="N522" s="4">
        <v>1.48653E-3</v>
      </c>
      <c r="O522" s="5" t="s">
        <v>44</v>
      </c>
      <c r="P522" s="5" t="s">
        <v>44</v>
      </c>
      <c r="Q522" s="1"/>
      <c r="R522" s="2"/>
      <c r="S522" s="6"/>
      <c r="T522" t="s">
        <v>10902</v>
      </c>
      <c r="U522" t="s">
        <v>10902</v>
      </c>
      <c r="V522" t="s">
        <v>10902</v>
      </c>
      <c r="W522" t="s">
        <v>43</v>
      </c>
      <c r="X522" t="s">
        <v>11197</v>
      </c>
      <c r="Y522" t="s">
        <v>11198</v>
      </c>
      <c r="Z522" t="s">
        <v>11195</v>
      </c>
      <c r="AA522" t="s">
        <v>44</v>
      </c>
      <c r="AB522" t="s">
        <v>44</v>
      </c>
      <c r="AC522" s="4"/>
      <c r="AD522" s="4"/>
      <c r="AE522" s="2">
        <v>0</v>
      </c>
      <c r="AF522" s="4">
        <v>0</v>
      </c>
      <c r="AG522" s="2">
        <v>0.35</v>
      </c>
      <c r="AH522" s="2">
        <v>653390.59</v>
      </c>
      <c r="AI522" s="2">
        <v>0</v>
      </c>
      <c r="AJ522" s="5">
        <v>44673</v>
      </c>
      <c r="AK522" t="s">
        <v>11750</v>
      </c>
      <c r="AL522" s="2">
        <v>0</v>
      </c>
      <c r="AM522" s="2">
        <v>0</v>
      </c>
      <c r="AN522" s="2">
        <v>0</v>
      </c>
      <c r="AO522" t="s">
        <v>44</v>
      </c>
      <c r="AP522" t="s">
        <v>11201</v>
      </c>
      <c r="AQ522" t="s">
        <v>5277</v>
      </c>
    </row>
    <row r="523" spans="1:43" x14ac:dyDescent="0.2">
      <c r="A523" t="s">
        <v>11749</v>
      </c>
      <c r="B523" t="s">
        <v>11037</v>
      </c>
      <c r="C523" t="s">
        <v>11195</v>
      </c>
      <c r="D523" t="s">
        <v>6332</v>
      </c>
      <c r="E523" t="s">
        <v>3152</v>
      </c>
      <c r="F523" t="s">
        <v>6332</v>
      </c>
      <c r="G523" s="1">
        <v>6085</v>
      </c>
      <c r="H523" s="2">
        <v>177802.93</v>
      </c>
      <c r="I523" s="2">
        <v>219546.8</v>
      </c>
      <c r="J523" s="2">
        <v>0</v>
      </c>
      <c r="K523" s="2">
        <v>0</v>
      </c>
      <c r="L523" s="2">
        <v>219546.8</v>
      </c>
      <c r="M523" s="3">
        <v>3608</v>
      </c>
      <c r="N523" s="4">
        <v>4.9949E-4</v>
      </c>
      <c r="O523" s="5" t="s">
        <v>44</v>
      </c>
      <c r="P523" s="5" t="s">
        <v>44</v>
      </c>
      <c r="Q523" s="1"/>
      <c r="R523" s="2"/>
      <c r="S523" s="6"/>
      <c r="T523" t="s">
        <v>10902</v>
      </c>
      <c r="U523" t="s">
        <v>10902</v>
      </c>
      <c r="V523" t="s">
        <v>10902</v>
      </c>
      <c r="W523" t="s">
        <v>43</v>
      </c>
      <c r="X523" t="s">
        <v>11197</v>
      </c>
      <c r="Y523" t="s">
        <v>11198</v>
      </c>
      <c r="Z523" t="s">
        <v>11195</v>
      </c>
      <c r="AA523" t="s">
        <v>44</v>
      </c>
      <c r="AB523" t="s">
        <v>44</v>
      </c>
      <c r="AC523" s="4"/>
      <c r="AD523" s="4"/>
      <c r="AE523" s="2">
        <v>0</v>
      </c>
      <c r="AF523" s="4">
        <v>0</v>
      </c>
      <c r="AG523" s="2">
        <v>0.12</v>
      </c>
      <c r="AH523" s="2">
        <v>219546.8</v>
      </c>
      <c r="AI523" s="2">
        <v>0</v>
      </c>
      <c r="AJ523" s="5">
        <v>44673</v>
      </c>
      <c r="AK523" t="s">
        <v>11750</v>
      </c>
      <c r="AL523" s="2">
        <v>0</v>
      </c>
      <c r="AM523" s="2">
        <v>0</v>
      </c>
      <c r="AN523" s="2">
        <v>0</v>
      </c>
      <c r="AO523" t="s">
        <v>44</v>
      </c>
      <c r="AP523" t="s">
        <v>11203</v>
      </c>
      <c r="AQ523" t="s">
        <v>3152</v>
      </c>
    </row>
    <row r="524" spans="1:43" x14ac:dyDescent="0.2">
      <c r="A524" t="s">
        <v>11749</v>
      </c>
      <c r="B524" t="s">
        <v>11037</v>
      </c>
      <c r="C524" t="s">
        <v>11195</v>
      </c>
      <c r="D524" t="s">
        <v>11710</v>
      </c>
      <c r="E524" t="s">
        <v>5671</v>
      </c>
      <c r="F524" t="s">
        <v>11710</v>
      </c>
      <c r="G524" s="1">
        <v>15000</v>
      </c>
      <c r="H524" s="2">
        <v>138136.76999999999</v>
      </c>
      <c r="I524" s="2">
        <v>184500</v>
      </c>
      <c r="J524" s="2">
        <v>0</v>
      </c>
      <c r="K524" s="2">
        <v>0</v>
      </c>
      <c r="L524" s="2">
        <v>184500</v>
      </c>
      <c r="M524" s="3">
        <v>1230</v>
      </c>
      <c r="N524" s="4">
        <v>4.1975999999999998E-4</v>
      </c>
      <c r="O524" s="5" t="s">
        <v>44</v>
      </c>
      <c r="P524" s="5" t="s">
        <v>44</v>
      </c>
      <c r="Q524" s="1"/>
      <c r="R524" s="2"/>
      <c r="S524" s="6"/>
      <c r="T524" t="s">
        <v>10902</v>
      </c>
      <c r="U524" t="s">
        <v>10902</v>
      </c>
      <c r="V524" t="s">
        <v>10902</v>
      </c>
      <c r="W524" t="s">
        <v>43</v>
      </c>
      <c r="X524" t="s">
        <v>11197</v>
      </c>
      <c r="Y524" t="s">
        <v>11198</v>
      </c>
      <c r="Z524" t="s">
        <v>11195</v>
      </c>
      <c r="AA524" t="s">
        <v>44</v>
      </c>
      <c r="AB524" t="s">
        <v>44</v>
      </c>
      <c r="AC524" s="4"/>
      <c r="AD524" s="4"/>
      <c r="AE524" s="2">
        <v>0</v>
      </c>
      <c r="AF524" s="4">
        <v>0</v>
      </c>
      <c r="AG524" s="2">
        <v>0.1</v>
      </c>
      <c r="AH524" s="2">
        <v>184500</v>
      </c>
      <c r="AI524" s="2">
        <v>0</v>
      </c>
      <c r="AJ524" s="5">
        <v>44673</v>
      </c>
      <c r="AK524" t="s">
        <v>11750</v>
      </c>
      <c r="AL524" s="2">
        <v>0</v>
      </c>
      <c r="AM524" s="2">
        <v>0</v>
      </c>
      <c r="AN524" s="2">
        <v>0</v>
      </c>
      <c r="AO524" t="s">
        <v>44</v>
      </c>
      <c r="AP524" t="s">
        <v>11711</v>
      </c>
      <c r="AQ524" t="s">
        <v>5671</v>
      </c>
    </row>
    <row r="525" spans="1:43" x14ac:dyDescent="0.2">
      <c r="A525" t="s">
        <v>11749</v>
      </c>
      <c r="B525" t="s">
        <v>11037</v>
      </c>
      <c r="C525" t="s">
        <v>11195</v>
      </c>
      <c r="D525" t="s">
        <v>11759</v>
      </c>
      <c r="E525" t="s">
        <v>5719</v>
      </c>
      <c r="F525" t="s">
        <v>11759</v>
      </c>
      <c r="G525" s="1">
        <v>15000</v>
      </c>
      <c r="H525" s="2">
        <v>192669.88</v>
      </c>
      <c r="I525" s="2">
        <v>324000</v>
      </c>
      <c r="J525" s="2">
        <v>0</v>
      </c>
      <c r="K525" s="2">
        <v>0</v>
      </c>
      <c r="L525" s="2">
        <v>324000</v>
      </c>
      <c r="M525" s="3">
        <v>2160</v>
      </c>
      <c r="N525" s="4">
        <v>7.3713000000000001E-4</v>
      </c>
      <c r="O525" s="5" t="s">
        <v>44</v>
      </c>
      <c r="P525" s="5" t="s">
        <v>44</v>
      </c>
      <c r="Q525" s="1"/>
      <c r="R525" s="2"/>
      <c r="S525" s="6"/>
      <c r="T525" t="s">
        <v>10902</v>
      </c>
      <c r="U525" t="s">
        <v>10902</v>
      </c>
      <c r="V525" t="s">
        <v>10902</v>
      </c>
      <c r="W525" t="s">
        <v>43</v>
      </c>
      <c r="X525" t="s">
        <v>11197</v>
      </c>
      <c r="Y525" t="s">
        <v>11198</v>
      </c>
      <c r="Z525" t="s">
        <v>11195</v>
      </c>
      <c r="AA525" t="s">
        <v>44</v>
      </c>
      <c r="AB525" t="s">
        <v>44</v>
      </c>
      <c r="AC525" s="4"/>
      <c r="AD525" s="4"/>
      <c r="AE525" s="2">
        <v>0</v>
      </c>
      <c r="AF525" s="4">
        <v>0</v>
      </c>
      <c r="AG525" s="2">
        <v>0.18</v>
      </c>
      <c r="AH525" s="2">
        <v>324000</v>
      </c>
      <c r="AI525" s="2">
        <v>0</v>
      </c>
      <c r="AJ525" s="5">
        <v>44673</v>
      </c>
      <c r="AK525" t="s">
        <v>11750</v>
      </c>
      <c r="AL525" s="2">
        <v>0</v>
      </c>
      <c r="AM525" s="2">
        <v>0</v>
      </c>
      <c r="AN525" s="2">
        <v>0</v>
      </c>
      <c r="AO525" t="s">
        <v>44</v>
      </c>
      <c r="AP525" t="s">
        <v>11760</v>
      </c>
      <c r="AQ525" t="s">
        <v>5719</v>
      </c>
    </row>
    <row r="526" spans="1:43" x14ac:dyDescent="0.2">
      <c r="A526" t="s">
        <v>11749</v>
      </c>
      <c r="B526" t="s">
        <v>11037</v>
      </c>
      <c r="C526" t="s">
        <v>11195</v>
      </c>
      <c r="D526" t="s">
        <v>6450</v>
      </c>
      <c r="E526" t="s">
        <v>5121</v>
      </c>
      <c r="F526" t="s">
        <v>6450</v>
      </c>
      <c r="G526" s="1">
        <v>3361</v>
      </c>
      <c r="H526" s="2">
        <v>490706</v>
      </c>
      <c r="I526" s="2">
        <v>372701.29</v>
      </c>
      <c r="J526" s="2">
        <v>0</v>
      </c>
      <c r="K526" s="2">
        <v>0</v>
      </c>
      <c r="L526" s="2">
        <v>372701.29</v>
      </c>
      <c r="M526" s="3">
        <v>11089</v>
      </c>
      <c r="N526" s="4">
        <v>8.4794000000000004E-4</v>
      </c>
      <c r="O526" s="5" t="s">
        <v>44</v>
      </c>
      <c r="P526" s="5" t="s">
        <v>44</v>
      </c>
      <c r="Q526" s="1"/>
      <c r="R526" s="2"/>
      <c r="S526" s="6"/>
      <c r="T526" t="s">
        <v>10902</v>
      </c>
      <c r="U526" t="s">
        <v>10902</v>
      </c>
      <c r="V526" t="s">
        <v>10902</v>
      </c>
      <c r="W526" t="s">
        <v>43</v>
      </c>
      <c r="X526" t="s">
        <v>11327</v>
      </c>
      <c r="Y526" t="s">
        <v>11198</v>
      </c>
      <c r="Z526" t="s">
        <v>11195</v>
      </c>
      <c r="AA526" t="s">
        <v>44</v>
      </c>
      <c r="AB526" t="s">
        <v>44</v>
      </c>
      <c r="AC526" s="4"/>
      <c r="AD526" s="4"/>
      <c r="AE526" s="2">
        <v>0</v>
      </c>
      <c r="AF526" s="4">
        <v>0</v>
      </c>
      <c r="AG526" s="2">
        <v>0.2</v>
      </c>
      <c r="AH526" s="2">
        <v>372701.29</v>
      </c>
      <c r="AI526" s="2">
        <v>0</v>
      </c>
      <c r="AJ526" s="5">
        <v>44673</v>
      </c>
      <c r="AK526" t="s">
        <v>11750</v>
      </c>
      <c r="AL526" s="2">
        <v>0</v>
      </c>
      <c r="AM526" s="2">
        <v>0</v>
      </c>
      <c r="AN526" s="2">
        <v>0</v>
      </c>
      <c r="AO526" t="s">
        <v>44</v>
      </c>
      <c r="AP526" t="s">
        <v>11331</v>
      </c>
      <c r="AQ526" t="s">
        <v>5121</v>
      </c>
    </row>
    <row r="527" spans="1:43" x14ac:dyDescent="0.2">
      <c r="A527" t="s">
        <v>11749</v>
      </c>
      <c r="B527" t="s">
        <v>11037</v>
      </c>
      <c r="C527" t="s">
        <v>11195</v>
      </c>
      <c r="D527" t="s">
        <v>11204</v>
      </c>
      <c r="E527" t="s">
        <v>5699</v>
      </c>
      <c r="F527" t="s">
        <v>11204</v>
      </c>
      <c r="G527" s="1">
        <v>20000</v>
      </c>
      <c r="H527" s="2">
        <v>344798.78</v>
      </c>
      <c r="I527" s="2">
        <v>437600</v>
      </c>
      <c r="J527" s="2">
        <v>0</v>
      </c>
      <c r="K527" s="2">
        <v>0</v>
      </c>
      <c r="L527" s="2">
        <v>437600</v>
      </c>
      <c r="M527" s="3">
        <v>2188</v>
      </c>
      <c r="N527" s="4">
        <v>9.9558999999999997E-4</v>
      </c>
      <c r="O527" s="5" t="s">
        <v>44</v>
      </c>
      <c r="P527" s="5" t="s">
        <v>44</v>
      </c>
      <c r="Q527" s="1"/>
      <c r="R527" s="2"/>
      <c r="S527" s="6"/>
      <c r="T527" t="s">
        <v>10902</v>
      </c>
      <c r="U527" t="s">
        <v>10902</v>
      </c>
      <c r="V527" t="s">
        <v>10902</v>
      </c>
      <c r="W527" t="s">
        <v>43</v>
      </c>
      <c r="X527" t="s">
        <v>11197</v>
      </c>
      <c r="Y527" t="s">
        <v>11198</v>
      </c>
      <c r="Z527" t="s">
        <v>11195</v>
      </c>
      <c r="AA527" t="s">
        <v>44</v>
      </c>
      <c r="AB527" t="s">
        <v>44</v>
      </c>
      <c r="AC527" s="4"/>
      <c r="AD527" s="4"/>
      <c r="AE527" s="2">
        <v>0</v>
      </c>
      <c r="AF527" s="4">
        <v>0</v>
      </c>
      <c r="AG527" s="2">
        <v>0.24</v>
      </c>
      <c r="AH527" s="2">
        <v>437600</v>
      </c>
      <c r="AI527" s="2">
        <v>0</v>
      </c>
      <c r="AJ527" s="5">
        <v>44673</v>
      </c>
      <c r="AK527" t="s">
        <v>11750</v>
      </c>
      <c r="AL527" s="2">
        <v>0</v>
      </c>
      <c r="AM527" s="2">
        <v>0</v>
      </c>
      <c r="AN527" s="2">
        <v>0</v>
      </c>
      <c r="AO527" t="s">
        <v>44</v>
      </c>
      <c r="AP527" t="s">
        <v>11205</v>
      </c>
      <c r="AQ527" t="s">
        <v>5699</v>
      </c>
    </row>
    <row r="528" spans="1:43" x14ac:dyDescent="0.2">
      <c r="A528" t="s">
        <v>11749</v>
      </c>
      <c r="B528" t="s">
        <v>11037</v>
      </c>
      <c r="C528" t="s">
        <v>11195</v>
      </c>
      <c r="D528" t="s">
        <v>11332</v>
      </c>
      <c r="E528" t="s">
        <v>11333</v>
      </c>
      <c r="F528" t="s">
        <v>11332</v>
      </c>
      <c r="G528" s="1">
        <v>45969</v>
      </c>
      <c r="H528" s="2">
        <v>779860.3</v>
      </c>
      <c r="I528" s="2">
        <v>776416.41</v>
      </c>
      <c r="J528" s="2">
        <v>0</v>
      </c>
      <c r="K528" s="2">
        <v>0</v>
      </c>
      <c r="L528" s="2">
        <v>776416.41</v>
      </c>
      <c r="M528" s="3">
        <v>1689</v>
      </c>
      <c r="N528" s="4">
        <v>1.76643E-3</v>
      </c>
      <c r="O528" s="5" t="s">
        <v>44</v>
      </c>
      <c r="P528" s="5" t="s">
        <v>44</v>
      </c>
      <c r="Q528" s="1"/>
      <c r="R528" s="2"/>
      <c r="S528" s="6"/>
      <c r="T528" t="s">
        <v>10902</v>
      </c>
      <c r="U528" t="s">
        <v>10902</v>
      </c>
      <c r="V528" t="s">
        <v>10902</v>
      </c>
      <c r="W528" t="s">
        <v>43</v>
      </c>
      <c r="X528" t="s">
        <v>11334</v>
      </c>
      <c r="Y528" t="s">
        <v>11335</v>
      </c>
      <c r="Z528" t="s">
        <v>11195</v>
      </c>
      <c r="AA528" t="s">
        <v>44</v>
      </c>
      <c r="AB528" t="s">
        <v>44</v>
      </c>
      <c r="AC528" s="4"/>
      <c r="AD528" s="4"/>
      <c r="AE528" s="2">
        <v>0</v>
      </c>
      <c r="AF528" s="4">
        <v>0</v>
      </c>
      <c r="AG528" s="2">
        <v>0.42</v>
      </c>
      <c r="AH528" s="2">
        <v>776416.41</v>
      </c>
      <c r="AI528" s="2">
        <v>0</v>
      </c>
      <c r="AJ528" s="5">
        <v>44673</v>
      </c>
      <c r="AK528" t="s">
        <v>11750</v>
      </c>
      <c r="AL528" s="2">
        <v>0</v>
      </c>
      <c r="AM528" s="2">
        <v>0</v>
      </c>
      <c r="AN528" s="2">
        <v>0</v>
      </c>
      <c r="AO528" t="s">
        <v>44</v>
      </c>
      <c r="AP528" t="s">
        <v>11336</v>
      </c>
      <c r="AQ528" t="s">
        <v>11333</v>
      </c>
    </row>
    <row r="529" spans="1:43" x14ac:dyDescent="0.2">
      <c r="A529" t="s">
        <v>11749</v>
      </c>
      <c r="B529" t="s">
        <v>11037</v>
      </c>
      <c r="C529" t="s">
        <v>11195</v>
      </c>
      <c r="D529" t="s">
        <v>11337</v>
      </c>
      <c r="E529" t="s">
        <v>11338</v>
      </c>
      <c r="F529" t="s">
        <v>11339</v>
      </c>
      <c r="G529" s="1">
        <v>4827</v>
      </c>
      <c r="H529" s="2">
        <v>142893.32999999999</v>
      </c>
      <c r="I529" s="2">
        <v>244149.66</v>
      </c>
      <c r="J529" s="2">
        <v>0</v>
      </c>
      <c r="K529" s="2">
        <v>0</v>
      </c>
      <c r="L529" s="2">
        <v>244149.66</v>
      </c>
      <c r="M529" s="3">
        <v>5058</v>
      </c>
      <c r="N529" s="4">
        <v>5.5546999999999997E-4</v>
      </c>
      <c r="O529" s="5" t="s">
        <v>44</v>
      </c>
      <c r="P529" s="5" t="s">
        <v>44</v>
      </c>
      <c r="Q529" s="1"/>
      <c r="R529" s="2"/>
      <c r="S529" s="6"/>
      <c r="T529" t="s">
        <v>10902</v>
      </c>
      <c r="U529" t="s">
        <v>10902</v>
      </c>
      <c r="V529" t="s">
        <v>10902</v>
      </c>
      <c r="W529" t="s">
        <v>43</v>
      </c>
      <c r="X529" t="s">
        <v>11327</v>
      </c>
      <c r="Y529" t="s">
        <v>11198</v>
      </c>
      <c r="Z529" t="s">
        <v>11195</v>
      </c>
      <c r="AA529" t="s">
        <v>44</v>
      </c>
      <c r="AB529" t="s">
        <v>44</v>
      </c>
      <c r="AC529" s="4"/>
      <c r="AD529" s="4"/>
      <c r="AE529" s="2">
        <v>0</v>
      </c>
      <c r="AF529" s="4">
        <v>0</v>
      </c>
      <c r="AG529" s="2">
        <v>0.13</v>
      </c>
      <c r="AH529" s="2">
        <v>244149.66</v>
      </c>
      <c r="AI529" s="2">
        <v>0</v>
      </c>
      <c r="AJ529" s="5">
        <v>44673</v>
      </c>
      <c r="AK529" t="s">
        <v>11750</v>
      </c>
      <c r="AL529" s="2">
        <v>0</v>
      </c>
      <c r="AM529" s="2">
        <v>0</v>
      </c>
      <c r="AN529" s="2">
        <v>0</v>
      </c>
      <c r="AO529" t="s">
        <v>44</v>
      </c>
      <c r="AP529" t="s">
        <v>11340</v>
      </c>
      <c r="AQ529" t="s">
        <v>11338</v>
      </c>
    </row>
    <row r="530" spans="1:43" x14ac:dyDescent="0.2">
      <c r="A530" t="s">
        <v>11749</v>
      </c>
      <c r="B530" t="s">
        <v>11037</v>
      </c>
      <c r="C530" t="s">
        <v>11195</v>
      </c>
      <c r="D530" t="s">
        <v>11341</v>
      </c>
      <c r="E530" t="s">
        <v>11342</v>
      </c>
      <c r="F530" t="s">
        <v>11341</v>
      </c>
      <c r="G530" s="1">
        <v>5960</v>
      </c>
      <c r="H530" s="2">
        <v>176433.43</v>
      </c>
      <c r="I530" s="2">
        <v>310873.59999999998</v>
      </c>
      <c r="J530" s="2">
        <v>0</v>
      </c>
      <c r="K530" s="2">
        <v>0</v>
      </c>
      <c r="L530" s="2">
        <v>310873.59999999998</v>
      </c>
      <c r="M530" s="3">
        <v>5216</v>
      </c>
      <c r="N530" s="4">
        <v>7.0726999999999997E-4</v>
      </c>
      <c r="O530" s="5" t="s">
        <v>44</v>
      </c>
      <c r="P530" s="5" t="s">
        <v>44</v>
      </c>
      <c r="Q530" s="1"/>
      <c r="R530" s="2"/>
      <c r="S530" s="6"/>
      <c r="T530" t="s">
        <v>10902</v>
      </c>
      <c r="U530" t="s">
        <v>10902</v>
      </c>
      <c r="V530" t="s">
        <v>10902</v>
      </c>
      <c r="W530" t="s">
        <v>43</v>
      </c>
      <c r="X530" t="s">
        <v>11327</v>
      </c>
      <c r="Y530" t="s">
        <v>11198</v>
      </c>
      <c r="Z530" t="s">
        <v>11195</v>
      </c>
      <c r="AA530" t="s">
        <v>44</v>
      </c>
      <c r="AB530" t="s">
        <v>44</v>
      </c>
      <c r="AC530" s="4"/>
      <c r="AD530" s="4"/>
      <c r="AE530" s="2">
        <v>0</v>
      </c>
      <c r="AF530" s="4">
        <v>0</v>
      </c>
      <c r="AG530" s="2">
        <v>0.17</v>
      </c>
      <c r="AH530" s="2">
        <v>310873.59999999998</v>
      </c>
      <c r="AI530" s="2">
        <v>0</v>
      </c>
      <c r="AJ530" s="5">
        <v>44673</v>
      </c>
      <c r="AK530" t="s">
        <v>11750</v>
      </c>
      <c r="AL530" s="2">
        <v>0</v>
      </c>
      <c r="AM530" s="2">
        <v>0</v>
      </c>
      <c r="AN530" s="2">
        <v>0</v>
      </c>
      <c r="AO530" t="s">
        <v>44</v>
      </c>
      <c r="AP530" t="s">
        <v>11343</v>
      </c>
      <c r="AQ530" t="s">
        <v>11342</v>
      </c>
    </row>
    <row r="531" spans="1:43" x14ac:dyDescent="0.2">
      <c r="A531" t="s">
        <v>11749</v>
      </c>
      <c r="B531" t="s">
        <v>11037</v>
      </c>
      <c r="C531" t="s">
        <v>11195</v>
      </c>
      <c r="D531" t="s">
        <v>6128</v>
      </c>
      <c r="E531" t="s">
        <v>6759</v>
      </c>
      <c r="F531" t="s">
        <v>6128</v>
      </c>
      <c r="G531" s="1">
        <v>4421</v>
      </c>
      <c r="H531" s="2">
        <v>221923.86</v>
      </c>
      <c r="I531" s="2">
        <v>426626.5</v>
      </c>
      <c r="J531" s="2">
        <v>0</v>
      </c>
      <c r="K531" s="2">
        <v>0</v>
      </c>
      <c r="L531" s="2">
        <v>426626.5</v>
      </c>
      <c r="M531" s="3">
        <v>9650</v>
      </c>
      <c r="N531" s="4">
        <v>9.7061999999999995E-4</v>
      </c>
      <c r="O531" s="5" t="s">
        <v>44</v>
      </c>
      <c r="P531" s="5" t="s">
        <v>44</v>
      </c>
      <c r="Q531" s="1"/>
      <c r="R531" s="2"/>
      <c r="S531" s="6"/>
      <c r="T531" t="s">
        <v>10902</v>
      </c>
      <c r="U531" t="s">
        <v>10902</v>
      </c>
      <c r="V531" t="s">
        <v>10902</v>
      </c>
      <c r="W531" t="s">
        <v>43</v>
      </c>
      <c r="X531" t="s">
        <v>11327</v>
      </c>
      <c r="Y531" t="s">
        <v>11198</v>
      </c>
      <c r="Z531" t="s">
        <v>11195</v>
      </c>
      <c r="AA531" t="s">
        <v>44</v>
      </c>
      <c r="AB531" t="s">
        <v>44</v>
      </c>
      <c r="AC531" s="4"/>
      <c r="AD531" s="4"/>
      <c r="AE531" s="2">
        <v>0</v>
      </c>
      <c r="AF531" s="4">
        <v>0</v>
      </c>
      <c r="AG531" s="2">
        <v>0.23</v>
      </c>
      <c r="AH531" s="2">
        <v>426626.5</v>
      </c>
      <c r="AI531" s="2">
        <v>0</v>
      </c>
      <c r="AJ531" s="5">
        <v>44673</v>
      </c>
      <c r="AK531" t="s">
        <v>11750</v>
      </c>
      <c r="AL531" s="2">
        <v>0</v>
      </c>
      <c r="AM531" s="2">
        <v>0</v>
      </c>
      <c r="AN531" s="2">
        <v>0</v>
      </c>
      <c r="AO531" t="s">
        <v>44</v>
      </c>
      <c r="AP531" t="s">
        <v>11344</v>
      </c>
      <c r="AQ531" t="s">
        <v>6759</v>
      </c>
    </row>
    <row r="532" spans="1:43" x14ac:dyDescent="0.2">
      <c r="A532" t="s">
        <v>11749</v>
      </c>
      <c r="B532" t="s">
        <v>11037</v>
      </c>
      <c r="C532" t="s">
        <v>11195</v>
      </c>
      <c r="D532" t="s">
        <v>11345</v>
      </c>
      <c r="E532" t="s">
        <v>5409</v>
      </c>
      <c r="F532" t="s">
        <v>11345</v>
      </c>
      <c r="G532" s="1">
        <v>37000</v>
      </c>
      <c r="H532" s="2">
        <v>1188077.22</v>
      </c>
      <c r="I532" s="2">
        <v>1021200</v>
      </c>
      <c r="J532" s="2">
        <v>0</v>
      </c>
      <c r="K532" s="2">
        <v>28956.16</v>
      </c>
      <c r="L532" s="2">
        <v>1050156.1599999999</v>
      </c>
      <c r="M532" s="3">
        <v>2760</v>
      </c>
      <c r="N532" s="4">
        <v>2.3892200000000001E-3</v>
      </c>
      <c r="O532" s="5" t="s">
        <v>44</v>
      </c>
      <c r="P532" s="5" t="s">
        <v>44</v>
      </c>
      <c r="Q532" s="1"/>
      <c r="R532" s="2"/>
      <c r="S532" s="6"/>
      <c r="T532" t="s">
        <v>10902</v>
      </c>
      <c r="U532" t="s">
        <v>10902</v>
      </c>
      <c r="V532" t="s">
        <v>10902</v>
      </c>
      <c r="W532" t="s">
        <v>43</v>
      </c>
      <c r="X532" t="s">
        <v>11327</v>
      </c>
      <c r="Y532" t="s">
        <v>11198</v>
      </c>
      <c r="Z532" t="s">
        <v>11195</v>
      </c>
      <c r="AA532" t="s">
        <v>44</v>
      </c>
      <c r="AB532" t="s">
        <v>44</v>
      </c>
      <c r="AC532" s="4"/>
      <c r="AD532" s="4"/>
      <c r="AE532" s="2">
        <v>0</v>
      </c>
      <c r="AF532" s="4">
        <v>0</v>
      </c>
      <c r="AG532" s="2">
        <v>0.56999999999999995</v>
      </c>
      <c r="AH532" s="2">
        <v>1050156.1599999999</v>
      </c>
      <c r="AI532" s="2">
        <v>0</v>
      </c>
      <c r="AJ532" s="5">
        <v>44673</v>
      </c>
      <c r="AK532" t="s">
        <v>11750</v>
      </c>
      <c r="AL532" s="2">
        <v>0</v>
      </c>
      <c r="AM532" s="2">
        <v>0</v>
      </c>
      <c r="AN532" s="2">
        <v>0</v>
      </c>
      <c r="AO532" t="s">
        <v>44</v>
      </c>
      <c r="AP532" t="s">
        <v>11346</v>
      </c>
      <c r="AQ532" t="s">
        <v>5409</v>
      </c>
    </row>
    <row r="533" spans="1:43" x14ac:dyDescent="0.2">
      <c r="A533" t="s">
        <v>11749</v>
      </c>
      <c r="B533" t="s">
        <v>11037</v>
      </c>
      <c r="C533" t="s">
        <v>11195</v>
      </c>
      <c r="D533" t="s">
        <v>6263</v>
      </c>
      <c r="E533" t="s">
        <v>6850</v>
      </c>
      <c r="F533" t="s">
        <v>6263</v>
      </c>
      <c r="G533" s="1">
        <v>28855</v>
      </c>
      <c r="H533" s="2">
        <v>612089.5</v>
      </c>
      <c r="I533" s="2">
        <v>764368.95</v>
      </c>
      <c r="J533" s="2">
        <v>0</v>
      </c>
      <c r="K533" s="2">
        <v>47755.03</v>
      </c>
      <c r="L533" s="2">
        <v>812123.98</v>
      </c>
      <c r="M533" s="3">
        <v>2649</v>
      </c>
      <c r="N533" s="4">
        <v>1.84767E-3</v>
      </c>
      <c r="O533" s="5" t="s">
        <v>44</v>
      </c>
      <c r="P533" s="5" t="s">
        <v>44</v>
      </c>
      <c r="Q533" s="1"/>
      <c r="R533" s="2"/>
      <c r="S533" s="6"/>
      <c r="T533" t="s">
        <v>10902</v>
      </c>
      <c r="U533" t="s">
        <v>10902</v>
      </c>
      <c r="V533" t="s">
        <v>10902</v>
      </c>
      <c r="W533" t="s">
        <v>43</v>
      </c>
      <c r="X533" t="s">
        <v>11347</v>
      </c>
      <c r="Y533" t="s">
        <v>11348</v>
      </c>
      <c r="Z533" t="s">
        <v>11195</v>
      </c>
      <c r="AA533" t="s">
        <v>44</v>
      </c>
      <c r="AB533" t="s">
        <v>44</v>
      </c>
      <c r="AC533" s="4"/>
      <c r="AD533" s="4"/>
      <c r="AE533" s="2">
        <v>0</v>
      </c>
      <c r="AF533" s="4">
        <v>0</v>
      </c>
      <c r="AG533" s="2">
        <v>0.44</v>
      </c>
      <c r="AH533" s="2">
        <v>812123.98</v>
      </c>
      <c r="AI533" s="2">
        <v>0</v>
      </c>
      <c r="AJ533" s="5">
        <v>44673</v>
      </c>
      <c r="AK533" t="s">
        <v>11750</v>
      </c>
      <c r="AL533" s="2">
        <v>0</v>
      </c>
      <c r="AM533" s="2">
        <v>0</v>
      </c>
      <c r="AN533" s="2">
        <v>0</v>
      </c>
      <c r="AO533" t="s">
        <v>44</v>
      </c>
      <c r="AP533" t="s">
        <v>11349</v>
      </c>
      <c r="AQ533" t="s">
        <v>6850</v>
      </c>
    </row>
    <row r="534" spans="1:43" x14ac:dyDescent="0.2">
      <c r="A534" t="s">
        <v>11749</v>
      </c>
      <c r="B534" t="s">
        <v>11037</v>
      </c>
      <c r="C534" t="s">
        <v>11195</v>
      </c>
      <c r="D534" t="s">
        <v>11208</v>
      </c>
      <c r="E534" t="s">
        <v>3160</v>
      </c>
      <c r="F534" t="s">
        <v>11208</v>
      </c>
      <c r="G534" s="1">
        <v>220000</v>
      </c>
      <c r="H534" s="2">
        <v>643035.25</v>
      </c>
      <c r="I534" s="2">
        <v>974600</v>
      </c>
      <c r="J534" s="2">
        <v>0</v>
      </c>
      <c r="K534" s="2">
        <v>0</v>
      </c>
      <c r="L534" s="2">
        <v>974600</v>
      </c>
      <c r="M534" s="3">
        <v>443</v>
      </c>
      <c r="N534" s="4">
        <v>2.2173200000000001E-3</v>
      </c>
      <c r="O534" s="5" t="s">
        <v>44</v>
      </c>
      <c r="P534" s="5" t="s">
        <v>44</v>
      </c>
      <c r="Q534" s="1"/>
      <c r="R534" s="2"/>
      <c r="S534" s="6"/>
      <c r="T534" t="s">
        <v>10902</v>
      </c>
      <c r="U534" t="s">
        <v>10902</v>
      </c>
      <c r="V534" t="s">
        <v>10902</v>
      </c>
      <c r="W534" t="s">
        <v>43</v>
      </c>
      <c r="X534" t="s">
        <v>11197</v>
      </c>
      <c r="Y534" t="s">
        <v>11198</v>
      </c>
      <c r="Z534" t="s">
        <v>11195</v>
      </c>
      <c r="AA534" t="s">
        <v>44</v>
      </c>
      <c r="AB534" t="s">
        <v>44</v>
      </c>
      <c r="AC534" s="4"/>
      <c r="AD534" s="4"/>
      <c r="AE534" s="2">
        <v>0</v>
      </c>
      <c r="AF534" s="4">
        <v>0</v>
      </c>
      <c r="AG534" s="2">
        <v>0.53</v>
      </c>
      <c r="AH534" s="2">
        <v>974600</v>
      </c>
      <c r="AI534" s="2">
        <v>0</v>
      </c>
      <c r="AJ534" s="5">
        <v>44673</v>
      </c>
      <c r="AK534" t="s">
        <v>11750</v>
      </c>
      <c r="AL534" s="2">
        <v>0</v>
      </c>
      <c r="AM534" s="2">
        <v>0</v>
      </c>
      <c r="AN534" s="2">
        <v>0</v>
      </c>
      <c r="AO534" t="s">
        <v>44</v>
      </c>
      <c r="AP534" t="s">
        <v>11209</v>
      </c>
      <c r="AQ534" t="s">
        <v>3160</v>
      </c>
    </row>
    <row r="535" spans="1:43" x14ac:dyDescent="0.2">
      <c r="A535" t="s">
        <v>11749</v>
      </c>
      <c r="B535" t="s">
        <v>11037</v>
      </c>
      <c r="C535" t="s">
        <v>11195</v>
      </c>
      <c r="D535" t="s">
        <v>11714</v>
      </c>
      <c r="E535" t="s">
        <v>5012</v>
      </c>
      <c r="F535" t="s">
        <v>11714</v>
      </c>
      <c r="G535" s="1">
        <v>4500</v>
      </c>
      <c r="H535" s="2">
        <v>1411246.53</v>
      </c>
      <c r="I535" s="2">
        <v>1439325</v>
      </c>
      <c r="J535" s="2">
        <v>0</v>
      </c>
      <c r="K535" s="2">
        <v>0</v>
      </c>
      <c r="L535" s="2">
        <v>1439325</v>
      </c>
      <c r="M535" s="3">
        <v>31985</v>
      </c>
      <c r="N535" s="4">
        <v>3.2746199999999998E-3</v>
      </c>
      <c r="O535" s="5" t="s">
        <v>44</v>
      </c>
      <c r="P535" s="5" t="s">
        <v>44</v>
      </c>
      <c r="Q535" s="1"/>
      <c r="R535" s="2"/>
      <c r="S535" s="6"/>
      <c r="T535" t="s">
        <v>10902</v>
      </c>
      <c r="U535" t="s">
        <v>10902</v>
      </c>
      <c r="V535" t="s">
        <v>10902</v>
      </c>
      <c r="W535" t="s">
        <v>43</v>
      </c>
      <c r="X535" t="s">
        <v>11327</v>
      </c>
      <c r="Y535" t="s">
        <v>11198</v>
      </c>
      <c r="Z535" t="s">
        <v>11195</v>
      </c>
      <c r="AA535" t="s">
        <v>44</v>
      </c>
      <c r="AB535" t="s">
        <v>44</v>
      </c>
      <c r="AC535" s="4"/>
      <c r="AD535" s="4"/>
      <c r="AE535" s="2">
        <v>0</v>
      </c>
      <c r="AF535" s="4">
        <v>0</v>
      </c>
      <c r="AG535" s="2">
        <v>0.78</v>
      </c>
      <c r="AH535" s="2">
        <v>1439325</v>
      </c>
      <c r="AI535" s="2">
        <v>0</v>
      </c>
      <c r="AJ535" s="5">
        <v>44673</v>
      </c>
      <c r="AK535" t="s">
        <v>11750</v>
      </c>
      <c r="AL535" s="2">
        <v>0</v>
      </c>
      <c r="AM535" s="2">
        <v>0</v>
      </c>
      <c r="AN535" s="2">
        <v>0</v>
      </c>
      <c r="AO535" t="s">
        <v>44</v>
      </c>
      <c r="AP535" t="s">
        <v>11715</v>
      </c>
      <c r="AQ535" t="s">
        <v>5012</v>
      </c>
    </row>
    <row r="536" spans="1:43" x14ac:dyDescent="0.2">
      <c r="A536" t="s">
        <v>11749</v>
      </c>
      <c r="B536" t="s">
        <v>11037</v>
      </c>
      <c r="C536" t="s">
        <v>11195</v>
      </c>
      <c r="D536" t="s">
        <v>11210</v>
      </c>
      <c r="E536" t="s">
        <v>3167</v>
      </c>
      <c r="F536" t="s">
        <v>11211</v>
      </c>
      <c r="G536" s="1">
        <v>9729</v>
      </c>
      <c r="H536" s="2">
        <v>626848.88</v>
      </c>
      <c r="I536" s="2">
        <v>569146.5</v>
      </c>
      <c r="J536" s="2">
        <v>0</v>
      </c>
      <c r="K536" s="2">
        <v>0</v>
      </c>
      <c r="L536" s="2">
        <v>569146.5</v>
      </c>
      <c r="M536" s="3">
        <v>5850</v>
      </c>
      <c r="N536" s="4">
        <v>1.29487E-3</v>
      </c>
      <c r="O536" s="5" t="s">
        <v>44</v>
      </c>
      <c r="P536" s="5" t="s">
        <v>44</v>
      </c>
      <c r="Q536" s="1"/>
      <c r="R536" s="2"/>
      <c r="S536" s="6"/>
      <c r="T536" t="s">
        <v>10902</v>
      </c>
      <c r="U536" t="s">
        <v>10902</v>
      </c>
      <c r="V536" t="s">
        <v>11212</v>
      </c>
      <c r="W536" t="s">
        <v>43</v>
      </c>
      <c r="X536" t="s">
        <v>11197</v>
      </c>
      <c r="Y536" t="s">
        <v>11198</v>
      </c>
      <c r="Z536" t="s">
        <v>11195</v>
      </c>
      <c r="AA536" t="s">
        <v>44</v>
      </c>
      <c r="AB536" t="s">
        <v>44</v>
      </c>
      <c r="AC536" s="4"/>
      <c r="AD536" s="4"/>
      <c r="AE536" s="2">
        <v>0</v>
      </c>
      <c r="AF536" s="4">
        <v>0</v>
      </c>
      <c r="AG536" s="2">
        <v>0.31</v>
      </c>
      <c r="AH536" s="2">
        <v>569146.5</v>
      </c>
      <c r="AI536" s="2">
        <v>0</v>
      </c>
      <c r="AJ536" s="5">
        <v>44673</v>
      </c>
      <c r="AK536" t="s">
        <v>11750</v>
      </c>
      <c r="AL536" s="2">
        <v>0</v>
      </c>
      <c r="AM536" s="2">
        <v>0</v>
      </c>
      <c r="AN536" s="2">
        <v>0</v>
      </c>
      <c r="AO536" t="s">
        <v>44</v>
      </c>
      <c r="AP536" t="s">
        <v>11213</v>
      </c>
      <c r="AQ536" t="s">
        <v>3167</v>
      </c>
    </row>
    <row r="537" spans="1:43" x14ac:dyDescent="0.2">
      <c r="A537" t="s">
        <v>11749</v>
      </c>
      <c r="B537" t="s">
        <v>11037</v>
      </c>
      <c r="C537" t="s">
        <v>11195</v>
      </c>
      <c r="D537" t="s">
        <v>6379</v>
      </c>
      <c r="E537" t="s">
        <v>5199</v>
      </c>
      <c r="F537" t="s">
        <v>6379</v>
      </c>
      <c r="G537" s="1">
        <v>1463</v>
      </c>
      <c r="H537" s="2">
        <v>378990.15</v>
      </c>
      <c r="I537" s="2">
        <v>427196</v>
      </c>
      <c r="J537" s="2">
        <v>0</v>
      </c>
      <c r="K537" s="2">
        <v>0</v>
      </c>
      <c r="L537" s="2">
        <v>427196</v>
      </c>
      <c r="M537" s="3">
        <v>29200</v>
      </c>
      <c r="N537" s="4">
        <v>9.7192000000000003E-4</v>
      </c>
      <c r="O537" s="5" t="s">
        <v>44</v>
      </c>
      <c r="P537" s="5" t="s">
        <v>44</v>
      </c>
      <c r="Q537" s="1"/>
      <c r="R537" s="2"/>
      <c r="S537" s="6"/>
      <c r="T537" t="s">
        <v>10902</v>
      </c>
      <c r="U537" t="s">
        <v>10902</v>
      </c>
      <c r="V537" t="s">
        <v>10902</v>
      </c>
      <c r="W537" t="s">
        <v>43</v>
      </c>
      <c r="X537" t="s">
        <v>11350</v>
      </c>
      <c r="Y537" t="s">
        <v>11335</v>
      </c>
      <c r="Z537" t="s">
        <v>11195</v>
      </c>
      <c r="AA537" t="s">
        <v>44</v>
      </c>
      <c r="AB537" t="s">
        <v>44</v>
      </c>
      <c r="AC537" s="4"/>
      <c r="AD537" s="4"/>
      <c r="AE537" s="2">
        <v>0</v>
      </c>
      <c r="AF537" s="4">
        <v>0</v>
      </c>
      <c r="AG537" s="2">
        <v>0.23</v>
      </c>
      <c r="AH537" s="2">
        <v>427196</v>
      </c>
      <c r="AI537" s="2">
        <v>0</v>
      </c>
      <c r="AJ537" s="5">
        <v>44673</v>
      </c>
      <c r="AK537" t="s">
        <v>11750</v>
      </c>
      <c r="AL537" s="2">
        <v>0</v>
      </c>
      <c r="AM537" s="2">
        <v>0</v>
      </c>
      <c r="AN537" s="2">
        <v>0</v>
      </c>
      <c r="AO537" t="s">
        <v>44</v>
      </c>
      <c r="AP537" t="s">
        <v>11351</v>
      </c>
      <c r="AQ537" t="s">
        <v>5199</v>
      </c>
    </row>
    <row r="538" spans="1:43" x14ac:dyDescent="0.2">
      <c r="A538" t="s">
        <v>11749</v>
      </c>
      <c r="B538" t="s">
        <v>11037</v>
      </c>
      <c r="C538" t="s">
        <v>11195</v>
      </c>
      <c r="D538" t="s">
        <v>5876</v>
      </c>
      <c r="E538" t="s">
        <v>4893</v>
      </c>
      <c r="F538" t="s">
        <v>5876</v>
      </c>
      <c r="G538" s="1">
        <v>155</v>
      </c>
      <c r="H538" s="2">
        <v>28588.2</v>
      </c>
      <c r="I538" s="2">
        <v>26495.7</v>
      </c>
      <c r="J538" s="2">
        <v>0</v>
      </c>
      <c r="K538" s="2">
        <v>0</v>
      </c>
      <c r="L538" s="2">
        <v>26495.7</v>
      </c>
      <c r="M538" s="3">
        <v>17094</v>
      </c>
      <c r="N538" s="4">
        <v>6.0279999999999999E-5</v>
      </c>
      <c r="O538" s="5" t="s">
        <v>44</v>
      </c>
      <c r="P538" s="5" t="s">
        <v>44</v>
      </c>
      <c r="Q538" s="1"/>
      <c r="R538" s="2"/>
      <c r="S538" s="6"/>
      <c r="T538" t="s">
        <v>10902</v>
      </c>
      <c r="U538" t="s">
        <v>10902</v>
      </c>
      <c r="V538" t="s">
        <v>10902</v>
      </c>
      <c r="W538" t="s">
        <v>43</v>
      </c>
      <c r="X538" t="s">
        <v>11034</v>
      </c>
      <c r="Y538" t="s">
        <v>11034</v>
      </c>
      <c r="Z538" t="s">
        <v>11195</v>
      </c>
      <c r="AA538" t="s">
        <v>44</v>
      </c>
      <c r="AB538" t="s">
        <v>44</v>
      </c>
      <c r="AC538" s="4"/>
      <c r="AD538" s="4"/>
      <c r="AE538" s="2">
        <v>0</v>
      </c>
      <c r="AF538" s="4">
        <v>0</v>
      </c>
      <c r="AG538" s="2">
        <v>0.01</v>
      </c>
      <c r="AH538" s="2">
        <v>26495.7</v>
      </c>
      <c r="AI538" s="2">
        <v>0</v>
      </c>
      <c r="AJ538" s="5">
        <v>44673</v>
      </c>
      <c r="AK538" t="s">
        <v>11750</v>
      </c>
      <c r="AL538" s="2">
        <v>0</v>
      </c>
      <c r="AM538" s="2">
        <v>0</v>
      </c>
      <c r="AN538" s="2">
        <v>0</v>
      </c>
      <c r="AO538" t="s">
        <v>44</v>
      </c>
      <c r="AP538" t="s">
        <v>11352</v>
      </c>
      <c r="AQ538" t="s">
        <v>4893</v>
      </c>
    </row>
    <row r="539" spans="1:43" x14ac:dyDescent="0.2">
      <c r="A539" t="s">
        <v>11749</v>
      </c>
      <c r="B539" t="s">
        <v>11037</v>
      </c>
      <c r="C539" t="s">
        <v>11195</v>
      </c>
      <c r="D539" t="s">
        <v>11353</v>
      </c>
      <c r="E539" t="s">
        <v>5706</v>
      </c>
      <c r="F539" t="s">
        <v>11353</v>
      </c>
      <c r="G539" s="1">
        <v>16500</v>
      </c>
      <c r="H539" s="2">
        <v>258186.6</v>
      </c>
      <c r="I539" s="2">
        <v>825000</v>
      </c>
      <c r="J539" s="2">
        <v>0</v>
      </c>
      <c r="K539" s="2">
        <v>0</v>
      </c>
      <c r="L539" s="2">
        <v>825000</v>
      </c>
      <c r="M539" s="3">
        <v>5000</v>
      </c>
      <c r="N539" s="4">
        <v>1.87696E-3</v>
      </c>
      <c r="O539" s="5" t="s">
        <v>44</v>
      </c>
      <c r="P539" s="5" t="s">
        <v>44</v>
      </c>
      <c r="Q539" s="1"/>
      <c r="R539" s="2"/>
      <c r="S539" s="6"/>
      <c r="T539" t="s">
        <v>10902</v>
      </c>
      <c r="U539" t="s">
        <v>10902</v>
      </c>
      <c r="V539" t="s">
        <v>10902</v>
      </c>
      <c r="W539" t="s">
        <v>43</v>
      </c>
      <c r="X539" t="s">
        <v>11327</v>
      </c>
      <c r="Y539" t="s">
        <v>11198</v>
      </c>
      <c r="Z539" t="s">
        <v>11195</v>
      </c>
      <c r="AA539" t="s">
        <v>44</v>
      </c>
      <c r="AB539" t="s">
        <v>44</v>
      </c>
      <c r="AC539" s="4"/>
      <c r="AD539" s="4"/>
      <c r="AE539" s="2">
        <v>0</v>
      </c>
      <c r="AF539" s="4">
        <v>0</v>
      </c>
      <c r="AG539" s="2">
        <v>0.45</v>
      </c>
      <c r="AH539" s="2">
        <v>825000</v>
      </c>
      <c r="AI539" s="2">
        <v>0</v>
      </c>
      <c r="AJ539" s="5">
        <v>44673</v>
      </c>
      <c r="AK539" t="s">
        <v>11750</v>
      </c>
      <c r="AL539" s="2">
        <v>0</v>
      </c>
      <c r="AM539" s="2">
        <v>0</v>
      </c>
      <c r="AN539" s="2">
        <v>0</v>
      </c>
      <c r="AO539" t="s">
        <v>44</v>
      </c>
      <c r="AP539" t="s">
        <v>11354</v>
      </c>
      <c r="AQ539" t="s">
        <v>5706</v>
      </c>
    </row>
    <row r="540" spans="1:43" x14ac:dyDescent="0.2">
      <c r="A540" t="s">
        <v>11749</v>
      </c>
      <c r="B540" t="s">
        <v>11037</v>
      </c>
      <c r="C540" t="s">
        <v>11195</v>
      </c>
      <c r="D540" t="s">
        <v>6348</v>
      </c>
      <c r="E540" t="s">
        <v>5241</v>
      </c>
      <c r="F540" t="s">
        <v>6348</v>
      </c>
      <c r="G540" s="1">
        <v>15000</v>
      </c>
      <c r="H540" s="2">
        <v>134275.24</v>
      </c>
      <c r="I540" s="2">
        <v>201000</v>
      </c>
      <c r="J540" s="2">
        <v>0</v>
      </c>
      <c r="K540" s="2">
        <v>0</v>
      </c>
      <c r="L540" s="2">
        <v>201000</v>
      </c>
      <c r="M540" s="3">
        <v>1340</v>
      </c>
      <c r="N540" s="4">
        <v>4.573E-4</v>
      </c>
      <c r="O540" s="5" t="s">
        <v>44</v>
      </c>
      <c r="P540" s="5" t="s">
        <v>44</v>
      </c>
      <c r="Q540" s="1"/>
      <c r="R540" s="2"/>
      <c r="S540" s="6"/>
      <c r="T540" t="s">
        <v>10902</v>
      </c>
      <c r="U540" t="s">
        <v>10902</v>
      </c>
      <c r="V540" t="s">
        <v>10902</v>
      </c>
      <c r="W540" t="s">
        <v>43</v>
      </c>
      <c r="X540" t="s">
        <v>11197</v>
      </c>
      <c r="Y540" t="s">
        <v>11198</v>
      </c>
      <c r="Z540" t="s">
        <v>11195</v>
      </c>
      <c r="AA540" t="s">
        <v>44</v>
      </c>
      <c r="AB540" t="s">
        <v>44</v>
      </c>
      <c r="AC540" s="4"/>
      <c r="AD540" s="4"/>
      <c r="AE540" s="2">
        <v>0</v>
      </c>
      <c r="AF540" s="4">
        <v>0</v>
      </c>
      <c r="AG540" s="2">
        <v>0.11</v>
      </c>
      <c r="AH540" s="2">
        <v>201000</v>
      </c>
      <c r="AI540" s="2">
        <v>0</v>
      </c>
      <c r="AJ540" s="5">
        <v>44673</v>
      </c>
      <c r="AK540" t="s">
        <v>11750</v>
      </c>
      <c r="AL540" s="2">
        <v>0</v>
      </c>
      <c r="AM540" s="2">
        <v>0</v>
      </c>
      <c r="AN540" s="2">
        <v>0</v>
      </c>
      <c r="AO540" t="s">
        <v>44</v>
      </c>
      <c r="AP540" t="s">
        <v>11215</v>
      </c>
      <c r="AQ540" t="s">
        <v>5241</v>
      </c>
    </row>
    <row r="541" spans="1:43" x14ac:dyDescent="0.2">
      <c r="A541" t="s">
        <v>11749</v>
      </c>
      <c r="B541" t="s">
        <v>11037</v>
      </c>
      <c r="C541" t="s">
        <v>11355</v>
      </c>
      <c r="D541" t="s">
        <v>11356</v>
      </c>
      <c r="E541" t="s">
        <v>4971</v>
      </c>
      <c r="F541" t="s">
        <v>6192</v>
      </c>
      <c r="G541" s="1">
        <v>41588</v>
      </c>
      <c r="H541" s="2">
        <v>904738.34</v>
      </c>
      <c r="I541" s="2">
        <v>936977.64</v>
      </c>
      <c r="J541" s="2">
        <v>0</v>
      </c>
      <c r="K541" s="2">
        <v>0</v>
      </c>
      <c r="L541" s="2">
        <v>936977.64</v>
      </c>
      <c r="M541" s="3">
        <v>2253</v>
      </c>
      <c r="N541" s="4">
        <v>2.1317300000000001E-3</v>
      </c>
      <c r="O541" s="5" t="s">
        <v>44</v>
      </c>
      <c r="P541" s="5" t="s">
        <v>44</v>
      </c>
      <c r="Q541" s="1"/>
      <c r="R541" s="2"/>
      <c r="S541" s="6"/>
      <c r="T541" t="s">
        <v>10902</v>
      </c>
      <c r="U541" t="s">
        <v>10902</v>
      </c>
      <c r="V541" t="s">
        <v>10902</v>
      </c>
      <c r="W541" t="s">
        <v>43</v>
      </c>
      <c r="X541" t="s">
        <v>11357</v>
      </c>
      <c r="Y541" t="s">
        <v>11358</v>
      </c>
      <c r="Z541" t="s">
        <v>11355</v>
      </c>
      <c r="AA541" t="s">
        <v>44</v>
      </c>
      <c r="AB541" t="s">
        <v>44</v>
      </c>
      <c r="AC541" s="4"/>
      <c r="AD541" s="4"/>
      <c r="AE541" s="2">
        <v>0</v>
      </c>
      <c r="AF541" s="4">
        <v>0</v>
      </c>
      <c r="AG541" s="2">
        <v>0.51</v>
      </c>
      <c r="AH541" s="2">
        <v>936977.64</v>
      </c>
      <c r="AI541" s="2">
        <v>0</v>
      </c>
      <c r="AJ541" s="5">
        <v>44673</v>
      </c>
      <c r="AK541" t="s">
        <v>11750</v>
      </c>
      <c r="AL541" s="2">
        <v>0</v>
      </c>
      <c r="AM541" s="2">
        <v>0</v>
      </c>
      <c r="AN541" s="2">
        <v>0</v>
      </c>
      <c r="AO541" t="s">
        <v>44</v>
      </c>
      <c r="AP541" t="s">
        <v>11359</v>
      </c>
      <c r="AQ541" t="s">
        <v>4971</v>
      </c>
    </row>
    <row r="542" spans="1:43" x14ac:dyDescent="0.2">
      <c r="A542" t="s">
        <v>11749</v>
      </c>
      <c r="B542" t="s">
        <v>11037</v>
      </c>
      <c r="C542" t="s">
        <v>11355</v>
      </c>
      <c r="D542" t="s">
        <v>11360</v>
      </c>
      <c r="E542" t="s">
        <v>4991</v>
      </c>
      <c r="F542" t="s">
        <v>11360</v>
      </c>
      <c r="G542" s="1">
        <v>12561</v>
      </c>
      <c r="H542" s="2">
        <v>713790.52</v>
      </c>
      <c r="I542" s="2">
        <v>949988.43</v>
      </c>
      <c r="J542" s="2">
        <v>0</v>
      </c>
      <c r="K542" s="2">
        <v>0</v>
      </c>
      <c r="L542" s="2">
        <v>949988.43</v>
      </c>
      <c r="M542" s="3">
        <v>7563</v>
      </c>
      <c r="N542" s="4">
        <v>2.1613299999999999E-3</v>
      </c>
      <c r="O542" s="5" t="s">
        <v>44</v>
      </c>
      <c r="P542" s="5" t="s">
        <v>44</v>
      </c>
      <c r="Q542" s="1"/>
      <c r="R542" s="2"/>
      <c r="S542" s="6"/>
      <c r="T542" t="s">
        <v>10902</v>
      </c>
      <c r="U542" t="s">
        <v>10902</v>
      </c>
      <c r="V542" t="s">
        <v>10902</v>
      </c>
      <c r="W542" t="s">
        <v>43</v>
      </c>
      <c r="X542" t="s">
        <v>11357</v>
      </c>
      <c r="Y542" t="s">
        <v>11358</v>
      </c>
      <c r="Z542" t="s">
        <v>11355</v>
      </c>
      <c r="AA542" t="s">
        <v>44</v>
      </c>
      <c r="AB542" t="s">
        <v>44</v>
      </c>
      <c r="AC542" s="4"/>
      <c r="AD542" s="4"/>
      <c r="AE542" s="2">
        <v>0</v>
      </c>
      <c r="AF542" s="4">
        <v>0</v>
      </c>
      <c r="AG542" s="2">
        <v>0.52</v>
      </c>
      <c r="AH542" s="2">
        <v>949988.43</v>
      </c>
      <c r="AI542" s="2">
        <v>0</v>
      </c>
      <c r="AJ542" s="5">
        <v>44673</v>
      </c>
      <c r="AK542" t="s">
        <v>11750</v>
      </c>
      <c r="AL542" s="2">
        <v>0</v>
      </c>
      <c r="AM542" s="2">
        <v>0</v>
      </c>
      <c r="AN542" s="2">
        <v>0</v>
      </c>
      <c r="AO542" t="s">
        <v>44</v>
      </c>
      <c r="AP542" t="s">
        <v>11361</v>
      </c>
      <c r="AQ542" t="s">
        <v>4991</v>
      </c>
    </row>
    <row r="543" spans="1:43" x14ac:dyDescent="0.2">
      <c r="A543" t="s">
        <v>11749</v>
      </c>
      <c r="B543" t="s">
        <v>11037</v>
      </c>
      <c r="C543" t="s">
        <v>11355</v>
      </c>
      <c r="D543" t="s">
        <v>11362</v>
      </c>
      <c r="E543" t="s">
        <v>4862</v>
      </c>
      <c r="F543" t="s">
        <v>11362</v>
      </c>
      <c r="G543" s="1">
        <v>43000</v>
      </c>
      <c r="H543" s="2">
        <v>739049.51</v>
      </c>
      <c r="I543" s="2">
        <v>688000</v>
      </c>
      <c r="J543" s="2">
        <v>0</v>
      </c>
      <c r="K543" s="2">
        <v>0</v>
      </c>
      <c r="L543" s="2">
        <v>688000</v>
      </c>
      <c r="M543" s="3">
        <v>1600</v>
      </c>
      <c r="N543" s="4">
        <v>1.5652699999999999E-3</v>
      </c>
      <c r="O543" s="5" t="s">
        <v>44</v>
      </c>
      <c r="P543" s="5" t="s">
        <v>44</v>
      </c>
      <c r="Q543" s="1"/>
      <c r="R543" s="2"/>
      <c r="S543" s="6"/>
      <c r="T543" t="s">
        <v>10902</v>
      </c>
      <c r="U543" t="s">
        <v>10902</v>
      </c>
      <c r="V543" t="s">
        <v>10902</v>
      </c>
      <c r="W543" t="s">
        <v>43</v>
      </c>
      <c r="X543" t="s">
        <v>11357</v>
      </c>
      <c r="Y543" t="s">
        <v>11358</v>
      </c>
      <c r="Z543" t="s">
        <v>11355</v>
      </c>
      <c r="AA543" t="s">
        <v>44</v>
      </c>
      <c r="AB543" t="s">
        <v>44</v>
      </c>
      <c r="AC543" s="4"/>
      <c r="AD543" s="4"/>
      <c r="AE543" s="2">
        <v>0</v>
      </c>
      <c r="AF543" s="4">
        <v>0</v>
      </c>
      <c r="AG543" s="2">
        <v>0.37</v>
      </c>
      <c r="AH543" s="2">
        <v>688000</v>
      </c>
      <c r="AI543" s="2">
        <v>0</v>
      </c>
      <c r="AJ543" s="5">
        <v>44673</v>
      </c>
      <c r="AK543" t="s">
        <v>11750</v>
      </c>
      <c r="AL543" s="2">
        <v>0</v>
      </c>
      <c r="AM543" s="2">
        <v>0</v>
      </c>
      <c r="AN543" s="2">
        <v>0</v>
      </c>
      <c r="AO543" t="s">
        <v>44</v>
      </c>
      <c r="AP543" t="s">
        <v>11363</v>
      </c>
      <c r="AQ543" t="s">
        <v>4862</v>
      </c>
    </row>
    <row r="544" spans="1:43" x14ac:dyDescent="0.2">
      <c r="A544" t="s">
        <v>11749</v>
      </c>
      <c r="B544" t="s">
        <v>11037</v>
      </c>
      <c r="C544" t="s">
        <v>11364</v>
      </c>
      <c r="D544" t="s">
        <v>6240</v>
      </c>
      <c r="E544" t="s">
        <v>5065</v>
      </c>
      <c r="F544" t="s">
        <v>6240</v>
      </c>
      <c r="G544" s="1">
        <v>7700</v>
      </c>
      <c r="H544" s="2">
        <v>935933.84</v>
      </c>
      <c r="I544" s="2">
        <v>890505</v>
      </c>
      <c r="J544" s="2">
        <v>0</v>
      </c>
      <c r="K544" s="2">
        <v>0</v>
      </c>
      <c r="L544" s="2">
        <v>890505</v>
      </c>
      <c r="M544" s="3">
        <v>11565</v>
      </c>
      <c r="N544" s="4">
        <v>2.0259900000000001E-3</v>
      </c>
      <c r="O544" s="5" t="s">
        <v>44</v>
      </c>
      <c r="P544" s="5" t="s">
        <v>44</v>
      </c>
      <c r="Q544" s="1"/>
      <c r="R544" s="2"/>
      <c r="S544" s="6"/>
      <c r="T544" t="s">
        <v>10902</v>
      </c>
      <c r="U544" t="s">
        <v>10902</v>
      </c>
      <c r="V544" t="s">
        <v>10902</v>
      </c>
      <c r="W544" t="s">
        <v>43</v>
      </c>
      <c r="X544" t="s">
        <v>11369</v>
      </c>
      <c r="Y544" t="s">
        <v>11367</v>
      </c>
      <c r="Z544" t="s">
        <v>11364</v>
      </c>
      <c r="AA544" t="s">
        <v>44</v>
      </c>
      <c r="AB544" t="s">
        <v>44</v>
      </c>
      <c r="AC544" s="4"/>
      <c r="AD544" s="4"/>
      <c r="AE544" s="2">
        <v>0</v>
      </c>
      <c r="AF544" s="4">
        <v>0</v>
      </c>
      <c r="AG544" s="2">
        <v>0.48</v>
      </c>
      <c r="AH544" s="2">
        <v>890505</v>
      </c>
      <c r="AI544" s="2">
        <v>0</v>
      </c>
      <c r="AJ544" s="5">
        <v>44673</v>
      </c>
      <c r="AK544" t="s">
        <v>11750</v>
      </c>
      <c r="AL544" s="2">
        <v>0</v>
      </c>
      <c r="AM544" s="2">
        <v>0</v>
      </c>
      <c r="AN544" s="2">
        <v>0</v>
      </c>
      <c r="AO544" t="s">
        <v>44</v>
      </c>
      <c r="AP544" t="s">
        <v>11370</v>
      </c>
      <c r="AQ544" t="s">
        <v>5065</v>
      </c>
    </row>
    <row r="545" spans="1:43" x14ac:dyDescent="0.2">
      <c r="A545" t="s">
        <v>11749</v>
      </c>
      <c r="B545" t="s">
        <v>11037</v>
      </c>
      <c r="C545" t="s">
        <v>11364</v>
      </c>
      <c r="D545" t="s">
        <v>11371</v>
      </c>
      <c r="E545" t="s">
        <v>5127</v>
      </c>
      <c r="F545" t="s">
        <v>11371</v>
      </c>
      <c r="G545" s="1">
        <v>93234</v>
      </c>
      <c r="H545" s="2">
        <v>675212.41</v>
      </c>
      <c r="I545" s="2">
        <v>480155.1</v>
      </c>
      <c r="J545" s="2">
        <v>0</v>
      </c>
      <c r="K545" s="2">
        <v>0</v>
      </c>
      <c r="L545" s="2">
        <v>480155.1</v>
      </c>
      <c r="M545" s="3">
        <v>515</v>
      </c>
      <c r="N545" s="4">
        <v>1.0924000000000001E-3</v>
      </c>
      <c r="O545" s="5" t="s">
        <v>44</v>
      </c>
      <c r="P545" s="5" t="s">
        <v>44</v>
      </c>
      <c r="Q545" s="1"/>
      <c r="R545" s="2"/>
      <c r="S545" s="6"/>
      <c r="T545" t="s">
        <v>10902</v>
      </c>
      <c r="U545" t="s">
        <v>10902</v>
      </c>
      <c r="V545" t="s">
        <v>10902</v>
      </c>
      <c r="W545" t="s">
        <v>43</v>
      </c>
      <c r="X545" t="s">
        <v>11369</v>
      </c>
      <c r="Y545" t="s">
        <v>11367</v>
      </c>
      <c r="Z545" t="s">
        <v>11364</v>
      </c>
      <c r="AA545" t="s">
        <v>44</v>
      </c>
      <c r="AB545" t="s">
        <v>44</v>
      </c>
      <c r="AC545" s="4"/>
      <c r="AD545" s="4"/>
      <c r="AE545" s="2">
        <v>0</v>
      </c>
      <c r="AF545" s="4">
        <v>0</v>
      </c>
      <c r="AG545" s="2">
        <v>0.26</v>
      </c>
      <c r="AH545" s="2">
        <v>480155.1</v>
      </c>
      <c r="AI545" s="2">
        <v>0</v>
      </c>
      <c r="AJ545" s="5">
        <v>44673</v>
      </c>
      <c r="AK545" t="s">
        <v>11750</v>
      </c>
      <c r="AL545" s="2">
        <v>0</v>
      </c>
      <c r="AM545" s="2">
        <v>0</v>
      </c>
      <c r="AN545" s="2">
        <v>0</v>
      </c>
      <c r="AO545" t="s">
        <v>44</v>
      </c>
      <c r="AP545" t="s">
        <v>11372</v>
      </c>
      <c r="AQ545" t="s">
        <v>5127</v>
      </c>
    </row>
    <row r="546" spans="1:43" x14ac:dyDescent="0.2">
      <c r="A546" t="s">
        <v>11749</v>
      </c>
      <c r="B546" t="s">
        <v>11037</v>
      </c>
      <c r="C546" t="s">
        <v>11364</v>
      </c>
      <c r="D546" t="s">
        <v>5973</v>
      </c>
      <c r="E546" t="s">
        <v>4873</v>
      </c>
      <c r="F546" t="s">
        <v>5973</v>
      </c>
      <c r="G546" s="1">
        <v>800</v>
      </c>
      <c r="H546" s="2">
        <v>161370.07</v>
      </c>
      <c r="I546" s="2">
        <v>116520</v>
      </c>
      <c r="J546" s="2">
        <v>0</v>
      </c>
      <c r="K546" s="2">
        <v>400</v>
      </c>
      <c r="L546" s="2">
        <v>116920</v>
      </c>
      <c r="M546" s="3">
        <v>14565</v>
      </c>
      <c r="N546" s="4">
        <v>2.6601000000000001E-4</v>
      </c>
      <c r="O546" s="5" t="s">
        <v>44</v>
      </c>
      <c r="P546" s="5" t="s">
        <v>44</v>
      </c>
      <c r="Q546" s="1"/>
      <c r="R546" s="2"/>
      <c r="S546" s="6"/>
      <c r="T546" t="s">
        <v>10902</v>
      </c>
      <c r="U546" t="s">
        <v>10902</v>
      </c>
      <c r="V546" t="s">
        <v>10902</v>
      </c>
      <c r="W546" t="s">
        <v>43</v>
      </c>
      <c r="X546" t="s">
        <v>11369</v>
      </c>
      <c r="Y546" t="s">
        <v>11367</v>
      </c>
      <c r="Z546" t="s">
        <v>11364</v>
      </c>
      <c r="AA546" t="s">
        <v>44</v>
      </c>
      <c r="AB546" t="s">
        <v>44</v>
      </c>
      <c r="AC546" s="4"/>
      <c r="AD546" s="4"/>
      <c r="AE546" s="2">
        <v>0</v>
      </c>
      <c r="AF546" s="4">
        <v>0</v>
      </c>
      <c r="AG546" s="2">
        <v>0.06</v>
      </c>
      <c r="AH546" s="2">
        <v>116920</v>
      </c>
      <c r="AI546" s="2">
        <v>0</v>
      </c>
      <c r="AJ546" s="5">
        <v>44673</v>
      </c>
      <c r="AK546" t="s">
        <v>11750</v>
      </c>
      <c r="AL546" s="2">
        <v>0</v>
      </c>
      <c r="AM546" s="2">
        <v>0</v>
      </c>
      <c r="AN546" s="2">
        <v>0</v>
      </c>
      <c r="AO546" t="s">
        <v>44</v>
      </c>
      <c r="AP546" t="s">
        <v>11723</v>
      </c>
      <c r="AQ546" t="s">
        <v>4873</v>
      </c>
    </row>
    <row r="547" spans="1:43" x14ac:dyDescent="0.2">
      <c r="A547" t="s">
        <v>11749</v>
      </c>
      <c r="B547" t="s">
        <v>11037</v>
      </c>
      <c r="C547" t="s">
        <v>11364</v>
      </c>
      <c r="D547" t="s">
        <v>6443</v>
      </c>
      <c r="E547" t="s">
        <v>5186</v>
      </c>
      <c r="F547" t="s">
        <v>6443</v>
      </c>
      <c r="G547" s="1">
        <v>5657</v>
      </c>
      <c r="H547" s="2">
        <v>405125.38</v>
      </c>
      <c r="I547" s="2">
        <v>249813.12</v>
      </c>
      <c r="J547" s="2">
        <v>0</v>
      </c>
      <c r="K547" s="2">
        <v>0</v>
      </c>
      <c r="L547" s="2">
        <v>249813.12</v>
      </c>
      <c r="M547" s="3">
        <v>4416</v>
      </c>
      <c r="N547" s="4">
        <v>5.6835000000000002E-4</v>
      </c>
      <c r="O547" s="5" t="s">
        <v>44</v>
      </c>
      <c r="P547" s="5" t="s">
        <v>44</v>
      </c>
      <c r="Q547" s="1"/>
      <c r="R547" s="2"/>
      <c r="S547" s="6"/>
      <c r="T547" t="s">
        <v>10902</v>
      </c>
      <c r="U547" t="s">
        <v>10902</v>
      </c>
      <c r="V547" t="s">
        <v>10902</v>
      </c>
      <c r="W547" t="s">
        <v>43</v>
      </c>
      <c r="X547" t="s">
        <v>11366</v>
      </c>
      <c r="Y547" t="s">
        <v>11367</v>
      </c>
      <c r="Z547" t="s">
        <v>11364</v>
      </c>
      <c r="AA547" t="s">
        <v>44</v>
      </c>
      <c r="AB547" t="s">
        <v>44</v>
      </c>
      <c r="AC547" s="4"/>
      <c r="AD547" s="4"/>
      <c r="AE547" s="2">
        <v>0</v>
      </c>
      <c r="AF547" s="4">
        <v>0</v>
      </c>
      <c r="AG547" s="2">
        <v>0.14000000000000001</v>
      </c>
      <c r="AH547" s="2">
        <v>249813.12</v>
      </c>
      <c r="AI547" s="2">
        <v>0</v>
      </c>
      <c r="AJ547" s="5">
        <v>44673</v>
      </c>
      <c r="AK547" t="s">
        <v>11750</v>
      </c>
      <c r="AL547" s="2">
        <v>0</v>
      </c>
      <c r="AM547" s="2">
        <v>0</v>
      </c>
      <c r="AN547" s="2">
        <v>0</v>
      </c>
      <c r="AO547" t="s">
        <v>44</v>
      </c>
      <c r="AP547" t="s">
        <v>11373</v>
      </c>
      <c r="AQ547" t="s">
        <v>5186</v>
      </c>
    </row>
    <row r="548" spans="1:43" x14ac:dyDescent="0.2">
      <c r="A548" t="s">
        <v>11749</v>
      </c>
      <c r="B548" t="s">
        <v>11037</v>
      </c>
      <c r="C548" t="s">
        <v>11364</v>
      </c>
      <c r="D548" t="s">
        <v>11374</v>
      </c>
      <c r="E548" t="s">
        <v>1786</v>
      </c>
      <c r="F548" t="s">
        <v>11374</v>
      </c>
      <c r="G548" s="1">
        <v>15324</v>
      </c>
      <c r="H548" s="2">
        <v>419662.56</v>
      </c>
      <c r="I548" s="2">
        <v>413748</v>
      </c>
      <c r="J548" s="2">
        <v>0</v>
      </c>
      <c r="K548" s="2">
        <v>0</v>
      </c>
      <c r="L548" s="2">
        <v>413748</v>
      </c>
      <c r="M548" s="3">
        <v>2700</v>
      </c>
      <c r="N548" s="4">
        <v>9.4132000000000005E-4</v>
      </c>
      <c r="O548" s="5" t="s">
        <v>44</v>
      </c>
      <c r="P548" s="5" t="s">
        <v>44</v>
      </c>
      <c r="Q548" s="1"/>
      <c r="R548" s="2"/>
      <c r="S548" s="6"/>
      <c r="T548" t="s">
        <v>10902</v>
      </c>
      <c r="U548" t="s">
        <v>10902</v>
      </c>
      <c r="V548" t="s">
        <v>10902</v>
      </c>
      <c r="W548" t="s">
        <v>43</v>
      </c>
      <c r="X548" t="s">
        <v>11375</v>
      </c>
      <c r="Y548" t="s">
        <v>11367</v>
      </c>
      <c r="Z548" t="s">
        <v>11364</v>
      </c>
      <c r="AA548" t="s">
        <v>44</v>
      </c>
      <c r="AB548" t="s">
        <v>44</v>
      </c>
      <c r="AC548" s="4"/>
      <c r="AD548" s="4"/>
      <c r="AE548" s="2">
        <v>0</v>
      </c>
      <c r="AF548" s="4">
        <v>0</v>
      </c>
      <c r="AG548" s="2">
        <v>0.22</v>
      </c>
      <c r="AH548" s="2">
        <v>413748</v>
      </c>
      <c r="AI548" s="2">
        <v>0</v>
      </c>
      <c r="AJ548" s="5">
        <v>44673</v>
      </c>
      <c r="AK548" t="s">
        <v>11750</v>
      </c>
      <c r="AL548" s="2">
        <v>0</v>
      </c>
      <c r="AM548" s="2">
        <v>0</v>
      </c>
      <c r="AN548" s="2">
        <v>0</v>
      </c>
      <c r="AO548" t="s">
        <v>44</v>
      </c>
      <c r="AP548" t="s">
        <v>11376</v>
      </c>
      <c r="AQ548" t="s">
        <v>1786</v>
      </c>
    </row>
    <row r="549" spans="1:43" x14ac:dyDescent="0.2">
      <c r="A549" t="s">
        <v>11749</v>
      </c>
      <c r="B549" t="s">
        <v>11037</v>
      </c>
      <c r="C549" t="s">
        <v>11364</v>
      </c>
      <c r="D549" t="s">
        <v>11377</v>
      </c>
      <c r="E549" t="s">
        <v>5599</v>
      </c>
      <c r="F549" t="s">
        <v>11378</v>
      </c>
      <c r="G549" s="1">
        <v>1000</v>
      </c>
      <c r="H549" s="2">
        <v>231075.51</v>
      </c>
      <c r="I549" s="2">
        <v>540690</v>
      </c>
      <c r="J549" s="2">
        <v>0</v>
      </c>
      <c r="K549" s="2">
        <v>0</v>
      </c>
      <c r="L549" s="2">
        <v>540690</v>
      </c>
      <c r="M549" s="3">
        <v>54069</v>
      </c>
      <c r="N549" s="4">
        <v>1.2301300000000001E-3</v>
      </c>
      <c r="O549" s="5" t="s">
        <v>44</v>
      </c>
      <c r="P549" s="5" t="s">
        <v>44</v>
      </c>
      <c r="Q549" s="1"/>
      <c r="R549" s="2"/>
      <c r="S549" s="6"/>
      <c r="T549" t="s">
        <v>10902</v>
      </c>
      <c r="U549" t="s">
        <v>10902</v>
      </c>
      <c r="V549" t="s">
        <v>10902</v>
      </c>
      <c r="W549" t="s">
        <v>43</v>
      </c>
      <c r="X549" t="s">
        <v>11375</v>
      </c>
      <c r="Y549" t="s">
        <v>11367</v>
      </c>
      <c r="Z549" t="s">
        <v>11364</v>
      </c>
      <c r="AA549" t="s">
        <v>44</v>
      </c>
      <c r="AB549" t="s">
        <v>44</v>
      </c>
      <c r="AC549" s="4"/>
      <c r="AD549" s="4"/>
      <c r="AE549" s="2">
        <v>0</v>
      </c>
      <c r="AF549" s="4">
        <v>0</v>
      </c>
      <c r="AG549" s="2">
        <v>0.28999999999999998</v>
      </c>
      <c r="AH549" s="2">
        <v>540690</v>
      </c>
      <c r="AI549" s="2">
        <v>0</v>
      </c>
      <c r="AJ549" s="5">
        <v>44673</v>
      </c>
      <c r="AK549" t="s">
        <v>11750</v>
      </c>
      <c r="AL549" s="2">
        <v>0</v>
      </c>
      <c r="AM549" s="2">
        <v>0</v>
      </c>
      <c r="AN549" s="2">
        <v>0</v>
      </c>
      <c r="AO549" t="s">
        <v>44</v>
      </c>
      <c r="AP549" t="s">
        <v>11379</v>
      </c>
      <c r="AQ549" t="s">
        <v>5599</v>
      </c>
    </row>
    <row r="550" spans="1:43" x14ac:dyDescent="0.2">
      <c r="A550" t="s">
        <v>11749</v>
      </c>
      <c r="B550" t="s">
        <v>11037</v>
      </c>
      <c r="C550" t="s">
        <v>11727</v>
      </c>
      <c r="D550" t="s">
        <v>11728</v>
      </c>
      <c r="E550" t="s">
        <v>4855</v>
      </c>
      <c r="F550" t="s">
        <v>11728</v>
      </c>
      <c r="G550" s="1">
        <v>1205</v>
      </c>
      <c r="H550" s="2">
        <v>3010221.94</v>
      </c>
      <c r="I550" s="2">
        <v>1816272.4</v>
      </c>
      <c r="J550" s="2">
        <v>0</v>
      </c>
      <c r="K550" s="2">
        <v>0</v>
      </c>
      <c r="L550" s="2">
        <v>1816272.4</v>
      </c>
      <c r="M550" s="3">
        <v>150728</v>
      </c>
      <c r="N550" s="4">
        <v>4.1322199999999998E-3</v>
      </c>
      <c r="O550" s="5" t="s">
        <v>44</v>
      </c>
      <c r="P550" s="5" t="s">
        <v>44</v>
      </c>
      <c r="Q550" s="1"/>
      <c r="R550" s="2"/>
      <c r="S550" s="6"/>
      <c r="T550" t="s">
        <v>10902</v>
      </c>
      <c r="U550" t="s">
        <v>10902</v>
      </c>
      <c r="V550" t="s">
        <v>10902</v>
      </c>
      <c r="W550" t="s">
        <v>43</v>
      </c>
      <c r="X550" t="s">
        <v>11729</v>
      </c>
      <c r="Y550" t="s">
        <v>11727</v>
      </c>
      <c r="Z550" t="s">
        <v>11727</v>
      </c>
      <c r="AA550" t="s">
        <v>44</v>
      </c>
      <c r="AB550" t="s">
        <v>44</v>
      </c>
      <c r="AC550" s="4"/>
      <c r="AD550" s="4"/>
      <c r="AE550" s="2">
        <v>0</v>
      </c>
      <c r="AF550" s="4">
        <v>0</v>
      </c>
      <c r="AG550" s="2">
        <v>0.99</v>
      </c>
      <c r="AH550" s="2">
        <v>1816272.4</v>
      </c>
      <c r="AI550" s="2">
        <v>0</v>
      </c>
      <c r="AJ550" s="5">
        <v>44673</v>
      </c>
      <c r="AK550" t="s">
        <v>11750</v>
      </c>
      <c r="AL550" s="2">
        <v>0</v>
      </c>
      <c r="AM550" s="2">
        <v>0</v>
      </c>
      <c r="AN550" s="2">
        <v>0</v>
      </c>
      <c r="AO550" t="s">
        <v>44</v>
      </c>
      <c r="AP550" t="s">
        <v>11730</v>
      </c>
      <c r="AQ550" t="s">
        <v>4855</v>
      </c>
    </row>
    <row r="551" spans="1:43" x14ac:dyDescent="0.2">
      <c r="A551" t="s">
        <v>11749</v>
      </c>
      <c r="B551" t="s">
        <v>11037</v>
      </c>
      <c r="C551" t="s">
        <v>11727</v>
      </c>
      <c r="D551" t="s">
        <v>11731</v>
      </c>
      <c r="E551" t="s">
        <v>2068</v>
      </c>
      <c r="F551" t="s">
        <v>11731</v>
      </c>
      <c r="G551" s="1">
        <v>126</v>
      </c>
      <c r="H551" s="2">
        <v>152956.07</v>
      </c>
      <c r="I551" s="2">
        <v>93044.7</v>
      </c>
      <c r="J551" s="2">
        <v>0</v>
      </c>
      <c r="K551" s="2">
        <v>0</v>
      </c>
      <c r="L551" s="2">
        <v>93044.7</v>
      </c>
      <c r="M551" s="3">
        <v>73845</v>
      </c>
      <c r="N551" s="4">
        <v>2.1169E-4</v>
      </c>
      <c r="O551" s="5" t="s">
        <v>44</v>
      </c>
      <c r="P551" s="5" t="s">
        <v>44</v>
      </c>
      <c r="Q551" s="1"/>
      <c r="R551" s="2"/>
      <c r="S551" s="6"/>
      <c r="T551" t="s">
        <v>10902</v>
      </c>
      <c r="U551" t="s">
        <v>10902</v>
      </c>
      <c r="V551" t="s">
        <v>10902</v>
      </c>
      <c r="W551" t="s">
        <v>43</v>
      </c>
      <c r="X551" t="s">
        <v>11729</v>
      </c>
      <c r="Y551" t="s">
        <v>11727</v>
      </c>
      <c r="Z551" t="s">
        <v>11727</v>
      </c>
      <c r="AA551" t="s">
        <v>44</v>
      </c>
      <c r="AB551" t="s">
        <v>44</v>
      </c>
      <c r="AC551" s="4"/>
      <c r="AD551" s="4"/>
      <c r="AE551" s="2">
        <v>0</v>
      </c>
      <c r="AF551" s="4">
        <v>0</v>
      </c>
      <c r="AG551" s="2">
        <v>0.05</v>
      </c>
      <c r="AH551" s="2">
        <v>93044.7</v>
      </c>
      <c r="AI551" s="2">
        <v>0</v>
      </c>
      <c r="AJ551" s="5">
        <v>44673</v>
      </c>
      <c r="AK551" t="s">
        <v>11750</v>
      </c>
      <c r="AL551" s="2">
        <v>0</v>
      </c>
      <c r="AM551" s="2">
        <v>0</v>
      </c>
      <c r="AN551" s="2">
        <v>0</v>
      </c>
      <c r="AO551" t="s">
        <v>44</v>
      </c>
      <c r="AP551" t="s">
        <v>2073</v>
      </c>
      <c r="AQ551" t="s">
        <v>2068</v>
      </c>
    </row>
    <row r="552" spans="1:43" x14ac:dyDescent="0.2">
      <c r="A552" t="s">
        <v>11749</v>
      </c>
      <c r="B552" t="s">
        <v>11037</v>
      </c>
      <c r="C552" t="s">
        <v>11380</v>
      </c>
      <c r="D552" t="s">
        <v>5901</v>
      </c>
      <c r="E552" t="s">
        <v>4841</v>
      </c>
      <c r="F552" t="s">
        <v>5901</v>
      </c>
      <c r="G552" s="1">
        <v>11500</v>
      </c>
      <c r="H552" s="2">
        <v>2146417.54</v>
      </c>
      <c r="I552" s="2">
        <v>1989500</v>
      </c>
      <c r="J552" s="2">
        <v>0</v>
      </c>
      <c r="K552" s="2">
        <v>0</v>
      </c>
      <c r="L552" s="2">
        <v>1989500</v>
      </c>
      <c r="M552" s="3">
        <v>17300</v>
      </c>
      <c r="N552" s="4">
        <v>4.5263300000000003E-3</v>
      </c>
      <c r="O552" s="5" t="s">
        <v>44</v>
      </c>
      <c r="P552" s="5" t="s">
        <v>44</v>
      </c>
      <c r="Q552" s="1"/>
      <c r="R552" s="2"/>
      <c r="S552" s="6"/>
      <c r="T552" t="s">
        <v>10902</v>
      </c>
      <c r="U552" t="s">
        <v>10902</v>
      </c>
      <c r="V552" t="s">
        <v>10902</v>
      </c>
      <c r="W552" t="s">
        <v>43</v>
      </c>
      <c r="X552" t="s">
        <v>11732</v>
      </c>
      <c r="Y552" t="s">
        <v>11380</v>
      </c>
      <c r="Z552" t="s">
        <v>11380</v>
      </c>
      <c r="AA552" t="s">
        <v>44</v>
      </c>
      <c r="AB552" t="s">
        <v>44</v>
      </c>
      <c r="AC552" s="4"/>
      <c r="AD552" s="4"/>
      <c r="AE552" s="2">
        <v>0</v>
      </c>
      <c r="AF552" s="4">
        <v>0</v>
      </c>
      <c r="AG552" s="2">
        <v>1.08</v>
      </c>
      <c r="AH552" s="2">
        <v>1989500</v>
      </c>
      <c r="AI552" s="2">
        <v>0</v>
      </c>
      <c r="AJ552" s="5">
        <v>44673</v>
      </c>
      <c r="AK552" t="s">
        <v>11750</v>
      </c>
      <c r="AL552" s="2">
        <v>0</v>
      </c>
      <c r="AM552" s="2">
        <v>0</v>
      </c>
      <c r="AN552" s="2">
        <v>0</v>
      </c>
      <c r="AO552" t="s">
        <v>44</v>
      </c>
      <c r="AP552" t="s">
        <v>11733</v>
      </c>
      <c r="AQ552" t="s">
        <v>4841</v>
      </c>
    </row>
    <row r="553" spans="1:43" x14ac:dyDescent="0.2">
      <c r="A553" t="s">
        <v>11749</v>
      </c>
      <c r="B553" t="s">
        <v>11037</v>
      </c>
      <c r="C553" t="s">
        <v>11380</v>
      </c>
      <c r="D553" t="s">
        <v>11381</v>
      </c>
      <c r="E553" t="s">
        <v>5221</v>
      </c>
      <c r="F553" t="s">
        <v>11381</v>
      </c>
      <c r="G553" s="1">
        <v>9153</v>
      </c>
      <c r="H553" s="2">
        <v>423692.37</v>
      </c>
      <c r="I553" s="2">
        <v>407308.5</v>
      </c>
      <c r="J553" s="2">
        <v>0</v>
      </c>
      <c r="K553" s="2">
        <v>0</v>
      </c>
      <c r="L553" s="2">
        <v>407308.5</v>
      </c>
      <c r="M553" s="3">
        <v>4450</v>
      </c>
      <c r="N553" s="4">
        <v>9.2666999999999999E-4</v>
      </c>
      <c r="O553" s="5" t="s">
        <v>44</v>
      </c>
      <c r="P553" s="5" t="s">
        <v>44</v>
      </c>
      <c r="Q553" s="1"/>
      <c r="R553" s="2"/>
      <c r="S553" s="6"/>
      <c r="T553" t="s">
        <v>10902</v>
      </c>
      <c r="U553" t="s">
        <v>10902</v>
      </c>
      <c r="V553" t="s">
        <v>10902</v>
      </c>
      <c r="W553" t="s">
        <v>43</v>
      </c>
      <c r="X553" t="s">
        <v>11382</v>
      </c>
      <c r="Y553" t="s">
        <v>11380</v>
      </c>
      <c r="Z553" t="s">
        <v>11380</v>
      </c>
      <c r="AA553" t="s">
        <v>44</v>
      </c>
      <c r="AB553" t="s">
        <v>44</v>
      </c>
      <c r="AC553" s="4"/>
      <c r="AD553" s="4"/>
      <c r="AE553" s="2">
        <v>0</v>
      </c>
      <c r="AF553" s="4">
        <v>0</v>
      </c>
      <c r="AG553" s="2">
        <v>0.22</v>
      </c>
      <c r="AH553" s="2">
        <v>407308.5</v>
      </c>
      <c r="AI553" s="2">
        <v>0</v>
      </c>
      <c r="AJ553" s="5">
        <v>44673</v>
      </c>
      <c r="AK553" t="s">
        <v>11750</v>
      </c>
      <c r="AL553" s="2">
        <v>0</v>
      </c>
      <c r="AM553" s="2">
        <v>0</v>
      </c>
      <c r="AN553" s="2">
        <v>0</v>
      </c>
      <c r="AO553" t="s">
        <v>44</v>
      </c>
      <c r="AP553" t="s">
        <v>11383</v>
      </c>
      <c r="AQ553" t="s">
        <v>5221</v>
      </c>
    </row>
    <row r="554" spans="1:43" x14ac:dyDescent="0.2">
      <c r="A554" t="s">
        <v>11749</v>
      </c>
      <c r="B554" t="s">
        <v>11037</v>
      </c>
      <c r="C554" t="s">
        <v>11743</v>
      </c>
      <c r="D554" t="s">
        <v>11744</v>
      </c>
      <c r="E554" t="s">
        <v>11745</v>
      </c>
      <c r="F554" t="s">
        <v>11746</v>
      </c>
      <c r="G554" s="1">
        <v>1000</v>
      </c>
      <c r="H554" s="2">
        <v>160558.22</v>
      </c>
      <c r="I554" s="2">
        <v>162970</v>
      </c>
      <c r="J554" s="2">
        <v>0</v>
      </c>
      <c r="K554" s="2">
        <v>0</v>
      </c>
      <c r="L554" s="2">
        <v>162970</v>
      </c>
      <c r="M554" s="3">
        <v>16297</v>
      </c>
      <c r="N554" s="4">
        <v>3.7076999999999998E-4</v>
      </c>
      <c r="O554" s="5" t="s">
        <v>44</v>
      </c>
      <c r="P554" s="5" t="s">
        <v>44</v>
      </c>
      <c r="Q554" s="1"/>
      <c r="R554" s="2"/>
      <c r="S554" s="6"/>
      <c r="T554" t="s">
        <v>10902</v>
      </c>
      <c r="U554" t="s">
        <v>10902</v>
      </c>
      <c r="V554" t="s">
        <v>10902</v>
      </c>
      <c r="W554" t="s">
        <v>43</v>
      </c>
      <c r="X554" t="s">
        <v>11747</v>
      </c>
      <c r="Y554" t="s">
        <v>11743</v>
      </c>
      <c r="Z554" t="s">
        <v>11743</v>
      </c>
      <c r="AA554" t="s">
        <v>44</v>
      </c>
      <c r="AB554" t="s">
        <v>44</v>
      </c>
      <c r="AC554" s="4"/>
      <c r="AD554" s="4"/>
      <c r="AE554" s="2">
        <v>0</v>
      </c>
      <c r="AF554" s="4">
        <v>0</v>
      </c>
      <c r="AG554" s="2">
        <v>0.09</v>
      </c>
      <c r="AH554" s="2">
        <v>162970</v>
      </c>
      <c r="AI554" s="2">
        <v>0</v>
      </c>
      <c r="AJ554" s="5">
        <v>44673</v>
      </c>
      <c r="AK554" t="s">
        <v>11750</v>
      </c>
      <c r="AL554" s="2">
        <v>0</v>
      </c>
      <c r="AM554" s="2">
        <v>0</v>
      </c>
      <c r="AN554" s="2">
        <v>0</v>
      </c>
      <c r="AO554" t="s">
        <v>44</v>
      </c>
      <c r="AP554" t="s">
        <v>11748</v>
      </c>
      <c r="AQ554" t="s">
        <v>11745</v>
      </c>
    </row>
    <row r="555" spans="1:43" x14ac:dyDescent="0.2">
      <c r="A555" t="s">
        <v>11749</v>
      </c>
      <c r="B555" t="s">
        <v>11408</v>
      </c>
      <c r="C555" t="s">
        <v>11408</v>
      </c>
      <c r="D555" t="s">
        <v>11761</v>
      </c>
      <c r="E555" t="s">
        <v>11762</v>
      </c>
      <c r="F555" t="s">
        <v>11763</v>
      </c>
      <c r="G555" s="1">
        <v>2198.5524999999998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3"/>
      <c r="N555" s="4">
        <v>0</v>
      </c>
      <c r="O555" s="5" t="s">
        <v>44</v>
      </c>
      <c r="P555" s="5">
        <v>44777</v>
      </c>
      <c r="Q555" s="1">
        <v>0</v>
      </c>
      <c r="R555" s="2"/>
      <c r="S555" s="6"/>
      <c r="T555" t="s">
        <v>11412</v>
      </c>
      <c r="U555" t="s">
        <v>11413</v>
      </c>
      <c r="V555" t="s">
        <v>11414</v>
      </c>
      <c r="W555" t="s">
        <v>43</v>
      </c>
      <c r="X555" t="s">
        <v>44</v>
      </c>
      <c r="Y555" t="s">
        <v>44</v>
      </c>
      <c r="Z555" t="s">
        <v>44</v>
      </c>
      <c r="AA555" t="s">
        <v>10979</v>
      </c>
      <c r="AB555" t="s">
        <v>44</v>
      </c>
      <c r="AC555" s="4"/>
      <c r="AD555" s="4"/>
      <c r="AE555" s="2">
        <v>0</v>
      </c>
      <c r="AF555" s="4">
        <v>0</v>
      </c>
      <c r="AG555" s="2">
        <v>0</v>
      </c>
      <c r="AH555" s="2">
        <v>0</v>
      </c>
      <c r="AI555" s="2">
        <v>0</v>
      </c>
      <c r="AJ555" s="5">
        <v>44673</v>
      </c>
      <c r="AK555" t="s">
        <v>11750</v>
      </c>
      <c r="AL555" s="2">
        <v>0</v>
      </c>
      <c r="AM555" s="2">
        <v>0</v>
      </c>
      <c r="AN555" s="2">
        <v>0</v>
      </c>
      <c r="AO555" t="s">
        <v>11165</v>
      </c>
      <c r="AP555" t="s">
        <v>44</v>
      </c>
      <c r="AQ555" t="s">
        <v>44</v>
      </c>
    </row>
    <row r="556" spans="1:43" x14ac:dyDescent="0.2">
      <c r="A556" t="s">
        <v>11749</v>
      </c>
      <c r="B556" t="s">
        <v>11408</v>
      </c>
      <c r="C556" t="s">
        <v>11408</v>
      </c>
      <c r="D556" t="s">
        <v>11764</v>
      </c>
      <c r="E556" t="s">
        <v>11762</v>
      </c>
      <c r="F556" t="s">
        <v>11765</v>
      </c>
      <c r="G556" s="1">
        <v>-66458371.810000002</v>
      </c>
      <c r="H556" s="2">
        <v>0</v>
      </c>
      <c r="I556" s="2">
        <v>0</v>
      </c>
      <c r="J556" s="2">
        <v>-176160.2</v>
      </c>
      <c r="K556" s="2">
        <v>0</v>
      </c>
      <c r="L556" s="2">
        <v>-176160.2</v>
      </c>
      <c r="M556" s="3"/>
      <c r="N556" s="4">
        <v>-4.0077999999999999E-4</v>
      </c>
      <c r="O556" s="5" t="s">
        <v>44</v>
      </c>
      <c r="P556" s="5">
        <v>44777</v>
      </c>
      <c r="Q556" s="1">
        <v>0</v>
      </c>
      <c r="R556" s="2"/>
      <c r="S556" s="6"/>
      <c r="T556" t="s">
        <v>11412</v>
      </c>
      <c r="U556" t="s">
        <v>11413</v>
      </c>
      <c r="V556" t="s">
        <v>11414</v>
      </c>
      <c r="W556" t="s">
        <v>43</v>
      </c>
      <c r="X556" t="s">
        <v>44</v>
      </c>
      <c r="Y556" t="s">
        <v>44</v>
      </c>
      <c r="Z556" t="s">
        <v>44</v>
      </c>
      <c r="AA556" t="s">
        <v>10979</v>
      </c>
      <c r="AB556" t="s">
        <v>44</v>
      </c>
      <c r="AC556" s="4"/>
      <c r="AD556" s="4"/>
      <c r="AE556" s="2">
        <v>0</v>
      </c>
      <c r="AF556" s="4">
        <v>0</v>
      </c>
      <c r="AG556" s="2">
        <v>-0.1</v>
      </c>
      <c r="AH556" s="2">
        <v>-66634532.009999998</v>
      </c>
      <c r="AI556" s="2">
        <v>-0.15</v>
      </c>
      <c r="AJ556" s="5">
        <v>44673</v>
      </c>
      <c r="AK556" t="s">
        <v>11750</v>
      </c>
      <c r="AL556" s="2">
        <v>0</v>
      </c>
      <c r="AM556" s="2">
        <v>0</v>
      </c>
      <c r="AN556" s="2">
        <v>0</v>
      </c>
      <c r="AO556" t="s">
        <v>11165</v>
      </c>
      <c r="AP556" t="s">
        <v>44</v>
      </c>
      <c r="AQ556" t="s">
        <v>44</v>
      </c>
    </row>
    <row r="557" spans="1:43" x14ac:dyDescent="0.2">
      <c r="A557" t="s">
        <v>11749</v>
      </c>
      <c r="B557" t="s">
        <v>11408</v>
      </c>
      <c r="C557" t="s">
        <v>11408</v>
      </c>
      <c r="D557" t="s">
        <v>11766</v>
      </c>
      <c r="E557" t="s">
        <v>11762</v>
      </c>
      <c r="F557" t="s">
        <v>11767</v>
      </c>
      <c r="G557" s="1">
        <v>2198.5524999999998</v>
      </c>
      <c r="H557" s="2">
        <v>0</v>
      </c>
      <c r="I557" s="2">
        <v>-2958855.89</v>
      </c>
      <c r="J557" s="2">
        <v>0</v>
      </c>
      <c r="K557" s="2">
        <v>0</v>
      </c>
      <c r="L557" s="2">
        <v>-2958855.89</v>
      </c>
      <c r="M557" s="3">
        <v>28882.42</v>
      </c>
      <c r="N557" s="4">
        <v>-6.7317200000000001E-3</v>
      </c>
      <c r="O557" s="5" t="s">
        <v>44</v>
      </c>
      <c r="P557" s="5">
        <v>44777</v>
      </c>
      <c r="Q557" s="1">
        <v>0</v>
      </c>
      <c r="R557" s="2"/>
      <c r="S557" s="6"/>
      <c r="T557" t="s">
        <v>11412</v>
      </c>
      <c r="U557" t="s">
        <v>11413</v>
      </c>
      <c r="V557" t="s">
        <v>11414</v>
      </c>
      <c r="W557" t="s">
        <v>43</v>
      </c>
      <c r="X557" t="s">
        <v>44</v>
      </c>
      <c r="Y557" t="s">
        <v>44</v>
      </c>
      <c r="Z557" t="s">
        <v>44</v>
      </c>
      <c r="AA557" t="s">
        <v>10979</v>
      </c>
      <c r="AB557" t="s">
        <v>44</v>
      </c>
      <c r="AC557" s="4"/>
      <c r="AD557" s="4"/>
      <c r="AE557" s="2">
        <v>0</v>
      </c>
      <c r="AF557" s="4">
        <v>0</v>
      </c>
      <c r="AG557" s="2">
        <v>-1.61</v>
      </c>
      <c r="AH557" s="2">
        <v>63499515.920000002</v>
      </c>
      <c r="AI557" s="2">
        <v>0.14000000000000001</v>
      </c>
      <c r="AJ557" s="5">
        <v>44673</v>
      </c>
      <c r="AK557" t="s">
        <v>11750</v>
      </c>
      <c r="AL557" s="2">
        <v>0</v>
      </c>
      <c r="AM557" s="2">
        <v>0</v>
      </c>
      <c r="AN557" s="2">
        <v>0</v>
      </c>
      <c r="AO557" t="s">
        <v>11165</v>
      </c>
      <c r="AP557" t="s">
        <v>44</v>
      </c>
      <c r="AQ557" t="s">
        <v>44</v>
      </c>
    </row>
    <row r="558" spans="1:43" x14ac:dyDescent="0.2">
      <c r="A558" t="s">
        <v>11749</v>
      </c>
      <c r="B558" t="s">
        <v>11408</v>
      </c>
      <c r="C558" t="s">
        <v>11408</v>
      </c>
      <c r="D558" t="s">
        <v>11768</v>
      </c>
      <c r="E558" t="s">
        <v>11769</v>
      </c>
      <c r="F558" t="s">
        <v>11770</v>
      </c>
      <c r="G558" s="1">
        <v>1872.8914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3"/>
      <c r="N558" s="4">
        <v>0</v>
      </c>
      <c r="O558" s="5" t="s">
        <v>44</v>
      </c>
      <c r="P558" s="5">
        <v>44809</v>
      </c>
      <c r="Q558" s="1">
        <v>0</v>
      </c>
      <c r="R558" s="2"/>
      <c r="S558" s="6"/>
      <c r="T558" t="s">
        <v>11412</v>
      </c>
      <c r="U558" t="s">
        <v>11413</v>
      </c>
      <c r="V558" t="s">
        <v>11414</v>
      </c>
      <c r="W558" t="s">
        <v>43</v>
      </c>
      <c r="X558" t="s">
        <v>44</v>
      </c>
      <c r="Y558" t="s">
        <v>44</v>
      </c>
      <c r="Z558" t="s">
        <v>44</v>
      </c>
      <c r="AA558" t="s">
        <v>11035</v>
      </c>
      <c r="AB558" t="s">
        <v>44</v>
      </c>
      <c r="AC558" s="4"/>
      <c r="AD558" s="4"/>
      <c r="AE558" s="2">
        <v>0</v>
      </c>
      <c r="AF558" s="4">
        <v>0</v>
      </c>
      <c r="AG558" s="2">
        <v>0</v>
      </c>
      <c r="AH558" s="2">
        <v>0</v>
      </c>
      <c r="AI558" s="2">
        <v>0</v>
      </c>
      <c r="AJ558" s="5">
        <v>44673</v>
      </c>
      <c r="AK558" t="s">
        <v>11750</v>
      </c>
      <c r="AL558" s="2">
        <v>0</v>
      </c>
      <c r="AM558" s="2">
        <v>0</v>
      </c>
      <c r="AN558" s="2">
        <v>0</v>
      </c>
      <c r="AO558" t="s">
        <v>11053</v>
      </c>
      <c r="AP558" t="s">
        <v>44</v>
      </c>
      <c r="AQ558" t="s">
        <v>44</v>
      </c>
    </row>
    <row r="559" spans="1:43" x14ac:dyDescent="0.2">
      <c r="A559" t="s">
        <v>11749</v>
      </c>
      <c r="B559" t="s">
        <v>11408</v>
      </c>
      <c r="C559" t="s">
        <v>11408</v>
      </c>
      <c r="D559" t="s">
        <v>11771</v>
      </c>
      <c r="E559" t="s">
        <v>11769</v>
      </c>
      <c r="F559" t="s">
        <v>11772</v>
      </c>
      <c r="G559" s="1">
        <v>-56614210.729999997</v>
      </c>
      <c r="H559" s="2">
        <v>0</v>
      </c>
      <c r="I559" s="2">
        <v>0</v>
      </c>
      <c r="J559" s="2">
        <v>-148881.41</v>
      </c>
      <c r="K559" s="2">
        <v>0</v>
      </c>
      <c r="L559" s="2">
        <v>-148881.41</v>
      </c>
      <c r="M559" s="3"/>
      <c r="N559" s="4">
        <v>-3.3871999999999998E-4</v>
      </c>
      <c r="O559" s="5" t="s">
        <v>44</v>
      </c>
      <c r="P559" s="5">
        <v>44809</v>
      </c>
      <c r="Q559" s="1">
        <v>0</v>
      </c>
      <c r="R559" s="2"/>
      <c r="S559" s="6"/>
      <c r="T559" t="s">
        <v>11412</v>
      </c>
      <c r="U559" t="s">
        <v>11413</v>
      </c>
      <c r="V559" t="s">
        <v>11414</v>
      </c>
      <c r="W559" t="s">
        <v>43</v>
      </c>
      <c r="X559" t="s">
        <v>44</v>
      </c>
      <c r="Y559" t="s">
        <v>44</v>
      </c>
      <c r="Z559" t="s">
        <v>44</v>
      </c>
      <c r="AA559" t="s">
        <v>11035</v>
      </c>
      <c r="AB559" t="s">
        <v>44</v>
      </c>
      <c r="AC559" s="4"/>
      <c r="AD559" s="4"/>
      <c r="AE559" s="2">
        <v>0</v>
      </c>
      <c r="AF559" s="4">
        <v>0</v>
      </c>
      <c r="AG559" s="2">
        <v>-0.08</v>
      </c>
      <c r="AH559" s="2">
        <v>-56763092.140000001</v>
      </c>
      <c r="AI559" s="2">
        <v>-0.13</v>
      </c>
      <c r="AJ559" s="5">
        <v>44673</v>
      </c>
      <c r="AK559" t="s">
        <v>11750</v>
      </c>
      <c r="AL559" s="2">
        <v>0</v>
      </c>
      <c r="AM559" s="2">
        <v>0</v>
      </c>
      <c r="AN559" s="2">
        <v>0</v>
      </c>
      <c r="AO559" t="s">
        <v>11053</v>
      </c>
      <c r="AP559" t="s">
        <v>44</v>
      </c>
      <c r="AQ559" t="s">
        <v>44</v>
      </c>
    </row>
    <row r="560" spans="1:43" x14ac:dyDescent="0.2">
      <c r="A560" t="s">
        <v>11749</v>
      </c>
      <c r="B560" t="s">
        <v>11408</v>
      </c>
      <c r="C560" t="s">
        <v>11408</v>
      </c>
      <c r="D560" t="s">
        <v>11773</v>
      </c>
      <c r="E560" t="s">
        <v>11769</v>
      </c>
      <c r="F560" t="s">
        <v>11774</v>
      </c>
      <c r="G560" s="1">
        <v>1872.8914</v>
      </c>
      <c r="H560" s="2">
        <v>0</v>
      </c>
      <c r="I560" s="2">
        <v>-2520574.7000000002</v>
      </c>
      <c r="J560" s="2">
        <v>0</v>
      </c>
      <c r="K560" s="2">
        <v>0</v>
      </c>
      <c r="L560" s="2">
        <v>-2520574.7000000002</v>
      </c>
      <c r="M560" s="3">
        <v>28882.42</v>
      </c>
      <c r="N560" s="4">
        <v>-5.7345800000000004E-3</v>
      </c>
      <c r="O560" s="5" t="s">
        <v>44</v>
      </c>
      <c r="P560" s="5">
        <v>44809</v>
      </c>
      <c r="Q560" s="1">
        <v>0</v>
      </c>
      <c r="R560" s="2"/>
      <c r="S560" s="6"/>
      <c r="T560" t="s">
        <v>11412</v>
      </c>
      <c r="U560" t="s">
        <v>11413</v>
      </c>
      <c r="V560" t="s">
        <v>11414</v>
      </c>
      <c r="W560" t="s">
        <v>43</v>
      </c>
      <c r="X560" t="s">
        <v>44</v>
      </c>
      <c r="Y560" t="s">
        <v>44</v>
      </c>
      <c r="Z560" t="s">
        <v>44</v>
      </c>
      <c r="AA560" t="s">
        <v>11035</v>
      </c>
      <c r="AB560" t="s">
        <v>44</v>
      </c>
      <c r="AC560" s="4"/>
      <c r="AD560" s="4"/>
      <c r="AE560" s="2">
        <v>0</v>
      </c>
      <c r="AF560" s="4">
        <v>0</v>
      </c>
      <c r="AG560" s="2">
        <v>-1.37</v>
      </c>
      <c r="AH560" s="2">
        <v>54093636.030000001</v>
      </c>
      <c r="AI560" s="2">
        <v>0.12</v>
      </c>
      <c r="AJ560" s="5">
        <v>44673</v>
      </c>
      <c r="AK560" t="s">
        <v>11750</v>
      </c>
      <c r="AL560" s="2">
        <v>0</v>
      </c>
      <c r="AM560" s="2">
        <v>0</v>
      </c>
      <c r="AN560" s="2">
        <v>0</v>
      </c>
      <c r="AO560" t="s">
        <v>11053</v>
      </c>
      <c r="AP560" t="s">
        <v>44</v>
      </c>
      <c r="AQ560" t="s">
        <v>44</v>
      </c>
    </row>
    <row r="561" spans="1:43" x14ac:dyDescent="0.2">
      <c r="A561" t="s">
        <v>11749</v>
      </c>
      <c r="B561" t="s">
        <v>11030</v>
      </c>
      <c r="C561" t="s">
        <v>11030</v>
      </c>
      <c r="D561" t="s">
        <v>11775</v>
      </c>
      <c r="E561" t="s">
        <v>11754</v>
      </c>
      <c r="F561" t="s">
        <v>11775</v>
      </c>
      <c r="G561" s="1">
        <v>96</v>
      </c>
      <c r="H561" s="2"/>
      <c r="I561" s="2">
        <v>0</v>
      </c>
      <c r="J561" s="2"/>
      <c r="K561" s="2"/>
      <c r="L561" s="2">
        <v>0</v>
      </c>
      <c r="M561" s="3"/>
      <c r="N561" s="4">
        <v>0</v>
      </c>
      <c r="O561" s="5" t="s">
        <v>44</v>
      </c>
      <c r="P561" s="5" t="s">
        <v>44</v>
      </c>
      <c r="Q561" s="1"/>
      <c r="R561" s="2"/>
      <c r="S561" s="6"/>
      <c r="T561" t="s">
        <v>11031</v>
      </c>
      <c r="U561" t="s">
        <v>11032</v>
      </c>
      <c r="V561" t="s">
        <v>45</v>
      </c>
      <c r="W561" t="s">
        <v>43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s="4"/>
      <c r="AD561" s="4"/>
      <c r="AE561" s="2">
        <v>0</v>
      </c>
      <c r="AF561" s="4">
        <v>0</v>
      </c>
      <c r="AG561" s="2">
        <v>0</v>
      </c>
      <c r="AH561" s="2">
        <v>-19211520</v>
      </c>
      <c r="AI561" s="2">
        <v>-0.04</v>
      </c>
      <c r="AJ561" s="5">
        <v>44673</v>
      </c>
      <c r="AK561" t="s">
        <v>11750</v>
      </c>
      <c r="AL561" s="2">
        <v>0</v>
      </c>
      <c r="AM561" s="2">
        <v>0</v>
      </c>
      <c r="AN561" s="2">
        <v>0</v>
      </c>
      <c r="AO561" t="s">
        <v>44</v>
      </c>
      <c r="AP561" t="s">
        <v>44</v>
      </c>
      <c r="AQ561" t="s">
        <v>11182</v>
      </c>
    </row>
    <row r="562" spans="1:43" x14ac:dyDescent="0.2">
      <c r="A562" t="s">
        <v>11749</v>
      </c>
      <c r="B562" t="s">
        <v>11030</v>
      </c>
      <c r="C562" t="s">
        <v>11030</v>
      </c>
      <c r="D562" t="s">
        <v>11776</v>
      </c>
      <c r="E562" t="s">
        <v>11756</v>
      </c>
      <c r="F562" t="s">
        <v>11776</v>
      </c>
      <c r="G562" s="1">
        <v>30</v>
      </c>
      <c r="H562" s="2"/>
      <c r="I562" s="2">
        <v>0</v>
      </c>
      <c r="J562" s="2"/>
      <c r="K562" s="2"/>
      <c r="L562" s="2">
        <v>0</v>
      </c>
      <c r="M562" s="3"/>
      <c r="N562" s="4">
        <v>0</v>
      </c>
      <c r="O562" s="5" t="s">
        <v>44</v>
      </c>
      <c r="P562" s="5" t="s">
        <v>44</v>
      </c>
      <c r="Q562" s="1"/>
      <c r="R562" s="2"/>
      <c r="S562" s="6"/>
      <c r="T562" t="s">
        <v>11031</v>
      </c>
      <c r="U562" t="s">
        <v>11032</v>
      </c>
      <c r="V562" t="s">
        <v>45</v>
      </c>
      <c r="W562" t="s">
        <v>43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s="4"/>
      <c r="AD562" s="4"/>
      <c r="AE562" s="2">
        <v>0</v>
      </c>
      <c r="AF562" s="4">
        <v>0</v>
      </c>
      <c r="AG562" s="2">
        <v>0</v>
      </c>
      <c r="AH562" s="2">
        <v>-8720100</v>
      </c>
      <c r="AI562" s="2">
        <v>-0.02</v>
      </c>
      <c r="AJ562" s="5">
        <v>44673</v>
      </c>
      <c r="AK562" t="s">
        <v>11750</v>
      </c>
      <c r="AL562" s="2">
        <v>0</v>
      </c>
      <c r="AM562" s="2">
        <v>0</v>
      </c>
      <c r="AN562" s="2">
        <v>0</v>
      </c>
      <c r="AO562" t="s">
        <v>44</v>
      </c>
      <c r="AP562" t="s">
        <v>44</v>
      </c>
      <c r="AQ562" t="s">
        <v>11182</v>
      </c>
    </row>
    <row r="563" spans="1:43" x14ac:dyDescent="0.2">
      <c r="A563" t="s">
        <v>11777</v>
      </c>
      <c r="B563" t="s">
        <v>10900</v>
      </c>
      <c r="C563" t="s">
        <v>11033</v>
      </c>
      <c r="D563" t="s">
        <v>11187</v>
      </c>
      <c r="E563" t="s">
        <v>11188</v>
      </c>
      <c r="F563" t="s">
        <v>11187</v>
      </c>
      <c r="G563" s="1">
        <v>2620000</v>
      </c>
      <c r="H563" s="2">
        <v>2665647.0499999998</v>
      </c>
      <c r="I563" s="2">
        <v>2723996.44</v>
      </c>
      <c r="J563" s="2">
        <v>2550.52</v>
      </c>
      <c r="K563" s="2">
        <v>0</v>
      </c>
      <c r="L563" s="2">
        <v>2726546.96</v>
      </c>
      <c r="M563" s="3">
        <v>7.1638799999999998</v>
      </c>
      <c r="N563" s="4">
        <v>6.2031899999999999E-3</v>
      </c>
      <c r="O563" s="5">
        <v>44757</v>
      </c>
      <c r="P563" s="5">
        <v>45672</v>
      </c>
      <c r="Q563" s="1">
        <v>8.8829999999999991</v>
      </c>
      <c r="R563" s="2">
        <v>0.22</v>
      </c>
      <c r="S563" s="6">
        <v>0.20744314818000001</v>
      </c>
      <c r="T563" t="s">
        <v>111</v>
      </c>
      <c r="U563" t="s">
        <v>111</v>
      </c>
      <c r="V563" t="s">
        <v>11189</v>
      </c>
      <c r="W563" t="s">
        <v>43</v>
      </c>
      <c r="X563" t="s">
        <v>11034</v>
      </c>
      <c r="Y563" t="s">
        <v>44</v>
      </c>
      <c r="Z563" t="s">
        <v>44</v>
      </c>
      <c r="AA563" t="s">
        <v>11035</v>
      </c>
      <c r="AB563" t="s">
        <v>44</v>
      </c>
      <c r="AC563" s="4">
        <v>7.2921833700000001</v>
      </c>
      <c r="AD563" s="4">
        <v>7.0592439100000002</v>
      </c>
      <c r="AE563" s="2">
        <v>7.29</v>
      </c>
      <c r="AF563" s="4">
        <v>7.0592439100000002</v>
      </c>
      <c r="AG563" s="2">
        <v>4.2300000000000004</v>
      </c>
      <c r="AH563" s="2">
        <v>2726546.96</v>
      </c>
      <c r="AI563" s="2">
        <v>0.01</v>
      </c>
      <c r="AJ563" s="5">
        <v>44673</v>
      </c>
      <c r="AK563" t="s">
        <v>11778</v>
      </c>
      <c r="AL563" s="2">
        <v>7.16</v>
      </c>
      <c r="AM563" s="2">
        <v>8.8800000000000008</v>
      </c>
      <c r="AN563" s="2">
        <v>0.21</v>
      </c>
      <c r="AO563" t="s">
        <v>11036</v>
      </c>
      <c r="AP563" t="s">
        <v>11191</v>
      </c>
      <c r="AQ563" t="s">
        <v>11188</v>
      </c>
    </row>
    <row r="564" spans="1:43" x14ac:dyDescent="0.2">
      <c r="A564" t="s">
        <v>11777</v>
      </c>
      <c r="B564" t="s">
        <v>10900</v>
      </c>
      <c r="C564" t="s">
        <v>10943</v>
      </c>
      <c r="D564" t="s">
        <v>10977</v>
      </c>
      <c r="E564" t="s">
        <v>10978</v>
      </c>
      <c r="F564" t="s">
        <v>10977</v>
      </c>
      <c r="G564" s="1">
        <v>2352240</v>
      </c>
      <c r="H564" s="2">
        <v>2386659.7400000002</v>
      </c>
      <c r="I564" s="2">
        <v>2210804.98</v>
      </c>
      <c r="J564" s="2">
        <v>108256.85</v>
      </c>
      <c r="K564" s="2">
        <v>0</v>
      </c>
      <c r="L564" s="2">
        <v>2319061.83</v>
      </c>
      <c r="M564" s="3">
        <v>11.88</v>
      </c>
      <c r="N564" s="4">
        <v>5.2761199999999996E-3</v>
      </c>
      <c r="O564" s="5">
        <v>44697</v>
      </c>
      <c r="P564" s="5">
        <v>46888</v>
      </c>
      <c r="Q564" s="1">
        <v>10.565</v>
      </c>
      <c r="R564" s="2">
        <v>4.7300000000000004</v>
      </c>
      <c r="S564" s="6">
        <v>4.4668326030000003</v>
      </c>
      <c r="T564" t="s">
        <v>111</v>
      </c>
      <c r="U564" t="s">
        <v>111</v>
      </c>
      <c r="V564" t="s">
        <v>10944</v>
      </c>
      <c r="W564" t="s">
        <v>43</v>
      </c>
      <c r="X564" t="s">
        <v>44</v>
      </c>
      <c r="Y564" t="s">
        <v>44</v>
      </c>
      <c r="Z564" t="s">
        <v>44</v>
      </c>
      <c r="AA564" t="s">
        <v>10979</v>
      </c>
      <c r="AB564" t="s">
        <v>44</v>
      </c>
      <c r="AC564" s="4">
        <v>12.232836000000001</v>
      </c>
      <c r="AD564" s="4">
        <v>11.596213730000001</v>
      </c>
      <c r="AE564" s="2">
        <v>12.23</v>
      </c>
      <c r="AF564" s="4">
        <v>11.596213730000001</v>
      </c>
      <c r="AG564" s="2">
        <v>3.6</v>
      </c>
      <c r="AH564" s="2">
        <v>2319061.83</v>
      </c>
      <c r="AI564" s="2">
        <v>0.01</v>
      </c>
      <c r="AJ564" s="5">
        <v>44673</v>
      </c>
      <c r="AK564" t="s">
        <v>11778</v>
      </c>
      <c r="AL564" s="2">
        <v>11.88</v>
      </c>
      <c r="AM564" s="2">
        <v>10.56</v>
      </c>
      <c r="AN564" s="2">
        <v>4.47</v>
      </c>
      <c r="AO564" t="s">
        <v>10980</v>
      </c>
      <c r="AP564" t="s">
        <v>10981</v>
      </c>
      <c r="AQ564" t="s">
        <v>10978</v>
      </c>
    </row>
    <row r="565" spans="1:43" x14ac:dyDescent="0.2">
      <c r="A565" t="s">
        <v>11777</v>
      </c>
      <c r="B565" t="s">
        <v>10900</v>
      </c>
      <c r="C565" t="s">
        <v>10943</v>
      </c>
      <c r="D565" t="s">
        <v>11135</v>
      </c>
      <c r="E565" t="s">
        <v>10946</v>
      </c>
      <c r="F565" t="s">
        <v>11135</v>
      </c>
      <c r="G565" s="1">
        <v>11300000</v>
      </c>
      <c r="H565" s="2">
        <v>12477993.960000001</v>
      </c>
      <c r="I565" s="2">
        <v>12276653.35</v>
      </c>
      <c r="J565" s="2">
        <v>402768.47</v>
      </c>
      <c r="K565" s="2">
        <v>0</v>
      </c>
      <c r="L565" s="2">
        <v>12679421.82</v>
      </c>
      <c r="M565" s="3">
        <v>8.2249999999999996</v>
      </c>
      <c r="N565" s="4">
        <v>2.8847049999999999E-2</v>
      </c>
      <c r="O565" s="5">
        <v>44733</v>
      </c>
      <c r="P565" s="5">
        <v>46377</v>
      </c>
      <c r="Q565" s="1">
        <v>10.5</v>
      </c>
      <c r="R565" s="2">
        <v>3.72</v>
      </c>
      <c r="S565" s="6">
        <v>3.572672968</v>
      </c>
      <c r="T565" t="s">
        <v>111</v>
      </c>
      <c r="U565" t="s">
        <v>111</v>
      </c>
      <c r="V565" t="s">
        <v>10944</v>
      </c>
      <c r="W565" t="s">
        <v>43</v>
      </c>
      <c r="X565" t="s">
        <v>10945</v>
      </c>
      <c r="Y565" t="s">
        <v>44</v>
      </c>
      <c r="Z565" t="s">
        <v>44</v>
      </c>
      <c r="AA565" t="s">
        <v>10913</v>
      </c>
      <c r="AB565" t="s">
        <v>44</v>
      </c>
      <c r="AC565" s="4">
        <v>8.3941265600000001</v>
      </c>
      <c r="AD565" s="4">
        <v>8.0875032299999994</v>
      </c>
      <c r="AE565" s="2">
        <v>8.39</v>
      </c>
      <c r="AF565" s="4">
        <v>8.0875032299999994</v>
      </c>
      <c r="AG565" s="2">
        <v>19.690000000000001</v>
      </c>
      <c r="AH565" s="2">
        <v>12679421.82</v>
      </c>
      <c r="AI565" s="2">
        <v>0.03</v>
      </c>
      <c r="AJ565" s="5">
        <v>44673</v>
      </c>
      <c r="AK565" t="s">
        <v>11778</v>
      </c>
      <c r="AL565" s="2">
        <v>8.23</v>
      </c>
      <c r="AM565" s="2">
        <v>10.5</v>
      </c>
      <c r="AN565" s="2">
        <v>3.57</v>
      </c>
      <c r="AO565" t="s">
        <v>10922</v>
      </c>
      <c r="AP565" t="s">
        <v>11136</v>
      </c>
      <c r="AQ565" t="s">
        <v>10946</v>
      </c>
    </row>
    <row r="566" spans="1:43" x14ac:dyDescent="0.2">
      <c r="A566" t="s">
        <v>11777</v>
      </c>
      <c r="B566" t="s">
        <v>10900</v>
      </c>
      <c r="C566" t="s">
        <v>10943</v>
      </c>
      <c r="D566" t="s">
        <v>12863</v>
      </c>
      <c r="E566" t="s">
        <v>12864</v>
      </c>
      <c r="F566" t="s">
        <v>12863</v>
      </c>
      <c r="G566" s="1">
        <v>1360000</v>
      </c>
      <c r="H566" s="2">
        <v>1360000</v>
      </c>
      <c r="I566" s="2">
        <v>1361544.82</v>
      </c>
      <c r="J566" s="2">
        <v>4862.91</v>
      </c>
      <c r="K566" s="2">
        <v>0</v>
      </c>
      <c r="L566" s="2">
        <v>1366407.73</v>
      </c>
      <c r="M566" s="3">
        <v>8.0409749999999995</v>
      </c>
      <c r="N566" s="4">
        <v>3.1087200000000001E-3</v>
      </c>
      <c r="O566" s="5">
        <v>44750</v>
      </c>
      <c r="P566" s="5">
        <v>46485</v>
      </c>
      <c r="Q566" s="1">
        <v>8.157</v>
      </c>
      <c r="R566" s="2">
        <v>0.2</v>
      </c>
      <c r="S566" s="6">
        <v>9.4975697833E-2</v>
      </c>
      <c r="T566" t="s">
        <v>111</v>
      </c>
      <c r="U566" t="s">
        <v>111</v>
      </c>
      <c r="V566" t="s">
        <v>11189</v>
      </c>
      <c r="W566" t="s">
        <v>43</v>
      </c>
      <c r="X566" t="s">
        <v>11034</v>
      </c>
      <c r="Y566" t="s">
        <v>44</v>
      </c>
      <c r="Z566" t="s">
        <v>44</v>
      </c>
      <c r="AA566" t="s">
        <v>11035</v>
      </c>
      <c r="AB566" t="s">
        <v>44</v>
      </c>
      <c r="AC566" s="4">
        <v>8.2026182599999995</v>
      </c>
      <c r="AD566" s="4">
        <v>7.9094905600000001</v>
      </c>
      <c r="AE566" s="2">
        <v>8.1999999999999993</v>
      </c>
      <c r="AF566" s="4">
        <v>7.9094905600000001</v>
      </c>
      <c r="AG566" s="2">
        <v>2.12</v>
      </c>
      <c r="AH566" s="2">
        <v>1366407.73</v>
      </c>
      <c r="AI566" s="2">
        <v>0</v>
      </c>
      <c r="AJ566" s="5">
        <v>44673</v>
      </c>
      <c r="AK566" t="s">
        <v>11778</v>
      </c>
      <c r="AL566" s="2">
        <v>8.0399999999999991</v>
      </c>
      <c r="AM566" s="2">
        <v>8.16</v>
      </c>
      <c r="AN566" s="2">
        <v>0.09</v>
      </c>
      <c r="AO566" t="s">
        <v>11496</v>
      </c>
      <c r="AP566" t="s">
        <v>12865</v>
      </c>
      <c r="AQ566" t="s">
        <v>12864</v>
      </c>
    </row>
    <row r="567" spans="1:43" x14ac:dyDescent="0.2">
      <c r="A567" t="s">
        <v>11777</v>
      </c>
      <c r="B567" t="s">
        <v>10900</v>
      </c>
      <c r="C567" t="s">
        <v>11137</v>
      </c>
      <c r="D567" t="s">
        <v>11138</v>
      </c>
      <c r="E567" t="s">
        <v>11139</v>
      </c>
      <c r="F567" t="s">
        <v>11138</v>
      </c>
      <c r="G567" s="1">
        <v>1620000</v>
      </c>
      <c r="H567" s="2">
        <v>1623572.34</v>
      </c>
      <c r="I567" s="2">
        <v>1549029.1</v>
      </c>
      <c r="J567" s="2">
        <v>5592.33</v>
      </c>
      <c r="K567" s="2">
        <v>0</v>
      </c>
      <c r="L567" s="2">
        <v>1554621.43</v>
      </c>
      <c r="M567" s="3">
        <v>11.316000000000001</v>
      </c>
      <c r="N567" s="4">
        <v>3.5369300000000002E-3</v>
      </c>
      <c r="O567" s="5">
        <v>44844</v>
      </c>
      <c r="P567" s="5">
        <v>47765</v>
      </c>
      <c r="Q567" s="1">
        <v>10.5</v>
      </c>
      <c r="R567" s="2">
        <v>5.71</v>
      </c>
      <c r="S567" s="6">
        <v>5.4077134439999996</v>
      </c>
      <c r="T567" t="s">
        <v>111</v>
      </c>
      <c r="U567" t="s">
        <v>111</v>
      </c>
      <c r="V567" t="s">
        <v>10944</v>
      </c>
      <c r="W567" t="s">
        <v>43</v>
      </c>
      <c r="X567" t="s">
        <v>44</v>
      </c>
      <c r="Y567" t="s">
        <v>44</v>
      </c>
      <c r="Z567" t="s">
        <v>44</v>
      </c>
      <c r="AA567" t="s">
        <v>10979</v>
      </c>
      <c r="AB567" t="s">
        <v>44</v>
      </c>
      <c r="AC567" s="4">
        <v>11.63612964</v>
      </c>
      <c r="AD567" s="4">
        <v>11.058095140000001</v>
      </c>
      <c r="AE567" s="2">
        <v>11.64</v>
      </c>
      <c r="AF567" s="4">
        <v>11.058095140000001</v>
      </c>
      <c r="AG567" s="2">
        <v>2.41</v>
      </c>
      <c r="AH567" s="2">
        <v>1554621.43</v>
      </c>
      <c r="AI567" s="2">
        <v>0</v>
      </c>
      <c r="AJ567" s="5">
        <v>44673</v>
      </c>
      <c r="AK567" t="s">
        <v>11778</v>
      </c>
      <c r="AL567" s="2">
        <v>11.32</v>
      </c>
      <c r="AM567" s="2">
        <v>10.5</v>
      </c>
      <c r="AN567" s="2">
        <v>5.41</v>
      </c>
      <c r="AO567" t="s">
        <v>10982</v>
      </c>
      <c r="AP567" t="s">
        <v>11140</v>
      </c>
      <c r="AQ567" t="s">
        <v>11139</v>
      </c>
    </row>
    <row r="568" spans="1:43" x14ac:dyDescent="0.2">
      <c r="A568" t="s">
        <v>11777</v>
      </c>
      <c r="B568" t="s">
        <v>10900</v>
      </c>
      <c r="C568" t="s">
        <v>10950</v>
      </c>
      <c r="D568" t="s">
        <v>11141</v>
      </c>
      <c r="E568" t="s">
        <v>11142</v>
      </c>
      <c r="F568" t="s">
        <v>11141</v>
      </c>
      <c r="G568" s="1">
        <v>2179000</v>
      </c>
      <c r="H568" s="2">
        <v>1762575.3600000001</v>
      </c>
      <c r="I568" s="2">
        <v>1791108.37</v>
      </c>
      <c r="J568" s="2">
        <v>29055.54</v>
      </c>
      <c r="K568" s="2">
        <v>0</v>
      </c>
      <c r="L568" s="2">
        <v>1820163.91</v>
      </c>
      <c r="M568" s="3">
        <v>10.805</v>
      </c>
      <c r="N568" s="4">
        <v>4.1410700000000002E-3</v>
      </c>
      <c r="O568" s="5">
        <v>44804</v>
      </c>
      <c r="P568" s="5">
        <v>54116</v>
      </c>
      <c r="Q568" s="1">
        <v>8.75</v>
      </c>
      <c r="R568" s="2">
        <v>9.2200000000000006</v>
      </c>
      <c r="S568" s="6">
        <v>8.7507641760000006</v>
      </c>
      <c r="T568" t="s">
        <v>111</v>
      </c>
      <c r="U568" t="s">
        <v>111</v>
      </c>
      <c r="V568" t="s">
        <v>10944</v>
      </c>
      <c r="W568" t="s">
        <v>43</v>
      </c>
      <c r="X568" t="s">
        <v>10945</v>
      </c>
      <c r="Y568" t="s">
        <v>44</v>
      </c>
      <c r="Z568" t="s">
        <v>44</v>
      </c>
      <c r="AA568" t="s">
        <v>10913</v>
      </c>
      <c r="AB568" t="s">
        <v>44</v>
      </c>
      <c r="AC568" s="4">
        <v>11.096870060000001</v>
      </c>
      <c r="AD568" s="4">
        <v>10.56950999</v>
      </c>
      <c r="AE568" s="2">
        <v>11.1</v>
      </c>
      <c r="AF568" s="4">
        <v>10.56950999</v>
      </c>
      <c r="AG568" s="2">
        <v>2.83</v>
      </c>
      <c r="AH568" s="2">
        <v>1820163.91</v>
      </c>
      <c r="AI568" s="2">
        <v>0</v>
      </c>
      <c r="AJ568" s="5">
        <v>44673</v>
      </c>
      <c r="AK568" t="s">
        <v>11778</v>
      </c>
      <c r="AL568" s="2">
        <v>10.8</v>
      </c>
      <c r="AM568" s="2">
        <v>8.75</v>
      </c>
      <c r="AN568" s="2">
        <v>8.75</v>
      </c>
      <c r="AO568" t="s">
        <v>10922</v>
      </c>
      <c r="AP568" t="s">
        <v>11143</v>
      </c>
      <c r="AQ568" t="s">
        <v>11142</v>
      </c>
    </row>
    <row r="569" spans="1:43" x14ac:dyDescent="0.2">
      <c r="A569" t="s">
        <v>11777</v>
      </c>
      <c r="B569" t="s">
        <v>10900</v>
      </c>
      <c r="C569" t="s">
        <v>10950</v>
      </c>
      <c r="D569" t="s">
        <v>10983</v>
      </c>
      <c r="E569" t="s">
        <v>10984</v>
      </c>
      <c r="F569" t="s">
        <v>10983</v>
      </c>
      <c r="G569" s="1">
        <v>1021000</v>
      </c>
      <c r="H569" s="2">
        <v>848538.29</v>
      </c>
      <c r="I569" s="2">
        <v>853691.28</v>
      </c>
      <c r="J569" s="2">
        <v>19217.46</v>
      </c>
      <c r="K569" s="2">
        <v>0</v>
      </c>
      <c r="L569" s="2">
        <v>872908.74</v>
      </c>
      <c r="M569" s="3">
        <v>10.734999999999999</v>
      </c>
      <c r="N569" s="4">
        <v>1.9859600000000002E-3</v>
      </c>
      <c r="O569" s="5">
        <v>44774</v>
      </c>
      <c r="P569" s="5">
        <v>50071</v>
      </c>
      <c r="Q569" s="1">
        <v>8.5</v>
      </c>
      <c r="R569" s="2">
        <v>7.91</v>
      </c>
      <c r="S569" s="6">
        <v>7.5106016819999999</v>
      </c>
      <c r="T569" t="s">
        <v>111</v>
      </c>
      <c r="U569" t="s">
        <v>111</v>
      </c>
      <c r="V569" t="s">
        <v>10944</v>
      </c>
      <c r="W569" t="s">
        <v>43</v>
      </c>
      <c r="X569" t="s">
        <v>10945</v>
      </c>
      <c r="Y569" t="s">
        <v>44</v>
      </c>
      <c r="Z569" t="s">
        <v>44</v>
      </c>
      <c r="AA569" t="s">
        <v>10913</v>
      </c>
      <c r="AB569" t="s">
        <v>44</v>
      </c>
      <c r="AC569" s="4">
        <v>11.02310056</v>
      </c>
      <c r="AD569" s="4">
        <v>10.50250368</v>
      </c>
      <c r="AE569" s="2">
        <v>11.02</v>
      </c>
      <c r="AF569" s="4">
        <v>10.50250368</v>
      </c>
      <c r="AG569" s="2">
        <v>1.36</v>
      </c>
      <c r="AH569" s="2">
        <v>872908.74</v>
      </c>
      <c r="AI569" s="2">
        <v>0</v>
      </c>
      <c r="AJ569" s="5">
        <v>44673</v>
      </c>
      <c r="AK569" t="s">
        <v>11778</v>
      </c>
      <c r="AL569" s="2">
        <v>10.73</v>
      </c>
      <c r="AM569" s="2">
        <v>8.5</v>
      </c>
      <c r="AN569" s="2">
        <v>7.51</v>
      </c>
      <c r="AO569" t="s">
        <v>10922</v>
      </c>
      <c r="AP569" t="s">
        <v>10985</v>
      </c>
      <c r="AQ569" t="s">
        <v>10984</v>
      </c>
    </row>
    <row r="570" spans="1:43" x14ac:dyDescent="0.2">
      <c r="A570" t="s">
        <v>11777</v>
      </c>
      <c r="B570" t="s">
        <v>10900</v>
      </c>
      <c r="C570" t="s">
        <v>10990</v>
      </c>
      <c r="D570" t="s">
        <v>10991</v>
      </c>
      <c r="E570" t="s">
        <v>1153</v>
      </c>
      <c r="F570" t="s">
        <v>10991</v>
      </c>
      <c r="G570" s="1">
        <v>1126000</v>
      </c>
      <c r="H570" s="2">
        <v>1450049.49</v>
      </c>
      <c r="I570" s="2">
        <v>1456039.69</v>
      </c>
      <c r="J570" s="2">
        <v>9119.7099999999991</v>
      </c>
      <c r="K570" s="2">
        <v>0</v>
      </c>
      <c r="L570" s="2">
        <v>1465159.4</v>
      </c>
      <c r="M570" s="3">
        <v>3.9</v>
      </c>
      <c r="N570" s="4">
        <v>3.3333999999999998E-3</v>
      </c>
      <c r="O570" s="5">
        <v>44774</v>
      </c>
      <c r="P570" s="5">
        <v>50436</v>
      </c>
      <c r="Q570" s="1">
        <v>2.25</v>
      </c>
      <c r="R570" s="2">
        <v>12.94</v>
      </c>
      <c r="S570" s="6">
        <v>12.689805079999999</v>
      </c>
      <c r="T570" t="s">
        <v>111</v>
      </c>
      <c r="U570" t="s">
        <v>111</v>
      </c>
      <c r="V570" t="s">
        <v>10992</v>
      </c>
      <c r="W570" t="s">
        <v>43</v>
      </c>
      <c r="X570" t="s">
        <v>10945</v>
      </c>
      <c r="Y570" t="s">
        <v>44</v>
      </c>
      <c r="Z570" t="s">
        <v>44</v>
      </c>
      <c r="AA570" t="s">
        <v>10913</v>
      </c>
      <c r="AB570" t="s">
        <v>44</v>
      </c>
      <c r="AC570" s="4">
        <v>3.9380250000000001</v>
      </c>
      <c r="AD570" s="4">
        <v>3.8686849699999999</v>
      </c>
      <c r="AE570" s="2">
        <v>3.94</v>
      </c>
      <c r="AF570" s="4">
        <v>3.8686849699999999</v>
      </c>
      <c r="AG570" s="2">
        <v>2.2799999999999998</v>
      </c>
      <c r="AH570" s="2">
        <v>1465159.4</v>
      </c>
      <c r="AI570" s="2">
        <v>0</v>
      </c>
      <c r="AJ570" s="5">
        <v>44673</v>
      </c>
      <c r="AK570" t="s">
        <v>11778</v>
      </c>
      <c r="AL570" s="2">
        <v>3.9</v>
      </c>
      <c r="AM570" s="2">
        <v>2.25</v>
      </c>
      <c r="AN570" s="2">
        <v>12.69</v>
      </c>
      <c r="AO570" t="s">
        <v>10922</v>
      </c>
      <c r="AP570" t="s">
        <v>10993</v>
      </c>
      <c r="AQ570" t="s">
        <v>1153</v>
      </c>
    </row>
    <row r="571" spans="1:43" x14ac:dyDescent="0.2">
      <c r="A571" t="s">
        <v>11777</v>
      </c>
      <c r="B571" t="s">
        <v>10900</v>
      </c>
      <c r="C571" t="s">
        <v>10990</v>
      </c>
      <c r="D571" t="s">
        <v>10994</v>
      </c>
      <c r="E571" t="s">
        <v>1190</v>
      </c>
      <c r="F571" t="s">
        <v>10994</v>
      </c>
      <c r="G571" s="1">
        <v>1226000</v>
      </c>
      <c r="H571" s="2">
        <v>1441519.23</v>
      </c>
      <c r="I571" s="2">
        <v>1450523.78</v>
      </c>
      <c r="J571" s="2">
        <v>2916.7</v>
      </c>
      <c r="K571" s="2">
        <v>0</v>
      </c>
      <c r="L571" s="2">
        <v>1453440.48</v>
      </c>
      <c r="M571" s="3">
        <v>3.9</v>
      </c>
      <c r="N571" s="4">
        <v>3.3067299999999999E-3</v>
      </c>
      <c r="O571" s="5">
        <v>44834</v>
      </c>
      <c r="P571" s="5">
        <v>53417</v>
      </c>
      <c r="Q571" s="1">
        <v>2.5</v>
      </c>
      <c r="R571" s="2">
        <v>17.22</v>
      </c>
      <c r="S571" s="6">
        <v>16.886631569999999</v>
      </c>
      <c r="T571" t="s">
        <v>111</v>
      </c>
      <c r="U571" t="s">
        <v>111</v>
      </c>
      <c r="V571" t="s">
        <v>10992</v>
      </c>
      <c r="W571" t="s">
        <v>43</v>
      </c>
      <c r="X571" t="s">
        <v>10945</v>
      </c>
      <c r="Y571" t="s">
        <v>44</v>
      </c>
      <c r="Z571" t="s">
        <v>44</v>
      </c>
      <c r="AA571" t="s">
        <v>10913</v>
      </c>
      <c r="AB571" t="s">
        <v>44</v>
      </c>
      <c r="AC571" s="4">
        <v>3.9380250000000001</v>
      </c>
      <c r="AD571" s="4">
        <v>3.8686849699999999</v>
      </c>
      <c r="AE571" s="2">
        <v>3.94</v>
      </c>
      <c r="AF571" s="4">
        <v>3.8686849699999999</v>
      </c>
      <c r="AG571" s="2">
        <v>2.2599999999999998</v>
      </c>
      <c r="AH571" s="2">
        <v>1453440.48</v>
      </c>
      <c r="AI571" s="2">
        <v>0</v>
      </c>
      <c r="AJ571" s="5">
        <v>44673</v>
      </c>
      <c r="AK571" t="s">
        <v>11778</v>
      </c>
      <c r="AL571" s="2">
        <v>3.9</v>
      </c>
      <c r="AM571" s="2">
        <v>2.5</v>
      </c>
      <c r="AN571" s="2">
        <v>16.89</v>
      </c>
      <c r="AO571" t="s">
        <v>10922</v>
      </c>
      <c r="AP571" t="s">
        <v>10995</v>
      </c>
      <c r="AQ571" t="s">
        <v>1190</v>
      </c>
    </row>
    <row r="572" spans="1:43" x14ac:dyDescent="0.2">
      <c r="A572" t="s">
        <v>11777</v>
      </c>
      <c r="B572" t="s">
        <v>10900</v>
      </c>
      <c r="C572" t="s">
        <v>10990</v>
      </c>
      <c r="D572" t="s">
        <v>10996</v>
      </c>
      <c r="E572" t="s">
        <v>1160</v>
      </c>
      <c r="F572" t="s">
        <v>10996</v>
      </c>
      <c r="G572" s="1">
        <v>1370000</v>
      </c>
      <c r="H572" s="2">
        <v>1662450.53</v>
      </c>
      <c r="I572" s="2">
        <v>1665933.28</v>
      </c>
      <c r="J572" s="2">
        <v>16974.07</v>
      </c>
      <c r="K572" s="2">
        <v>0</v>
      </c>
      <c r="L572" s="2">
        <v>1682907.35</v>
      </c>
      <c r="M572" s="3">
        <v>3.9</v>
      </c>
      <c r="N572" s="4">
        <v>3.8287999999999998E-3</v>
      </c>
      <c r="O572" s="5">
        <v>44742</v>
      </c>
      <c r="P572" s="5">
        <v>55153</v>
      </c>
      <c r="Q572" s="1">
        <v>2.5</v>
      </c>
      <c r="R572" s="2">
        <v>19.05</v>
      </c>
      <c r="S572" s="6">
        <v>18.689623709999999</v>
      </c>
      <c r="T572" t="s">
        <v>111</v>
      </c>
      <c r="U572" t="s">
        <v>111</v>
      </c>
      <c r="V572" t="s">
        <v>10992</v>
      </c>
      <c r="W572" t="s">
        <v>43</v>
      </c>
      <c r="X572" t="s">
        <v>10945</v>
      </c>
      <c r="Y572" t="s">
        <v>44</v>
      </c>
      <c r="Z572" t="s">
        <v>44</v>
      </c>
      <c r="AA572" t="s">
        <v>10913</v>
      </c>
      <c r="AB572" t="s">
        <v>44</v>
      </c>
      <c r="AC572" s="4">
        <v>3.9380250000000001</v>
      </c>
      <c r="AD572" s="4">
        <v>3.8686849699999999</v>
      </c>
      <c r="AE572" s="2">
        <v>3.94</v>
      </c>
      <c r="AF572" s="4">
        <v>3.8686849699999999</v>
      </c>
      <c r="AG572" s="2">
        <v>2.61</v>
      </c>
      <c r="AH572" s="2">
        <v>1682907.35</v>
      </c>
      <c r="AI572" s="2">
        <v>0</v>
      </c>
      <c r="AJ572" s="5">
        <v>44673</v>
      </c>
      <c r="AK572" t="s">
        <v>11778</v>
      </c>
      <c r="AL572" s="2">
        <v>3.9</v>
      </c>
      <c r="AM572" s="2">
        <v>2.5</v>
      </c>
      <c r="AN572" s="2">
        <v>18.690000000000001</v>
      </c>
      <c r="AO572" t="s">
        <v>10922</v>
      </c>
      <c r="AP572" t="s">
        <v>10997</v>
      </c>
      <c r="AQ572" t="s">
        <v>1160</v>
      </c>
    </row>
    <row r="573" spans="1:43" x14ac:dyDescent="0.2">
      <c r="A573" t="s">
        <v>11777</v>
      </c>
      <c r="B573" t="s">
        <v>10900</v>
      </c>
      <c r="C573" t="s">
        <v>10990</v>
      </c>
      <c r="D573" t="s">
        <v>10998</v>
      </c>
      <c r="E573" t="s">
        <v>1197</v>
      </c>
      <c r="F573" t="s">
        <v>10998</v>
      </c>
      <c r="G573" s="1">
        <v>1688000</v>
      </c>
      <c r="H573" s="2">
        <v>1914550.99</v>
      </c>
      <c r="I573" s="2">
        <v>1910367.23</v>
      </c>
      <c r="J573" s="2">
        <v>6479.65</v>
      </c>
      <c r="K573" s="2">
        <v>0</v>
      </c>
      <c r="L573" s="2">
        <v>1916846.88</v>
      </c>
      <c r="M573" s="3">
        <v>3.82</v>
      </c>
      <c r="N573" s="4">
        <v>4.3610300000000001E-3</v>
      </c>
      <c r="O573" s="5">
        <v>44804</v>
      </c>
      <c r="P573" s="5">
        <v>48638</v>
      </c>
      <c r="Q573" s="1">
        <v>1.875</v>
      </c>
      <c r="R573" s="2">
        <v>9.7100000000000009</v>
      </c>
      <c r="S573" s="6">
        <v>9.5277218819999998</v>
      </c>
      <c r="T573" t="s">
        <v>111</v>
      </c>
      <c r="U573" t="s">
        <v>111</v>
      </c>
      <c r="V573" t="s">
        <v>10992</v>
      </c>
      <c r="W573" t="s">
        <v>43</v>
      </c>
      <c r="X573" t="s">
        <v>10945</v>
      </c>
      <c r="Y573" t="s">
        <v>44</v>
      </c>
      <c r="Z573" t="s">
        <v>44</v>
      </c>
      <c r="AA573" t="s">
        <v>10913</v>
      </c>
      <c r="AB573" t="s">
        <v>44</v>
      </c>
      <c r="AC573" s="4">
        <v>3.856481</v>
      </c>
      <c r="AD573" s="4">
        <v>3.7899492800000001</v>
      </c>
      <c r="AE573" s="2">
        <v>3.86</v>
      </c>
      <c r="AF573" s="4">
        <v>3.7899492800000001</v>
      </c>
      <c r="AG573" s="2">
        <v>2.98</v>
      </c>
      <c r="AH573" s="2">
        <v>1916846.88</v>
      </c>
      <c r="AI573" s="2">
        <v>0</v>
      </c>
      <c r="AJ573" s="5">
        <v>44673</v>
      </c>
      <c r="AK573" t="s">
        <v>11778</v>
      </c>
      <c r="AL573" s="2">
        <v>3.82</v>
      </c>
      <c r="AM573" s="2">
        <v>1.88</v>
      </c>
      <c r="AN573" s="2">
        <v>9.5299999999999994</v>
      </c>
      <c r="AO573" t="s">
        <v>10922</v>
      </c>
      <c r="AP573" t="s">
        <v>10999</v>
      </c>
      <c r="AQ573" t="s">
        <v>1197</v>
      </c>
    </row>
    <row r="574" spans="1:43" x14ac:dyDescent="0.2">
      <c r="A574" t="s">
        <v>11777</v>
      </c>
      <c r="B574" t="s">
        <v>45</v>
      </c>
      <c r="C574" t="s">
        <v>11000</v>
      </c>
      <c r="D574" t="s">
        <v>11001</v>
      </c>
      <c r="E574" t="s">
        <v>11002</v>
      </c>
      <c r="F574" t="s">
        <v>11001</v>
      </c>
      <c r="G574" s="1">
        <v>2161557.16</v>
      </c>
      <c r="H574" s="2">
        <v>2161557.16</v>
      </c>
      <c r="I574" s="2">
        <v>2161557.16</v>
      </c>
      <c r="J574" s="2">
        <v>8302.57</v>
      </c>
      <c r="K574" s="2">
        <v>0</v>
      </c>
      <c r="L574" s="2">
        <v>2169859.73</v>
      </c>
      <c r="M574" s="3"/>
      <c r="N574" s="4">
        <v>4.9366599999999998E-3</v>
      </c>
      <c r="O574" s="5">
        <v>40756</v>
      </c>
      <c r="P574" s="5">
        <v>73020</v>
      </c>
      <c r="Q574" s="1">
        <v>0</v>
      </c>
      <c r="R574" s="2"/>
      <c r="S574" s="6"/>
      <c r="T574" t="s">
        <v>111</v>
      </c>
      <c r="U574" t="s">
        <v>11003</v>
      </c>
      <c r="V574" t="s">
        <v>46</v>
      </c>
      <c r="W574" t="s">
        <v>43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s="4"/>
      <c r="AD574" s="4"/>
      <c r="AE574" s="2">
        <v>0</v>
      </c>
      <c r="AF574" s="4">
        <v>0</v>
      </c>
      <c r="AG574" s="2">
        <v>3.37</v>
      </c>
      <c r="AH574" s="2">
        <v>2169859.73</v>
      </c>
      <c r="AI574" s="2">
        <v>0</v>
      </c>
      <c r="AJ574" s="5">
        <v>44673</v>
      </c>
      <c r="AK574" t="s">
        <v>11778</v>
      </c>
      <c r="AL574" s="2">
        <v>0</v>
      </c>
      <c r="AM574" s="2">
        <v>0</v>
      </c>
      <c r="AN574" s="2">
        <v>0</v>
      </c>
      <c r="AO574" t="s">
        <v>44</v>
      </c>
      <c r="AP574" t="s">
        <v>11004</v>
      </c>
      <c r="AQ574" t="s">
        <v>11002</v>
      </c>
    </row>
    <row r="575" spans="1:43" x14ac:dyDescent="0.2">
      <c r="A575" t="s">
        <v>11777</v>
      </c>
      <c r="B575" t="s">
        <v>45</v>
      </c>
      <c r="C575" t="s">
        <v>11144</v>
      </c>
      <c r="D575" t="s">
        <v>11145</v>
      </c>
      <c r="E575" t="s">
        <v>11146</v>
      </c>
      <c r="F575" t="s">
        <v>11147</v>
      </c>
      <c r="G575" s="1">
        <v>880616</v>
      </c>
      <c r="H575" s="2">
        <v>880616</v>
      </c>
      <c r="I575" s="2">
        <v>880616</v>
      </c>
      <c r="J575" s="2">
        <v>3264.92</v>
      </c>
      <c r="K575" s="2">
        <v>0</v>
      </c>
      <c r="L575" s="2">
        <v>883880.92</v>
      </c>
      <c r="M575" s="3">
        <v>6.88</v>
      </c>
      <c r="N575" s="4">
        <v>2.0109199999999998E-3</v>
      </c>
      <c r="O575" s="5" t="s">
        <v>44</v>
      </c>
      <c r="P575" s="5">
        <v>55153</v>
      </c>
      <c r="Q575" s="1">
        <v>6.88</v>
      </c>
      <c r="R575" s="2">
        <v>0.08</v>
      </c>
      <c r="S575" s="6">
        <v>2.6006750000000002E-3</v>
      </c>
      <c r="T575" t="s">
        <v>112</v>
      </c>
      <c r="U575" t="s">
        <v>46</v>
      </c>
      <c r="V575" t="s">
        <v>11148</v>
      </c>
      <c r="W575" t="s">
        <v>43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s="4"/>
      <c r="AD575" s="4"/>
      <c r="AE575" s="2">
        <v>0</v>
      </c>
      <c r="AF575" s="4">
        <v>0</v>
      </c>
      <c r="AG575" s="2">
        <v>1.37</v>
      </c>
      <c r="AH575" s="2">
        <v>883880.92</v>
      </c>
      <c r="AI575" s="2">
        <v>0</v>
      </c>
      <c r="AJ575" s="5">
        <v>44673</v>
      </c>
      <c r="AK575" t="s">
        <v>11778</v>
      </c>
      <c r="AL575" s="2">
        <v>0</v>
      </c>
      <c r="AM575" s="2">
        <v>6.88</v>
      </c>
      <c r="AN575" s="2">
        <v>0</v>
      </c>
      <c r="AO575" t="s">
        <v>11146</v>
      </c>
      <c r="AP575" t="s">
        <v>44</v>
      </c>
      <c r="AQ575" t="s">
        <v>11146</v>
      </c>
    </row>
    <row r="576" spans="1:43" x14ac:dyDescent="0.2">
      <c r="A576" t="s">
        <v>11777</v>
      </c>
      <c r="B576" t="s">
        <v>45</v>
      </c>
      <c r="C576" t="s">
        <v>47</v>
      </c>
      <c r="D576" t="s">
        <v>48</v>
      </c>
      <c r="E576" t="s">
        <v>49</v>
      </c>
      <c r="F576" t="s">
        <v>50</v>
      </c>
      <c r="G576" s="1">
        <v>0</v>
      </c>
      <c r="H576" s="2">
        <v>0</v>
      </c>
      <c r="I576" s="2">
        <v>0</v>
      </c>
      <c r="J576" s="2">
        <v>0</v>
      </c>
      <c r="K576" s="2">
        <v>0</v>
      </c>
      <c r="L576" s="2">
        <v>3133.73</v>
      </c>
      <c r="M576" s="3"/>
      <c r="N576" s="4">
        <v>7.1300000000000003E-6</v>
      </c>
      <c r="O576" s="5" t="s">
        <v>44</v>
      </c>
      <c r="P576" s="5" t="s">
        <v>44</v>
      </c>
      <c r="Q576" s="1"/>
      <c r="R576" s="2">
        <v>0.08</v>
      </c>
      <c r="S576" s="6"/>
      <c r="T576" t="s">
        <v>45</v>
      </c>
      <c r="U576" t="s">
        <v>46</v>
      </c>
      <c r="V576" t="s">
        <v>44</v>
      </c>
      <c r="W576" t="s">
        <v>43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s="4">
        <v>5.1163389600000002</v>
      </c>
      <c r="AD576" s="4">
        <v>5.0001424999999999</v>
      </c>
      <c r="AE576" s="2">
        <v>5.12</v>
      </c>
      <c r="AF576" s="4">
        <v>5.0001424999999999</v>
      </c>
      <c r="AG576" s="2">
        <v>0</v>
      </c>
      <c r="AH576" s="2">
        <v>3133.73</v>
      </c>
      <c r="AI576" s="2">
        <v>0</v>
      </c>
      <c r="AJ576" s="5">
        <v>44673</v>
      </c>
      <c r="AK576" t="s">
        <v>11778</v>
      </c>
      <c r="AL576" s="2">
        <v>5.05</v>
      </c>
      <c r="AM576" s="2">
        <v>0</v>
      </c>
      <c r="AN576" s="2">
        <v>0</v>
      </c>
      <c r="AO576" t="s">
        <v>44</v>
      </c>
      <c r="AP576" t="s">
        <v>44</v>
      </c>
      <c r="AQ576" t="s">
        <v>44</v>
      </c>
    </row>
    <row r="577" spans="1:43" x14ac:dyDescent="0.2">
      <c r="A577" t="s">
        <v>11777</v>
      </c>
      <c r="B577" t="s">
        <v>45</v>
      </c>
      <c r="C577" t="s">
        <v>47</v>
      </c>
      <c r="D577" t="s">
        <v>51</v>
      </c>
      <c r="E577" t="s">
        <v>52</v>
      </c>
      <c r="F577" t="s">
        <v>51</v>
      </c>
      <c r="G577" s="1">
        <v>938738.42</v>
      </c>
      <c r="H577" s="2">
        <v>938738.42</v>
      </c>
      <c r="I577" s="2">
        <v>938738.42</v>
      </c>
      <c r="J577" s="2">
        <v>0</v>
      </c>
      <c r="K577" s="2">
        <v>0</v>
      </c>
      <c r="L577" s="2">
        <v>938738.42</v>
      </c>
      <c r="M577" s="3"/>
      <c r="N577" s="4">
        <v>2.1357300000000002E-3</v>
      </c>
      <c r="O577" s="5" t="s">
        <v>44</v>
      </c>
      <c r="P577" s="5" t="s">
        <v>44</v>
      </c>
      <c r="Q577" s="1"/>
      <c r="R577" s="2">
        <v>0.08</v>
      </c>
      <c r="S577" s="6"/>
      <c r="T577" t="s">
        <v>45</v>
      </c>
      <c r="U577" t="s">
        <v>53</v>
      </c>
      <c r="V577" t="s">
        <v>44</v>
      </c>
      <c r="W577" t="s">
        <v>43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s="4">
        <v>5.1163389600000002</v>
      </c>
      <c r="AD577" s="4">
        <v>5.0001424999999999</v>
      </c>
      <c r="AE577" s="2">
        <v>5.12</v>
      </c>
      <c r="AF577" s="4">
        <v>5.0001424999999999</v>
      </c>
      <c r="AG577" s="2">
        <v>1.46</v>
      </c>
      <c r="AH577" s="2">
        <v>938738.42</v>
      </c>
      <c r="AI577" s="2">
        <v>0</v>
      </c>
      <c r="AJ577" s="5">
        <v>44673</v>
      </c>
      <c r="AK577" t="s">
        <v>11778</v>
      </c>
      <c r="AL577" s="2">
        <v>5.05</v>
      </c>
      <c r="AM577" s="2">
        <v>0</v>
      </c>
      <c r="AN577" s="2">
        <v>0</v>
      </c>
      <c r="AO577" t="s">
        <v>44</v>
      </c>
      <c r="AP577" t="s">
        <v>44</v>
      </c>
      <c r="AQ577" t="s">
        <v>43</v>
      </c>
    </row>
    <row r="578" spans="1:43" x14ac:dyDescent="0.2">
      <c r="A578" t="s">
        <v>11777</v>
      </c>
      <c r="B578" t="s">
        <v>45</v>
      </c>
      <c r="C578" t="s">
        <v>11005</v>
      </c>
      <c r="D578" t="s">
        <v>11009</v>
      </c>
      <c r="E578" t="s">
        <v>11010</v>
      </c>
      <c r="F578" t="s">
        <v>44</v>
      </c>
      <c r="G578" s="1">
        <v>-0.02</v>
      </c>
      <c r="H578" s="2">
        <v>-0.02</v>
      </c>
      <c r="I578" s="2">
        <v>-0.02</v>
      </c>
      <c r="J578" s="2">
        <v>0</v>
      </c>
      <c r="K578" s="2"/>
      <c r="L578" s="2">
        <v>-0.02</v>
      </c>
      <c r="M578" s="3"/>
      <c r="N578" s="4">
        <v>0</v>
      </c>
      <c r="O578" s="5" t="s">
        <v>44</v>
      </c>
      <c r="P578" s="5">
        <v>73051</v>
      </c>
      <c r="Q578" s="1">
        <v>0</v>
      </c>
      <c r="R578" s="2">
        <v>0.08</v>
      </c>
      <c r="S578" s="6"/>
      <c r="T578" t="s">
        <v>45</v>
      </c>
      <c r="U578" t="s">
        <v>44</v>
      </c>
      <c r="V578" t="s">
        <v>44</v>
      </c>
      <c r="W578" t="s">
        <v>43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s="4">
        <v>5.1163389600000002</v>
      </c>
      <c r="AD578" s="4">
        <v>5.0001424999999999</v>
      </c>
      <c r="AE578" s="2">
        <v>5.12</v>
      </c>
      <c r="AF578" s="4">
        <v>5.0001424999999999</v>
      </c>
      <c r="AG578" s="2">
        <v>0</v>
      </c>
      <c r="AH578" s="2">
        <v>-0.02</v>
      </c>
      <c r="AI578" s="2">
        <v>0</v>
      </c>
      <c r="AJ578" s="5">
        <v>44673</v>
      </c>
      <c r="AK578" t="s">
        <v>11778</v>
      </c>
      <c r="AL578" s="2">
        <v>5.05</v>
      </c>
      <c r="AM578" s="2">
        <v>0</v>
      </c>
      <c r="AN578" s="2">
        <v>0</v>
      </c>
      <c r="AO578" t="s">
        <v>44</v>
      </c>
      <c r="AP578" t="s">
        <v>44</v>
      </c>
      <c r="AQ578" t="s">
        <v>44</v>
      </c>
    </row>
    <row r="579" spans="1:43" x14ac:dyDescent="0.2">
      <c r="A579" t="s">
        <v>11777</v>
      </c>
      <c r="B579" t="s">
        <v>45</v>
      </c>
      <c r="C579" t="s">
        <v>11005</v>
      </c>
      <c r="D579" t="s">
        <v>11011</v>
      </c>
      <c r="E579" t="s">
        <v>11012</v>
      </c>
      <c r="F579" t="s">
        <v>44</v>
      </c>
      <c r="G579" s="1">
        <v>598.83000000000004</v>
      </c>
      <c r="H579" s="2">
        <v>598.83000000000004</v>
      </c>
      <c r="I579" s="2">
        <v>598.83000000000004</v>
      </c>
      <c r="J579" s="2">
        <v>0</v>
      </c>
      <c r="K579" s="2"/>
      <c r="L579" s="2">
        <v>598.83000000000004</v>
      </c>
      <c r="M579" s="3"/>
      <c r="N579" s="4">
        <v>1.3599999999999999E-6</v>
      </c>
      <c r="O579" s="5" t="s">
        <v>44</v>
      </c>
      <c r="P579" s="5">
        <v>73051</v>
      </c>
      <c r="Q579" s="1">
        <v>0</v>
      </c>
      <c r="R579" s="2">
        <v>0.08</v>
      </c>
      <c r="S579" s="6"/>
      <c r="T579" t="s">
        <v>45</v>
      </c>
      <c r="U579" t="s">
        <v>44</v>
      </c>
      <c r="V579" t="s">
        <v>44</v>
      </c>
      <c r="W579" t="s">
        <v>43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s="4">
        <v>5.1163389600000002</v>
      </c>
      <c r="AD579" s="4">
        <v>5.0001424999999999</v>
      </c>
      <c r="AE579" s="2">
        <v>5.12</v>
      </c>
      <c r="AF579" s="4">
        <v>5.0001424999999999</v>
      </c>
      <c r="AG579" s="2">
        <v>0</v>
      </c>
      <c r="AH579" s="2">
        <v>598.83000000000004</v>
      </c>
      <c r="AI579" s="2">
        <v>0</v>
      </c>
      <c r="AJ579" s="5">
        <v>44673</v>
      </c>
      <c r="AK579" t="s">
        <v>11778</v>
      </c>
      <c r="AL579" s="2">
        <v>5.05</v>
      </c>
      <c r="AM579" s="2">
        <v>0</v>
      </c>
      <c r="AN579" s="2">
        <v>0</v>
      </c>
      <c r="AO579" t="s">
        <v>44</v>
      </c>
      <c r="AP579" t="s">
        <v>44</v>
      </c>
      <c r="AQ579" t="s">
        <v>44</v>
      </c>
    </row>
    <row r="580" spans="1:43" x14ac:dyDescent="0.2">
      <c r="A580" t="s">
        <v>11777</v>
      </c>
      <c r="B580" t="s">
        <v>45</v>
      </c>
      <c r="C580" t="s">
        <v>11005</v>
      </c>
      <c r="D580" t="s">
        <v>11149</v>
      </c>
      <c r="E580" t="s">
        <v>11150</v>
      </c>
      <c r="F580" t="s">
        <v>44</v>
      </c>
      <c r="G580" s="1">
        <v>-242503</v>
      </c>
      <c r="H580" s="2">
        <v>-242503</v>
      </c>
      <c r="I580" s="2">
        <v>-242503</v>
      </c>
      <c r="J580" s="2">
        <v>0</v>
      </c>
      <c r="K580" s="2"/>
      <c r="L580" s="2">
        <v>-242503</v>
      </c>
      <c r="M580" s="3"/>
      <c r="N580" s="4">
        <v>-5.5172000000000001E-4</v>
      </c>
      <c r="O580" s="5" t="s">
        <v>44</v>
      </c>
      <c r="P580" s="5">
        <v>73051</v>
      </c>
      <c r="Q580" s="1">
        <v>0</v>
      </c>
      <c r="R580" s="2">
        <v>0.08</v>
      </c>
      <c r="S580" s="6"/>
      <c r="T580" t="s">
        <v>45</v>
      </c>
      <c r="U580" t="s">
        <v>44</v>
      </c>
      <c r="V580" t="s">
        <v>44</v>
      </c>
      <c r="W580" t="s">
        <v>43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s="4">
        <v>5.1163389600000002</v>
      </c>
      <c r="AD580" s="4">
        <v>5.0001424999999999</v>
      </c>
      <c r="AE580" s="2">
        <v>5.12</v>
      </c>
      <c r="AF580" s="4">
        <v>5.0001424999999999</v>
      </c>
      <c r="AG580" s="2">
        <v>-0.38</v>
      </c>
      <c r="AH580" s="2">
        <v>-242503</v>
      </c>
      <c r="AI580" s="2">
        <v>0</v>
      </c>
      <c r="AJ580" s="5">
        <v>44673</v>
      </c>
      <c r="AK580" t="s">
        <v>11778</v>
      </c>
      <c r="AL580" s="2">
        <v>5.05</v>
      </c>
      <c r="AM580" s="2">
        <v>0</v>
      </c>
      <c r="AN580" s="2">
        <v>0</v>
      </c>
      <c r="AO580" t="s">
        <v>44</v>
      </c>
      <c r="AP580" t="s">
        <v>44</v>
      </c>
      <c r="AQ580" t="s">
        <v>44</v>
      </c>
    </row>
    <row r="581" spans="1:43" x14ac:dyDescent="0.2">
      <c r="A581" t="s">
        <v>11777</v>
      </c>
      <c r="B581" t="s">
        <v>11024</v>
      </c>
      <c r="C581" t="s">
        <v>57</v>
      </c>
      <c r="D581" t="s">
        <v>11151</v>
      </c>
      <c r="E581" t="s">
        <v>11151</v>
      </c>
      <c r="F581" t="s">
        <v>11151</v>
      </c>
      <c r="G581" s="1">
        <v>15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3">
        <v>65704</v>
      </c>
      <c r="N581" s="4">
        <v>0</v>
      </c>
      <c r="O581" s="5" t="s">
        <v>44</v>
      </c>
      <c r="P581" s="5">
        <v>44727</v>
      </c>
      <c r="Q581" s="1"/>
      <c r="R581" s="2"/>
      <c r="S581" s="6"/>
      <c r="T581" t="s">
        <v>11026</v>
      </c>
      <c r="U581" t="s">
        <v>11025</v>
      </c>
      <c r="V581" t="s">
        <v>11027</v>
      </c>
      <c r="W581" t="s">
        <v>43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s="4"/>
      <c r="AD581" s="4"/>
      <c r="AE581" s="2">
        <v>0</v>
      </c>
      <c r="AF581" s="4">
        <v>0</v>
      </c>
      <c r="AG581" s="2">
        <v>0</v>
      </c>
      <c r="AH581" s="2">
        <v>9855600</v>
      </c>
      <c r="AI581" s="2">
        <v>0.02</v>
      </c>
      <c r="AJ581" s="5">
        <v>44673</v>
      </c>
      <c r="AK581" t="s">
        <v>11778</v>
      </c>
      <c r="AL581" s="2">
        <v>0</v>
      </c>
      <c r="AM581" s="2">
        <v>0</v>
      </c>
      <c r="AN581" s="2">
        <v>0</v>
      </c>
      <c r="AO581" t="s">
        <v>44</v>
      </c>
      <c r="AP581" t="s">
        <v>11152</v>
      </c>
      <c r="AQ581" t="s">
        <v>11151</v>
      </c>
    </row>
    <row r="582" spans="1:43" x14ac:dyDescent="0.2">
      <c r="A582" t="s">
        <v>11777</v>
      </c>
      <c r="B582" t="s">
        <v>11024</v>
      </c>
      <c r="C582" t="s">
        <v>57</v>
      </c>
      <c r="D582" t="s">
        <v>11157</v>
      </c>
      <c r="E582" t="s">
        <v>11157</v>
      </c>
      <c r="F582" t="s">
        <v>11157</v>
      </c>
      <c r="G582" s="1">
        <v>-11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3">
        <v>65741</v>
      </c>
      <c r="N582" s="4">
        <v>0</v>
      </c>
      <c r="O582" s="5" t="s">
        <v>44</v>
      </c>
      <c r="P582" s="5">
        <v>44819</v>
      </c>
      <c r="Q582" s="1"/>
      <c r="R582" s="2"/>
      <c r="S582" s="6"/>
      <c r="T582" t="s">
        <v>11026</v>
      </c>
      <c r="U582" t="s">
        <v>11025</v>
      </c>
      <c r="V582" t="s">
        <v>11027</v>
      </c>
      <c r="W582" t="s">
        <v>43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s="4"/>
      <c r="AD582" s="4"/>
      <c r="AE582" s="2">
        <v>0</v>
      </c>
      <c r="AF582" s="4">
        <v>0</v>
      </c>
      <c r="AG582" s="2">
        <v>0</v>
      </c>
      <c r="AH582" s="2">
        <v>-7231510</v>
      </c>
      <c r="AI582" s="2">
        <v>-0.02</v>
      </c>
      <c r="AJ582" s="5">
        <v>44673</v>
      </c>
      <c r="AK582" t="s">
        <v>11778</v>
      </c>
      <c r="AL582" s="2">
        <v>0</v>
      </c>
      <c r="AM582" s="2">
        <v>0</v>
      </c>
      <c r="AN582" s="2">
        <v>0</v>
      </c>
      <c r="AO582" t="s">
        <v>44</v>
      </c>
      <c r="AP582" t="s">
        <v>11158</v>
      </c>
      <c r="AQ582" t="s">
        <v>11157</v>
      </c>
    </row>
    <row r="583" spans="1:43" x14ac:dyDescent="0.2">
      <c r="A583" t="s">
        <v>11777</v>
      </c>
      <c r="B583" t="s">
        <v>11024</v>
      </c>
      <c r="C583" t="s">
        <v>57</v>
      </c>
      <c r="D583" t="s">
        <v>12738</v>
      </c>
      <c r="E583" t="s">
        <v>12738</v>
      </c>
      <c r="F583" t="s">
        <v>12738</v>
      </c>
      <c r="G583" s="1">
        <v>21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3">
        <v>17668</v>
      </c>
      <c r="N583" s="4">
        <v>0</v>
      </c>
      <c r="O583" s="5" t="s">
        <v>44</v>
      </c>
      <c r="P583" s="5">
        <v>44819</v>
      </c>
      <c r="Q583" s="1"/>
      <c r="R583" s="2"/>
      <c r="S583" s="6"/>
      <c r="T583" t="s">
        <v>11153</v>
      </c>
      <c r="U583" t="s">
        <v>11025</v>
      </c>
      <c r="V583" t="s">
        <v>11154</v>
      </c>
      <c r="W583" t="s">
        <v>43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s="4"/>
      <c r="AD583" s="4"/>
      <c r="AE583" s="2">
        <v>0</v>
      </c>
      <c r="AF583" s="4">
        <v>0</v>
      </c>
      <c r="AG583" s="2">
        <v>0</v>
      </c>
      <c r="AH583" s="2">
        <v>4978255.66</v>
      </c>
      <c r="AI583" s="2">
        <v>0.01</v>
      </c>
      <c r="AJ583" s="5">
        <v>44673</v>
      </c>
      <c r="AK583" t="s">
        <v>11778</v>
      </c>
      <c r="AL583" s="2">
        <v>0</v>
      </c>
      <c r="AM583" s="2">
        <v>0</v>
      </c>
      <c r="AN583" s="2">
        <v>0</v>
      </c>
      <c r="AO583" t="s">
        <v>44</v>
      </c>
      <c r="AP583" t="s">
        <v>12741</v>
      </c>
      <c r="AQ583" t="s">
        <v>12738</v>
      </c>
    </row>
    <row r="584" spans="1:43" x14ac:dyDescent="0.2">
      <c r="A584" t="s">
        <v>11777</v>
      </c>
      <c r="B584" t="s">
        <v>11024</v>
      </c>
      <c r="C584" t="s">
        <v>57</v>
      </c>
      <c r="D584" t="s">
        <v>12722</v>
      </c>
      <c r="E584" t="s">
        <v>12722</v>
      </c>
      <c r="F584" t="s">
        <v>12722</v>
      </c>
      <c r="G584" s="1">
        <v>22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3">
        <v>14076</v>
      </c>
      <c r="N584" s="4">
        <v>0</v>
      </c>
      <c r="O584" s="5" t="s">
        <v>44</v>
      </c>
      <c r="P584" s="5">
        <v>44819</v>
      </c>
      <c r="Q584" s="1"/>
      <c r="R584" s="2"/>
      <c r="S584" s="6"/>
      <c r="T584" t="s">
        <v>11153</v>
      </c>
      <c r="U584" t="s">
        <v>11025</v>
      </c>
      <c r="V584" t="s">
        <v>11154</v>
      </c>
      <c r="W584" t="s">
        <v>43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s="4"/>
      <c r="AD584" s="4"/>
      <c r="AE584" s="2">
        <v>0</v>
      </c>
      <c r="AF584" s="4">
        <v>0</v>
      </c>
      <c r="AG584" s="2">
        <v>0</v>
      </c>
      <c r="AH584" s="2">
        <v>4490726.1900000004</v>
      </c>
      <c r="AI584" s="2">
        <v>0.01</v>
      </c>
      <c r="AJ584" s="5">
        <v>44673</v>
      </c>
      <c r="AK584" t="s">
        <v>11778</v>
      </c>
      <c r="AL584" s="2">
        <v>0</v>
      </c>
      <c r="AM584" s="2">
        <v>0</v>
      </c>
      <c r="AN584" s="2">
        <v>0</v>
      </c>
      <c r="AO584" t="s">
        <v>44</v>
      </c>
      <c r="AP584" t="s">
        <v>12723</v>
      </c>
      <c r="AQ584" t="s">
        <v>12722</v>
      </c>
    </row>
    <row r="585" spans="1:43" x14ac:dyDescent="0.2">
      <c r="A585" t="s">
        <v>11777</v>
      </c>
      <c r="B585" t="s">
        <v>11024</v>
      </c>
      <c r="C585" t="s">
        <v>57</v>
      </c>
      <c r="D585" t="s">
        <v>12996</v>
      </c>
      <c r="E585" t="s">
        <v>12996</v>
      </c>
      <c r="F585" t="s">
        <v>12996</v>
      </c>
      <c r="G585" s="1">
        <v>-21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3">
        <v>5097</v>
      </c>
      <c r="N585" s="4">
        <v>0</v>
      </c>
      <c r="O585" s="5" t="s">
        <v>44</v>
      </c>
      <c r="P585" s="5">
        <v>44819</v>
      </c>
      <c r="Q585" s="1"/>
      <c r="R585" s="2"/>
      <c r="S585" s="6"/>
      <c r="T585" t="s">
        <v>11153</v>
      </c>
      <c r="U585" t="s">
        <v>11025</v>
      </c>
      <c r="V585" t="s">
        <v>11154</v>
      </c>
      <c r="W585" t="s">
        <v>43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s="4"/>
      <c r="AD585" s="4"/>
      <c r="AE585" s="2">
        <v>0</v>
      </c>
      <c r="AF585" s="4">
        <v>0</v>
      </c>
      <c r="AG585" s="2">
        <v>0</v>
      </c>
      <c r="AH585" s="2">
        <v>-2028782.87</v>
      </c>
      <c r="AI585" s="2">
        <v>0</v>
      </c>
      <c r="AJ585" s="5">
        <v>44673</v>
      </c>
      <c r="AK585" t="s">
        <v>11778</v>
      </c>
      <c r="AL585" s="2">
        <v>0</v>
      </c>
      <c r="AM585" s="2">
        <v>0</v>
      </c>
      <c r="AN585" s="2">
        <v>0</v>
      </c>
      <c r="AO585" t="s">
        <v>44</v>
      </c>
      <c r="AP585" t="s">
        <v>13000</v>
      </c>
      <c r="AQ585" t="s">
        <v>12996</v>
      </c>
    </row>
    <row r="586" spans="1:43" x14ac:dyDescent="0.2">
      <c r="A586" t="s">
        <v>11777</v>
      </c>
      <c r="B586" t="s">
        <v>11037</v>
      </c>
      <c r="C586" t="s">
        <v>11195</v>
      </c>
      <c r="D586" t="s">
        <v>11196</v>
      </c>
      <c r="E586" t="s">
        <v>5755</v>
      </c>
      <c r="F586" t="s">
        <v>11196</v>
      </c>
      <c r="G586" s="1">
        <v>15875</v>
      </c>
      <c r="H586" s="2">
        <v>339234.77</v>
      </c>
      <c r="I586" s="2">
        <v>342582.5</v>
      </c>
      <c r="J586" s="2">
        <v>0</v>
      </c>
      <c r="K586" s="2">
        <v>0</v>
      </c>
      <c r="L586" s="2">
        <v>342582.5</v>
      </c>
      <c r="M586" s="3">
        <v>2158</v>
      </c>
      <c r="N586" s="4">
        <v>7.7941000000000002E-4</v>
      </c>
      <c r="O586" s="5" t="s">
        <v>44</v>
      </c>
      <c r="P586" s="5" t="s">
        <v>44</v>
      </c>
      <c r="Q586" s="1"/>
      <c r="R586" s="2"/>
      <c r="S586" s="6"/>
      <c r="T586" t="s">
        <v>10902</v>
      </c>
      <c r="U586" t="s">
        <v>10902</v>
      </c>
      <c r="V586" t="s">
        <v>10902</v>
      </c>
      <c r="W586" t="s">
        <v>43</v>
      </c>
      <c r="X586" t="s">
        <v>11197</v>
      </c>
      <c r="Y586" t="s">
        <v>11198</v>
      </c>
      <c r="Z586" t="s">
        <v>11195</v>
      </c>
      <c r="AA586" t="s">
        <v>44</v>
      </c>
      <c r="AB586" t="s">
        <v>44</v>
      </c>
      <c r="AC586" s="4"/>
      <c r="AD586" s="4"/>
      <c r="AE586" s="2">
        <v>0</v>
      </c>
      <c r="AF586" s="4">
        <v>0</v>
      </c>
      <c r="AG586" s="2">
        <v>0.53</v>
      </c>
      <c r="AH586" s="2">
        <v>342582.5</v>
      </c>
      <c r="AI586" s="2">
        <v>0</v>
      </c>
      <c r="AJ586" s="5">
        <v>44673</v>
      </c>
      <c r="AK586" t="s">
        <v>11778</v>
      </c>
      <c r="AL586" s="2">
        <v>0</v>
      </c>
      <c r="AM586" s="2">
        <v>0</v>
      </c>
      <c r="AN586" s="2">
        <v>0</v>
      </c>
      <c r="AO586" t="s">
        <v>44</v>
      </c>
      <c r="AP586" t="s">
        <v>11199</v>
      </c>
      <c r="AQ586" t="s">
        <v>5755</v>
      </c>
    </row>
    <row r="587" spans="1:43" x14ac:dyDescent="0.2">
      <c r="A587" t="s">
        <v>11777</v>
      </c>
      <c r="B587" t="s">
        <v>11037</v>
      </c>
      <c r="C587" t="s">
        <v>11195</v>
      </c>
      <c r="D587" t="s">
        <v>11200</v>
      </c>
      <c r="E587" t="s">
        <v>5277</v>
      </c>
      <c r="F587" t="s">
        <v>11200</v>
      </c>
      <c r="G587" s="1">
        <v>27729</v>
      </c>
      <c r="H587" s="2">
        <v>362310.28</v>
      </c>
      <c r="I587" s="2">
        <v>345780.63</v>
      </c>
      <c r="J587" s="2">
        <v>0</v>
      </c>
      <c r="K587" s="2">
        <v>0</v>
      </c>
      <c r="L587" s="2">
        <v>345780.63</v>
      </c>
      <c r="M587" s="3">
        <v>1247</v>
      </c>
      <c r="N587" s="4">
        <v>7.8669000000000005E-4</v>
      </c>
      <c r="O587" s="5" t="s">
        <v>44</v>
      </c>
      <c r="P587" s="5" t="s">
        <v>44</v>
      </c>
      <c r="Q587" s="1"/>
      <c r="R587" s="2"/>
      <c r="S587" s="6"/>
      <c r="T587" t="s">
        <v>10902</v>
      </c>
      <c r="U587" t="s">
        <v>10902</v>
      </c>
      <c r="V587" t="s">
        <v>10902</v>
      </c>
      <c r="W587" t="s">
        <v>43</v>
      </c>
      <c r="X587" t="s">
        <v>11197</v>
      </c>
      <c r="Y587" t="s">
        <v>11198</v>
      </c>
      <c r="Z587" t="s">
        <v>11195</v>
      </c>
      <c r="AA587" t="s">
        <v>44</v>
      </c>
      <c r="AB587" t="s">
        <v>44</v>
      </c>
      <c r="AC587" s="4"/>
      <c r="AD587" s="4"/>
      <c r="AE587" s="2">
        <v>0</v>
      </c>
      <c r="AF587" s="4">
        <v>0</v>
      </c>
      <c r="AG587" s="2">
        <v>0.54</v>
      </c>
      <c r="AH587" s="2">
        <v>345780.63</v>
      </c>
      <c r="AI587" s="2">
        <v>0</v>
      </c>
      <c r="AJ587" s="5">
        <v>44673</v>
      </c>
      <c r="AK587" t="s">
        <v>11778</v>
      </c>
      <c r="AL587" s="2">
        <v>0</v>
      </c>
      <c r="AM587" s="2">
        <v>0</v>
      </c>
      <c r="AN587" s="2">
        <v>0</v>
      </c>
      <c r="AO587" t="s">
        <v>44</v>
      </c>
      <c r="AP587" t="s">
        <v>11201</v>
      </c>
      <c r="AQ587" t="s">
        <v>5277</v>
      </c>
    </row>
    <row r="588" spans="1:43" x14ac:dyDescent="0.2">
      <c r="A588" t="s">
        <v>11777</v>
      </c>
      <c r="B588" t="s">
        <v>11037</v>
      </c>
      <c r="C588" t="s">
        <v>11195</v>
      </c>
      <c r="D588" t="s">
        <v>5988</v>
      </c>
      <c r="E588" t="s">
        <v>3145</v>
      </c>
      <c r="F588" t="s">
        <v>5988</v>
      </c>
      <c r="G588" s="1">
        <v>79155</v>
      </c>
      <c r="H588" s="2">
        <v>1058776.96</v>
      </c>
      <c r="I588" s="2">
        <v>1108170</v>
      </c>
      <c r="J588" s="2">
        <v>0</v>
      </c>
      <c r="K588" s="2">
        <v>0</v>
      </c>
      <c r="L588" s="2">
        <v>1108170</v>
      </c>
      <c r="M588" s="3">
        <v>1400</v>
      </c>
      <c r="N588" s="4">
        <v>2.5212099999999999E-3</v>
      </c>
      <c r="O588" s="5" t="s">
        <v>44</v>
      </c>
      <c r="P588" s="5" t="s">
        <v>44</v>
      </c>
      <c r="Q588" s="1"/>
      <c r="R588" s="2"/>
      <c r="S588" s="6"/>
      <c r="T588" t="s">
        <v>10902</v>
      </c>
      <c r="U588" t="s">
        <v>10902</v>
      </c>
      <c r="V588" t="s">
        <v>10902</v>
      </c>
      <c r="W588" t="s">
        <v>43</v>
      </c>
      <c r="X588" t="s">
        <v>11197</v>
      </c>
      <c r="Y588" t="s">
        <v>11198</v>
      </c>
      <c r="Z588" t="s">
        <v>11195</v>
      </c>
      <c r="AA588" t="s">
        <v>44</v>
      </c>
      <c r="AB588" t="s">
        <v>44</v>
      </c>
      <c r="AC588" s="4"/>
      <c r="AD588" s="4"/>
      <c r="AE588" s="2">
        <v>0</v>
      </c>
      <c r="AF588" s="4">
        <v>0</v>
      </c>
      <c r="AG588" s="2">
        <v>1.72</v>
      </c>
      <c r="AH588" s="2">
        <v>1108170</v>
      </c>
      <c r="AI588" s="2">
        <v>0</v>
      </c>
      <c r="AJ588" s="5">
        <v>44673</v>
      </c>
      <c r="AK588" t="s">
        <v>11778</v>
      </c>
      <c r="AL588" s="2">
        <v>0</v>
      </c>
      <c r="AM588" s="2">
        <v>0</v>
      </c>
      <c r="AN588" s="2">
        <v>0</v>
      </c>
      <c r="AO588" t="s">
        <v>44</v>
      </c>
      <c r="AP588" t="s">
        <v>11202</v>
      </c>
      <c r="AQ588" t="s">
        <v>3145</v>
      </c>
    </row>
    <row r="589" spans="1:43" x14ac:dyDescent="0.2">
      <c r="A589" t="s">
        <v>11777</v>
      </c>
      <c r="B589" t="s">
        <v>11037</v>
      </c>
      <c r="C589" t="s">
        <v>11195</v>
      </c>
      <c r="D589" t="s">
        <v>6332</v>
      </c>
      <c r="E589" t="s">
        <v>3152</v>
      </c>
      <c r="F589" t="s">
        <v>6332</v>
      </c>
      <c r="G589" s="1">
        <v>8032</v>
      </c>
      <c r="H589" s="2">
        <v>258825.18</v>
      </c>
      <c r="I589" s="2">
        <v>289794.56</v>
      </c>
      <c r="J589" s="2">
        <v>0</v>
      </c>
      <c r="K589" s="2">
        <v>0</v>
      </c>
      <c r="L589" s="2">
        <v>289794.56</v>
      </c>
      <c r="M589" s="3">
        <v>3608</v>
      </c>
      <c r="N589" s="4">
        <v>6.5930999999999997E-4</v>
      </c>
      <c r="O589" s="5" t="s">
        <v>44</v>
      </c>
      <c r="P589" s="5" t="s">
        <v>44</v>
      </c>
      <c r="Q589" s="1"/>
      <c r="R589" s="2"/>
      <c r="S589" s="6"/>
      <c r="T589" t="s">
        <v>10902</v>
      </c>
      <c r="U589" t="s">
        <v>10902</v>
      </c>
      <c r="V589" t="s">
        <v>10902</v>
      </c>
      <c r="W589" t="s">
        <v>43</v>
      </c>
      <c r="X589" t="s">
        <v>11197</v>
      </c>
      <c r="Y589" t="s">
        <v>11198</v>
      </c>
      <c r="Z589" t="s">
        <v>11195</v>
      </c>
      <c r="AA589" t="s">
        <v>44</v>
      </c>
      <c r="AB589" t="s">
        <v>44</v>
      </c>
      <c r="AC589" s="4"/>
      <c r="AD589" s="4"/>
      <c r="AE589" s="2">
        <v>0</v>
      </c>
      <c r="AF589" s="4">
        <v>0</v>
      </c>
      <c r="AG589" s="2">
        <v>0.45</v>
      </c>
      <c r="AH589" s="2">
        <v>289794.56</v>
      </c>
      <c r="AI589" s="2">
        <v>0</v>
      </c>
      <c r="AJ589" s="5">
        <v>44673</v>
      </c>
      <c r="AK589" t="s">
        <v>11778</v>
      </c>
      <c r="AL589" s="2">
        <v>0</v>
      </c>
      <c r="AM589" s="2">
        <v>0</v>
      </c>
      <c r="AN589" s="2">
        <v>0</v>
      </c>
      <c r="AO589" t="s">
        <v>44</v>
      </c>
      <c r="AP589" t="s">
        <v>11203</v>
      </c>
      <c r="AQ589" t="s">
        <v>3152</v>
      </c>
    </row>
    <row r="590" spans="1:43" x14ac:dyDescent="0.2">
      <c r="A590" t="s">
        <v>11777</v>
      </c>
      <c r="B590" t="s">
        <v>11037</v>
      </c>
      <c r="C590" t="s">
        <v>11195</v>
      </c>
      <c r="D590" t="s">
        <v>11204</v>
      </c>
      <c r="E590" t="s">
        <v>5699</v>
      </c>
      <c r="F590" t="s">
        <v>11204</v>
      </c>
      <c r="G590" s="1">
        <v>10030</v>
      </c>
      <c r="H590" s="2">
        <v>186883.52</v>
      </c>
      <c r="I590" s="2">
        <v>219456.4</v>
      </c>
      <c r="J590" s="2">
        <v>0</v>
      </c>
      <c r="K590" s="2">
        <v>0</v>
      </c>
      <c r="L590" s="2">
        <v>219456.4</v>
      </c>
      <c r="M590" s="3">
        <v>2188</v>
      </c>
      <c r="N590" s="4">
        <v>4.9929E-4</v>
      </c>
      <c r="O590" s="5" t="s">
        <v>44</v>
      </c>
      <c r="P590" s="5" t="s">
        <v>44</v>
      </c>
      <c r="Q590" s="1"/>
      <c r="R590" s="2"/>
      <c r="S590" s="6"/>
      <c r="T590" t="s">
        <v>10902</v>
      </c>
      <c r="U590" t="s">
        <v>10902</v>
      </c>
      <c r="V590" t="s">
        <v>10902</v>
      </c>
      <c r="W590" t="s">
        <v>43</v>
      </c>
      <c r="X590" t="s">
        <v>11197</v>
      </c>
      <c r="Y590" t="s">
        <v>11198</v>
      </c>
      <c r="Z590" t="s">
        <v>11195</v>
      </c>
      <c r="AA590" t="s">
        <v>44</v>
      </c>
      <c r="AB590" t="s">
        <v>44</v>
      </c>
      <c r="AC590" s="4"/>
      <c r="AD590" s="4"/>
      <c r="AE590" s="2">
        <v>0</v>
      </c>
      <c r="AF590" s="4">
        <v>0</v>
      </c>
      <c r="AG590" s="2">
        <v>0.34</v>
      </c>
      <c r="AH590" s="2">
        <v>219456.4</v>
      </c>
      <c r="AI590" s="2">
        <v>0</v>
      </c>
      <c r="AJ590" s="5">
        <v>44673</v>
      </c>
      <c r="AK590" t="s">
        <v>11778</v>
      </c>
      <c r="AL590" s="2">
        <v>0</v>
      </c>
      <c r="AM590" s="2">
        <v>0</v>
      </c>
      <c r="AN590" s="2">
        <v>0</v>
      </c>
      <c r="AO590" t="s">
        <v>44</v>
      </c>
      <c r="AP590" t="s">
        <v>11205</v>
      </c>
      <c r="AQ590" t="s">
        <v>5699</v>
      </c>
    </row>
    <row r="591" spans="1:43" x14ac:dyDescent="0.2">
      <c r="A591" t="s">
        <v>11777</v>
      </c>
      <c r="B591" t="s">
        <v>11037</v>
      </c>
      <c r="C591" t="s">
        <v>11195</v>
      </c>
      <c r="D591" t="s">
        <v>11206</v>
      </c>
      <c r="E591" t="s">
        <v>5005</v>
      </c>
      <c r="F591" t="s">
        <v>11206</v>
      </c>
      <c r="G591" s="1">
        <v>10610</v>
      </c>
      <c r="H591" s="2">
        <v>1071047.3500000001</v>
      </c>
      <c r="I591" s="2">
        <v>1021743</v>
      </c>
      <c r="J591" s="2">
        <v>0</v>
      </c>
      <c r="K591" s="2">
        <v>0</v>
      </c>
      <c r="L591" s="2">
        <v>1021743</v>
      </c>
      <c r="M591" s="3">
        <v>9630</v>
      </c>
      <c r="N591" s="4">
        <v>2.3245800000000001E-3</v>
      </c>
      <c r="O591" s="5" t="s">
        <v>44</v>
      </c>
      <c r="P591" s="5" t="s">
        <v>44</v>
      </c>
      <c r="Q591" s="1"/>
      <c r="R591" s="2"/>
      <c r="S591" s="6"/>
      <c r="T591" t="s">
        <v>10902</v>
      </c>
      <c r="U591" t="s">
        <v>10902</v>
      </c>
      <c r="V591" t="s">
        <v>10902</v>
      </c>
      <c r="W591" t="s">
        <v>43</v>
      </c>
      <c r="X591" t="s">
        <v>11197</v>
      </c>
      <c r="Y591" t="s">
        <v>11198</v>
      </c>
      <c r="Z591" t="s">
        <v>11195</v>
      </c>
      <c r="AA591" t="s">
        <v>44</v>
      </c>
      <c r="AB591" t="s">
        <v>44</v>
      </c>
      <c r="AC591" s="4"/>
      <c r="AD591" s="4"/>
      <c r="AE591" s="2">
        <v>0</v>
      </c>
      <c r="AF591" s="4">
        <v>0</v>
      </c>
      <c r="AG591" s="2">
        <v>1.59</v>
      </c>
      <c r="AH591" s="2">
        <v>1021743</v>
      </c>
      <c r="AI591" s="2">
        <v>0</v>
      </c>
      <c r="AJ591" s="5">
        <v>44673</v>
      </c>
      <c r="AK591" t="s">
        <v>11778</v>
      </c>
      <c r="AL591" s="2">
        <v>0</v>
      </c>
      <c r="AM591" s="2">
        <v>0</v>
      </c>
      <c r="AN591" s="2">
        <v>0</v>
      </c>
      <c r="AO591" t="s">
        <v>44</v>
      </c>
      <c r="AP591" t="s">
        <v>11207</v>
      </c>
      <c r="AQ591" t="s">
        <v>5005</v>
      </c>
    </row>
    <row r="592" spans="1:43" x14ac:dyDescent="0.2">
      <c r="A592" t="s">
        <v>11777</v>
      </c>
      <c r="B592" t="s">
        <v>11037</v>
      </c>
      <c r="C592" t="s">
        <v>11195</v>
      </c>
      <c r="D592" t="s">
        <v>11208</v>
      </c>
      <c r="E592" t="s">
        <v>3160</v>
      </c>
      <c r="F592" t="s">
        <v>11208</v>
      </c>
      <c r="G592" s="1">
        <v>158169</v>
      </c>
      <c r="H592" s="2">
        <v>728892.4</v>
      </c>
      <c r="I592" s="2">
        <v>700688.67</v>
      </c>
      <c r="J592" s="2">
        <v>0</v>
      </c>
      <c r="K592" s="2">
        <v>0</v>
      </c>
      <c r="L592" s="2">
        <v>700688.67</v>
      </c>
      <c r="M592" s="3">
        <v>443</v>
      </c>
      <c r="N592" s="4">
        <v>1.59414E-3</v>
      </c>
      <c r="O592" s="5" t="s">
        <v>44</v>
      </c>
      <c r="P592" s="5" t="s">
        <v>44</v>
      </c>
      <c r="Q592" s="1"/>
      <c r="R592" s="2"/>
      <c r="S592" s="6"/>
      <c r="T592" t="s">
        <v>10902</v>
      </c>
      <c r="U592" t="s">
        <v>10902</v>
      </c>
      <c r="V592" t="s">
        <v>10902</v>
      </c>
      <c r="W592" t="s">
        <v>43</v>
      </c>
      <c r="X592" t="s">
        <v>11197</v>
      </c>
      <c r="Y592" t="s">
        <v>11198</v>
      </c>
      <c r="Z592" t="s">
        <v>11195</v>
      </c>
      <c r="AA592" t="s">
        <v>44</v>
      </c>
      <c r="AB592" t="s">
        <v>44</v>
      </c>
      <c r="AC592" s="4"/>
      <c r="AD592" s="4"/>
      <c r="AE592" s="2">
        <v>0</v>
      </c>
      <c r="AF592" s="4">
        <v>0</v>
      </c>
      <c r="AG592" s="2">
        <v>1.0900000000000001</v>
      </c>
      <c r="AH592" s="2">
        <v>700688.67</v>
      </c>
      <c r="AI592" s="2">
        <v>0</v>
      </c>
      <c r="AJ592" s="5">
        <v>44673</v>
      </c>
      <c r="AK592" t="s">
        <v>11778</v>
      </c>
      <c r="AL592" s="2">
        <v>0</v>
      </c>
      <c r="AM592" s="2">
        <v>0</v>
      </c>
      <c r="AN592" s="2">
        <v>0</v>
      </c>
      <c r="AO592" t="s">
        <v>44</v>
      </c>
      <c r="AP592" t="s">
        <v>11209</v>
      </c>
      <c r="AQ592" t="s">
        <v>3160</v>
      </c>
    </row>
    <row r="593" spans="1:43" x14ac:dyDescent="0.2">
      <c r="A593" t="s">
        <v>11777</v>
      </c>
      <c r="B593" t="s">
        <v>11037</v>
      </c>
      <c r="C593" t="s">
        <v>11195</v>
      </c>
      <c r="D593" t="s">
        <v>11210</v>
      </c>
      <c r="E593" t="s">
        <v>3167</v>
      </c>
      <c r="F593" t="s">
        <v>11211</v>
      </c>
      <c r="G593" s="1">
        <v>7598</v>
      </c>
      <c r="H593" s="2">
        <v>442918.82</v>
      </c>
      <c r="I593" s="2">
        <v>444483</v>
      </c>
      <c r="J593" s="2">
        <v>0</v>
      </c>
      <c r="K593" s="2">
        <v>0</v>
      </c>
      <c r="L593" s="2">
        <v>444483</v>
      </c>
      <c r="M593" s="3">
        <v>5850</v>
      </c>
      <c r="N593" s="4">
        <v>1.01125E-3</v>
      </c>
      <c r="O593" s="5" t="s">
        <v>44</v>
      </c>
      <c r="P593" s="5" t="s">
        <v>44</v>
      </c>
      <c r="Q593" s="1"/>
      <c r="R593" s="2"/>
      <c r="S593" s="6"/>
      <c r="T593" t="s">
        <v>10902</v>
      </c>
      <c r="U593" t="s">
        <v>10902</v>
      </c>
      <c r="V593" t="s">
        <v>11212</v>
      </c>
      <c r="W593" t="s">
        <v>43</v>
      </c>
      <c r="X593" t="s">
        <v>11197</v>
      </c>
      <c r="Y593" t="s">
        <v>11198</v>
      </c>
      <c r="Z593" t="s">
        <v>11195</v>
      </c>
      <c r="AA593" t="s">
        <v>44</v>
      </c>
      <c r="AB593" t="s">
        <v>44</v>
      </c>
      <c r="AC593" s="4"/>
      <c r="AD593" s="4"/>
      <c r="AE593" s="2">
        <v>0</v>
      </c>
      <c r="AF593" s="4">
        <v>0</v>
      </c>
      <c r="AG593" s="2">
        <v>0.69</v>
      </c>
      <c r="AH593" s="2">
        <v>444483</v>
      </c>
      <c r="AI593" s="2">
        <v>0</v>
      </c>
      <c r="AJ593" s="5">
        <v>44673</v>
      </c>
      <c r="AK593" t="s">
        <v>11778</v>
      </c>
      <c r="AL593" s="2">
        <v>0</v>
      </c>
      <c r="AM593" s="2">
        <v>0</v>
      </c>
      <c r="AN593" s="2">
        <v>0</v>
      </c>
      <c r="AO593" t="s">
        <v>44</v>
      </c>
      <c r="AP593" t="s">
        <v>11213</v>
      </c>
      <c r="AQ593" t="s">
        <v>3167</v>
      </c>
    </row>
    <row r="594" spans="1:43" x14ac:dyDescent="0.2">
      <c r="A594" t="s">
        <v>11777</v>
      </c>
      <c r="B594" t="s">
        <v>11037</v>
      </c>
      <c r="C594" t="s">
        <v>11195</v>
      </c>
      <c r="D594" t="s">
        <v>6710</v>
      </c>
      <c r="E594" t="s">
        <v>1780</v>
      </c>
      <c r="F594" t="s">
        <v>6710</v>
      </c>
      <c r="G594" s="1">
        <v>6995</v>
      </c>
      <c r="H594" s="2">
        <v>188772.72</v>
      </c>
      <c r="I594" s="2">
        <v>166481</v>
      </c>
      <c r="J594" s="2">
        <v>0</v>
      </c>
      <c r="K594" s="2">
        <v>0</v>
      </c>
      <c r="L594" s="2">
        <v>166481</v>
      </c>
      <c r="M594" s="3">
        <v>2380</v>
      </c>
      <c r="N594" s="4">
        <v>3.7876000000000001E-4</v>
      </c>
      <c r="O594" s="5" t="s">
        <v>44</v>
      </c>
      <c r="P594" s="5" t="s">
        <v>44</v>
      </c>
      <c r="Q594" s="1"/>
      <c r="R594" s="2"/>
      <c r="S594" s="6"/>
      <c r="T594" t="s">
        <v>10902</v>
      </c>
      <c r="U594" t="s">
        <v>10902</v>
      </c>
      <c r="V594" t="s">
        <v>10902</v>
      </c>
      <c r="W594" t="s">
        <v>43</v>
      </c>
      <c r="X594" t="s">
        <v>11197</v>
      </c>
      <c r="Y594" t="s">
        <v>11198</v>
      </c>
      <c r="Z594" t="s">
        <v>11195</v>
      </c>
      <c r="AA594" t="s">
        <v>44</v>
      </c>
      <c r="AB594" t="s">
        <v>44</v>
      </c>
      <c r="AC594" s="4"/>
      <c r="AD594" s="4"/>
      <c r="AE594" s="2">
        <v>0</v>
      </c>
      <c r="AF594" s="4">
        <v>0</v>
      </c>
      <c r="AG594" s="2">
        <v>0.26</v>
      </c>
      <c r="AH594" s="2">
        <v>166481</v>
      </c>
      <c r="AI594" s="2">
        <v>0</v>
      </c>
      <c r="AJ594" s="5">
        <v>44673</v>
      </c>
      <c r="AK594" t="s">
        <v>11778</v>
      </c>
      <c r="AL594" s="2">
        <v>0</v>
      </c>
      <c r="AM594" s="2">
        <v>0</v>
      </c>
      <c r="AN594" s="2">
        <v>0</v>
      </c>
      <c r="AO594" t="s">
        <v>44</v>
      </c>
      <c r="AP594" t="s">
        <v>11214</v>
      </c>
      <c r="AQ594" t="s">
        <v>1780</v>
      </c>
    </row>
    <row r="595" spans="1:43" x14ac:dyDescent="0.2">
      <c r="A595" t="s">
        <v>11777</v>
      </c>
      <c r="B595" t="s">
        <v>11037</v>
      </c>
      <c r="C595" t="s">
        <v>11195</v>
      </c>
      <c r="D595" t="s">
        <v>6348</v>
      </c>
      <c r="E595" t="s">
        <v>5241</v>
      </c>
      <c r="F595" t="s">
        <v>6348</v>
      </c>
      <c r="G595" s="1">
        <v>20798</v>
      </c>
      <c r="H595" s="2">
        <v>255250.88</v>
      </c>
      <c r="I595" s="2">
        <v>278693.2</v>
      </c>
      <c r="J595" s="2">
        <v>0</v>
      </c>
      <c r="K595" s="2">
        <v>0</v>
      </c>
      <c r="L595" s="2">
        <v>278693.2</v>
      </c>
      <c r="M595" s="3">
        <v>1340</v>
      </c>
      <c r="N595" s="4">
        <v>6.3405999999999998E-4</v>
      </c>
      <c r="O595" s="5" t="s">
        <v>44</v>
      </c>
      <c r="P595" s="5" t="s">
        <v>44</v>
      </c>
      <c r="Q595" s="1"/>
      <c r="R595" s="2"/>
      <c r="S595" s="6"/>
      <c r="T595" t="s">
        <v>10902</v>
      </c>
      <c r="U595" t="s">
        <v>10902</v>
      </c>
      <c r="V595" t="s">
        <v>10902</v>
      </c>
      <c r="W595" t="s">
        <v>43</v>
      </c>
      <c r="X595" t="s">
        <v>11197</v>
      </c>
      <c r="Y595" t="s">
        <v>11198</v>
      </c>
      <c r="Z595" t="s">
        <v>11195</v>
      </c>
      <c r="AA595" t="s">
        <v>44</v>
      </c>
      <c r="AB595" t="s">
        <v>44</v>
      </c>
      <c r="AC595" s="4"/>
      <c r="AD595" s="4"/>
      <c r="AE595" s="2">
        <v>0</v>
      </c>
      <c r="AF595" s="4">
        <v>0</v>
      </c>
      <c r="AG595" s="2">
        <v>0.43</v>
      </c>
      <c r="AH595" s="2">
        <v>278693.2</v>
      </c>
      <c r="AI595" s="2">
        <v>0</v>
      </c>
      <c r="AJ595" s="5">
        <v>44673</v>
      </c>
      <c r="AK595" t="s">
        <v>11778</v>
      </c>
      <c r="AL595" s="2">
        <v>0</v>
      </c>
      <c r="AM595" s="2">
        <v>0</v>
      </c>
      <c r="AN595" s="2">
        <v>0</v>
      </c>
      <c r="AO595" t="s">
        <v>44</v>
      </c>
      <c r="AP595" t="s">
        <v>11215</v>
      </c>
      <c r="AQ595" t="s">
        <v>5241</v>
      </c>
    </row>
    <row r="596" spans="1:43" x14ac:dyDescent="0.2">
      <c r="A596" t="s">
        <v>11777</v>
      </c>
      <c r="B596" t="s">
        <v>11038</v>
      </c>
      <c r="C596" t="s">
        <v>11039</v>
      </c>
      <c r="D596" t="s">
        <v>11216</v>
      </c>
      <c r="E596" t="s">
        <v>11217</v>
      </c>
      <c r="F596" t="s">
        <v>11216</v>
      </c>
      <c r="G596" s="1">
        <v>4000000</v>
      </c>
      <c r="H596" s="2">
        <v>4000000</v>
      </c>
      <c r="I596" s="2">
        <v>3995330.34</v>
      </c>
      <c r="J596" s="2">
        <v>39123.29</v>
      </c>
      <c r="K596" s="2">
        <v>0</v>
      </c>
      <c r="L596" s="2">
        <v>4034453.63</v>
      </c>
      <c r="M596" s="3">
        <v>6.0366650000000002</v>
      </c>
      <c r="N596" s="4">
        <v>9.1788200000000007E-3</v>
      </c>
      <c r="O596" s="5">
        <v>44979</v>
      </c>
      <c r="P596" s="5">
        <v>44979</v>
      </c>
      <c r="Q596" s="1">
        <v>5.95</v>
      </c>
      <c r="R596" s="2">
        <v>0.83</v>
      </c>
      <c r="S596" s="6">
        <v>0.79052188852000005</v>
      </c>
      <c r="T596" t="s">
        <v>111</v>
      </c>
      <c r="U596" t="s">
        <v>11040</v>
      </c>
      <c r="V596" t="s">
        <v>11041</v>
      </c>
      <c r="W596" t="s">
        <v>43</v>
      </c>
      <c r="X596" t="s">
        <v>11034</v>
      </c>
      <c r="Y596" t="s">
        <v>44</v>
      </c>
      <c r="Z596" t="s">
        <v>44</v>
      </c>
      <c r="AA596" t="s">
        <v>10979</v>
      </c>
      <c r="AB596" t="s">
        <v>44</v>
      </c>
      <c r="AC596" s="4">
        <v>6.0672128599999997</v>
      </c>
      <c r="AD596" s="4">
        <v>5.9047591700000002</v>
      </c>
      <c r="AE596" s="2">
        <v>6.07</v>
      </c>
      <c r="AF596" s="4">
        <v>5.9047591700000002</v>
      </c>
      <c r="AG596" s="2">
        <v>6.27</v>
      </c>
      <c r="AH596" s="2">
        <v>4034453.63</v>
      </c>
      <c r="AI596" s="2">
        <v>0.01</v>
      </c>
      <c r="AJ596" s="5">
        <v>44673</v>
      </c>
      <c r="AK596" t="s">
        <v>11778</v>
      </c>
      <c r="AL596" s="2">
        <v>5.98</v>
      </c>
      <c r="AM596" s="2">
        <v>5.95</v>
      </c>
      <c r="AN596" s="2">
        <v>0.79</v>
      </c>
      <c r="AO596" t="s">
        <v>11165</v>
      </c>
      <c r="AP596" t="s">
        <v>11218</v>
      </c>
      <c r="AQ596" t="s">
        <v>11217</v>
      </c>
    </row>
    <row r="597" spans="1:43" x14ac:dyDescent="0.2">
      <c r="A597" t="s">
        <v>11777</v>
      </c>
      <c r="B597" t="s">
        <v>11038</v>
      </c>
      <c r="C597" t="s">
        <v>11039</v>
      </c>
      <c r="D597" t="s">
        <v>11042</v>
      </c>
      <c r="E597" t="s">
        <v>11043</v>
      </c>
      <c r="F597" t="s">
        <v>11042</v>
      </c>
      <c r="G597" s="1">
        <v>5000000</v>
      </c>
      <c r="H597" s="2">
        <v>5000000</v>
      </c>
      <c r="I597" s="2">
        <v>4996483.13</v>
      </c>
      <c r="J597" s="2">
        <v>55424.66</v>
      </c>
      <c r="K597" s="2">
        <v>0</v>
      </c>
      <c r="L597" s="2">
        <v>5051907.79</v>
      </c>
      <c r="M597" s="3">
        <v>5.9730699999999999</v>
      </c>
      <c r="N597" s="4">
        <v>1.1493629999999999E-2</v>
      </c>
      <c r="O597" s="5">
        <v>44971</v>
      </c>
      <c r="P597" s="5">
        <v>44971</v>
      </c>
      <c r="Q597" s="1">
        <v>5.95</v>
      </c>
      <c r="R597" s="2">
        <v>0.81</v>
      </c>
      <c r="S597" s="6">
        <v>0.77099882388999996</v>
      </c>
      <c r="T597" t="s">
        <v>111</v>
      </c>
      <c r="U597" t="s">
        <v>11040</v>
      </c>
      <c r="V597" t="s">
        <v>11041</v>
      </c>
      <c r="W597" t="s">
        <v>43</v>
      </c>
      <c r="X597" t="s">
        <v>11034</v>
      </c>
      <c r="Y597" t="s">
        <v>44</v>
      </c>
      <c r="Z597" t="s">
        <v>44</v>
      </c>
      <c r="AA597" t="s">
        <v>11035</v>
      </c>
      <c r="AB597" t="s">
        <v>44</v>
      </c>
      <c r="AC597" s="4">
        <v>6.0068705900000001</v>
      </c>
      <c r="AD597" s="4">
        <v>5.8475737299999997</v>
      </c>
      <c r="AE597" s="2">
        <v>6.01</v>
      </c>
      <c r="AF597" s="4">
        <v>5.8475737299999997</v>
      </c>
      <c r="AG597" s="2">
        <v>7.85</v>
      </c>
      <c r="AH597" s="2">
        <v>5051907.79</v>
      </c>
      <c r="AI597" s="2">
        <v>0.01</v>
      </c>
      <c r="AJ597" s="5">
        <v>44673</v>
      </c>
      <c r="AK597" t="s">
        <v>11778</v>
      </c>
      <c r="AL597" s="2">
        <v>5.92</v>
      </c>
      <c r="AM597" s="2">
        <v>5.95</v>
      </c>
      <c r="AN597" s="2">
        <v>0.77</v>
      </c>
      <c r="AO597" t="s">
        <v>11036</v>
      </c>
      <c r="AP597" t="s">
        <v>11044</v>
      </c>
      <c r="AQ597" t="s">
        <v>11043</v>
      </c>
    </row>
    <row r="598" spans="1:43" x14ac:dyDescent="0.2">
      <c r="A598" t="s">
        <v>11777</v>
      </c>
      <c r="B598" t="s">
        <v>11038</v>
      </c>
      <c r="C598" t="s">
        <v>11039</v>
      </c>
      <c r="D598" t="s">
        <v>11219</v>
      </c>
      <c r="E598" t="s">
        <v>11220</v>
      </c>
      <c r="F598" t="s">
        <v>11219</v>
      </c>
      <c r="G598" s="1">
        <v>1000000</v>
      </c>
      <c r="H598" s="2">
        <v>1000000</v>
      </c>
      <c r="I598" s="2">
        <v>998008.3</v>
      </c>
      <c r="J598" s="2">
        <v>18965.75</v>
      </c>
      <c r="K598" s="2">
        <v>0</v>
      </c>
      <c r="L598" s="2">
        <v>1016974.05</v>
      </c>
      <c r="M598" s="3">
        <v>5.541328</v>
      </c>
      <c r="N598" s="4">
        <v>2.31373E-3</v>
      </c>
      <c r="O598" s="5">
        <v>44909</v>
      </c>
      <c r="P598" s="5">
        <v>44909</v>
      </c>
      <c r="Q598" s="1">
        <v>5.3250000000000002</v>
      </c>
      <c r="R598" s="2">
        <v>0.64</v>
      </c>
      <c r="S598" s="6">
        <v>0.61654680116000005</v>
      </c>
      <c r="T598" t="s">
        <v>111</v>
      </c>
      <c r="U598" t="s">
        <v>11040</v>
      </c>
      <c r="V598" t="s">
        <v>11041</v>
      </c>
      <c r="W598" t="s">
        <v>43</v>
      </c>
      <c r="X598" t="s">
        <v>11034</v>
      </c>
      <c r="Y598" t="s">
        <v>44</v>
      </c>
      <c r="Z598" t="s">
        <v>44</v>
      </c>
      <c r="AA598" t="s">
        <v>10979</v>
      </c>
      <c r="AB598" t="s">
        <v>44</v>
      </c>
      <c r="AC598" s="4">
        <v>5.5965717899999996</v>
      </c>
      <c r="AD598" s="4">
        <v>5.4579467099999999</v>
      </c>
      <c r="AE598" s="2">
        <v>5.6</v>
      </c>
      <c r="AF598" s="4">
        <v>5.4579467099999999</v>
      </c>
      <c r="AG598" s="2">
        <v>1.58</v>
      </c>
      <c r="AH598" s="2">
        <v>1016974.05</v>
      </c>
      <c r="AI598" s="2">
        <v>0</v>
      </c>
      <c r="AJ598" s="5">
        <v>44673</v>
      </c>
      <c r="AK598" t="s">
        <v>11778</v>
      </c>
      <c r="AL598" s="2">
        <v>5.52</v>
      </c>
      <c r="AM598" s="2">
        <v>5.33</v>
      </c>
      <c r="AN598" s="2">
        <v>0.62</v>
      </c>
      <c r="AO598" t="s">
        <v>11179</v>
      </c>
      <c r="AP598" t="s">
        <v>11221</v>
      </c>
      <c r="AQ598" t="s">
        <v>11220</v>
      </c>
    </row>
    <row r="599" spans="1:43" x14ac:dyDescent="0.2">
      <c r="A599" t="s">
        <v>11777</v>
      </c>
      <c r="B599" t="s">
        <v>11038</v>
      </c>
      <c r="C599" t="s">
        <v>11039</v>
      </c>
      <c r="D599" t="s">
        <v>12838</v>
      </c>
      <c r="E599" t="s">
        <v>12839</v>
      </c>
      <c r="F599" t="s">
        <v>12838</v>
      </c>
      <c r="G599" s="1">
        <v>1000000</v>
      </c>
      <c r="H599" s="2">
        <v>1000000</v>
      </c>
      <c r="I599" s="2">
        <v>1001043.16</v>
      </c>
      <c r="J599" s="2">
        <v>4001.37</v>
      </c>
      <c r="K599" s="2">
        <v>0</v>
      </c>
      <c r="L599" s="2">
        <v>1005044.53</v>
      </c>
      <c r="M599" s="3">
        <v>6.2045560000000002</v>
      </c>
      <c r="N599" s="4">
        <v>2.2865799999999999E-3</v>
      </c>
      <c r="O599" s="5">
        <v>45016</v>
      </c>
      <c r="P599" s="5">
        <v>45016</v>
      </c>
      <c r="Q599" s="1">
        <v>6.35</v>
      </c>
      <c r="R599" s="2">
        <v>0.93</v>
      </c>
      <c r="S599" s="6">
        <v>0.88061116438999998</v>
      </c>
      <c r="T599" t="s">
        <v>111</v>
      </c>
      <c r="U599" t="s">
        <v>11040</v>
      </c>
      <c r="V599" t="s">
        <v>11041</v>
      </c>
      <c r="W599" t="s">
        <v>43</v>
      </c>
      <c r="X599" t="s">
        <v>11034</v>
      </c>
      <c r="Y599" t="s">
        <v>44</v>
      </c>
      <c r="Z599" t="s">
        <v>44</v>
      </c>
      <c r="AA599" t="s">
        <v>10979</v>
      </c>
      <c r="AB599" t="s">
        <v>44</v>
      </c>
      <c r="AC599" s="4">
        <v>6.2175109700000002</v>
      </c>
      <c r="AD599" s="4">
        <v>6.0470648499999999</v>
      </c>
      <c r="AE599" s="2">
        <v>6.22</v>
      </c>
      <c r="AF599" s="4">
        <v>6.0470648499999999</v>
      </c>
      <c r="AG599" s="2">
        <v>1.56</v>
      </c>
      <c r="AH599" s="2">
        <v>1005044.53</v>
      </c>
      <c r="AI599" s="2">
        <v>0</v>
      </c>
      <c r="AJ599" s="5">
        <v>44673</v>
      </c>
      <c r="AK599" t="s">
        <v>11778</v>
      </c>
      <c r="AL599" s="2">
        <v>6.12</v>
      </c>
      <c r="AM599" s="2">
        <v>6.35</v>
      </c>
      <c r="AN599" s="2">
        <v>0.88</v>
      </c>
      <c r="AO599" t="s">
        <v>11179</v>
      </c>
      <c r="AP599" t="s">
        <v>12840</v>
      </c>
      <c r="AQ599" t="s">
        <v>12839</v>
      </c>
    </row>
    <row r="600" spans="1:43" x14ac:dyDescent="0.2">
      <c r="A600" t="s">
        <v>11777</v>
      </c>
      <c r="B600" t="s">
        <v>11038</v>
      </c>
      <c r="C600" t="s">
        <v>11222</v>
      </c>
      <c r="D600" t="s">
        <v>12965</v>
      </c>
      <c r="E600" t="s">
        <v>12966</v>
      </c>
      <c r="F600" t="s">
        <v>12965</v>
      </c>
      <c r="G600" s="1">
        <v>1000000</v>
      </c>
      <c r="H600" s="2">
        <v>1000000</v>
      </c>
      <c r="I600" s="2">
        <v>1000146.14</v>
      </c>
      <c r="J600" s="2">
        <v>1937.81</v>
      </c>
      <c r="K600" s="2">
        <v>0</v>
      </c>
      <c r="L600" s="2">
        <v>1002083.95</v>
      </c>
      <c r="M600" s="3">
        <v>6.4004060000000003</v>
      </c>
      <c r="N600" s="4">
        <v>2.2798499999999999E-3</v>
      </c>
      <c r="O600" s="5">
        <v>45057</v>
      </c>
      <c r="P600" s="5">
        <v>45057</v>
      </c>
      <c r="Q600" s="1">
        <v>6.43</v>
      </c>
      <c r="R600" s="2">
        <v>1.04</v>
      </c>
      <c r="S600" s="6">
        <v>0.97846466510999996</v>
      </c>
      <c r="T600" t="s">
        <v>111</v>
      </c>
      <c r="U600" t="s">
        <v>11040</v>
      </c>
      <c r="V600" t="s">
        <v>11041</v>
      </c>
      <c r="W600" t="s">
        <v>43</v>
      </c>
      <c r="X600" t="s">
        <v>11034</v>
      </c>
      <c r="Y600" t="s">
        <v>44</v>
      </c>
      <c r="Z600" t="s">
        <v>44</v>
      </c>
      <c r="AA600" t="s">
        <v>10979</v>
      </c>
      <c r="AB600" t="s">
        <v>44</v>
      </c>
      <c r="AC600" s="4">
        <v>6.3916291899999997</v>
      </c>
      <c r="AD600" s="4">
        <v>6.2116933599999999</v>
      </c>
      <c r="AE600" s="2">
        <v>6.39</v>
      </c>
      <c r="AF600" s="4">
        <v>6.2116933599999999</v>
      </c>
      <c r="AG600" s="2">
        <v>1.56</v>
      </c>
      <c r="AH600" s="2">
        <v>1002083.95</v>
      </c>
      <c r="AI600" s="2">
        <v>0</v>
      </c>
      <c r="AJ600" s="5">
        <v>44673</v>
      </c>
      <c r="AK600" t="s">
        <v>11778</v>
      </c>
      <c r="AL600" s="2">
        <v>6.29</v>
      </c>
      <c r="AM600" s="2">
        <v>6.43</v>
      </c>
      <c r="AN600" s="2">
        <v>0.98</v>
      </c>
      <c r="AO600" t="s">
        <v>11054</v>
      </c>
      <c r="AP600" t="s">
        <v>12967</v>
      </c>
      <c r="AQ600" t="s">
        <v>12966</v>
      </c>
    </row>
    <row r="601" spans="1:43" x14ac:dyDescent="0.2">
      <c r="A601" t="s">
        <v>11777</v>
      </c>
      <c r="B601" t="s">
        <v>11038</v>
      </c>
      <c r="C601" t="s">
        <v>11222</v>
      </c>
      <c r="D601" t="s">
        <v>11223</v>
      </c>
      <c r="E601" t="s">
        <v>11224</v>
      </c>
      <c r="F601" t="s">
        <v>11223</v>
      </c>
      <c r="G601" s="1">
        <v>1820000</v>
      </c>
      <c r="H601" s="2">
        <v>1831273.61</v>
      </c>
      <c r="I601" s="2">
        <v>1869955.08</v>
      </c>
      <c r="J601" s="2">
        <v>28539.4</v>
      </c>
      <c r="K601" s="2">
        <v>0</v>
      </c>
      <c r="L601" s="2">
        <v>1898494.48</v>
      </c>
      <c r="M601" s="3">
        <v>7.1645300000000001</v>
      </c>
      <c r="N601" s="4">
        <v>4.31928E-3</v>
      </c>
      <c r="O601" s="5">
        <v>44693</v>
      </c>
      <c r="P601" s="5">
        <v>45516</v>
      </c>
      <c r="Q601" s="1">
        <v>8.4169999999999998</v>
      </c>
      <c r="R601" s="2">
        <v>0.05</v>
      </c>
      <c r="S601" s="6">
        <v>3.2810324337999998E-2</v>
      </c>
      <c r="T601" t="s">
        <v>111</v>
      </c>
      <c r="U601" t="s">
        <v>11040</v>
      </c>
      <c r="V601" t="s">
        <v>11189</v>
      </c>
      <c r="W601" t="s">
        <v>43</v>
      </c>
      <c r="X601" t="s">
        <v>11034</v>
      </c>
      <c r="Y601" t="s">
        <v>44</v>
      </c>
      <c r="Z601" t="s">
        <v>44</v>
      </c>
      <c r="AA601" t="s">
        <v>11035</v>
      </c>
      <c r="AB601" t="s">
        <v>11225</v>
      </c>
      <c r="AC601" s="4">
        <v>7.41461039</v>
      </c>
      <c r="AD601" s="4">
        <v>7.1739613599999998</v>
      </c>
      <c r="AE601" s="2">
        <v>7.41</v>
      </c>
      <c r="AF601" s="4">
        <v>7.1739613599999998</v>
      </c>
      <c r="AG601" s="2">
        <v>2.95</v>
      </c>
      <c r="AH601" s="2">
        <v>1898494.48</v>
      </c>
      <c r="AI601" s="2">
        <v>0</v>
      </c>
      <c r="AJ601" s="5">
        <v>44673</v>
      </c>
      <c r="AK601" t="s">
        <v>11778</v>
      </c>
      <c r="AL601" s="2">
        <v>7.28</v>
      </c>
      <c r="AM601" s="2">
        <v>8.42</v>
      </c>
      <c r="AN601" s="2">
        <v>0.03</v>
      </c>
      <c r="AO601" t="s">
        <v>11226</v>
      </c>
      <c r="AP601" t="s">
        <v>11227</v>
      </c>
      <c r="AQ601" t="s">
        <v>11224</v>
      </c>
    </row>
    <row r="602" spans="1:43" x14ac:dyDescent="0.2">
      <c r="A602" t="s">
        <v>11777</v>
      </c>
      <c r="B602" t="s">
        <v>11038</v>
      </c>
      <c r="C602" t="s">
        <v>11222</v>
      </c>
      <c r="D602" t="s">
        <v>11228</v>
      </c>
      <c r="E602" t="s">
        <v>11229</v>
      </c>
      <c r="F602" t="s">
        <v>11228</v>
      </c>
      <c r="G602" s="1">
        <v>4000000</v>
      </c>
      <c r="H602" s="2">
        <v>4000000</v>
      </c>
      <c r="I602" s="2">
        <v>3963959.46</v>
      </c>
      <c r="J602" s="2">
        <v>42805.48</v>
      </c>
      <c r="K602" s="2">
        <v>0</v>
      </c>
      <c r="L602" s="2">
        <v>4006764.94</v>
      </c>
      <c r="M602" s="3">
        <v>7.0358479999999997</v>
      </c>
      <c r="N602" s="4">
        <v>9.1158200000000002E-3</v>
      </c>
      <c r="O602" s="5">
        <v>44795</v>
      </c>
      <c r="P602" s="5">
        <v>45344</v>
      </c>
      <c r="Q602" s="1">
        <v>6.51</v>
      </c>
      <c r="R602" s="2">
        <v>1.74</v>
      </c>
      <c r="S602" s="6">
        <v>1.67798858708</v>
      </c>
      <c r="T602" t="s">
        <v>111</v>
      </c>
      <c r="U602" t="s">
        <v>11040</v>
      </c>
      <c r="V602" t="s">
        <v>11041</v>
      </c>
      <c r="W602" t="s">
        <v>43</v>
      </c>
      <c r="X602" t="s">
        <v>44</v>
      </c>
      <c r="Y602" t="s">
        <v>44</v>
      </c>
      <c r="Z602" t="s">
        <v>44</v>
      </c>
      <c r="AA602" t="s">
        <v>10979</v>
      </c>
      <c r="AB602" t="s">
        <v>44</v>
      </c>
      <c r="AC602" s="4">
        <v>7.1596057599999998</v>
      </c>
      <c r="AD602" s="4">
        <v>6.93487966</v>
      </c>
      <c r="AE602" s="2">
        <v>7.16</v>
      </c>
      <c r="AF602" s="4">
        <v>6.93487966</v>
      </c>
      <c r="AG602" s="2">
        <v>6.22</v>
      </c>
      <c r="AH602" s="2">
        <v>4006764.94</v>
      </c>
      <c r="AI602" s="2">
        <v>0.01</v>
      </c>
      <c r="AJ602" s="5">
        <v>44673</v>
      </c>
      <c r="AK602" t="s">
        <v>11778</v>
      </c>
      <c r="AL602" s="2">
        <v>7.04</v>
      </c>
      <c r="AM602" s="2">
        <v>6.51</v>
      </c>
      <c r="AN602" s="2">
        <v>1.68</v>
      </c>
      <c r="AO602" t="s">
        <v>11179</v>
      </c>
      <c r="AP602" t="s">
        <v>11230</v>
      </c>
      <c r="AQ602" t="s">
        <v>11229</v>
      </c>
    </row>
    <row r="603" spans="1:43" x14ac:dyDescent="0.2">
      <c r="A603" t="s">
        <v>11777</v>
      </c>
      <c r="B603" t="s">
        <v>11160</v>
      </c>
      <c r="C603" t="s">
        <v>11161</v>
      </c>
      <c r="D603" t="s">
        <v>11162</v>
      </c>
      <c r="E603" t="s">
        <v>11163</v>
      </c>
      <c r="F603" t="s">
        <v>11162</v>
      </c>
      <c r="G603" s="1">
        <v>1198</v>
      </c>
      <c r="H603" s="2">
        <v>819126.26</v>
      </c>
      <c r="I603" s="2">
        <v>1078200</v>
      </c>
      <c r="J603" s="2">
        <v>0</v>
      </c>
      <c r="K603" s="2">
        <v>29879.43</v>
      </c>
      <c r="L603" s="2">
        <v>1108079.43</v>
      </c>
      <c r="M603" s="3">
        <v>90000</v>
      </c>
      <c r="N603" s="4">
        <v>2.5209999999999998E-3</v>
      </c>
      <c r="O603" s="5" t="s">
        <v>44</v>
      </c>
      <c r="P603" s="5" t="s">
        <v>44</v>
      </c>
      <c r="Q603" s="1"/>
      <c r="R603" s="2"/>
      <c r="S603" s="6"/>
      <c r="T603" t="s">
        <v>10902</v>
      </c>
      <c r="U603" t="s">
        <v>10902</v>
      </c>
      <c r="V603" t="s">
        <v>11164</v>
      </c>
      <c r="W603" t="s">
        <v>43</v>
      </c>
      <c r="X603" t="s">
        <v>44</v>
      </c>
      <c r="Y603" t="s">
        <v>44</v>
      </c>
      <c r="Z603" t="s">
        <v>44</v>
      </c>
      <c r="AA603" t="s">
        <v>10979</v>
      </c>
      <c r="AB603" t="s">
        <v>44</v>
      </c>
      <c r="AC603" s="4"/>
      <c r="AD603" s="4"/>
      <c r="AE603" s="2">
        <v>0</v>
      </c>
      <c r="AF603" s="4">
        <v>0</v>
      </c>
      <c r="AG603" s="2">
        <v>1.72</v>
      </c>
      <c r="AH603" s="2">
        <v>1108079.43</v>
      </c>
      <c r="AI603" s="2">
        <v>0</v>
      </c>
      <c r="AJ603" s="5">
        <v>44673</v>
      </c>
      <c r="AK603" t="s">
        <v>11778</v>
      </c>
      <c r="AL603" s="2">
        <v>0</v>
      </c>
      <c r="AM603" s="2">
        <v>0</v>
      </c>
      <c r="AN603" s="2">
        <v>0</v>
      </c>
      <c r="AO603" t="s">
        <v>11165</v>
      </c>
      <c r="AP603" t="s">
        <v>11166</v>
      </c>
      <c r="AQ603" t="s">
        <v>11163</v>
      </c>
    </row>
    <row r="604" spans="1:43" x14ac:dyDescent="0.2">
      <c r="A604" t="s">
        <v>11777</v>
      </c>
      <c r="B604" t="s">
        <v>11160</v>
      </c>
      <c r="C604" t="s">
        <v>11161</v>
      </c>
      <c r="D604" t="s">
        <v>11167</v>
      </c>
      <c r="E604" t="s">
        <v>11168</v>
      </c>
      <c r="F604" t="s">
        <v>11167</v>
      </c>
      <c r="G604" s="1">
        <v>17665</v>
      </c>
      <c r="H604" s="2">
        <v>1663936.21</v>
      </c>
      <c r="I604" s="2">
        <v>1707322.25</v>
      </c>
      <c r="J604" s="2">
        <v>0</v>
      </c>
      <c r="K604" s="2">
        <v>0</v>
      </c>
      <c r="L604" s="2">
        <v>1707322.25</v>
      </c>
      <c r="M604" s="3">
        <v>9665</v>
      </c>
      <c r="N604" s="4">
        <v>3.88434E-3</v>
      </c>
      <c r="O604" s="5" t="s">
        <v>44</v>
      </c>
      <c r="P604" s="5" t="s">
        <v>44</v>
      </c>
      <c r="Q604" s="1"/>
      <c r="R604" s="2"/>
      <c r="S604" s="6"/>
      <c r="T604" t="s">
        <v>10902</v>
      </c>
      <c r="U604" t="s">
        <v>10902</v>
      </c>
      <c r="V604" t="s">
        <v>11164</v>
      </c>
      <c r="W604" t="s">
        <v>43</v>
      </c>
      <c r="X604" t="s">
        <v>11164</v>
      </c>
      <c r="Y604" t="s">
        <v>44</v>
      </c>
      <c r="Z604" t="s">
        <v>44</v>
      </c>
      <c r="AA604" t="s">
        <v>44</v>
      </c>
      <c r="AB604" t="s">
        <v>44</v>
      </c>
      <c r="AC604" s="4"/>
      <c r="AD604" s="4"/>
      <c r="AE604" s="2">
        <v>0</v>
      </c>
      <c r="AF604" s="4">
        <v>0</v>
      </c>
      <c r="AG604" s="2">
        <v>2.65</v>
      </c>
      <c r="AH604" s="2">
        <v>1707322.25</v>
      </c>
      <c r="AI604" s="2">
        <v>0</v>
      </c>
      <c r="AJ604" s="5">
        <v>44673</v>
      </c>
      <c r="AK604" t="s">
        <v>11778</v>
      </c>
      <c r="AL604" s="2">
        <v>0</v>
      </c>
      <c r="AM604" s="2">
        <v>0</v>
      </c>
      <c r="AN604" s="2">
        <v>0</v>
      </c>
      <c r="AO604" t="s">
        <v>44</v>
      </c>
      <c r="AP604" t="s">
        <v>11169</v>
      </c>
      <c r="AQ604" t="s">
        <v>11168</v>
      </c>
    </row>
    <row r="605" spans="1:43" x14ac:dyDescent="0.2">
      <c r="A605" t="s">
        <v>11777</v>
      </c>
      <c r="B605" t="s">
        <v>11160</v>
      </c>
      <c r="C605" t="s">
        <v>11161</v>
      </c>
      <c r="D605" t="s">
        <v>11170</v>
      </c>
      <c r="E605" t="s">
        <v>11171</v>
      </c>
      <c r="F605" t="s">
        <v>11170</v>
      </c>
      <c r="G605" s="1">
        <v>15234</v>
      </c>
      <c r="H605" s="2">
        <v>1161558.1499999999</v>
      </c>
      <c r="I605" s="2">
        <v>1467643.56</v>
      </c>
      <c r="J605" s="2">
        <v>0</v>
      </c>
      <c r="K605" s="2">
        <v>0</v>
      </c>
      <c r="L605" s="2">
        <v>1467643.56</v>
      </c>
      <c r="M605" s="3">
        <v>9634</v>
      </c>
      <c r="N605" s="4">
        <v>3.3390500000000001E-3</v>
      </c>
      <c r="O605" s="5" t="s">
        <v>44</v>
      </c>
      <c r="P605" s="5" t="s">
        <v>44</v>
      </c>
      <c r="Q605" s="1"/>
      <c r="R605" s="2"/>
      <c r="S605" s="6"/>
      <c r="T605" t="s">
        <v>10902</v>
      </c>
      <c r="U605" t="s">
        <v>10902</v>
      </c>
      <c r="V605" t="s">
        <v>11164</v>
      </c>
      <c r="W605" t="s">
        <v>43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s="4"/>
      <c r="AD605" s="4"/>
      <c r="AE605" s="2">
        <v>0</v>
      </c>
      <c r="AF605" s="4">
        <v>0</v>
      </c>
      <c r="AG605" s="2">
        <v>2.2799999999999998</v>
      </c>
      <c r="AH605" s="2">
        <v>1467643.56</v>
      </c>
      <c r="AI605" s="2">
        <v>0</v>
      </c>
      <c r="AJ605" s="5">
        <v>44673</v>
      </c>
      <c r="AK605" t="s">
        <v>11778</v>
      </c>
      <c r="AL605" s="2">
        <v>0</v>
      </c>
      <c r="AM605" s="2">
        <v>0</v>
      </c>
      <c r="AN605" s="2">
        <v>0</v>
      </c>
      <c r="AO605" t="s">
        <v>44</v>
      </c>
      <c r="AP605" t="s">
        <v>11172</v>
      </c>
      <c r="AQ605" t="s">
        <v>11171</v>
      </c>
    </row>
    <row r="606" spans="1:43" x14ac:dyDescent="0.2">
      <c r="A606" t="s">
        <v>11777</v>
      </c>
      <c r="B606" t="s">
        <v>11160</v>
      </c>
      <c r="C606" t="s">
        <v>11161</v>
      </c>
      <c r="D606" t="s">
        <v>11173</v>
      </c>
      <c r="E606" t="s">
        <v>11174</v>
      </c>
      <c r="F606" t="s">
        <v>11173</v>
      </c>
      <c r="G606" s="1">
        <v>5113</v>
      </c>
      <c r="H606" s="2">
        <v>410527.53</v>
      </c>
      <c r="I606" s="2">
        <v>439718</v>
      </c>
      <c r="J606" s="2">
        <v>0</v>
      </c>
      <c r="K606" s="2">
        <v>0</v>
      </c>
      <c r="L606" s="2">
        <v>439718</v>
      </c>
      <c r="M606" s="3">
        <v>8600</v>
      </c>
      <c r="N606" s="4">
        <v>1.00041E-3</v>
      </c>
      <c r="O606" s="5" t="s">
        <v>44</v>
      </c>
      <c r="P606" s="5" t="s">
        <v>44</v>
      </c>
      <c r="Q606" s="1"/>
      <c r="R606" s="2"/>
      <c r="S606" s="6"/>
      <c r="T606" t="s">
        <v>10902</v>
      </c>
      <c r="U606" t="s">
        <v>10902</v>
      </c>
      <c r="V606" t="s">
        <v>11164</v>
      </c>
      <c r="W606" t="s">
        <v>43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s="4"/>
      <c r="AD606" s="4"/>
      <c r="AE606" s="2">
        <v>0</v>
      </c>
      <c r="AF606" s="4">
        <v>0</v>
      </c>
      <c r="AG606" s="2">
        <v>0.68</v>
      </c>
      <c r="AH606" s="2">
        <v>439718</v>
      </c>
      <c r="AI606" s="2">
        <v>0</v>
      </c>
      <c r="AJ606" s="5">
        <v>44673</v>
      </c>
      <c r="AK606" t="s">
        <v>11778</v>
      </c>
      <c r="AL606" s="2">
        <v>0</v>
      </c>
      <c r="AM606" s="2">
        <v>0</v>
      </c>
      <c r="AN606" s="2">
        <v>0</v>
      </c>
      <c r="AO606" t="s">
        <v>44</v>
      </c>
      <c r="AP606" t="s">
        <v>11175</v>
      </c>
      <c r="AQ606" t="s">
        <v>11174</v>
      </c>
    </row>
    <row r="607" spans="1:43" x14ac:dyDescent="0.2">
      <c r="A607" t="s">
        <v>11777</v>
      </c>
      <c r="B607" t="s">
        <v>11160</v>
      </c>
      <c r="C607" t="s">
        <v>11161</v>
      </c>
      <c r="D607" t="s">
        <v>11176</v>
      </c>
      <c r="E607" t="s">
        <v>11177</v>
      </c>
      <c r="F607" t="s">
        <v>11178</v>
      </c>
      <c r="G607" s="1">
        <v>10113</v>
      </c>
      <c r="H607" s="2">
        <v>798202.25</v>
      </c>
      <c r="I607" s="2">
        <v>934340.07</v>
      </c>
      <c r="J607" s="2">
        <v>0</v>
      </c>
      <c r="K607" s="2">
        <v>0</v>
      </c>
      <c r="L607" s="2">
        <v>934340.07</v>
      </c>
      <c r="M607" s="3">
        <v>9239</v>
      </c>
      <c r="N607" s="4">
        <v>2.1257200000000002E-3</v>
      </c>
      <c r="O607" s="5" t="s">
        <v>44</v>
      </c>
      <c r="P607" s="5" t="s">
        <v>44</v>
      </c>
      <c r="Q607" s="1"/>
      <c r="R607" s="2"/>
      <c r="S607" s="6"/>
      <c r="T607" t="s">
        <v>10902</v>
      </c>
      <c r="U607" t="s">
        <v>10902</v>
      </c>
      <c r="V607" t="s">
        <v>11164</v>
      </c>
      <c r="W607" t="s">
        <v>43</v>
      </c>
      <c r="X607" t="s">
        <v>44</v>
      </c>
      <c r="Y607" t="s">
        <v>44</v>
      </c>
      <c r="Z607" t="s">
        <v>44</v>
      </c>
      <c r="AA607" t="s">
        <v>10979</v>
      </c>
      <c r="AB607" t="s">
        <v>44</v>
      </c>
      <c r="AC607" s="4"/>
      <c r="AD607" s="4"/>
      <c r="AE607" s="2">
        <v>0</v>
      </c>
      <c r="AF607" s="4">
        <v>0</v>
      </c>
      <c r="AG607" s="2">
        <v>1.45</v>
      </c>
      <c r="AH607" s="2">
        <v>934340.07</v>
      </c>
      <c r="AI607" s="2">
        <v>0</v>
      </c>
      <c r="AJ607" s="5">
        <v>44673</v>
      </c>
      <c r="AK607" t="s">
        <v>11778</v>
      </c>
      <c r="AL607" s="2">
        <v>0</v>
      </c>
      <c r="AM607" s="2">
        <v>0</v>
      </c>
      <c r="AN607" s="2">
        <v>0</v>
      </c>
      <c r="AO607" t="s">
        <v>11179</v>
      </c>
      <c r="AP607" t="s">
        <v>11180</v>
      </c>
      <c r="AQ607" t="s">
        <v>11177</v>
      </c>
    </row>
    <row r="608" spans="1:43" x14ac:dyDescent="0.2">
      <c r="A608" t="s">
        <v>11777</v>
      </c>
      <c r="B608" t="s">
        <v>10951</v>
      </c>
      <c r="C608" t="s">
        <v>10952</v>
      </c>
      <c r="D608" t="s">
        <v>11028</v>
      </c>
      <c r="E608" t="s">
        <v>11029</v>
      </c>
      <c r="F608" t="s">
        <v>11028</v>
      </c>
      <c r="G608" s="1">
        <v>3029641.4202999999</v>
      </c>
      <c r="H608" s="2">
        <v>3048390.68</v>
      </c>
      <c r="I608" s="2">
        <v>3033579.95</v>
      </c>
      <c r="J608" s="2">
        <v>0</v>
      </c>
      <c r="K608" s="2">
        <v>0</v>
      </c>
      <c r="L608" s="2">
        <v>3033579.95</v>
      </c>
      <c r="M608" s="3">
        <v>1.0013000000000001</v>
      </c>
      <c r="N608" s="4">
        <v>6.9017200000000001E-3</v>
      </c>
      <c r="O608" s="5" t="s">
        <v>44</v>
      </c>
      <c r="P608" s="5" t="s">
        <v>44</v>
      </c>
      <c r="Q608" s="1"/>
      <c r="R608" s="2"/>
      <c r="S608" s="6"/>
      <c r="T608" t="s">
        <v>10902</v>
      </c>
      <c r="U608" t="s">
        <v>10953</v>
      </c>
      <c r="V608" t="s">
        <v>10954</v>
      </c>
      <c r="W608" t="s">
        <v>43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s="4"/>
      <c r="AD608" s="4"/>
      <c r="AE608" s="2">
        <v>0</v>
      </c>
      <c r="AF608" s="4">
        <v>0</v>
      </c>
      <c r="AG608" s="2">
        <v>4.71</v>
      </c>
      <c r="AH608" s="2">
        <v>3033579.95</v>
      </c>
      <c r="AI608" s="2">
        <v>0.01</v>
      </c>
      <c r="AJ608" s="5">
        <v>44673</v>
      </c>
      <c r="AK608" t="s">
        <v>11778</v>
      </c>
      <c r="AL608" s="2">
        <v>0</v>
      </c>
      <c r="AM608" s="2">
        <v>0</v>
      </c>
      <c r="AN608" s="2">
        <v>0</v>
      </c>
      <c r="AO608" t="s">
        <v>44</v>
      </c>
      <c r="AP608" t="s">
        <v>44</v>
      </c>
      <c r="AQ608" t="s">
        <v>11029</v>
      </c>
    </row>
    <row r="609" spans="1:43" x14ac:dyDescent="0.2">
      <c r="A609" t="s">
        <v>11777</v>
      </c>
      <c r="B609" t="s">
        <v>11030</v>
      </c>
      <c r="C609" t="s">
        <v>11030</v>
      </c>
      <c r="D609" t="s">
        <v>11181</v>
      </c>
      <c r="E609" t="s">
        <v>11151</v>
      </c>
      <c r="F609" t="s">
        <v>11181</v>
      </c>
      <c r="G609" s="1">
        <v>15</v>
      </c>
      <c r="H609" s="2"/>
      <c r="I609" s="2">
        <v>0</v>
      </c>
      <c r="J609" s="2"/>
      <c r="K609" s="2"/>
      <c r="L609" s="2">
        <v>0</v>
      </c>
      <c r="M609" s="3"/>
      <c r="N609" s="4">
        <v>0</v>
      </c>
      <c r="O609" s="5" t="s">
        <v>44</v>
      </c>
      <c r="P609" s="5" t="s">
        <v>44</v>
      </c>
      <c r="Q609" s="1"/>
      <c r="R609" s="2"/>
      <c r="S609" s="6"/>
      <c r="T609" t="s">
        <v>11031</v>
      </c>
      <c r="U609" t="s">
        <v>11032</v>
      </c>
      <c r="V609" t="s">
        <v>45</v>
      </c>
      <c r="W609" t="s">
        <v>43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s="4"/>
      <c r="AD609" s="4"/>
      <c r="AE609" s="2">
        <v>0</v>
      </c>
      <c r="AF609" s="4">
        <v>0</v>
      </c>
      <c r="AG609" s="2">
        <v>0</v>
      </c>
      <c r="AH609" s="2">
        <v>-9855600</v>
      </c>
      <c r="AI609" s="2">
        <v>-0.02</v>
      </c>
      <c r="AJ609" s="5">
        <v>44673</v>
      </c>
      <c r="AK609" t="s">
        <v>11778</v>
      </c>
      <c r="AL609" s="2">
        <v>0</v>
      </c>
      <c r="AM609" s="2">
        <v>0</v>
      </c>
      <c r="AN609" s="2">
        <v>0</v>
      </c>
      <c r="AO609" t="s">
        <v>44</v>
      </c>
      <c r="AP609" t="s">
        <v>44</v>
      </c>
      <c r="AQ609" t="s">
        <v>11182</v>
      </c>
    </row>
    <row r="610" spans="1:43" x14ac:dyDescent="0.2">
      <c r="A610" t="s">
        <v>11777</v>
      </c>
      <c r="B610" t="s">
        <v>11030</v>
      </c>
      <c r="C610" t="s">
        <v>11030</v>
      </c>
      <c r="D610" t="s">
        <v>11185</v>
      </c>
      <c r="E610" t="s">
        <v>11157</v>
      </c>
      <c r="F610" t="s">
        <v>11185</v>
      </c>
      <c r="G610" s="1">
        <v>-11</v>
      </c>
      <c r="H610" s="2"/>
      <c r="I610" s="2">
        <v>0</v>
      </c>
      <c r="J610" s="2"/>
      <c r="K610" s="2"/>
      <c r="L610" s="2">
        <v>0</v>
      </c>
      <c r="M610" s="3"/>
      <c r="N610" s="4">
        <v>0</v>
      </c>
      <c r="O610" s="5" t="s">
        <v>44</v>
      </c>
      <c r="P610" s="5" t="s">
        <v>44</v>
      </c>
      <c r="Q610" s="1"/>
      <c r="R610" s="2"/>
      <c r="S610" s="6"/>
      <c r="T610" t="s">
        <v>11031</v>
      </c>
      <c r="U610" t="s">
        <v>11032</v>
      </c>
      <c r="V610" t="s">
        <v>45</v>
      </c>
      <c r="W610" t="s">
        <v>43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s="4"/>
      <c r="AD610" s="4"/>
      <c r="AE610" s="2">
        <v>0</v>
      </c>
      <c r="AF610" s="4">
        <v>0</v>
      </c>
      <c r="AG610" s="2">
        <v>0</v>
      </c>
      <c r="AH610" s="2">
        <v>7231510</v>
      </c>
      <c r="AI610" s="2">
        <v>0.02</v>
      </c>
      <c r="AJ610" s="5">
        <v>44673</v>
      </c>
      <c r="AK610" t="s">
        <v>11778</v>
      </c>
      <c r="AL610" s="2">
        <v>0</v>
      </c>
      <c r="AM610" s="2">
        <v>0</v>
      </c>
      <c r="AN610" s="2">
        <v>0</v>
      </c>
      <c r="AO610" t="s">
        <v>44</v>
      </c>
      <c r="AP610" t="s">
        <v>44</v>
      </c>
      <c r="AQ610" t="s">
        <v>11182</v>
      </c>
    </row>
    <row r="611" spans="1:43" x14ac:dyDescent="0.2">
      <c r="A611" t="s">
        <v>11777</v>
      </c>
      <c r="B611" t="s">
        <v>11030</v>
      </c>
      <c r="C611" t="s">
        <v>11030</v>
      </c>
      <c r="D611" t="s">
        <v>12743</v>
      </c>
      <c r="E611" t="s">
        <v>12738</v>
      </c>
      <c r="F611" t="s">
        <v>12743</v>
      </c>
      <c r="G611" s="1">
        <v>21</v>
      </c>
      <c r="H611" s="2"/>
      <c r="I611" s="2">
        <v>0</v>
      </c>
      <c r="J611" s="2"/>
      <c r="K611" s="2"/>
      <c r="L611" s="2">
        <v>0</v>
      </c>
      <c r="M611" s="3"/>
      <c r="N611" s="4">
        <v>0</v>
      </c>
      <c r="O611" s="5" t="s">
        <v>44</v>
      </c>
      <c r="P611" s="5" t="s">
        <v>44</v>
      </c>
      <c r="Q611" s="1"/>
      <c r="R611" s="2"/>
      <c r="S611" s="6"/>
      <c r="T611" t="s">
        <v>11031</v>
      </c>
      <c r="U611" t="s">
        <v>11183</v>
      </c>
      <c r="V611" t="s">
        <v>45</v>
      </c>
      <c r="W611" t="s">
        <v>43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s="4"/>
      <c r="AD611" s="4"/>
      <c r="AE611" s="2">
        <v>0</v>
      </c>
      <c r="AF611" s="4">
        <v>0</v>
      </c>
      <c r="AG611" s="2">
        <v>0</v>
      </c>
      <c r="AH611" s="2">
        <v>-4978255.66</v>
      </c>
      <c r="AI611" s="2">
        <v>-0.01</v>
      </c>
      <c r="AJ611" s="5">
        <v>44673</v>
      </c>
      <c r="AK611" t="s">
        <v>11778</v>
      </c>
      <c r="AL611" s="2">
        <v>0</v>
      </c>
      <c r="AM611" s="2">
        <v>0</v>
      </c>
      <c r="AN611" s="2">
        <v>0</v>
      </c>
      <c r="AO611" t="s">
        <v>44</v>
      </c>
      <c r="AP611" t="s">
        <v>44</v>
      </c>
      <c r="AQ611" t="s">
        <v>11182</v>
      </c>
    </row>
    <row r="612" spans="1:43" x14ac:dyDescent="0.2">
      <c r="A612" t="s">
        <v>11777</v>
      </c>
      <c r="B612" t="s">
        <v>11030</v>
      </c>
      <c r="C612" t="s">
        <v>11030</v>
      </c>
      <c r="D612" t="s">
        <v>12726</v>
      </c>
      <c r="E612" t="s">
        <v>12722</v>
      </c>
      <c r="F612" t="s">
        <v>12726</v>
      </c>
      <c r="G612" s="1">
        <v>22</v>
      </c>
      <c r="H612" s="2"/>
      <c r="I612" s="2">
        <v>0</v>
      </c>
      <c r="J612" s="2"/>
      <c r="K612" s="2"/>
      <c r="L612" s="2">
        <v>0</v>
      </c>
      <c r="M612" s="3"/>
      <c r="N612" s="4">
        <v>0</v>
      </c>
      <c r="O612" s="5" t="s">
        <v>44</v>
      </c>
      <c r="P612" s="5" t="s">
        <v>44</v>
      </c>
      <c r="Q612" s="1"/>
      <c r="R612" s="2"/>
      <c r="S612" s="6"/>
      <c r="T612" t="s">
        <v>11031</v>
      </c>
      <c r="U612" t="s">
        <v>11183</v>
      </c>
      <c r="V612" t="s">
        <v>45</v>
      </c>
      <c r="W612" t="s">
        <v>43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s="4"/>
      <c r="AD612" s="4"/>
      <c r="AE612" s="2">
        <v>0</v>
      </c>
      <c r="AF612" s="4">
        <v>0</v>
      </c>
      <c r="AG612" s="2">
        <v>0</v>
      </c>
      <c r="AH612" s="2">
        <v>-4490726.1900000004</v>
      </c>
      <c r="AI612" s="2">
        <v>-0.01</v>
      </c>
      <c r="AJ612" s="5">
        <v>44673</v>
      </c>
      <c r="AK612" t="s">
        <v>11778</v>
      </c>
      <c r="AL612" s="2">
        <v>0</v>
      </c>
      <c r="AM612" s="2">
        <v>0</v>
      </c>
      <c r="AN612" s="2">
        <v>0</v>
      </c>
      <c r="AO612" t="s">
        <v>44</v>
      </c>
      <c r="AP612" t="s">
        <v>44</v>
      </c>
      <c r="AQ612" t="s">
        <v>11182</v>
      </c>
    </row>
    <row r="613" spans="1:43" x14ac:dyDescent="0.2">
      <c r="A613" t="s">
        <v>11777</v>
      </c>
      <c r="B613" t="s">
        <v>11030</v>
      </c>
      <c r="C613" t="s">
        <v>11030</v>
      </c>
      <c r="D613" t="s">
        <v>13002</v>
      </c>
      <c r="E613" t="s">
        <v>12996</v>
      </c>
      <c r="F613" t="s">
        <v>13002</v>
      </c>
      <c r="G613" s="1">
        <v>-21</v>
      </c>
      <c r="H613" s="2"/>
      <c r="I613" s="2">
        <v>0</v>
      </c>
      <c r="J613" s="2"/>
      <c r="K613" s="2"/>
      <c r="L613" s="2">
        <v>0</v>
      </c>
      <c r="M613" s="3"/>
      <c r="N613" s="4">
        <v>0</v>
      </c>
      <c r="O613" s="5" t="s">
        <v>44</v>
      </c>
      <c r="P613" s="5" t="s">
        <v>44</v>
      </c>
      <c r="Q613" s="1"/>
      <c r="R613" s="2"/>
      <c r="S613" s="6"/>
      <c r="T613" t="s">
        <v>11031</v>
      </c>
      <c r="U613" t="s">
        <v>11183</v>
      </c>
      <c r="V613" t="s">
        <v>45</v>
      </c>
      <c r="W613" t="s">
        <v>43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s="4"/>
      <c r="AD613" s="4"/>
      <c r="AE613" s="2">
        <v>0</v>
      </c>
      <c r="AF613" s="4">
        <v>0</v>
      </c>
      <c r="AG613" s="2">
        <v>0</v>
      </c>
      <c r="AH613" s="2">
        <v>2028782.87</v>
      </c>
      <c r="AI613" s="2">
        <v>0</v>
      </c>
      <c r="AJ613" s="5">
        <v>44673</v>
      </c>
      <c r="AK613" t="s">
        <v>11778</v>
      </c>
      <c r="AL613" s="2">
        <v>0</v>
      </c>
      <c r="AM613" s="2">
        <v>0</v>
      </c>
      <c r="AN613" s="2">
        <v>0</v>
      </c>
      <c r="AO613" t="s">
        <v>44</v>
      </c>
      <c r="AP613" t="s">
        <v>44</v>
      </c>
      <c r="AQ613" t="s">
        <v>11182</v>
      </c>
    </row>
    <row r="614" spans="1:43" x14ac:dyDescent="0.2">
      <c r="A614" t="s">
        <v>11779</v>
      </c>
      <c r="B614" t="s">
        <v>45</v>
      </c>
      <c r="C614" t="s">
        <v>11000</v>
      </c>
      <c r="D614" t="s">
        <v>11273</v>
      </c>
      <c r="E614" t="s">
        <v>11274</v>
      </c>
      <c r="F614" t="s">
        <v>11273</v>
      </c>
      <c r="G614" s="1">
        <v>-0.08</v>
      </c>
      <c r="H614" s="2">
        <v>-0.08</v>
      </c>
      <c r="I614" s="2">
        <v>-0.08</v>
      </c>
      <c r="J614" s="2">
        <v>0</v>
      </c>
      <c r="K614" s="2">
        <v>0</v>
      </c>
      <c r="L614" s="2">
        <v>-0.08</v>
      </c>
      <c r="M614" s="3"/>
      <c r="N614" s="4">
        <v>0</v>
      </c>
      <c r="O614" s="5">
        <v>44378</v>
      </c>
      <c r="P614" s="5">
        <v>55153</v>
      </c>
      <c r="Q614" s="1">
        <v>0</v>
      </c>
      <c r="R614" s="2"/>
      <c r="S614" s="6"/>
      <c r="T614" t="s">
        <v>111</v>
      </c>
      <c r="U614" t="s">
        <v>11003</v>
      </c>
      <c r="V614" t="s">
        <v>46</v>
      </c>
      <c r="W614" t="s">
        <v>43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s="4"/>
      <c r="AD614" s="4"/>
      <c r="AE614" s="2">
        <v>0</v>
      </c>
      <c r="AF614" s="4">
        <v>0</v>
      </c>
      <c r="AG614" s="2">
        <v>0</v>
      </c>
      <c r="AH614" s="2">
        <v>-0.08</v>
      </c>
      <c r="AI614" s="2">
        <v>0</v>
      </c>
      <c r="AJ614" s="5">
        <v>44673</v>
      </c>
      <c r="AK614" t="s">
        <v>11780</v>
      </c>
      <c r="AL614" s="2">
        <v>0</v>
      </c>
      <c r="AM614" s="2">
        <v>0</v>
      </c>
      <c r="AN614" s="2">
        <v>0</v>
      </c>
      <c r="AO614" t="s">
        <v>44</v>
      </c>
      <c r="AP614" t="s">
        <v>11275</v>
      </c>
      <c r="AQ614" t="s">
        <v>11274</v>
      </c>
    </row>
    <row r="615" spans="1:43" x14ac:dyDescent="0.2">
      <c r="A615" t="s">
        <v>11779</v>
      </c>
      <c r="B615" t="s">
        <v>45</v>
      </c>
      <c r="C615" t="s">
        <v>11000</v>
      </c>
      <c r="D615" t="s">
        <v>11001</v>
      </c>
      <c r="E615" t="s">
        <v>11002</v>
      </c>
      <c r="F615" t="s">
        <v>11001</v>
      </c>
      <c r="G615" s="1">
        <v>10794844.619999999</v>
      </c>
      <c r="H615" s="2">
        <v>10794844.640000001</v>
      </c>
      <c r="I615" s="2">
        <v>10794844.640000001</v>
      </c>
      <c r="J615" s="2">
        <v>39298.660000000003</v>
      </c>
      <c r="K615" s="2">
        <v>0</v>
      </c>
      <c r="L615" s="2">
        <v>10834143.300000001</v>
      </c>
      <c r="M615" s="3"/>
      <c r="N615" s="4">
        <v>2.4648840000000002E-2</v>
      </c>
      <c r="O615" s="5">
        <v>40756</v>
      </c>
      <c r="P615" s="5">
        <v>73020</v>
      </c>
      <c r="Q615" s="1">
        <v>0</v>
      </c>
      <c r="R615" s="2"/>
      <c r="S615" s="6"/>
      <c r="T615" t="s">
        <v>111</v>
      </c>
      <c r="U615" t="s">
        <v>11003</v>
      </c>
      <c r="V615" t="s">
        <v>46</v>
      </c>
      <c r="W615" t="s">
        <v>43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s="4"/>
      <c r="AD615" s="4"/>
      <c r="AE615" s="2">
        <v>0</v>
      </c>
      <c r="AF615" s="4">
        <v>0</v>
      </c>
      <c r="AG615" s="2">
        <v>5.07</v>
      </c>
      <c r="AH615" s="2">
        <v>10834143.300000001</v>
      </c>
      <c r="AI615" s="2">
        <v>0.02</v>
      </c>
      <c r="AJ615" s="5">
        <v>44673</v>
      </c>
      <c r="AK615" t="s">
        <v>11780</v>
      </c>
      <c r="AL615" s="2">
        <v>0</v>
      </c>
      <c r="AM615" s="2">
        <v>0</v>
      </c>
      <c r="AN615" s="2">
        <v>0</v>
      </c>
      <c r="AO615" t="s">
        <v>44</v>
      </c>
      <c r="AP615" t="s">
        <v>11004</v>
      </c>
      <c r="AQ615" t="s">
        <v>11002</v>
      </c>
    </row>
    <row r="616" spans="1:43" x14ac:dyDescent="0.2">
      <c r="A616" t="s">
        <v>11779</v>
      </c>
      <c r="B616" t="s">
        <v>45</v>
      </c>
      <c r="C616" t="s">
        <v>11144</v>
      </c>
      <c r="D616" t="s">
        <v>11145</v>
      </c>
      <c r="E616" t="s">
        <v>11146</v>
      </c>
      <c r="F616" t="s">
        <v>11147</v>
      </c>
      <c r="G616" s="1">
        <v>15629192</v>
      </c>
      <c r="H616" s="2">
        <v>15629192</v>
      </c>
      <c r="I616" s="2">
        <v>15629192</v>
      </c>
      <c r="J616" s="2">
        <v>48196</v>
      </c>
      <c r="K616" s="2">
        <v>0</v>
      </c>
      <c r="L616" s="2">
        <v>15677388</v>
      </c>
      <c r="M616" s="3">
        <v>6.88</v>
      </c>
      <c r="N616" s="4">
        <v>3.5667749999999998E-2</v>
      </c>
      <c r="O616" s="5" t="s">
        <v>44</v>
      </c>
      <c r="P616" s="5">
        <v>55153</v>
      </c>
      <c r="Q616" s="1">
        <v>6.88</v>
      </c>
      <c r="R616" s="2">
        <v>0.08</v>
      </c>
      <c r="S616" s="6">
        <v>2.6006750000000002E-3</v>
      </c>
      <c r="T616" t="s">
        <v>112</v>
      </c>
      <c r="U616" t="s">
        <v>46</v>
      </c>
      <c r="V616" t="s">
        <v>11148</v>
      </c>
      <c r="W616" t="s">
        <v>43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s="4"/>
      <c r="AD616" s="4"/>
      <c r="AE616" s="2">
        <v>0</v>
      </c>
      <c r="AF616" s="4">
        <v>0</v>
      </c>
      <c r="AG616" s="2">
        <v>7.33</v>
      </c>
      <c r="AH616" s="2">
        <v>15677388</v>
      </c>
      <c r="AI616" s="2">
        <v>0.04</v>
      </c>
      <c r="AJ616" s="5">
        <v>44673</v>
      </c>
      <c r="AK616" t="s">
        <v>11780</v>
      </c>
      <c r="AL616" s="2">
        <v>0</v>
      </c>
      <c r="AM616" s="2">
        <v>6.88</v>
      </c>
      <c r="AN616" s="2">
        <v>0</v>
      </c>
      <c r="AO616" t="s">
        <v>11146</v>
      </c>
      <c r="AP616" t="s">
        <v>44</v>
      </c>
      <c r="AQ616" t="s">
        <v>11146</v>
      </c>
    </row>
    <row r="617" spans="1:43" x14ac:dyDescent="0.2">
      <c r="A617" t="s">
        <v>11779</v>
      </c>
      <c r="B617" t="s">
        <v>45</v>
      </c>
      <c r="C617" t="s">
        <v>47</v>
      </c>
      <c r="D617" t="s">
        <v>48</v>
      </c>
      <c r="E617" t="s">
        <v>49</v>
      </c>
      <c r="F617" t="s">
        <v>50</v>
      </c>
      <c r="G617" s="1">
        <v>0</v>
      </c>
      <c r="H617" s="2">
        <v>0</v>
      </c>
      <c r="I617" s="2">
        <v>0</v>
      </c>
      <c r="J617" s="2">
        <v>0</v>
      </c>
      <c r="K617" s="2">
        <v>0</v>
      </c>
      <c r="L617" s="2">
        <v>2260.08</v>
      </c>
      <c r="M617" s="3"/>
      <c r="N617" s="4">
        <v>5.1399999999999999E-6</v>
      </c>
      <c r="O617" s="5" t="s">
        <v>44</v>
      </c>
      <c r="P617" s="5" t="s">
        <v>44</v>
      </c>
      <c r="Q617" s="1"/>
      <c r="R617" s="2">
        <v>0.08</v>
      </c>
      <c r="S617" s="6"/>
      <c r="T617" t="s">
        <v>45</v>
      </c>
      <c r="U617" t="s">
        <v>46</v>
      </c>
      <c r="V617" t="s">
        <v>44</v>
      </c>
      <c r="W617" t="s">
        <v>43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s="4">
        <v>5.1163389600000002</v>
      </c>
      <c r="AD617" s="4">
        <v>5.0001424999999999</v>
      </c>
      <c r="AE617" s="2">
        <v>5.12</v>
      </c>
      <c r="AF617" s="4">
        <v>5.0001424999999999</v>
      </c>
      <c r="AG617" s="2">
        <v>0</v>
      </c>
      <c r="AH617" s="2">
        <v>2260.08</v>
      </c>
      <c r="AI617" s="2">
        <v>0</v>
      </c>
      <c r="AJ617" s="5">
        <v>44673</v>
      </c>
      <c r="AK617" t="s">
        <v>11780</v>
      </c>
      <c r="AL617" s="2">
        <v>5.05</v>
      </c>
      <c r="AM617" s="2">
        <v>0</v>
      </c>
      <c r="AN617" s="2">
        <v>0</v>
      </c>
      <c r="AO617" t="s">
        <v>44</v>
      </c>
      <c r="AP617" t="s">
        <v>44</v>
      </c>
      <c r="AQ617" t="s">
        <v>44</v>
      </c>
    </row>
    <row r="618" spans="1:43" x14ac:dyDescent="0.2">
      <c r="A618" t="s">
        <v>11779</v>
      </c>
      <c r="B618" t="s">
        <v>45</v>
      </c>
      <c r="C618" t="s">
        <v>47</v>
      </c>
      <c r="D618" t="s">
        <v>51</v>
      </c>
      <c r="E618" t="s">
        <v>52</v>
      </c>
      <c r="F618" t="s">
        <v>51</v>
      </c>
      <c r="G618" s="1">
        <v>2889470.87</v>
      </c>
      <c r="H618" s="2">
        <v>2889470.87</v>
      </c>
      <c r="I618" s="2">
        <v>2889470.87</v>
      </c>
      <c r="J618" s="2">
        <v>0</v>
      </c>
      <c r="K618" s="2">
        <v>0</v>
      </c>
      <c r="L618" s="2">
        <v>2889470.87</v>
      </c>
      <c r="M618" s="3"/>
      <c r="N618" s="4">
        <v>6.5738599999999999E-3</v>
      </c>
      <c r="O618" s="5" t="s">
        <v>44</v>
      </c>
      <c r="P618" s="5" t="s">
        <v>44</v>
      </c>
      <c r="Q618" s="1"/>
      <c r="R618" s="2">
        <v>0.08</v>
      </c>
      <c r="S618" s="6"/>
      <c r="T618" t="s">
        <v>45</v>
      </c>
      <c r="U618" t="s">
        <v>53</v>
      </c>
      <c r="V618" t="s">
        <v>44</v>
      </c>
      <c r="W618" t="s">
        <v>43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s="4">
        <v>5.1163389600000002</v>
      </c>
      <c r="AD618" s="4">
        <v>5.0001424999999999</v>
      </c>
      <c r="AE618" s="2">
        <v>5.12</v>
      </c>
      <c r="AF618" s="4">
        <v>5.0001424999999999</v>
      </c>
      <c r="AG618" s="2">
        <v>1.35</v>
      </c>
      <c r="AH618" s="2">
        <v>2889470.87</v>
      </c>
      <c r="AI618" s="2">
        <v>0.01</v>
      </c>
      <c r="AJ618" s="5">
        <v>44673</v>
      </c>
      <c r="AK618" t="s">
        <v>11780</v>
      </c>
      <c r="AL618" s="2">
        <v>5.05</v>
      </c>
      <c r="AM618" s="2">
        <v>0</v>
      </c>
      <c r="AN618" s="2">
        <v>0</v>
      </c>
      <c r="AO618" t="s">
        <v>44</v>
      </c>
      <c r="AP618" t="s">
        <v>44</v>
      </c>
      <c r="AQ618" t="s">
        <v>43</v>
      </c>
    </row>
    <row r="619" spans="1:43" x14ac:dyDescent="0.2">
      <c r="A619" t="s">
        <v>11779</v>
      </c>
      <c r="B619" t="s">
        <v>45</v>
      </c>
      <c r="C619" t="s">
        <v>11005</v>
      </c>
      <c r="D619" t="s">
        <v>11009</v>
      </c>
      <c r="E619" t="s">
        <v>11010</v>
      </c>
      <c r="F619" t="s">
        <v>44</v>
      </c>
      <c r="G619" s="1">
        <v>-48446.29</v>
      </c>
      <c r="H619" s="2">
        <v>-48446.29</v>
      </c>
      <c r="I619" s="2">
        <v>-48446.29</v>
      </c>
      <c r="J619" s="2">
        <v>0</v>
      </c>
      <c r="K619" s="2"/>
      <c r="L619" s="2">
        <v>-48446.29</v>
      </c>
      <c r="M619" s="3"/>
      <c r="N619" s="4">
        <v>-1.1022E-4</v>
      </c>
      <c r="O619" s="5" t="s">
        <v>44</v>
      </c>
      <c r="P619" s="5">
        <v>73051</v>
      </c>
      <c r="Q619" s="1">
        <v>0</v>
      </c>
      <c r="R619" s="2">
        <v>0.08</v>
      </c>
      <c r="S619" s="6"/>
      <c r="T619" t="s">
        <v>45</v>
      </c>
      <c r="U619" t="s">
        <v>44</v>
      </c>
      <c r="V619" t="s">
        <v>44</v>
      </c>
      <c r="W619" t="s">
        <v>43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s="4">
        <v>5.1163389600000002</v>
      </c>
      <c r="AD619" s="4">
        <v>5.0001424999999999</v>
      </c>
      <c r="AE619" s="2">
        <v>5.12</v>
      </c>
      <c r="AF619" s="4">
        <v>5.0001424999999999</v>
      </c>
      <c r="AG619" s="2">
        <v>-0.02</v>
      </c>
      <c r="AH619" s="2">
        <v>-48446.29</v>
      </c>
      <c r="AI619" s="2">
        <v>0</v>
      </c>
      <c r="AJ619" s="5">
        <v>44673</v>
      </c>
      <c r="AK619" t="s">
        <v>11780</v>
      </c>
      <c r="AL619" s="2">
        <v>5.05</v>
      </c>
      <c r="AM619" s="2">
        <v>0</v>
      </c>
      <c r="AN619" s="2">
        <v>0</v>
      </c>
      <c r="AO619" t="s">
        <v>44</v>
      </c>
      <c r="AP619" t="s">
        <v>44</v>
      </c>
      <c r="AQ619" t="s">
        <v>44</v>
      </c>
    </row>
    <row r="620" spans="1:43" x14ac:dyDescent="0.2">
      <c r="A620" t="s">
        <v>11779</v>
      </c>
      <c r="B620" t="s">
        <v>45</v>
      </c>
      <c r="C620" t="s">
        <v>11005</v>
      </c>
      <c r="D620" t="s">
        <v>11149</v>
      </c>
      <c r="E620" t="s">
        <v>11150</v>
      </c>
      <c r="F620" t="s">
        <v>44</v>
      </c>
      <c r="G620" s="1">
        <v>-3760322.98</v>
      </c>
      <c r="H620" s="2">
        <v>-3760322.98</v>
      </c>
      <c r="I620" s="2">
        <v>-3760322.98</v>
      </c>
      <c r="J620" s="2">
        <v>0</v>
      </c>
      <c r="K620" s="2"/>
      <c r="L620" s="2">
        <v>-3760322.98</v>
      </c>
      <c r="M620" s="3"/>
      <c r="N620" s="4">
        <v>-8.5551399999999993E-3</v>
      </c>
      <c r="O620" s="5" t="s">
        <v>44</v>
      </c>
      <c r="P620" s="5">
        <v>73051</v>
      </c>
      <c r="Q620" s="1">
        <v>0</v>
      </c>
      <c r="R620" s="2">
        <v>0.08</v>
      </c>
      <c r="S620" s="6"/>
      <c r="T620" t="s">
        <v>45</v>
      </c>
      <c r="U620" t="s">
        <v>44</v>
      </c>
      <c r="V620" t="s">
        <v>44</v>
      </c>
      <c r="W620" t="s">
        <v>43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s="4">
        <v>5.1163389600000002</v>
      </c>
      <c r="AD620" s="4">
        <v>5.0001424999999999</v>
      </c>
      <c r="AE620" s="2">
        <v>5.12</v>
      </c>
      <c r="AF620" s="4">
        <v>5.0001424999999999</v>
      </c>
      <c r="AG620" s="2">
        <v>-1.76</v>
      </c>
      <c r="AH620" s="2">
        <v>-3760322.98</v>
      </c>
      <c r="AI620" s="2">
        <v>-0.01</v>
      </c>
      <c r="AJ620" s="5">
        <v>44673</v>
      </c>
      <c r="AK620" t="s">
        <v>11780</v>
      </c>
      <c r="AL620" s="2">
        <v>5.05</v>
      </c>
      <c r="AM620" s="2">
        <v>0</v>
      </c>
      <c r="AN620" s="2">
        <v>0</v>
      </c>
      <c r="AO620" t="s">
        <v>44</v>
      </c>
      <c r="AP620" t="s">
        <v>44</v>
      </c>
      <c r="AQ620" t="s">
        <v>44</v>
      </c>
    </row>
    <row r="621" spans="1:43" x14ac:dyDescent="0.2">
      <c r="A621" t="s">
        <v>11779</v>
      </c>
      <c r="B621" t="s">
        <v>11024</v>
      </c>
      <c r="C621" t="s">
        <v>57</v>
      </c>
      <c r="D621" t="s">
        <v>12717</v>
      </c>
      <c r="E621" t="s">
        <v>12717</v>
      </c>
      <c r="F621" t="s">
        <v>12717</v>
      </c>
      <c r="G621" s="1">
        <v>-82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3">
        <v>65943</v>
      </c>
      <c r="N621" s="4">
        <v>0</v>
      </c>
      <c r="O621" s="5" t="s">
        <v>44</v>
      </c>
      <c r="P621" s="5">
        <v>44910</v>
      </c>
      <c r="Q621" s="1"/>
      <c r="R621" s="2"/>
      <c r="S621" s="6"/>
      <c r="T621" t="s">
        <v>11026</v>
      </c>
      <c r="U621" t="s">
        <v>11025</v>
      </c>
      <c r="V621" t="s">
        <v>11027</v>
      </c>
      <c r="W621" t="s">
        <v>43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s="4"/>
      <c r="AD621" s="4"/>
      <c r="AE621" s="2">
        <v>0</v>
      </c>
      <c r="AF621" s="4">
        <v>0</v>
      </c>
      <c r="AG621" s="2">
        <v>0</v>
      </c>
      <c r="AH621" s="2">
        <v>-54073260</v>
      </c>
      <c r="AI621" s="2">
        <v>-0.12</v>
      </c>
      <c r="AJ621" s="5">
        <v>44673</v>
      </c>
      <c r="AK621" t="s">
        <v>11780</v>
      </c>
      <c r="AL621" s="2">
        <v>0</v>
      </c>
      <c r="AM621" s="2">
        <v>0</v>
      </c>
      <c r="AN621" s="2">
        <v>0</v>
      </c>
      <c r="AO621" t="s">
        <v>44</v>
      </c>
      <c r="AP621" t="s">
        <v>12718</v>
      </c>
      <c r="AQ621" t="s">
        <v>12717</v>
      </c>
    </row>
    <row r="622" spans="1:43" x14ac:dyDescent="0.2">
      <c r="A622" t="s">
        <v>11779</v>
      </c>
      <c r="B622" t="s">
        <v>11024</v>
      </c>
      <c r="C622" t="s">
        <v>57</v>
      </c>
      <c r="D622" t="s">
        <v>12719</v>
      </c>
      <c r="E622" t="s">
        <v>12719</v>
      </c>
      <c r="F622" t="s">
        <v>12719</v>
      </c>
      <c r="G622" s="1">
        <v>150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3">
        <v>23175</v>
      </c>
      <c r="N622" s="4">
        <v>0</v>
      </c>
      <c r="O622" s="5" t="s">
        <v>44</v>
      </c>
      <c r="P622" s="5">
        <v>44910</v>
      </c>
      <c r="Q622" s="1"/>
      <c r="R622" s="2"/>
      <c r="S622" s="6"/>
      <c r="T622" t="s">
        <v>11153</v>
      </c>
      <c r="U622" t="s">
        <v>11025</v>
      </c>
      <c r="V622" t="s">
        <v>11154</v>
      </c>
      <c r="W622" t="s">
        <v>43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s="4"/>
      <c r="AD622" s="4"/>
      <c r="AE622" s="2">
        <v>0</v>
      </c>
      <c r="AF622" s="4">
        <v>0</v>
      </c>
      <c r="AG622" s="2">
        <v>0</v>
      </c>
      <c r="AH622" s="2">
        <v>36762998.240000002</v>
      </c>
      <c r="AI622" s="2">
        <v>0.08</v>
      </c>
      <c r="AJ622" s="5">
        <v>44673</v>
      </c>
      <c r="AK622" t="s">
        <v>11780</v>
      </c>
      <c r="AL622" s="2">
        <v>0</v>
      </c>
      <c r="AM622" s="2">
        <v>0</v>
      </c>
      <c r="AN622" s="2">
        <v>0</v>
      </c>
      <c r="AO622" t="s">
        <v>44</v>
      </c>
      <c r="AP622" t="s">
        <v>12720</v>
      </c>
      <c r="AQ622" t="s">
        <v>12719</v>
      </c>
    </row>
    <row r="623" spans="1:43" x14ac:dyDescent="0.2">
      <c r="A623" t="s">
        <v>11779</v>
      </c>
      <c r="B623" t="s">
        <v>11024</v>
      </c>
      <c r="C623" t="s">
        <v>57</v>
      </c>
      <c r="D623" t="s">
        <v>11151</v>
      </c>
      <c r="E623" t="s">
        <v>11151</v>
      </c>
      <c r="F623" t="s">
        <v>11151</v>
      </c>
      <c r="G623" s="1">
        <v>226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3">
        <v>65704</v>
      </c>
      <c r="N623" s="4">
        <v>0</v>
      </c>
      <c r="O623" s="5" t="s">
        <v>44</v>
      </c>
      <c r="P623" s="5">
        <v>44727</v>
      </c>
      <c r="Q623" s="1"/>
      <c r="R623" s="2"/>
      <c r="S623" s="6"/>
      <c r="T623" t="s">
        <v>11026</v>
      </c>
      <c r="U623" t="s">
        <v>11025</v>
      </c>
      <c r="V623" t="s">
        <v>11027</v>
      </c>
      <c r="W623" t="s">
        <v>43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s="4"/>
      <c r="AD623" s="4"/>
      <c r="AE623" s="2">
        <v>0</v>
      </c>
      <c r="AF623" s="4">
        <v>0</v>
      </c>
      <c r="AG623" s="2">
        <v>0</v>
      </c>
      <c r="AH623" s="2">
        <v>148491040</v>
      </c>
      <c r="AI623" s="2">
        <v>0.34</v>
      </c>
      <c r="AJ623" s="5">
        <v>44673</v>
      </c>
      <c r="AK623" t="s">
        <v>11780</v>
      </c>
      <c r="AL623" s="2">
        <v>0</v>
      </c>
      <c r="AM623" s="2">
        <v>0</v>
      </c>
      <c r="AN623" s="2">
        <v>0</v>
      </c>
      <c r="AO623" t="s">
        <v>44</v>
      </c>
      <c r="AP623" t="s">
        <v>11152</v>
      </c>
      <c r="AQ623" t="s">
        <v>11151</v>
      </c>
    </row>
    <row r="624" spans="1:43" x14ac:dyDescent="0.2">
      <c r="A624" t="s">
        <v>11779</v>
      </c>
      <c r="B624" t="s">
        <v>11024</v>
      </c>
      <c r="C624" t="s">
        <v>57</v>
      </c>
      <c r="D624" t="s">
        <v>12995</v>
      </c>
      <c r="E624" t="s">
        <v>12995</v>
      </c>
      <c r="F624" t="s">
        <v>12995</v>
      </c>
      <c r="G624" s="1">
        <v>-66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3">
        <v>11809</v>
      </c>
      <c r="N624" s="4">
        <v>0</v>
      </c>
      <c r="O624" s="5" t="s">
        <v>44</v>
      </c>
      <c r="P624" s="5">
        <v>44727</v>
      </c>
      <c r="Q624" s="1"/>
      <c r="R624" s="2"/>
      <c r="S624" s="6"/>
      <c r="T624" t="s">
        <v>11153</v>
      </c>
      <c r="U624" t="s">
        <v>11025</v>
      </c>
      <c r="V624" t="s">
        <v>11154</v>
      </c>
      <c r="W624" t="s">
        <v>43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s="4"/>
      <c r="AD624" s="4"/>
      <c r="AE624" s="2">
        <v>0</v>
      </c>
      <c r="AF624" s="4">
        <v>0</v>
      </c>
      <c r="AG624" s="2">
        <v>0</v>
      </c>
      <c r="AH624" s="2">
        <v>13122651.939999999</v>
      </c>
      <c r="AI624" s="2">
        <v>0.03</v>
      </c>
      <c r="AJ624" s="5">
        <v>44673</v>
      </c>
      <c r="AK624" t="s">
        <v>11780</v>
      </c>
      <c r="AL624" s="2">
        <v>0</v>
      </c>
      <c r="AM624" s="2">
        <v>0</v>
      </c>
      <c r="AN624" s="2">
        <v>0</v>
      </c>
      <c r="AO624" t="s">
        <v>44</v>
      </c>
      <c r="AP624" t="s">
        <v>12999</v>
      </c>
      <c r="AQ624" t="s">
        <v>12995</v>
      </c>
    </row>
    <row r="625" spans="1:43" x14ac:dyDescent="0.2">
      <c r="A625" t="s">
        <v>11779</v>
      </c>
      <c r="B625" t="s">
        <v>11024</v>
      </c>
      <c r="C625" t="s">
        <v>57</v>
      </c>
      <c r="D625" t="s">
        <v>11155</v>
      </c>
      <c r="E625" t="s">
        <v>11155</v>
      </c>
      <c r="F625" t="s">
        <v>11155</v>
      </c>
      <c r="G625" s="1">
        <v>-90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3">
        <v>615</v>
      </c>
      <c r="N625" s="4">
        <v>0</v>
      </c>
      <c r="O625" s="5" t="s">
        <v>44</v>
      </c>
      <c r="P625" s="5">
        <v>44727</v>
      </c>
      <c r="Q625" s="1"/>
      <c r="R625" s="2"/>
      <c r="S625" s="6"/>
      <c r="T625" t="s">
        <v>11153</v>
      </c>
      <c r="U625" t="s">
        <v>11025</v>
      </c>
      <c r="V625" t="s">
        <v>11154</v>
      </c>
      <c r="W625" t="s">
        <v>43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s="4"/>
      <c r="AD625" s="4"/>
      <c r="AE625" s="2">
        <v>0</v>
      </c>
      <c r="AF625" s="4">
        <v>0</v>
      </c>
      <c r="AG625" s="2">
        <v>0</v>
      </c>
      <c r="AH625" s="2">
        <v>-2176928.42</v>
      </c>
      <c r="AI625" s="2">
        <v>0</v>
      </c>
      <c r="AJ625" s="5">
        <v>44673</v>
      </c>
      <c r="AK625" t="s">
        <v>11780</v>
      </c>
      <c r="AL625" s="2">
        <v>0</v>
      </c>
      <c r="AM625" s="2">
        <v>0</v>
      </c>
      <c r="AN625" s="2">
        <v>0</v>
      </c>
      <c r="AO625" t="s">
        <v>44</v>
      </c>
      <c r="AP625" t="s">
        <v>11156</v>
      </c>
      <c r="AQ625" t="s">
        <v>11155</v>
      </c>
    </row>
    <row r="626" spans="1:43" x14ac:dyDescent="0.2">
      <c r="A626" t="s">
        <v>11779</v>
      </c>
      <c r="B626" t="s">
        <v>11024</v>
      </c>
      <c r="C626" t="s">
        <v>57</v>
      </c>
      <c r="D626" t="s">
        <v>11157</v>
      </c>
      <c r="E626" t="s">
        <v>11157</v>
      </c>
      <c r="F626" t="s">
        <v>11157</v>
      </c>
      <c r="G626" s="1">
        <v>-91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3">
        <v>65741</v>
      </c>
      <c r="N626" s="4">
        <v>0</v>
      </c>
      <c r="O626" s="5" t="s">
        <v>44</v>
      </c>
      <c r="P626" s="5">
        <v>44819</v>
      </c>
      <c r="Q626" s="1"/>
      <c r="R626" s="2"/>
      <c r="S626" s="6"/>
      <c r="T626" t="s">
        <v>11026</v>
      </c>
      <c r="U626" t="s">
        <v>11025</v>
      </c>
      <c r="V626" t="s">
        <v>11027</v>
      </c>
      <c r="W626" t="s">
        <v>43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s="4"/>
      <c r="AD626" s="4"/>
      <c r="AE626" s="2">
        <v>0</v>
      </c>
      <c r="AF626" s="4">
        <v>0</v>
      </c>
      <c r="AG626" s="2">
        <v>0</v>
      </c>
      <c r="AH626" s="2">
        <v>-59824310</v>
      </c>
      <c r="AI626" s="2">
        <v>-0.14000000000000001</v>
      </c>
      <c r="AJ626" s="5">
        <v>44673</v>
      </c>
      <c r="AK626" t="s">
        <v>11780</v>
      </c>
      <c r="AL626" s="2">
        <v>0</v>
      </c>
      <c r="AM626" s="2">
        <v>0</v>
      </c>
      <c r="AN626" s="2">
        <v>0</v>
      </c>
      <c r="AO626" t="s">
        <v>44</v>
      </c>
      <c r="AP626" t="s">
        <v>11158</v>
      </c>
      <c r="AQ626" t="s">
        <v>11157</v>
      </c>
    </row>
    <row r="627" spans="1:43" x14ac:dyDescent="0.2">
      <c r="A627" t="s">
        <v>11779</v>
      </c>
      <c r="B627" t="s">
        <v>11024</v>
      </c>
      <c r="C627" t="s">
        <v>57</v>
      </c>
      <c r="D627" t="s">
        <v>12738</v>
      </c>
      <c r="E627" t="s">
        <v>12738</v>
      </c>
      <c r="F627" t="s">
        <v>12738</v>
      </c>
      <c r="G627" s="1">
        <v>188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3">
        <v>17668</v>
      </c>
      <c r="N627" s="4">
        <v>0</v>
      </c>
      <c r="O627" s="5" t="s">
        <v>44</v>
      </c>
      <c r="P627" s="5">
        <v>44819</v>
      </c>
      <c r="Q627" s="1"/>
      <c r="R627" s="2"/>
      <c r="S627" s="6"/>
      <c r="T627" t="s">
        <v>11153</v>
      </c>
      <c r="U627" t="s">
        <v>11025</v>
      </c>
      <c r="V627" t="s">
        <v>11154</v>
      </c>
      <c r="W627" t="s">
        <v>43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s="4"/>
      <c r="AD627" s="4"/>
      <c r="AE627" s="2">
        <v>0</v>
      </c>
      <c r="AF627" s="4">
        <v>0</v>
      </c>
      <c r="AG627" s="2">
        <v>0</v>
      </c>
      <c r="AH627" s="2">
        <v>44567241.189999998</v>
      </c>
      <c r="AI627" s="2">
        <v>0.1</v>
      </c>
      <c r="AJ627" s="5">
        <v>44673</v>
      </c>
      <c r="AK627" t="s">
        <v>11780</v>
      </c>
      <c r="AL627" s="2">
        <v>0</v>
      </c>
      <c r="AM627" s="2">
        <v>0</v>
      </c>
      <c r="AN627" s="2">
        <v>0</v>
      </c>
      <c r="AO627" t="s">
        <v>44</v>
      </c>
      <c r="AP627" t="s">
        <v>12741</v>
      </c>
      <c r="AQ627" t="s">
        <v>12738</v>
      </c>
    </row>
    <row r="628" spans="1:43" x14ac:dyDescent="0.2">
      <c r="A628" t="s">
        <v>11779</v>
      </c>
      <c r="B628" t="s">
        <v>11024</v>
      </c>
      <c r="C628" t="s">
        <v>57</v>
      </c>
      <c r="D628" t="s">
        <v>12722</v>
      </c>
      <c r="E628" t="s">
        <v>12722</v>
      </c>
      <c r="F628" t="s">
        <v>12722</v>
      </c>
      <c r="G628" s="1">
        <v>189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3">
        <v>14076</v>
      </c>
      <c r="N628" s="4">
        <v>0</v>
      </c>
      <c r="O628" s="5" t="s">
        <v>44</v>
      </c>
      <c r="P628" s="5">
        <v>44819</v>
      </c>
      <c r="Q628" s="1"/>
      <c r="R628" s="2"/>
      <c r="S628" s="6"/>
      <c r="T628" t="s">
        <v>11153</v>
      </c>
      <c r="U628" t="s">
        <v>11025</v>
      </c>
      <c r="V628" t="s">
        <v>11154</v>
      </c>
      <c r="W628" t="s">
        <v>43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s="4"/>
      <c r="AD628" s="4"/>
      <c r="AE628" s="2">
        <v>0</v>
      </c>
      <c r="AF628" s="4">
        <v>0</v>
      </c>
      <c r="AG628" s="2">
        <v>0</v>
      </c>
      <c r="AH628" s="2">
        <v>38579420.469999999</v>
      </c>
      <c r="AI628" s="2">
        <v>0.09</v>
      </c>
      <c r="AJ628" s="5">
        <v>44673</v>
      </c>
      <c r="AK628" t="s">
        <v>11780</v>
      </c>
      <c r="AL628" s="2">
        <v>0</v>
      </c>
      <c r="AM628" s="2">
        <v>0</v>
      </c>
      <c r="AN628" s="2">
        <v>0</v>
      </c>
      <c r="AO628" t="s">
        <v>44</v>
      </c>
      <c r="AP628" t="s">
        <v>12723</v>
      </c>
      <c r="AQ628" t="s">
        <v>12722</v>
      </c>
    </row>
    <row r="629" spans="1:43" x14ac:dyDescent="0.2">
      <c r="A629" t="s">
        <v>11779</v>
      </c>
      <c r="B629" t="s">
        <v>11024</v>
      </c>
      <c r="C629" t="s">
        <v>57</v>
      </c>
      <c r="D629" t="s">
        <v>12996</v>
      </c>
      <c r="E629" t="s">
        <v>12996</v>
      </c>
      <c r="F629" t="s">
        <v>12996</v>
      </c>
      <c r="G629" s="1">
        <v>-99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3">
        <v>5097</v>
      </c>
      <c r="N629" s="4">
        <v>0</v>
      </c>
      <c r="O629" s="5" t="s">
        <v>44</v>
      </c>
      <c r="P629" s="5">
        <v>44819</v>
      </c>
      <c r="Q629" s="1"/>
      <c r="R629" s="2"/>
      <c r="S629" s="6"/>
      <c r="T629" t="s">
        <v>11153</v>
      </c>
      <c r="U629" t="s">
        <v>11025</v>
      </c>
      <c r="V629" t="s">
        <v>11154</v>
      </c>
      <c r="W629" t="s">
        <v>43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s="4"/>
      <c r="AD629" s="4"/>
      <c r="AE629" s="2">
        <v>0</v>
      </c>
      <c r="AF629" s="4">
        <v>0</v>
      </c>
      <c r="AG629" s="2">
        <v>0</v>
      </c>
      <c r="AH629" s="2">
        <v>-9564262.1199999992</v>
      </c>
      <c r="AI629" s="2">
        <v>-0.02</v>
      </c>
      <c r="AJ629" s="5">
        <v>44673</v>
      </c>
      <c r="AK629" t="s">
        <v>11780</v>
      </c>
      <c r="AL629" s="2">
        <v>0</v>
      </c>
      <c r="AM629" s="2">
        <v>0</v>
      </c>
      <c r="AN629" s="2">
        <v>0</v>
      </c>
      <c r="AO629" t="s">
        <v>44</v>
      </c>
      <c r="AP629" t="s">
        <v>13000</v>
      </c>
      <c r="AQ629" t="s">
        <v>12996</v>
      </c>
    </row>
    <row r="630" spans="1:43" x14ac:dyDescent="0.2">
      <c r="A630" t="s">
        <v>11779</v>
      </c>
      <c r="B630" t="s">
        <v>11024</v>
      </c>
      <c r="C630" t="s">
        <v>57</v>
      </c>
      <c r="D630" t="s">
        <v>12739</v>
      </c>
      <c r="E630" t="s">
        <v>12739</v>
      </c>
      <c r="F630" t="s">
        <v>12739</v>
      </c>
      <c r="G630" s="1">
        <v>-99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3">
        <v>2268</v>
      </c>
      <c r="N630" s="4">
        <v>0</v>
      </c>
      <c r="O630" s="5" t="s">
        <v>44</v>
      </c>
      <c r="P630" s="5">
        <v>44819</v>
      </c>
      <c r="Q630" s="1"/>
      <c r="R630" s="2"/>
      <c r="S630" s="6"/>
      <c r="T630" t="s">
        <v>11153</v>
      </c>
      <c r="U630" t="s">
        <v>11025</v>
      </c>
      <c r="V630" t="s">
        <v>11154</v>
      </c>
      <c r="W630" t="s">
        <v>43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s="4"/>
      <c r="AD630" s="4"/>
      <c r="AE630" s="2">
        <v>0</v>
      </c>
      <c r="AF630" s="4">
        <v>0</v>
      </c>
      <c r="AG630" s="2">
        <v>0</v>
      </c>
      <c r="AH630" s="2">
        <v>-4916046.28</v>
      </c>
      <c r="AI630" s="2">
        <v>-0.01</v>
      </c>
      <c r="AJ630" s="5">
        <v>44673</v>
      </c>
      <c r="AK630" t="s">
        <v>11780</v>
      </c>
      <c r="AL630" s="2">
        <v>0</v>
      </c>
      <c r="AM630" s="2">
        <v>0</v>
      </c>
      <c r="AN630" s="2">
        <v>0</v>
      </c>
      <c r="AO630" t="s">
        <v>44</v>
      </c>
      <c r="AP630" t="s">
        <v>12742</v>
      </c>
      <c r="AQ630" t="s">
        <v>12739</v>
      </c>
    </row>
    <row r="631" spans="1:43" x14ac:dyDescent="0.2">
      <c r="A631" t="s">
        <v>11779</v>
      </c>
      <c r="B631" t="s">
        <v>11037</v>
      </c>
      <c r="C631" t="s">
        <v>11050</v>
      </c>
      <c r="D631" t="s">
        <v>11781</v>
      </c>
      <c r="E631" t="s">
        <v>11782</v>
      </c>
      <c r="F631" t="s">
        <v>11781</v>
      </c>
      <c r="G631" s="1">
        <v>344000</v>
      </c>
      <c r="H631" s="2">
        <v>34157160.079999998</v>
      </c>
      <c r="I631" s="2">
        <v>39843937.600000001</v>
      </c>
      <c r="J631" s="2">
        <v>0</v>
      </c>
      <c r="K631" s="2">
        <v>0</v>
      </c>
      <c r="L631" s="2">
        <v>39843937.600000001</v>
      </c>
      <c r="M631" s="3">
        <v>115.8254</v>
      </c>
      <c r="N631" s="4">
        <v>9.0649250000000001E-2</v>
      </c>
      <c r="O631" s="5" t="s">
        <v>44</v>
      </c>
      <c r="P631" s="5" t="s">
        <v>44</v>
      </c>
      <c r="Q631" s="1"/>
      <c r="R631" s="2"/>
      <c r="S631" s="6"/>
      <c r="T631" t="s">
        <v>10902</v>
      </c>
      <c r="U631" t="s">
        <v>10902</v>
      </c>
      <c r="V631" t="s">
        <v>11051</v>
      </c>
      <c r="W631" t="s">
        <v>43</v>
      </c>
      <c r="X631" t="s">
        <v>11050</v>
      </c>
      <c r="Y631" t="s">
        <v>44</v>
      </c>
      <c r="Z631" t="s">
        <v>11050</v>
      </c>
      <c r="AA631" t="s">
        <v>44</v>
      </c>
      <c r="AB631" t="s">
        <v>44</v>
      </c>
      <c r="AC631" s="4"/>
      <c r="AD631" s="4"/>
      <c r="AE631" s="2">
        <v>0</v>
      </c>
      <c r="AF631" s="4">
        <v>0</v>
      </c>
      <c r="AG631" s="2">
        <v>18.64</v>
      </c>
      <c r="AH631" s="2">
        <v>39843937.600000001</v>
      </c>
      <c r="AI631" s="2">
        <v>0.09</v>
      </c>
      <c r="AJ631" s="5">
        <v>44673</v>
      </c>
      <c r="AK631" t="s">
        <v>11780</v>
      </c>
      <c r="AL631" s="2">
        <v>0</v>
      </c>
      <c r="AM631" s="2">
        <v>0</v>
      </c>
      <c r="AN631" s="2">
        <v>0</v>
      </c>
      <c r="AO631" t="s">
        <v>44</v>
      </c>
      <c r="AP631" t="s">
        <v>44</v>
      </c>
      <c r="AQ631" t="s">
        <v>11782</v>
      </c>
    </row>
    <row r="632" spans="1:43" x14ac:dyDescent="0.2">
      <c r="A632" t="s">
        <v>11779</v>
      </c>
      <c r="B632" t="s">
        <v>11038</v>
      </c>
      <c r="C632" t="s">
        <v>11870</v>
      </c>
      <c r="D632" t="s">
        <v>11056</v>
      </c>
      <c r="E632" t="s">
        <v>11057</v>
      </c>
      <c r="F632" t="s">
        <v>11056</v>
      </c>
      <c r="G632" s="1">
        <v>1463874</v>
      </c>
      <c r="H632" s="2">
        <v>1463524.4</v>
      </c>
      <c r="I632" s="2">
        <v>1463874</v>
      </c>
      <c r="J632" s="2">
        <v>37732.82</v>
      </c>
      <c r="K632" s="2">
        <v>0</v>
      </c>
      <c r="L632" s="2">
        <v>1501606.82</v>
      </c>
      <c r="M632" s="3"/>
      <c r="N632" s="4">
        <v>3.41632E-3</v>
      </c>
      <c r="O632" s="5">
        <v>44692</v>
      </c>
      <c r="P632" s="5">
        <v>44692</v>
      </c>
      <c r="Q632" s="1">
        <v>13.067</v>
      </c>
      <c r="R632" s="2"/>
      <c r="S632" s="6"/>
      <c r="T632" t="s">
        <v>111</v>
      </c>
      <c r="U632" t="s">
        <v>11040</v>
      </c>
      <c r="V632" t="s">
        <v>115</v>
      </c>
      <c r="W632" t="s">
        <v>43</v>
      </c>
      <c r="X632" t="s">
        <v>44</v>
      </c>
      <c r="Y632" t="s">
        <v>44</v>
      </c>
      <c r="Z632" t="s">
        <v>44</v>
      </c>
      <c r="AA632" t="s">
        <v>10979</v>
      </c>
      <c r="AB632" t="s">
        <v>44</v>
      </c>
      <c r="AC632" s="4"/>
      <c r="AD632" s="4"/>
      <c r="AE632" s="2">
        <v>0</v>
      </c>
      <c r="AF632" s="4">
        <v>0</v>
      </c>
      <c r="AG632" s="2">
        <v>0.7</v>
      </c>
      <c r="AH632" s="2">
        <v>1501606.82</v>
      </c>
      <c r="AI632" s="2">
        <v>0</v>
      </c>
      <c r="AJ632" s="5">
        <v>44673</v>
      </c>
      <c r="AK632" t="s">
        <v>11780</v>
      </c>
      <c r="AL632" s="2">
        <v>0</v>
      </c>
      <c r="AM632" s="2">
        <v>13.07</v>
      </c>
      <c r="AN632" s="2">
        <v>0</v>
      </c>
      <c r="AO632" t="s">
        <v>10980</v>
      </c>
      <c r="AP632" t="s">
        <v>11058</v>
      </c>
      <c r="AQ632" t="s">
        <v>11057</v>
      </c>
    </row>
    <row r="633" spans="1:43" x14ac:dyDescent="0.2">
      <c r="A633" t="s">
        <v>11779</v>
      </c>
      <c r="B633" t="s">
        <v>11038</v>
      </c>
      <c r="C633" t="s">
        <v>11039</v>
      </c>
      <c r="D633" t="s">
        <v>11216</v>
      </c>
      <c r="E633" t="s">
        <v>11217</v>
      </c>
      <c r="F633" t="s">
        <v>11216</v>
      </c>
      <c r="G633" s="1">
        <v>37000000</v>
      </c>
      <c r="H633" s="2">
        <v>37000000</v>
      </c>
      <c r="I633" s="2">
        <v>36956805.619999997</v>
      </c>
      <c r="J633" s="2">
        <v>361890.41</v>
      </c>
      <c r="K633" s="2">
        <v>0</v>
      </c>
      <c r="L633" s="2">
        <v>37318696.030000001</v>
      </c>
      <c r="M633" s="3">
        <v>6.0366650000000002</v>
      </c>
      <c r="N633" s="4">
        <v>8.4904049999999995E-2</v>
      </c>
      <c r="O633" s="5">
        <v>44979</v>
      </c>
      <c r="P633" s="5">
        <v>44979</v>
      </c>
      <c r="Q633" s="1">
        <v>5.95</v>
      </c>
      <c r="R633" s="2">
        <v>0.83</v>
      </c>
      <c r="S633" s="6">
        <v>0.79052188852000005</v>
      </c>
      <c r="T633" t="s">
        <v>111</v>
      </c>
      <c r="U633" t="s">
        <v>11040</v>
      </c>
      <c r="V633" t="s">
        <v>11041</v>
      </c>
      <c r="W633" t="s">
        <v>43</v>
      </c>
      <c r="X633" t="s">
        <v>11034</v>
      </c>
      <c r="Y633" t="s">
        <v>44</v>
      </c>
      <c r="Z633" t="s">
        <v>44</v>
      </c>
      <c r="AA633" t="s">
        <v>10979</v>
      </c>
      <c r="AB633" t="s">
        <v>44</v>
      </c>
      <c r="AC633" s="4">
        <v>6.0672128599999997</v>
      </c>
      <c r="AD633" s="4">
        <v>5.9047591700000002</v>
      </c>
      <c r="AE633" s="2">
        <v>6.07</v>
      </c>
      <c r="AF633" s="4">
        <v>5.9047591700000002</v>
      </c>
      <c r="AG633" s="2">
        <v>17.46</v>
      </c>
      <c r="AH633" s="2">
        <v>37318696.030000001</v>
      </c>
      <c r="AI633" s="2">
        <v>0.08</v>
      </c>
      <c r="AJ633" s="5">
        <v>44673</v>
      </c>
      <c r="AK633" t="s">
        <v>11780</v>
      </c>
      <c r="AL633" s="2">
        <v>5.98</v>
      </c>
      <c r="AM633" s="2">
        <v>5.95</v>
      </c>
      <c r="AN633" s="2">
        <v>0.79</v>
      </c>
      <c r="AO633" t="s">
        <v>11165</v>
      </c>
      <c r="AP633" t="s">
        <v>11218</v>
      </c>
      <c r="AQ633" t="s">
        <v>11217</v>
      </c>
    </row>
    <row r="634" spans="1:43" x14ac:dyDescent="0.2">
      <c r="A634" t="s">
        <v>11779</v>
      </c>
      <c r="B634" t="s">
        <v>11038</v>
      </c>
      <c r="C634" t="s">
        <v>11039</v>
      </c>
      <c r="D634" t="s">
        <v>13003</v>
      </c>
      <c r="E634" t="s">
        <v>13004</v>
      </c>
      <c r="F634" t="s">
        <v>13003</v>
      </c>
      <c r="G634" s="1">
        <v>19000000</v>
      </c>
      <c r="H634" s="2">
        <v>19000000</v>
      </c>
      <c r="I634" s="2">
        <v>19000982.239999998</v>
      </c>
      <c r="J634" s="2">
        <v>9877.4</v>
      </c>
      <c r="K634" s="2">
        <v>0</v>
      </c>
      <c r="L634" s="2">
        <v>19010859.640000001</v>
      </c>
      <c r="M634" s="3">
        <v>6.3139609999999999</v>
      </c>
      <c r="N634" s="4">
        <v>4.3251749999999999E-2</v>
      </c>
      <c r="O634" s="5">
        <v>45036</v>
      </c>
      <c r="P634" s="5">
        <v>45036</v>
      </c>
      <c r="Q634" s="1">
        <v>6.3250000000000002</v>
      </c>
      <c r="R634" s="2">
        <v>0.99</v>
      </c>
      <c r="S634" s="6">
        <v>0.92848053425999999</v>
      </c>
      <c r="T634" t="s">
        <v>111</v>
      </c>
      <c r="U634" t="s">
        <v>11040</v>
      </c>
      <c r="V634" t="s">
        <v>11041</v>
      </c>
      <c r="W634" t="s">
        <v>43</v>
      </c>
      <c r="X634" t="s">
        <v>11034</v>
      </c>
      <c r="Y634" t="s">
        <v>44</v>
      </c>
      <c r="Z634" t="s">
        <v>44</v>
      </c>
      <c r="AA634" t="s">
        <v>10979</v>
      </c>
      <c r="AB634" t="s">
        <v>44</v>
      </c>
      <c r="AC634" s="4">
        <v>6.3166377499999999</v>
      </c>
      <c r="AD634" s="4">
        <v>6.14081937</v>
      </c>
      <c r="AE634" s="2">
        <v>6.32</v>
      </c>
      <c r="AF634" s="4">
        <v>6.14081937</v>
      </c>
      <c r="AG634" s="2">
        <v>8.89</v>
      </c>
      <c r="AH634" s="2">
        <v>19010859.640000001</v>
      </c>
      <c r="AI634" s="2">
        <v>0.04</v>
      </c>
      <c r="AJ634" s="5">
        <v>44673</v>
      </c>
      <c r="AK634" t="s">
        <v>11780</v>
      </c>
      <c r="AL634" s="2">
        <v>6.22</v>
      </c>
      <c r="AM634" s="2">
        <v>6.33</v>
      </c>
      <c r="AN634" s="2">
        <v>0.93</v>
      </c>
      <c r="AO634" t="s">
        <v>11165</v>
      </c>
      <c r="AP634" t="s">
        <v>13005</v>
      </c>
      <c r="AQ634" t="s">
        <v>13004</v>
      </c>
    </row>
    <row r="635" spans="1:43" x14ac:dyDescent="0.2">
      <c r="A635" t="s">
        <v>11779</v>
      </c>
      <c r="B635" t="s">
        <v>11038</v>
      </c>
      <c r="C635" t="s">
        <v>11039</v>
      </c>
      <c r="D635" t="s">
        <v>12866</v>
      </c>
      <c r="E635" t="s">
        <v>12867</v>
      </c>
      <c r="F635" t="s">
        <v>12866</v>
      </c>
      <c r="G635" s="1">
        <v>10000000</v>
      </c>
      <c r="H635" s="2">
        <v>10000000</v>
      </c>
      <c r="I635" s="2">
        <v>9997554.6699999999</v>
      </c>
      <c r="J635" s="2">
        <v>30698.63</v>
      </c>
      <c r="K635" s="2">
        <v>0</v>
      </c>
      <c r="L635" s="2">
        <v>10028253.300000001</v>
      </c>
      <c r="M635" s="3">
        <v>6.2311399999999999</v>
      </c>
      <c r="N635" s="4">
        <v>2.281536E-2</v>
      </c>
      <c r="O635" s="5">
        <v>45021</v>
      </c>
      <c r="P635" s="5">
        <v>45021</v>
      </c>
      <c r="Q635" s="1">
        <v>6.2249999999999996</v>
      </c>
      <c r="R635" s="2">
        <v>0.95</v>
      </c>
      <c r="S635" s="6">
        <v>0.89263205706000004</v>
      </c>
      <c r="T635" t="s">
        <v>111</v>
      </c>
      <c r="U635" t="s">
        <v>11040</v>
      </c>
      <c r="V635" t="s">
        <v>11041</v>
      </c>
      <c r="W635" t="s">
        <v>43</v>
      </c>
      <c r="X635" t="s">
        <v>11034</v>
      </c>
      <c r="Y635" t="s">
        <v>44</v>
      </c>
      <c r="Z635" t="s">
        <v>44</v>
      </c>
      <c r="AA635" t="s">
        <v>10979</v>
      </c>
      <c r="AB635" t="s">
        <v>44</v>
      </c>
      <c r="AC635" s="4">
        <v>6.2415867</v>
      </c>
      <c r="AD635" s="4">
        <v>6.0698431499999996</v>
      </c>
      <c r="AE635" s="2">
        <v>6.24</v>
      </c>
      <c r="AF635" s="4">
        <v>6.0698431499999996</v>
      </c>
      <c r="AG635" s="2">
        <v>4.6900000000000004</v>
      </c>
      <c r="AH635" s="2">
        <v>10028253.300000001</v>
      </c>
      <c r="AI635" s="2">
        <v>0.02</v>
      </c>
      <c r="AJ635" s="5">
        <v>44673</v>
      </c>
      <c r="AK635" t="s">
        <v>11780</v>
      </c>
      <c r="AL635" s="2">
        <v>6.15</v>
      </c>
      <c r="AM635" s="2">
        <v>6.22</v>
      </c>
      <c r="AN635" s="2">
        <v>0.89</v>
      </c>
      <c r="AO635" t="s">
        <v>11054</v>
      </c>
      <c r="AP635" t="s">
        <v>12868</v>
      </c>
      <c r="AQ635" t="s">
        <v>12867</v>
      </c>
    </row>
    <row r="636" spans="1:43" x14ac:dyDescent="0.2">
      <c r="A636" t="s">
        <v>11779</v>
      </c>
      <c r="B636" t="s">
        <v>11038</v>
      </c>
      <c r="C636" t="s">
        <v>11039</v>
      </c>
      <c r="D636" t="s">
        <v>11042</v>
      </c>
      <c r="E636" t="s">
        <v>11043</v>
      </c>
      <c r="F636" t="s">
        <v>11042</v>
      </c>
      <c r="G636" s="1">
        <v>21000000</v>
      </c>
      <c r="H636" s="2">
        <v>21000000</v>
      </c>
      <c r="I636" s="2">
        <v>20985229.16</v>
      </c>
      <c r="J636" s="2">
        <v>232783.56</v>
      </c>
      <c r="K636" s="2">
        <v>0</v>
      </c>
      <c r="L636" s="2">
        <v>21218012.719999999</v>
      </c>
      <c r="M636" s="3">
        <v>5.9730699999999999</v>
      </c>
      <c r="N636" s="4">
        <v>4.8273259999999998E-2</v>
      </c>
      <c r="O636" s="5">
        <v>44971</v>
      </c>
      <c r="P636" s="5">
        <v>44971</v>
      </c>
      <c r="Q636" s="1">
        <v>5.95</v>
      </c>
      <c r="R636" s="2">
        <v>0.81</v>
      </c>
      <c r="S636" s="6">
        <v>0.77099882388999996</v>
      </c>
      <c r="T636" t="s">
        <v>111</v>
      </c>
      <c r="U636" t="s">
        <v>11040</v>
      </c>
      <c r="V636" t="s">
        <v>11041</v>
      </c>
      <c r="W636" t="s">
        <v>43</v>
      </c>
      <c r="X636" t="s">
        <v>11034</v>
      </c>
      <c r="Y636" t="s">
        <v>44</v>
      </c>
      <c r="Z636" t="s">
        <v>44</v>
      </c>
      <c r="AA636" t="s">
        <v>11035</v>
      </c>
      <c r="AB636" t="s">
        <v>44</v>
      </c>
      <c r="AC636" s="4">
        <v>6.0068705900000001</v>
      </c>
      <c r="AD636" s="4">
        <v>5.8475737299999997</v>
      </c>
      <c r="AE636" s="2">
        <v>6.01</v>
      </c>
      <c r="AF636" s="4">
        <v>5.8475737299999997</v>
      </c>
      <c r="AG636" s="2">
        <v>9.93</v>
      </c>
      <c r="AH636" s="2">
        <v>21218012.719999999</v>
      </c>
      <c r="AI636" s="2">
        <v>0.05</v>
      </c>
      <c r="AJ636" s="5">
        <v>44673</v>
      </c>
      <c r="AK636" t="s">
        <v>11780</v>
      </c>
      <c r="AL636" s="2">
        <v>5.92</v>
      </c>
      <c r="AM636" s="2">
        <v>5.95</v>
      </c>
      <c r="AN636" s="2">
        <v>0.77</v>
      </c>
      <c r="AO636" t="s">
        <v>11036</v>
      </c>
      <c r="AP636" t="s">
        <v>11044</v>
      </c>
      <c r="AQ636" t="s">
        <v>11043</v>
      </c>
    </row>
    <row r="637" spans="1:43" x14ac:dyDescent="0.2">
      <c r="A637" t="s">
        <v>11779</v>
      </c>
      <c r="B637" t="s">
        <v>11038</v>
      </c>
      <c r="C637" t="s">
        <v>11039</v>
      </c>
      <c r="D637" t="s">
        <v>12869</v>
      </c>
      <c r="E637" t="s">
        <v>12870</v>
      </c>
      <c r="F637" t="s">
        <v>12869</v>
      </c>
      <c r="G637" s="1">
        <v>12000000</v>
      </c>
      <c r="H637" s="2">
        <v>12000000</v>
      </c>
      <c r="I637" s="2">
        <v>12002403.109999999</v>
      </c>
      <c r="J637" s="2">
        <v>37134.25</v>
      </c>
      <c r="K637" s="2">
        <v>0</v>
      </c>
      <c r="L637" s="2">
        <v>12039537.359999999</v>
      </c>
      <c r="M637" s="3">
        <v>6.2311399999999999</v>
      </c>
      <c r="N637" s="4">
        <v>2.7391240000000001E-2</v>
      </c>
      <c r="O637" s="5">
        <v>45021</v>
      </c>
      <c r="P637" s="5">
        <v>45021</v>
      </c>
      <c r="Q637" s="1">
        <v>6.2750000000000004</v>
      </c>
      <c r="R637" s="2">
        <v>0.95</v>
      </c>
      <c r="S637" s="6">
        <v>0.89263205706000004</v>
      </c>
      <c r="T637" t="s">
        <v>111</v>
      </c>
      <c r="U637" t="s">
        <v>11040</v>
      </c>
      <c r="V637" t="s">
        <v>11041</v>
      </c>
      <c r="W637" t="s">
        <v>43</v>
      </c>
      <c r="X637" t="s">
        <v>11034</v>
      </c>
      <c r="Y637" t="s">
        <v>44</v>
      </c>
      <c r="Z637" t="s">
        <v>44</v>
      </c>
      <c r="AA637" t="s">
        <v>11035</v>
      </c>
      <c r="AB637" t="s">
        <v>44</v>
      </c>
      <c r="AC637" s="4">
        <v>6.2415867</v>
      </c>
      <c r="AD637" s="4">
        <v>6.0698431499999996</v>
      </c>
      <c r="AE637" s="2">
        <v>6.24</v>
      </c>
      <c r="AF637" s="4">
        <v>6.0698431499999996</v>
      </c>
      <c r="AG637" s="2">
        <v>5.63</v>
      </c>
      <c r="AH637" s="2">
        <v>12039537.359999999</v>
      </c>
      <c r="AI637" s="2">
        <v>0.03</v>
      </c>
      <c r="AJ637" s="5">
        <v>44673</v>
      </c>
      <c r="AK637" t="s">
        <v>11780</v>
      </c>
      <c r="AL637" s="2">
        <v>6.15</v>
      </c>
      <c r="AM637" s="2">
        <v>6.28</v>
      </c>
      <c r="AN637" s="2">
        <v>0.89</v>
      </c>
      <c r="AO637" t="s">
        <v>11036</v>
      </c>
      <c r="AP637" t="s">
        <v>12871</v>
      </c>
      <c r="AQ637" t="s">
        <v>12870</v>
      </c>
    </row>
    <row r="638" spans="1:43" x14ac:dyDescent="0.2">
      <c r="A638" t="s">
        <v>11779</v>
      </c>
      <c r="B638" t="s">
        <v>11038</v>
      </c>
      <c r="C638" t="s">
        <v>11039</v>
      </c>
      <c r="D638" t="s">
        <v>12872</v>
      </c>
      <c r="E638" t="s">
        <v>12873</v>
      </c>
      <c r="F638" t="s">
        <v>12872</v>
      </c>
      <c r="G638" s="1">
        <v>48000000</v>
      </c>
      <c r="H638" s="2">
        <v>48000000</v>
      </c>
      <c r="I638" s="2">
        <v>47998937.43</v>
      </c>
      <c r="J638" s="2">
        <v>147945.21</v>
      </c>
      <c r="K638" s="2">
        <v>0</v>
      </c>
      <c r="L638" s="2">
        <v>48146882.640000001</v>
      </c>
      <c r="M638" s="3">
        <v>6.2311399999999999</v>
      </c>
      <c r="N638" s="4">
        <v>0.10953934</v>
      </c>
      <c r="O638" s="5">
        <v>45021</v>
      </c>
      <c r="P638" s="5">
        <v>45021</v>
      </c>
      <c r="Q638" s="1">
        <v>6.25</v>
      </c>
      <c r="R638" s="2">
        <v>0.95</v>
      </c>
      <c r="S638" s="6">
        <v>0.89263205706000004</v>
      </c>
      <c r="T638" t="s">
        <v>111</v>
      </c>
      <c r="U638" t="s">
        <v>11040</v>
      </c>
      <c r="V638" t="s">
        <v>11041</v>
      </c>
      <c r="W638" t="s">
        <v>43</v>
      </c>
      <c r="X638" t="s">
        <v>11034</v>
      </c>
      <c r="Y638" t="s">
        <v>44</v>
      </c>
      <c r="Z638" t="s">
        <v>44</v>
      </c>
      <c r="AA638" t="s">
        <v>10979</v>
      </c>
      <c r="AB638" t="s">
        <v>44</v>
      </c>
      <c r="AC638" s="4">
        <v>6.2415867</v>
      </c>
      <c r="AD638" s="4">
        <v>6.0698431499999996</v>
      </c>
      <c r="AE638" s="2">
        <v>6.24</v>
      </c>
      <c r="AF638" s="4">
        <v>6.0698431499999996</v>
      </c>
      <c r="AG638" s="2">
        <v>22.52</v>
      </c>
      <c r="AH638" s="2">
        <v>48146882.640000001</v>
      </c>
      <c r="AI638" s="2">
        <v>0.11</v>
      </c>
      <c r="AJ638" s="5">
        <v>44673</v>
      </c>
      <c r="AK638" t="s">
        <v>11780</v>
      </c>
      <c r="AL638" s="2">
        <v>6.15</v>
      </c>
      <c r="AM638" s="2">
        <v>6.25</v>
      </c>
      <c r="AN638" s="2">
        <v>0.89</v>
      </c>
      <c r="AO638" t="s">
        <v>11179</v>
      </c>
      <c r="AP638" t="s">
        <v>12874</v>
      </c>
      <c r="AQ638" t="s">
        <v>12873</v>
      </c>
    </row>
    <row r="639" spans="1:43" x14ac:dyDescent="0.2">
      <c r="A639" t="s">
        <v>11779</v>
      </c>
      <c r="B639" t="s">
        <v>11030</v>
      </c>
      <c r="C639" t="s">
        <v>11030</v>
      </c>
      <c r="D639" t="s">
        <v>12724</v>
      </c>
      <c r="E639" t="s">
        <v>12717</v>
      </c>
      <c r="F639" t="s">
        <v>12724</v>
      </c>
      <c r="G639" s="1">
        <v>-82</v>
      </c>
      <c r="H639" s="2"/>
      <c r="I639" s="2">
        <v>0</v>
      </c>
      <c r="J639" s="2"/>
      <c r="K639" s="2"/>
      <c r="L639" s="2">
        <v>0</v>
      </c>
      <c r="M639" s="3"/>
      <c r="N639" s="4">
        <v>0</v>
      </c>
      <c r="O639" s="5" t="s">
        <v>44</v>
      </c>
      <c r="P639" s="5" t="s">
        <v>44</v>
      </c>
      <c r="Q639" s="1"/>
      <c r="R639" s="2"/>
      <c r="S639" s="6"/>
      <c r="T639" t="s">
        <v>11031</v>
      </c>
      <c r="U639" t="s">
        <v>11032</v>
      </c>
      <c r="V639" t="s">
        <v>45</v>
      </c>
      <c r="W639" t="s">
        <v>43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s="4"/>
      <c r="AD639" s="4"/>
      <c r="AE639" s="2">
        <v>0</v>
      </c>
      <c r="AF639" s="4">
        <v>0</v>
      </c>
      <c r="AG639" s="2">
        <v>0</v>
      </c>
      <c r="AH639" s="2">
        <v>54073260</v>
      </c>
      <c r="AI639" s="2">
        <v>0.12</v>
      </c>
      <c r="AJ639" s="5">
        <v>44673</v>
      </c>
      <c r="AK639" t="s">
        <v>11780</v>
      </c>
      <c r="AL639" s="2">
        <v>0</v>
      </c>
      <c r="AM639" s="2">
        <v>0</v>
      </c>
      <c r="AN639" s="2">
        <v>0</v>
      </c>
      <c r="AO639" t="s">
        <v>44</v>
      </c>
      <c r="AP639" t="s">
        <v>44</v>
      </c>
      <c r="AQ639" t="s">
        <v>11182</v>
      </c>
    </row>
    <row r="640" spans="1:43" x14ac:dyDescent="0.2">
      <c r="A640" t="s">
        <v>11779</v>
      </c>
      <c r="B640" t="s">
        <v>11030</v>
      </c>
      <c r="C640" t="s">
        <v>11030</v>
      </c>
      <c r="D640" t="s">
        <v>12725</v>
      </c>
      <c r="E640" t="s">
        <v>12719</v>
      </c>
      <c r="F640" t="s">
        <v>12725</v>
      </c>
      <c r="G640" s="1">
        <v>150</v>
      </c>
      <c r="H640" s="2"/>
      <c r="I640" s="2">
        <v>0</v>
      </c>
      <c r="J640" s="2"/>
      <c r="K640" s="2"/>
      <c r="L640" s="2">
        <v>0</v>
      </c>
      <c r="M640" s="3"/>
      <c r="N640" s="4">
        <v>0</v>
      </c>
      <c r="O640" s="5" t="s">
        <v>44</v>
      </c>
      <c r="P640" s="5" t="s">
        <v>44</v>
      </c>
      <c r="Q640" s="1"/>
      <c r="R640" s="2"/>
      <c r="S640" s="6"/>
      <c r="T640" t="s">
        <v>11031</v>
      </c>
      <c r="U640" t="s">
        <v>11183</v>
      </c>
      <c r="V640" t="s">
        <v>45</v>
      </c>
      <c r="W640" t="s">
        <v>43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s="4"/>
      <c r="AD640" s="4"/>
      <c r="AE640" s="2">
        <v>0</v>
      </c>
      <c r="AF640" s="4">
        <v>0</v>
      </c>
      <c r="AG640" s="2">
        <v>0</v>
      </c>
      <c r="AH640" s="2">
        <v>-36762998.240000002</v>
      </c>
      <c r="AI640" s="2">
        <v>-0.08</v>
      </c>
      <c r="AJ640" s="5">
        <v>44673</v>
      </c>
      <c r="AK640" t="s">
        <v>11780</v>
      </c>
      <c r="AL640" s="2">
        <v>0</v>
      </c>
      <c r="AM640" s="2">
        <v>0</v>
      </c>
      <c r="AN640" s="2">
        <v>0</v>
      </c>
      <c r="AO640" t="s">
        <v>44</v>
      </c>
      <c r="AP640" t="s">
        <v>44</v>
      </c>
      <c r="AQ640" t="s">
        <v>11182</v>
      </c>
    </row>
    <row r="641" spans="1:43" x14ac:dyDescent="0.2">
      <c r="A641" t="s">
        <v>11779</v>
      </c>
      <c r="B641" t="s">
        <v>11030</v>
      </c>
      <c r="C641" t="s">
        <v>11030</v>
      </c>
      <c r="D641" t="s">
        <v>11181</v>
      </c>
      <c r="E641" t="s">
        <v>11151</v>
      </c>
      <c r="F641" t="s">
        <v>11181</v>
      </c>
      <c r="G641" s="1">
        <v>226</v>
      </c>
      <c r="H641" s="2"/>
      <c r="I641" s="2">
        <v>0</v>
      </c>
      <c r="J641" s="2"/>
      <c r="K641" s="2"/>
      <c r="L641" s="2">
        <v>0</v>
      </c>
      <c r="M641" s="3"/>
      <c r="N641" s="4">
        <v>0</v>
      </c>
      <c r="O641" s="5" t="s">
        <v>44</v>
      </c>
      <c r="P641" s="5" t="s">
        <v>44</v>
      </c>
      <c r="Q641" s="1"/>
      <c r="R641" s="2"/>
      <c r="S641" s="6"/>
      <c r="T641" t="s">
        <v>11031</v>
      </c>
      <c r="U641" t="s">
        <v>11032</v>
      </c>
      <c r="V641" t="s">
        <v>45</v>
      </c>
      <c r="W641" t="s">
        <v>43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s="4"/>
      <c r="AD641" s="4"/>
      <c r="AE641" s="2">
        <v>0</v>
      </c>
      <c r="AF641" s="4">
        <v>0</v>
      </c>
      <c r="AG641" s="2">
        <v>0</v>
      </c>
      <c r="AH641" s="2">
        <v>-148491040</v>
      </c>
      <c r="AI641" s="2">
        <v>-0.34</v>
      </c>
      <c r="AJ641" s="5">
        <v>44673</v>
      </c>
      <c r="AK641" t="s">
        <v>11780</v>
      </c>
      <c r="AL641" s="2">
        <v>0</v>
      </c>
      <c r="AM641" s="2">
        <v>0</v>
      </c>
      <c r="AN641" s="2">
        <v>0</v>
      </c>
      <c r="AO641" t="s">
        <v>44</v>
      </c>
      <c r="AP641" t="s">
        <v>44</v>
      </c>
      <c r="AQ641" t="s">
        <v>11182</v>
      </c>
    </row>
    <row r="642" spans="1:43" x14ac:dyDescent="0.2">
      <c r="A642" t="s">
        <v>11779</v>
      </c>
      <c r="B642" t="s">
        <v>11030</v>
      </c>
      <c r="C642" t="s">
        <v>11030</v>
      </c>
      <c r="D642" t="s">
        <v>13001</v>
      </c>
      <c r="E642" t="s">
        <v>12995</v>
      </c>
      <c r="F642" t="s">
        <v>13001</v>
      </c>
      <c r="G642" s="1">
        <v>-66</v>
      </c>
      <c r="H642" s="2"/>
      <c r="I642" s="2">
        <v>0</v>
      </c>
      <c r="J642" s="2"/>
      <c r="K642" s="2"/>
      <c r="L642" s="2">
        <v>0</v>
      </c>
      <c r="M642" s="3"/>
      <c r="N642" s="4">
        <v>0</v>
      </c>
      <c r="O642" s="5" t="s">
        <v>44</v>
      </c>
      <c r="P642" s="5" t="s">
        <v>44</v>
      </c>
      <c r="Q642" s="1"/>
      <c r="R642" s="2"/>
      <c r="S642" s="6"/>
      <c r="T642" t="s">
        <v>11031</v>
      </c>
      <c r="U642" t="s">
        <v>11183</v>
      </c>
      <c r="V642" t="s">
        <v>45</v>
      </c>
      <c r="W642" t="s">
        <v>43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s="4"/>
      <c r="AD642" s="4"/>
      <c r="AE642" s="2">
        <v>0</v>
      </c>
      <c r="AF642" s="4">
        <v>0</v>
      </c>
      <c r="AG642" s="2">
        <v>0</v>
      </c>
      <c r="AH642" s="2">
        <v>-13122651.939999999</v>
      </c>
      <c r="AI642" s="2">
        <v>-0.03</v>
      </c>
      <c r="AJ642" s="5">
        <v>44673</v>
      </c>
      <c r="AK642" t="s">
        <v>11780</v>
      </c>
      <c r="AL642" s="2">
        <v>0</v>
      </c>
      <c r="AM642" s="2">
        <v>0</v>
      </c>
      <c r="AN642" s="2">
        <v>0</v>
      </c>
      <c r="AO642" t="s">
        <v>44</v>
      </c>
      <c r="AP642" t="s">
        <v>44</v>
      </c>
      <c r="AQ642" t="s">
        <v>11182</v>
      </c>
    </row>
    <row r="643" spans="1:43" x14ac:dyDescent="0.2">
      <c r="A643" t="s">
        <v>11779</v>
      </c>
      <c r="B643" t="s">
        <v>11030</v>
      </c>
      <c r="C643" t="s">
        <v>11030</v>
      </c>
      <c r="D643" t="s">
        <v>11184</v>
      </c>
      <c r="E643" t="s">
        <v>11155</v>
      </c>
      <c r="F643" t="s">
        <v>11184</v>
      </c>
      <c r="G643" s="1">
        <v>-90</v>
      </c>
      <c r="H643" s="2"/>
      <c r="I643" s="2">
        <v>0</v>
      </c>
      <c r="J643" s="2"/>
      <c r="K643" s="2"/>
      <c r="L643" s="2">
        <v>0</v>
      </c>
      <c r="M643" s="3"/>
      <c r="N643" s="4">
        <v>0</v>
      </c>
      <c r="O643" s="5" t="s">
        <v>44</v>
      </c>
      <c r="P643" s="5" t="s">
        <v>44</v>
      </c>
      <c r="Q643" s="1"/>
      <c r="R643" s="2"/>
      <c r="S643" s="6"/>
      <c r="T643" t="s">
        <v>11031</v>
      </c>
      <c r="U643" t="s">
        <v>11183</v>
      </c>
      <c r="V643" t="s">
        <v>45</v>
      </c>
      <c r="W643" t="s">
        <v>43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s="4"/>
      <c r="AD643" s="4"/>
      <c r="AE643" s="2">
        <v>0</v>
      </c>
      <c r="AF643" s="4">
        <v>0</v>
      </c>
      <c r="AG643" s="2">
        <v>0</v>
      </c>
      <c r="AH643" s="2">
        <v>2176928.42</v>
      </c>
      <c r="AI643" s="2">
        <v>0</v>
      </c>
      <c r="AJ643" s="5">
        <v>44673</v>
      </c>
      <c r="AK643" t="s">
        <v>11780</v>
      </c>
      <c r="AL643" s="2">
        <v>0</v>
      </c>
      <c r="AM643" s="2">
        <v>0</v>
      </c>
      <c r="AN643" s="2">
        <v>0</v>
      </c>
      <c r="AO643" t="s">
        <v>44</v>
      </c>
      <c r="AP643" t="s">
        <v>44</v>
      </c>
      <c r="AQ643" t="s">
        <v>11182</v>
      </c>
    </row>
    <row r="644" spans="1:43" x14ac:dyDescent="0.2">
      <c r="A644" t="s">
        <v>11779</v>
      </c>
      <c r="B644" t="s">
        <v>11030</v>
      </c>
      <c r="C644" t="s">
        <v>11030</v>
      </c>
      <c r="D644" t="s">
        <v>11185</v>
      </c>
      <c r="E644" t="s">
        <v>11157</v>
      </c>
      <c r="F644" t="s">
        <v>11185</v>
      </c>
      <c r="G644" s="1">
        <v>-91</v>
      </c>
      <c r="H644" s="2"/>
      <c r="I644" s="2">
        <v>0</v>
      </c>
      <c r="J644" s="2"/>
      <c r="K644" s="2"/>
      <c r="L644" s="2">
        <v>0</v>
      </c>
      <c r="M644" s="3"/>
      <c r="N644" s="4">
        <v>0</v>
      </c>
      <c r="O644" s="5" t="s">
        <v>44</v>
      </c>
      <c r="P644" s="5" t="s">
        <v>44</v>
      </c>
      <c r="Q644" s="1"/>
      <c r="R644" s="2"/>
      <c r="S644" s="6"/>
      <c r="T644" t="s">
        <v>11031</v>
      </c>
      <c r="U644" t="s">
        <v>11032</v>
      </c>
      <c r="V644" t="s">
        <v>45</v>
      </c>
      <c r="W644" t="s">
        <v>43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s="4"/>
      <c r="AD644" s="4"/>
      <c r="AE644" s="2">
        <v>0</v>
      </c>
      <c r="AF644" s="4">
        <v>0</v>
      </c>
      <c r="AG644" s="2">
        <v>0</v>
      </c>
      <c r="AH644" s="2">
        <v>59824310</v>
      </c>
      <c r="AI644" s="2">
        <v>0.14000000000000001</v>
      </c>
      <c r="AJ644" s="5">
        <v>44673</v>
      </c>
      <c r="AK644" t="s">
        <v>11780</v>
      </c>
      <c r="AL644" s="2">
        <v>0</v>
      </c>
      <c r="AM644" s="2">
        <v>0</v>
      </c>
      <c r="AN644" s="2">
        <v>0</v>
      </c>
      <c r="AO644" t="s">
        <v>44</v>
      </c>
      <c r="AP644" t="s">
        <v>44</v>
      </c>
      <c r="AQ644" t="s">
        <v>11182</v>
      </c>
    </row>
    <row r="645" spans="1:43" x14ac:dyDescent="0.2">
      <c r="A645" t="s">
        <v>11779</v>
      </c>
      <c r="B645" t="s">
        <v>11030</v>
      </c>
      <c r="C645" t="s">
        <v>11030</v>
      </c>
      <c r="D645" t="s">
        <v>12743</v>
      </c>
      <c r="E645" t="s">
        <v>12738</v>
      </c>
      <c r="F645" t="s">
        <v>12743</v>
      </c>
      <c r="G645" s="1">
        <v>188</v>
      </c>
      <c r="H645" s="2"/>
      <c r="I645" s="2">
        <v>0</v>
      </c>
      <c r="J645" s="2"/>
      <c r="K645" s="2"/>
      <c r="L645" s="2">
        <v>0</v>
      </c>
      <c r="M645" s="3"/>
      <c r="N645" s="4">
        <v>0</v>
      </c>
      <c r="O645" s="5" t="s">
        <v>44</v>
      </c>
      <c r="P645" s="5" t="s">
        <v>44</v>
      </c>
      <c r="Q645" s="1"/>
      <c r="R645" s="2"/>
      <c r="S645" s="6"/>
      <c r="T645" t="s">
        <v>11031</v>
      </c>
      <c r="U645" t="s">
        <v>11183</v>
      </c>
      <c r="V645" t="s">
        <v>45</v>
      </c>
      <c r="W645" t="s">
        <v>43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s="4"/>
      <c r="AD645" s="4"/>
      <c r="AE645" s="2">
        <v>0</v>
      </c>
      <c r="AF645" s="4">
        <v>0</v>
      </c>
      <c r="AG645" s="2">
        <v>0</v>
      </c>
      <c r="AH645" s="2">
        <v>-44567241.189999998</v>
      </c>
      <c r="AI645" s="2">
        <v>-0.1</v>
      </c>
      <c r="AJ645" s="5">
        <v>44673</v>
      </c>
      <c r="AK645" t="s">
        <v>11780</v>
      </c>
      <c r="AL645" s="2">
        <v>0</v>
      </c>
      <c r="AM645" s="2">
        <v>0</v>
      </c>
      <c r="AN645" s="2">
        <v>0</v>
      </c>
      <c r="AO645" t="s">
        <v>44</v>
      </c>
      <c r="AP645" t="s">
        <v>44</v>
      </c>
      <c r="AQ645" t="s">
        <v>11182</v>
      </c>
    </row>
    <row r="646" spans="1:43" x14ac:dyDescent="0.2">
      <c r="A646" t="s">
        <v>11779</v>
      </c>
      <c r="B646" t="s">
        <v>11030</v>
      </c>
      <c r="C646" t="s">
        <v>11030</v>
      </c>
      <c r="D646" t="s">
        <v>12726</v>
      </c>
      <c r="E646" t="s">
        <v>12722</v>
      </c>
      <c r="F646" t="s">
        <v>12726</v>
      </c>
      <c r="G646" s="1">
        <v>189</v>
      </c>
      <c r="H646" s="2"/>
      <c r="I646" s="2">
        <v>0</v>
      </c>
      <c r="J646" s="2"/>
      <c r="K646" s="2"/>
      <c r="L646" s="2">
        <v>0</v>
      </c>
      <c r="M646" s="3"/>
      <c r="N646" s="4">
        <v>0</v>
      </c>
      <c r="O646" s="5" t="s">
        <v>44</v>
      </c>
      <c r="P646" s="5" t="s">
        <v>44</v>
      </c>
      <c r="Q646" s="1"/>
      <c r="R646" s="2"/>
      <c r="S646" s="6"/>
      <c r="T646" t="s">
        <v>11031</v>
      </c>
      <c r="U646" t="s">
        <v>11183</v>
      </c>
      <c r="V646" t="s">
        <v>45</v>
      </c>
      <c r="W646" t="s">
        <v>43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s="4"/>
      <c r="AD646" s="4"/>
      <c r="AE646" s="2">
        <v>0</v>
      </c>
      <c r="AF646" s="4">
        <v>0</v>
      </c>
      <c r="AG646" s="2">
        <v>0</v>
      </c>
      <c r="AH646" s="2">
        <v>-38579420.469999999</v>
      </c>
      <c r="AI646" s="2">
        <v>-0.09</v>
      </c>
      <c r="AJ646" s="5">
        <v>44673</v>
      </c>
      <c r="AK646" t="s">
        <v>11780</v>
      </c>
      <c r="AL646" s="2">
        <v>0</v>
      </c>
      <c r="AM646" s="2">
        <v>0</v>
      </c>
      <c r="AN646" s="2">
        <v>0</v>
      </c>
      <c r="AO646" t="s">
        <v>44</v>
      </c>
      <c r="AP646" t="s">
        <v>44</v>
      </c>
      <c r="AQ646" t="s">
        <v>11182</v>
      </c>
    </row>
    <row r="647" spans="1:43" x14ac:dyDescent="0.2">
      <c r="A647" t="s">
        <v>11779</v>
      </c>
      <c r="B647" t="s">
        <v>11030</v>
      </c>
      <c r="C647" t="s">
        <v>11030</v>
      </c>
      <c r="D647" t="s">
        <v>13002</v>
      </c>
      <c r="E647" t="s">
        <v>12996</v>
      </c>
      <c r="F647" t="s">
        <v>13002</v>
      </c>
      <c r="G647" s="1">
        <v>-99</v>
      </c>
      <c r="H647" s="2"/>
      <c r="I647" s="2">
        <v>0</v>
      </c>
      <c r="J647" s="2"/>
      <c r="K647" s="2"/>
      <c r="L647" s="2">
        <v>0</v>
      </c>
      <c r="M647" s="3"/>
      <c r="N647" s="4">
        <v>0</v>
      </c>
      <c r="O647" s="5" t="s">
        <v>44</v>
      </c>
      <c r="P647" s="5" t="s">
        <v>44</v>
      </c>
      <c r="Q647" s="1"/>
      <c r="R647" s="2"/>
      <c r="S647" s="6"/>
      <c r="T647" t="s">
        <v>11031</v>
      </c>
      <c r="U647" t="s">
        <v>11183</v>
      </c>
      <c r="V647" t="s">
        <v>45</v>
      </c>
      <c r="W647" t="s">
        <v>43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s="4"/>
      <c r="AD647" s="4"/>
      <c r="AE647" s="2">
        <v>0</v>
      </c>
      <c r="AF647" s="4">
        <v>0</v>
      </c>
      <c r="AG647" s="2">
        <v>0</v>
      </c>
      <c r="AH647" s="2">
        <v>9564262.1199999992</v>
      </c>
      <c r="AI647" s="2">
        <v>0.02</v>
      </c>
      <c r="AJ647" s="5">
        <v>44673</v>
      </c>
      <c r="AK647" t="s">
        <v>11780</v>
      </c>
      <c r="AL647" s="2">
        <v>0</v>
      </c>
      <c r="AM647" s="2">
        <v>0</v>
      </c>
      <c r="AN647" s="2">
        <v>0</v>
      </c>
      <c r="AO647" t="s">
        <v>44</v>
      </c>
      <c r="AP647" t="s">
        <v>44</v>
      </c>
      <c r="AQ647" t="s">
        <v>11182</v>
      </c>
    </row>
    <row r="648" spans="1:43" x14ac:dyDescent="0.2">
      <c r="A648" t="s">
        <v>11779</v>
      </c>
      <c r="B648" t="s">
        <v>11030</v>
      </c>
      <c r="C648" t="s">
        <v>11030</v>
      </c>
      <c r="D648" t="s">
        <v>12744</v>
      </c>
      <c r="E648" t="s">
        <v>12739</v>
      </c>
      <c r="F648" t="s">
        <v>12744</v>
      </c>
      <c r="G648" s="1">
        <v>-99</v>
      </c>
      <c r="H648" s="2"/>
      <c r="I648" s="2">
        <v>0</v>
      </c>
      <c r="J648" s="2"/>
      <c r="K648" s="2"/>
      <c r="L648" s="2">
        <v>0</v>
      </c>
      <c r="M648" s="3"/>
      <c r="N648" s="4">
        <v>0</v>
      </c>
      <c r="O648" s="5" t="s">
        <v>44</v>
      </c>
      <c r="P648" s="5" t="s">
        <v>44</v>
      </c>
      <c r="Q648" s="1"/>
      <c r="R648" s="2"/>
      <c r="S648" s="6"/>
      <c r="T648" t="s">
        <v>11031</v>
      </c>
      <c r="U648" t="s">
        <v>11183</v>
      </c>
      <c r="V648" t="s">
        <v>45</v>
      </c>
      <c r="W648" t="s">
        <v>43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s="4"/>
      <c r="AD648" s="4"/>
      <c r="AE648" s="2">
        <v>0</v>
      </c>
      <c r="AF648" s="4">
        <v>0</v>
      </c>
      <c r="AG648" s="2">
        <v>0</v>
      </c>
      <c r="AH648" s="2">
        <v>4916046.28</v>
      </c>
      <c r="AI648" s="2">
        <v>0.01</v>
      </c>
      <c r="AJ648" s="5">
        <v>44673</v>
      </c>
      <c r="AK648" t="s">
        <v>11780</v>
      </c>
      <c r="AL648" s="2">
        <v>0</v>
      </c>
      <c r="AM648" s="2">
        <v>0</v>
      </c>
      <c r="AN648" s="2">
        <v>0</v>
      </c>
      <c r="AO648" t="s">
        <v>44</v>
      </c>
      <c r="AP648" t="s">
        <v>44</v>
      </c>
      <c r="AQ648" t="s">
        <v>11182</v>
      </c>
    </row>
    <row r="649" spans="1:43" x14ac:dyDescent="0.2">
      <c r="A649" t="s">
        <v>11783</v>
      </c>
      <c r="B649" t="s">
        <v>10900</v>
      </c>
      <c r="C649" t="s">
        <v>11049</v>
      </c>
      <c r="D649" t="s">
        <v>11785</v>
      </c>
      <c r="E649" t="s">
        <v>11786</v>
      </c>
      <c r="F649" t="s">
        <v>11785</v>
      </c>
      <c r="G649" s="1">
        <v>8000000</v>
      </c>
      <c r="H649" s="2">
        <v>8059651.04</v>
      </c>
      <c r="I649" s="2">
        <v>8081708.7199999997</v>
      </c>
      <c r="J649" s="2">
        <v>52195.95</v>
      </c>
      <c r="K649" s="2">
        <v>0</v>
      </c>
      <c r="L649" s="2">
        <v>8133904.6699999999</v>
      </c>
      <c r="M649" s="3">
        <v>4.8216830000000002</v>
      </c>
      <c r="N649" s="4">
        <v>1.8505509999999999E-2</v>
      </c>
      <c r="O649" s="5">
        <v>44732</v>
      </c>
      <c r="P649" s="5">
        <v>44824</v>
      </c>
      <c r="Q649" s="1">
        <v>7.4420000000000002</v>
      </c>
      <c r="R649" s="2">
        <v>0.15</v>
      </c>
      <c r="S649" s="6">
        <v>0.146783072519</v>
      </c>
      <c r="T649" t="s">
        <v>111</v>
      </c>
      <c r="U649" t="s">
        <v>111</v>
      </c>
      <c r="V649" t="s">
        <v>11189</v>
      </c>
      <c r="W649" t="s">
        <v>43</v>
      </c>
      <c r="X649" t="s">
        <v>11034</v>
      </c>
      <c r="Y649" t="s">
        <v>44</v>
      </c>
      <c r="Z649" t="s">
        <v>44</v>
      </c>
      <c r="AA649" t="s">
        <v>10979</v>
      </c>
      <c r="AB649" t="s">
        <v>11441</v>
      </c>
      <c r="AC649" s="4">
        <v>4.87980444</v>
      </c>
      <c r="AD649" s="4">
        <v>4.7739498600000001</v>
      </c>
      <c r="AE649" s="2">
        <v>4.88</v>
      </c>
      <c r="AF649" s="4">
        <v>4.7739498600000001</v>
      </c>
      <c r="AG649" s="2">
        <v>1.23</v>
      </c>
      <c r="AH649" s="2">
        <v>8133904.6699999999</v>
      </c>
      <c r="AI649" s="2">
        <v>0.02</v>
      </c>
      <c r="AJ649" s="5">
        <v>44673</v>
      </c>
      <c r="AK649" t="s">
        <v>11784</v>
      </c>
      <c r="AL649" s="2">
        <v>4.82</v>
      </c>
      <c r="AM649" s="2">
        <v>7.44</v>
      </c>
      <c r="AN649" s="2">
        <v>0.15</v>
      </c>
      <c r="AO649" t="s">
        <v>11054</v>
      </c>
      <c r="AP649" t="s">
        <v>11787</v>
      </c>
      <c r="AQ649" t="s">
        <v>11786</v>
      </c>
    </row>
    <row r="650" spans="1:43" x14ac:dyDescent="0.2">
      <c r="A650" t="s">
        <v>11783</v>
      </c>
      <c r="B650" t="s">
        <v>10900</v>
      </c>
      <c r="C650" t="s">
        <v>11049</v>
      </c>
      <c r="D650" t="s">
        <v>11788</v>
      </c>
      <c r="E650" t="s">
        <v>11789</v>
      </c>
      <c r="F650" t="s">
        <v>11788</v>
      </c>
      <c r="G650" s="1">
        <v>1925000</v>
      </c>
      <c r="H650" s="2">
        <v>1962170.89</v>
      </c>
      <c r="I650" s="2">
        <v>1950756.5</v>
      </c>
      <c r="J650" s="2">
        <v>22071.58</v>
      </c>
      <c r="K650" s="2">
        <v>0</v>
      </c>
      <c r="L650" s="2">
        <v>1972828.08</v>
      </c>
      <c r="M650" s="3">
        <v>6.08</v>
      </c>
      <c r="N650" s="4">
        <v>4.4884E-3</v>
      </c>
      <c r="O650" s="5">
        <v>44804</v>
      </c>
      <c r="P650" s="5">
        <v>44985</v>
      </c>
      <c r="Q650" s="1">
        <v>7.75</v>
      </c>
      <c r="R650" s="2">
        <v>0.83</v>
      </c>
      <c r="S650" s="6">
        <v>0.80485078300000001</v>
      </c>
      <c r="T650" t="s">
        <v>111</v>
      </c>
      <c r="U650" t="s">
        <v>111</v>
      </c>
      <c r="V650" t="s">
        <v>10944</v>
      </c>
      <c r="W650" t="s">
        <v>43</v>
      </c>
      <c r="X650" t="s">
        <v>10988</v>
      </c>
      <c r="Y650" t="s">
        <v>44</v>
      </c>
      <c r="Z650" t="s">
        <v>44</v>
      </c>
      <c r="AA650" t="s">
        <v>10979</v>
      </c>
      <c r="AB650" t="s">
        <v>44</v>
      </c>
      <c r="AC650" s="4">
        <v>6.1724160000000001</v>
      </c>
      <c r="AD650" s="4">
        <v>6.0043873000000003</v>
      </c>
      <c r="AE650" s="2">
        <v>6.17</v>
      </c>
      <c r="AF650" s="4">
        <v>6.0043873000000003</v>
      </c>
      <c r="AG650" s="2">
        <v>0.3</v>
      </c>
      <c r="AH650" s="2">
        <v>1972828.08</v>
      </c>
      <c r="AI650" s="2">
        <v>0</v>
      </c>
      <c r="AJ650" s="5">
        <v>44673</v>
      </c>
      <c r="AK650" t="s">
        <v>11784</v>
      </c>
      <c r="AL650" s="2">
        <v>6.08</v>
      </c>
      <c r="AM650" s="2">
        <v>7.75</v>
      </c>
      <c r="AN650" s="2">
        <v>0.8</v>
      </c>
      <c r="AO650" t="s">
        <v>11054</v>
      </c>
      <c r="AP650" t="s">
        <v>11790</v>
      </c>
      <c r="AQ650" t="s">
        <v>11789</v>
      </c>
    </row>
    <row r="651" spans="1:43" x14ac:dyDescent="0.2">
      <c r="A651" t="s">
        <v>11783</v>
      </c>
      <c r="B651" t="s">
        <v>10900</v>
      </c>
      <c r="C651" t="s">
        <v>11049</v>
      </c>
      <c r="D651" t="s">
        <v>11791</v>
      </c>
      <c r="E651" t="s">
        <v>11792</v>
      </c>
      <c r="F651" t="s">
        <v>11791</v>
      </c>
      <c r="G651" s="1">
        <v>20000000</v>
      </c>
      <c r="H651" s="2">
        <v>20000000</v>
      </c>
      <c r="I651" s="2">
        <v>20231708</v>
      </c>
      <c r="J651" s="2">
        <v>218663.01</v>
      </c>
      <c r="K651" s="2">
        <v>0</v>
      </c>
      <c r="L651" s="2">
        <v>20450371.010000002</v>
      </c>
      <c r="M651" s="3">
        <v>3.91</v>
      </c>
      <c r="N651" s="4">
        <v>4.65268E-2</v>
      </c>
      <c r="O651" s="5">
        <v>44804</v>
      </c>
      <c r="P651" s="5">
        <v>44804</v>
      </c>
      <c r="Q651" s="1">
        <v>7.39</v>
      </c>
      <c r="R651" s="2">
        <v>0.35</v>
      </c>
      <c r="S651" s="6">
        <v>0.345941314</v>
      </c>
      <c r="T651" t="s">
        <v>111</v>
      </c>
      <c r="U651" t="s">
        <v>111</v>
      </c>
      <c r="V651" t="s">
        <v>114</v>
      </c>
      <c r="W651" t="s">
        <v>43</v>
      </c>
      <c r="X651" t="s">
        <v>44</v>
      </c>
      <c r="Y651" t="s">
        <v>44</v>
      </c>
      <c r="Z651" t="s">
        <v>44</v>
      </c>
      <c r="AA651" t="s">
        <v>10913</v>
      </c>
      <c r="AB651" t="s">
        <v>44</v>
      </c>
      <c r="AC651" s="4">
        <v>3.9482202499999999</v>
      </c>
      <c r="AD651" s="4">
        <v>3.8785251199999999</v>
      </c>
      <c r="AE651" s="2">
        <v>3.95</v>
      </c>
      <c r="AF651" s="4">
        <v>3.8785251199999999</v>
      </c>
      <c r="AG651" s="2">
        <v>3.1</v>
      </c>
      <c r="AH651" s="2">
        <v>20450371.010000002</v>
      </c>
      <c r="AI651" s="2">
        <v>0.05</v>
      </c>
      <c r="AJ651" s="5">
        <v>44673</v>
      </c>
      <c r="AK651" t="s">
        <v>11784</v>
      </c>
      <c r="AL651" s="2">
        <v>3.91</v>
      </c>
      <c r="AM651" s="2">
        <v>7.39</v>
      </c>
      <c r="AN651" s="2">
        <v>0.35</v>
      </c>
      <c r="AO651" t="s">
        <v>10922</v>
      </c>
      <c r="AP651" t="s">
        <v>11793</v>
      </c>
      <c r="AQ651" t="s">
        <v>11792</v>
      </c>
    </row>
    <row r="652" spans="1:43" x14ac:dyDescent="0.2">
      <c r="A652" t="s">
        <v>11783</v>
      </c>
      <c r="B652" t="s">
        <v>10900</v>
      </c>
      <c r="C652" t="s">
        <v>11049</v>
      </c>
      <c r="D652" t="s">
        <v>11471</v>
      </c>
      <c r="E652" t="s">
        <v>11472</v>
      </c>
      <c r="F652" t="s">
        <v>11471</v>
      </c>
      <c r="G652" s="1">
        <v>4000000</v>
      </c>
      <c r="H652" s="2">
        <v>3999414.21</v>
      </c>
      <c r="I652" s="2">
        <v>3999698.8</v>
      </c>
      <c r="J652" s="2">
        <v>99747.95</v>
      </c>
      <c r="K652" s="2">
        <v>0</v>
      </c>
      <c r="L652" s="2">
        <v>4099446.75</v>
      </c>
      <c r="M652" s="3">
        <v>7.4</v>
      </c>
      <c r="N652" s="4">
        <v>9.3266800000000004E-3</v>
      </c>
      <c r="O652" s="5">
        <v>44733</v>
      </c>
      <c r="P652" s="5">
        <v>44916</v>
      </c>
      <c r="Q652" s="1">
        <v>7.4</v>
      </c>
      <c r="R652" s="2">
        <v>0.64</v>
      </c>
      <c r="S652" s="6">
        <v>0.61596285799999995</v>
      </c>
      <c r="T652" t="s">
        <v>111</v>
      </c>
      <c r="U652" t="s">
        <v>111</v>
      </c>
      <c r="V652" t="s">
        <v>114</v>
      </c>
      <c r="W652" t="s">
        <v>43</v>
      </c>
      <c r="X652" t="s">
        <v>10988</v>
      </c>
      <c r="Y652" t="s">
        <v>44</v>
      </c>
      <c r="Z652" t="s">
        <v>44</v>
      </c>
      <c r="AA652" t="s">
        <v>10913</v>
      </c>
      <c r="AB652" t="s">
        <v>44</v>
      </c>
      <c r="AC652" s="4">
        <v>7.5369000000000002</v>
      </c>
      <c r="AD652" s="4">
        <v>7.2884304699999998</v>
      </c>
      <c r="AE652" s="2">
        <v>7.54</v>
      </c>
      <c r="AF652" s="4">
        <v>7.2884304699999998</v>
      </c>
      <c r="AG652" s="2">
        <v>0.62</v>
      </c>
      <c r="AH652" s="2">
        <v>4099446.75</v>
      </c>
      <c r="AI652" s="2">
        <v>0.01</v>
      </c>
      <c r="AJ652" s="5">
        <v>44673</v>
      </c>
      <c r="AK652" t="s">
        <v>11784</v>
      </c>
      <c r="AL652" s="2">
        <v>7.4</v>
      </c>
      <c r="AM652" s="2">
        <v>7.4</v>
      </c>
      <c r="AN652" s="2">
        <v>0.62</v>
      </c>
      <c r="AO652" t="s">
        <v>10922</v>
      </c>
      <c r="AP652" t="s">
        <v>11473</v>
      </c>
      <c r="AQ652" t="s">
        <v>11472</v>
      </c>
    </row>
    <row r="653" spans="1:43" x14ac:dyDescent="0.2">
      <c r="A653" t="s">
        <v>11783</v>
      </c>
      <c r="B653" t="s">
        <v>10900</v>
      </c>
      <c r="C653" t="s">
        <v>11049</v>
      </c>
      <c r="D653" t="s">
        <v>11474</v>
      </c>
      <c r="E653" t="s">
        <v>11475</v>
      </c>
      <c r="F653" t="s">
        <v>11474</v>
      </c>
      <c r="G653" s="1">
        <v>4000000</v>
      </c>
      <c r="H653" s="2">
        <v>3998908.32</v>
      </c>
      <c r="I653" s="2">
        <v>3999911.2</v>
      </c>
      <c r="J653" s="2">
        <v>64970.96</v>
      </c>
      <c r="K653" s="2">
        <v>0</v>
      </c>
      <c r="L653" s="2">
        <v>4064882.16</v>
      </c>
      <c r="M653" s="3">
        <v>7.23</v>
      </c>
      <c r="N653" s="4">
        <v>9.2480400000000008E-3</v>
      </c>
      <c r="O653" s="5">
        <v>44773</v>
      </c>
      <c r="P653" s="5">
        <v>44773</v>
      </c>
      <c r="Q653" s="1">
        <v>7.23</v>
      </c>
      <c r="R653" s="2">
        <v>0.27</v>
      </c>
      <c r="S653" s="6">
        <v>0.26074350600000001</v>
      </c>
      <c r="T653" t="s">
        <v>111</v>
      </c>
      <c r="U653" t="s">
        <v>111</v>
      </c>
      <c r="V653" t="s">
        <v>10944</v>
      </c>
      <c r="W653" t="s">
        <v>43</v>
      </c>
      <c r="X653" t="s">
        <v>44</v>
      </c>
      <c r="Y653" t="s">
        <v>44</v>
      </c>
      <c r="Z653" t="s">
        <v>44</v>
      </c>
      <c r="AA653" t="s">
        <v>10913</v>
      </c>
      <c r="AB653" t="s">
        <v>44</v>
      </c>
      <c r="AC653" s="4">
        <v>7.36068225</v>
      </c>
      <c r="AD653" s="4">
        <v>7.1234440000000001</v>
      </c>
      <c r="AE653" s="2">
        <v>7.36</v>
      </c>
      <c r="AF653" s="4">
        <v>7.1234440000000001</v>
      </c>
      <c r="AG653" s="2">
        <v>0.62</v>
      </c>
      <c r="AH653" s="2">
        <v>4064882.16</v>
      </c>
      <c r="AI653" s="2">
        <v>0.01</v>
      </c>
      <c r="AJ653" s="5">
        <v>44673</v>
      </c>
      <c r="AK653" t="s">
        <v>11784</v>
      </c>
      <c r="AL653" s="2">
        <v>7.23</v>
      </c>
      <c r="AM653" s="2">
        <v>7.23</v>
      </c>
      <c r="AN653" s="2">
        <v>0.26</v>
      </c>
      <c r="AO653" t="s">
        <v>10922</v>
      </c>
      <c r="AP653" t="s">
        <v>11476</v>
      </c>
      <c r="AQ653" t="s">
        <v>11475</v>
      </c>
    </row>
    <row r="654" spans="1:43" x14ac:dyDescent="0.2">
      <c r="A654" t="s">
        <v>11783</v>
      </c>
      <c r="B654" t="s">
        <v>10900</v>
      </c>
      <c r="C654" t="s">
        <v>11049</v>
      </c>
      <c r="D654" t="s">
        <v>11794</v>
      </c>
      <c r="E654" t="s">
        <v>11795</v>
      </c>
      <c r="F654" t="s">
        <v>11794</v>
      </c>
      <c r="G654" s="1">
        <v>9400000</v>
      </c>
      <c r="H654" s="2">
        <v>9400566.9199999999</v>
      </c>
      <c r="I654" s="2">
        <v>9401054.4800000004</v>
      </c>
      <c r="J654" s="2">
        <v>119484.56</v>
      </c>
      <c r="K654" s="2">
        <v>0</v>
      </c>
      <c r="L654" s="2">
        <v>9520539.0399999991</v>
      </c>
      <c r="M654" s="3">
        <v>4.7002220000000001</v>
      </c>
      <c r="N654" s="4">
        <v>2.1660249999999999E-2</v>
      </c>
      <c r="O654" s="5">
        <v>44680</v>
      </c>
      <c r="P654" s="5">
        <v>44680</v>
      </c>
      <c r="Q654" s="1">
        <v>5.6580000000000004</v>
      </c>
      <c r="R654" s="2">
        <v>0.01</v>
      </c>
      <c r="S654" s="6">
        <v>1.0461427896999999E-2</v>
      </c>
      <c r="T654" t="s">
        <v>111</v>
      </c>
      <c r="U654" t="s">
        <v>111</v>
      </c>
      <c r="V654" t="s">
        <v>11189</v>
      </c>
      <c r="W654" t="s">
        <v>43</v>
      </c>
      <c r="X654" t="s">
        <v>11034</v>
      </c>
      <c r="Y654" t="s">
        <v>44</v>
      </c>
      <c r="Z654" t="s">
        <v>44</v>
      </c>
      <c r="AA654" t="s">
        <v>44</v>
      </c>
      <c r="AB654" t="s">
        <v>11225</v>
      </c>
      <c r="AC654" s="4">
        <v>4.7554521300000001</v>
      </c>
      <c r="AD654" s="4">
        <v>4.6548469299999997</v>
      </c>
      <c r="AE654" s="2">
        <v>4.76</v>
      </c>
      <c r="AF654" s="4">
        <v>4.6548469299999997</v>
      </c>
      <c r="AG654" s="2">
        <v>1.45</v>
      </c>
      <c r="AH654" s="2">
        <v>9520539.0399999991</v>
      </c>
      <c r="AI654" s="2">
        <v>0.02</v>
      </c>
      <c r="AJ654" s="5">
        <v>44673</v>
      </c>
      <c r="AK654" t="s">
        <v>11784</v>
      </c>
      <c r="AL654" s="2">
        <v>4.7</v>
      </c>
      <c r="AM654" s="2">
        <v>5.66</v>
      </c>
      <c r="AN654" s="2">
        <v>0.01</v>
      </c>
      <c r="AO654" t="s">
        <v>11527</v>
      </c>
      <c r="AP654" t="s">
        <v>11796</v>
      </c>
      <c r="AQ654" t="s">
        <v>11795</v>
      </c>
    </row>
    <row r="655" spans="1:43" x14ac:dyDescent="0.2">
      <c r="A655" t="s">
        <v>11783</v>
      </c>
      <c r="B655" t="s">
        <v>10900</v>
      </c>
      <c r="C655" t="s">
        <v>11049</v>
      </c>
      <c r="D655" t="s">
        <v>11797</v>
      </c>
      <c r="E655" t="s">
        <v>11798</v>
      </c>
      <c r="F655" t="s">
        <v>11797</v>
      </c>
      <c r="G655" s="1">
        <v>3900000</v>
      </c>
      <c r="H655" s="2">
        <v>3900000</v>
      </c>
      <c r="I655" s="2">
        <v>3965194.31</v>
      </c>
      <c r="J655" s="2">
        <v>24125.61</v>
      </c>
      <c r="K655" s="2">
        <v>0</v>
      </c>
      <c r="L655" s="2">
        <v>3989319.92</v>
      </c>
      <c r="M655" s="3">
        <v>5.7687520000000001</v>
      </c>
      <c r="N655" s="4">
        <v>9.07613E-3</v>
      </c>
      <c r="O655" s="5">
        <v>44742</v>
      </c>
      <c r="P655" s="5">
        <v>44834</v>
      </c>
      <c r="Q655" s="1">
        <v>9.8170000000000002</v>
      </c>
      <c r="R655" s="2">
        <v>0.18</v>
      </c>
      <c r="S655" s="6">
        <v>0.17046604942900001</v>
      </c>
      <c r="T655" t="s">
        <v>111</v>
      </c>
      <c r="U655" t="s">
        <v>111</v>
      </c>
      <c r="V655" t="s">
        <v>11189</v>
      </c>
      <c r="W655" t="s">
        <v>43</v>
      </c>
      <c r="X655" t="s">
        <v>11034</v>
      </c>
      <c r="Y655" t="s">
        <v>44</v>
      </c>
      <c r="Z655" t="s">
        <v>44</v>
      </c>
      <c r="AA655" t="s">
        <v>11035</v>
      </c>
      <c r="AB655" t="s">
        <v>2680</v>
      </c>
      <c r="AC655" s="4">
        <v>5.8519482600000003</v>
      </c>
      <c r="AD655" s="4">
        <v>5.7006194399999996</v>
      </c>
      <c r="AE655" s="2">
        <v>5.85</v>
      </c>
      <c r="AF655" s="4">
        <v>5.7006194399999996</v>
      </c>
      <c r="AG655" s="2">
        <v>0.61</v>
      </c>
      <c r="AH655" s="2">
        <v>3989319.92</v>
      </c>
      <c r="AI655" s="2">
        <v>0.01</v>
      </c>
      <c r="AJ655" s="5">
        <v>44673</v>
      </c>
      <c r="AK655" t="s">
        <v>11784</v>
      </c>
      <c r="AL655" s="2">
        <v>5.77</v>
      </c>
      <c r="AM655" s="2">
        <v>9.82</v>
      </c>
      <c r="AN655" s="2">
        <v>0.17</v>
      </c>
      <c r="AO655" t="s">
        <v>11496</v>
      </c>
      <c r="AP655" t="s">
        <v>11799</v>
      </c>
      <c r="AQ655" t="s">
        <v>11798</v>
      </c>
    </row>
    <row r="656" spans="1:43" x14ac:dyDescent="0.2">
      <c r="A656" t="s">
        <v>11783</v>
      </c>
      <c r="B656" t="s">
        <v>10900</v>
      </c>
      <c r="C656" t="s">
        <v>11049</v>
      </c>
      <c r="D656" t="s">
        <v>11494</v>
      </c>
      <c r="E656" t="s">
        <v>11495</v>
      </c>
      <c r="F656" t="s">
        <v>11494</v>
      </c>
      <c r="G656" s="1">
        <v>600000</v>
      </c>
      <c r="H656" s="2">
        <v>605891.59</v>
      </c>
      <c r="I656" s="2">
        <v>609538.15</v>
      </c>
      <c r="J656" s="2">
        <v>8167.82</v>
      </c>
      <c r="K656" s="2">
        <v>0</v>
      </c>
      <c r="L656" s="2">
        <v>617705.97</v>
      </c>
      <c r="M656" s="3">
        <v>5.349933</v>
      </c>
      <c r="N656" s="4">
        <v>1.4053500000000001E-3</v>
      </c>
      <c r="O656" s="5">
        <v>44694</v>
      </c>
      <c r="P656" s="5">
        <v>44970</v>
      </c>
      <c r="Q656" s="1">
        <v>7.3070000000000004</v>
      </c>
      <c r="R656" s="2">
        <v>0.05</v>
      </c>
      <c r="S656" s="6">
        <v>4.8092249657999998E-2</v>
      </c>
      <c r="T656" t="s">
        <v>111</v>
      </c>
      <c r="U656" t="s">
        <v>111</v>
      </c>
      <c r="V656" t="s">
        <v>11189</v>
      </c>
      <c r="W656" t="s">
        <v>43</v>
      </c>
      <c r="X656" t="s">
        <v>11034</v>
      </c>
      <c r="Y656" t="s">
        <v>44</v>
      </c>
      <c r="Z656" t="s">
        <v>44</v>
      </c>
      <c r="AA656" t="s">
        <v>11035</v>
      </c>
      <c r="AB656" t="s">
        <v>44</v>
      </c>
      <c r="AC656" s="4">
        <v>5.4214878100000004</v>
      </c>
      <c r="AD656" s="4">
        <v>5.2912612699999997</v>
      </c>
      <c r="AE656" s="2">
        <v>5.42</v>
      </c>
      <c r="AF656" s="4">
        <v>5.2912612699999997</v>
      </c>
      <c r="AG656" s="2">
        <v>0.09</v>
      </c>
      <c r="AH656" s="2">
        <v>617705.97</v>
      </c>
      <c r="AI656" s="2">
        <v>0</v>
      </c>
      <c r="AJ656" s="5">
        <v>44673</v>
      </c>
      <c r="AK656" t="s">
        <v>11784</v>
      </c>
      <c r="AL656" s="2">
        <v>5.35</v>
      </c>
      <c r="AM656" s="2">
        <v>7.31</v>
      </c>
      <c r="AN656" s="2">
        <v>0.05</v>
      </c>
      <c r="AO656" t="s">
        <v>11496</v>
      </c>
      <c r="AP656" t="s">
        <v>11497</v>
      </c>
      <c r="AQ656" t="s">
        <v>11495</v>
      </c>
    </row>
    <row r="657" spans="1:43" x14ac:dyDescent="0.2">
      <c r="A657" t="s">
        <v>11783</v>
      </c>
      <c r="B657" t="s">
        <v>10900</v>
      </c>
      <c r="C657" t="s">
        <v>11049</v>
      </c>
      <c r="D657" t="s">
        <v>11800</v>
      </c>
      <c r="E657" t="s">
        <v>11801</v>
      </c>
      <c r="F657" t="s">
        <v>11800</v>
      </c>
      <c r="G657" s="1">
        <v>14000000</v>
      </c>
      <c r="H657" s="2">
        <v>14000000</v>
      </c>
      <c r="I657" s="2">
        <v>13999577.199999999</v>
      </c>
      <c r="J657" s="2">
        <v>232745.21</v>
      </c>
      <c r="K657" s="2">
        <v>0</v>
      </c>
      <c r="L657" s="2">
        <v>14232322.41</v>
      </c>
      <c r="M657" s="3">
        <v>7.4</v>
      </c>
      <c r="N657" s="4">
        <v>3.2380069999999997E-2</v>
      </c>
      <c r="O657" s="5">
        <v>44592</v>
      </c>
      <c r="P657" s="5">
        <v>44773</v>
      </c>
      <c r="Q657" s="1">
        <v>7.4</v>
      </c>
      <c r="R657" s="2">
        <v>0.27</v>
      </c>
      <c r="S657" s="6">
        <v>0.26062797900000001</v>
      </c>
      <c r="T657" t="s">
        <v>111</v>
      </c>
      <c r="U657" t="s">
        <v>111</v>
      </c>
      <c r="V657" t="s">
        <v>114</v>
      </c>
      <c r="W657" t="s">
        <v>43</v>
      </c>
      <c r="X657" t="s">
        <v>10988</v>
      </c>
      <c r="Y657" t="s">
        <v>44</v>
      </c>
      <c r="Z657" t="s">
        <v>44</v>
      </c>
      <c r="AA657" t="s">
        <v>10913</v>
      </c>
      <c r="AB657" t="s">
        <v>44</v>
      </c>
      <c r="AC657" s="4">
        <v>7.5369000000000002</v>
      </c>
      <c r="AD657" s="4">
        <v>7.2884304699999998</v>
      </c>
      <c r="AE657" s="2">
        <v>7.54</v>
      </c>
      <c r="AF657" s="4">
        <v>7.2884304699999998</v>
      </c>
      <c r="AG657" s="2">
        <v>2.16</v>
      </c>
      <c r="AH657" s="2">
        <v>14232322.41</v>
      </c>
      <c r="AI657" s="2">
        <v>0.03</v>
      </c>
      <c r="AJ657" s="5">
        <v>44673</v>
      </c>
      <c r="AK657" t="s">
        <v>11784</v>
      </c>
      <c r="AL657" s="2">
        <v>7.4</v>
      </c>
      <c r="AM657" s="2">
        <v>7.4</v>
      </c>
      <c r="AN657" s="2">
        <v>0.26</v>
      </c>
      <c r="AO657" t="s">
        <v>10922</v>
      </c>
      <c r="AP657" t="s">
        <v>11802</v>
      </c>
      <c r="AQ657" t="s">
        <v>11801</v>
      </c>
    </row>
    <row r="658" spans="1:43" x14ac:dyDescent="0.2">
      <c r="A658" t="s">
        <v>11783</v>
      </c>
      <c r="B658" t="s">
        <v>10900</v>
      </c>
      <c r="C658" t="s">
        <v>11033</v>
      </c>
      <c r="D658" t="s">
        <v>11803</v>
      </c>
      <c r="E658" t="s">
        <v>11804</v>
      </c>
      <c r="F658" t="s">
        <v>11803</v>
      </c>
      <c r="G658" s="1">
        <v>20300000</v>
      </c>
      <c r="H658" s="2">
        <v>20459616.73</v>
      </c>
      <c r="I658" s="2">
        <v>20541447.16</v>
      </c>
      <c r="J658" s="2">
        <v>200229.19</v>
      </c>
      <c r="K658" s="2">
        <v>0</v>
      </c>
      <c r="L658" s="2">
        <v>20741676.350000001</v>
      </c>
      <c r="M658" s="3">
        <v>5.9316740000000001</v>
      </c>
      <c r="N658" s="4">
        <v>4.7189549999999997E-2</v>
      </c>
      <c r="O658" s="5">
        <v>44711</v>
      </c>
      <c r="P658" s="5">
        <v>45259</v>
      </c>
      <c r="Q658" s="1">
        <v>6.6669999999999998</v>
      </c>
      <c r="R658" s="2">
        <v>0.1</v>
      </c>
      <c r="S658" s="6">
        <v>8.3360787894999996E-2</v>
      </c>
      <c r="T658" t="s">
        <v>111</v>
      </c>
      <c r="U658" t="s">
        <v>111</v>
      </c>
      <c r="V658" t="s">
        <v>11189</v>
      </c>
      <c r="W658" t="s">
        <v>43</v>
      </c>
      <c r="X658" t="s">
        <v>11034</v>
      </c>
      <c r="Y658" t="s">
        <v>44</v>
      </c>
      <c r="Z658" t="s">
        <v>44</v>
      </c>
      <c r="AA658" t="s">
        <v>10979</v>
      </c>
      <c r="AB658" t="s">
        <v>44</v>
      </c>
      <c r="AC658" s="4">
        <v>6.0196354200000002</v>
      </c>
      <c r="AD658" s="4">
        <v>5.8596732400000002</v>
      </c>
      <c r="AE658" s="2">
        <v>6.02</v>
      </c>
      <c r="AF658" s="4">
        <v>5.8596732400000002</v>
      </c>
      <c r="AG658" s="2">
        <v>3.15</v>
      </c>
      <c r="AH658" s="2">
        <v>20741676.350000001</v>
      </c>
      <c r="AI658" s="2">
        <v>0.05</v>
      </c>
      <c r="AJ658" s="5">
        <v>44673</v>
      </c>
      <c r="AK658" t="s">
        <v>11784</v>
      </c>
      <c r="AL658" s="2">
        <v>5.93</v>
      </c>
      <c r="AM658" s="2">
        <v>6.67</v>
      </c>
      <c r="AN658" s="2">
        <v>0.08</v>
      </c>
      <c r="AO658" t="s">
        <v>11165</v>
      </c>
      <c r="AP658" t="s">
        <v>11805</v>
      </c>
      <c r="AQ658" t="s">
        <v>11804</v>
      </c>
    </row>
    <row r="659" spans="1:43" x14ac:dyDescent="0.2">
      <c r="A659" t="s">
        <v>11783</v>
      </c>
      <c r="B659" t="s">
        <v>10900</v>
      </c>
      <c r="C659" t="s">
        <v>11033</v>
      </c>
      <c r="D659" t="s">
        <v>11806</v>
      </c>
      <c r="E659" t="s">
        <v>11807</v>
      </c>
      <c r="F659" t="s">
        <v>11806</v>
      </c>
      <c r="G659" s="1">
        <v>5300000</v>
      </c>
      <c r="H659" s="2">
        <v>5300000</v>
      </c>
      <c r="I659" s="2">
        <v>5362631.0599999996</v>
      </c>
      <c r="J659" s="2">
        <v>11819.15</v>
      </c>
      <c r="K659" s="2">
        <v>0</v>
      </c>
      <c r="L659" s="2">
        <v>5374450.21</v>
      </c>
      <c r="M659" s="3">
        <v>6.0434890000000001</v>
      </c>
      <c r="N659" s="4">
        <v>1.2227450000000001E-2</v>
      </c>
      <c r="O659" s="5">
        <v>44753</v>
      </c>
      <c r="P659" s="5">
        <v>45393</v>
      </c>
      <c r="Q659" s="1">
        <v>6.7830000000000004</v>
      </c>
      <c r="R659" s="2">
        <v>0.21</v>
      </c>
      <c r="S659" s="6">
        <v>0.19079709986500001</v>
      </c>
      <c r="T659" t="s">
        <v>111</v>
      </c>
      <c r="U659" t="s">
        <v>111</v>
      </c>
      <c r="V659" t="s">
        <v>11189</v>
      </c>
      <c r="W659" t="s">
        <v>43</v>
      </c>
      <c r="X659" t="s">
        <v>11034</v>
      </c>
      <c r="Y659" t="s">
        <v>44</v>
      </c>
      <c r="Z659" t="s">
        <v>44</v>
      </c>
      <c r="AA659" t="s">
        <v>10979</v>
      </c>
      <c r="AB659" t="s">
        <v>44</v>
      </c>
      <c r="AC659" s="4">
        <v>6.1347979300000004</v>
      </c>
      <c r="AD659" s="4">
        <v>5.9687731099999999</v>
      </c>
      <c r="AE659" s="2">
        <v>6.13</v>
      </c>
      <c r="AF659" s="4">
        <v>5.9687731099999999</v>
      </c>
      <c r="AG659" s="2">
        <v>0.82</v>
      </c>
      <c r="AH659" s="2">
        <v>5374450.21</v>
      </c>
      <c r="AI659" s="2">
        <v>0.01</v>
      </c>
      <c r="AJ659" s="5">
        <v>44673</v>
      </c>
      <c r="AK659" t="s">
        <v>11784</v>
      </c>
      <c r="AL659" s="2">
        <v>6.04</v>
      </c>
      <c r="AM659" s="2">
        <v>6.78</v>
      </c>
      <c r="AN659" s="2">
        <v>0.19</v>
      </c>
      <c r="AO659" t="s">
        <v>11165</v>
      </c>
      <c r="AP659" t="s">
        <v>11808</v>
      </c>
      <c r="AQ659" t="s">
        <v>11807</v>
      </c>
    </row>
    <row r="660" spans="1:43" x14ac:dyDescent="0.2">
      <c r="A660" t="s">
        <v>11783</v>
      </c>
      <c r="B660" t="s">
        <v>10900</v>
      </c>
      <c r="C660" t="s">
        <v>11033</v>
      </c>
      <c r="D660" t="s">
        <v>11501</v>
      </c>
      <c r="E660" t="s">
        <v>11502</v>
      </c>
      <c r="F660" t="s">
        <v>11501</v>
      </c>
      <c r="G660" s="1">
        <v>9000000</v>
      </c>
      <c r="H660" s="2">
        <v>9009856.9499999993</v>
      </c>
      <c r="I660" s="2">
        <v>9018013.7799999993</v>
      </c>
      <c r="J660" s="2">
        <v>32352.66</v>
      </c>
      <c r="K660" s="2">
        <v>0</v>
      </c>
      <c r="L660" s="2">
        <v>9050366.4399999995</v>
      </c>
      <c r="M660" s="3">
        <v>5.2487519999999996</v>
      </c>
      <c r="N660" s="4">
        <v>2.0590560000000001E-2</v>
      </c>
      <c r="O660" s="5">
        <v>44742</v>
      </c>
      <c r="P660" s="5">
        <v>45383</v>
      </c>
      <c r="Q660" s="1">
        <v>5.4669999999999996</v>
      </c>
      <c r="R660" s="2">
        <v>0.18</v>
      </c>
      <c r="S660" s="6">
        <v>0.16209118744199999</v>
      </c>
      <c r="T660" t="s">
        <v>111</v>
      </c>
      <c r="U660" t="s">
        <v>111</v>
      </c>
      <c r="V660" t="s">
        <v>11189</v>
      </c>
      <c r="W660" t="s">
        <v>43</v>
      </c>
      <c r="X660" t="s">
        <v>11034</v>
      </c>
      <c r="Y660" t="s">
        <v>44</v>
      </c>
      <c r="Z660" t="s">
        <v>44</v>
      </c>
      <c r="AA660" t="s">
        <v>10979</v>
      </c>
      <c r="AB660" t="s">
        <v>44</v>
      </c>
      <c r="AC660" s="4">
        <v>5.3176255100000001</v>
      </c>
      <c r="AD660" s="4">
        <v>5.1922611500000002</v>
      </c>
      <c r="AE660" s="2">
        <v>5.32</v>
      </c>
      <c r="AF660" s="4">
        <v>5.1922611500000002</v>
      </c>
      <c r="AG660" s="2">
        <v>1.37</v>
      </c>
      <c r="AH660" s="2">
        <v>9050366.4399999995</v>
      </c>
      <c r="AI660" s="2">
        <v>0.02</v>
      </c>
      <c r="AJ660" s="5">
        <v>44673</v>
      </c>
      <c r="AK660" t="s">
        <v>11784</v>
      </c>
      <c r="AL660" s="2">
        <v>5.25</v>
      </c>
      <c r="AM660" s="2">
        <v>5.47</v>
      </c>
      <c r="AN660" s="2">
        <v>0.16</v>
      </c>
      <c r="AO660" t="s">
        <v>11165</v>
      </c>
      <c r="AP660" t="s">
        <v>11503</v>
      </c>
      <c r="AQ660" t="s">
        <v>11502</v>
      </c>
    </row>
    <row r="661" spans="1:43" x14ac:dyDescent="0.2">
      <c r="A661" t="s">
        <v>11783</v>
      </c>
      <c r="B661" t="s">
        <v>10900</v>
      </c>
      <c r="C661" t="s">
        <v>11033</v>
      </c>
      <c r="D661" t="s">
        <v>11809</v>
      </c>
      <c r="E661" t="s">
        <v>11810</v>
      </c>
      <c r="F661" t="s">
        <v>11809</v>
      </c>
      <c r="G661" s="1">
        <v>2000000</v>
      </c>
      <c r="H661" s="2">
        <v>2015961.75</v>
      </c>
      <c r="I661" s="2">
        <v>2029738.35</v>
      </c>
      <c r="J661" s="2">
        <v>20395.73</v>
      </c>
      <c r="K661" s="2">
        <v>0</v>
      </c>
      <c r="L661" s="2">
        <v>2050134.08</v>
      </c>
      <c r="M661" s="3">
        <v>5.5530569999999999</v>
      </c>
      <c r="N661" s="4">
        <v>4.6642799999999998E-3</v>
      </c>
      <c r="O661" s="5">
        <v>44704</v>
      </c>
      <c r="P661" s="5">
        <v>45617</v>
      </c>
      <c r="Q661" s="1">
        <v>6.1020000000000003</v>
      </c>
      <c r="R661" s="2">
        <v>0.08</v>
      </c>
      <c r="S661" s="6">
        <v>7.0564055134000006E-2</v>
      </c>
      <c r="T661" t="s">
        <v>111</v>
      </c>
      <c r="U661" t="s">
        <v>111</v>
      </c>
      <c r="V661" t="s">
        <v>11189</v>
      </c>
      <c r="W661" t="s">
        <v>43</v>
      </c>
      <c r="X661" t="s">
        <v>11034</v>
      </c>
      <c r="Y661" t="s">
        <v>44</v>
      </c>
      <c r="Z661" t="s">
        <v>44</v>
      </c>
      <c r="AA661" t="s">
        <v>11441</v>
      </c>
      <c r="AB661" t="s">
        <v>44</v>
      </c>
      <c r="AC661" s="4">
        <v>5.63014803</v>
      </c>
      <c r="AD661" s="4">
        <v>5.4898834000000001</v>
      </c>
      <c r="AE661" s="2">
        <v>5.63</v>
      </c>
      <c r="AF661" s="4">
        <v>5.4898834000000001</v>
      </c>
      <c r="AG661" s="2">
        <v>0.31</v>
      </c>
      <c r="AH661" s="2">
        <v>2050134.08</v>
      </c>
      <c r="AI661" s="2">
        <v>0</v>
      </c>
      <c r="AJ661" s="5">
        <v>44673</v>
      </c>
      <c r="AK661" t="s">
        <v>11784</v>
      </c>
      <c r="AL661" s="2">
        <v>5.55</v>
      </c>
      <c r="AM661" s="2">
        <v>6.1</v>
      </c>
      <c r="AN661" s="2">
        <v>7.0000000000000007E-2</v>
      </c>
      <c r="AO661" t="s">
        <v>11520</v>
      </c>
      <c r="AP661" t="s">
        <v>11811</v>
      </c>
      <c r="AQ661" t="s">
        <v>11810</v>
      </c>
    </row>
    <row r="662" spans="1:43" x14ac:dyDescent="0.2">
      <c r="A662" t="s">
        <v>11783</v>
      </c>
      <c r="B662" t="s">
        <v>10900</v>
      </c>
      <c r="C662" t="s">
        <v>11033</v>
      </c>
      <c r="D662" t="s">
        <v>11518</v>
      </c>
      <c r="E662" t="s">
        <v>11519</v>
      </c>
      <c r="F662" t="s">
        <v>11518</v>
      </c>
      <c r="G662" s="1">
        <v>4100000</v>
      </c>
      <c r="H662" s="2">
        <v>4100000</v>
      </c>
      <c r="I662" s="2">
        <v>4113008.85</v>
      </c>
      <c r="J662" s="2">
        <v>42770.53</v>
      </c>
      <c r="K662" s="2">
        <v>0</v>
      </c>
      <c r="L662" s="2">
        <v>4155779.38</v>
      </c>
      <c r="M662" s="3">
        <v>6.0730570000000004</v>
      </c>
      <c r="N662" s="4">
        <v>9.4548500000000008E-3</v>
      </c>
      <c r="O662" s="5">
        <v>44704</v>
      </c>
      <c r="P662" s="5">
        <v>45159</v>
      </c>
      <c r="Q662" s="1">
        <v>6.242</v>
      </c>
      <c r="R662" s="2">
        <v>0.08</v>
      </c>
      <c r="S662" s="6">
        <v>5.9720457003999999E-2</v>
      </c>
      <c r="T662" t="s">
        <v>111</v>
      </c>
      <c r="U662" t="s">
        <v>111</v>
      </c>
      <c r="V662" t="s">
        <v>11189</v>
      </c>
      <c r="W662" t="s">
        <v>43</v>
      </c>
      <c r="X662" t="s">
        <v>11034</v>
      </c>
      <c r="Y662" t="s">
        <v>44</v>
      </c>
      <c r="Z662" t="s">
        <v>44</v>
      </c>
      <c r="AA662" t="s">
        <v>11441</v>
      </c>
      <c r="AB662" t="s">
        <v>44</v>
      </c>
      <c r="AC662" s="4">
        <v>6.1652619800000004</v>
      </c>
      <c r="AD662" s="4">
        <v>5.9976152599999999</v>
      </c>
      <c r="AE662" s="2">
        <v>6.17</v>
      </c>
      <c r="AF662" s="4">
        <v>5.9976152599999999</v>
      </c>
      <c r="AG662" s="2">
        <v>0.63</v>
      </c>
      <c r="AH662" s="2">
        <v>4155779.38</v>
      </c>
      <c r="AI662" s="2">
        <v>0.01</v>
      </c>
      <c r="AJ662" s="5">
        <v>44673</v>
      </c>
      <c r="AK662" t="s">
        <v>11784</v>
      </c>
      <c r="AL662" s="2">
        <v>6.07</v>
      </c>
      <c r="AM662" s="2">
        <v>6.24</v>
      </c>
      <c r="AN662" s="2">
        <v>0.06</v>
      </c>
      <c r="AO662" t="s">
        <v>11520</v>
      </c>
      <c r="AP662" t="s">
        <v>11521</v>
      </c>
      <c r="AQ662" t="s">
        <v>11519</v>
      </c>
    </row>
    <row r="663" spans="1:43" x14ac:dyDescent="0.2">
      <c r="A663" t="s">
        <v>11783</v>
      </c>
      <c r="B663" t="s">
        <v>10900</v>
      </c>
      <c r="C663" t="s">
        <v>11033</v>
      </c>
      <c r="D663" t="s">
        <v>11059</v>
      </c>
      <c r="E663" t="s">
        <v>11060</v>
      </c>
      <c r="F663" t="s">
        <v>11059</v>
      </c>
      <c r="G663" s="1">
        <v>1089000</v>
      </c>
      <c r="H663" s="2">
        <v>1179965.92</v>
      </c>
      <c r="I663" s="2">
        <v>1166815.26</v>
      </c>
      <c r="J663" s="2">
        <v>42978.21</v>
      </c>
      <c r="K663" s="2">
        <v>0</v>
      </c>
      <c r="L663" s="2">
        <v>1209793.47</v>
      </c>
      <c r="M663" s="3">
        <v>7.69</v>
      </c>
      <c r="N663" s="4">
        <v>2.7524099999999998E-3</v>
      </c>
      <c r="O663" s="5">
        <v>44722</v>
      </c>
      <c r="P663" s="5">
        <v>45636</v>
      </c>
      <c r="Q663" s="1">
        <v>10.75</v>
      </c>
      <c r="R663" s="2">
        <v>2.2799999999999998</v>
      </c>
      <c r="S663" s="6">
        <v>2.1998010890000002</v>
      </c>
      <c r="T663" t="s">
        <v>111</v>
      </c>
      <c r="U663" t="s">
        <v>111</v>
      </c>
      <c r="V663" t="s">
        <v>10944</v>
      </c>
      <c r="W663" t="s">
        <v>43</v>
      </c>
      <c r="X663" t="s">
        <v>10988</v>
      </c>
      <c r="Y663" t="s">
        <v>44</v>
      </c>
      <c r="Z663" t="s">
        <v>44</v>
      </c>
      <c r="AA663" t="s">
        <v>10979</v>
      </c>
      <c r="AB663" t="s">
        <v>44</v>
      </c>
      <c r="AC663" s="4">
        <v>7.8378402500000002</v>
      </c>
      <c r="AD663" s="4">
        <v>7.5696180699999998</v>
      </c>
      <c r="AE663" s="2">
        <v>7.84</v>
      </c>
      <c r="AF663" s="4">
        <v>7.5696180699999998</v>
      </c>
      <c r="AG663" s="2">
        <v>0.18</v>
      </c>
      <c r="AH663" s="2">
        <v>1209793.47</v>
      </c>
      <c r="AI663" s="2">
        <v>0</v>
      </c>
      <c r="AJ663" s="5">
        <v>44673</v>
      </c>
      <c r="AK663" t="s">
        <v>11784</v>
      </c>
      <c r="AL663" s="2">
        <v>7.69</v>
      </c>
      <c r="AM663" s="2">
        <v>10.75</v>
      </c>
      <c r="AN663" s="2">
        <v>2.2000000000000002</v>
      </c>
      <c r="AO663" t="s">
        <v>11054</v>
      </c>
      <c r="AP663" t="s">
        <v>11061</v>
      </c>
      <c r="AQ663" t="s">
        <v>11060</v>
      </c>
    </row>
    <row r="664" spans="1:43" x14ac:dyDescent="0.2">
      <c r="A664" t="s">
        <v>11783</v>
      </c>
      <c r="B664" t="s">
        <v>10900</v>
      </c>
      <c r="C664" t="s">
        <v>11033</v>
      </c>
      <c r="D664" t="s">
        <v>11812</v>
      </c>
      <c r="E664" t="s">
        <v>11813</v>
      </c>
      <c r="F664" t="s">
        <v>11812</v>
      </c>
      <c r="G664" s="1">
        <v>305000</v>
      </c>
      <c r="H664" s="2">
        <v>3654905.58</v>
      </c>
      <c r="I664" s="2">
        <v>4833520.18</v>
      </c>
      <c r="J664" s="2">
        <v>147167.62</v>
      </c>
      <c r="K664" s="2">
        <v>0</v>
      </c>
      <c r="L664" s="2">
        <v>4980687.8</v>
      </c>
      <c r="M664" s="3"/>
      <c r="N664" s="4">
        <v>1.1331600000000001E-2</v>
      </c>
      <c r="O664" s="5">
        <v>44676</v>
      </c>
      <c r="P664" s="5">
        <v>45039</v>
      </c>
      <c r="Q664" s="1">
        <v>6.25</v>
      </c>
      <c r="R664" s="2">
        <v>2.71</v>
      </c>
      <c r="S664" s="6">
        <v>2.63</v>
      </c>
      <c r="T664" t="s">
        <v>111</v>
      </c>
      <c r="U664" t="s">
        <v>111</v>
      </c>
      <c r="V664" t="s">
        <v>10944</v>
      </c>
      <c r="W664" t="s">
        <v>113</v>
      </c>
      <c r="X664" t="s">
        <v>44</v>
      </c>
      <c r="Y664" t="s">
        <v>44</v>
      </c>
      <c r="Z664" t="s">
        <v>44</v>
      </c>
      <c r="AA664" t="s">
        <v>10979</v>
      </c>
      <c r="AB664" t="s">
        <v>11465</v>
      </c>
      <c r="AC664" s="4"/>
      <c r="AD664" s="4"/>
      <c r="AE664" s="2">
        <v>0</v>
      </c>
      <c r="AF664" s="4">
        <v>0</v>
      </c>
      <c r="AG664" s="2">
        <v>0.76</v>
      </c>
      <c r="AH664" s="2">
        <v>4980687.8</v>
      </c>
      <c r="AI664" s="2">
        <v>0.01</v>
      </c>
      <c r="AJ664" s="5">
        <v>44673</v>
      </c>
      <c r="AK664" t="s">
        <v>11784</v>
      </c>
      <c r="AL664" s="2">
        <v>0</v>
      </c>
      <c r="AM664" s="2">
        <v>6.25</v>
      </c>
      <c r="AN664" s="2">
        <v>2.63</v>
      </c>
      <c r="AO664" t="s">
        <v>11054</v>
      </c>
      <c r="AP664" t="s">
        <v>11814</v>
      </c>
      <c r="AQ664" t="s">
        <v>11813</v>
      </c>
    </row>
    <row r="665" spans="1:43" x14ac:dyDescent="0.2">
      <c r="A665" t="s">
        <v>11783</v>
      </c>
      <c r="B665" t="s">
        <v>10900</v>
      </c>
      <c r="C665" t="s">
        <v>11033</v>
      </c>
      <c r="D665" t="s">
        <v>11815</v>
      </c>
      <c r="E665" t="s">
        <v>11816</v>
      </c>
      <c r="F665" t="s">
        <v>11815</v>
      </c>
      <c r="G665" s="1">
        <v>2500000</v>
      </c>
      <c r="H665" s="2">
        <v>2500000</v>
      </c>
      <c r="I665" s="2">
        <v>2499867.0299999998</v>
      </c>
      <c r="J665" s="2">
        <v>27841.71</v>
      </c>
      <c r="K665" s="2">
        <v>0</v>
      </c>
      <c r="L665" s="2">
        <v>2527708.7400000002</v>
      </c>
      <c r="M665" s="3">
        <v>6.1638650000000004</v>
      </c>
      <c r="N665" s="4">
        <v>5.7508100000000003E-3</v>
      </c>
      <c r="O665" s="5">
        <v>44697</v>
      </c>
      <c r="P665" s="5">
        <v>45519</v>
      </c>
      <c r="Q665" s="1">
        <v>6.0670000000000002</v>
      </c>
      <c r="R665" s="2">
        <v>0.06</v>
      </c>
      <c r="S665" s="6">
        <v>2.7386669091000002E-2</v>
      </c>
      <c r="T665" t="s">
        <v>111</v>
      </c>
      <c r="U665" t="s">
        <v>111</v>
      </c>
      <c r="V665" t="s">
        <v>11189</v>
      </c>
      <c r="W665" t="s">
        <v>43</v>
      </c>
      <c r="X665" t="s">
        <v>11034</v>
      </c>
      <c r="Y665" t="s">
        <v>44</v>
      </c>
      <c r="Z665" t="s">
        <v>44</v>
      </c>
      <c r="AA665" t="s">
        <v>11225</v>
      </c>
      <c r="AB665" t="s">
        <v>44</v>
      </c>
      <c r="AC665" s="4">
        <v>6.2588480500000001</v>
      </c>
      <c r="AD665" s="4">
        <v>6.0861713799999997</v>
      </c>
      <c r="AE665" s="2">
        <v>6.26</v>
      </c>
      <c r="AF665" s="4">
        <v>6.0861713799999997</v>
      </c>
      <c r="AG665" s="2">
        <v>0.38</v>
      </c>
      <c r="AH665" s="2">
        <v>2527708.7400000002</v>
      </c>
      <c r="AI665" s="2">
        <v>0.01</v>
      </c>
      <c r="AJ665" s="5">
        <v>44673</v>
      </c>
      <c r="AK665" t="s">
        <v>11784</v>
      </c>
      <c r="AL665" s="2">
        <v>6.16</v>
      </c>
      <c r="AM665" s="2">
        <v>6.07</v>
      </c>
      <c r="AN665" s="2">
        <v>0.03</v>
      </c>
      <c r="AO665" t="s">
        <v>11817</v>
      </c>
      <c r="AP665" t="s">
        <v>11818</v>
      </c>
      <c r="AQ665" t="s">
        <v>11816</v>
      </c>
    </row>
    <row r="666" spans="1:43" x14ac:dyDescent="0.2">
      <c r="A666" t="s">
        <v>11783</v>
      </c>
      <c r="B666" t="s">
        <v>10900</v>
      </c>
      <c r="C666" t="s">
        <v>11033</v>
      </c>
      <c r="D666" t="s">
        <v>11819</v>
      </c>
      <c r="E666" t="s">
        <v>11820</v>
      </c>
      <c r="F666" t="s">
        <v>11819</v>
      </c>
      <c r="G666" s="1">
        <v>4000000</v>
      </c>
      <c r="H666" s="2">
        <v>3998174.04</v>
      </c>
      <c r="I666" s="2">
        <v>4002507.36</v>
      </c>
      <c r="J666" s="2">
        <v>16574.47</v>
      </c>
      <c r="K666" s="2">
        <v>0</v>
      </c>
      <c r="L666" s="2">
        <v>4019081.83</v>
      </c>
      <c r="M666" s="3">
        <v>5.6743709999999998</v>
      </c>
      <c r="N666" s="4">
        <v>9.1438400000000003E-3</v>
      </c>
      <c r="O666" s="5">
        <v>44739</v>
      </c>
      <c r="P666" s="5">
        <v>45470</v>
      </c>
      <c r="Q666" s="1">
        <v>5.8170000000000002</v>
      </c>
      <c r="R666" s="2">
        <v>0.17</v>
      </c>
      <c r="S666" s="6">
        <v>0.145695338009</v>
      </c>
      <c r="T666" t="s">
        <v>111</v>
      </c>
      <c r="U666" t="s">
        <v>111</v>
      </c>
      <c r="V666" t="s">
        <v>11189</v>
      </c>
      <c r="W666" t="s">
        <v>43</v>
      </c>
      <c r="X666" t="s">
        <v>11034</v>
      </c>
      <c r="Y666" t="s">
        <v>44</v>
      </c>
      <c r="Z666" t="s">
        <v>44</v>
      </c>
      <c r="AA666" t="s">
        <v>10913</v>
      </c>
      <c r="AB666" t="s">
        <v>44</v>
      </c>
      <c r="AC666" s="4">
        <v>5.7548670399999997</v>
      </c>
      <c r="AD666" s="4">
        <v>5.6084308399999996</v>
      </c>
      <c r="AE666" s="2">
        <v>5.75</v>
      </c>
      <c r="AF666" s="4">
        <v>5.6084308399999996</v>
      </c>
      <c r="AG666" s="2">
        <v>0.61</v>
      </c>
      <c r="AH666" s="2">
        <v>4019081.83</v>
      </c>
      <c r="AI666" s="2">
        <v>0.01</v>
      </c>
      <c r="AJ666" s="5">
        <v>44673</v>
      </c>
      <c r="AK666" t="s">
        <v>11784</v>
      </c>
      <c r="AL666" s="2">
        <v>5.67</v>
      </c>
      <c r="AM666" s="2">
        <v>5.82</v>
      </c>
      <c r="AN666" s="2">
        <v>0.15</v>
      </c>
      <c r="AO666" t="s">
        <v>11563</v>
      </c>
      <c r="AP666" t="s">
        <v>11821</v>
      </c>
      <c r="AQ666" t="s">
        <v>11820</v>
      </c>
    </row>
    <row r="667" spans="1:43" x14ac:dyDescent="0.2">
      <c r="A667" t="s">
        <v>11783</v>
      </c>
      <c r="B667" t="s">
        <v>10900</v>
      </c>
      <c r="C667" t="s">
        <v>11033</v>
      </c>
      <c r="D667" t="s">
        <v>11822</v>
      </c>
      <c r="E667" t="s">
        <v>11823</v>
      </c>
      <c r="F667" t="s">
        <v>11822</v>
      </c>
      <c r="G667" s="1">
        <v>6100000</v>
      </c>
      <c r="H667" s="2">
        <v>6107364.6399999997</v>
      </c>
      <c r="I667" s="2">
        <v>6052840.5700000003</v>
      </c>
      <c r="J667" s="2">
        <v>66674.84</v>
      </c>
      <c r="K667" s="2">
        <v>0</v>
      </c>
      <c r="L667" s="2">
        <v>6119515.4100000001</v>
      </c>
      <c r="M667" s="3">
        <v>6.4745299999999997</v>
      </c>
      <c r="N667" s="4">
        <v>1.392256E-2</v>
      </c>
      <c r="O667" s="5">
        <v>44693</v>
      </c>
      <c r="P667" s="5">
        <v>45242</v>
      </c>
      <c r="Q667" s="1">
        <v>5.867</v>
      </c>
      <c r="R667" s="2">
        <v>0.05</v>
      </c>
      <c r="S667" s="6">
        <v>1.5942423563000001E-2</v>
      </c>
      <c r="T667" t="s">
        <v>111</v>
      </c>
      <c r="U667" t="s">
        <v>111</v>
      </c>
      <c r="V667" t="s">
        <v>11189</v>
      </c>
      <c r="W667" t="s">
        <v>43</v>
      </c>
      <c r="X667" t="s">
        <v>11034</v>
      </c>
      <c r="Y667" t="s">
        <v>44</v>
      </c>
      <c r="Z667" t="s">
        <v>44</v>
      </c>
      <c r="AA667" t="s">
        <v>10979</v>
      </c>
      <c r="AB667" t="s">
        <v>44</v>
      </c>
      <c r="AC667" s="4">
        <v>6.5793283799999998</v>
      </c>
      <c r="AD667" s="4">
        <v>6.3888862499999997</v>
      </c>
      <c r="AE667" s="2">
        <v>6.58</v>
      </c>
      <c r="AF667" s="4">
        <v>6.3888862499999997</v>
      </c>
      <c r="AG667" s="2">
        <v>0.93</v>
      </c>
      <c r="AH667" s="2">
        <v>6119515.4100000001</v>
      </c>
      <c r="AI667" s="2">
        <v>0.01</v>
      </c>
      <c r="AJ667" s="5">
        <v>44673</v>
      </c>
      <c r="AK667" t="s">
        <v>11784</v>
      </c>
      <c r="AL667" s="2">
        <v>6.47</v>
      </c>
      <c r="AM667" s="2">
        <v>5.87</v>
      </c>
      <c r="AN667" s="2">
        <v>0.02</v>
      </c>
      <c r="AO667" t="s">
        <v>11824</v>
      </c>
      <c r="AP667" t="s">
        <v>11825</v>
      </c>
      <c r="AQ667" t="s">
        <v>11823</v>
      </c>
    </row>
    <row r="668" spans="1:43" x14ac:dyDescent="0.2">
      <c r="A668" t="s">
        <v>11783</v>
      </c>
      <c r="B668" t="s">
        <v>10900</v>
      </c>
      <c r="C668" t="s">
        <v>11033</v>
      </c>
      <c r="D668" t="s">
        <v>11826</v>
      </c>
      <c r="E668" t="s">
        <v>11827</v>
      </c>
      <c r="F668" t="s">
        <v>11826</v>
      </c>
      <c r="G668" s="1">
        <v>4100000</v>
      </c>
      <c r="H668" s="2">
        <v>4100000</v>
      </c>
      <c r="I668" s="2">
        <v>4072399.24</v>
      </c>
      <c r="J668" s="2">
        <v>24028.47</v>
      </c>
      <c r="K668" s="2">
        <v>0</v>
      </c>
      <c r="L668" s="2">
        <v>4096427.71</v>
      </c>
      <c r="M668" s="3">
        <v>6.1816829999999996</v>
      </c>
      <c r="N668" s="4">
        <v>9.3198099999999996E-3</v>
      </c>
      <c r="O668" s="5">
        <v>44732</v>
      </c>
      <c r="P668" s="5">
        <v>45644</v>
      </c>
      <c r="Q668" s="1">
        <v>5.9420000000000002</v>
      </c>
      <c r="R668" s="2">
        <v>0.15</v>
      </c>
      <c r="S668" s="6">
        <v>0.106811678077</v>
      </c>
      <c r="T668" t="s">
        <v>111</v>
      </c>
      <c r="U668" t="s">
        <v>111</v>
      </c>
      <c r="V668" t="s">
        <v>11189</v>
      </c>
      <c r="W668" t="s">
        <v>43</v>
      </c>
      <c r="X668" t="s">
        <v>11034</v>
      </c>
      <c r="Y668" t="s">
        <v>44</v>
      </c>
      <c r="Z668" t="s">
        <v>44</v>
      </c>
      <c r="AA668" t="s">
        <v>10979</v>
      </c>
      <c r="AB668" t="s">
        <v>44</v>
      </c>
      <c r="AC668" s="4">
        <v>6.2772158899999999</v>
      </c>
      <c r="AD668" s="4">
        <v>6.10354361</v>
      </c>
      <c r="AE668" s="2">
        <v>6.28</v>
      </c>
      <c r="AF668" s="4">
        <v>6.10354361</v>
      </c>
      <c r="AG668" s="2">
        <v>0.62</v>
      </c>
      <c r="AH668" s="2">
        <v>4096427.71</v>
      </c>
      <c r="AI668" s="2">
        <v>0.01</v>
      </c>
      <c r="AJ668" s="5">
        <v>44673</v>
      </c>
      <c r="AK668" t="s">
        <v>11784</v>
      </c>
      <c r="AL668" s="2">
        <v>6.18</v>
      </c>
      <c r="AM668" s="2">
        <v>5.94</v>
      </c>
      <c r="AN668" s="2">
        <v>0.11</v>
      </c>
      <c r="AO668" t="s">
        <v>11824</v>
      </c>
      <c r="AP668" t="s">
        <v>11828</v>
      </c>
      <c r="AQ668" t="s">
        <v>11827</v>
      </c>
    </row>
    <row r="669" spans="1:43" x14ac:dyDescent="0.2">
      <c r="A669" t="s">
        <v>11783</v>
      </c>
      <c r="B669" t="s">
        <v>10900</v>
      </c>
      <c r="C669" t="s">
        <v>11033</v>
      </c>
      <c r="D669" t="s">
        <v>12841</v>
      </c>
      <c r="E669" t="s">
        <v>12842</v>
      </c>
      <c r="F669" t="s">
        <v>12841</v>
      </c>
      <c r="G669" s="1">
        <v>5700000</v>
      </c>
      <c r="H669" s="2">
        <v>5700000</v>
      </c>
      <c r="I669" s="2">
        <v>5700147.8700000001</v>
      </c>
      <c r="J669" s="2">
        <v>22832.48</v>
      </c>
      <c r="K669" s="2">
        <v>0</v>
      </c>
      <c r="L669" s="2">
        <v>5722980.3499999996</v>
      </c>
      <c r="M669" s="3">
        <v>5.8547310000000001</v>
      </c>
      <c r="N669" s="4">
        <v>1.30204E-2</v>
      </c>
      <c r="O669" s="5">
        <v>44679</v>
      </c>
      <c r="P669" s="5">
        <v>45044</v>
      </c>
      <c r="Q669" s="1">
        <v>6.0919999999999996</v>
      </c>
      <c r="R669" s="2">
        <v>0.01</v>
      </c>
      <c r="S669" s="6">
        <v>-3.847892072E-3</v>
      </c>
      <c r="T669" t="s">
        <v>111</v>
      </c>
      <c r="U669" t="s">
        <v>111</v>
      </c>
      <c r="V669" t="s">
        <v>114</v>
      </c>
      <c r="W669" t="s">
        <v>43</v>
      </c>
      <c r="X669" t="s">
        <v>44</v>
      </c>
      <c r="Y669" t="s">
        <v>44</v>
      </c>
      <c r="Z669" t="s">
        <v>44</v>
      </c>
      <c r="AA669" t="s">
        <v>10979</v>
      </c>
      <c r="AB669" t="s">
        <v>44</v>
      </c>
      <c r="AC669" s="4">
        <v>5.9404258900000002</v>
      </c>
      <c r="AD669" s="4">
        <v>5.7845705699999996</v>
      </c>
      <c r="AE669" s="2">
        <v>5.94</v>
      </c>
      <c r="AF669" s="4">
        <v>5.7845705699999996</v>
      </c>
      <c r="AG669" s="2">
        <v>0.87</v>
      </c>
      <c r="AH669" s="2">
        <v>5722980.3499999996</v>
      </c>
      <c r="AI669" s="2">
        <v>0.01</v>
      </c>
      <c r="AJ669" s="5">
        <v>44673</v>
      </c>
      <c r="AK669" t="s">
        <v>11784</v>
      </c>
      <c r="AL669" s="2">
        <v>5.85</v>
      </c>
      <c r="AM669" s="2">
        <v>6.09</v>
      </c>
      <c r="AN669" s="2">
        <v>0</v>
      </c>
      <c r="AO669" t="s">
        <v>11165</v>
      </c>
      <c r="AP669" t="s">
        <v>12843</v>
      </c>
      <c r="AQ669" t="s">
        <v>12842</v>
      </c>
    </row>
    <row r="670" spans="1:43" x14ac:dyDescent="0.2">
      <c r="A670" t="s">
        <v>11783</v>
      </c>
      <c r="B670" t="s">
        <v>10900</v>
      </c>
      <c r="C670" t="s">
        <v>11033</v>
      </c>
      <c r="D670" t="s">
        <v>11525</v>
      </c>
      <c r="E670" t="s">
        <v>11526</v>
      </c>
      <c r="F670" t="s">
        <v>11525</v>
      </c>
      <c r="G670" s="1">
        <v>4000000</v>
      </c>
      <c r="H670" s="2">
        <v>4000000</v>
      </c>
      <c r="I670" s="2">
        <v>4007347.9</v>
      </c>
      <c r="J670" s="2">
        <v>6295.56</v>
      </c>
      <c r="K670" s="2">
        <v>0</v>
      </c>
      <c r="L670" s="2">
        <v>4013643.46</v>
      </c>
      <c r="M670" s="3">
        <v>6.20838</v>
      </c>
      <c r="N670" s="4">
        <v>9.1314699999999992E-3</v>
      </c>
      <c r="O670" s="5">
        <v>44756</v>
      </c>
      <c r="P670" s="5">
        <v>45396</v>
      </c>
      <c r="Q670" s="1">
        <v>6.383</v>
      </c>
      <c r="R670" s="2">
        <v>0.22</v>
      </c>
      <c r="S670" s="6">
        <v>0.18643150391999999</v>
      </c>
      <c r="T670" t="s">
        <v>111</v>
      </c>
      <c r="U670" t="s">
        <v>111</v>
      </c>
      <c r="V670" t="s">
        <v>11189</v>
      </c>
      <c r="W670" t="s">
        <v>43</v>
      </c>
      <c r="X670" t="s">
        <v>11034</v>
      </c>
      <c r="Y670" t="s">
        <v>44</v>
      </c>
      <c r="Z670" t="s">
        <v>44</v>
      </c>
      <c r="AA670" t="s">
        <v>44</v>
      </c>
      <c r="AB670" t="s">
        <v>44</v>
      </c>
      <c r="AC670" s="4">
        <v>6.30473952</v>
      </c>
      <c r="AD670" s="4">
        <v>6.1295701999999999</v>
      </c>
      <c r="AE670" s="2">
        <v>6.3</v>
      </c>
      <c r="AF670" s="4">
        <v>6.1295701999999999</v>
      </c>
      <c r="AG670" s="2">
        <v>0.61</v>
      </c>
      <c r="AH670" s="2">
        <v>4013643.46</v>
      </c>
      <c r="AI670" s="2">
        <v>0.01</v>
      </c>
      <c r="AJ670" s="5">
        <v>44673</v>
      </c>
      <c r="AK670" t="s">
        <v>11784</v>
      </c>
      <c r="AL670" s="2">
        <v>6.21</v>
      </c>
      <c r="AM670" s="2">
        <v>6.38</v>
      </c>
      <c r="AN670" s="2">
        <v>0.19</v>
      </c>
      <c r="AO670" t="s">
        <v>11527</v>
      </c>
      <c r="AP670" t="s">
        <v>11528</v>
      </c>
      <c r="AQ670" t="s">
        <v>11526</v>
      </c>
    </row>
    <row r="671" spans="1:43" x14ac:dyDescent="0.2">
      <c r="A671" t="s">
        <v>11783</v>
      </c>
      <c r="B671" t="s">
        <v>10900</v>
      </c>
      <c r="C671" t="s">
        <v>11033</v>
      </c>
      <c r="D671" t="s">
        <v>12968</v>
      </c>
      <c r="E671" t="s">
        <v>12969</v>
      </c>
      <c r="F671" t="s">
        <v>12968</v>
      </c>
      <c r="G671" s="1">
        <v>6000000</v>
      </c>
      <c r="H671" s="2">
        <v>6000000</v>
      </c>
      <c r="I671" s="2">
        <v>6000138.04</v>
      </c>
      <c r="J671" s="2">
        <v>10637.75</v>
      </c>
      <c r="K671" s="2">
        <v>0</v>
      </c>
      <c r="L671" s="2">
        <v>6010775.79</v>
      </c>
      <c r="M671" s="3">
        <v>5.7981850000000001</v>
      </c>
      <c r="N671" s="4">
        <v>1.367516E-2</v>
      </c>
      <c r="O671" s="5">
        <v>44754</v>
      </c>
      <c r="P671" s="5">
        <v>45759</v>
      </c>
      <c r="Q671" s="1">
        <v>5.883</v>
      </c>
      <c r="R671" s="2">
        <v>0.21</v>
      </c>
      <c r="S671" s="6">
        <v>0.17647470644900001</v>
      </c>
      <c r="T671" t="s">
        <v>111</v>
      </c>
      <c r="U671" t="s">
        <v>111</v>
      </c>
      <c r="V671" t="s">
        <v>11189</v>
      </c>
      <c r="W671" t="s">
        <v>43</v>
      </c>
      <c r="X671" t="s">
        <v>11034</v>
      </c>
      <c r="Y671" t="s">
        <v>44</v>
      </c>
      <c r="Z671" t="s">
        <v>44</v>
      </c>
      <c r="AA671" t="s">
        <v>44</v>
      </c>
      <c r="AB671" t="s">
        <v>44</v>
      </c>
      <c r="AC671" s="4">
        <v>5.8822328199999996</v>
      </c>
      <c r="AD671" s="4">
        <v>5.7293618799999999</v>
      </c>
      <c r="AE671" s="2">
        <v>5.88</v>
      </c>
      <c r="AF671" s="4">
        <v>5.7293618799999999</v>
      </c>
      <c r="AG671" s="2">
        <v>0.91</v>
      </c>
      <c r="AH671" s="2">
        <v>6010775.79</v>
      </c>
      <c r="AI671" s="2">
        <v>0.01</v>
      </c>
      <c r="AJ671" s="5">
        <v>44673</v>
      </c>
      <c r="AK671" t="s">
        <v>11784</v>
      </c>
      <c r="AL671" s="2">
        <v>5.8</v>
      </c>
      <c r="AM671" s="2">
        <v>5.88</v>
      </c>
      <c r="AN671" s="2">
        <v>0.18</v>
      </c>
      <c r="AO671" t="s">
        <v>11527</v>
      </c>
      <c r="AP671" t="s">
        <v>12970</v>
      </c>
      <c r="AQ671" t="s">
        <v>12969</v>
      </c>
    </row>
    <row r="672" spans="1:43" x14ac:dyDescent="0.2">
      <c r="A672" t="s">
        <v>11783</v>
      </c>
      <c r="B672" t="s">
        <v>10900</v>
      </c>
      <c r="C672" t="s">
        <v>11033</v>
      </c>
      <c r="D672" t="s">
        <v>11829</v>
      </c>
      <c r="E672" t="s">
        <v>11830</v>
      </c>
      <c r="F672" t="s">
        <v>11829</v>
      </c>
      <c r="G672" s="1">
        <v>6700000</v>
      </c>
      <c r="H672" s="2">
        <v>6700726.7300000004</v>
      </c>
      <c r="I672" s="2">
        <v>6699144.8899999997</v>
      </c>
      <c r="J672" s="2">
        <v>51048.31</v>
      </c>
      <c r="K672" s="2">
        <v>0</v>
      </c>
      <c r="L672" s="2">
        <v>6750193.2000000002</v>
      </c>
      <c r="M672" s="3">
        <v>5.9678570000000004</v>
      </c>
      <c r="N672" s="4">
        <v>1.535742E-2</v>
      </c>
      <c r="O672" s="5">
        <v>44719</v>
      </c>
      <c r="P672" s="5">
        <v>45723</v>
      </c>
      <c r="Q672" s="1">
        <v>5.9169999999999998</v>
      </c>
      <c r="R672" s="2">
        <v>0.12</v>
      </c>
      <c r="S672" s="6">
        <v>8.2443218371999999E-2</v>
      </c>
      <c r="T672" t="s">
        <v>111</v>
      </c>
      <c r="U672" t="s">
        <v>111</v>
      </c>
      <c r="V672" t="s">
        <v>11189</v>
      </c>
      <c r="W672" t="s">
        <v>43</v>
      </c>
      <c r="X672" t="s">
        <v>11034</v>
      </c>
      <c r="Y672" t="s">
        <v>44</v>
      </c>
      <c r="Z672" t="s">
        <v>44</v>
      </c>
      <c r="AA672" t="s">
        <v>11035</v>
      </c>
      <c r="AB672" t="s">
        <v>44</v>
      </c>
      <c r="AC672" s="4">
        <v>6.0568952400000002</v>
      </c>
      <c r="AD672" s="4">
        <v>5.8949834299999999</v>
      </c>
      <c r="AE672" s="2">
        <v>6.06</v>
      </c>
      <c r="AF672" s="4">
        <v>5.8949834299999999</v>
      </c>
      <c r="AG672" s="2">
        <v>1.02</v>
      </c>
      <c r="AH672" s="2">
        <v>6750193.2000000002</v>
      </c>
      <c r="AI672" s="2">
        <v>0.02</v>
      </c>
      <c r="AJ672" s="5">
        <v>44673</v>
      </c>
      <c r="AK672" t="s">
        <v>11784</v>
      </c>
      <c r="AL672" s="2">
        <v>5.97</v>
      </c>
      <c r="AM672" s="2">
        <v>5.92</v>
      </c>
      <c r="AN672" s="2">
        <v>0.08</v>
      </c>
      <c r="AO672" t="s">
        <v>11437</v>
      </c>
      <c r="AP672" t="s">
        <v>11831</v>
      </c>
      <c r="AQ672" t="s">
        <v>11830</v>
      </c>
    </row>
    <row r="673" spans="1:43" x14ac:dyDescent="0.2">
      <c r="A673" t="s">
        <v>11783</v>
      </c>
      <c r="B673" t="s">
        <v>10900</v>
      </c>
      <c r="C673" t="s">
        <v>11033</v>
      </c>
      <c r="D673" t="s">
        <v>11832</v>
      </c>
      <c r="E673" t="s">
        <v>11833</v>
      </c>
      <c r="F673" t="s">
        <v>11832</v>
      </c>
      <c r="G673" s="1">
        <v>500000</v>
      </c>
      <c r="H673" s="2">
        <v>499681.28000000003</v>
      </c>
      <c r="I673" s="2">
        <v>500196.44</v>
      </c>
      <c r="J673" s="2">
        <v>300.44</v>
      </c>
      <c r="K673" s="2">
        <v>0</v>
      </c>
      <c r="L673" s="2">
        <v>500496.88</v>
      </c>
      <c r="M673" s="3">
        <v>5.3938800000000002</v>
      </c>
      <c r="N673" s="4">
        <v>1.13868E-3</v>
      </c>
      <c r="O673" s="5">
        <v>44757</v>
      </c>
      <c r="P673" s="5">
        <v>45397</v>
      </c>
      <c r="Q673" s="1">
        <v>5.4829999999999997</v>
      </c>
      <c r="R673" s="2">
        <v>0.22</v>
      </c>
      <c r="S673" s="6">
        <v>0.19846818724099999</v>
      </c>
      <c r="T673" t="s">
        <v>111</v>
      </c>
      <c r="U673" t="s">
        <v>111</v>
      </c>
      <c r="V673" t="s">
        <v>11189</v>
      </c>
      <c r="W673" t="s">
        <v>43</v>
      </c>
      <c r="X673" t="s">
        <v>11034</v>
      </c>
      <c r="Y673" t="s">
        <v>44</v>
      </c>
      <c r="Z673" t="s">
        <v>44</v>
      </c>
      <c r="AA673" t="s">
        <v>11035</v>
      </c>
      <c r="AB673" t="s">
        <v>44</v>
      </c>
      <c r="AC673" s="4">
        <v>5.4666152800000001</v>
      </c>
      <c r="AD673" s="4">
        <v>5.3342482999999996</v>
      </c>
      <c r="AE673" s="2">
        <v>5.47</v>
      </c>
      <c r="AF673" s="4">
        <v>5.3342482999999996</v>
      </c>
      <c r="AG673" s="2">
        <v>0.08</v>
      </c>
      <c r="AH673" s="2">
        <v>500496.88</v>
      </c>
      <c r="AI673" s="2">
        <v>0</v>
      </c>
      <c r="AJ673" s="5">
        <v>44673</v>
      </c>
      <c r="AK673" t="s">
        <v>11784</v>
      </c>
      <c r="AL673" s="2">
        <v>5.39</v>
      </c>
      <c r="AM673" s="2">
        <v>5.48</v>
      </c>
      <c r="AN673" s="2">
        <v>0.2</v>
      </c>
      <c r="AO673" t="s">
        <v>11036</v>
      </c>
      <c r="AP673" t="s">
        <v>11834</v>
      </c>
      <c r="AQ673" t="s">
        <v>11833</v>
      </c>
    </row>
    <row r="674" spans="1:43" x14ac:dyDescent="0.2">
      <c r="A674" t="s">
        <v>11783</v>
      </c>
      <c r="B674" t="s">
        <v>10900</v>
      </c>
      <c r="C674" t="s">
        <v>11033</v>
      </c>
      <c r="D674" t="s">
        <v>11835</v>
      </c>
      <c r="E674" t="s">
        <v>11836</v>
      </c>
      <c r="F674" t="s">
        <v>11835</v>
      </c>
      <c r="G674" s="1">
        <v>335000</v>
      </c>
      <c r="H674" s="2">
        <v>335000</v>
      </c>
      <c r="I674" s="2">
        <v>336360.2</v>
      </c>
      <c r="J674" s="2">
        <v>1561.6</v>
      </c>
      <c r="K674" s="2">
        <v>0</v>
      </c>
      <c r="L674" s="2">
        <v>337921.8</v>
      </c>
      <c r="M674" s="3">
        <v>4.6829530000000004</v>
      </c>
      <c r="N674" s="4">
        <v>7.6880999999999998E-4</v>
      </c>
      <c r="O674" s="5">
        <v>44732</v>
      </c>
      <c r="P674" s="5">
        <v>45371</v>
      </c>
      <c r="Q674" s="1">
        <v>5.3170000000000002</v>
      </c>
      <c r="R674" s="2">
        <v>0.23</v>
      </c>
      <c r="S674" s="6">
        <v>0.20203019767300001</v>
      </c>
      <c r="T674" t="s">
        <v>111</v>
      </c>
      <c r="U674" t="s">
        <v>111</v>
      </c>
      <c r="V674" t="s">
        <v>11189</v>
      </c>
      <c r="W674" t="s">
        <v>43</v>
      </c>
      <c r="X674" t="s">
        <v>11034</v>
      </c>
      <c r="Y674" t="s">
        <v>44</v>
      </c>
      <c r="Z674" t="s">
        <v>44</v>
      </c>
      <c r="AA674" t="s">
        <v>11035</v>
      </c>
      <c r="AB674" t="s">
        <v>44</v>
      </c>
      <c r="AC674" s="4">
        <v>4.7377777300000004</v>
      </c>
      <c r="AD674" s="4">
        <v>4.6379081199999996</v>
      </c>
      <c r="AE674" s="2">
        <v>4.74</v>
      </c>
      <c r="AF674" s="4">
        <v>4.6379081199999996</v>
      </c>
      <c r="AG674" s="2">
        <v>0.05</v>
      </c>
      <c r="AH674" s="2">
        <v>337921.8</v>
      </c>
      <c r="AI674" s="2">
        <v>0</v>
      </c>
      <c r="AJ674" s="5">
        <v>44673</v>
      </c>
      <c r="AK674" t="s">
        <v>11784</v>
      </c>
      <c r="AL674" s="2">
        <v>4.68</v>
      </c>
      <c r="AM674" s="2">
        <v>5.32</v>
      </c>
      <c r="AN674" s="2">
        <v>0.2</v>
      </c>
      <c r="AO674" t="s">
        <v>11036</v>
      </c>
      <c r="AP674" t="s">
        <v>11837</v>
      </c>
      <c r="AQ674" t="s">
        <v>11836</v>
      </c>
    </row>
    <row r="675" spans="1:43" x14ac:dyDescent="0.2">
      <c r="A675" t="s">
        <v>11783</v>
      </c>
      <c r="B675" t="s">
        <v>10900</v>
      </c>
      <c r="C675" t="s">
        <v>11033</v>
      </c>
      <c r="D675" t="s">
        <v>12982</v>
      </c>
      <c r="E675" t="s">
        <v>12983</v>
      </c>
      <c r="F675" t="s">
        <v>12982</v>
      </c>
      <c r="G675" s="1">
        <v>6200000</v>
      </c>
      <c r="H675" s="2">
        <v>6200000</v>
      </c>
      <c r="I675" s="2">
        <v>6462543.8200000003</v>
      </c>
      <c r="J675" s="2">
        <v>79558.570000000007</v>
      </c>
      <c r="K675" s="2">
        <v>0</v>
      </c>
      <c r="L675" s="2">
        <v>6542102.3899999997</v>
      </c>
      <c r="M675" s="3">
        <v>6.0747210000000003</v>
      </c>
      <c r="N675" s="4">
        <v>1.488399E-2</v>
      </c>
      <c r="O675" s="5">
        <v>44706</v>
      </c>
      <c r="P675" s="5">
        <v>45439</v>
      </c>
      <c r="Q675" s="1">
        <v>8.2170000000000005</v>
      </c>
      <c r="R675" s="2">
        <v>0.08</v>
      </c>
      <c r="S675" s="6">
        <v>9.4979191527000004E-2</v>
      </c>
      <c r="T675" t="s">
        <v>111</v>
      </c>
      <c r="U675" t="s">
        <v>111</v>
      </c>
      <c r="V675" t="s">
        <v>11189</v>
      </c>
      <c r="W675" t="s">
        <v>43</v>
      </c>
      <c r="X675" t="s">
        <v>11034</v>
      </c>
      <c r="Y675" t="s">
        <v>44</v>
      </c>
      <c r="Z675" t="s">
        <v>44</v>
      </c>
      <c r="AA675" t="s">
        <v>44</v>
      </c>
      <c r="AB675" t="s">
        <v>44</v>
      </c>
      <c r="AC675" s="4">
        <v>6.1669761000000003</v>
      </c>
      <c r="AD675" s="4">
        <v>5.9992378899999999</v>
      </c>
      <c r="AE675" s="2">
        <v>6.17</v>
      </c>
      <c r="AF675" s="4">
        <v>5.9992378899999999</v>
      </c>
      <c r="AG675" s="2">
        <v>0.99</v>
      </c>
      <c r="AH675" s="2">
        <v>6542102.3899999997</v>
      </c>
      <c r="AI675" s="2">
        <v>0.01</v>
      </c>
      <c r="AJ675" s="5">
        <v>44673</v>
      </c>
      <c r="AK675" t="s">
        <v>11784</v>
      </c>
      <c r="AL675" s="2">
        <v>6.07</v>
      </c>
      <c r="AM675" s="2">
        <v>8.2200000000000006</v>
      </c>
      <c r="AN675" s="2">
        <v>0.09</v>
      </c>
      <c r="AO675" t="s">
        <v>12984</v>
      </c>
      <c r="AP675" t="s">
        <v>12985</v>
      </c>
      <c r="AQ675" t="s">
        <v>12983</v>
      </c>
    </row>
    <row r="676" spans="1:43" x14ac:dyDescent="0.2">
      <c r="A676" t="s">
        <v>11783</v>
      </c>
      <c r="B676" t="s">
        <v>10900</v>
      </c>
      <c r="C676" t="s">
        <v>11033</v>
      </c>
      <c r="D676" t="s">
        <v>11838</v>
      </c>
      <c r="E676" t="s">
        <v>11839</v>
      </c>
      <c r="F676" t="s">
        <v>11838</v>
      </c>
      <c r="G676" s="1">
        <v>4500000</v>
      </c>
      <c r="H676" s="2">
        <v>4500000</v>
      </c>
      <c r="I676" s="2">
        <v>4500090.41</v>
      </c>
      <c r="J676" s="2">
        <v>18607.189999999999</v>
      </c>
      <c r="K676" s="2">
        <v>0</v>
      </c>
      <c r="L676" s="2">
        <v>4518697.5999999996</v>
      </c>
      <c r="M676" s="3">
        <v>5.9270630000000004</v>
      </c>
      <c r="N676" s="4">
        <v>1.028052E-2</v>
      </c>
      <c r="O676" s="5">
        <v>44741</v>
      </c>
      <c r="P676" s="5">
        <v>45380</v>
      </c>
      <c r="Q676" s="1">
        <v>6.0369999999999999</v>
      </c>
      <c r="R676" s="2">
        <v>0.18</v>
      </c>
      <c r="S676" s="6">
        <v>0.14918711395799999</v>
      </c>
      <c r="T676" t="s">
        <v>111</v>
      </c>
      <c r="U676" t="s">
        <v>111</v>
      </c>
      <c r="V676" t="s">
        <v>11189</v>
      </c>
      <c r="W676" t="s">
        <v>43</v>
      </c>
      <c r="X676" t="s">
        <v>11840</v>
      </c>
      <c r="Y676" t="s">
        <v>44</v>
      </c>
      <c r="Z676" t="s">
        <v>44</v>
      </c>
      <c r="AA676" t="s">
        <v>10979</v>
      </c>
      <c r="AB676" t="s">
        <v>44</v>
      </c>
      <c r="AC676" s="4">
        <v>6.0148877399999998</v>
      </c>
      <c r="AD676" s="4">
        <v>5.8551731699999996</v>
      </c>
      <c r="AE676" s="2">
        <v>6.01</v>
      </c>
      <c r="AF676" s="4">
        <v>5.8551731699999996</v>
      </c>
      <c r="AG676" s="2">
        <v>0.69</v>
      </c>
      <c r="AH676" s="2">
        <v>4518697.5999999996</v>
      </c>
      <c r="AI676" s="2">
        <v>0.01</v>
      </c>
      <c r="AJ676" s="5">
        <v>44673</v>
      </c>
      <c r="AK676" t="s">
        <v>11784</v>
      </c>
      <c r="AL676" s="2">
        <v>5.93</v>
      </c>
      <c r="AM676" s="2">
        <v>6.04</v>
      </c>
      <c r="AN676" s="2">
        <v>0.15</v>
      </c>
      <c r="AO676" t="s">
        <v>11841</v>
      </c>
      <c r="AP676" t="s">
        <v>11842</v>
      </c>
      <c r="AQ676" t="s">
        <v>11839</v>
      </c>
    </row>
    <row r="677" spans="1:43" x14ac:dyDescent="0.2">
      <c r="A677" t="s">
        <v>11783</v>
      </c>
      <c r="B677" t="s">
        <v>10900</v>
      </c>
      <c r="C677" t="s">
        <v>11033</v>
      </c>
      <c r="D677" t="s">
        <v>11843</v>
      </c>
      <c r="E677" t="s">
        <v>11844</v>
      </c>
      <c r="F677" t="s">
        <v>11843</v>
      </c>
      <c r="G677" s="1">
        <v>6100000</v>
      </c>
      <c r="H677" s="2">
        <v>6100000</v>
      </c>
      <c r="I677" s="2">
        <v>6072480.6200000001</v>
      </c>
      <c r="J677" s="2">
        <v>4534.3900000000003</v>
      </c>
      <c r="K677" s="2">
        <v>0</v>
      </c>
      <c r="L677" s="2">
        <v>6077015.0099999998</v>
      </c>
      <c r="M677" s="3">
        <v>6.9820180000000001</v>
      </c>
      <c r="N677" s="4">
        <v>1.3825860000000001E-2</v>
      </c>
      <c r="O677" s="5">
        <v>44760</v>
      </c>
      <c r="P677" s="5">
        <v>45398</v>
      </c>
      <c r="Q677" s="1">
        <v>6.7830000000000004</v>
      </c>
      <c r="R677" s="2">
        <v>0.23</v>
      </c>
      <c r="S677" s="6">
        <v>0.182016060841</v>
      </c>
      <c r="T677" t="s">
        <v>111</v>
      </c>
      <c r="U677" t="s">
        <v>111</v>
      </c>
      <c r="V677" t="s">
        <v>11189</v>
      </c>
      <c r="W677" t="s">
        <v>43</v>
      </c>
      <c r="X677" t="s">
        <v>11034</v>
      </c>
      <c r="Y677" t="s">
        <v>44</v>
      </c>
      <c r="Z677" t="s">
        <v>44</v>
      </c>
      <c r="AA677" t="s">
        <v>10979</v>
      </c>
      <c r="AB677" t="s">
        <v>44</v>
      </c>
      <c r="AC677" s="4">
        <v>7.1038890300000004</v>
      </c>
      <c r="AD677" s="4">
        <v>6.8825725699999998</v>
      </c>
      <c r="AE677" s="2">
        <v>7.1</v>
      </c>
      <c r="AF677" s="4">
        <v>6.8825725699999998</v>
      </c>
      <c r="AG677" s="2">
        <v>0.92</v>
      </c>
      <c r="AH677" s="2">
        <v>6077015.0099999998</v>
      </c>
      <c r="AI677" s="2">
        <v>0.01</v>
      </c>
      <c r="AJ677" s="5">
        <v>44673</v>
      </c>
      <c r="AK677" t="s">
        <v>11784</v>
      </c>
      <c r="AL677" s="2">
        <v>6.98</v>
      </c>
      <c r="AM677" s="2">
        <v>6.78</v>
      </c>
      <c r="AN677" s="2">
        <v>0.18</v>
      </c>
      <c r="AO677" t="s">
        <v>11179</v>
      </c>
      <c r="AP677" t="s">
        <v>11845</v>
      </c>
      <c r="AQ677" t="s">
        <v>11844</v>
      </c>
    </row>
    <row r="678" spans="1:43" x14ac:dyDescent="0.2">
      <c r="A678" t="s">
        <v>11783</v>
      </c>
      <c r="B678" t="s">
        <v>10900</v>
      </c>
      <c r="C678" t="s">
        <v>10943</v>
      </c>
      <c r="D678" t="s">
        <v>11552</v>
      </c>
      <c r="E678" t="s">
        <v>11553</v>
      </c>
      <c r="F678" t="s">
        <v>11552</v>
      </c>
      <c r="G678" s="1">
        <v>700000</v>
      </c>
      <c r="H678" s="2">
        <v>700000</v>
      </c>
      <c r="I678" s="2">
        <v>700002.41</v>
      </c>
      <c r="J678" s="2">
        <v>8882.06</v>
      </c>
      <c r="K678" s="2">
        <v>0</v>
      </c>
      <c r="L678" s="2">
        <v>708884.47</v>
      </c>
      <c r="M678" s="3">
        <v>5.7189139999999998</v>
      </c>
      <c r="N678" s="4">
        <v>1.61279E-3</v>
      </c>
      <c r="O678" s="5">
        <v>44684</v>
      </c>
      <c r="P678" s="5">
        <v>46418</v>
      </c>
      <c r="Q678" s="1">
        <v>5.6479999999999997</v>
      </c>
      <c r="R678" s="2">
        <v>0.02</v>
      </c>
      <c r="S678" s="6">
        <v>-2.0490922419E-2</v>
      </c>
      <c r="T678" t="s">
        <v>111</v>
      </c>
      <c r="U678" t="s">
        <v>111</v>
      </c>
      <c r="V678" t="s">
        <v>11189</v>
      </c>
      <c r="W678" t="s">
        <v>43</v>
      </c>
      <c r="X678" t="s">
        <v>11034</v>
      </c>
      <c r="Y678" t="s">
        <v>44</v>
      </c>
      <c r="Z678" t="s">
        <v>44</v>
      </c>
      <c r="AA678" t="s">
        <v>10979</v>
      </c>
      <c r="AB678" t="s">
        <v>44</v>
      </c>
      <c r="AC678" s="4">
        <v>5.8006784400000004</v>
      </c>
      <c r="AD678" s="4">
        <v>5.6519431300000003</v>
      </c>
      <c r="AE678" s="2">
        <v>5.8</v>
      </c>
      <c r="AF678" s="4">
        <v>5.6519431300000003</v>
      </c>
      <c r="AG678" s="2">
        <v>0.11</v>
      </c>
      <c r="AH678" s="2">
        <v>708884.47</v>
      </c>
      <c r="AI678" s="2">
        <v>0</v>
      </c>
      <c r="AJ678" s="5">
        <v>44673</v>
      </c>
      <c r="AK678" t="s">
        <v>11784</v>
      </c>
      <c r="AL678" s="2">
        <v>5.72</v>
      </c>
      <c r="AM678" s="2">
        <v>5.65</v>
      </c>
      <c r="AN678" s="2">
        <v>-0.02</v>
      </c>
      <c r="AO678" t="s">
        <v>11048</v>
      </c>
      <c r="AP678" t="s">
        <v>11554</v>
      </c>
      <c r="AQ678" t="s">
        <v>11553</v>
      </c>
    </row>
    <row r="679" spans="1:43" x14ac:dyDescent="0.2">
      <c r="A679" t="s">
        <v>11783</v>
      </c>
      <c r="B679" t="s">
        <v>10900</v>
      </c>
      <c r="C679" t="s">
        <v>10943</v>
      </c>
      <c r="D679" t="s">
        <v>11555</v>
      </c>
      <c r="E679" t="s">
        <v>11556</v>
      </c>
      <c r="F679" t="s">
        <v>11555</v>
      </c>
      <c r="G679" s="1">
        <v>6800000</v>
      </c>
      <c r="H679" s="2">
        <v>6800000</v>
      </c>
      <c r="I679" s="2">
        <v>6669909.2000000002</v>
      </c>
      <c r="J679" s="2">
        <v>140322.19</v>
      </c>
      <c r="K679" s="2">
        <v>0</v>
      </c>
      <c r="L679" s="2">
        <v>6810231.3899999997</v>
      </c>
      <c r="M679" s="3">
        <v>9.9250000000000007</v>
      </c>
      <c r="N679" s="4">
        <v>1.5494010000000001E-2</v>
      </c>
      <c r="O679" s="5">
        <v>44775</v>
      </c>
      <c r="P679" s="5">
        <v>46420</v>
      </c>
      <c r="Q679" s="1">
        <v>9.4149999999999991</v>
      </c>
      <c r="R679" s="2">
        <v>3.86</v>
      </c>
      <c r="S679" s="6">
        <v>3.6810259830000001</v>
      </c>
      <c r="T679" t="s">
        <v>111</v>
      </c>
      <c r="U679" t="s">
        <v>111</v>
      </c>
      <c r="V679" t="s">
        <v>10944</v>
      </c>
      <c r="W679" t="s">
        <v>43</v>
      </c>
      <c r="X679" t="s">
        <v>44</v>
      </c>
      <c r="Y679" t="s">
        <v>44</v>
      </c>
      <c r="Z679" t="s">
        <v>44</v>
      </c>
      <c r="AA679" t="s">
        <v>10979</v>
      </c>
      <c r="AB679" t="s">
        <v>44</v>
      </c>
      <c r="AC679" s="4">
        <v>10.17126406</v>
      </c>
      <c r="AD679" s="4">
        <v>9.72579277</v>
      </c>
      <c r="AE679" s="2">
        <v>10.17</v>
      </c>
      <c r="AF679" s="4">
        <v>9.72579277</v>
      </c>
      <c r="AG679" s="2">
        <v>1.03</v>
      </c>
      <c r="AH679" s="2">
        <v>6810231.3899999997</v>
      </c>
      <c r="AI679" s="2">
        <v>0.02</v>
      </c>
      <c r="AJ679" s="5">
        <v>44673</v>
      </c>
      <c r="AK679" t="s">
        <v>11784</v>
      </c>
      <c r="AL679" s="2">
        <v>9.93</v>
      </c>
      <c r="AM679" s="2">
        <v>9.41</v>
      </c>
      <c r="AN679" s="2">
        <v>3.68</v>
      </c>
      <c r="AO679" t="s">
        <v>11048</v>
      </c>
      <c r="AP679" t="s">
        <v>11557</v>
      </c>
      <c r="AQ679" t="s">
        <v>11556</v>
      </c>
    </row>
    <row r="680" spans="1:43" x14ac:dyDescent="0.2">
      <c r="A680" t="s">
        <v>11783</v>
      </c>
      <c r="B680" t="s">
        <v>10900</v>
      </c>
      <c r="C680" t="s">
        <v>10943</v>
      </c>
      <c r="D680" t="s">
        <v>11846</v>
      </c>
      <c r="E680" t="s">
        <v>11847</v>
      </c>
      <c r="F680" t="s">
        <v>11846</v>
      </c>
      <c r="G680" s="1">
        <v>1046000</v>
      </c>
      <c r="H680" s="2">
        <v>1094989.75</v>
      </c>
      <c r="I680" s="2">
        <v>1098613.49</v>
      </c>
      <c r="J680" s="2">
        <v>41174.86</v>
      </c>
      <c r="K680" s="2">
        <v>0</v>
      </c>
      <c r="L680" s="2">
        <v>1139788.3500000001</v>
      </c>
      <c r="M680" s="3">
        <v>8.7050000000000001</v>
      </c>
      <c r="N680" s="4">
        <v>2.5931399999999999E-3</v>
      </c>
      <c r="O680" s="5">
        <v>44715</v>
      </c>
      <c r="P680" s="5">
        <v>46176</v>
      </c>
      <c r="Q680" s="1">
        <v>10.19</v>
      </c>
      <c r="R680" s="2">
        <v>3.35</v>
      </c>
      <c r="S680" s="6">
        <v>3.210117125</v>
      </c>
      <c r="T680" t="s">
        <v>111</v>
      </c>
      <c r="U680" t="s">
        <v>111</v>
      </c>
      <c r="V680" t="s">
        <v>10944</v>
      </c>
      <c r="W680" t="s">
        <v>43</v>
      </c>
      <c r="X680" t="s">
        <v>44</v>
      </c>
      <c r="Y680" t="s">
        <v>44</v>
      </c>
      <c r="Z680" t="s">
        <v>44</v>
      </c>
      <c r="AA680" t="s">
        <v>10979</v>
      </c>
      <c r="AB680" t="s">
        <v>44</v>
      </c>
      <c r="AC680" s="4">
        <v>8.8944425599999999</v>
      </c>
      <c r="AD680" s="4">
        <v>8.5512049999999995</v>
      </c>
      <c r="AE680" s="2">
        <v>8.89</v>
      </c>
      <c r="AF680" s="4">
        <v>8.5512049999999995</v>
      </c>
      <c r="AG680" s="2">
        <v>0.17</v>
      </c>
      <c r="AH680" s="2">
        <v>1139788.3500000001</v>
      </c>
      <c r="AI680" s="2">
        <v>0</v>
      </c>
      <c r="AJ680" s="5">
        <v>44673</v>
      </c>
      <c r="AK680" t="s">
        <v>11784</v>
      </c>
      <c r="AL680" s="2">
        <v>8.7100000000000009</v>
      </c>
      <c r="AM680" s="2">
        <v>10.19</v>
      </c>
      <c r="AN680" s="2">
        <v>3.21</v>
      </c>
      <c r="AO680" t="s">
        <v>11054</v>
      </c>
      <c r="AP680" t="s">
        <v>11848</v>
      </c>
      <c r="AQ680" t="s">
        <v>11847</v>
      </c>
    </row>
    <row r="681" spans="1:43" x14ac:dyDescent="0.2">
      <c r="A681" t="s">
        <v>11783</v>
      </c>
      <c r="B681" t="s">
        <v>10900</v>
      </c>
      <c r="C681" t="s">
        <v>10943</v>
      </c>
      <c r="D681" t="s">
        <v>11849</v>
      </c>
      <c r="E681" t="s">
        <v>11850</v>
      </c>
      <c r="F681" t="s">
        <v>11849</v>
      </c>
      <c r="G681" s="1">
        <v>710000</v>
      </c>
      <c r="H681" s="2">
        <v>759955.94</v>
      </c>
      <c r="I681" s="2">
        <v>739527.13</v>
      </c>
      <c r="J681" s="2">
        <v>4065.48</v>
      </c>
      <c r="K681" s="2">
        <v>0</v>
      </c>
      <c r="L681" s="2">
        <v>743592.61</v>
      </c>
      <c r="M681" s="3">
        <v>8.3550000000000004</v>
      </c>
      <c r="N681" s="4">
        <v>1.6917499999999999E-3</v>
      </c>
      <c r="O681" s="5">
        <v>44837</v>
      </c>
      <c r="P681" s="5">
        <v>46296</v>
      </c>
      <c r="Q681" s="1">
        <v>9.5</v>
      </c>
      <c r="R681" s="2">
        <v>3.72</v>
      </c>
      <c r="S681" s="6">
        <v>3.5673572199999999</v>
      </c>
      <c r="T681" t="s">
        <v>111</v>
      </c>
      <c r="U681" t="s">
        <v>111</v>
      </c>
      <c r="V681" t="s">
        <v>10944</v>
      </c>
      <c r="W681" t="s">
        <v>43</v>
      </c>
      <c r="X681" t="s">
        <v>10988</v>
      </c>
      <c r="Y681" t="s">
        <v>44</v>
      </c>
      <c r="Z681" t="s">
        <v>44</v>
      </c>
      <c r="AA681" t="s">
        <v>10979</v>
      </c>
      <c r="AB681" t="s">
        <v>44</v>
      </c>
      <c r="AC681" s="4">
        <v>8.5295150599999996</v>
      </c>
      <c r="AD681" s="4">
        <v>8.2131770100000008</v>
      </c>
      <c r="AE681" s="2">
        <v>8.5299999999999994</v>
      </c>
      <c r="AF681" s="4">
        <v>8.2131770100000008</v>
      </c>
      <c r="AG681" s="2">
        <v>0.11</v>
      </c>
      <c r="AH681" s="2">
        <v>743592.61</v>
      </c>
      <c r="AI681" s="2">
        <v>0</v>
      </c>
      <c r="AJ681" s="5">
        <v>44673</v>
      </c>
      <c r="AK681" t="s">
        <v>11784</v>
      </c>
      <c r="AL681" s="2">
        <v>8.35</v>
      </c>
      <c r="AM681" s="2">
        <v>9.5</v>
      </c>
      <c r="AN681" s="2">
        <v>3.57</v>
      </c>
      <c r="AO681" t="s">
        <v>11054</v>
      </c>
      <c r="AP681" t="s">
        <v>11851</v>
      </c>
      <c r="AQ681" t="s">
        <v>11850</v>
      </c>
    </row>
    <row r="682" spans="1:43" x14ac:dyDescent="0.2">
      <c r="A682" t="s">
        <v>11783</v>
      </c>
      <c r="B682" t="s">
        <v>10900</v>
      </c>
      <c r="C682" t="s">
        <v>10943</v>
      </c>
      <c r="D682" t="s">
        <v>11569</v>
      </c>
      <c r="E682" t="s">
        <v>11570</v>
      </c>
      <c r="F682" t="s">
        <v>11569</v>
      </c>
      <c r="G682" s="1">
        <v>1000000</v>
      </c>
      <c r="H682" s="2">
        <v>1000000</v>
      </c>
      <c r="I682" s="2">
        <v>1005403.92</v>
      </c>
      <c r="J682" s="2">
        <v>13692.77</v>
      </c>
      <c r="K682" s="2">
        <v>0</v>
      </c>
      <c r="L682" s="2">
        <v>1019096.69</v>
      </c>
      <c r="M682" s="3">
        <v>8.5241640000000007</v>
      </c>
      <c r="N682" s="4">
        <v>2.31855E-3</v>
      </c>
      <c r="O682" s="5">
        <v>44705</v>
      </c>
      <c r="P682" s="5">
        <v>46166</v>
      </c>
      <c r="Q682" s="1">
        <v>8.6170000000000009</v>
      </c>
      <c r="R682" s="2">
        <v>0.08</v>
      </c>
      <c r="S682" s="6">
        <v>-9.3404076700000001E-3</v>
      </c>
      <c r="T682" t="s">
        <v>111</v>
      </c>
      <c r="U682" t="s">
        <v>111</v>
      </c>
      <c r="V682" t="s">
        <v>11189</v>
      </c>
      <c r="W682" t="s">
        <v>43</v>
      </c>
      <c r="X682" t="s">
        <v>11034</v>
      </c>
      <c r="Y682" t="s">
        <v>44</v>
      </c>
      <c r="Z682" t="s">
        <v>44</v>
      </c>
      <c r="AA682" t="s">
        <v>11035</v>
      </c>
      <c r="AB682" t="s">
        <v>44</v>
      </c>
      <c r="AC682" s="4">
        <v>8.7058170199999996</v>
      </c>
      <c r="AD682" s="4">
        <v>8.3766132899999999</v>
      </c>
      <c r="AE682" s="2">
        <v>8.7100000000000009</v>
      </c>
      <c r="AF682" s="4">
        <v>8.3766132899999999</v>
      </c>
      <c r="AG682" s="2">
        <v>0.15</v>
      </c>
      <c r="AH682" s="2">
        <v>1019096.69</v>
      </c>
      <c r="AI682" s="2">
        <v>0</v>
      </c>
      <c r="AJ682" s="5">
        <v>44673</v>
      </c>
      <c r="AK682" t="s">
        <v>11784</v>
      </c>
      <c r="AL682" s="2">
        <v>8.52</v>
      </c>
      <c r="AM682" s="2">
        <v>8.6199999999999992</v>
      </c>
      <c r="AN682" s="2">
        <v>-0.01</v>
      </c>
      <c r="AO682" t="s">
        <v>11226</v>
      </c>
      <c r="AP682" t="s">
        <v>11571</v>
      </c>
      <c r="AQ682" t="s">
        <v>11570</v>
      </c>
    </row>
    <row r="683" spans="1:43" x14ac:dyDescent="0.2">
      <c r="A683" t="s">
        <v>11783</v>
      </c>
      <c r="B683" t="s">
        <v>10900</v>
      </c>
      <c r="C683" t="s">
        <v>10943</v>
      </c>
      <c r="D683" t="s">
        <v>11572</v>
      </c>
      <c r="E683" t="s">
        <v>11573</v>
      </c>
      <c r="F683" t="s">
        <v>11572</v>
      </c>
      <c r="G683" s="1">
        <v>12400000</v>
      </c>
      <c r="H683" s="2">
        <v>12400000</v>
      </c>
      <c r="I683" s="2">
        <v>12398884.199999999</v>
      </c>
      <c r="J683" s="2">
        <v>69488.92</v>
      </c>
      <c r="K683" s="2">
        <v>0</v>
      </c>
      <c r="L683" s="2">
        <v>12468373.119999999</v>
      </c>
      <c r="M683" s="3">
        <v>6.3514429999999997</v>
      </c>
      <c r="N683" s="4">
        <v>2.8366889999999999E-2</v>
      </c>
      <c r="O683" s="5">
        <v>44734</v>
      </c>
      <c r="P683" s="5">
        <v>46468</v>
      </c>
      <c r="Q683" s="1">
        <v>6.3920000000000003</v>
      </c>
      <c r="R683" s="2">
        <v>0.16</v>
      </c>
      <c r="S683" s="6">
        <v>9.4330326845999998E-2</v>
      </c>
      <c r="T683" t="s">
        <v>111</v>
      </c>
      <c r="U683" t="s">
        <v>111</v>
      </c>
      <c r="V683" t="s">
        <v>11189</v>
      </c>
      <c r="W683" t="s">
        <v>43</v>
      </c>
      <c r="X683" t="s">
        <v>11034</v>
      </c>
      <c r="Y683" t="s">
        <v>44</v>
      </c>
      <c r="Z683" t="s">
        <v>44</v>
      </c>
      <c r="AA683" t="s">
        <v>11035</v>
      </c>
      <c r="AB683" t="s">
        <v>44</v>
      </c>
      <c r="AC683" s="4">
        <v>6.4522949799999996</v>
      </c>
      <c r="AD683" s="4">
        <v>6.2689947500000001</v>
      </c>
      <c r="AE683" s="2">
        <v>6.45</v>
      </c>
      <c r="AF683" s="4">
        <v>6.2689947500000001</v>
      </c>
      <c r="AG683" s="2">
        <v>1.89</v>
      </c>
      <c r="AH683" s="2">
        <v>12468373.119999999</v>
      </c>
      <c r="AI683" s="2">
        <v>0.03</v>
      </c>
      <c r="AJ683" s="5">
        <v>44673</v>
      </c>
      <c r="AK683" t="s">
        <v>11784</v>
      </c>
      <c r="AL683" s="2">
        <v>6.35</v>
      </c>
      <c r="AM683" s="2">
        <v>6.39</v>
      </c>
      <c r="AN683" s="2">
        <v>0.09</v>
      </c>
      <c r="AO683" t="s">
        <v>11226</v>
      </c>
      <c r="AP683" t="s">
        <v>11574</v>
      </c>
      <c r="AQ683" t="s">
        <v>11573</v>
      </c>
    </row>
    <row r="684" spans="1:43" x14ac:dyDescent="0.2">
      <c r="A684" t="s">
        <v>11783</v>
      </c>
      <c r="B684" t="s">
        <v>10900</v>
      </c>
      <c r="C684" t="s">
        <v>10943</v>
      </c>
      <c r="D684" t="s">
        <v>11575</v>
      </c>
      <c r="E684" t="s">
        <v>11576</v>
      </c>
      <c r="F684" t="s">
        <v>11575</v>
      </c>
      <c r="G684" s="1">
        <v>7500000</v>
      </c>
      <c r="H684" s="2">
        <v>7500000</v>
      </c>
      <c r="I684" s="2">
        <v>7311783</v>
      </c>
      <c r="J684" s="2">
        <v>139343.84</v>
      </c>
      <c r="K684" s="2">
        <v>0</v>
      </c>
      <c r="L684" s="2">
        <v>7451126.8399999999</v>
      </c>
      <c r="M684" s="3">
        <v>9.07</v>
      </c>
      <c r="N684" s="4">
        <v>1.6952120000000001E-2</v>
      </c>
      <c r="O684" s="5">
        <v>44771</v>
      </c>
      <c r="P684" s="5">
        <v>46051</v>
      </c>
      <c r="Q684" s="1">
        <v>8.27</v>
      </c>
      <c r="R684" s="2">
        <v>3.24</v>
      </c>
      <c r="S684" s="6">
        <v>3.0998465770000001</v>
      </c>
      <c r="T684" t="s">
        <v>111</v>
      </c>
      <c r="U684" t="s">
        <v>111</v>
      </c>
      <c r="V684" t="s">
        <v>10944</v>
      </c>
      <c r="W684" t="s">
        <v>43</v>
      </c>
      <c r="X684" t="s">
        <v>44</v>
      </c>
      <c r="Y684" t="s">
        <v>44</v>
      </c>
      <c r="Z684" t="s">
        <v>44</v>
      </c>
      <c r="AA684" t="s">
        <v>11035</v>
      </c>
      <c r="AB684" t="s">
        <v>44</v>
      </c>
      <c r="AC684" s="4">
        <v>9.2756622499999999</v>
      </c>
      <c r="AD684" s="4">
        <v>8.9032170799999992</v>
      </c>
      <c r="AE684" s="2">
        <v>9.2799999999999994</v>
      </c>
      <c r="AF684" s="4">
        <v>8.9032170799999992</v>
      </c>
      <c r="AG684" s="2">
        <v>1.1299999999999999</v>
      </c>
      <c r="AH684" s="2">
        <v>7451126.8399999999</v>
      </c>
      <c r="AI684" s="2">
        <v>0.02</v>
      </c>
      <c r="AJ684" s="5">
        <v>44673</v>
      </c>
      <c r="AK684" t="s">
        <v>11784</v>
      </c>
      <c r="AL684" s="2">
        <v>9.07</v>
      </c>
      <c r="AM684" s="2">
        <v>8.27</v>
      </c>
      <c r="AN684" s="2">
        <v>3.1</v>
      </c>
      <c r="AO684" t="s">
        <v>11437</v>
      </c>
      <c r="AP684" t="s">
        <v>11577</v>
      </c>
      <c r="AQ684" t="s">
        <v>11576</v>
      </c>
    </row>
    <row r="685" spans="1:43" x14ac:dyDescent="0.2">
      <c r="A685" t="s">
        <v>11783</v>
      </c>
      <c r="B685" t="s">
        <v>10900</v>
      </c>
      <c r="C685" t="s">
        <v>10943</v>
      </c>
      <c r="D685" t="s">
        <v>11578</v>
      </c>
      <c r="E685" t="s">
        <v>11579</v>
      </c>
      <c r="F685" t="s">
        <v>11578</v>
      </c>
      <c r="G685" s="1">
        <v>1700000</v>
      </c>
      <c r="H685" s="2">
        <v>1700000</v>
      </c>
      <c r="I685" s="2">
        <v>1586954.42</v>
      </c>
      <c r="J685" s="2">
        <v>14149.19</v>
      </c>
      <c r="K685" s="2">
        <v>0</v>
      </c>
      <c r="L685" s="2">
        <v>1601103.61</v>
      </c>
      <c r="M685" s="3">
        <v>9.375</v>
      </c>
      <c r="N685" s="4">
        <v>3.6426800000000001E-3</v>
      </c>
      <c r="O685" s="5">
        <v>44819</v>
      </c>
      <c r="P685" s="5">
        <v>46827</v>
      </c>
      <c r="Q685" s="1">
        <v>7.8849999999999998</v>
      </c>
      <c r="R685" s="2">
        <v>4.74</v>
      </c>
      <c r="S685" s="6">
        <v>4.5243735450000004</v>
      </c>
      <c r="T685" t="s">
        <v>111</v>
      </c>
      <c r="U685" t="s">
        <v>111</v>
      </c>
      <c r="V685" t="s">
        <v>10944</v>
      </c>
      <c r="W685" t="s">
        <v>43</v>
      </c>
      <c r="X685" t="s">
        <v>44</v>
      </c>
      <c r="Y685" t="s">
        <v>44</v>
      </c>
      <c r="Z685" t="s">
        <v>44</v>
      </c>
      <c r="AA685" t="s">
        <v>11441</v>
      </c>
      <c r="AB685" t="s">
        <v>44</v>
      </c>
      <c r="AC685" s="4">
        <v>9.5947265599999998</v>
      </c>
      <c r="AD685" s="4">
        <v>9.1969716100000003</v>
      </c>
      <c r="AE685" s="2">
        <v>9.59</v>
      </c>
      <c r="AF685" s="4">
        <v>9.1969716100000003</v>
      </c>
      <c r="AG685" s="2">
        <v>0.24</v>
      </c>
      <c r="AH685" s="2">
        <v>1601103.61</v>
      </c>
      <c r="AI685" s="2">
        <v>0</v>
      </c>
      <c r="AJ685" s="5">
        <v>44673</v>
      </c>
      <c r="AK685" t="s">
        <v>11784</v>
      </c>
      <c r="AL685" s="2">
        <v>9.3800000000000008</v>
      </c>
      <c r="AM685" s="2">
        <v>7.88</v>
      </c>
      <c r="AN685" s="2">
        <v>4.5199999999999996</v>
      </c>
      <c r="AO685" t="s">
        <v>11580</v>
      </c>
      <c r="AP685" t="s">
        <v>11581</v>
      </c>
      <c r="AQ685" t="s">
        <v>11579</v>
      </c>
    </row>
    <row r="686" spans="1:43" x14ac:dyDescent="0.2">
      <c r="A686" t="s">
        <v>11783</v>
      </c>
      <c r="B686" t="s">
        <v>10900</v>
      </c>
      <c r="C686" t="s">
        <v>10943</v>
      </c>
      <c r="D686" t="s">
        <v>11582</v>
      </c>
      <c r="E686" t="s">
        <v>11583</v>
      </c>
      <c r="F686" t="s">
        <v>11582</v>
      </c>
      <c r="G686" s="1">
        <v>12400000</v>
      </c>
      <c r="H686" s="2">
        <v>12400000</v>
      </c>
      <c r="I686" s="2">
        <v>12400258.369999999</v>
      </c>
      <c r="J686" s="2">
        <v>56238.93</v>
      </c>
      <c r="K686" s="2">
        <v>0</v>
      </c>
      <c r="L686" s="2">
        <v>12456497.300000001</v>
      </c>
      <c r="M686" s="3">
        <v>6.2543709999999999</v>
      </c>
      <c r="N686" s="4">
        <v>2.833987E-2</v>
      </c>
      <c r="O686" s="5">
        <v>44739</v>
      </c>
      <c r="P686" s="5">
        <v>46383</v>
      </c>
      <c r="Q686" s="1">
        <v>6.367</v>
      </c>
      <c r="R686" s="2">
        <v>0.17</v>
      </c>
      <c r="S686" s="6">
        <v>0.11195984108699999</v>
      </c>
      <c r="T686" t="s">
        <v>111</v>
      </c>
      <c r="U686" t="s">
        <v>111</v>
      </c>
      <c r="V686" t="s">
        <v>11189</v>
      </c>
      <c r="W686" t="s">
        <v>43</v>
      </c>
      <c r="X686" t="s">
        <v>11034</v>
      </c>
      <c r="Y686" t="s">
        <v>44</v>
      </c>
      <c r="Z686" t="s">
        <v>44</v>
      </c>
      <c r="AA686" t="s">
        <v>11035</v>
      </c>
      <c r="AB686" t="s">
        <v>44</v>
      </c>
      <c r="AC686" s="4">
        <v>6.3521637200000001</v>
      </c>
      <c r="AD686" s="4">
        <v>6.1744004700000001</v>
      </c>
      <c r="AE686" s="2">
        <v>6.35</v>
      </c>
      <c r="AF686" s="4">
        <v>6.1744004700000001</v>
      </c>
      <c r="AG686" s="2">
        <v>1.89</v>
      </c>
      <c r="AH686" s="2">
        <v>12456497.300000001</v>
      </c>
      <c r="AI686" s="2">
        <v>0.03</v>
      </c>
      <c r="AJ686" s="5">
        <v>44673</v>
      </c>
      <c r="AK686" t="s">
        <v>11784</v>
      </c>
      <c r="AL686" s="2">
        <v>6.25</v>
      </c>
      <c r="AM686" s="2">
        <v>6.37</v>
      </c>
      <c r="AN686" s="2">
        <v>0.11</v>
      </c>
      <c r="AO686" t="s">
        <v>11036</v>
      </c>
      <c r="AP686" t="s">
        <v>11584</v>
      </c>
      <c r="AQ686" t="s">
        <v>11583</v>
      </c>
    </row>
    <row r="687" spans="1:43" x14ac:dyDescent="0.2">
      <c r="A687" t="s">
        <v>11783</v>
      </c>
      <c r="B687" t="s">
        <v>10900</v>
      </c>
      <c r="C687" t="s">
        <v>10943</v>
      </c>
      <c r="D687" t="s">
        <v>11588</v>
      </c>
      <c r="E687" t="s">
        <v>11589</v>
      </c>
      <c r="F687" t="s">
        <v>11588</v>
      </c>
      <c r="G687" s="1">
        <v>12400000</v>
      </c>
      <c r="H687" s="2">
        <v>12400000</v>
      </c>
      <c r="I687" s="2">
        <v>12400002.029999999</v>
      </c>
      <c r="J687" s="2">
        <v>73109.72</v>
      </c>
      <c r="K687" s="2">
        <v>0</v>
      </c>
      <c r="L687" s="2">
        <v>12473111.75</v>
      </c>
      <c r="M687" s="3">
        <v>8.1643709999999992</v>
      </c>
      <c r="N687" s="4">
        <v>2.8377670000000001E-2</v>
      </c>
      <c r="O687" s="5">
        <v>44739</v>
      </c>
      <c r="P687" s="5">
        <v>46383</v>
      </c>
      <c r="Q687" s="1">
        <v>8.2769999999999992</v>
      </c>
      <c r="R687" s="2">
        <v>0.17</v>
      </c>
      <c r="S687" s="6">
        <v>6.6173810217000001E-2</v>
      </c>
      <c r="T687" t="s">
        <v>111</v>
      </c>
      <c r="U687" t="s">
        <v>111</v>
      </c>
      <c r="V687" t="s">
        <v>11189</v>
      </c>
      <c r="W687" t="s">
        <v>43</v>
      </c>
      <c r="X687" t="s">
        <v>11034</v>
      </c>
      <c r="Y687" t="s">
        <v>44</v>
      </c>
      <c r="Z687" t="s">
        <v>44</v>
      </c>
      <c r="AA687" t="s">
        <v>11035</v>
      </c>
      <c r="AB687" t="s">
        <v>44</v>
      </c>
      <c r="AC687" s="4">
        <v>8.3310132100000001</v>
      </c>
      <c r="AD687" s="4">
        <v>8.0288693599999998</v>
      </c>
      <c r="AE687" s="2">
        <v>8.33</v>
      </c>
      <c r="AF687" s="4">
        <v>8.0288693599999998</v>
      </c>
      <c r="AG687" s="2">
        <v>1.89</v>
      </c>
      <c r="AH687" s="2">
        <v>12473111.75</v>
      </c>
      <c r="AI687" s="2">
        <v>0.03</v>
      </c>
      <c r="AJ687" s="5">
        <v>44673</v>
      </c>
      <c r="AK687" t="s">
        <v>11784</v>
      </c>
      <c r="AL687" s="2">
        <v>8.16</v>
      </c>
      <c r="AM687" s="2">
        <v>8.2799999999999994</v>
      </c>
      <c r="AN687" s="2">
        <v>7.0000000000000007E-2</v>
      </c>
      <c r="AO687" t="s">
        <v>11036</v>
      </c>
      <c r="AP687" t="s">
        <v>11590</v>
      </c>
      <c r="AQ687" t="s">
        <v>11589</v>
      </c>
    </row>
    <row r="688" spans="1:43" x14ac:dyDescent="0.2">
      <c r="A688" t="s">
        <v>11783</v>
      </c>
      <c r="B688" t="s">
        <v>10900</v>
      </c>
      <c r="C688" t="s">
        <v>10943</v>
      </c>
      <c r="D688" t="s">
        <v>11135</v>
      </c>
      <c r="E688" t="s">
        <v>10946</v>
      </c>
      <c r="F688" t="s">
        <v>11135</v>
      </c>
      <c r="G688" s="1">
        <v>67180000</v>
      </c>
      <c r="H688" s="2">
        <v>74540694.329999998</v>
      </c>
      <c r="I688" s="2">
        <v>72986333.810000002</v>
      </c>
      <c r="J688" s="2">
        <v>2377067.67</v>
      </c>
      <c r="K688" s="2">
        <v>0</v>
      </c>
      <c r="L688" s="2">
        <v>75363401.480000004</v>
      </c>
      <c r="M688" s="3">
        <v>8.2249999999999996</v>
      </c>
      <c r="N688" s="4">
        <v>0.17145985</v>
      </c>
      <c r="O688" s="5">
        <v>44733</v>
      </c>
      <c r="P688" s="5">
        <v>46377</v>
      </c>
      <c r="Q688" s="1">
        <v>10.5</v>
      </c>
      <c r="R688" s="2">
        <v>3.72</v>
      </c>
      <c r="S688" s="6">
        <v>3.572672968</v>
      </c>
      <c r="T688" t="s">
        <v>111</v>
      </c>
      <c r="U688" t="s">
        <v>111</v>
      </c>
      <c r="V688" t="s">
        <v>10944</v>
      </c>
      <c r="W688" t="s">
        <v>43</v>
      </c>
      <c r="X688" t="s">
        <v>10945</v>
      </c>
      <c r="Y688" t="s">
        <v>44</v>
      </c>
      <c r="Z688" t="s">
        <v>44</v>
      </c>
      <c r="AA688" t="s">
        <v>10913</v>
      </c>
      <c r="AB688" t="s">
        <v>44</v>
      </c>
      <c r="AC688" s="4">
        <v>8.3941265600000001</v>
      </c>
      <c r="AD688" s="4">
        <v>8.0875032299999994</v>
      </c>
      <c r="AE688" s="2">
        <v>8.39</v>
      </c>
      <c r="AF688" s="4">
        <v>8.0875032299999994</v>
      </c>
      <c r="AG688" s="2">
        <v>11.44</v>
      </c>
      <c r="AH688" s="2">
        <v>75363401.480000004</v>
      </c>
      <c r="AI688" s="2">
        <v>0.17</v>
      </c>
      <c r="AJ688" s="5">
        <v>44673</v>
      </c>
      <c r="AK688" t="s">
        <v>11784</v>
      </c>
      <c r="AL688" s="2">
        <v>8.23</v>
      </c>
      <c r="AM688" s="2">
        <v>10.5</v>
      </c>
      <c r="AN688" s="2">
        <v>3.57</v>
      </c>
      <c r="AO688" t="s">
        <v>10922</v>
      </c>
      <c r="AP688" t="s">
        <v>11136</v>
      </c>
      <c r="AQ688" t="s">
        <v>10946</v>
      </c>
    </row>
    <row r="689" spans="1:43" x14ac:dyDescent="0.2">
      <c r="A689" t="s">
        <v>11783</v>
      </c>
      <c r="B689" t="s">
        <v>10900</v>
      </c>
      <c r="C689" t="s">
        <v>10943</v>
      </c>
      <c r="D689" t="s">
        <v>12863</v>
      </c>
      <c r="E689" t="s">
        <v>12864</v>
      </c>
      <c r="F689" t="s">
        <v>12863</v>
      </c>
      <c r="G689" s="1">
        <v>3300000</v>
      </c>
      <c r="H689" s="2">
        <v>3300000</v>
      </c>
      <c r="I689" s="2">
        <v>3303748.46</v>
      </c>
      <c r="J689" s="2">
        <v>11799.72</v>
      </c>
      <c r="K689" s="2">
        <v>0</v>
      </c>
      <c r="L689" s="2">
        <v>3315548.18</v>
      </c>
      <c r="M689" s="3">
        <v>8.0409749999999995</v>
      </c>
      <c r="N689" s="4">
        <v>7.5432299999999997E-3</v>
      </c>
      <c r="O689" s="5">
        <v>44750</v>
      </c>
      <c r="P689" s="5">
        <v>46485</v>
      </c>
      <c r="Q689" s="1">
        <v>8.157</v>
      </c>
      <c r="R689" s="2">
        <v>0.2</v>
      </c>
      <c r="S689" s="6">
        <v>9.4975697833E-2</v>
      </c>
      <c r="T689" t="s">
        <v>111</v>
      </c>
      <c r="U689" t="s">
        <v>111</v>
      </c>
      <c r="V689" t="s">
        <v>11189</v>
      </c>
      <c r="W689" t="s">
        <v>43</v>
      </c>
      <c r="X689" t="s">
        <v>11034</v>
      </c>
      <c r="Y689" t="s">
        <v>44</v>
      </c>
      <c r="Z689" t="s">
        <v>44</v>
      </c>
      <c r="AA689" t="s">
        <v>11035</v>
      </c>
      <c r="AB689" t="s">
        <v>44</v>
      </c>
      <c r="AC689" s="4">
        <v>8.2026182599999995</v>
      </c>
      <c r="AD689" s="4">
        <v>7.9094905600000001</v>
      </c>
      <c r="AE689" s="2">
        <v>8.1999999999999993</v>
      </c>
      <c r="AF689" s="4">
        <v>7.9094905600000001</v>
      </c>
      <c r="AG689" s="2">
        <v>0.5</v>
      </c>
      <c r="AH689" s="2">
        <v>3315548.18</v>
      </c>
      <c r="AI689" s="2">
        <v>0.01</v>
      </c>
      <c r="AJ689" s="5">
        <v>44673</v>
      </c>
      <c r="AK689" t="s">
        <v>11784</v>
      </c>
      <c r="AL689" s="2">
        <v>8.0399999999999991</v>
      </c>
      <c r="AM689" s="2">
        <v>8.16</v>
      </c>
      <c r="AN689" s="2">
        <v>0.09</v>
      </c>
      <c r="AO689" t="s">
        <v>11496</v>
      </c>
      <c r="AP689" t="s">
        <v>12865</v>
      </c>
      <c r="AQ689" t="s">
        <v>12864</v>
      </c>
    </row>
    <row r="690" spans="1:43" x14ac:dyDescent="0.2">
      <c r="A690" t="s">
        <v>11783</v>
      </c>
      <c r="B690" t="s">
        <v>10900</v>
      </c>
      <c r="C690" t="s">
        <v>10943</v>
      </c>
      <c r="D690" t="s">
        <v>11852</v>
      </c>
      <c r="E690" t="s">
        <v>11853</v>
      </c>
      <c r="F690" t="s">
        <v>11852</v>
      </c>
      <c r="G690" s="1">
        <v>9372000</v>
      </c>
      <c r="H690" s="2">
        <v>9695030.1600000001</v>
      </c>
      <c r="I690" s="2">
        <v>9915439.1999999993</v>
      </c>
      <c r="J690" s="2">
        <v>60374.17</v>
      </c>
      <c r="K690" s="2">
        <v>0</v>
      </c>
      <c r="L690" s="2">
        <v>9975813.3699999992</v>
      </c>
      <c r="M690" s="3">
        <v>5.9243709999999998</v>
      </c>
      <c r="N690" s="4">
        <v>2.2696049999999999E-2</v>
      </c>
      <c r="O690" s="5">
        <v>44739</v>
      </c>
      <c r="P690" s="5">
        <v>45833</v>
      </c>
      <c r="Q690" s="1">
        <v>8.1080000000000005</v>
      </c>
      <c r="R690" s="2">
        <v>0.17</v>
      </c>
      <c r="S690" s="6">
        <v>0.20785827684899999</v>
      </c>
      <c r="T690" t="s">
        <v>111</v>
      </c>
      <c r="U690" t="s">
        <v>111</v>
      </c>
      <c r="V690" t="s">
        <v>11189</v>
      </c>
      <c r="W690" t="s">
        <v>43</v>
      </c>
      <c r="X690" t="s">
        <v>11034</v>
      </c>
      <c r="Y690" t="s">
        <v>44</v>
      </c>
      <c r="Z690" t="s">
        <v>44</v>
      </c>
      <c r="AA690" t="s">
        <v>10979</v>
      </c>
      <c r="AB690" t="s">
        <v>44</v>
      </c>
      <c r="AC690" s="4">
        <v>6.0121162500000001</v>
      </c>
      <c r="AD690" s="4">
        <v>5.8525461400000003</v>
      </c>
      <c r="AE690" s="2">
        <v>6.01</v>
      </c>
      <c r="AF690" s="4">
        <v>5.8525461400000003</v>
      </c>
      <c r="AG690" s="2">
        <v>1.51</v>
      </c>
      <c r="AH690" s="2">
        <v>9975813.3699999992</v>
      </c>
      <c r="AI690" s="2">
        <v>0.02</v>
      </c>
      <c r="AJ690" s="5">
        <v>44673</v>
      </c>
      <c r="AK690" t="s">
        <v>11784</v>
      </c>
      <c r="AL690" s="2">
        <v>5.92</v>
      </c>
      <c r="AM690" s="2">
        <v>8.11</v>
      </c>
      <c r="AN690" s="2">
        <v>0.21</v>
      </c>
      <c r="AO690" t="s">
        <v>11179</v>
      </c>
      <c r="AP690" t="s">
        <v>11854</v>
      </c>
      <c r="AQ690" t="s">
        <v>11853</v>
      </c>
    </row>
    <row r="691" spans="1:43" x14ac:dyDescent="0.2">
      <c r="A691" t="s">
        <v>11783</v>
      </c>
      <c r="B691" t="s">
        <v>10900</v>
      </c>
      <c r="C691" t="s">
        <v>10943</v>
      </c>
      <c r="D691" t="s">
        <v>11855</v>
      </c>
      <c r="E691" t="s">
        <v>11856</v>
      </c>
      <c r="F691" t="s">
        <v>11855</v>
      </c>
      <c r="G691" s="1">
        <v>455000</v>
      </c>
      <c r="H691" s="2">
        <v>492519.05</v>
      </c>
      <c r="I691" s="2">
        <v>473902.61</v>
      </c>
      <c r="J691" s="2">
        <v>16101.02</v>
      </c>
      <c r="K691" s="2">
        <v>0</v>
      </c>
      <c r="L691" s="2">
        <v>490003.63</v>
      </c>
      <c r="M691" s="3">
        <v>8.76</v>
      </c>
      <c r="N691" s="4">
        <v>1.1148099999999999E-3</v>
      </c>
      <c r="O691" s="5">
        <v>44724</v>
      </c>
      <c r="P691" s="5">
        <v>46550</v>
      </c>
      <c r="Q691" s="1">
        <v>9.7850000000000001</v>
      </c>
      <c r="R691" s="2">
        <v>4.04</v>
      </c>
      <c r="S691" s="6">
        <v>3.8707805450000001</v>
      </c>
      <c r="T691" t="s">
        <v>111</v>
      </c>
      <c r="U691" t="s">
        <v>111</v>
      </c>
      <c r="V691" t="s">
        <v>10944</v>
      </c>
      <c r="W691" t="s">
        <v>43</v>
      </c>
      <c r="X691" t="s">
        <v>10988</v>
      </c>
      <c r="Y691" t="s">
        <v>44</v>
      </c>
      <c r="Z691" t="s">
        <v>44</v>
      </c>
      <c r="AA691" t="s">
        <v>10979</v>
      </c>
      <c r="AB691" t="s">
        <v>44</v>
      </c>
      <c r="AC691" s="4">
        <v>8.9518439999999995</v>
      </c>
      <c r="AD691" s="4">
        <v>8.6042807299999993</v>
      </c>
      <c r="AE691" s="2">
        <v>8.9499999999999993</v>
      </c>
      <c r="AF691" s="4">
        <v>8.6042807299999993</v>
      </c>
      <c r="AG691" s="2">
        <v>7.0000000000000007E-2</v>
      </c>
      <c r="AH691" s="2">
        <v>490003.63</v>
      </c>
      <c r="AI691" s="2">
        <v>0</v>
      </c>
      <c r="AJ691" s="5">
        <v>44673</v>
      </c>
      <c r="AK691" t="s">
        <v>11784</v>
      </c>
      <c r="AL691" s="2">
        <v>8.76</v>
      </c>
      <c r="AM691" s="2">
        <v>9.7899999999999991</v>
      </c>
      <c r="AN691" s="2">
        <v>3.87</v>
      </c>
      <c r="AO691" t="s">
        <v>11179</v>
      </c>
      <c r="AP691" t="s">
        <v>11857</v>
      </c>
      <c r="AQ691" t="s">
        <v>11856</v>
      </c>
    </row>
    <row r="692" spans="1:43" x14ac:dyDescent="0.2">
      <c r="A692" t="s">
        <v>11783</v>
      </c>
      <c r="B692" t="s">
        <v>10900</v>
      </c>
      <c r="C692" t="s">
        <v>10943</v>
      </c>
      <c r="D692" t="s">
        <v>11858</v>
      </c>
      <c r="E692" t="s">
        <v>11859</v>
      </c>
      <c r="F692" t="s">
        <v>11858</v>
      </c>
      <c r="G692" s="1">
        <v>700000</v>
      </c>
      <c r="H692" s="2">
        <v>700000</v>
      </c>
      <c r="I692" s="2">
        <v>683012.54</v>
      </c>
      <c r="J692" s="2">
        <v>14560.77</v>
      </c>
      <c r="K692" s="2">
        <v>0</v>
      </c>
      <c r="L692" s="2">
        <v>697573.31</v>
      </c>
      <c r="M692" s="3">
        <v>10.77</v>
      </c>
      <c r="N692" s="4">
        <v>1.58705E-3</v>
      </c>
      <c r="O692" s="5">
        <v>44780</v>
      </c>
      <c r="P692" s="5">
        <v>47156</v>
      </c>
      <c r="Q692" s="1">
        <v>10.26</v>
      </c>
      <c r="R692" s="2">
        <v>4.92</v>
      </c>
      <c r="S692" s="6">
        <v>4.6700968569999999</v>
      </c>
      <c r="T692" t="s">
        <v>111</v>
      </c>
      <c r="U692" t="s">
        <v>111</v>
      </c>
      <c r="V692" t="s">
        <v>10944</v>
      </c>
      <c r="W692" t="s">
        <v>43</v>
      </c>
      <c r="X692" t="s">
        <v>44</v>
      </c>
      <c r="Y692" t="s">
        <v>44</v>
      </c>
      <c r="Z692" t="s">
        <v>44</v>
      </c>
      <c r="AA692" t="s">
        <v>10979</v>
      </c>
      <c r="AB692" t="s">
        <v>44</v>
      </c>
      <c r="AC692" s="4">
        <v>11.059982249999999</v>
      </c>
      <c r="AD692" s="4">
        <v>10.536009160000001</v>
      </c>
      <c r="AE692" s="2">
        <v>11.06</v>
      </c>
      <c r="AF692" s="4">
        <v>10.536009160000001</v>
      </c>
      <c r="AG692" s="2">
        <v>0.11</v>
      </c>
      <c r="AH692" s="2">
        <v>697573.31</v>
      </c>
      <c r="AI692" s="2">
        <v>0</v>
      </c>
      <c r="AJ692" s="5">
        <v>44673</v>
      </c>
      <c r="AK692" t="s">
        <v>11784</v>
      </c>
      <c r="AL692" s="2">
        <v>10.77</v>
      </c>
      <c r="AM692" s="2">
        <v>10.26</v>
      </c>
      <c r="AN692" s="2">
        <v>4.67</v>
      </c>
      <c r="AO692" t="s">
        <v>10982</v>
      </c>
      <c r="AP692" t="s">
        <v>11860</v>
      </c>
      <c r="AQ692" t="s">
        <v>11859</v>
      </c>
    </row>
    <row r="693" spans="1:43" x14ac:dyDescent="0.2">
      <c r="A693" t="s">
        <v>11783</v>
      </c>
      <c r="B693" t="s">
        <v>10900</v>
      </c>
      <c r="C693" t="s">
        <v>11137</v>
      </c>
      <c r="D693" t="s">
        <v>11594</v>
      </c>
      <c r="E693" t="s">
        <v>11595</v>
      </c>
      <c r="F693" t="s">
        <v>11594</v>
      </c>
      <c r="G693" s="1">
        <v>60391000</v>
      </c>
      <c r="H693" s="2">
        <v>56021416.479999997</v>
      </c>
      <c r="I693" s="2">
        <v>54447957.920000002</v>
      </c>
      <c r="J693" s="2">
        <v>1085383.45</v>
      </c>
      <c r="K693" s="2">
        <v>0</v>
      </c>
      <c r="L693" s="2">
        <v>55533341.369999997</v>
      </c>
      <c r="M693" s="3">
        <v>9.84</v>
      </c>
      <c r="N693" s="4">
        <v>0.12634433</v>
      </c>
      <c r="O693" s="5">
        <v>44774</v>
      </c>
      <c r="P693" s="5">
        <v>47514</v>
      </c>
      <c r="Q693" s="1">
        <v>8</v>
      </c>
      <c r="R693" s="2">
        <v>5.71</v>
      </c>
      <c r="S693" s="6">
        <v>5.4383328750000004</v>
      </c>
      <c r="T693" t="s">
        <v>111</v>
      </c>
      <c r="U693" t="s">
        <v>111</v>
      </c>
      <c r="V693" t="s">
        <v>10944</v>
      </c>
      <c r="W693" t="s">
        <v>43</v>
      </c>
      <c r="X693" t="s">
        <v>10945</v>
      </c>
      <c r="Y693" t="s">
        <v>44</v>
      </c>
      <c r="Z693" t="s">
        <v>44</v>
      </c>
      <c r="AA693" t="s">
        <v>10913</v>
      </c>
      <c r="AB693" t="s">
        <v>44</v>
      </c>
      <c r="AC693" s="4">
        <v>10.082064000000001</v>
      </c>
      <c r="AD693" s="4">
        <v>9.6441413499999999</v>
      </c>
      <c r="AE693" s="2">
        <v>10.08</v>
      </c>
      <c r="AF693" s="4">
        <v>9.6441413499999999</v>
      </c>
      <c r="AG693" s="2">
        <v>8.43</v>
      </c>
      <c r="AH693" s="2">
        <v>55533341.369999997</v>
      </c>
      <c r="AI693" s="2">
        <v>0.13</v>
      </c>
      <c r="AJ693" s="5">
        <v>44673</v>
      </c>
      <c r="AK693" t="s">
        <v>11784</v>
      </c>
      <c r="AL693" s="2">
        <v>9.84</v>
      </c>
      <c r="AM693" s="2">
        <v>8</v>
      </c>
      <c r="AN693" s="2">
        <v>5.44</v>
      </c>
      <c r="AO693" t="s">
        <v>10922</v>
      </c>
      <c r="AP693" t="s">
        <v>11596</v>
      </c>
      <c r="AQ693" t="s">
        <v>11595</v>
      </c>
    </row>
    <row r="694" spans="1:43" x14ac:dyDescent="0.2">
      <c r="A694" t="s">
        <v>11783</v>
      </c>
      <c r="B694" t="s">
        <v>10900</v>
      </c>
      <c r="C694" t="s">
        <v>10950</v>
      </c>
      <c r="D694" t="s">
        <v>10983</v>
      </c>
      <c r="E694" t="s">
        <v>10984</v>
      </c>
      <c r="F694" t="s">
        <v>10983</v>
      </c>
      <c r="G694" s="1">
        <v>476000</v>
      </c>
      <c r="H694" s="2">
        <v>407512.97</v>
      </c>
      <c r="I694" s="2">
        <v>397999.07</v>
      </c>
      <c r="J694" s="2">
        <v>9089.64</v>
      </c>
      <c r="K694" s="2">
        <v>0</v>
      </c>
      <c r="L694" s="2">
        <v>407088.71</v>
      </c>
      <c r="M694" s="3">
        <v>10.734999999999999</v>
      </c>
      <c r="N694" s="4">
        <v>9.2617000000000003E-4</v>
      </c>
      <c r="O694" s="5">
        <v>44774</v>
      </c>
      <c r="P694" s="5">
        <v>50071</v>
      </c>
      <c r="Q694" s="1">
        <v>8.5</v>
      </c>
      <c r="R694" s="2">
        <v>7.91</v>
      </c>
      <c r="S694" s="6">
        <v>7.5106016819999999</v>
      </c>
      <c r="T694" t="s">
        <v>111</v>
      </c>
      <c r="U694" t="s">
        <v>111</v>
      </c>
      <c r="V694" t="s">
        <v>10944</v>
      </c>
      <c r="W694" t="s">
        <v>43</v>
      </c>
      <c r="X694" t="s">
        <v>10945</v>
      </c>
      <c r="Y694" t="s">
        <v>44</v>
      </c>
      <c r="Z694" t="s">
        <v>44</v>
      </c>
      <c r="AA694" t="s">
        <v>10913</v>
      </c>
      <c r="AB694" t="s">
        <v>44</v>
      </c>
      <c r="AC694" s="4">
        <v>11.02310056</v>
      </c>
      <c r="AD694" s="4">
        <v>10.50250368</v>
      </c>
      <c r="AE694" s="2">
        <v>11.02</v>
      </c>
      <c r="AF694" s="4">
        <v>10.50250368</v>
      </c>
      <c r="AG694" s="2">
        <v>0.06</v>
      </c>
      <c r="AH694" s="2">
        <v>407088.71</v>
      </c>
      <c r="AI694" s="2">
        <v>0</v>
      </c>
      <c r="AJ694" s="5">
        <v>44673</v>
      </c>
      <c r="AK694" t="s">
        <v>11784</v>
      </c>
      <c r="AL694" s="2">
        <v>10.73</v>
      </c>
      <c r="AM694" s="2">
        <v>8.5</v>
      </c>
      <c r="AN694" s="2">
        <v>7.51</v>
      </c>
      <c r="AO694" t="s">
        <v>10922</v>
      </c>
      <c r="AP694" t="s">
        <v>10985</v>
      </c>
      <c r="AQ694" t="s">
        <v>10984</v>
      </c>
    </row>
    <row r="695" spans="1:43" x14ac:dyDescent="0.2">
      <c r="A695" t="s">
        <v>11783</v>
      </c>
      <c r="B695" t="s">
        <v>10900</v>
      </c>
      <c r="C695" t="s">
        <v>10990</v>
      </c>
      <c r="D695" t="s">
        <v>11603</v>
      </c>
      <c r="E695" t="s">
        <v>11604</v>
      </c>
      <c r="F695" t="s">
        <v>11603</v>
      </c>
      <c r="G695" s="1">
        <v>2445500</v>
      </c>
      <c r="H695" s="2">
        <v>7642245.6299999999</v>
      </c>
      <c r="I695" s="2">
        <v>7900081.0999999996</v>
      </c>
      <c r="J695" s="2">
        <v>152513.82999999999</v>
      </c>
      <c r="K695" s="2">
        <v>0</v>
      </c>
      <c r="L695" s="2">
        <v>8052594.9299999997</v>
      </c>
      <c r="M695" s="3">
        <v>1.165</v>
      </c>
      <c r="N695" s="4">
        <v>1.832052E-2</v>
      </c>
      <c r="O695" s="5">
        <v>44719</v>
      </c>
      <c r="P695" s="5">
        <v>45267</v>
      </c>
      <c r="Q695" s="1">
        <v>5.5</v>
      </c>
      <c r="R695" s="2">
        <v>1.54</v>
      </c>
      <c r="S695" s="6">
        <v>1.5339230509999999</v>
      </c>
      <c r="T695" t="s">
        <v>111</v>
      </c>
      <c r="U695" t="s">
        <v>111</v>
      </c>
      <c r="V695" t="s">
        <v>10992</v>
      </c>
      <c r="W695" t="s">
        <v>43</v>
      </c>
      <c r="X695" t="s">
        <v>10945</v>
      </c>
      <c r="Y695" t="s">
        <v>44</v>
      </c>
      <c r="Z695" t="s">
        <v>44</v>
      </c>
      <c r="AA695" t="s">
        <v>10913</v>
      </c>
      <c r="AB695" t="s">
        <v>44</v>
      </c>
      <c r="AC695" s="4">
        <v>1.1683930600000001</v>
      </c>
      <c r="AD695" s="4">
        <v>1.1621824700000001</v>
      </c>
      <c r="AE695" s="2">
        <v>1.17</v>
      </c>
      <c r="AF695" s="4">
        <v>1.1621824700000001</v>
      </c>
      <c r="AG695" s="2">
        <v>1.22</v>
      </c>
      <c r="AH695" s="2">
        <v>8052594.9299999997</v>
      </c>
      <c r="AI695" s="2">
        <v>0.02</v>
      </c>
      <c r="AJ695" s="5">
        <v>44673</v>
      </c>
      <c r="AK695" t="s">
        <v>11784</v>
      </c>
      <c r="AL695" s="2">
        <v>1.1599999999999999</v>
      </c>
      <c r="AM695" s="2">
        <v>5.5</v>
      </c>
      <c r="AN695" s="2">
        <v>1.53</v>
      </c>
      <c r="AO695" t="s">
        <v>10922</v>
      </c>
      <c r="AP695" t="s">
        <v>11605</v>
      </c>
      <c r="AQ695" t="s">
        <v>11604</v>
      </c>
    </row>
    <row r="696" spans="1:43" x14ac:dyDescent="0.2">
      <c r="A696" t="s">
        <v>11783</v>
      </c>
      <c r="B696" t="s">
        <v>45</v>
      </c>
      <c r="C696" t="s">
        <v>11000</v>
      </c>
      <c r="D696" t="s">
        <v>11421</v>
      </c>
      <c r="E696" t="s">
        <v>11422</v>
      </c>
      <c r="F696" t="s">
        <v>11421</v>
      </c>
      <c r="G696" s="1">
        <v>23000000</v>
      </c>
      <c r="H696" s="2">
        <v>23000000</v>
      </c>
      <c r="I696" s="2">
        <v>23000000</v>
      </c>
      <c r="J696" s="2">
        <v>102295.89</v>
      </c>
      <c r="K696" s="2">
        <v>0</v>
      </c>
      <c r="L696" s="2">
        <v>23102295.890000001</v>
      </c>
      <c r="M696" s="3">
        <v>4.2</v>
      </c>
      <c r="N696" s="4">
        <v>5.2560210000000003E-2</v>
      </c>
      <c r="O696" s="5" t="s">
        <v>44</v>
      </c>
      <c r="P696" s="5">
        <v>55153</v>
      </c>
      <c r="Q696" s="1">
        <v>4.2</v>
      </c>
      <c r="R696" s="2">
        <v>0.08</v>
      </c>
      <c r="S696" s="6">
        <v>2.5947269999999998E-3</v>
      </c>
      <c r="T696" t="s">
        <v>112</v>
      </c>
      <c r="U696" t="s">
        <v>46</v>
      </c>
      <c r="V696" t="s">
        <v>11270</v>
      </c>
      <c r="W696" t="s">
        <v>43</v>
      </c>
      <c r="X696" t="s">
        <v>44</v>
      </c>
      <c r="Y696" t="s">
        <v>44</v>
      </c>
      <c r="Z696" t="s">
        <v>44</v>
      </c>
      <c r="AA696" t="s">
        <v>10913</v>
      </c>
      <c r="AB696" t="s">
        <v>44</v>
      </c>
      <c r="AC696" s="4">
        <v>4.2819052299999996</v>
      </c>
      <c r="AD696" s="4">
        <v>4.20010057</v>
      </c>
      <c r="AE696" s="2">
        <v>4.28</v>
      </c>
      <c r="AF696" s="4">
        <v>4.20010057</v>
      </c>
      <c r="AG696" s="2">
        <v>3.51</v>
      </c>
      <c r="AH696" s="2">
        <v>23102295.890000001</v>
      </c>
      <c r="AI696" s="2">
        <v>0.05</v>
      </c>
      <c r="AJ696" s="5">
        <v>44673</v>
      </c>
      <c r="AK696" t="s">
        <v>11784</v>
      </c>
      <c r="AL696" s="2">
        <v>4.24</v>
      </c>
      <c r="AM696" s="2">
        <v>4.2</v>
      </c>
      <c r="AN696" s="2">
        <v>0</v>
      </c>
      <c r="AO696" t="s">
        <v>11423</v>
      </c>
      <c r="AP696" t="s">
        <v>44</v>
      </c>
      <c r="AQ696" t="s">
        <v>11422</v>
      </c>
    </row>
    <row r="697" spans="1:43" x14ac:dyDescent="0.2">
      <c r="A697" t="s">
        <v>11783</v>
      </c>
      <c r="B697" t="s">
        <v>45</v>
      </c>
      <c r="C697" t="s">
        <v>11000</v>
      </c>
      <c r="D697" t="s">
        <v>11424</v>
      </c>
      <c r="E697" t="s">
        <v>11425</v>
      </c>
      <c r="F697" t="s">
        <v>11424</v>
      </c>
      <c r="G697" s="1">
        <v>31000000</v>
      </c>
      <c r="H697" s="2">
        <v>31000000</v>
      </c>
      <c r="I697" s="2">
        <v>31000000</v>
      </c>
      <c r="J697" s="2">
        <v>58569.86</v>
      </c>
      <c r="K697" s="2">
        <v>0</v>
      </c>
      <c r="L697" s="2">
        <v>31058569.859999999</v>
      </c>
      <c r="M697" s="3">
        <v>4.2</v>
      </c>
      <c r="N697" s="4">
        <v>7.0661589999999996E-2</v>
      </c>
      <c r="O697" s="5" t="s">
        <v>44</v>
      </c>
      <c r="P697" s="5">
        <v>55153</v>
      </c>
      <c r="Q697" s="1">
        <v>4.2</v>
      </c>
      <c r="R697" s="2">
        <v>0.08</v>
      </c>
      <c r="S697" s="6">
        <v>2.5986049999999999E-3</v>
      </c>
      <c r="T697" t="s">
        <v>112</v>
      </c>
      <c r="U697" t="s">
        <v>46</v>
      </c>
      <c r="V697" t="s">
        <v>11270</v>
      </c>
      <c r="W697" t="s">
        <v>43</v>
      </c>
      <c r="X697" t="s">
        <v>44</v>
      </c>
      <c r="Y697" t="s">
        <v>44</v>
      </c>
      <c r="Z697" t="s">
        <v>44</v>
      </c>
      <c r="AA697" t="s">
        <v>11035</v>
      </c>
      <c r="AB697" t="s">
        <v>44</v>
      </c>
      <c r="AC697" s="4">
        <v>4.2819052299999996</v>
      </c>
      <c r="AD697" s="4">
        <v>4.20010057</v>
      </c>
      <c r="AE697" s="2">
        <v>4.28</v>
      </c>
      <c r="AF697" s="4">
        <v>4.20010057</v>
      </c>
      <c r="AG697" s="2">
        <v>4.71</v>
      </c>
      <c r="AH697" s="2">
        <v>31058569.859999999</v>
      </c>
      <c r="AI697" s="2">
        <v>7.0000000000000007E-2</v>
      </c>
      <c r="AJ697" s="5">
        <v>44673</v>
      </c>
      <c r="AK697" t="s">
        <v>11784</v>
      </c>
      <c r="AL697" s="2">
        <v>4.24</v>
      </c>
      <c r="AM697" s="2">
        <v>4.2</v>
      </c>
      <c r="AN697" s="2">
        <v>0</v>
      </c>
      <c r="AO697" t="s">
        <v>11053</v>
      </c>
      <c r="AP697" t="s">
        <v>44</v>
      </c>
      <c r="AQ697" t="s">
        <v>11425</v>
      </c>
    </row>
    <row r="698" spans="1:43" x14ac:dyDescent="0.2">
      <c r="A698" t="s">
        <v>11783</v>
      </c>
      <c r="B698" t="s">
        <v>45</v>
      </c>
      <c r="C698" t="s">
        <v>47</v>
      </c>
      <c r="D698" t="s">
        <v>48</v>
      </c>
      <c r="E698" t="s">
        <v>49</v>
      </c>
      <c r="F698" t="s">
        <v>50</v>
      </c>
      <c r="G698" s="1">
        <v>0</v>
      </c>
      <c r="H698" s="2">
        <v>0</v>
      </c>
      <c r="I698" s="2">
        <v>0</v>
      </c>
      <c r="J698" s="2">
        <v>0</v>
      </c>
      <c r="K698" s="2">
        <v>0</v>
      </c>
      <c r="L698" s="2">
        <v>4128.28</v>
      </c>
      <c r="M698" s="3"/>
      <c r="N698" s="4">
        <v>9.3899999999999999E-6</v>
      </c>
      <c r="O698" s="5" t="s">
        <v>44</v>
      </c>
      <c r="P698" s="5" t="s">
        <v>44</v>
      </c>
      <c r="Q698" s="1"/>
      <c r="R698" s="2">
        <v>0.08</v>
      </c>
      <c r="S698" s="6"/>
      <c r="T698" t="s">
        <v>45</v>
      </c>
      <c r="U698" t="s">
        <v>46</v>
      </c>
      <c r="V698" t="s">
        <v>44</v>
      </c>
      <c r="W698" t="s">
        <v>43</v>
      </c>
      <c r="X698" t="s">
        <v>44</v>
      </c>
      <c r="Y698" t="s">
        <v>44</v>
      </c>
      <c r="Z698" t="s">
        <v>44</v>
      </c>
      <c r="AA698" t="s">
        <v>44</v>
      </c>
      <c r="AB698" t="s">
        <v>44</v>
      </c>
      <c r="AC698" s="4">
        <v>5.1163389600000002</v>
      </c>
      <c r="AD698" s="4">
        <v>5.0001424999999999</v>
      </c>
      <c r="AE698" s="2">
        <v>5.12</v>
      </c>
      <c r="AF698" s="4">
        <v>5.0001424999999999</v>
      </c>
      <c r="AG698" s="2">
        <v>0</v>
      </c>
      <c r="AH698" s="2">
        <v>4128.28</v>
      </c>
      <c r="AI698" s="2">
        <v>0</v>
      </c>
      <c r="AJ698" s="5">
        <v>44673</v>
      </c>
      <c r="AK698" t="s">
        <v>11784</v>
      </c>
      <c r="AL698" s="2">
        <v>5.05</v>
      </c>
      <c r="AM698" s="2">
        <v>0</v>
      </c>
      <c r="AN698" s="2">
        <v>0</v>
      </c>
      <c r="AO698" t="s">
        <v>44</v>
      </c>
      <c r="AP698" t="s">
        <v>44</v>
      </c>
      <c r="AQ698" t="s">
        <v>44</v>
      </c>
    </row>
    <row r="699" spans="1:43" x14ac:dyDescent="0.2">
      <c r="A699" t="s">
        <v>11783</v>
      </c>
      <c r="B699" t="s">
        <v>45</v>
      </c>
      <c r="C699" t="s">
        <v>47</v>
      </c>
      <c r="D699" t="s">
        <v>51</v>
      </c>
      <c r="E699" t="s">
        <v>52</v>
      </c>
      <c r="F699" t="s">
        <v>51</v>
      </c>
      <c r="G699" s="1">
        <v>2522899.5</v>
      </c>
      <c r="H699" s="2">
        <v>2522899.5</v>
      </c>
      <c r="I699" s="2">
        <v>2522899.5</v>
      </c>
      <c r="J699" s="2">
        <v>0</v>
      </c>
      <c r="K699" s="2">
        <v>0</v>
      </c>
      <c r="L699" s="2">
        <v>2522899.5</v>
      </c>
      <c r="M699" s="3"/>
      <c r="N699" s="4">
        <v>5.7398700000000002E-3</v>
      </c>
      <c r="O699" s="5" t="s">
        <v>44</v>
      </c>
      <c r="P699" s="5" t="s">
        <v>44</v>
      </c>
      <c r="Q699" s="1"/>
      <c r="R699" s="2">
        <v>0.08</v>
      </c>
      <c r="S699" s="6"/>
      <c r="T699" t="s">
        <v>45</v>
      </c>
      <c r="U699" t="s">
        <v>53</v>
      </c>
      <c r="V699" t="s">
        <v>44</v>
      </c>
      <c r="W699" t="s">
        <v>43</v>
      </c>
      <c r="X699" t="s">
        <v>44</v>
      </c>
      <c r="Y699" t="s">
        <v>44</v>
      </c>
      <c r="Z699" t="s">
        <v>44</v>
      </c>
      <c r="AA699" t="s">
        <v>44</v>
      </c>
      <c r="AB699" t="s">
        <v>44</v>
      </c>
      <c r="AC699" s="4">
        <v>5.1163389600000002</v>
      </c>
      <c r="AD699" s="4">
        <v>5.0001424999999999</v>
      </c>
      <c r="AE699" s="2">
        <v>5.12</v>
      </c>
      <c r="AF699" s="4">
        <v>5.0001424999999999</v>
      </c>
      <c r="AG699" s="2">
        <v>0.38</v>
      </c>
      <c r="AH699" s="2">
        <v>2522899.5</v>
      </c>
      <c r="AI699" s="2">
        <v>0.01</v>
      </c>
      <c r="AJ699" s="5">
        <v>44673</v>
      </c>
      <c r="AK699" t="s">
        <v>11784</v>
      </c>
      <c r="AL699" s="2">
        <v>5.05</v>
      </c>
      <c r="AM699" s="2">
        <v>0</v>
      </c>
      <c r="AN699" s="2">
        <v>0</v>
      </c>
      <c r="AO699" t="s">
        <v>44</v>
      </c>
      <c r="AP699" t="s">
        <v>44</v>
      </c>
      <c r="AQ699" t="s">
        <v>43</v>
      </c>
    </row>
    <row r="700" spans="1:43" x14ac:dyDescent="0.2">
      <c r="A700" t="s">
        <v>11783</v>
      </c>
      <c r="B700" t="s">
        <v>45</v>
      </c>
      <c r="C700" t="s">
        <v>47</v>
      </c>
      <c r="D700" t="s">
        <v>11045</v>
      </c>
      <c r="E700" t="s">
        <v>11046</v>
      </c>
      <c r="F700" t="s">
        <v>11045</v>
      </c>
      <c r="G700" s="1">
        <v>10823.56</v>
      </c>
      <c r="H700" s="2">
        <v>166595.76</v>
      </c>
      <c r="I700" s="2">
        <v>168999.3</v>
      </c>
      <c r="J700" s="2">
        <v>0</v>
      </c>
      <c r="K700" s="2">
        <v>0</v>
      </c>
      <c r="L700" s="2">
        <v>168999.3</v>
      </c>
      <c r="M700" s="3">
        <v>1</v>
      </c>
      <c r="N700" s="4">
        <v>3.8449000000000003E-4</v>
      </c>
      <c r="O700" s="5" t="s">
        <v>44</v>
      </c>
      <c r="P700" s="5" t="s">
        <v>44</v>
      </c>
      <c r="Q700" s="1"/>
      <c r="R700" s="2">
        <v>0.08</v>
      </c>
      <c r="S700" s="6"/>
      <c r="T700" t="s">
        <v>45</v>
      </c>
      <c r="U700" t="s">
        <v>53</v>
      </c>
      <c r="V700" t="s">
        <v>44</v>
      </c>
      <c r="W700" t="s">
        <v>113</v>
      </c>
      <c r="X700" t="s">
        <v>44</v>
      </c>
      <c r="Y700" t="s">
        <v>44</v>
      </c>
      <c r="Z700" t="s">
        <v>44</v>
      </c>
      <c r="AA700" t="s">
        <v>44</v>
      </c>
      <c r="AB700" t="s">
        <v>44</v>
      </c>
      <c r="AC700" s="4"/>
      <c r="AD700" s="4"/>
      <c r="AE700" s="2">
        <v>0</v>
      </c>
      <c r="AF700" s="4">
        <v>0</v>
      </c>
      <c r="AG700" s="2">
        <v>0.03</v>
      </c>
      <c r="AH700" s="2">
        <v>168999.3</v>
      </c>
      <c r="AI700" s="2">
        <v>0</v>
      </c>
      <c r="AJ700" s="5">
        <v>44673</v>
      </c>
      <c r="AK700" t="s">
        <v>11784</v>
      </c>
      <c r="AL700" s="2">
        <v>0</v>
      </c>
      <c r="AM700" s="2">
        <v>0</v>
      </c>
      <c r="AN700" s="2">
        <v>0</v>
      </c>
      <c r="AO700" t="s">
        <v>44</v>
      </c>
      <c r="AP700" t="s">
        <v>44</v>
      </c>
      <c r="AQ700" t="s">
        <v>113</v>
      </c>
    </row>
    <row r="701" spans="1:43" x14ac:dyDescent="0.2">
      <c r="A701" t="s">
        <v>11783</v>
      </c>
      <c r="B701" t="s">
        <v>11013</v>
      </c>
      <c r="C701" t="s">
        <v>11047</v>
      </c>
      <c r="D701" t="s">
        <v>11861</v>
      </c>
      <c r="E701" t="s">
        <v>11862</v>
      </c>
      <c r="F701" t="s">
        <v>11861</v>
      </c>
      <c r="G701" s="1">
        <v>2570259.2423</v>
      </c>
      <c r="H701" s="2">
        <v>33543072.32</v>
      </c>
      <c r="I701" s="2">
        <v>40317086.479999997</v>
      </c>
      <c r="J701" s="2">
        <v>0</v>
      </c>
      <c r="K701" s="2">
        <v>0</v>
      </c>
      <c r="L701" s="2">
        <v>40317086.479999997</v>
      </c>
      <c r="M701" s="3">
        <v>15.686</v>
      </c>
      <c r="N701" s="4">
        <v>9.1725710000000002E-2</v>
      </c>
      <c r="O701" s="5" t="s">
        <v>44</v>
      </c>
      <c r="P701" s="5" t="s">
        <v>44</v>
      </c>
      <c r="Q701" s="1"/>
      <c r="R701" s="2"/>
      <c r="S701" s="6"/>
      <c r="T701" t="s">
        <v>10902</v>
      </c>
      <c r="U701" t="s">
        <v>11003</v>
      </c>
      <c r="V701" t="s">
        <v>11003</v>
      </c>
      <c r="W701" t="s">
        <v>43</v>
      </c>
      <c r="X701" t="s">
        <v>44</v>
      </c>
      <c r="Y701" t="s">
        <v>44</v>
      </c>
      <c r="Z701" t="s">
        <v>44</v>
      </c>
      <c r="AA701" t="s">
        <v>44</v>
      </c>
      <c r="AB701" t="s">
        <v>44</v>
      </c>
      <c r="AC701" s="4"/>
      <c r="AD701" s="4"/>
      <c r="AE701" s="2">
        <v>0</v>
      </c>
      <c r="AF701" s="4">
        <v>0</v>
      </c>
      <c r="AG701" s="2">
        <v>6.12</v>
      </c>
      <c r="AH701" s="2">
        <v>40317086.479999997</v>
      </c>
      <c r="AI701" s="2">
        <v>0.09</v>
      </c>
      <c r="AJ701" s="5">
        <v>44673</v>
      </c>
      <c r="AK701" t="s">
        <v>11784</v>
      </c>
      <c r="AL701" s="2">
        <v>0</v>
      </c>
      <c r="AM701" s="2">
        <v>0</v>
      </c>
      <c r="AN701" s="2">
        <v>0</v>
      </c>
      <c r="AO701" t="s">
        <v>44</v>
      </c>
      <c r="AP701" t="s">
        <v>44</v>
      </c>
      <c r="AQ701" t="s">
        <v>11862</v>
      </c>
    </row>
    <row r="702" spans="1:43" x14ac:dyDescent="0.2">
      <c r="A702" t="s">
        <v>11783</v>
      </c>
      <c r="B702" t="s">
        <v>11013</v>
      </c>
      <c r="C702" t="s">
        <v>11047</v>
      </c>
      <c r="D702" t="s">
        <v>11062</v>
      </c>
      <c r="E702" t="s">
        <v>11063</v>
      </c>
      <c r="F702" t="s">
        <v>11062</v>
      </c>
      <c r="G702" s="1">
        <v>252216.53599999999</v>
      </c>
      <c r="H702" s="2">
        <v>3983024.52</v>
      </c>
      <c r="I702" s="2">
        <v>6076510.5800000001</v>
      </c>
      <c r="J702" s="2">
        <v>0</v>
      </c>
      <c r="K702" s="2">
        <v>0</v>
      </c>
      <c r="L702" s="2">
        <v>6076510.5800000001</v>
      </c>
      <c r="M702" s="3">
        <v>1.5429999999999999</v>
      </c>
      <c r="N702" s="4">
        <v>1.382472E-2</v>
      </c>
      <c r="O702" s="5" t="s">
        <v>44</v>
      </c>
      <c r="P702" s="5" t="s">
        <v>44</v>
      </c>
      <c r="Q702" s="1"/>
      <c r="R702" s="2"/>
      <c r="S702" s="6"/>
      <c r="T702" t="s">
        <v>10902</v>
      </c>
      <c r="U702" t="s">
        <v>11003</v>
      </c>
      <c r="V702" t="s">
        <v>11003</v>
      </c>
      <c r="W702" t="s">
        <v>113</v>
      </c>
      <c r="X702" t="s">
        <v>44</v>
      </c>
      <c r="Y702" t="s">
        <v>44</v>
      </c>
      <c r="Z702" t="s">
        <v>44</v>
      </c>
      <c r="AA702" t="s">
        <v>44</v>
      </c>
      <c r="AB702" t="s">
        <v>44</v>
      </c>
      <c r="AC702" s="4"/>
      <c r="AD702" s="4"/>
      <c r="AE702" s="2">
        <v>0</v>
      </c>
      <c r="AF702" s="4">
        <v>0</v>
      </c>
      <c r="AG702" s="2">
        <v>0.92</v>
      </c>
      <c r="AH702" s="2">
        <v>6076510.5800000001</v>
      </c>
      <c r="AI702" s="2">
        <v>0.01</v>
      </c>
      <c r="AJ702" s="5">
        <v>44673</v>
      </c>
      <c r="AK702" t="s">
        <v>11784</v>
      </c>
      <c r="AL702" s="2">
        <v>0</v>
      </c>
      <c r="AM702" s="2">
        <v>0</v>
      </c>
      <c r="AN702" s="2">
        <v>0</v>
      </c>
      <c r="AO702" t="s">
        <v>44</v>
      </c>
      <c r="AP702" t="s">
        <v>11064</v>
      </c>
      <c r="AQ702" t="s">
        <v>11063</v>
      </c>
    </row>
    <row r="703" spans="1:43" x14ac:dyDescent="0.2">
      <c r="A703" t="s">
        <v>11783</v>
      </c>
      <c r="B703" t="s">
        <v>11037</v>
      </c>
      <c r="C703" t="s">
        <v>11195</v>
      </c>
      <c r="D703" t="s">
        <v>11206</v>
      </c>
      <c r="E703" t="s">
        <v>5005</v>
      </c>
      <c r="F703" t="s">
        <v>11206</v>
      </c>
      <c r="G703" s="1">
        <v>11841</v>
      </c>
      <c r="H703" s="2">
        <v>1917451.87</v>
      </c>
      <c r="I703" s="2">
        <v>1140288.3</v>
      </c>
      <c r="J703" s="2">
        <v>0</v>
      </c>
      <c r="K703" s="2">
        <v>0</v>
      </c>
      <c r="L703" s="2">
        <v>1140288.3</v>
      </c>
      <c r="M703" s="3">
        <v>9630</v>
      </c>
      <c r="N703" s="4">
        <v>2.59428E-3</v>
      </c>
      <c r="O703" s="5" t="s">
        <v>44</v>
      </c>
      <c r="P703" s="5" t="s">
        <v>44</v>
      </c>
      <c r="Q703" s="1"/>
      <c r="R703" s="2"/>
      <c r="S703" s="6"/>
      <c r="T703" t="s">
        <v>10902</v>
      </c>
      <c r="U703" t="s">
        <v>10902</v>
      </c>
      <c r="V703" t="s">
        <v>10902</v>
      </c>
      <c r="W703" t="s">
        <v>43</v>
      </c>
      <c r="X703" t="s">
        <v>11197</v>
      </c>
      <c r="Y703" t="s">
        <v>11198</v>
      </c>
      <c r="Z703" t="s">
        <v>11195</v>
      </c>
      <c r="AA703" t="s">
        <v>44</v>
      </c>
      <c r="AB703" t="s">
        <v>44</v>
      </c>
      <c r="AC703" s="4"/>
      <c r="AD703" s="4"/>
      <c r="AE703" s="2">
        <v>0</v>
      </c>
      <c r="AF703" s="4">
        <v>0</v>
      </c>
      <c r="AG703" s="2">
        <v>0.17</v>
      </c>
      <c r="AH703" s="2">
        <v>1140288.3</v>
      </c>
      <c r="AI703" s="2">
        <v>0</v>
      </c>
      <c r="AJ703" s="5">
        <v>44673</v>
      </c>
      <c r="AK703" t="s">
        <v>11784</v>
      </c>
      <c r="AL703" s="2">
        <v>0</v>
      </c>
      <c r="AM703" s="2">
        <v>0</v>
      </c>
      <c r="AN703" s="2">
        <v>0</v>
      </c>
      <c r="AO703" t="s">
        <v>44</v>
      </c>
      <c r="AP703" t="s">
        <v>11207</v>
      </c>
      <c r="AQ703" t="s">
        <v>5005</v>
      </c>
    </row>
    <row r="704" spans="1:43" x14ac:dyDescent="0.2">
      <c r="A704" t="s">
        <v>11783</v>
      </c>
      <c r="B704" t="s">
        <v>11037</v>
      </c>
      <c r="C704" t="s">
        <v>11195</v>
      </c>
      <c r="D704" t="s">
        <v>11606</v>
      </c>
      <c r="E704" t="s">
        <v>7660</v>
      </c>
      <c r="F704" t="s">
        <v>11606</v>
      </c>
      <c r="G704" s="1">
        <v>441812</v>
      </c>
      <c r="H704" s="2">
        <v>4293025.08</v>
      </c>
      <c r="I704" s="2">
        <v>3600767.8</v>
      </c>
      <c r="J704" s="2">
        <v>0</v>
      </c>
      <c r="K704" s="2">
        <v>0</v>
      </c>
      <c r="L704" s="2">
        <v>3600767.8</v>
      </c>
      <c r="M704" s="3">
        <v>815</v>
      </c>
      <c r="N704" s="4">
        <v>8.1921300000000006E-3</v>
      </c>
      <c r="O704" s="5" t="s">
        <v>44</v>
      </c>
      <c r="P704" s="5" t="s">
        <v>44</v>
      </c>
      <c r="Q704" s="1"/>
      <c r="R704" s="2"/>
      <c r="S704" s="6"/>
      <c r="T704" t="s">
        <v>10902</v>
      </c>
      <c r="U704" t="s">
        <v>10902</v>
      </c>
      <c r="V704" t="s">
        <v>10902</v>
      </c>
      <c r="W704" t="s">
        <v>43</v>
      </c>
      <c r="X704" t="s">
        <v>11197</v>
      </c>
      <c r="Y704" t="s">
        <v>11198</v>
      </c>
      <c r="Z704" t="s">
        <v>11195</v>
      </c>
      <c r="AA704" t="s">
        <v>44</v>
      </c>
      <c r="AB704" t="s">
        <v>44</v>
      </c>
      <c r="AC704" s="4"/>
      <c r="AD704" s="4"/>
      <c r="AE704" s="2">
        <v>0</v>
      </c>
      <c r="AF704" s="4">
        <v>0</v>
      </c>
      <c r="AG704" s="2">
        <v>0.55000000000000004</v>
      </c>
      <c r="AH704" s="2">
        <v>3600767.8</v>
      </c>
      <c r="AI704" s="2">
        <v>0.01</v>
      </c>
      <c r="AJ704" s="5">
        <v>44673</v>
      </c>
      <c r="AK704" t="s">
        <v>11784</v>
      </c>
      <c r="AL704" s="2">
        <v>0</v>
      </c>
      <c r="AM704" s="2">
        <v>0</v>
      </c>
      <c r="AN704" s="2">
        <v>0</v>
      </c>
      <c r="AO704" t="s">
        <v>44</v>
      </c>
      <c r="AP704" t="s">
        <v>11607</v>
      </c>
      <c r="AQ704" t="s">
        <v>7660</v>
      </c>
    </row>
    <row r="705" spans="1:43" x14ac:dyDescent="0.2">
      <c r="A705" t="s">
        <v>11783</v>
      </c>
      <c r="B705" t="s">
        <v>11608</v>
      </c>
      <c r="C705" t="s">
        <v>11608</v>
      </c>
      <c r="D705" t="s">
        <v>12745</v>
      </c>
      <c r="E705" t="s">
        <v>12746</v>
      </c>
      <c r="F705" t="s">
        <v>12745</v>
      </c>
      <c r="G705" s="1">
        <v>50000000</v>
      </c>
      <c r="H705" s="2">
        <v>0</v>
      </c>
      <c r="I705" s="2">
        <v>18610.75</v>
      </c>
      <c r="J705" s="2">
        <v>0</v>
      </c>
      <c r="K705" s="2">
        <v>0</v>
      </c>
      <c r="L705" s="2">
        <v>18610.75</v>
      </c>
      <c r="M705" s="3">
        <v>3.7221999999999998E-2</v>
      </c>
      <c r="N705" s="4">
        <v>4.2339999999999998E-5</v>
      </c>
      <c r="O705" s="5" t="s">
        <v>44</v>
      </c>
      <c r="P705" s="5">
        <v>44890</v>
      </c>
      <c r="Q705" s="1">
        <v>0</v>
      </c>
      <c r="R705" s="2"/>
      <c r="S705" s="6">
        <v>0.34246575342500002</v>
      </c>
      <c r="T705" t="s">
        <v>11412</v>
      </c>
      <c r="U705" t="s">
        <v>11413</v>
      </c>
      <c r="V705" t="s">
        <v>9802</v>
      </c>
      <c r="W705" t="s">
        <v>43</v>
      </c>
      <c r="X705" t="s">
        <v>44</v>
      </c>
      <c r="Y705" t="s">
        <v>44</v>
      </c>
      <c r="Z705" t="s">
        <v>44</v>
      </c>
      <c r="AA705" t="s">
        <v>44</v>
      </c>
      <c r="AB705" t="s">
        <v>44</v>
      </c>
      <c r="AC705" s="4"/>
      <c r="AD705" s="4"/>
      <c r="AE705" s="2">
        <v>0</v>
      </c>
      <c r="AF705" s="4">
        <v>0</v>
      </c>
      <c r="AG705" s="2">
        <v>0</v>
      </c>
      <c r="AH705" s="2">
        <v>18610.75</v>
      </c>
      <c r="AI705" s="2">
        <v>0</v>
      </c>
      <c r="AJ705" s="5">
        <v>44673</v>
      </c>
      <c r="AK705" t="s">
        <v>11784</v>
      </c>
      <c r="AL705" s="2">
        <v>0</v>
      </c>
      <c r="AM705" s="2">
        <v>0</v>
      </c>
      <c r="AN705" s="2">
        <v>0.34</v>
      </c>
      <c r="AO705" t="s">
        <v>44</v>
      </c>
      <c r="AP705" t="s">
        <v>44</v>
      </c>
      <c r="AQ705" t="s">
        <v>44</v>
      </c>
    </row>
    <row r="706" spans="1:43" x14ac:dyDescent="0.2">
      <c r="A706" t="s">
        <v>11783</v>
      </c>
      <c r="B706" t="s">
        <v>11608</v>
      </c>
      <c r="C706" t="s">
        <v>11608</v>
      </c>
      <c r="D706" t="s">
        <v>12747</v>
      </c>
      <c r="E706" t="s">
        <v>12746</v>
      </c>
      <c r="F706" t="s">
        <v>12747</v>
      </c>
      <c r="G706" s="1">
        <v>-50000000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3"/>
      <c r="N706" s="4">
        <v>0</v>
      </c>
      <c r="O706" s="5" t="s">
        <v>44</v>
      </c>
      <c r="P706" s="5">
        <v>44890</v>
      </c>
      <c r="Q706" s="1">
        <v>0</v>
      </c>
      <c r="R706" s="2"/>
      <c r="S706" s="6"/>
      <c r="T706" t="s">
        <v>11412</v>
      </c>
      <c r="U706" t="s">
        <v>11413</v>
      </c>
      <c r="V706" t="s">
        <v>9802</v>
      </c>
      <c r="W706" t="s">
        <v>43</v>
      </c>
      <c r="X706" t="s">
        <v>44</v>
      </c>
      <c r="Y706" t="s">
        <v>44</v>
      </c>
      <c r="Z706" t="s">
        <v>44</v>
      </c>
      <c r="AA706" t="s">
        <v>44</v>
      </c>
      <c r="AB706" t="s">
        <v>44</v>
      </c>
      <c r="AC706" s="4"/>
      <c r="AD706" s="4"/>
      <c r="AE706" s="2">
        <v>0</v>
      </c>
      <c r="AF706" s="4">
        <v>0</v>
      </c>
      <c r="AG706" s="2">
        <v>0</v>
      </c>
      <c r="AH706" s="2">
        <v>0</v>
      </c>
      <c r="AI706" s="2">
        <v>0</v>
      </c>
      <c r="AJ706" s="5">
        <v>44673</v>
      </c>
      <c r="AK706" t="s">
        <v>11784</v>
      </c>
      <c r="AL706" s="2">
        <v>0</v>
      </c>
      <c r="AM706" s="2">
        <v>0</v>
      </c>
      <c r="AN706" s="2">
        <v>0</v>
      </c>
      <c r="AO706" t="s">
        <v>44</v>
      </c>
      <c r="AP706" t="s">
        <v>44</v>
      </c>
      <c r="AQ706" t="s">
        <v>44</v>
      </c>
    </row>
    <row r="707" spans="1:43" x14ac:dyDescent="0.2">
      <c r="A707" t="s">
        <v>11783</v>
      </c>
      <c r="B707" t="s">
        <v>11608</v>
      </c>
      <c r="C707" t="s">
        <v>11608</v>
      </c>
      <c r="D707" t="s">
        <v>12748</v>
      </c>
      <c r="E707" t="s">
        <v>12746</v>
      </c>
      <c r="F707" t="s">
        <v>12748</v>
      </c>
      <c r="G707" s="1">
        <v>50000000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3"/>
      <c r="N707" s="4">
        <v>0</v>
      </c>
      <c r="O707" s="5" t="s">
        <v>44</v>
      </c>
      <c r="P707" s="5">
        <v>44890</v>
      </c>
      <c r="Q707" s="1">
        <v>5.49</v>
      </c>
      <c r="R707" s="2"/>
      <c r="S707" s="6"/>
      <c r="T707" t="s">
        <v>11412</v>
      </c>
      <c r="U707" t="s">
        <v>11413</v>
      </c>
      <c r="V707" t="s">
        <v>9802</v>
      </c>
      <c r="W707" t="s">
        <v>43</v>
      </c>
      <c r="X707" t="s">
        <v>44</v>
      </c>
      <c r="Y707" t="s">
        <v>44</v>
      </c>
      <c r="Z707" t="s">
        <v>44</v>
      </c>
      <c r="AA707" t="s">
        <v>44</v>
      </c>
      <c r="AB707" t="s">
        <v>44</v>
      </c>
      <c r="AC707" s="4"/>
      <c r="AD707" s="4"/>
      <c r="AE707" s="2">
        <v>0</v>
      </c>
      <c r="AF707" s="4">
        <v>0</v>
      </c>
      <c r="AG707" s="2">
        <v>0</v>
      </c>
      <c r="AH707" s="2">
        <v>0</v>
      </c>
      <c r="AI707" s="2">
        <v>0</v>
      </c>
      <c r="AJ707" s="5">
        <v>44673</v>
      </c>
      <c r="AK707" t="s">
        <v>11784</v>
      </c>
      <c r="AL707" s="2">
        <v>0</v>
      </c>
      <c r="AM707" s="2">
        <v>5.49</v>
      </c>
      <c r="AN707" s="2">
        <v>0</v>
      </c>
      <c r="AO707" t="s">
        <v>44</v>
      </c>
      <c r="AP707" t="s">
        <v>44</v>
      </c>
      <c r="AQ707" t="s">
        <v>44</v>
      </c>
    </row>
    <row r="708" spans="1:43" x14ac:dyDescent="0.2">
      <c r="A708" t="s">
        <v>11783</v>
      </c>
      <c r="B708" t="s">
        <v>11608</v>
      </c>
      <c r="C708" t="s">
        <v>11608</v>
      </c>
      <c r="D708" t="s">
        <v>12749</v>
      </c>
      <c r="E708" t="s">
        <v>12750</v>
      </c>
      <c r="F708" t="s">
        <v>12749</v>
      </c>
      <c r="G708" s="1">
        <v>50000000</v>
      </c>
      <c r="H708" s="2">
        <v>0</v>
      </c>
      <c r="I708" s="2">
        <v>17386.82</v>
      </c>
      <c r="J708" s="2">
        <v>0</v>
      </c>
      <c r="K708" s="2">
        <v>0</v>
      </c>
      <c r="L708" s="2">
        <v>17386.82</v>
      </c>
      <c r="M708" s="3">
        <v>3.4773999999999999E-2</v>
      </c>
      <c r="N708" s="4">
        <v>3.9560000000000001E-5</v>
      </c>
      <c r="O708" s="5" t="s">
        <v>44</v>
      </c>
      <c r="P708" s="5">
        <v>44890</v>
      </c>
      <c r="Q708" s="1">
        <v>0</v>
      </c>
      <c r="R708" s="2"/>
      <c r="S708" s="6">
        <v>0.34246575342500002</v>
      </c>
      <c r="T708" t="s">
        <v>11412</v>
      </c>
      <c r="U708" t="s">
        <v>11413</v>
      </c>
      <c r="V708" t="s">
        <v>9802</v>
      </c>
      <c r="W708" t="s">
        <v>43</v>
      </c>
      <c r="X708" t="s">
        <v>44</v>
      </c>
      <c r="Y708" t="s">
        <v>44</v>
      </c>
      <c r="Z708" t="s">
        <v>44</v>
      </c>
      <c r="AA708" t="s">
        <v>44</v>
      </c>
      <c r="AB708" t="s">
        <v>44</v>
      </c>
      <c r="AC708" s="4"/>
      <c r="AD708" s="4"/>
      <c r="AE708" s="2">
        <v>0</v>
      </c>
      <c r="AF708" s="4">
        <v>0</v>
      </c>
      <c r="AG708" s="2">
        <v>0</v>
      </c>
      <c r="AH708" s="2">
        <v>17386.82</v>
      </c>
      <c r="AI708" s="2">
        <v>0</v>
      </c>
      <c r="AJ708" s="5">
        <v>44673</v>
      </c>
      <c r="AK708" t="s">
        <v>11784</v>
      </c>
      <c r="AL708" s="2">
        <v>0</v>
      </c>
      <c r="AM708" s="2">
        <v>0</v>
      </c>
      <c r="AN708" s="2">
        <v>0.34</v>
      </c>
      <c r="AO708" t="s">
        <v>44</v>
      </c>
      <c r="AP708" t="s">
        <v>44</v>
      </c>
      <c r="AQ708" t="s">
        <v>44</v>
      </c>
    </row>
    <row r="709" spans="1:43" x14ac:dyDescent="0.2">
      <c r="A709" t="s">
        <v>11783</v>
      </c>
      <c r="B709" t="s">
        <v>11608</v>
      </c>
      <c r="C709" t="s">
        <v>11608</v>
      </c>
      <c r="D709" t="s">
        <v>12751</v>
      </c>
      <c r="E709" t="s">
        <v>12750</v>
      </c>
      <c r="F709" t="s">
        <v>12751</v>
      </c>
      <c r="G709" s="1">
        <v>-50000000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3"/>
      <c r="N709" s="4">
        <v>0</v>
      </c>
      <c r="O709" s="5" t="s">
        <v>44</v>
      </c>
      <c r="P709" s="5">
        <v>44890</v>
      </c>
      <c r="Q709" s="1">
        <v>0</v>
      </c>
      <c r="R709" s="2"/>
      <c r="S709" s="6"/>
      <c r="T709" t="s">
        <v>11412</v>
      </c>
      <c r="U709" t="s">
        <v>11413</v>
      </c>
      <c r="V709" t="s">
        <v>9802</v>
      </c>
      <c r="W709" t="s">
        <v>43</v>
      </c>
      <c r="X709" t="s">
        <v>44</v>
      </c>
      <c r="Y709" t="s">
        <v>44</v>
      </c>
      <c r="Z709" t="s">
        <v>44</v>
      </c>
      <c r="AA709" t="s">
        <v>44</v>
      </c>
      <c r="AB709" t="s">
        <v>44</v>
      </c>
      <c r="AC709" s="4"/>
      <c r="AD709" s="4"/>
      <c r="AE709" s="2">
        <v>0</v>
      </c>
      <c r="AF709" s="4">
        <v>0</v>
      </c>
      <c r="AG709" s="2">
        <v>0</v>
      </c>
      <c r="AH709" s="2">
        <v>0</v>
      </c>
      <c r="AI709" s="2">
        <v>0</v>
      </c>
      <c r="AJ709" s="5">
        <v>44673</v>
      </c>
      <c r="AK709" t="s">
        <v>11784</v>
      </c>
      <c r="AL709" s="2">
        <v>0</v>
      </c>
      <c r="AM709" s="2">
        <v>0</v>
      </c>
      <c r="AN709" s="2">
        <v>0</v>
      </c>
      <c r="AO709" t="s">
        <v>44</v>
      </c>
      <c r="AP709" t="s">
        <v>44</v>
      </c>
      <c r="AQ709" t="s">
        <v>44</v>
      </c>
    </row>
    <row r="710" spans="1:43" x14ac:dyDescent="0.2">
      <c r="A710" t="s">
        <v>11783</v>
      </c>
      <c r="B710" t="s">
        <v>11608</v>
      </c>
      <c r="C710" t="s">
        <v>11608</v>
      </c>
      <c r="D710" t="s">
        <v>12752</v>
      </c>
      <c r="E710" t="s">
        <v>12750</v>
      </c>
      <c r="F710" t="s">
        <v>12752</v>
      </c>
      <c r="G710" s="1">
        <v>50000000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3"/>
      <c r="N710" s="4">
        <v>0</v>
      </c>
      <c r="O710" s="5" t="s">
        <v>44</v>
      </c>
      <c r="P710" s="5">
        <v>44890</v>
      </c>
      <c r="Q710" s="1">
        <v>5.48</v>
      </c>
      <c r="R710" s="2"/>
      <c r="S710" s="6"/>
      <c r="T710" t="s">
        <v>11412</v>
      </c>
      <c r="U710" t="s">
        <v>11413</v>
      </c>
      <c r="V710" t="s">
        <v>9802</v>
      </c>
      <c r="W710" t="s">
        <v>43</v>
      </c>
      <c r="X710" t="s">
        <v>44</v>
      </c>
      <c r="Y710" t="s">
        <v>44</v>
      </c>
      <c r="Z710" t="s">
        <v>44</v>
      </c>
      <c r="AA710" t="s">
        <v>44</v>
      </c>
      <c r="AB710" t="s">
        <v>44</v>
      </c>
      <c r="AC710" s="4"/>
      <c r="AD710" s="4"/>
      <c r="AE710" s="2">
        <v>0</v>
      </c>
      <c r="AF710" s="4">
        <v>0</v>
      </c>
      <c r="AG710" s="2">
        <v>0</v>
      </c>
      <c r="AH710" s="2">
        <v>0</v>
      </c>
      <c r="AI710" s="2">
        <v>0</v>
      </c>
      <c r="AJ710" s="5">
        <v>44673</v>
      </c>
      <c r="AK710" t="s">
        <v>11784</v>
      </c>
      <c r="AL710" s="2">
        <v>0</v>
      </c>
      <c r="AM710" s="2">
        <v>5.48</v>
      </c>
      <c r="AN710" s="2">
        <v>0</v>
      </c>
      <c r="AO710" t="s">
        <v>44</v>
      </c>
      <c r="AP710" t="s">
        <v>44</v>
      </c>
      <c r="AQ710" t="s">
        <v>44</v>
      </c>
    </row>
    <row r="711" spans="1:43" x14ac:dyDescent="0.2">
      <c r="A711" t="s">
        <v>11783</v>
      </c>
      <c r="B711" t="s">
        <v>11865</v>
      </c>
      <c r="C711" t="s">
        <v>11865</v>
      </c>
      <c r="D711" t="s">
        <v>11866</v>
      </c>
      <c r="E711" t="s">
        <v>11867</v>
      </c>
      <c r="F711" t="s">
        <v>11866</v>
      </c>
      <c r="G711" s="1">
        <v>-721300</v>
      </c>
      <c r="H711" s="2">
        <v>-11229559.050000001</v>
      </c>
      <c r="I711" s="2">
        <v>-11295874.02</v>
      </c>
      <c r="J711" s="2">
        <v>0</v>
      </c>
      <c r="K711" s="2">
        <v>0</v>
      </c>
      <c r="L711" s="2">
        <v>-11295874.02</v>
      </c>
      <c r="M711" s="3">
        <v>6.3854999999999995E-2</v>
      </c>
      <c r="N711" s="4">
        <v>-2.5699329999999999E-2</v>
      </c>
      <c r="O711" s="5" t="s">
        <v>44</v>
      </c>
      <c r="P711" s="5">
        <v>44701</v>
      </c>
      <c r="Q711" s="1"/>
      <c r="R711" s="2"/>
      <c r="S711" s="6"/>
      <c r="T711" t="s">
        <v>11868</v>
      </c>
      <c r="U711" t="s">
        <v>44</v>
      </c>
      <c r="V711" t="s">
        <v>44</v>
      </c>
      <c r="W711" t="s">
        <v>113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s="4"/>
      <c r="AD711" s="4"/>
      <c r="AE711" s="2">
        <v>0</v>
      </c>
      <c r="AF711" s="4">
        <v>0</v>
      </c>
      <c r="AG711" s="2">
        <v>-1.71</v>
      </c>
      <c r="AH711" s="2">
        <v>-11295874.02</v>
      </c>
      <c r="AI711" s="2">
        <v>-0.03</v>
      </c>
      <c r="AJ711" s="5">
        <v>44673</v>
      </c>
      <c r="AK711" t="s">
        <v>11784</v>
      </c>
      <c r="AL711" s="2">
        <v>0</v>
      </c>
      <c r="AM711" s="2">
        <v>0</v>
      </c>
      <c r="AN711" s="2">
        <v>0</v>
      </c>
      <c r="AO711" t="s">
        <v>44</v>
      </c>
      <c r="AP711" t="s">
        <v>44</v>
      </c>
      <c r="AQ711" t="s">
        <v>113</v>
      </c>
    </row>
    <row r="712" spans="1:43" x14ac:dyDescent="0.2">
      <c r="A712" t="s">
        <v>11783</v>
      </c>
      <c r="B712" t="s">
        <v>11865</v>
      </c>
      <c r="C712" t="s">
        <v>11865</v>
      </c>
      <c r="D712" t="s">
        <v>11869</v>
      </c>
      <c r="E712" t="s">
        <v>11867</v>
      </c>
      <c r="F712" t="s">
        <v>11869</v>
      </c>
      <c r="G712" s="1">
        <v>11229559.050000001</v>
      </c>
      <c r="H712" s="2">
        <v>11229559.050000001</v>
      </c>
      <c r="I712" s="2">
        <v>11229559.050000001</v>
      </c>
      <c r="J712" s="2">
        <v>0</v>
      </c>
      <c r="K712" s="2">
        <v>0</v>
      </c>
      <c r="L712" s="2">
        <v>11229559.050000001</v>
      </c>
      <c r="M712" s="3">
        <v>1</v>
      </c>
      <c r="N712" s="4">
        <v>2.5548459999999999E-2</v>
      </c>
      <c r="O712" s="5" t="s">
        <v>44</v>
      </c>
      <c r="P712" s="5">
        <v>44701</v>
      </c>
      <c r="Q712" s="1"/>
      <c r="R712" s="2"/>
      <c r="S712" s="6"/>
      <c r="T712" t="s">
        <v>11868</v>
      </c>
      <c r="U712" t="s">
        <v>44</v>
      </c>
      <c r="V712" t="s">
        <v>44</v>
      </c>
      <c r="W712" t="s">
        <v>43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s="4"/>
      <c r="AD712" s="4"/>
      <c r="AE712" s="2">
        <v>0</v>
      </c>
      <c r="AF712" s="4">
        <v>0</v>
      </c>
      <c r="AG712" s="2">
        <v>1.7</v>
      </c>
      <c r="AH712" s="2">
        <v>11229559.050000001</v>
      </c>
      <c r="AI712" s="2">
        <v>0.03</v>
      </c>
      <c r="AJ712" s="5">
        <v>44673</v>
      </c>
      <c r="AK712" t="s">
        <v>11784</v>
      </c>
      <c r="AL712" s="2">
        <v>0</v>
      </c>
      <c r="AM712" s="2">
        <v>0</v>
      </c>
      <c r="AN712" s="2">
        <v>0</v>
      </c>
      <c r="AO712" t="s">
        <v>44</v>
      </c>
      <c r="AP712" t="s">
        <v>44</v>
      </c>
      <c r="AQ712" t="s">
        <v>43</v>
      </c>
    </row>
    <row r="713" spans="1:43" x14ac:dyDescent="0.2">
      <c r="A713" t="s">
        <v>11783</v>
      </c>
      <c r="B713" t="s">
        <v>11038</v>
      </c>
      <c r="C713" t="s">
        <v>11870</v>
      </c>
      <c r="D713" t="s">
        <v>11056</v>
      </c>
      <c r="E713" t="s">
        <v>11057</v>
      </c>
      <c r="F713" t="s">
        <v>11056</v>
      </c>
      <c r="G713" s="1">
        <v>4391624</v>
      </c>
      <c r="H713" s="2">
        <v>4390575.21</v>
      </c>
      <c r="I713" s="2">
        <v>4391624</v>
      </c>
      <c r="J713" s="2">
        <v>113198.5</v>
      </c>
      <c r="K713" s="2">
        <v>0</v>
      </c>
      <c r="L713" s="2">
        <v>4504822.5</v>
      </c>
      <c r="M713" s="3"/>
      <c r="N713" s="4">
        <v>1.024896E-2</v>
      </c>
      <c r="O713" s="5">
        <v>44692</v>
      </c>
      <c r="P713" s="5">
        <v>44692</v>
      </c>
      <c r="Q713" s="1">
        <v>13.067</v>
      </c>
      <c r="R713" s="2"/>
      <c r="S713" s="6"/>
      <c r="T713" t="s">
        <v>111</v>
      </c>
      <c r="U713" t="s">
        <v>11040</v>
      </c>
      <c r="V713" t="s">
        <v>115</v>
      </c>
      <c r="W713" t="s">
        <v>43</v>
      </c>
      <c r="X713" t="s">
        <v>44</v>
      </c>
      <c r="Y713" t="s">
        <v>44</v>
      </c>
      <c r="Z713" t="s">
        <v>44</v>
      </c>
      <c r="AA713" t="s">
        <v>10979</v>
      </c>
      <c r="AB713" t="s">
        <v>44</v>
      </c>
      <c r="AC713" s="4"/>
      <c r="AD713" s="4"/>
      <c r="AE713" s="2">
        <v>0</v>
      </c>
      <c r="AF713" s="4">
        <v>0</v>
      </c>
      <c r="AG713" s="2">
        <v>0.68</v>
      </c>
      <c r="AH713" s="2">
        <v>4504822.5</v>
      </c>
      <c r="AI713" s="2">
        <v>0.01</v>
      </c>
      <c r="AJ713" s="5">
        <v>44673</v>
      </c>
      <c r="AK713" t="s">
        <v>11784</v>
      </c>
      <c r="AL713" s="2">
        <v>0</v>
      </c>
      <c r="AM713" s="2">
        <v>13.07</v>
      </c>
      <c r="AN713" s="2">
        <v>0</v>
      </c>
      <c r="AO713" t="s">
        <v>10980</v>
      </c>
      <c r="AP713" t="s">
        <v>11058</v>
      </c>
      <c r="AQ713" t="s">
        <v>11057</v>
      </c>
    </row>
    <row r="714" spans="1:43" x14ac:dyDescent="0.2">
      <c r="A714" t="s">
        <v>11783</v>
      </c>
      <c r="B714" t="s">
        <v>11038</v>
      </c>
      <c r="C714" t="s">
        <v>11870</v>
      </c>
      <c r="D714" t="s">
        <v>11616</v>
      </c>
      <c r="E714" t="s">
        <v>11617</v>
      </c>
      <c r="F714" t="s">
        <v>11616</v>
      </c>
      <c r="G714" s="1">
        <v>8600000</v>
      </c>
      <c r="H714" s="2">
        <v>8600000</v>
      </c>
      <c r="I714" s="2">
        <v>8603615.3599999994</v>
      </c>
      <c r="J714" s="2">
        <v>104197.6</v>
      </c>
      <c r="K714" s="2">
        <v>0</v>
      </c>
      <c r="L714" s="2">
        <v>8707812.9600000009</v>
      </c>
      <c r="M714" s="3">
        <v>4.9760429999999998</v>
      </c>
      <c r="N714" s="4">
        <v>1.9811209999999999E-2</v>
      </c>
      <c r="O714" s="5">
        <v>44690</v>
      </c>
      <c r="P714" s="5">
        <v>44690</v>
      </c>
      <c r="Q714" s="1">
        <v>6.0579999999999998</v>
      </c>
      <c r="R714" s="2">
        <v>0.04</v>
      </c>
      <c r="S714" s="6">
        <v>3.6514757501999999E-2</v>
      </c>
      <c r="T714" t="s">
        <v>111</v>
      </c>
      <c r="U714" t="s">
        <v>11040</v>
      </c>
      <c r="V714" t="s">
        <v>114</v>
      </c>
      <c r="W714" t="s">
        <v>43</v>
      </c>
      <c r="X714" t="s">
        <v>10988</v>
      </c>
      <c r="Y714" t="s">
        <v>44</v>
      </c>
      <c r="Z714" t="s">
        <v>44</v>
      </c>
      <c r="AA714" t="s">
        <v>10979</v>
      </c>
      <c r="AB714" t="s">
        <v>44</v>
      </c>
      <c r="AC714" s="4">
        <v>5.09694307</v>
      </c>
      <c r="AD714" s="4">
        <v>4.9816122199999997</v>
      </c>
      <c r="AE714" s="2">
        <v>5.0999999999999996</v>
      </c>
      <c r="AF714" s="4">
        <v>4.9816122199999997</v>
      </c>
      <c r="AG714" s="2">
        <v>1.32</v>
      </c>
      <c r="AH714" s="2">
        <v>8707812.9600000009</v>
      </c>
      <c r="AI714" s="2">
        <v>0.02</v>
      </c>
      <c r="AJ714" s="5">
        <v>44673</v>
      </c>
      <c r="AK714" t="s">
        <v>11784</v>
      </c>
      <c r="AL714" s="2">
        <v>5.03</v>
      </c>
      <c r="AM714" s="2">
        <v>6.06</v>
      </c>
      <c r="AN714" s="2">
        <v>0.04</v>
      </c>
      <c r="AO714" t="s">
        <v>11618</v>
      </c>
      <c r="AP714" t="s">
        <v>11619</v>
      </c>
      <c r="AQ714" t="s">
        <v>11617</v>
      </c>
    </row>
    <row r="715" spans="1:43" x14ac:dyDescent="0.2">
      <c r="A715" t="s">
        <v>11783</v>
      </c>
      <c r="B715" t="s">
        <v>11038</v>
      </c>
      <c r="C715" t="s">
        <v>11055</v>
      </c>
      <c r="D715" t="s">
        <v>11872</v>
      </c>
      <c r="E715" t="s">
        <v>11873</v>
      </c>
      <c r="F715" t="s">
        <v>11872</v>
      </c>
      <c r="G715" s="1">
        <v>7300000</v>
      </c>
      <c r="H715" s="2">
        <v>7300000</v>
      </c>
      <c r="I715" s="2">
        <v>7304525.1500000004</v>
      </c>
      <c r="J715" s="2">
        <v>62823.6</v>
      </c>
      <c r="K715" s="2">
        <v>0</v>
      </c>
      <c r="L715" s="2">
        <v>7367348.75</v>
      </c>
      <c r="M715" s="3">
        <v>5.1502819999999998</v>
      </c>
      <c r="N715" s="4">
        <v>1.676151E-2</v>
      </c>
      <c r="O715" s="5">
        <v>44712</v>
      </c>
      <c r="P715" s="5">
        <v>44712</v>
      </c>
      <c r="Q715" s="1">
        <v>5.8170000000000002</v>
      </c>
      <c r="R715" s="2">
        <v>0.1</v>
      </c>
      <c r="S715" s="6">
        <v>9.3730576011000002E-2</v>
      </c>
      <c r="T715" t="s">
        <v>111</v>
      </c>
      <c r="U715" t="s">
        <v>11040</v>
      </c>
      <c r="V715" t="s">
        <v>114</v>
      </c>
      <c r="W715" t="s">
        <v>43</v>
      </c>
      <c r="X715" t="s">
        <v>10988</v>
      </c>
      <c r="Y715" t="s">
        <v>44</v>
      </c>
      <c r="Z715" t="s">
        <v>44</v>
      </c>
      <c r="AA715" t="s">
        <v>10979</v>
      </c>
      <c r="AB715" t="s">
        <v>44</v>
      </c>
      <c r="AC715" s="4">
        <v>5.2714900699999996</v>
      </c>
      <c r="AD715" s="4">
        <v>5.1482567699999997</v>
      </c>
      <c r="AE715" s="2">
        <v>5.27</v>
      </c>
      <c r="AF715" s="4">
        <v>5.1482567699999997</v>
      </c>
      <c r="AG715" s="2">
        <v>1.1200000000000001</v>
      </c>
      <c r="AH715" s="2">
        <v>7367348.75</v>
      </c>
      <c r="AI715" s="2">
        <v>0.02</v>
      </c>
      <c r="AJ715" s="5">
        <v>44673</v>
      </c>
      <c r="AK715" t="s">
        <v>11784</v>
      </c>
      <c r="AL715" s="2">
        <v>5.2</v>
      </c>
      <c r="AM715" s="2">
        <v>5.82</v>
      </c>
      <c r="AN715" s="2">
        <v>0.09</v>
      </c>
      <c r="AO715" t="s">
        <v>11048</v>
      </c>
      <c r="AP715" t="s">
        <v>11874</v>
      </c>
      <c r="AQ715" t="s">
        <v>11873</v>
      </c>
    </row>
    <row r="716" spans="1:43" x14ac:dyDescent="0.2">
      <c r="A716" t="s">
        <v>11783</v>
      </c>
      <c r="B716" t="s">
        <v>11038</v>
      </c>
      <c r="C716" t="s">
        <v>11052</v>
      </c>
      <c r="D716" t="s">
        <v>11875</v>
      </c>
      <c r="E716" t="s">
        <v>11876</v>
      </c>
      <c r="F716" t="s">
        <v>11875</v>
      </c>
      <c r="G716" s="1">
        <v>2500000</v>
      </c>
      <c r="H716" s="2">
        <v>2500000</v>
      </c>
      <c r="I716" s="2">
        <v>2501413.2599999998</v>
      </c>
      <c r="J716" s="2">
        <v>34027.26</v>
      </c>
      <c r="K716" s="2">
        <v>0</v>
      </c>
      <c r="L716" s="2">
        <v>2535440.52</v>
      </c>
      <c r="M716" s="3">
        <v>5.8453989999999996</v>
      </c>
      <c r="N716" s="4">
        <v>5.7683999999999999E-3</v>
      </c>
      <c r="O716" s="5">
        <v>44676</v>
      </c>
      <c r="P716" s="5">
        <v>44765</v>
      </c>
      <c r="Q716" s="1">
        <v>5.5819999999999999</v>
      </c>
      <c r="R716" s="2">
        <v>0.25</v>
      </c>
      <c r="S716" s="6">
        <v>-2.4241619880000002E-3</v>
      </c>
      <c r="T716" t="s">
        <v>111</v>
      </c>
      <c r="U716" t="s">
        <v>11040</v>
      </c>
      <c r="V716" t="s">
        <v>114</v>
      </c>
      <c r="W716" t="s">
        <v>43</v>
      </c>
      <c r="X716" t="s">
        <v>10988</v>
      </c>
      <c r="Y716" t="s">
        <v>44</v>
      </c>
      <c r="Z716" t="s">
        <v>44</v>
      </c>
      <c r="AA716" t="s">
        <v>10979</v>
      </c>
      <c r="AB716" t="s">
        <v>44</v>
      </c>
      <c r="AC716" s="4">
        <v>5.9749057099999998</v>
      </c>
      <c r="AD716" s="4">
        <v>5.8172689999999996</v>
      </c>
      <c r="AE716" s="2">
        <v>5.97</v>
      </c>
      <c r="AF716" s="4">
        <v>5.8172689999999996</v>
      </c>
      <c r="AG716" s="2">
        <v>0.38</v>
      </c>
      <c r="AH716" s="2">
        <v>2535440.52</v>
      </c>
      <c r="AI716" s="2">
        <v>0.01</v>
      </c>
      <c r="AJ716" s="5">
        <v>44673</v>
      </c>
      <c r="AK716" t="s">
        <v>11784</v>
      </c>
      <c r="AL716" s="2">
        <v>5.89</v>
      </c>
      <c r="AM716" s="2">
        <v>5.58</v>
      </c>
      <c r="AN716" s="2">
        <v>0</v>
      </c>
      <c r="AO716" t="s">
        <v>11048</v>
      </c>
      <c r="AP716" t="s">
        <v>11877</v>
      </c>
      <c r="AQ716" t="s">
        <v>11876</v>
      </c>
    </row>
    <row r="717" spans="1:43" x14ac:dyDescent="0.2">
      <c r="A717" t="s">
        <v>11783</v>
      </c>
      <c r="B717" t="s">
        <v>11038</v>
      </c>
      <c r="C717" t="s">
        <v>11039</v>
      </c>
      <c r="D717" t="s">
        <v>11878</v>
      </c>
      <c r="E717" t="s">
        <v>11879</v>
      </c>
      <c r="F717" t="s">
        <v>11878</v>
      </c>
      <c r="G717" s="1">
        <v>800000</v>
      </c>
      <c r="H717" s="2">
        <v>800000</v>
      </c>
      <c r="I717" s="2">
        <v>799930.42</v>
      </c>
      <c r="J717" s="2">
        <v>5278.36</v>
      </c>
      <c r="K717" s="2">
        <v>0</v>
      </c>
      <c r="L717" s="2">
        <v>805208.78</v>
      </c>
      <c r="M717" s="3">
        <v>6.1553490000000002</v>
      </c>
      <c r="N717" s="4">
        <v>1.83194E-3</v>
      </c>
      <c r="O717" s="5">
        <v>44727</v>
      </c>
      <c r="P717" s="5">
        <v>45000</v>
      </c>
      <c r="Q717" s="1">
        <v>6.1749999999999998</v>
      </c>
      <c r="R717" s="2">
        <v>0.14000000000000001</v>
      </c>
      <c r="S717" s="6">
        <v>0.121958312463</v>
      </c>
      <c r="T717" t="s">
        <v>111</v>
      </c>
      <c r="U717" t="s">
        <v>11040</v>
      </c>
      <c r="V717" t="s">
        <v>114</v>
      </c>
      <c r="W717" t="s">
        <v>43</v>
      </c>
      <c r="X717" t="s">
        <v>10988</v>
      </c>
      <c r="Y717" t="s">
        <v>44</v>
      </c>
      <c r="Z717" t="s">
        <v>44</v>
      </c>
      <c r="AA717" t="s">
        <v>10979</v>
      </c>
      <c r="AB717" t="s">
        <v>44</v>
      </c>
      <c r="AC717" s="4">
        <v>6.3207521</v>
      </c>
      <c r="AD717" s="4">
        <v>6.1447089999999998</v>
      </c>
      <c r="AE717" s="2">
        <v>6.32</v>
      </c>
      <c r="AF717" s="4">
        <v>6.1447089999999998</v>
      </c>
      <c r="AG717" s="2">
        <v>0.12</v>
      </c>
      <c r="AH717" s="2">
        <v>805208.78</v>
      </c>
      <c r="AI717" s="2">
        <v>0</v>
      </c>
      <c r="AJ717" s="5">
        <v>44673</v>
      </c>
      <c r="AK717" t="s">
        <v>11784</v>
      </c>
      <c r="AL717" s="2">
        <v>6.22</v>
      </c>
      <c r="AM717" s="2">
        <v>6.17</v>
      </c>
      <c r="AN717" s="2">
        <v>0.12</v>
      </c>
      <c r="AO717" t="s">
        <v>11567</v>
      </c>
      <c r="AP717" t="s">
        <v>11880</v>
      </c>
      <c r="AQ717" t="s">
        <v>11879</v>
      </c>
    </row>
    <row r="718" spans="1:43" x14ac:dyDescent="0.2">
      <c r="A718" t="s">
        <v>11783</v>
      </c>
      <c r="B718" t="s">
        <v>11038</v>
      </c>
      <c r="C718" t="s">
        <v>11039</v>
      </c>
      <c r="D718" t="s">
        <v>11881</v>
      </c>
      <c r="E718" t="s">
        <v>11882</v>
      </c>
      <c r="F718" t="s">
        <v>11881</v>
      </c>
      <c r="G718" s="1">
        <v>800000</v>
      </c>
      <c r="H718" s="2">
        <v>800000</v>
      </c>
      <c r="I718" s="2">
        <v>799930.42</v>
      </c>
      <c r="J718" s="2">
        <v>5278.36</v>
      </c>
      <c r="K718" s="2">
        <v>0</v>
      </c>
      <c r="L718" s="2">
        <v>805208.78</v>
      </c>
      <c r="M718" s="3">
        <v>6.1553490000000002</v>
      </c>
      <c r="N718" s="4">
        <v>1.83194E-3</v>
      </c>
      <c r="O718" s="5">
        <v>44727</v>
      </c>
      <c r="P718" s="5">
        <v>45000</v>
      </c>
      <c r="Q718" s="1">
        <v>6.1749999999999998</v>
      </c>
      <c r="R718" s="2">
        <v>0.14000000000000001</v>
      </c>
      <c r="S718" s="6">
        <v>0.121958312463</v>
      </c>
      <c r="T718" t="s">
        <v>111</v>
      </c>
      <c r="U718" t="s">
        <v>11040</v>
      </c>
      <c r="V718" t="s">
        <v>114</v>
      </c>
      <c r="W718" t="s">
        <v>43</v>
      </c>
      <c r="X718" t="s">
        <v>10988</v>
      </c>
      <c r="Y718" t="s">
        <v>44</v>
      </c>
      <c r="Z718" t="s">
        <v>44</v>
      </c>
      <c r="AA718" t="s">
        <v>10979</v>
      </c>
      <c r="AB718" t="s">
        <v>44</v>
      </c>
      <c r="AC718" s="4">
        <v>6.3207521</v>
      </c>
      <c r="AD718" s="4">
        <v>6.1447089999999998</v>
      </c>
      <c r="AE718" s="2">
        <v>6.32</v>
      </c>
      <c r="AF718" s="4">
        <v>6.1447089999999998</v>
      </c>
      <c r="AG718" s="2">
        <v>0.12</v>
      </c>
      <c r="AH718" s="2">
        <v>805208.78</v>
      </c>
      <c r="AI718" s="2">
        <v>0</v>
      </c>
      <c r="AJ718" s="5">
        <v>44673</v>
      </c>
      <c r="AK718" t="s">
        <v>11784</v>
      </c>
      <c r="AL718" s="2">
        <v>6.22</v>
      </c>
      <c r="AM718" s="2">
        <v>6.17</v>
      </c>
      <c r="AN718" s="2">
        <v>0.12</v>
      </c>
      <c r="AO718" t="s">
        <v>11567</v>
      </c>
      <c r="AP718" t="s">
        <v>11883</v>
      </c>
      <c r="AQ718" t="s">
        <v>11882</v>
      </c>
    </row>
    <row r="719" spans="1:43" x14ac:dyDescent="0.2">
      <c r="A719" t="s">
        <v>11783</v>
      </c>
      <c r="B719" t="s">
        <v>11038</v>
      </c>
      <c r="C719" t="s">
        <v>11039</v>
      </c>
      <c r="D719" t="s">
        <v>11216</v>
      </c>
      <c r="E719" t="s">
        <v>11217</v>
      </c>
      <c r="F719" t="s">
        <v>11216</v>
      </c>
      <c r="G719" s="1">
        <v>23000000</v>
      </c>
      <c r="H719" s="2">
        <v>23000000</v>
      </c>
      <c r="I719" s="2">
        <v>22973149.440000001</v>
      </c>
      <c r="J719" s="2">
        <v>224958.9</v>
      </c>
      <c r="K719" s="2">
        <v>0</v>
      </c>
      <c r="L719" s="2">
        <v>23198108.34</v>
      </c>
      <c r="M719" s="3">
        <v>6.0366650000000002</v>
      </c>
      <c r="N719" s="4">
        <v>5.2778190000000003E-2</v>
      </c>
      <c r="O719" s="5">
        <v>44979</v>
      </c>
      <c r="P719" s="5">
        <v>44979</v>
      </c>
      <c r="Q719" s="1">
        <v>5.95</v>
      </c>
      <c r="R719" s="2">
        <v>0.83</v>
      </c>
      <c r="S719" s="6">
        <v>0.79052188852000005</v>
      </c>
      <c r="T719" t="s">
        <v>111</v>
      </c>
      <c r="U719" t="s">
        <v>11040</v>
      </c>
      <c r="V719" t="s">
        <v>11041</v>
      </c>
      <c r="W719" t="s">
        <v>43</v>
      </c>
      <c r="X719" t="s">
        <v>11034</v>
      </c>
      <c r="Y719" t="s">
        <v>44</v>
      </c>
      <c r="Z719" t="s">
        <v>44</v>
      </c>
      <c r="AA719" t="s">
        <v>10979</v>
      </c>
      <c r="AB719" t="s">
        <v>44</v>
      </c>
      <c r="AC719" s="4">
        <v>6.0672128599999997</v>
      </c>
      <c r="AD719" s="4">
        <v>5.9047591700000002</v>
      </c>
      <c r="AE719" s="2">
        <v>6.07</v>
      </c>
      <c r="AF719" s="4">
        <v>5.9047591700000002</v>
      </c>
      <c r="AG719" s="2">
        <v>3.52</v>
      </c>
      <c r="AH719" s="2">
        <v>23198108.34</v>
      </c>
      <c r="AI719" s="2">
        <v>0.05</v>
      </c>
      <c r="AJ719" s="5">
        <v>44673</v>
      </c>
      <c r="AK719" t="s">
        <v>11784</v>
      </c>
      <c r="AL719" s="2">
        <v>5.98</v>
      </c>
      <c r="AM719" s="2">
        <v>5.95</v>
      </c>
      <c r="AN719" s="2">
        <v>0.79</v>
      </c>
      <c r="AO719" t="s">
        <v>11165</v>
      </c>
      <c r="AP719" t="s">
        <v>11218</v>
      </c>
      <c r="AQ719" t="s">
        <v>11217</v>
      </c>
    </row>
    <row r="720" spans="1:43" x14ac:dyDescent="0.2">
      <c r="A720" t="s">
        <v>11783</v>
      </c>
      <c r="B720" t="s">
        <v>11038</v>
      </c>
      <c r="C720" t="s">
        <v>11039</v>
      </c>
      <c r="D720" t="s">
        <v>11042</v>
      </c>
      <c r="E720" t="s">
        <v>11043</v>
      </c>
      <c r="F720" t="s">
        <v>11042</v>
      </c>
      <c r="G720" s="1">
        <v>6000000</v>
      </c>
      <c r="H720" s="2">
        <v>6000000</v>
      </c>
      <c r="I720" s="2">
        <v>5995779.7599999998</v>
      </c>
      <c r="J720" s="2">
        <v>66509.59</v>
      </c>
      <c r="K720" s="2">
        <v>0</v>
      </c>
      <c r="L720" s="2">
        <v>6062289.3499999996</v>
      </c>
      <c r="M720" s="3">
        <v>5.9730699999999999</v>
      </c>
      <c r="N720" s="4">
        <v>1.379236E-2</v>
      </c>
      <c r="O720" s="5">
        <v>44971</v>
      </c>
      <c r="P720" s="5">
        <v>44971</v>
      </c>
      <c r="Q720" s="1">
        <v>5.95</v>
      </c>
      <c r="R720" s="2">
        <v>0.81</v>
      </c>
      <c r="S720" s="6">
        <v>0.77099882388999996</v>
      </c>
      <c r="T720" t="s">
        <v>111</v>
      </c>
      <c r="U720" t="s">
        <v>11040</v>
      </c>
      <c r="V720" t="s">
        <v>11041</v>
      </c>
      <c r="W720" t="s">
        <v>43</v>
      </c>
      <c r="X720" t="s">
        <v>11034</v>
      </c>
      <c r="Y720" t="s">
        <v>44</v>
      </c>
      <c r="Z720" t="s">
        <v>44</v>
      </c>
      <c r="AA720" t="s">
        <v>11035</v>
      </c>
      <c r="AB720" t="s">
        <v>44</v>
      </c>
      <c r="AC720" s="4">
        <v>6.0068705900000001</v>
      </c>
      <c r="AD720" s="4">
        <v>5.8475737299999997</v>
      </c>
      <c r="AE720" s="2">
        <v>6.01</v>
      </c>
      <c r="AF720" s="4">
        <v>5.8475737299999997</v>
      </c>
      <c r="AG720" s="2">
        <v>0.92</v>
      </c>
      <c r="AH720" s="2">
        <v>6062289.3499999996</v>
      </c>
      <c r="AI720" s="2">
        <v>0.01</v>
      </c>
      <c r="AJ720" s="5">
        <v>44673</v>
      </c>
      <c r="AK720" t="s">
        <v>11784</v>
      </c>
      <c r="AL720" s="2">
        <v>5.92</v>
      </c>
      <c r="AM720" s="2">
        <v>5.95</v>
      </c>
      <c r="AN720" s="2">
        <v>0.77</v>
      </c>
      <c r="AO720" t="s">
        <v>11036</v>
      </c>
      <c r="AP720" t="s">
        <v>11044</v>
      </c>
      <c r="AQ720" t="s">
        <v>11043</v>
      </c>
    </row>
    <row r="721" spans="1:43" x14ac:dyDescent="0.2">
      <c r="A721" t="s">
        <v>11783</v>
      </c>
      <c r="B721" t="s">
        <v>11038</v>
      </c>
      <c r="C721" t="s">
        <v>11039</v>
      </c>
      <c r="D721" t="s">
        <v>11884</v>
      </c>
      <c r="E721" t="s">
        <v>11885</v>
      </c>
      <c r="F721" t="s">
        <v>11884</v>
      </c>
      <c r="G721" s="1">
        <v>2500000</v>
      </c>
      <c r="H721" s="2">
        <v>2500000</v>
      </c>
      <c r="I721" s="2">
        <v>2502501.4300000002</v>
      </c>
      <c r="J721" s="2">
        <v>33231.51</v>
      </c>
      <c r="K721" s="2">
        <v>0</v>
      </c>
      <c r="L721" s="2">
        <v>2535732.94</v>
      </c>
      <c r="M721" s="3">
        <v>5.529731</v>
      </c>
      <c r="N721" s="4">
        <v>5.7690700000000003E-3</v>
      </c>
      <c r="O721" s="5">
        <v>44679</v>
      </c>
      <c r="P721" s="5">
        <v>44862</v>
      </c>
      <c r="Q721" s="1">
        <v>5.7080000000000002</v>
      </c>
      <c r="R721" s="2">
        <v>0.01</v>
      </c>
      <c r="S721" s="6">
        <v>3.323205444E-3</v>
      </c>
      <c r="T721" t="s">
        <v>111</v>
      </c>
      <c r="U721" t="s">
        <v>11040</v>
      </c>
      <c r="V721" t="s">
        <v>114</v>
      </c>
      <c r="W721" t="s">
        <v>43</v>
      </c>
      <c r="X721" t="s">
        <v>10988</v>
      </c>
      <c r="Y721" t="s">
        <v>44</v>
      </c>
      <c r="Z721" t="s">
        <v>44</v>
      </c>
      <c r="AA721" t="s">
        <v>11465</v>
      </c>
      <c r="AB721" t="s">
        <v>44</v>
      </c>
      <c r="AC721" s="4">
        <v>5.6841506900000001</v>
      </c>
      <c r="AD721" s="4">
        <v>5.5412295399999998</v>
      </c>
      <c r="AE721" s="2">
        <v>5.68</v>
      </c>
      <c r="AF721" s="4">
        <v>5.5412295399999998</v>
      </c>
      <c r="AG721" s="2">
        <v>0.38</v>
      </c>
      <c r="AH721" s="2">
        <v>2535732.94</v>
      </c>
      <c r="AI721" s="2">
        <v>0.01</v>
      </c>
      <c r="AJ721" s="5">
        <v>44673</v>
      </c>
      <c r="AK721" t="s">
        <v>11784</v>
      </c>
      <c r="AL721" s="2">
        <v>5.61</v>
      </c>
      <c r="AM721" s="2">
        <v>5.71</v>
      </c>
      <c r="AN721" s="2">
        <v>0</v>
      </c>
      <c r="AO721" t="s">
        <v>11886</v>
      </c>
      <c r="AP721" t="s">
        <v>11887</v>
      </c>
      <c r="AQ721" t="s">
        <v>11885</v>
      </c>
    </row>
    <row r="722" spans="1:43" x14ac:dyDescent="0.2">
      <c r="A722" t="s">
        <v>11783</v>
      </c>
      <c r="B722" t="s">
        <v>11038</v>
      </c>
      <c r="C722" t="s">
        <v>11222</v>
      </c>
      <c r="D722" t="s">
        <v>12965</v>
      </c>
      <c r="E722" t="s">
        <v>12966</v>
      </c>
      <c r="F722" t="s">
        <v>12965</v>
      </c>
      <c r="G722" s="1">
        <v>26000000</v>
      </c>
      <c r="H722" s="2">
        <v>26000000</v>
      </c>
      <c r="I722" s="2">
        <v>26003799.690000001</v>
      </c>
      <c r="J722" s="2">
        <v>50383.01</v>
      </c>
      <c r="K722" s="2">
        <v>0</v>
      </c>
      <c r="L722" s="2">
        <v>26054182.699999999</v>
      </c>
      <c r="M722" s="3">
        <v>6.4004060000000003</v>
      </c>
      <c r="N722" s="4">
        <v>5.927607E-2</v>
      </c>
      <c r="O722" s="5">
        <v>45057</v>
      </c>
      <c r="P722" s="5">
        <v>45057</v>
      </c>
      <c r="Q722" s="1">
        <v>6.43</v>
      </c>
      <c r="R722" s="2">
        <v>1.04</v>
      </c>
      <c r="S722" s="6">
        <v>0.97846466510999996</v>
      </c>
      <c r="T722" t="s">
        <v>111</v>
      </c>
      <c r="U722" t="s">
        <v>11040</v>
      </c>
      <c r="V722" t="s">
        <v>11041</v>
      </c>
      <c r="W722" t="s">
        <v>43</v>
      </c>
      <c r="X722" t="s">
        <v>11034</v>
      </c>
      <c r="Y722" t="s">
        <v>44</v>
      </c>
      <c r="Z722" t="s">
        <v>44</v>
      </c>
      <c r="AA722" t="s">
        <v>10979</v>
      </c>
      <c r="AB722" t="s">
        <v>44</v>
      </c>
      <c r="AC722" s="4">
        <v>6.3916291899999997</v>
      </c>
      <c r="AD722" s="4">
        <v>6.2116933599999999</v>
      </c>
      <c r="AE722" s="2">
        <v>6.39</v>
      </c>
      <c r="AF722" s="4">
        <v>6.2116933599999999</v>
      </c>
      <c r="AG722" s="2">
        <v>3.95</v>
      </c>
      <c r="AH722" s="2">
        <v>26054182.699999999</v>
      </c>
      <c r="AI722" s="2">
        <v>0.06</v>
      </c>
      <c r="AJ722" s="5">
        <v>44673</v>
      </c>
      <c r="AK722" t="s">
        <v>11784</v>
      </c>
      <c r="AL722" s="2">
        <v>6.29</v>
      </c>
      <c r="AM722" s="2">
        <v>6.43</v>
      </c>
      <c r="AN722" s="2">
        <v>0.98</v>
      </c>
      <c r="AO722" t="s">
        <v>11054</v>
      </c>
      <c r="AP722" t="s">
        <v>12967</v>
      </c>
      <c r="AQ722" t="s">
        <v>12966</v>
      </c>
    </row>
    <row r="723" spans="1:43" x14ac:dyDescent="0.2">
      <c r="A723" t="s">
        <v>11783</v>
      </c>
      <c r="B723" t="s">
        <v>11038</v>
      </c>
      <c r="C723" t="s">
        <v>11222</v>
      </c>
      <c r="D723" t="s">
        <v>11888</v>
      </c>
      <c r="E723" t="s">
        <v>11889</v>
      </c>
      <c r="F723" t="s">
        <v>11888</v>
      </c>
      <c r="G723" s="1">
        <v>2000000</v>
      </c>
      <c r="H723" s="2">
        <v>2005759.58</v>
      </c>
      <c r="I723" s="2">
        <v>2006808.07</v>
      </c>
      <c r="J723" s="2">
        <v>15238.3</v>
      </c>
      <c r="K723" s="2">
        <v>0</v>
      </c>
      <c r="L723" s="2">
        <v>2022046.37</v>
      </c>
      <c r="M723" s="3">
        <v>5.6397240000000002</v>
      </c>
      <c r="N723" s="4">
        <v>4.6003700000000003E-3</v>
      </c>
      <c r="O723" s="5">
        <v>44718</v>
      </c>
      <c r="P723" s="5">
        <v>45083</v>
      </c>
      <c r="Q723" s="1">
        <v>5.9169999999999998</v>
      </c>
      <c r="R723" s="2">
        <v>0.12</v>
      </c>
      <c r="S723" s="6">
        <v>0.10153073584699999</v>
      </c>
      <c r="T723" t="s">
        <v>111</v>
      </c>
      <c r="U723" t="s">
        <v>11040</v>
      </c>
      <c r="V723" t="s">
        <v>114</v>
      </c>
      <c r="W723" t="s">
        <v>43</v>
      </c>
      <c r="X723" t="s">
        <v>10988</v>
      </c>
      <c r="Y723" t="s">
        <v>44</v>
      </c>
      <c r="Z723" t="s">
        <v>44</v>
      </c>
      <c r="AA723" t="s">
        <v>10913</v>
      </c>
      <c r="AB723" t="s">
        <v>44</v>
      </c>
      <c r="AC723" s="4">
        <v>5.7825122599999998</v>
      </c>
      <c r="AD723" s="4">
        <v>5.63469072</v>
      </c>
      <c r="AE723" s="2">
        <v>5.78</v>
      </c>
      <c r="AF723" s="4">
        <v>5.63469072</v>
      </c>
      <c r="AG723" s="2">
        <v>0.31</v>
      </c>
      <c r="AH723" s="2">
        <v>2022046.37</v>
      </c>
      <c r="AI723" s="2">
        <v>0</v>
      </c>
      <c r="AJ723" s="5">
        <v>44673</v>
      </c>
      <c r="AK723" t="s">
        <v>11784</v>
      </c>
      <c r="AL723" s="2">
        <v>5.7</v>
      </c>
      <c r="AM723" s="2">
        <v>5.92</v>
      </c>
      <c r="AN723" s="2">
        <v>0.1</v>
      </c>
      <c r="AO723" t="s">
        <v>11563</v>
      </c>
      <c r="AP723" t="s">
        <v>11890</v>
      </c>
      <c r="AQ723" t="s">
        <v>11889</v>
      </c>
    </row>
    <row r="724" spans="1:43" x14ac:dyDescent="0.2">
      <c r="A724" t="s">
        <v>11783</v>
      </c>
      <c r="B724" t="s">
        <v>11038</v>
      </c>
      <c r="C724" t="s">
        <v>11222</v>
      </c>
      <c r="D724" t="s">
        <v>12730</v>
      </c>
      <c r="E724" t="s">
        <v>12731</v>
      </c>
      <c r="F724" t="s">
        <v>12730</v>
      </c>
      <c r="G724" s="1">
        <v>3900000</v>
      </c>
      <c r="H724" s="2">
        <v>3900000</v>
      </c>
      <c r="I724" s="2">
        <v>3900002.44</v>
      </c>
      <c r="J724" s="2">
        <v>20320.82</v>
      </c>
      <c r="K724" s="2">
        <v>0</v>
      </c>
      <c r="L724" s="2">
        <v>3920323.26</v>
      </c>
      <c r="M724" s="3">
        <v>6.4543710000000001</v>
      </c>
      <c r="N724" s="4">
        <v>8.9191600000000006E-3</v>
      </c>
      <c r="O724" s="5">
        <v>44739</v>
      </c>
      <c r="P724" s="5">
        <v>46563</v>
      </c>
      <c r="Q724" s="1">
        <v>6.5579999999999998</v>
      </c>
      <c r="R724" s="2">
        <v>0.17</v>
      </c>
      <c r="S724" s="6">
        <v>0.10239071847800001</v>
      </c>
      <c r="T724" t="s">
        <v>111</v>
      </c>
      <c r="U724" t="s">
        <v>11040</v>
      </c>
      <c r="V724" t="s">
        <v>11189</v>
      </c>
      <c r="W724" t="s">
        <v>43</v>
      </c>
      <c r="X724" t="s">
        <v>11034</v>
      </c>
      <c r="Y724" t="s">
        <v>44</v>
      </c>
      <c r="Z724" t="s">
        <v>44</v>
      </c>
      <c r="AA724" t="s">
        <v>11035</v>
      </c>
      <c r="AB724" t="s">
        <v>44</v>
      </c>
      <c r="AC724" s="4">
        <v>6.6291599999999997</v>
      </c>
      <c r="AD724" s="4">
        <v>6.4358805400000003</v>
      </c>
      <c r="AE724" s="2">
        <v>6.63</v>
      </c>
      <c r="AF724" s="4">
        <v>6.4358805400000003</v>
      </c>
      <c r="AG724" s="2">
        <v>0.6</v>
      </c>
      <c r="AH724" s="2">
        <v>3920323.26</v>
      </c>
      <c r="AI724" s="2">
        <v>0.01</v>
      </c>
      <c r="AJ724" s="5">
        <v>44673</v>
      </c>
      <c r="AK724" t="s">
        <v>11784</v>
      </c>
      <c r="AL724" s="2">
        <v>6.52</v>
      </c>
      <c r="AM724" s="2">
        <v>6.56</v>
      </c>
      <c r="AN724" s="2">
        <v>0.1</v>
      </c>
      <c r="AO724" t="s">
        <v>11226</v>
      </c>
      <c r="AP724" t="s">
        <v>12732</v>
      </c>
      <c r="AQ724" t="s">
        <v>12731</v>
      </c>
    </row>
    <row r="725" spans="1:43" x14ac:dyDescent="0.2">
      <c r="A725" t="s">
        <v>11783</v>
      </c>
      <c r="B725" t="s">
        <v>11038</v>
      </c>
      <c r="C725" t="s">
        <v>11222</v>
      </c>
      <c r="D725" t="s">
        <v>11891</v>
      </c>
      <c r="E725" t="s">
        <v>11892</v>
      </c>
      <c r="F725" t="s">
        <v>11891</v>
      </c>
      <c r="G725" s="1">
        <v>6100000</v>
      </c>
      <c r="H725" s="2">
        <v>6100000</v>
      </c>
      <c r="I725" s="2">
        <v>6109194.8099999996</v>
      </c>
      <c r="J725" s="2">
        <v>52305.41</v>
      </c>
      <c r="K725" s="2">
        <v>0</v>
      </c>
      <c r="L725" s="2">
        <v>6161500.2199999997</v>
      </c>
      <c r="M725" s="3">
        <v>7.9353490000000004</v>
      </c>
      <c r="N725" s="4">
        <v>1.401808E-2</v>
      </c>
      <c r="O725" s="5">
        <v>44727</v>
      </c>
      <c r="P725" s="5">
        <v>45642</v>
      </c>
      <c r="Q725" s="1">
        <v>8.0250000000000004</v>
      </c>
      <c r="R725" s="2">
        <v>0.14000000000000001</v>
      </c>
      <c r="S725" s="6">
        <v>7.6335008319000003E-2</v>
      </c>
      <c r="T725" t="s">
        <v>111</v>
      </c>
      <c r="U725" t="s">
        <v>11040</v>
      </c>
      <c r="V725" t="s">
        <v>114</v>
      </c>
      <c r="W725" t="s">
        <v>43</v>
      </c>
      <c r="X725" t="s">
        <v>10988</v>
      </c>
      <c r="Y725" t="s">
        <v>44</v>
      </c>
      <c r="Z725" t="s">
        <v>44</v>
      </c>
      <c r="AA725" t="s">
        <v>44</v>
      </c>
      <c r="AB725" t="s">
        <v>44</v>
      </c>
      <c r="AC725" s="4">
        <v>8.2114278699999996</v>
      </c>
      <c r="AD725" s="4">
        <v>7.9176856799999999</v>
      </c>
      <c r="AE725" s="2">
        <v>8.2100000000000009</v>
      </c>
      <c r="AF725" s="4">
        <v>7.9176856799999999</v>
      </c>
      <c r="AG725" s="2">
        <v>0.94</v>
      </c>
      <c r="AH725" s="2">
        <v>6161500.2199999997</v>
      </c>
      <c r="AI725" s="2">
        <v>0.01</v>
      </c>
      <c r="AJ725" s="5">
        <v>44673</v>
      </c>
      <c r="AK725" t="s">
        <v>11784</v>
      </c>
      <c r="AL725" s="2">
        <v>8.0500000000000007</v>
      </c>
      <c r="AM725" s="2">
        <v>8.0299999999999994</v>
      </c>
      <c r="AN725" s="2">
        <v>0.08</v>
      </c>
      <c r="AO725" t="s">
        <v>11871</v>
      </c>
      <c r="AP725" t="s">
        <v>11893</v>
      </c>
      <c r="AQ725" t="s">
        <v>11892</v>
      </c>
    </row>
    <row r="726" spans="1:43" x14ac:dyDescent="0.2">
      <c r="A726" t="s">
        <v>11783</v>
      </c>
      <c r="B726" t="s">
        <v>11038</v>
      </c>
      <c r="C726" t="s">
        <v>11222</v>
      </c>
      <c r="D726" t="s">
        <v>11648</v>
      </c>
      <c r="E726" t="s">
        <v>11649</v>
      </c>
      <c r="F726" t="s">
        <v>11648</v>
      </c>
      <c r="G726" s="1">
        <v>4900000</v>
      </c>
      <c r="H726" s="2">
        <v>4900000</v>
      </c>
      <c r="I726" s="2">
        <v>4914211.21</v>
      </c>
      <c r="J726" s="2">
        <v>44706.53</v>
      </c>
      <c r="K726" s="2">
        <v>0</v>
      </c>
      <c r="L726" s="2">
        <v>4958917.74</v>
      </c>
      <c r="M726" s="3">
        <v>6.0302819999999997</v>
      </c>
      <c r="N726" s="4">
        <v>1.128207E-2</v>
      </c>
      <c r="O726" s="5">
        <v>44712</v>
      </c>
      <c r="P726" s="5">
        <v>45260</v>
      </c>
      <c r="Q726" s="1">
        <v>6.1669999999999998</v>
      </c>
      <c r="R726" s="2">
        <v>0.1</v>
      </c>
      <c r="S726" s="6">
        <v>7.8177650525999995E-2</v>
      </c>
      <c r="T726" t="s">
        <v>111</v>
      </c>
      <c r="U726" t="s">
        <v>11040</v>
      </c>
      <c r="V726" t="s">
        <v>114</v>
      </c>
      <c r="W726" t="s">
        <v>43</v>
      </c>
      <c r="X726" t="s">
        <v>10988</v>
      </c>
      <c r="Y726" t="s">
        <v>44</v>
      </c>
      <c r="Z726" t="s">
        <v>44</v>
      </c>
      <c r="AA726" t="s">
        <v>10979</v>
      </c>
      <c r="AB726" t="s">
        <v>44</v>
      </c>
      <c r="AC726" s="4">
        <v>6.1968427300000002</v>
      </c>
      <c r="AD726" s="4">
        <v>6.0275066400000004</v>
      </c>
      <c r="AE726" s="2">
        <v>6.2</v>
      </c>
      <c r="AF726" s="4">
        <v>6.0275066400000004</v>
      </c>
      <c r="AG726" s="2">
        <v>0.75</v>
      </c>
      <c r="AH726" s="2">
        <v>4958917.74</v>
      </c>
      <c r="AI726" s="2">
        <v>0.01</v>
      </c>
      <c r="AJ726" s="5">
        <v>44673</v>
      </c>
      <c r="AK726" t="s">
        <v>11784</v>
      </c>
      <c r="AL726" s="2">
        <v>6.1</v>
      </c>
      <c r="AM726" s="2">
        <v>6.17</v>
      </c>
      <c r="AN726" s="2">
        <v>0.08</v>
      </c>
      <c r="AO726" t="s">
        <v>11048</v>
      </c>
      <c r="AP726" t="s">
        <v>11650</v>
      </c>
      <c r="AQ726" t="s">
        <v>11649</v>
      </c>
    </row>
    <row r="727" spans="1:43" x14ac:dyDescent="0.2">
      <c r="A727" t="s">
        <v>11783</v>
      </c>
      <c r="B727" t="s">
        <v>11038</v>
      </c>
      <c r="C727" t="s">
        <v>11222</v>
      </c>
      <c r="D727" t="s">
        <v>11894</v>
      </c>
      <c r="E727" t="s">
        <v>11895</v>
      </c>
      <c r="F727" t="s">
        <v>11894</v>
      </c>
      <c r="G727" s="1">
        <v>1600000</v>
      </c>
      <c r="H727" s="2">
        <v>1600000</v>
      </c>
      <c r="I727" s="2">
        <v>1599857.16</v>
      </c>
      <c r="J727" s="2">
        <v>10813.15</v>
      </c>
      <c r="K727" s="2">
        <v>0</v>
      </c>
      <c r="L727" s="2">
        <v>1610670.31</v>
      </c>
      <c r="M727" s="3">
        <v>6.3053489999999996</v>
      </c>
      <c r="N727" s="4">
        <v>3.6644500000000001E-3</v>
      </c>
      <c r="O727" s="5">
        <v>44727</v>
      </c>
      <c r="P727" s="5">
        <v>45366</v>
      </c>
      <c r="Q727" s="1">
        <v>6.3250000000000002</v>
      </c>
      <c r="R727" s="2">
        <v>0.14000000000000001</v>
      </c>
      <c r="S727" s="6">
        <v>0.10845508335</v>
      </c>
      <c r="T727" t="s">
        <v>111</v>
      </c>
      <c r="U727" t="s">
        <v>11040</v>
      </c>
      <c r="V727" t="s">
        <v>114</v>
      </c>
      <c r="W727" t="s">
        <v>43</v>
      </c>
      <c r="X727" t="s">
        <v>10988</v>
      </c>
      <c r="Y727" t="s">
        <v>44</v>
      </c>
      <c r="Z727" t="s">
        <v>44</v>
      </c>
      <c r="AA727" t="s">
        <v>10979</v>
      </c>
      <c r="AB727" t="s">
        <v>44</v>
      </c>
      <c r="AC727" s="4">
        <v>6.4789744799999998</v>
      </c>
      <c r="AD727" s="4">
        <v>6.2941851800000004</v>
      </c>
      <c r="AE727" s="2">
        <v>6.48</v>
      </c>
      <c r="AF727" s="4">
        <v>6.2941851800000004</v>
      </c>
      <c r="AG727" s="2">
        <v>0.24</v>
      </c>
      <c r="AH727" s="2">
        <v>1610670.31</v>
      </c>
      <c r="AI727" s="2">
        <v>0</v>
      </c>
      <c r="AJ727" s="5">
        <v>44673</v>
      </c>
      <c r="AK727" t="s">
        <v>11784</v>
      </c>
      <c r="AL727" s="2">
        <v>6.38</v>
      </c>
      <c r="AM727" s="2">
        <v>6.33</v>
      </c>
      <c r="AN727" s="2">
        <v>0.11</v>
      </c>
      <c r="AO727" t="s">
        <v>11567</v>
      </c>
      <c r="AP727" t="s">
        <v>11896</v>
      </c>
      <c r="AQ727" t="s">
        <v>11895</v>
      </c>
    </row>
    <row r="728" spans="1:43" x14ac:dyDescent="0.2">
      <c r="A728" t="s">
        <v>11783</v>
      </c>
      <c r="B728" t="s">
        <v>11038</v>
      </c>
      <c r="C728" t="s">
        <v>11222</v>
      </c>
      <c r="D728" t="s">
        <v>11897</v>
      </c>
      <c r="E728" t="s">
        <v>11898</v>
      </c>
      <c r="F728" t="s">
        <v>11897</v>
      </c>
      <c r="G728" s="1">
        <v>1200000</v>
      </c>
      <c r="H728" s="2">
        <v>1200000</v>
      </c>
      <c r="I728" s="2">
        <v>1199843.3600000001</v>
      </c>
      <c r="J728" s="2">
        <v>9606.5400000000009</v>
      </c>
      <c r="K728" s="2">
        <v>0</v>
      </c>
      <c r="L728" s="2">
        <v>1209449.8999999999</v>
      </c>
      <c r="M728" s="3">
        <v>6.2678570000000002</v>
      </c>
      <c r="N728" s="4">
        <v>2.7516300000000001E-3</v>
      </c>
      <c r="O728" s="5">
        <v>44719</v>
      </c>
      <c r="P728" s="5">
        <v>45723</v>
      </c>
      <c r="Q728" s="1">
        <v>6.2169999999999996</v>
      </c>
      <c r="R728" s="2">
        <v>0.12</v>
      </c>
      <c r="S728" s="6">
        <v>7.7282729554999999E-2</v>
      </c>
      <c r="T728" t="s">
        <v>111</v>
      </c>
      <c r="U728" t="s">
        <v>11040</v>
      </c>
      <c r="V728" t="s">
        <v>114</v>
      </c>
      <c r="W728" t="s">
        <v>43</v>
      </c>
      <c r="X728" t="s">
        <v>10988</v>
      </c>
      <c r="Y728" t="s">
        <v>44</v>
      </c>
      <c r="Z728" t="s">
        <v>44</v>
      </c>
      <c r="AA728" t="s">
        <v>11035</v>
      </c>
      <c r="AB728" t="s">
        <v>44</v>
      </c>
      <c r="AC728" s="4">
        <v>6.4439416999999999</v>
      </c>
      <c r="AD728" s="4">
        <v>6.2611065000000004</v>
      </c>
      <c r="AE728" s="2">
        <v>6.44</v>
      </c>
      <c r="AF728" s="4">
        <v>6.2611065000000004</v>
      </c>
      <c r="AG728" s="2">
        <v>0.18</v>
      </c>
      <c r="AH728" s="2">
        <v>1209449.8999999999</v>
      </c>
      <c r="AI728" s="2">
        <v>0</v>
      </c>
      <c r="AJ728" s="5">
        <v>44673</v>
      </c>
      <c r="AK728" t="s">
        <v>11784</v>
      </c>
      <c r="AL728" s="2">
        <v>6.34</v>
      </c>
      <c r="AM728" s="2">
        <v>6.22</v>
      </c>
      <c r="AN728" s="2">
        <v>0.08</v>
      </c>
      <c r="AO728" t="s">
        <v>11437</v>
      </c>
      <c r="AP728" t="s">
        <v>11899</v>
      </c>
      <c r="AQ728" t="s">
        <v>11898</v>
      </c>
    </row>
    <row r="729" spans="1:43" x14ac:dyDescent="0.2">
      <c r="A729" t="s">
        <v>11783</v>
      </c>
      <c r="B729" t="s">
        <v>11038</v>
      </c>
      <c r="C729" t="s">
        <v>11222</v>
      </c>
      <c r="D729" t="s">
        <v>11900</v>
      </c>
      <c r="E729" t="s">
        <v>11901</v>
      </c>
      <c r="F729" t="s">
        <v>11900</v>
      </c>
      <c r="G729" s="1">
        <v>8200000</v>
      </c>
      <c r="H729" s="2">
        <v>8200000</v>
      </c>
      <c r="I729" s="2">
        <v>8227111.4400000004</v>
      </c>
      <c r="J729" s="2">
        <v>104037.11</v>
      </c>
      <c r="K729" s="2">
        <v>0</v>
      </c>
      <c r="L729" s="2">
        <v>8331148.5499999998</v>
      </c>
      <c r="M729" s="3">
        <v>6.1260430000000001</v>
      </c>
      <c r="N729" s="4">
        <v>1.8954260000000001E-2</v>
      </c>
      <c r="O729" s="5">
        <v>44690</v>
      </c>
      <c r="P729" s="5">
        <v>45330</v>
      </c>
      <c r="Q729" s="1">
        <v>6.258</v>
      </c>
      <c r="R729" s="2">
        <v>0.04</v>
      </c>
      <c r="S729" s="6">
        <v>1.7773178866000001E-2</v>
      </c>
      <c r="T729" t="s">
        <v>111</v>
      </c>
      <c r="U729" t="s">
        <v>11040</v>
      </c>
      <c r="V729" t="s">
        <v>114</v>
      </c>
      <c r="W729" t="s">
        <v>43</v>
      </c>
      <c r="X729" t="s">
        <v>10988</v>
      </c>
      <c r="Y729" t="s">
        <v>44</v>
      </c>
      <c r="Z729" t="s">
        <v>44</v>
      </c>
      <c r="AA729" t="s">
        <v>10979</v>
      </c>
      <c r="AB729" t="s">
        <v>44</v>
      </c>
      <c r="AC729" s="4">
        <v>6.3099366400000001</v>
      </c>
      <c r="AD729" s="4">
        <v>6.1344839599999998</v>
      </c>
      <c r="AE729" s="2">
        <v>6.31</v>
      </c>
      <c r="AF729" s="4">
        <v>6.1344839599999998</v>
      </c>
      <c r="AG729" s="2">
        <v>1.26</v>
      </c>
      <c r="AH729" s="2">
        <v>8331148.5499999998</v>
      </c>
      <c r="AI729" s="2">
        <v>0.02</v>
      </c>
      <c r="AJ729" s="5">
        <v>44673</v>
      </c>
      <c r="AK729" t="s">
        <v>11784</v>
      </c>
      <c r="AL729" s="2">
        <v>6.21</v>
      </c>
      <c r="AM729" s="2">
        <v>6.26</v>
      </c>
      <c r="AN729" s="2">
        <v>0.02</v>
      </c>
      <c r="AO729" t="s">
        <v>11824</v>
      </c>
      <c r="AP729" t="s">
        <v>11902</v>
      </c>
      <c r="AQ729" t="s">
        <v>11901</v>
      </c>
    </row>
    <row r="730" spans="1:43" x14ac:dyDescent="0.2">
      <c r="A730" t="s">
        <v>11783</v>
      </c>
      <c r="B730" t="s">
        <v>11038</v>
      </c>
      <c r="C730" t="s">
        <v>11222</v>
      </c>
      <c r="D730" t="s">
        <v>11903</v>
      </c>
      <c r="E730" t="s">
        <v>11904</v>
      </c>
      <c r="F730" t="s">
        <v>11903</v>
      </c>
      <c r="G730" s="1">
        <v>2000000</v>
      </c>
      <c r="H730" s="2">
        <v>2000000</v>
      </c>
      <c r="I730" s="2">
        <v>1999955.9</v>
      </c>
      <c r="J730" s="2">
        <v>24330.080000000002</v>
      </c>
      <c r="K730" s="2">
        <v>0</v>
      </c>
      <c r="L730" s="2">
        <v>2024285.98</v>
      </c>
      <c r="M730" s="3">
        <v>6.2325840000000001</v>
      </c>
      <c r="N730" s="4">
        <v>4.6054700000000004E-3</v>
      </c>
      <c r="O730" s="5">
        <v>44691</v>
      </c>
      <c r="P730" s="5">
        <v>45422</v>
      </c>
      <c r="Q730" s="1">
        <v>6.1669999999999998</v>
      </c>
      <c r="R730" s="2">
        <v>0.04</v>
      </c>
      <c r="S730" s="6">
        <v>1.3346666328999999E-2</v>
      </c>
      <c r="T730" t="s">
        <v>111</v>
      </c>
      <c r="U730" t="s">
        <v>11040</v>
      </c>
      <c r="V730" t="s">
        <v>114</v>
      </c>
      <c r="W730" t="s">
        <v>43</v>
      </c>
      <c r="X730" t="s">
        <v>10988</v>
      </c>
      <c r="Y730" t="s">
        <v>44</v>
      </c>
      <c r="Z730" t="s">
        <v>44</v>
      </c>
      <c r="AA730" t="s">
        <v>11035</v>
      </c>
      <c r="AB730" t="s">
        <v>44</v>
      </c>
      <c r="AC730" s="4">
        <v>6.4224278899999998</v>
      </c>
      <c r="AD730" s="4">
        <v>6.2407877699999998</v>
      </c>
      <c r="AE730" s="2">
        <v>6.42</v>
      </c>
      <c r="AF730" s="4">
        <v>6.2407877699999998</v>
      </c>
      <c r="AG730" s="2">
        <v>0.31</v>
      </c>
      <c r="AH730" s="2">
        <v>2024285.98</v>
      </c>
      <c r="AI730" s="2">
        <v>0</v>
      </c>
      <c r="AJ730" s="5">
        <v>44673</v>
      </c>
      <c r="AK730" t="s">
        <v>11784</v>
      </c>
      <c r="AL730" s="2">
        <v>6.32</v>
      </c>
      <c r="AM730" s="2">
        <v>6.17</v>
      </c>
      <c r="AN730" s="2">
        <v>0.01</v>
      </c>
      <c r="AO730" t="s">
        <v>11437</v>
      </c>
      <c r="AP730" t="s">
        <v>11905</v>
      </c>
      <c r="AQ730" t="s">
        <v>11904</v>
      </c>
    </row>
    <row r="731" spans="1:43" x14ac:dyDescent="0.2">
      <c r="A731" t="s">
        <v>11783</v>
      </c>
      <c r="B731" t="s">
        <v>11038</v>
      </c>
      <c r="C731" t="s">
        <v>11222</v>
      </c>
      <c r="D731" t="s">
        <v>11906</v>
      </c>
      <c r="E731" t="s">
        <v>11907</v>
      </c>
      <c r="F731" t="s">
        <v>11906</v>
      </c>
      <c r="G731" s="1">
        <v>17000000</v>
      </c>
      <c r="H731" s="2">
        <v>17000949.780000001</v>
      </c>
      <c r="I731" s="2">
        <v>17024601.870000001</v>
      </c>
      <c r="J731" s="2">
        <v>163135.73000000001</v>
      </c>
      <c r="K731" s="2">
        <v>0</v>
      </c>
      <c r="L731" s="2">
        <v>17187737.600000001</v>
      </c>
      <c r="M731" s="3">
        <v>5.7430570000000003</v>
      </c>
      <c r="N731" s="4">
        <v>3.9103949999999998E-2</v>
      </c>
      <c r="O731" s="5">
        <v>44704</v>
      </c>
      <c r="P731" s="5">
        <v>45343</v>
      </c>
      <c r="Q731" s="1">
        <v>5.742</v>
      </c>
      <c r="R731" s="2">
        <v>0.08</v>
      </c>
      <c r="S731" s="6">
        <v>5.7362487435999997E-2</v>
      </c>
      <c r="T731" t="s">
        <v>111</v>
      </c>
      <c r="U731" t="s">
        <v>11040</v>
      </c>
      <c r="V731" t="s">
        <v>114</v>
      </c>
      <c r="W731" t="s">
        <v>43</v>
      </c>
      <c r="X731" t="s">
        <v>10988</v>
      </c>
      <c r="Y731" t="s">
        <v>44</v>
      </c>
      <c r="Z731" t="s">
        <v>44</v>
      </c>
      <c r="AA731" t="s">
        <v>11035</v>
      </c>
      <c r="AB731" t="s">
        <v>44</v>
      </c>
      <c r="AC731" s="4">
        <v>5.8978146699999998</v>
      </c>
      <c r="AD731" s="4">
        <v>5.7441473600000004</v>
      </c>
      <c r="AE731" s="2">
        <v>5.9</v>
      </c>
      <c r="AF731" s="4">
        <v>5.7441473600000004</v>
      </c>
      <c r="AG731" s="2">
        <v>2.61</v>
      </c>
      <c r="AH731" s="2">
        <v>17187737.600000001</v>
      </c>
      <c r="AI731" s="2">
        <v>0.04</v>
      </c>
      <c r="AJ731" s="5">
        <v>44673</v>
      </c>
      <c r="AK731" t="s">
        <v>11784</v>
      </c>
      <c r="AL731" s="2">
        <v>5.81</v>
      </c>
      <c r="AM731" s="2">
        <v>5.74</v>
      </c>
      <c r="AN731" s="2">
        <v>0.06</v>
      </c>
      <c r="AO731" t="s">
        <v>11036</v>
      </c>
      <c r="AP731" t="s">
        <v>11908</v>
      </c>
      <c r="AQ731" t="s">
        <v>11907</v>
      </c>
    </row>
    <row r="732" spans="1:43" x14ac:dyDescent="0.2">
      <c r="A732" t="s">
        <v>11783</v>
      </c>
      <c r="B732" t="s">
        <v>11160</v>
      </c>
      <c r="C732" t="s">
        <v>11161</v>
      </c>
      <c r="D732" t="s">
        <v>11162</v>
      </c>
      <c r="E732" t="s">
        <v>11163</v>
      </c>
      <c r="F732" t="s">
        <v>11162</v>
      </c>
      <c r="G732" s="1">
        <v>8004</v>
      </c>
      <c r="H732" s="2">
        <v>5764325.7699999996</v>
      </c>
      <c r="I732" s="2">
        <v>7203600</v>
      </c>
      <c r="J732" s="2">
        <v>0</v>
      </c>
      <c r="K732" s="2">
        <v>199628.53</v>
      </c>
      <c r="L732" s="2">
        <v>7403228.5300000003</v>
      </c>
      <c r="M732" s="3">
        <v>90000</v>
      </c>
      <c r="N732" s="4">
        <v>1.684314E-2</v>
      </c>
      <c r="O732" s="5" t="s">
        <v>44</v>
      </c>
      <c r="P732" s="5" t="s">
        <v>44</v>
      </c>
      <c r="Q732" s="1"/>
      <c r="R732" s="2"/>
      <c r="S732" s="6"/>
      <c r="T732" t="s">
        <v>10902</v>
      </c>
      <c r="U732" t="s">
        <v>10902</v>
      </c>
      <c r="V732" t="s">
        <v>11164</v>
      </c>
      <c r="W732" t="s">
        <v>43</v>
      </c>
      <c r="X732" t="s">
        <v>44</v>
      </c>
      <c r="Y732" t="s">
        <v>44</v>
      </c>
      <c r="Z732" t="s">
        <v>44</v>
      </c>
      <c r="AA732" t="s">
        <v>10979</v>
      </c>
      <c r="AB732" t="s">
        <v>44</v>
      </c>
      <c r="AC732" s="4"/>
      <c r="AD732" s="4"/>
      <c r="AE732" s="2">
        <v>0</v>
      </c>
      <c r="AF732" s="4">
        <v>0</v>
      </c>
      <c r="AG732" s="2">
        <v>1.1200000000000001</v>
      </c>
      <c r="AH732" s="2">
        <v>7403228.5300000003</v>
      </c>
      <c r="AI732" s="2">
        <v>0.02</v>
      </c>
      <c r="AJ732" s="5">
        <v>44673</v>
      </c>
      <c r="AK732" t="s">
        <v>11784</v>
      </c>
      <c r="AL732" s="2">
        <v>0</v>
      </c>
      <c r="AM732" s="2">
        <v>0</v>
      </c>
      <c r="AN732" s="2">
        <v>0</v>
      </c>
      <c r="AO732" t="s">
        <v>11165</v>
      </c>
      <c r="AP732" t="s">
        <v>11166</v>
      </c>
      <c r="AQ732" t="s">
        <v>11163</v>
      </c>
    </row>
    <row r="733" spans="1:43" x14ac:dyDescent="0.2">
      <c r="A733" t="s">
        <v>11783</v>
      </c>
      <c r="B733" t="s">
        <v>11160</v>
      </c>
      <c r="C733" t="s">
        <v>11161</v>
      </c>
      <c r="D733" t="s">
        <v>11654</v>
      </c>
      <c r="E733" t="s">
        <v>11655</v>
      </c>
      <c r="F733" t="s">
        <v>11654</v>
      </c>
      <c r="G733" s="1">
        <v>82229</v>
      </c>
      <c r="H733" s="2">
        <v>6628744.3099999996</v>
      </c>
      <c r="I733" s="2">
        <v>7884938.8099999996</v>
      </c>
      <c r="J733" s="2">
        <v>0</v>
      </c>
      <c r="K733" s="2">
        <v>0</v>
      </c>
      <c r="L733" s="2">
        <v>7884938.8099999996</v>
      </c>
      <c r="M733" s="3">
        <v>9589</v>
      </c>
      <c r="N733" s="4">
        <v>1.793908E-2</v>
      </c>
      <c r="O733" s="5" t="s">
        <v>44</v>
      </c>
      <c r="P733" s="5" t="s">
        <v>44</v>
      </c>
      <c r="Q733" s="1"/>
      <c r="R733" s="2"/>
      <c r="S733" s="6"/>
      <c r="T733" t="s">
        <v>10902</v>
      </c>
      <c r="U733" t="s">
        <v>10902</v>
      </c>
      <c r="V733" t="s">
        <v>11164</v>
      </c>
      <c r="W733" t="s">
        <v>43</v>
      </c>
      <c r="X733" t="s">
        <v>44</v>
      </c>
      <c r="Y733" t="s">
        <v>44</v>
      </c>
      <c r="Z733" t="s">
        <v>44</v>
      </c>
      <c r="AA733" t="s">
        <v>10979</v>
      </c>
      <c r="AB733" t="s">
        <v>44</v>
      </c>
      <c r="AC733" s="4"/>
      <c r="AD733" s="4"/>
      <c r="AE733" s="2">
        <v>0</v>
      </c>
      <c r="AF733" s="4">
        <v>0</v>
      </c>
      <c r="AG733" s="2">
        <v>1.2</v>
      </c>
      <c r="AH733" s="2">
        <v>7884938.8099999996</v>
      </c>
      <c r="AI733" s="2">
        <v>0.02</v>
      </c>
      <c r="AJ733" s="5">
        <v>44673</v>
      </c>
      <c r="AK733" t="s">
        <v>11784</v>
      </c>
      <c r="AL733" s="2">
        <v>0</v>
      </c>
      <c r="AM733" s="2">
        <v>0</v>
      </c>
      <c r="AN733" s="2">
        <v>0</v>
      </c>
      <c r="AO733" t="s">
        <v>11054</v>
      </c>
      <c r="AP733" t="s">
        <v>11656</v>
      </c>
      <c r="AQ733" t="s">
        <v>11655</v>
      </c>
    </row>
    <row r="734" spans="1:43" x14ac:dyDescent="0.2">
      <c r="A734" t="s">
        <v>11783</v>
      </c>
      <c r="B734" t="s">
        <v>11160</v>
      </c>
      <c r="C734" t="s">
        <v>11161</v>
      </c>
      <c r="D734" t="s">
        <v>11176</v>
      </c>
      <c r="E734" t="s">
        <v>11177</v>
      </c>
      <c r="F734" t="s">
        <v>11178</v>
      </c>
      <c r="G734" s="1">
        <v>77828</v>
      </c>
      <c r="H734" s="2">
        <v>6429690.2599999998</v>
      </c>
      <c r="I734" s="2">
        <v>7190528.9199999999</v>
      </c>
      <c r="J734" s="2">
        <v>0</v>
      </c>
      <c r="K734" s="2">
        <v>0</v>
      </c>
      <c r="L734" s="2">
        <v>7190528.9199999999</v>
      </c>
      <c r="M734" s="3">
        <v>9239</v>
      </c>
      <c r="N734" s="4">
        <v>1.6359229999999999E-2</v>
      </c>
      <c r="O734" s="5" t="s">
        <v>44</v>
      </c>
      <c r="P734" s="5" t="s">
        <v>44</v>
      </c>
      <c r="Q734" s="1"/>
      <c r="R734" s="2"/>
      <c r="S734" s="6"/>
      <c r="T734" t="s">
        <v>10902</v>
      </c>
      <c r="U734" t="s">
        <v>10902</v>
      </c>
      <c r="V734" t="s">
        <v>11164</v>
      </c>
      <c r="W734" t="s">
        <v>43</v>
      </c>
      <c r="X734" t="s">
        <v>44</v>
      </c>
      <c r="Y734" t="s">
        <v>44</v>
      </c>
      <c r="Z734" t="s">
        <v>44</v>
      </c>
      <c r="AA734" t="s">
        <v>10979</v>
      </c>
      <c r="AB734" t="s">
        <v>44</v>
      </c>
      <c r="AC734" s="4"/>
      <c r="AD734" s="4"/>
      <c r="AE734" s="2">
        <v>0</v>
      </c>
      <c r="AF734" s="4">
        <v>0</v>
      </c>
      <c r="AG734" s="2">
        <v>1.0900000000000001</v>
      </c>
      <c r="AH734" s="2">
        <v>7190528.9199999999</v>
      </c>
      <c r="AI734" s="2">
        <v>0.02</v>
      </c>
      <c r="AJ734" s="5">
        <v>44673</v>
      </c>
      <c r="AK734" t="s">
        <v>11784</v>
      </c>
      <c r="AL734" s="2">
        <v>0</v>
      </c>
      <c r="AM734" s="2">
        <v>0</v>
      </c>
      <c r="AN734" s="2">
        <v>0</v>
      </c>
      <c r="AO734" t="s">
        <v>11179</v>
      </c>
      <c r="AP734" t="s">
        <v>11180</v>
      </c>
      <c r="AQ734" t="s">
        <v>11177</v>
      </c>
    </row>
    <row r="735" spans="1:43" x14ac:dyDescent="0.2">
      <c r="A735" t="s">
        <v>11783</v>
      </c>
      <c r="B735" t="s">
        <v>10951</v>
      </c>
      <c r="C735" t="s">
        <v>10952</v>
      </c>
      <c r="D735" t="s">
        <v>11909</v>
      </c>
      <c r="E735" t="s">
        <v>11910</v>
      </c>
      <c r="F735" t="s">
        <v>11909</v>
      </c>
      <c r="G735" s="1">
        <v>23003165.882100001</v>
      </c>
      <c r="H735" s="2">
        <v>23320495.41</v>
      </c>
      <c r="I735" s="2">
        <v>23272302.920000002</v>
      </c>
      <c r="J735" s="2">
        <v>0</v>
      </c>
      <c r="K735" s="2">
        <v>0</v>
      </c>
      <c r="L735" s="2">
        <v>23272302.920000002</v>
      </c>
      <c r="M735" s="3">
        <v>1.0117</v>
      </c>
      <c r="N735" s="4">
        <v>5.2946989999999999E-2</v>
      </c>
      <c r="O735" s="5" t="s">
        <v>44</v>
      </c>
      <c r="P735" s="5" t="s">
        <v>44</v>
      </c>
      <c r="Q735" s="1"/>
      <c r="R735" s="2"/>
      <c r="S735" s="6"/>
      <c r="T735" t="s">
        <v>10902</v>
      </c>
      <c r="U735" t="s">
        <v>10953</v>
      </c>
      <c r="V735" t="s">
        <v>10954</v>
      </c>
      <c r="W735" t="s">
        <v>43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s="4"/>
      <c r="AD735" s="4"/>
      <c r="AE735" s="2">
        <v>0</v>
      </c>
      <c r="AF735" s="4">
        <v>0</v>
      </c>
      <c r="AG735" s="2">
        <v>3.53</v>
      </c>
      <c r="AH735" s="2">
        <v>23272302.920000002</v>
      </c>
      <c r="AI735" s="2">
        <v>0.05</v>
      </c>
      <c r="AJ735" s="5">
        <v>44673</v>
      </c>
      <c r="AK735" t="s">
        <v>11784</v>
      </c>
      <c r="AL735" s="2">
        <v>0</v>
      </c>
      <c r="AM735" s="2">
        <v>0</v>
      </c>
      <c r="AN735" s="2">
        <v>0</v>
      </c>
      <c r="AO735" t="s">
        <v>44</v>
      </c>
      <c r="AP735" t="s">
        <v>44</v>
      </c>
      <c r="AQ735" t="s">
        <v>11910</v>
      </c>
    </row>
    <row r="736" spans="1:43" x14ac:dyDescent="0.2">
      <c r="A736" t="s">
        <v>11911</v>
      </c>
      <c r="B736" t="s">
        <v>10900</v>
      </c>
      <c r="C736" t="s">
        <v>11049</v>
      </c>
      <c r="D736" t="s">
        <v>11457</v>
      </c>
      <c r="E736" t="s">
        <v>11458</v>
      </c>
      <c r="F736" t="s">
        <v>11457</v>
      </c>
      <c r="G736" s="1">
        <v>1900000</v>
      </c>
      <c r="H736" s="2">
        <v>1900000</v>
      </c>
      <c r="I736" s="2">
        <v>1900007.06</v>
      </c>
      <c r="J736" s="2">
        <v>22870.59</v>
      </c>
      <c r="K736" s="2">
        <v>0</v>
      </c>
      <c r="L736" s="2">
        <v>1922877.65</v>
      </c>
      <c r="M736" s="3">
        <v>5.4289139999999998</v>
      </c>
      <c r="N736" s="4">
        <v>4.3747500000000002E-3</v>
      </c>
      <c r="O736" s="5">
        <v>44684</v>
      </c>
      <c r="P736" s="5">
        <v>44957</v>
      </c>
      <c r="Q736" s="1">
        <v>5.3579999999999997</v>
      </c>
      <c r="R736" s="2">
        <v>0.02</v>
      </c>
      <c r="S736" s="6">
        <v>1.4426938812E-2</v>
      </c>
      <c r="T736" t="s">
        <v>111</v>
      </c>
      <c r="U736" t="s">
        <v>111</v>
      </c>
      <c r="V736" t="s">
        <v>11189</v>
      </c>
      <c r="W736" t="s">
        <v>43</v>
      </c>
      <c r="X736" t="s">
        <v>11034</v>
      </c>
      <c r="Y736" t="s">
        <v>44</v>
      </c>
      <c r="Z736" t="s">
        <v>44</v>
      </c>
      <c r="AA736" t="s">
        <v>10979</v>
      </c>
      <c r="AB736" t="s">
        <v>44</v>
      </c>
      <c r="AC736" s="4">
        <v>5.5025962599999998</v>
      </c>
      <c r="AD736" s="4">
        <v>5.3685105899999996</v>
      </c>
      <c r="AE736" s="2">
        <v>5.5</v>
      </c>
      <c r="AF736" s="4">
        <v>5.3685105899999996</v>
      </c>
      <c r="AG736" s="2">
        <v>0.35</v>
      </c>
      <c r="AH736" s="2">
        <v>1922877.65</v>
      </c>
      <c r="AI736" s="2">
        <v>0</v>
      </c>
      <c r="AJ736" s="5">
        <v>44673</v>
      </c>
      <c r="AK736" t="s">
        <v>11912</v>
      </c>
      <c r="AL736" s="2">
        <v>5.43</v>
      </c>
      <c r="AM736" s="2">
        <v>5.36</v>
      </c>
      <c r="AN736" s="2">
        <v>0.01</v>
      </c>
      <c r="AO736" t="s">
        <v>11048</v>
      </c>
      <c r="AP736" t="s">
        <v>11459</v>
      </c>
      <c r="AQ736" t="s">
        <v>11458</v>
      </c>
    </row>
    <row r="737" spans="1:43" x14ac:dyDescent="0.2">
      <c r="A737" t="s">
        <v>11911</v>
      </c>
      <c r="B737" t="s">
        <v>10900</v>
      </c>
      <c r="C737" t="s">
        <v>11049</v>
      </c>
      <c r="D737" t="s">
        <v>11785</v>
      </c>
      <c r="E737" t="s">
        <v>11786</v>
      </c>
      <c r="F737" t="s">
        <v>11785</v>
      </c>
      <c r="G737" s="1">
        <v>37480000</v>
      </c>
      <c r="H737" s="2">
        <v>37727465.939999998</v>
      </c>
      <c r="I737" s="2">
        <v>37862805.350000001</v>
      </c>
      <c r="J737" s="2">
        <v>244538</v>
      </c>
      <c r="K737" s="2">
        <v>0</v>
      </c>
      <c r="L737" s="2">
        <v>38107343.350000001</v>
      </c>
      <c r="M737" s="3">
        <v>4.8216830000000002</v>
      </c>
      <c r="N737" s="4">
        <v>8.6698310000000001E-2</v>
      </c>
      <c r="O737" s="5">
        <v>44732</v>
      </c>
      <c r="P737" s="5">
        <v>44824</v>
      </c>
      <c r="Q737" s="1">
        <v>7.4420000000000002</v>
      </c>
      <c r="R737" s="2">
        <v>0.15</v>
      </c>
      <c r="S737" s="6">
        <v>0.146783072519</v>
      </c>
      <c r="T737" t="s">
        <v>111</v>
      </c>
      <c r="U737" t="s">
        <v>111</v>
      </c>
      <c r="V737" t="s">
        <v>11189</v>
      </c>
      <c r="W737" t="s">
        <v>43</v>
      </c>
      <c r="X737" t="s">
        <v>11034</v>
      </c>
      <c r="Y737" t="s">
        <v>44</v>
      </c>
      <c r="Z737" t="s">
        <v>44</v>
      </c>
      <c r="AA737" t="s">
        <v>10979</v>
      </c>
      <c r="AB737" t="s">
        <v>11441</v>
      </c>
      <c r="AC737" s="4">
        <v>4.87980444</v>
      </c>
      <c r="AD737" s="4">
        <v>4.7739498600000001</v>
      </c>
      <c r="AE737" s="2">
        <v>4.88</v>
      </c>
      <c r="AF737" s="4">
        <v>4.7739498600000001</v>
      </c>
      <c r="AG737" s="2">
        <v>6.86</v>
      </c>
      <c r="AH737" s="2">
        <v>38107343.350000001</v>
      </c>
      <c r="AI737" s="2">
        <v>0.09</v>
      </c>
      <c r="AJ737" s="5">
        <v>44673</v>
      </c>
      <c r="AK737" t="s">
        <v>11912</v>
      </c>
      <c r="AL737" s="2">
        <v>4.82</v>
      </c>
      <c r="AM737" s="2">
        <v>7.44</v>
      </c>
      <c r="AN737" s="2">
        <v>0.15</v>
      </c>
      <c r="AO737" t="s">
        <v>11054</v>
      </c>
      <c r="AP737" t="s">
        <v>11787</v>
      </c>
      <c r="AQ737" t="s">
        <v>11786</v>
      </c>
    </row>
    <row r="738" spans="1:43" x14ac:dyDescent="0.2">
      <c r="A738" t="s">
        <v>11911</v>
      </c>
      <c r="B738" t="s">
        <v>10900</v>
      </c>
      <c r="C738" t="s">
        <v>11049</v>
      </c>
      <c r="D738" t="s">
        <v>11463</v>
      </c>
      <c r="E738" t="s">
        <v>11464</v>
      </c>
      <c r="F738" t="s">
        <v>11463</v>
      </c>
      <c r="G738" s="1">
        <v>3700000</v>
      </c>
      <c r="H738" s="2">
        <v>3706762.97</v>
      </c>
      <c r="I738" s="2">
        <v>3714702.66</v>
      </c>
      <c r="J738" s="2">
        <v>26573.5</v>
      </c>
      <c r="K738" s="2">
        <v>0</v>
      </c>
      <c r="L738" s="2">
        <v>3741276.1600000001</v>
      </c>
      <c r="M738" s="3">
        <v>5.5214679999999996</v>
      </c>
      <c r="N738" s="4">
        <v>8.5118099999999999E-3</v>
      </c>
      <c r="O738" s="5">
        <v>44733</v>
      </c>
      <c r="P738" s="5">
        <v>44733</v>
      </c>
      <c r="Q738" s="1">
        <v>8.1920000000000002</v>
      </c>
      <c r="R738" s="2">
        <v>0.16</v>
      </c>
      <c r="S738" s="6">
        <v>0.14786153473499999</v>
      </c>
      <c r="T738" t="s">
        <v>111</v>
      </c>
      <c r="U738" t="s">
        <v>111</v>
      </c>
      <c r="V738" t="s">
        <v>11189</v>
      </c>
      <c r="W738" t="s">
        <v>43</v>
      </c>
      <c r="X738" t="s">
        <v>11034</v>
      </c>
      <c r="Y738" t="s">
        <v>44</v>
      </c>
      <c r="Z738" t="s">
        <v>44</v>
      </c>
      <c r="AA738" t="s">
        <v>11035</v>
      </c>
      <c r="AB738" t="s">
        <v>11465</v>
      </c>
      <c r="AC738" s="4">
        <v>5.5976845400000004</v>
      </c>
      <c r="AD738" s="4">
        <v>5.4590052800000004</v>
      </c>
      <c r="AE738" s="2">
        <v>5.6</v>
      </c>
      <c r="AF738" s="4">
        <v>5.4590052800000004</v>
      </c>
      <c r="AG738" s="2">
        <v>0.67</v>
      </c>
      <c r="AH738" s="2">
        <v>3741276.1600000001</v>
      </c>
      <c r="AI738" s="2">
        <v>0.01</v>
      </c>
      <c r="AJ738" s="5">
        <v>44673</v>
      </c>
      <c r="AK738" t="s">
        <v>11912</v>
      </c>
      <c r="AL738" s="2">
        <v>5.52</v>
      </c>
      <c r="AM738" s="2">
        <v>8.19</v>
      </c>
      <c r="AN738" s="2">
        <v>0.15</v>
      </c>
      <c r="AO738" t="s">
        <v>11053</v>
      </c>
      <c r="AP738" t="s">
        <v>11466</v>
      </c>
      <c r="AQ738" t="s">
        <v>11464</v>
      </c>
    </row>
    <row r="739" spans="1:43" x14ac:dyDescent="0.2">
      <c r="A739" t="s">
        <v>11911</v>
      </c>
      <c r="B739" t="s">
        <v>10900</v>
      </c>
      <c r="C739" t="s">
        <v>11049</v>
      </c>
      <c r="D739" t="s">
        <v>11467</v>
      </c>
      <c r="E739" t="s">
        <v>11468</v>
      </c>
      <c r="F739" t="s">
        <v>11467</v>
      </c>
      <c r="G739" s="1">
        <v>6900000</v>
      </c>
      <c r="H739" s="2">
        <v>6900000</v>
      </c>
      <c r="I739" s="2">
        <v>6900921.1500000004</v>
      </c>
      <c r="J739" s="2">
        <v>167206.85</v>
      </c>
      <c r="K739" s="2">
        <v>0</v>
      </c>
      <c r="L739" s="2">
        <v>7068128</v>
      </c>
      <c r="M739" s="3">
        <v>6.1</v>
      </c>
      <c r="N739" s="4">
        <v>1.6080750000000001E-2</v>
      </c>
      <c r="O739" s="5">
        <v>44710</v>
      </c>
      <c r="P739" s="5">
        <v>44894</v>
      </c>
      <c r="Q739" s="1">
        <v>6.1</v>
      </c>
      <c r="R739" s="2">
        <v>0.57999999999999996</v>
      </c>
      <c r="S739" s="6">
        <v>0.56198351300000005</v>
      </c>
      <c r="T739" t="s">
        <v>111</v>
      </c>
      <c r="U739" t="s">
        <v>111</v>
      </c>
      <c r="V739" t="s">
        <v>114</v>
      </c>
      <c r="W739" t="s">
        <v>43</v>
      </c>
      <c r="X739" t="s">
        <v>44</v>
      </c>
      <c r="Y739" t="s">
        <v>44</v>
      </c>
      <c r="Z739" t="s">
        <v>44</v>
      </c>
      <c r="AA739" t="s">
        <v>11465</v>
      </c>
      <c r="AB739" t="s">
        <v>44</v>
      </c>
      <c r="AC739" s="4">
        <v>6.1930249999999996</v>
      </c>
      <c r="AD739" s="4">
        <v>6.0238935700000003</v>
      </c>
      <c r="AE739" s="2">
        <v>6.19</v>
      </c>
      <c r="AF739" s="4">
        <v>6.0238935700000003</v>
      </c>
      <c r="AG739" s="2">
        <v>1.27</v>
      </c>
      <c r="AH739" s="2">
        <v>7068128</v>
      </c>
      <c r="AI739" s="2">
        <v>0.02</v>
      </c>
      <c r="AJ739" s="5">
        <v>44673</v>
      </c>
      <c r="AK739" t="s">
        <v>11912</v>
      </c>
      <c r="AL739" s="2">
        <v>6.1</v>
      </c>
      <c r="AM739" s="2">
        <v>6.1</v>
      </c>
      <c r="AN739" s="2">
        <v>0.56000000000000005</v>
      </c>
      <c r="AO739" t="s">
        <v>11469</v>
      </c>
      <c r="AP739" t="s">
        <v>11470</v>
      </c>
      <c r="AQ739" t="s">
        <v>11468</v>
      </c>
    </row>
    <row r="740" spans="1:43" x14ac:dyDescent="0.2">
      <c r="A740" t="s">
        <v>11911</v>
      </c>
      <c r="B740" t="s">
        <v>10900</v>
      </c>
      <c r="C740" t="s">
        <v>11049</v>
      </c>
      <c r="D740" t="s">
        <v>11471</v>
      </c>
      <c r="E740" t="s">
        <v>11472</v>
      </c>
      <c r="F740" t="s">
        <v>11471</v>
      </c>
      <c r="G740" s="1">
        <v>28500000</v>
      </c>
      <c r="H740" s="2">
        <v>28497926.649999999</v>
      </c>
      <c r="I740" s="2">
        <v>28497853.949999999</v>
      </c>
      <c r="J740" s="2">
        <v>710704.11</v>
      </c>
      <c r="K740" s="2">
        <v>0</v>
      </c>
      <c r="L740" s="2">
        <v>29208558.059999999</v>
      </c>
      <c r="M740" s="3">
        <v>7.4</v>
      </c>
      <c r="N740" s="4">
        <v>6.6452609999999995E-2</v>
      </c>
      <c r="O740" s="5">
        <v>44733</v>
      </c>
      <c r="P740" s="5">
        <v>44916</v>
      </c>
      <c r="Q740" s="1">
        <v>7.4</v>
      </c>
      <c r="R740" s="2">
        <v>0.64</v>
      </c>
      <c r="S740" s="6">
        <v>0.61596285799999995</v>
      </c>
      <c r="T740" t="s">
        <v>111</v>
      </c>
      <c r="U740" t="s">
        <v>111</v>
      </c>
      <c r="V740" t="s">
        <v>114</v>
      </c>
      <c r="W740" t="s">
        <v>43</v>
      </c>
      <c r="X740" t="s">
        <v>10988</v>
      </c>
      <c r="Y740" t="s">
        <v>44</v>
      </c>
      <c r="Z740" t="s">
        <v>44</v>
      </c>
      <c r="AA740" t="s">
        <v>10913</v>
      </c>
      <c r="AB740" t="s">
        <v>44</v>
      </c>
      <c r="AC740" s="4">
        <v>7.5369000000000002</v>
      </c>
      <c r="AD740" s="4">
        <v>7.2884304699999998</v>
      </c>
      <c r="AE740" s="2">
        <v>7.54</v>
      </c>
      <c r="AF740" s="4">
        <v>7.2884304699999998</v>
      </c>
      <c r="AG740" s="2">
        <v>5.26</v>
      </c>
      <c r="AH740" s="2">
        <v>29208558.059999999</v>
      </c>
      <c r="AI740" s="2">
        <v>7.0000000000000007E-2</v>
      </c>
      <c r="AJ740" s="5">
        <v>44673</v>
      </c>
      <c r="AK740" t="s">
        <v>11912</v>
      </c>
      <c r="AL740" s="2">
        <v>7.4</v>
      </c>
      <c r="AM740" s="2">
        <v>7.4</v>
      </c>
      <c r="AN740" s="2">
        <v>0.62</v>
      </c>
      <c r="AO740" t="s">
        <v>10922</v>
      </c>
      <c r="AP740" t="s">
        <v>11473</v>
      </c>
      <c r="AQ740" t="s">
        <v>11472</v>
      </c>
    </row>
    <row r="741" spans="1:43" x14ac:dyDescent="0.2">
      <c r="A741" t="s">
        <v>11911</v>
      </c>
      <c r="B741" t="s">
        <v>10900</v>
      </c>
      <c r="C741" t="s">
        <v>11049</v>
      </c>
      <c r="D741" t="s">
        <v>11474</v>
      </c>
      <c r="E741" t="s">
        <v>11475</v>
      </c>
      <c r="F741" t="s">
        <v>11474</v>
      </c>
      <c r="G741" s="1">
        <v>14200000</v>
      </c>
      <c r="H741" s="2">
        <v>14200000</v>
      </c>
      <c r="I741" s="2">
        <v>14199684.76</v>
      </c>
      <c r="J741" s="2">
        <v>230646.9</v>
      </c>
      <c r="K741" s="2">
        <v>0</v>
      </c>
      <c r="L741" s="2">
        <v>14430331.66</v>
      </c>
      <c r="M741" s="3">
        <v>7.23</v>
      </c>
      <c r="N741" s="4">
        <v>3.2830560000000002E-2</v>
      </c>
      <c r="O741" s="5">
        <v>44773</v>
      </c>
      <c r="P741" s="5">
        <v>44773</v>
      </c>
      <c r="Q741" s="1">
        <v>7.23</v>
      </c>
      <c r="R741" s="2">
        <v>0.27</v>
      </c>
      <c r="S741" s="6">
        <v>0.26074350600000001</v>
      </c>
      <c r="T741" t="s">
        <v>111</v>
      </c>
      <c r="U741" t="s">
        <v>111</v>
      </c>
      <c r="V741" t="s">
        <v>10944</v>
      </c>
      <c r="W741" t="s">
        <v>43</v>
      </c>
      <c r="X741" t="s">
        <v>44</v>
      </c>
      <c r="Y741" t="s">
        <v>44</v>
      </c>
      <c r="Z741" t="s">
        <v>44</v>
      </c>
      <c r="AA741" t="s">
        <v>10913</v>
      </c>
      <c r="AB741" t="s">
        <v>44</v>
      </c>
      <c r="AC741" s="4">
        <v>7.36068225</v>
      </c>
      <c r="AD741" s="4">
        <v>7.1234440000000001</v>
      </c>
      <c r="AE741" s="2">
        <v>7.36</v>
      </c>
      <c r="AF741" s="4">
        <v>7.1234440000000001</v>
      </c>
      <c r="AG741" s="2">
        <v>2.6</v>
      </c>
      <c r="AH741" s="2">
        <v>14430331.66</v>
      </c>
      <c r="AI741" s="2">
        <v>0.03</v>
      </c>
      <c r="AJ741" s="5">
        <v>44673</v>
      </c>
      <c r="AK741" t="s">
        <v>11912</v>
      </c>
      <c r="AL741" s="2">
        <v>7.23</v>
      </c>
      <c r="AM741" s="2">
        <v>7.23</v>
      </c>
      <c r="AN741" s="2">
        <v>0.26</v>
      </c>
      <c r="AO741" t="s">
        <v>10922</v>
      </c>
      <c r="AP741" t="s">
        <v>11476</v>
      </c>
      <c r="AQ741" t="s">
        <v>11475</v>
      </c>
    </row>
    <row r="742" spans="1:43" x14ac:dyDescent="0.2">
      <c r="A742" t="s">
        <v>11911</v>
      </c>
      <c r="B742" t="s">
        <v>10900</v>
      </c>
      <c r="C742" t="s">
        <v>11049</v>
      </c>
      <c r="D742" t="s">
        <v>11913</v>
      </c>
      <c r="E742" t="s">
        <v>11914</v>
      </c>
      <c r="F742" t="s">
        <v>11913</v>
      </c>
      <c r="G742" s="1">
        <v>6000000</v>
      </c>
      <c r="H742" s="2">
        <v>6023223.7699999996</v>
      </c>
      <c r="I742" s="2">
        <v>6031367.5899999999</v>
      </c>
      <c r="J742" s="2">
        <v>86200.77</v>
      </c>
      <c r="K742" s="2">
        <v>0</v>
      </c>
      <c r="L742" s="2">
        <v>6117568.3600000003</v>
      </c>
      <c r="M742" s="3">
        <v>5.3153990000000002</v>
      </c>
      <c r="N742" s="4">
        <v>1.3918130000000001E-2</v>
      </c>
      <c r="O742" s="5">
        <v>44676</v>
      </c>
      <c r="P742" s="5">
        <v>44858</v>
      </c>
      <c r="Q742" s="1">
        <v>5.8920000000000003</v>
      </c>
      <c r="R742" s="2">
        <v>0.25</v>
      </c>
      <c r="S742" s="6">
        <v>-1.386882034E-3</v>
      </c>
      <c r="T742" t="s">
        <v>111</v>
      </c>
      <c r="U742" t="s">
        <v>111</v>
      </c>
      <c r="V742" t="s">
        <v>11189</v>
      </c>
      <c r="W742" t="s">
        <v>43</v>
      </c>
      <c r="X742" t="s">
        <v>11034</v>
      </c>
      <c r="Y742" t="s">
        <v>44</v>
      </c>
      <c r="Z742" t="s">
        <v>44</v>
      </c>
      <c r="AA742" t="s">
        <v>44</v>
      </c>
      <c r="AB742" t="s">
        <v>44</v>
      </c>
      <c r="AC742" s="4">
        <v>5.3860322900000002</v>
      </c>
      <c r="AD742" s="4">
        <v>5.2574756100000002</v>
      </c>
      <c r="AE742" s="2">
        <v>5.39</v>
      </c>
      <c r="AF742" s="4">
        <v>5.2574756100000002</v>
      </c>
      <c r="AG742" s="2">
        <v>1.1000000000000001</v>
      </c>
      <c r="AH742" s="2">
        <v>6117568.3600000003</v>
      </c>
      <c r="AI742" s="2">
        <v>0.01</v>
      </c>
      <c r="AJ742" s="5">
        <v>44673</v>
      </c>
      <c r="AK742" t="s">
        <v>11912</v>
      </c>
      <c r="AL742" s="2">
        <v>5.32</v>
      </c>
      <c r="AM742" s="2">
        <v>5.89</v>
      </c>
      <c r="AN742" s="2">
        <v>0</v>
      </c>
      <c r="AO742" t="s">
        <v>11527</v>
      </c>
      <c r="AP742" t="s">
        <v>11915</v>
      </c>
      <c r="AQ742" t="s">
        <v>11914</v>
      </c>
    </row>
    <row r="743" spans="1:43" x14ac:dyDescent="0.2">
      <c r="A743" t="s">
        <v>11911</v>
      </c>
      <c r="B743" t="s">
        <v>10900</v>
      </c>
      <c r="C743" t="s">
        <v>11049</v>
      </c>
      <c r="D743" t="s">
        <v>11916</v>
      </c>
      <c r="E743" t="s">
        <v>11917</v>
      </c>
      <c r="F743" t="s">
        <v>11916</v>
      </c>
      <c r="G743" s="1">
        <v>1425600</v>
      </c>
      <c r="H743" s="2">
        <v>1425600</v>
      </c>
      <c r="I743" s="2">
        <v>1422473.15</v>
      </c>
      <c r="J743" s="2">
        <v>7051.6</v>
      </c>
      <c r="K743" s="2">
        <v>0</v>
      </c>
      <c r="L743" s="2">
        <v>1429524.75</v>
      </c>
      <c r="M743" s="3">
        <v>5.6016830000000004</v>
      </c>
      <c r="N743" s="4">
        <v>3.25232E-3</v>
      </c>
      <c r="O743" s="5">
        <v>44732</v>
      </c>
      <c r="P743" s="5">
        <v>44824</v>
      </c>
      <c r="Q743" s="1">
        <v>5.6420000000000003</v>
      </c>
      <c r="R743" s="2">
        <v>0.15</v>
      </c>
      <c r="S743" s="6">
        <v>0.14281421501899999</v>
      </c>
      <c r="T743" t="s">
        <v>111</v>
      </c>
      <c r="U743" t="s">
        <v>111</v>
      </c>
      <c r="V743" t="s">
        <v>11189</v>
      </c>
      <c r="W743" t="s">
        <v>43</v>
      </c>
      <c r="X743" t="s">
        <v>11034</v>
      </c>
      <c r="Y743" t="s">
        <v>44</v>
      </c>
      <c r="Z743" t="s">
        <v>44</v>
      </c>
      <c r="AA743" t="s">
        <v>10979</v>
      </c>
      <c r="AB743" t="s">
        <v>44</v>
      </c>
      <c r="AC743" s="4">
        <v>5.6801300100000001</v>
      </c>
      <c r="AD743" s="4">
        <v>5.5374074699999998</v>
      </c>
      <c r="AE743" s="2">
        <v>5.68</v>
      </c>
      <c r="AF743" s="4">
        <v>5.5374074699999998</v>
      </c>
      <c r="AG743" s="2">
        <v>0.26</v>
      </c>
      <c r="AH743" s="2">
        <v>1429524.75</v>
      </c>
      <c r="AI743" s="2">
        <v>0</v>
      </c>
      <c r="AJ743" s="5">
        <v>44673</v>
      </c>
      <c r="AK743" t="s">
        <v>11912</v>
      </c>
      <c r="AL743" s="2">
        <v>5.6</v>
      </c>
      <c r="AM743" s="2">
        <v>5.64</v>
      </c>
      <c r="AN743" s="2">
        <v>0.14000000000000001</v>
      </c>
      <c r="AO743" t="s">
        <v>10980</v>
      </c>
      <c r="AP743" t="s">
        <v>11918</v>
      </c>
      <c r="AQ743" t="s">
        <v>11917</v>
      </c>
    </row>
    <row r="744" spans="1:43" x14ac:dyDescent="0.2">
      <c r="A744" t="s">
        <v>11911</v>
      </c>
      <c r="B744" t="s">
        <v>10900</v>
      </c>
      <c r="C744" t="s">
        <v>11049</v>
      </c>
      <c r="D744" t="s">
        <v>11487</v>
      </c>
      <c r="E744" t="s">
        <v>11488</v>
      </c>
      <c r="F744" t="s">
        <v>11487</v>
      </c>
      <c r="G744" s="1">
        <v>30000000</v>
      </c>
      <c r="H744" s="2">
        <v>30000000</v>
      </c>
      <c r="I744" s="2">
        <v>29999094</v>
      </c>
      <c r="J744" s="2">
        <v>498739.73</v>
      </c>
      <c r="K744" s="2">
        <v>0</v>
      </c>
      <c r="L744" s="2">
        <v>30497833.73</v>
      </c>
      <c r="M744" s="3">
        <v>7.4</v>
      </c>
      <c r="N744" s="4">
        <v>6.9385859999999994E-2</v>
      </c>
      <c r="O744" s="5">
        <v>44773</v>
      </c>
      <c r="P744" s="5">
        <v>44773</v>
      </c>
      <c r="Q744" s="1">
        <v>7.4</v>
      </c>
      <c r="R744" s="2">
        <v>0.27</v>
      </c>
      <c r="S744" s="6">
        <v>0.26062797900000001</v>
      </c>
      <c r="T744" t="s">
        <v>111</v>
      </c>
      <c r="U744" t="s">
        <v>111</v>
      </c>
      <c r="V744" t="s">
        <v>114</v>
      </c>
      <c r="W744" t="s">
        <v>43</v>
      </c>
      <c r="X744" t="s">
        <v>44</v>
      </c>
      <c r="Y744" t="s">
        <v>44</v>
      </c>
      <c r="Z744" t="s">
        <v>44</v>
      </c>
      <c r="AA744" t="s">
        <v>10913</v>
      </c>
      <c r="AB744" t="s">
        <v>44</v>
      </c>
      <c r="AC744" s="4">
        <v>7.5369000000000002</v>
      </c>
      <c r="AD744" s="4">
        <v>7.2884304699999998</v>
      </c>
      <c r="AE744" s="2">
        <v>7.54</v>
      </c>
      <c r="AF744" s="4">
        <v>7.2884304699999998</v>
      </c>
      <c r="AG744" s="2">
        <v>5.49</v>
      </c>
      <c r="AH744" s="2">
        <v>30497833.73</v>
      </c>
      <c r="AI744" s="2">
        <v>7.0000000000000007E-2</v>
      </c>
      <c r="AJ744" s="5">
        <v>44673</v>
      </c>
      <c r="AK744" t="s">
        <v>11912</v>
      </c>
      <c r="AL744" s="2">
        <v>7.4</v>
      </c>
      <c r="AM744" s="2">
        <v>7.4</v>
      </c>
      <c r="AN744" s="2">
        <v>0.26</v>
      </c>
      <c r="AO744" t="s">
        <v>10922</v>
      </c>
      <c r="AP744" t="s">
        <v>11489</v>
      </c>
      <c r="AQ744" t="s">
        <v>11488</v>
      </c>
    </row>
    <row r="745" spans="1:43" x14ac:dyDescent="0.2">
      <c r="A745" t="s">
        <v>11911</v>
      </c>
      <c r="B745" t="s">
        <v>10900</v>
      </c>
      <c r="C745" t="s">
        <v>11049</v>
      </c>
      <c r="D745" t="s">
        <v>11797</v>
      </c>
      <c r="E745" t="s">
        <v>11798</v>
      </c>
      <c r="F745" t="s">
        <v>11797</v>
      </c>
      <c r="G745" s="1">
        <v>1800000</v>
      </c>
      <c r="H745" s="2">
        <v>1799837.91</v>
      </c>
      <c r="I745" s="2">
        <v>1830089.68</v>
      </c>
      <c r="J745" s="2">
        <v>11134.9</v>
      </c>
      <c r="K745" s="2">
        <v>0</v>
      </c>
      <c r="L745" s="2">
        <v>1841224.58</v>
      </c>
      <c r="M745" s="3">
        <v>5.7687520000000001</v>
      </c>
      <c r="N745" s="4">
        <v>4.1889800000000001E-3</v>
      </c>
      <c r="O745" s="5">
        <v>44742</v>
      </c>
      <c r="P745" s="5">
        <v>44834</v>
      </c>
      <c r="Q745" s="1">
        <v>9.8170000000000002</v>
      </c>
      <c r="R745" s="2">
        <v>0.18</v>
      </c>
      <c r="S745" s="6">
        <v>0.17046604942900001</v>
      </c>
      <c r="T745" t="s">
        <v>111</v>
      </c>
      <c r="U745" t="s">
        <v>111</v>
      </c>
      <c r="V745" t="s">
        <v>11189</v>
      </c>
      <c r="W745" t="s">
        <v>43</v>
      </c>
      <c r="X745" t="s">
        <v>11034</v>
      </c>
      <c r="Y745" t="s">
        <v>44</v>
      </c>
      <c r="Z745" t="s">
        <v>44</v>
      </c>
      <c r="AA745" t="s">
        <v>11035</v>
      </c>
      <c r="AB745" t="s">
        <v>2680</v>
      </c>
      <c r="AC745" s="4">
        <v>5.8519482600000003</v>
      </c>
      <c r="AD745" s="4">
        <v>5.7006194399999996</v>
      </c>
      <c r="AE745" s="2">
        <v>5.85</v>
      </c>
      <c r="AF745" s="4">
        <v>5.7006194399999996</v>
      </c>
      <c r="AG745" s="2">
        <v>0.33</v>
      </c>
      <c r="AH745" s="2">
        <v>1841224.58</v>
      </c>
      <c r="AI745" s="2">
        <v>0</v>
      </c>
      <c r="AJ745" s="5">
        <v>44673</v>
      </c>
      <c r="AK745" t="s">
        <v>11912</v>
      </c>
      <c r="AL745" s="2">
        <v>5.77</v>
      </c>
      <c r="AM745" s="2">
        <v>9.82</v>
      </c>
      <c r="AN745" s="2">
        <v>0.17</v>
      </c>
      <c r="AO745" t="s">
        <v>11496</v>
      </c>
      <c r="AP745" t="s">
        <v>11799</v>
      </c>
      <c r="AQ745" t="s">
        <v>11798</v>
      </c>
    </row>
    <row r="746" spans="1:43" x14ac:dyDescent="0.2">
      <c r="A746" t="s">
        <v>11911</v>
      </c>
      <c r="B746" t="s">
        <v>10900</v>
      </c>
      <c r="C746" t="s">
        <v>11049</v>
      </c>
      <c r="D746" t="s">
        <v>11494</v>
      </c>
      <c r="E746" t="s">
        <v>11495</v>
      </c>
      <c r="F746" t="s">
        <v>11494</v>
      </c>
      <c r="G746" s="1">
        <v>1309000</v>
      </c>
      <c r="H746" s="2">
        <v>1311876.7</v>
      </c>
      <c r="I746" s="2">
        <v>1329809.06</v>
      </c>
      <c r="J746" s="2">
        <v>17819.47</v>
      </c>
      <c r="K746" s="2">
        <v>0</v>
      </c>
      <c r="L746" s="2">
        <v>1347628.53</v>
      </c>
      <c r="M746" s="3">
        <v>5.349933</v>
      </c>
      <c r="N746" s="4">
        <v>3.0660000000000001E-3</v>
      </c>
      <c r="O746" s="5">
        <v>44694</v>
      </c>
      <c r="P746" s="5">
        <v>44970</v>
      </c>
      <c r="Q746" s="1">
        <v>7.3070000000000004</v>
      </c>
      <c r="R746" s="2">
        <v>0.05</v>
      </c>
      <c r="S746" s="6">
        <v>4.8092249657999998E-2</v>
      </c>
      <c r="T746" t="s">
        <v>111</v>
      </c>
      <c r="U746" t="s">
        <v>111</v>
      </c>
      <c r="V746" t="s">
        <v>11189</v>
      </c>
      <c r="W746" t="s">
        <v>43</v>
      </c>
      <c r="X746" t="s">
        <v>11034</v>
      </c>
      <c r="Y746" t="s">
        <v>44</v>
      </c>
      <c r="Z746" t="s">
        <v>44</v>
      </c>
      <c r="AA746" t="s">
        <v>11035</v>
      </c>
      <c r="AB746" t="s">
        <v>44</v>
      </c>
      <c r="AC746" s="4">
        <v>5.4214878100000004</v>
      </c>
      <c r="AD746" s="4">
        <v>5.2912612699999997</v>
      </c>
      <c r="AE746" s="2">
        <v>5.42</v>
      </c>
      <c r="AF746" s="4">
        <v>5.2912612699999997</v>
      </c>
      <c r="AG746" s="2">
        <v>0.24</v>
      </c>
      <c r="AH746" s="2">
        <v>1347628.53</v>
      </c>
      <c r="AI746" s="2">
        <v>0</v>
      </c>
      <c r="AJ746" s="5">
        <v>44673</v>
      </c>
      <c r="AK746" t="s">
        <v>11912</v>
      </c>
      <c r="AL746" s="2">
        <v>5.35</v>
      </c>
      <c r="AM746" s="2">
        <v>7.31</v>
      </c>
      <c r="AN746" s="2">
        <v>0.05</v>
      </c>
      <c r="AO746" t="s">
        <v>11496</v>
      </c>
      <c r="AP746" t="s">
        <v>11497</v>
      </c>
      <c r="AQ746" t="s">
        <v>11495</v>
      </c>
    </row>
    <row r="747" spans="1:43" x14ac:dyDescent="0.2">
      <c r="A747" t="s">
        <v>11911</v>
      </c>
      <c r="B747" t="s">
        <v>10900</v>
      </c>
      <c r="C747" t="s">
        <v>11049</v>
      </c>
      <c r="D747" t="s">
        <v>11800</v>
      </c>
      <c r="E747" t="s">
        <v>11801</v>
      </c>
      <c r="F747" t="s">
        <v>11800</v>
      </c>
      <c r="G747" s="1">
        <v>1000000</v>
      </c>
      <c r="H747" s="2">
        <v>925125.53</v>
      </c>
      <c r="I747" s="2">
        <v>999969.8</v>
      </c>
      <c r="J747" s="2">
        <v>16624.66</v>
      </c>
      <c r="K747" s="2">
        <v>0</v>
      </c>
      <c r="L747" s="2">
        <v>1016594.46</v>
      </c>
      <c r="M747" s="3">
        <v>7.4</v>
      </c>
      <c r="N747" s="4">
        <v>2.3128599999999999E-3</v>
      </c>
      <c r="O747" s="5">
        <v>44592</v>
      </c>
      <c r="P747" s="5">
        <v>44773</v>
      </c>
      <c r="Q747" s="1">
        <v>7.4</v>
      </c>
      <c r="R747" s="2">
        <v>0.27</v>
      </c>
      <c r="S747" s="6">
        <v>0.26062797900000001</v>
      </c>
      <c r="T747" t="s">
        <v>111</v>
      </c>
      <c r="U747" t="s">
        <v>111</v>
      </c>
      <c r="V747" t="s">
        <v>114</v>
      </c>
      <c r="W747" t="s">
        <v>43</v>
      </c>
      <c r="X747" t="s">
        <v>10988</v>
      </c>
      <c r="Y747" t="s">
        <v>44</v>
      </c>
      <c r="Z747" t="s">
        <v>44</v>
      </c>
      <c r="AA747" t="s">
        <v>10913</v>
      </c>
      <c r="AB747" t="s">
        <v>44</v>
      </c>
      <c r="AC747" s="4">
        <v>7.5369000000000002</v>
      </c>
      <c r="AD747" s="4">
        <v>7.2884304699999998</v>
      </c>
      <c r="AE747" s="2">
        <v>7.54</v>
      </c>
      <c r="AF747" s="4">
        <v>7.2884304699999998</v>
      </c>
      <c r="AG747" s="2">
        <v>0.18</v>
      </c>
      <c r="AH747" s="2">
        <v>1016594.46</v>
      </c>
      <c r="AI747" s="2">
        <v>0</v>
      </c>
      <c r="AJ747" s="5">
        <v>44673</v>
      </c>
      <c r="AK747" t="s">
        <v>11912</v>
      </c>
      <c r="AL747" s="2">
        <v>7.4</v>
      </c>
      <c r="AM747" s="2">
        <v>7.4</v>
      </c>
      <c r="AN747" s="2">
        <v>0.26</v>
      </c>
      <c r="AO747" t="s">
        <v>10922</v>
      </c>
      <c r="AP747" t="s">
        <v>11802</v>
      </c>
      <c r="AQ747" t="s">
        <v>11801</v>
      </c>
    </row>
    <row r="748" spans="1:43" x14ac:dyDescent="0.2">
      <c r="A748" t="s">
        <v>11911</v>
      </c>
      <c r="B748" t="s">
        <v>10900</v>
      </c>
      <c r="C748" t="s">
        <v>11033</v>
      </c>
      <c r="D748" t="s">
        <v>11803</v>
      </c>
      <c r="E748" t="s">
        <v>11804</v>
      </c>
      <c r="F748" t="s">
        <v>11803</v>
      </c>
      <c r="G748" s="1">
        <v>768000</v>
      </c>
      <c r="H748" s="2">
        <v>767853.57</v>
      </c>
      <c r="I748" s="2">
        <v>777134.55</v>
      </c>
      <c r="J748" s="2">
        <v>7575.17</v>
      </c>
      <c r="K748" s="2">
        <v>0</v>
      </c>
      <c r="L748" s="2">
        <v>784709.72</v>
      </c>
      <c r="M748" s="3">
        <v>5.9316740000000001</v>
      </c>
      <c r="N748" s="4">
        <v>1.7853000000000001E-3</v>
      </c>
      <c r="O748" s="5">
        <v>44711</v>
      </c>
      <c r="P748" s="5">
        <v>45259</v>
      </c>
      <c r="Q748" s="1">
        <v>6.6669999999999998</v>
      </c>
      <c r="R748" s="2">
        <v>0.1</v>
      </c>
      <c r="S748" s="6">
        <v>8.3360787894999996E-2</v>
      </c>
      <c r="T748" t="s">
        <v>111</v>
      </c>
      <c r="U748" t="s">
        <v>111</v>
      </c>
      <c r="V748" t="s">
        <v>11189</v>
      </c>
      <c r="W748" t="s">
        <v>43</v>
      </c>
      <c r="X748" t="s">
        <v>11034</v>
      </c>
      <c r="Y748" t="s">
        <v>44</v>
      </c>
      <c r="Z748" t="s">
        <v>44</v>
      </c>
      <c r="AA748" t="s">
        <v>10979</v>
      </c>
      <c r="AB748" t="s">
        <v>44</v>
      </c>
      <c r="AC748" s="4">
        <v>6.0196354200000002</v>
      </c>
      <c r="AD748" s="4">
        <v>5.8596732400000002</v>
      </c>
      <c r="AE748" s="2">
        <v>6.02</v>
      </c>
      <c r="AF748" s="4">
        <v>5.8596732400000002</v>
      </c>
      <c r="AG748" s="2">
        <v>0.14000000000000001</v>
      </c>
      <c r="AH748" s="2">
        <v>784709.72</v>
      </c>
      <c r="AI748" s="2">
        <v>0</v>
      </c>
      <c r="AJ748" s="5">
        <v>44673</v>
      </c>
      <c r="AK748" t="s">
        <v>11912</v>
      </c>
      <c r="AL748" s="2">
        <v>5.93</v>
      </c>
      <c r="AM748" s="2">
        <v>6.67</v>
      </c>
      <c r="AN748" s="2">
        <v>0.08</v>
      </c>
      <c r="AO748" t="s">
        <v>11165</v>
      </c>
      <c r="AP748" t="s">
        <v>11805</v>
      </c>
      <c r="AQ748" t="s">
        <v>11804</v>
      </c>
    </row>
    <row r="749" spans="1:43" x14ac:dyDescent="0.2">
      <c r="A749" t="s">
        <v>11911</v>
      </c>
      <c r="B749" t="s">
        <v>10900</v>
      </c>
      <c r="C749" t="s">
        <v>11033</v>
      </c>
      <c r="D749" t="s">
        <v>11806</v>
      </c>
      <c r="E749" t="s">
        <v>11807</v>
      </c>
      <c r="F749" t="s">
        <v>11806</v>
      </c>
      <c r="G749" s="1">
        <v>8900000</v>
      </c>
      <c r="H749" s="2">
        <v>8935658.0700000003</v>
      </c>
      <c r="I749" s="2">
        <v>9005172.9100000001</v>
      </c>
      <c r="J749" s="2">
        <v>19847.240000000002</v>
      </c>
      <c r="K749" s="2">
        <v>0</v>
      </c>
      <c r="L749" s="2">
        <v>9025020.1500000004</v>
      </c>
      <c r="M749" s="3">
        <v>6.0434890000000001</v>
      </c>
      <c r="N749" s="4">
        <v>2.0532890000000002E-2</v>
      </c>
      <c r="O749" s="5">
        <v>44753</v>
      </c>
      <c r="P749" s="5">
        <v>45393</v>
      </c>
      <c r="Q749" s="1">
        <v>6.7830000000000004</v>
      </c>
      <c r="R749" s="2">
        <v>0.21</v>
      </c>
      <c r="S749" s="6">
        <v>0.19079709986500001</v>
      </c>
      <c r="T749" t="s">
        <v>111</v>
      </c>
      <c r="U749" t="s">
        <v>111</v>
      </c>
      <c r="V749" t="s">
        <v>11189</v>
      </c>
      <c r="W749" t="s">
        <v>43</v>
      </c>
      <c r="X749" t="s">
        <v>11034</v>
      </c>
      <c r="Y749" t="s">
        <v>44</v>
      </c>
      <c r="Z749" t="s">
        <v>44</v>
      </c>
      <c r="AA749" t="s">
        <v>10979</v>
      </c>
      <c r="AB749" t="s">
        <v>44</v>
      </c>
      <c r="AC749" s="4">
        <v>6.1347979300000004</v>
      </c>
      <c r="AD749" s="4">
        <v>5.9687731099999999</v>
      </c>
      <c r="AE749" s="2">
        <v>6.13</v>
      </c>
      <c r="AF749" s="4">
        <v>5.9687731099999999</v>
      </c>
      <c r="AG749" s="2">
        <v>1.62</v>
      </c>
      <c r="AH749" s="2">
        <v>9025020.1500000004</v>
      </c>
      <c r="AI749" s="2">
        <v>0.02</v>
      </c>
      <c r="AJ749" s="5">
        <v>44673</v>
      </c>
      <c r="AK749" t="s">
        <v>11912</v>
      </c>
      <c r="AL749" s="2">
        <v>6.04</v>
      </c>
      <c r="AM749" s="2">
        <v>6.78</v>
      </c>
      <c r="AN749" s="2">
        <v>0.19</v>
      </c>
      <c r="AO749" t="s">
        <v>11165</v>
      </c>
      <c r="AP749" t="s">
        <v>11808</v>
      </c>
      <c r="AQ749" t="s">
        <v>11807</v>
      </c>
    </row>
    <row r="750" spans="1:43" x14ac:dyDescent="0.2">
      <c r="A750" t="s">
        <v>11911</v>
      </c>
      <c r="B750" t="s">
        <v>10900</v>
      </c>
      <c r="C750" t="s">
        <v>11033</v>
      </c>
      <c r="D750" t="s">
        <v>11501</v>
      </c>
      <c r="E750" t="s">
        <v>11502</v>
      </c>
      <c r="F750" t="s">
        <v>11501</v>
      </c>
      <c r="G750" s="1">
        <v>7000000</v>
      </c>
      <c r="H750" s="2">
        <v>7003422.8499999996</v>
      </c>
      <c r="I750" s="2">
        <v>7014010.7199999997</v>
      </c>
      <c r="J750" s="2">
        <v>25163.18</v>
      </c>
      <c r="K750" s="2">
        <v>0</v>
      </c>
      <c r="L750" s="2">
        <v>7039173.9000000004</v>
      </c>
      <c r="M750" s="3">
        <v>5.2487519999999996</v>
      </c>
      <c r="N750" s="4">
        <v>1.6014879999999999E-2</v>
      </c>
      <c r="O750" s="5">
        <v>44742</v>
      </c>
      <c r="P750" s="5">
        <v>45383</v>
      </c>
      <c r="Q750" s="1">
        <v>5.4669999999999996</v>
      </c>
      <c r="R750" s="2">
        <v>0.18</v>
      </c>
      <c r="S750" s="6">
        <v>0.16209118744199999</v>
      </c>
      <c r="T750" t="s">
        <v>111</v>
      </c>
      <c r="U750" t="s">
        <v>111</v>
      </c>
      <c r="V750" t="s">
        <v>11189</v>
      </c>
      <c r="W750" t="s">
        <v>43</v>
      </c>
      <c r="X750" t="s">
        <v>11034</v>
      </c>
      <c r="Y750" t="s">
        <v>44</v>
      </c>
      <c r="Z750" t="s">
        <v>44</v>
      </c>
      <c r="AA750" t="s">
        <v>10979</v>
      </c>
      <c r="AB750" t="s">
        <v>44</v>
      </c>
      <c r="AC750" s="4">
        <v>5.3176255100000001</v>
      </c>
      <c r="AD750" s="4">
        <v>5.1922611500000002</v>
      </c>
      <c r="AE750" s="2">
        <v>5.32</v>
      </c>
      <c r="AF750" s="4">
        <v>5.1922611500000002</v>
      </c>
      <c r="AG750" s="2">
        <v>1.27</v>
      </c>
      <c r="AH750" s="2">
        <v>7039173.9000000004</v>
      </c>
      <c r="AI750" s="2">
        <v>0.02</v>
      </c>
      <c r="AJ750" s="5">
        <v>44673</v>
      </c>
      <c r="AK750" t="s">
        <v>11912</v>
      </c>
      <c r="AL750" s="2">
        <v>5.25</v>
      </c>
      <c r="AM750" s="2">
        <v>5.47</v>
      </c>
      <c r="AN750" s="2">
        <v>0.16</v>
      </c>
      <c r="AO750" t="s">
        <v>11165</v>
      </c>
      <c r="AP750" t="s">
        <v>11503</v>
      </c>
      <c r="AQ750" t="s">
        <v>11502</v>
      </c>
    </row>
    <row r="751" spans="1:43" x14ac:dyDescent="0.2">
      <c r="A751" t="s">
        <v>11911</v>
      </c>
      <c r="B751" t="s">
        <v>10900</v>
      </c>
      <c r="C751" t="s">
        <v>11033</v>
      </c>
      <c r="D751" t="s">
        <v>11809</v>
      </c>
      <c r="E751" t="s">
        <v>11810</v>
      </c>
      <c r="F751" t="s">
        <v>11809</v>
      </c>
      <c r="G751" s="1">
        <v>1800000</v>
      </c>
      <c r="H751" s="2">
        <v>1814650.15</v>
      </c>
      <c r="I751" s="2">
        <v>1826764.51</v>
      </c>
      <c r="J751" s="2">
        <v>18356.150000000001</v>
      </c>
      <c r="K751" s="2">
        <v>0</v>
      </c>
      <c r="L751" s="2">
        <v>1845120.66</v>
      </c>
      <c r="M751" s="3">
        <v>5.5530569999999999</v>
      </c>
      <c r="N751" s="4">
        <v>4.1978500000000004E-3</v>
      </c>
      <c r="O751" s="5">
        <v>44704</v>
      </c>
      <c r="P751" s="5">
        <v>45617</v>
      </c>
      <c r="Q751" s="1">
        <v>6.1020000000000003</v>
      </c>
      <c r="R751" s="2">
        <v>0.08</v>
      </c>
      <c r="S751" s="6">
        <v>7.0564055134000006E-2</v>
      </c>
      <c r="T751" t="s">
        <v>111</v>
      </c>
      <c r="U751" t="s">
        <v>111</v>
      </c>
      <c r="V751" t="s">
        <v>11189</v>
      </c>
      <c r="W751" t="s">
        <v>43</v>
      </c>
      <c r="X751" t="s">
        <v>11034</v>
      </c>
      <c r="Y751" t="s">
        <v>44</v>
      </c>
      <c r="Z751" t="s">
        <v>44</v>
      </c>
      <c r="AA751" t="s">
        <v>11441</v>
      </c>
      <c r="AB751" t="s">
        <v>44</v>
      </c>
      <c r="AC751" s="4">
        <v>5.63014803</v>
      </c>
      <c r="AD751" s="4">
        <v>5.4898834000000001</v>
      </c>
      <c r="AE751" s="2">
        <v>5.63</v>
      </c>
      <c r="AF751" s="4">
        <v>5.4898834000000001</v>
      </c>
      <c r="AG751" s="2">
        <v>0.33</v>
      </c>
      <c r="AH751" s="2">
        <v>1845120.66</v>
      </c>
      <c r="AI751" s="2">
        <v>0</v>
      </c>
      <c r="AJ751" s="5">
        <v>44673</v>
      </c>
      <c r="AK751" t="s">
        <v>11912</v>
      </c>
      <c r="AL751" s="2">
        <v>5.55</v>
      </c>
      <c r="AM751" s="2">
        <v>6.1</v>
      </c>
      <c r="AN751" s="2">
        <v>7.0000000000000007E-2</v>
      </c>
      <c r="AO751" t="s">
        <v>11520</v>
      </c>
      <c r="AP751" t="s">
        <v>11811</v>
      </c>
      <c r="AQ751" t="s">
        <v>11810</v>
      </c>
    </row>
    <row r="752" spans="1:43" x14ac:dyDescent="0.2">
      <c r="A752" t="s">
        <v>11911</v>
      </c>
      <c r="B752" t="s">
        <v>10900</v>
      </c>
      <c r="C752" t="s">
        <v>11033</v>
      </c>
      <c r="D752" t="s">
        <v>11518</v>
      </c>
      <c r="E752" t="s">
        <v>11519</v>
      </c>
      <c r="F752" t="s">
        <v>11518</v>
      </c>
      <c r="G752" s="1">
        <v>3600000</v>
      </c>
      <c r="H752" s="2">
        <v>3600000</v>
      </c>
      <c r="I752" s="2">
        <v>3611422.4</v>
      </c>
      <c r="J752" s="2">
        <v>37554.61</v>
      </c>
      <c r="K752" s="2">
        <v>0</v>
      </c>
      <c r="L752" s="2">
        <v>3648977.01</v>
      </c>
      <c r="M752" s="3">
        <v>6.0730570000000004</v>
      </c>
      <c r="N752" s="4">
        <v>8.3018199999999997E-3</v>
      </c>
      <c r="O752" s="5">
        <v>44704</v>
      </c>
      <c r="P752" s="5">
        <v>45159</v>
      </c>
      <c r="Q752" s="1">
        <v>6.242</v>
      </c>
      <c r="R752" s="2">
        <v>0.08</v>
      </c>
      <c r="S752" s="6">
        <v>5.9720457003999999E-2</v>
      </c>
      <c r="T752" t="s">
        <v>111</v>
      </c>
      <c r="U752" t="s">
        <v>111</v>
      </c>
      <c r="V752" t="s">
        <v>11189</v>
      </c>
      <c r="W752" t="s">
        <v>43</v>
      </c>
      <c r="X752" t="s">
        <v>11034</v>
      </c>
      <c r="Y752" t="s">
        <v>44</v>
      </c>
      <c r="Z752" t="s">
        <v>44</v>
      </c>
      <c r="AA752" t="s">
        <v>11441</v>
      </c>
      <c r="AB752" t="s">
        <v>44</v>
      </c>
      <c r="AC752" s="4">
        <v>6.1652619800000004</v>
      </c>
      <c r="AD752" s="4">
        <v>5.9976152599999999</v>
      </c>
      <c r="AE752" s="2">
        <v>6.17</v>
      </c>
      <c r="AF752" s="4">
        <v>5.9976152599999999</v>
      </c>
      <c r="AG752" s="2">
        <v>0.66</v>
      </c>
      <c r="AH752" s="2">
        <v>3648977.01</v>
      </c>
      <c r="AI752" s="2">
        <v>0.01</v>
      </c>
      <c r="AJ752" s="5">
        <v>44673</v>
      </c>
      <c r="AK752" t="s">
        <v>11912</v>
      </c>
      <c r="AL752" s="2">
        <v>6.07</v>
      </c>
      <c r="AM752" s="2">
        <v>6.24</v>
      </c>
      <c r="AN752" s="2">
        <v>0.06</v>
      </c>
      <c r="AO752" t="s">
        <v>11520</v>
      </c>
      <c r="AP752" t="s">
        <v>11521</v>
      </c>
      <c r="AQ752" t="s">
        <v>11519</v>
      </c>
    </row>
    <row r="753" spans="1:43" x14ac:dyDescent="0.2">
      <c r="A753" t="s">
        <v>11911</v>
      </c>
      <c r="B753" t="s">
        <v>10900</v>
      </c>
      <c r="C753" t="s">
        <v>11033</v>
      </c>
      <c r="D753" t="s">
        <v>11059</v>
      </c>
      <c r="E753" t="s">
        <v>11060</v>
      </c>
      <c r="F753" t="s">
        <v>11059</v>
      </c>
      <c r="G753" s="1">
        <v>695000</v>
      </c>
      <c r="H753" s="2">
        <v>753054.47</v>
      </c>
      <c r="I753" s="2">
        <v>744661.71</v>
      </c>
      <c r="J753" s="2">
        <v>27428.7</v>
      </c>
      <c r="K753" s="2">
        <v>0</v>
      </c>
      <c r="L753" s="2">
        <v>772090.41</v>
      </c>
      <c r="M753" s="3">
        <v>7.69</v>
      </c>
      <c r="N753" s="4">
        <v>1.7565899999999999E-3</v>
      </c>
      <c r="O753" s="5">
        <v>44722</v>
      </c>
      <c r="P753" s="5">
        <v>45636</v>
      </c>
      <c r="Q753" s="1">
        <v>10.75</v>
      </c>
      <c r="R753" s="2">
        <v>2.2799999999999998</v>
      </c>
      <c r="S753" s="6">
        <v>2.1998010890000002</v>
      </c>
      <c r="T753" t="s">
        <v>111</v>
      </c>
      <c r="U753" t="s">
        <v>111</v>
      </c>
      <c r="V753" t="s">
        <v>10944</v>
      </c>
      <c r="W753" t="s">
        <v>43</v>
      </c>
      <c r="X753" t="s">
        <v>10988</v>
      </c>
      <c r="Y753" t="s">
        <v>44</v>
      </c>
      <c r="Z753" t="s">
        <v>44</v>
      </c>
      <c r="AA753" t="s">
        <v>10979</v>
      </c>
      <c r="AB753" t="s">
        <v>44</v>
      </c>
      <c r="AC753" s="4">
        <v>7.8378402500000002</v>
      </c>
      <c r="AD753" s="4">
        <v>7.5696180699999998</v>
      </c>
      <c r="AE753" s="2">
        <v>7.84</v>
      </c>
      <c r="AF753" s="4">
        <v>7.5696180699999998</v>
      </c>
      <c r="AG753" s="2">
        <v>0.14000000000000001</v>
      </c>
      <c r="AH753" s="2">
        <v>772090.41</v>
      </c>
      <c r="AI753" s="2">
        <v>0</v>
      </c>
      <c r="AJ753" s="5">
        <v>44673</v>
      </c>
      <c r="AK753" t="s">
        <v>11912</v>
      </c>
      <c r="AL753" s="2">
        <v>7.69</v>
      </c>
      <c r="AM753" s="2">
        <v>10.75</v>
      </c>
      <c r="AN753" s="2">
        <v>2.2000000000000002</v>
      </c>
      <c r="AO753" t="s">
        <v>11054</v>
      </c>
      <c r="AP753" t="s">
        <v>11061</v>
      </c>
      <c r="AQ753" t="s">
        <v>11060</v>
      </c>
    </row>
    <row r="754" spans="1:43" x14ac:dyDescent="0.2">
      <c r="A754" t="s">
        <v>11911</v>
      </c>
      <c r="B754" t="s">
        <v>10900</v>
      </c>
      <c r="C754" t="s">
        <v>11033</v>
      </c>
      <c r="D754" t="s">
        <v>11812</v>
      </c>
      <c r="E754" t="s">
        <v>11813</v>
      </c>
      <c r="F754" t="s">
        <v>11812</v>
      </c>
      <c r="G754" s="1">
        <v>420000</v>
      </c>
      <c r="H754" s="2">
        <v>7045472.96</v>
      </c>
      <c r="I754" s="2">
        <v>6655995</v>
      </c>
      <c r="J754" s="2">
        <v>202657.04</v>
      </c>
      <c r="K754" s="2">
        <v>0</v>
      </c>
      <c r="L754" s="2">
        <v>6858652.04</v>
      </c>
      <c r="M754" s="3"/>
      <c r="N754" s="4">
        <v>1.5604170000000001E-2</v>
      </c>
      <c r="O754" s="5">
        <v>44676</v>
      </c>
      <c r="P754" s="5">
        <v>45039</v>
      </c>
      <c r="Q754" s="1">
        <v>6.25</v>
      </c>
      <c r="R754" s="2">
        <v>2.71</v>
      </c>
      <c r="S754" s="6">
        <v>2.63</v>
      </c>
      <c r="T754" t="s">
        <v>111</v>
      </c>
      <c r="U754" t="s">
        <v>111</v>
      </c>
      <c r="V754" t="s">
        <v>10944</v>
      </c>
      <c r="W754" t="s">
        <v>113</v>
      </c>
      <c r="X754" t="s">
        <v>44</v>
      </c>
      <c r="Y754" t="s">
        <v>44</v>
      </c>
      <c r="Z754" t="s">
        <v>44</v>
      </c>
      <c r="AA754" t="s">
        <v>10979</v>
      </c>
      <c r="AB754" t="s">
        <v>11465</v>
      </c>
      <c r="AC754" s="4"/>
      <c r="AD754" s="4"/>
      <c r="AE754" s="2">
        <v>0</v>
      </c>
      <c r="AF754" s="4">
        <v>0</v>
      </c>
      <c r="AG754" s="2">
        <v>1.23</v>
      </c>
      <c r="AH754" s="2">
        <v>6858652.04</v>
      </c>
      <c r="AI754" s="2">
        <v>0.02</v>
      </c>
      <c r="AJ754" s="5">
        <v>44673</v>
      </c>
      <c r="AK754" t="s">
        <v>11912</v>
      </c>
      <c r="AL754" s="2">
        <v>0</v>
      </c>
      <c r="AM754" s="2">
        <v>6.25</v>
      </c>
      <c r="AN754" s="2">
        <v>2.63</v>
      </c>
      <c r="AO754" t="s">
        <v>11054</v>
      </c>
      <c r="AP754" t="s">
        <v>11814</v>
      </c>
      <c r="AQ754" t="s">
        <v>11813</v>
      </c>
    </row>
    <row r="755" spans="1:43" x14ac:dyDescent="0.2">
      <c r="A755" t="s">
        <v>11911</v>
      </c>
      <c r="B755" t="s">
        <v>10900</v>
      </c>
      <c r="C755" t="s">
        <v>11033</v>
      </c>
      <c r="D755" t="s">
        <v>11815</v>
      </c>
      <c r="E755" t="s">
        <v>11816</v>
      </c>
      <c r="F755" t="s">
        <v>11815</v>
      </c>
      <c r="G755" s="1">
        <v>2000000</v>
      </c>
      <c r="H755" s="2">
        <v>2000000</v>
      </c>
      <c r="I755" s="2">
        <v>1999893.62</v>
      </c>
      <c r="J755" s="2">
        <v>22273.37</v>
      </c>
      <c r="K755" s="2">
        <v>0</v>
      </c>
      <c r="L755" s="2">
        <v>2022166.99</v>
      </c>
      <c r="M755" s="3">
        <v>6.1638650000000004</v>
      </c>
      <c r="N755" s="4">
        <v>4.6006500000000004E-3</v>
      </c>
      <c r="O755" s="5">
        <v>44697</v>
      </c>
      <c r="P755" s="5">
        <v>45519</v>
      </c>
      <c r="Q755" s="1">
        <v>6.0670000000000002</v>
      </c>
      <c r="R755" s="2">
        <v>0.06</v>
      </c>
      <c r="S755" s="6">
        <v>2.7386669091000002E-2</v>
      </c>
      <c r="T755" t="s">
        <v>111</v>
      </c>
      <c r="U755" t="s">
        <v>111</v>
      </c>
      <c r="V755" t="s">
        <v>11189</v>
      </c>
      <c r="W755" t="s">
        <v>43</v>
      </c>
      <c r="X755" t="s">
        <v>11034</v>
      </c>
      <c r="Y755" t="s">
        <v>44</v>
      </c>
      <c r="Z755" t="s">
        <v>44</v>
      </c>
      <c r="AA755" t="s">
        <v>11225</v>
      </c>
      <c r="AB755" t="s">
        <v>44</v>
      </c>
      <c r="AC755" s="4">
        <v>6.2588480500000001</v>
      </c>
      <c r="AD755" s="4">
        <v>6.0861713799999997</v>
      </c>
      <c r="AE755" s="2">
        <v>6.26</v>
      </c>
      <c r="AF755" s="4">
        <v>6.0861713799999997</v>
      </c>
      <c r="AG755" s="2">
        <v>0.36</v>
      </c>
      <c r="AH755" s="2">
        <v>2022166.99</v>
      </c>
      <c r="AI755" s="2">
        <v>0</v>
      </c>
      <c r="AJ755" s="5">
        <v>44673</v>
      </c>
      <c r="AK755" t="s">
        <v>11912</v>
      </c>
      <c r="AL755" s="2">
        <v>6.16</v>
      </c>
      <c r="AM755" s="2">
        <v>6.07</v>
      </c>
      <c r="AN755" s="2">
        <v>0.03</v>
      </c>
      <c r="AO755" t="s">
        <v>11817</v>
      </c>
      <c r="AP755" t="s">
        <v>11818</v>
      </c>
      <c r="AQ755" t="s">
        <v>11816</v>
      </c>
    </row>
    <row r="756" spans="1:43" x14ac:dyDescent="0.2">
      <c r="A756" t="s">
        <v>11911</v>
      </c>
      <c r="B756" t="s">
        <v>10900</v>
      </c>
      <c r="C756" t="s">
        <v>11033</v>
      </c>
      <c r="D756" t="s">
        <v>11819</v>
      </c>
      <c r="E756" t="s">
        <v>11820</v>
      </c>
      <c r="F756" t="s">
        <v>11819</v>
      </c>
      <c r="G756" s="1">
        <v>4000000</v>
      </c>
      <c r="H756" s="2">
        <v>4000000</v>
      </c>
      <c r="I756" s="2">
        <v>4002507.36</v>
      </c>
      <c r="J756" s="2">
        <v>16574.47</v>
      </c>
      <c r="K756" s="2">
        <v>0</v>
      </c>
      <c r="L756" s="2">
        <v>4019081.83</v>
      </c>
      <c r="M756" s="3">
        <v>5.6743709999999998</v>
      </c>
      <c r="N756" s="4">
        <v>9.1438400000000003E-3</v>
      </c>
      <c r="O756" s="5">
        <v>44739</v>
      </c>
      <c r="P756" s="5">
        <v>45470</v>
      </c>
      <c r="Q756" s="1">
        <v>5.8170000000000002</v>
      </c>
      <c r="R756" s="2">
        <v>0.17</v>
      </c>
      <c r="S756" s="6">
        <v>0.145695338009</v>
      </c>
      <c r="T756" t="s">
        <v>111</v>
      </c>
      <c r="U756" t="s">
        <v>111</v>
      </c>
      <c r="V756" t="s">
        <v>11189</v>
      </c>
      <c r="W756" t="s">
        <v>43</v>
      </c>
      <c r="X756" t="s">
        <v>11034</v>
      </c>
      <c r="Y756" t="s">
        <v>44</v>
      </c>
      <c r="Z756" t="s">
        <v>44</v>
      </c>
      <c r="AA756" t="s">
        <v>10913</v>
      </c>
      <c r="AB756" t="s">
        <v>44</v>
      </c>
      <c r="AC756" s="4">
        <v>5.7548670399999997</v>
      </c>
      <c r="AD756" s="4">
        <v>5.6084308399999996</v>
      </c>
      <c r="AE756" s="2">
        <v>5.75</v>
      </c>
      <c r="AF756" s="4">
        <v>5.6084308399999996</v>
      </c>
      <c r="AG756" s="2">
        <v>0.72</v>
      </c>
      <c r="AH756" s="2">
        <v>4019081.83</v>
      </c>
      <c r="AI756" s="2">
        <v>0.01</v>
      </c>
      <c r="AJ756" s="5">
        <v>44673</v>
      </c>
      <c r="AK756" t="s">
        <v>11912</v>
      </c>
      <c r="AL756" s="2">
        <v>5.67</v>
      </c>
      <c r="AM756" s="2">
        <v>5.82</v>
      </c>
      <c r="AN756" s="2">
        <v>0.15</v>
      </c>
      <c r="AO756" t="s">
        <v>11563</v>
      </c>
      <c r="AP756" t="s">
        <v>11821</v>
      </c>
      <c r="AQ756" t="s">
        <v>11820</v>
      </c>
    </row>
    <row r="757" spans="1:43" x14ac:dyDescent="0.2">
      <c r="A757" t="s">
        <v>11911</v>
      </c>
      <c r="B757" t="s">
        <v>10900</v>
      </c>
      <c r="C757" t="s">
        <v>11033</v>
      </c>
      <c r="D757" t="s">
        <v>11822</v>
      </c>
      <c r="E757" t="s">
        <v>11823</v>
      </c>
      <c r="F757" t="s">
        <v>11822</v>
      </c>
      <c r="G757" s="1">
        <v>2000000</v>
      </c>
      <c r="H757" s="2">
        <v>2000000</v>
      </c>
      <c r="I757" s="2">
        <v>1984537.89</v>
      </c>
      <c r="J757" s="2">
        <v>21860.6</v>
      </c>
      <c r="K757" s="2">
        <v>0</v>
      </c>
      <c r="L757" s="2">
        <v>2006398.49</v>
      </c>
      <c r="M757" s="3">
        <v>6.4745299999999997</v>
      </c>
      <c r="N757" s="4">
        <v>4.5647700000000001E-3</v>
      </c>
      <c r="O757" s="5">
        <v>44693</v>
      </c>
      <c r="P757" s="5">
        <v>45242</v>
      </c>
      <c r="Q757" s="1">
        <v>5.867</v>
      </c>
      <c r="R757" s="2">
        <v>0.05</v>
      </c>
      <c r="S757" s="6">
        <v>1.5942423563000001E-2</v>
      </c>
      <c r="T757" t="s">
        <v>111</v>
      </c>
      <c r="U757" t="s">
        <v>111</v>
      </c>
      <c r="V757" t="s">
        <v>11189</v>
      </c>
      <c r="W757" t="s">
        <v>43</v>
      </c>
      <c r="X757" t="s">
        <v>11034</v>
      </c>
      <c r="Y757" t="s">
        <v>44</v>
      </c>
      <c r="Z757" t="s">
        <v>44</v>
      </c>
      <c r="AA757" t="s">
        <v>10979</v>
      </c>
      <c r="AB757" t="s">
        <v>44</v>
      </c>
      <c r="AC757" s="4">
        <v>6.5793283799999998</v>
      </c>
      <c r="AD757" s="4">
        <v>6.3888862499999997</v>
      </c>
      <c r="AE757" s="2">
        <v>6.58</v>
      </c>
      <c r="AF757" s="4">
        <v>6.3888862499999997</v>
      </c>
      <c r="AG757" s="2">
        <v>0.36</v>
      </c>
      <c r="AH757" s="2">
        <v>2006398.49</v>
      </c>
      <c r="AI757" s="2">
        <v>0</v>
      </c>
      <c r="AJ757" s="5">
        <v>44673</v>
      </c>
      <c r="AK757" t="s">
        <v>11912</v>
      </c>
      <c r="AL757" s="2">
        <v>6.47</v>
      </c>
      <c r="AM757" s="2">
        <v>5.87</v>
      </c>
      <c r="AN757" s="2">
        <v>0.02</v>
      </c>
      <c r="AO757" t="s">
        <v>11824</v>
      </c>
      <c r="AP757" t="s">
        <v>11825</v>
      </c>
      <c r="AQ757" t="s">
        <v>11823</v>
      </c>
    </row>
    <row r="758" spans="1:43" x14ac:dyDescent="0.2">
      <c r="A758" t="s">
        <v>11911</v>
      </c>
      <c r="B758" t="s">
        <v>10900</v>
      </c>
      <c r="C758" t="s">
        <v>11033</v>
      </c>
      <c r="D758" t="s">
        <v>11826</v>
      </c>
      <c r="E758" t="s">
        <v>11827</v>
      </c>
      <c r="F758" t="s">
        <v>11826</v>
      </c>
      <c r="G758" s="1">
        <v>6000000</v>
      </c>
      <c r="H758" s="2">
        <v>6000000</v>
      </c>
      <c r="I758" s="2">
        <v>5959608.6500000004</v>
      </c>
      <c r="J758" s="2">
        <v>35163.620000000003</v>
      </c>
      <c r="K758" s="2">
        <v>0</v>
      </c>
      <c r="L758" s="2">
        <v>5994772.2699999996</v>
      </c>
      <c r="M758" s="3">
        <v>6.1816829999999996</v>
      </c>
      <c r="N758" s="4">
        <v>1.363875E-2</v>
      </c>
      <c r="O758" s="5">
        <v>44732</v>
      </c>
      <c r="P758" s="5">
        <v>45644</v>
      </c>
      <c r="Q758" s="1">
        <v>5.9420000000000002</v>
      </c>
      <c r="R758" s="2">
        <v>0.15</v>
      </c>
      <c r="S758" s="6">
        <v>0.106811678077</v>
      </c>
      <c r="T758" t="s">
        <v>111</v>
      </c>
      <c r="U758" t="s">
        <v>111</v>
      </c>
      <c r="V758" t="s">
        <v>11189</v>
      </c>
      <c r="W758" t="s">
        <v>43</v>
      </c>
      <c r="X758" t="s">
        <v>11034</v>
      </c>
      <c r="Y758" t="s">
        <v>44</v>
      </c>
      <c r="Z758" t="s">
        <v>44</v>
      </c>
      <c r="AA758" t="s">
        <v>10979</v>
      </c>
      <c r="AB758" t="s">
        <v>44</v>
      </c>
      <c r="AC758" s="4">
        <v>6.2772158899999999</v>
      </c>
      <c r="AD758" s="4">
        <v>6.10354361</v>
      </c>
      <c r="AE758" s="2">
        <v>6.28</v>
      </c>
      <c r="AF758" s="4">
        <v>6.10354361</v>
      </c>
      <c r="AG758" s="2">
        <v>1.08</v>
      </c>
      <c r="AH758" s="2">
        <v>5994772.2699999996</v>
      </c>
      <c r="AI758" s="2">
        <v>0.01</v>
      </c>
      <c r="AJ758" s="5">
        <v>44673</v>
      </c>
      <c r="AK758" t="s">
        <v>11912</v>
      </c>
      <c r="AL758" s="2">
        <v>6.18</v>
      </c>
      <c r="AM758" s="2">
        <v>5.94</v>
      </c>
      <c r="AN758" s="2">
        <v>0.11</v>
      </c>
      <c r="AO758" t="s">
        <v>11824</v>
      </c>
      <c r="AP758" t="s">
        <v>11828</v>
      </c>
      <c r="AQ758" t="s">
        <v>11827</v>
      </c>
    </row>
    <row r="759" spans="1:43" x14ac:dyDescent="0.2">
      <c r="A759" t="s">
        <v>11911</v>
      </c>
      <c r="B759" t="s">
        <v>10900</v>
      </c>
      <c r="C759" t="s">
        <v>11033</v>
      </c>
      <c r="D759" t="s">
        <v>11525</v>
      </c>
      <c r="E759" t="s">
        <v>11526</v>
      </c>
      <c r="F759" t="s">
        <v>11525</v>
      </c>
      <c r="G759" s="1">
        <v>9000000</v>
      </c>
      <c r="H759" s="2">
        <v>9000000</v>
      </c>
      <c r="I759" s="2">
        <v>9016532.7699999996</v>
      </c>
      <c r="J759" s="2">
        <v>14165.01</v>
      </c>
      <c r="K759" s="2">
        <v>0</v>
      </c>
      <c r="L759" s="2">
        <v>9030697.7799999993</v>
      </c>
      <c r="M759" s="3">
        <v>6.20838</v>
      </c>
      <c r="N759" s="4">
        <v>2.0545810000000001E-2</v>
      </c>
      <c r="O759" s="5">
        <v>44756</v>
      </c>
      <c r="P759" s="5">
        <v>45396</v>
      </c>
      <c r="Q759" s="1">
        <v>6.383</v>
      </c>
      <c r="R759" s="2">
        <v>0.22</v>
      </c>
      <c r="S759" s="6">
        <v>0.18643150391999999</v>
      </c>
      <c r="T759" t="s">
        <v>111</v>
      </c>
      <c r="U759" t="s">
        <v>111</v>
      </c>
      <c r="V759" t="s">
        <v>11189</v>
      </c>
      <c r="W759" t="s">
        <v>43</v>
      </c>
      <c r="X759" t="s">
        <v>11034</v>
      </c>
      <c r="Y759" t="s">
        <v>44</v>
      </c>
      <c r="Z759" t="s">
        <v>44</v>
      </c>
      <c r="AA759" t="s">
        <v>44</v>
      </c>
      <c r="AB759" t="s">
        <v>44</v>
      </c>
      <c r="AC759" s="4">
        <v>6.30473952</v>
      </c>
      <c r="AD759" s="4">
        <v>6.1295701999999999</v>
      </c>
      <c r="AE759" s="2">
        <v>6.3</v>
      </c>
      <c r="AF759" s="4">
        <v>6.1295701999999999</v>
      </c>
      <c r="AG759" s="2">
        <v>1.62</v>
      </c>
      <c r="AH759" s="2">
        <v>9030697.7799999993</v>
      </c>
      <c r="AI759" s="2">
        <v>0.02</v>
      </c>
      <c r="AJ759" s="5">
        <v>44673</v>
      </c>
      <c r="AK759" t="s">
        <v>11912</v>
      </c>
      <c r="AL759" s="2">
        <v>6.21</v>
      </c>
      <c r="AM759" s="2">
        <v>6.38</v>
      </c>
      <c r="AN759" s="2">
        <v>0.19</v>
      </c>
      <c r="AO759" t="s">
        <v>11527</v>
      </c>
      <c r="AP759" t="s">
        <v>11528</v>
      </c>
      <c r="AQ759" t="s">
        <v>11526</v>
      </c>
    </row>
    <row r="760" spans="1:43" x14ac:dyDescent="0.2">
      <c r="A760" t="s">
        <v>11911</v>
      </c>
      <c r="B760" t="s">
        <v>10900</v>
      </c>
      <c r="C760" t="s">
        <v>11033</v>
      </c>
      <c r="D760" t="s">
        <v>11829</v>
      </c>
      <c r="E760" t="s">
        <v>11830</v>
      </c>
      <c r="F760" t="s">
        <v>11829</v>
      </c>
      <c r="G760" s="1">
        <v>2100000</v>
      </c>
      <c r="H760" s="2">
        <v>2100000</v>
      </c>
      <c r="I760" s="2">
        <v>2099731.98</v>
      </c>
      <c r="J760" s="2">
        <v>16000.22</v>
      </c>
      <c r="K760" s="2">
        <v>0</v>
      </c>
      <c r="L760" s="2">
        <v>2115732.2000000002</v>
      </c>
      <c r="M760" s="3">
        <v>5.9678570000000004</v>
      </c>
      <c r="N760" s="4">
        <v>4.81352E-3</v>
      </c>
      <c r="O760" s="5">
        <v>44719</v>
      </c>
      <c r="P760" s="5">
        <v>45723</v>
      </c>
      <c r="Q760" s="1">
        <v>5.9169999999999998</v>
      </c>
      <c r="R760" s="2">
        <v>0.12</v>
      </c>
      <c r="S760" s="6">
        <v>8.2443218371999999E-2</v>
      </c>
      <c r="T760" t="s">
        <v>111</v>
      </c>
      <c r="U760" t="s">
        <v>111</v>
      </c>
      <c r="V760" t="s">
        <v>11189</v>
      </c>
      <c r="W760" t="s">
        <v>43</v>
      </c>
      <c r="X760" t="s">
        <v>11034</v>
      </c>
      <c r="Y760" t="s">
        <v>44</v>
      </c>
      <c r="Z760" t="s">
        <v>44</v>
      </c>
      <c r="AA760" t="s">
        <v>11035</v>
      </c>
      <c r="AB760" t="s">
        <v>44</v>
      </c>
      <c r="AC760" s="4">
        <v>6.0568952400000002</v>
      </c>
      <c r="AD760" s="4">
        <v>5.8949834299999999</v>
      </c>
      <c r="AE760" s="2">
        <v>6.06</v>
      </c>
      <c r="AF760" s="4">
        <v>5.8949834299999999</v>
      </c>
      <c r="AG760" s="2">
        <v>0.38</v>
      </c>
      <c r="AH760" s="2">
        <v>2115732.2000000002</v>
      </c>
      <c r="AI760" s="2">
        <v>0</v>
      </c>
      <c r="AJ760" s="5">
        <v>44673</v>
      </c>
      <c r="AK760" t="s">
        <v>11912</v>
      </c>
      <c r="AL760" s="2">
        <v>5.97</v>
      </c>
      <c r="AM760" s="2">
        <v>5.92</v>
      </c>
      <c r="AN760" s="2">
        <v>0.08</v>
      </c>
      <c r="AO760" t="s">
        <v>11437</v>
      </c>
      <c r="AP760" t="s">
        <v>11831</v>
      </c>
      <c r="AQ760" t="s">
        <v>11830</v>
      </c>
    </row>
    <row r="761" spans="1:43" x14ac:dyDescent="0.2">
      <c r="A761" t="s">
        <v>11911</v>
      </c>
      <c r="B761" t="s">
        <v>10900</v>
      </c>
      <c r="C761" t="s">
        <v>11033</v>
      </c>
      <c r="D761" t="s">
        <v>11832</v>
      </c>
      <c r="E761" t="s">
        <v>11833</v>
      </c>
      <c r="F761" t="s">
        <v>11832</v>
      </c>
      <c r="G761" s="1">
        <v>5900000</v>
      </c>
      <c r="H761" s="2">
        <v>5900000</v>
      </c>
      <c r="I761" s="2">
        <v>5902318.0199999996</v>
      </c>
      <c r="J761" s="2">
        <v>3545.17</v>
      </c>
      <c r="K761" s="2">
        <v>0</v>
      </c>
      <c r="L761" s="2">
        <v>5905863.1900000004</v>
      </c>
      <c r="M761" s="3">
        <v>5.3938800000000002</v>
      </c>
      <c r="N761" s="4">
        <v>1.3436470000000001E-2</v>
      </c>
      <c r="O761" s="5">
        <v>44757</v>
      </c>
      <c r="P761" s="5">
        <v>45397</v>
      </c>
      <c r="Q761" s="1">
        <v>5.4829999999999997</v>
      </c>
      <c r="R761" s="2">
        <v>0.22</v>
      </c>
      <c r="S761" s="6">
        <v>0.19846818724099999</v>
      </c>
      <c r="T761" t="s">
        <v>111</v>
      </c>
      <c r="U761" t="s">
        <v>111</v>
      </c>
      <c r="V761" t="s">
        <v>11189</v>
      </c>
      <c r="W761" t="s">
        <v>43</v>
      </c>
      <c r="X761" t="s">
        <v>11034</v>
      </c>
      <c r="Y761" t="s">
        <v>44</v>
      </c>
      <c r="Z761" t="s">
        <v>44</v>
      </c>
      <c r="AA761" t="s">
        <v>11035</v>
      </c>
      <c r="AB761" t="s">
        <v>44</v>
      </c>
      <c r="AC761" s="4">
        <v>5.4666152800000001</v>
      </c>
      <c r="AD761" s="4">
        <v>5.3342482999999996</v>
      </c>
      <c r="AE761" s="2">
        <v>5.47</v>
      </c>
      <c r="AF761" s="4">
        <v>5.3342482999999996</v>
      </c>
      <c r="AG761" s="2">
        <v>1.06</v>
      </c>
      <c r="AH761" s="2">
        <v>5905863.1900000004</v>
      </c>
      <c r="AI761" s="2">
        <v>0.01</v>
      </c>
      <c r="AJ761" s="5">
        <v>44673</v>
      </c>
      <c r="AK761" t="s">
        <v>11912</v>
      </c>
      <c r="AL761" s="2">
        <v>5.39</v>
      </c>
      <c r="AM761" s="2">
        <v>5.48</v>
      </c>
      <c r="AN761" s="2">
        <v>0.2</v>
      </c>
      <c r="AO761" t="s">
        <v>11036</v>
      </c>
      <c r="AP761" t="s">
        <v>11834</v>
      </c>
      <c r="AQ761" t="s">
        <v>11833</v>
      </c>
    </row>
    <row r="762" spans="1:43" x14ac:dyDescent="0.2">
      <c r="A762" t="s">
        <v>11911</v>
      </c>
      <c r="B762" t="s">
        <v>10900</v>
      </c>
      <c r="C762" t="s">
        <v>11033</v>
      </c>
      <c r="D762" t="s">
        <v>12982</v>
      </c>
      <c r="E762" t="s">
        <v>12983</v>
      </c>
      <c r="F762" t="s">
        <v>12982</v>
      </c>
      <c r="G762" s="1">
        <v>6100000</v>
      </c>
      <c r="H762" s="2">
        <v>6100000</v>
      </c>
      <c r="I762" s="2">
        <v>6358309.25</v>
      </c>
      <c r="J762" s="2">
        <v>78275.37</v>
      </c>
      <c r="K762" s="2">
        <v>0</v>
      </c>
      <c r="L762" s="2">
        <v>6436584.6200000001</v>
      </c>
      <c r="M762" s="3">
        <v>6.0747210000000003</v>
      </c>
      <c r="N762" s="4">
        <v>1.464392E-2</v>
      </c>
      <c r="O762" s="5">
        <v>44706</v>
      </c>
      <c r="P762" s="5">
        <v>45439</v>
      </c>
      <c r="Q762" s="1">
        <v>8.2170000000000005</v>
      </c>
      <c r="R762" s="2">
        <v>0.08</v>
      </c>
      <c r="S762" s="6">
        <v>9.4979191527000004E-2</v>
      </c>
      <c r="T762" t="s">
        <v>111</v>
      </c>
      <c r="U762" t="s">
        <v>111</v>
      </c>
      <c r="V762" t="s">
        <v>11189</v>
      </c>
      <c r="W762" t="s">
        <v>43</v>
      </c>
      <c r="X762" t="s">
        <v>11034</v>
      </c>
      <c r="Y762" t="s">
        <v>44</v>
      </c>
      <c r="Z762" t="s">
        <v>44</v>
      </c>
      <c r="AA762" t="s">
        <v>44</v>
      </c>
      <c r="AB762" t="s">
        <v>44</v>
      </c>
      <c r="AC762" s="4">
        <v>6.1669761000000003</v>
      </c>
      <c r="AD762" s="4">
        <v>5.9992378899999999</v>
      </c>
      <c r="AE762" s="2">
        <v>6.17</v>
      </c>
      <c r="AF762" s="4">
        <v>5.9992378899999999</v>
      </c>
      <c r="AG762" s="2">
        <v>1.1599999999999999</v>
      </c>
      <c r="AH762" s="2">
        <v>6436584.6200000001</v>
      </c>
      <c r="AI762" s="2">
        <v>0.01</v>
      </c>
      <c r="AJ762" s="5">
        <v>44673</v>
      </c>
      <c r="AK762" t="s">
        <v>11912</v>
      </c>
      <c r="AL762" s="2">
        <v>6.07</v>
      </c>
      <c r="AM762" s="2">
        <v>8.2200000000000006</v>
      </c>
      <c r="AN762" s="2">
        <v>0.09</v>
      </c>
      <c r="AO762" t="s">
        <v>12984</v>
      </c>
      <c r="AP762" t="s">
        <v>12985</v>
      </c>
      <c r="AQ762" t="s">
        <v>12983</v>
      </c>
    </row>
    <row r="763" spans="1:43" x14ac:dyDescent="0.2">
      <c r="A763" t="s">
        <v>11911</v>
      </c>
      <c r="B763" t="s">
        <v>10900</v>
      </c>
      <c r="C763" t="s">
        <v>11033</v>
      </c>
      <c r="D763" t="s">
        <v>11838</v>
      </c>
      <c r="E763" t="s">
        <v>11839</v>
      </c>
      <c r="F763" t="s">
        <v>11838</v>
      </c>
      <c r="G763" s="1">
        <v>3000000</v>
      </c>
      <c r="H763" s="2">
        <v>3000000</v>
      </c>
      <c r="I763" s="2">
        <v>3000060.27</v>
      </c>
      <c r="J763" s="2">
        <v>12404.79</v>
      </c>
      <c r="K763" s="2">
        <v>0</v>
      </c>
      <c r="L763" s="2">
        <v>3012465.06</v>
      </c>
      <c r="M763" s="3">
        <v>5.9270630000000004</v>
      </c>
      <c r="N763" s="4">
        <v>6.85368E-3</v>
      </c>
      <c r="O763" s="5">
        <v>44741</v>
      </c>
      <c r="P763" s="5">
        <v>45380</v>
      </c>
      <c r="Q763" s="1">
        <v>6.0369999999999999</v>
      </c>
      <c r="R763" s="2">
        <v>0.18</v>
      </c>
      <c r="S763" s="6">
        <v>0.14918711395799999</v>
      </c>
      <c r="T763" t="s">
        <v>111</v>
      </c>
      <c r="U763" t="s">
        <v>111</v>
      </c>
      <c r="V763" t="s">
        <v>11189</v>
      </c>
      <c r="W763" t="s">
        <v>43</v>
      </c>
      <c r="X763" t="s">
        <v>11840</v>
      </c>
      <c r="Y763" t="s">
        <v>44</v>
      </c>
      <c r="Z763" t="s">
        <v>44</v>
      </c>
      <c r="AA763" t="s">
        <v>10979</v>
      </c>
      <c r="AB763" t="s">
        <v>44</v>
      </c>
      <c r="AC763" s="4">
        <v>6.0148877399999998</v>
      </c>
      <c r="AD763" s="4">
        <v>5.8551731699999996</v>
      </c>
      <c r="AE763" s="2">
        <v>6.01</v>
      </c>
      <c r="AF763" s="4">
        <v>5.8551731699999996</v>
      </c>
      <c r="AG763" s="2">
        <v>0.54</v>
      </c>
      <c r="AH763" s="2">
        <v>3012465.06</v>
      </c>
      <c r="AI763" s="2">
        <v>0.01</v>
      </c>
      <c r="AJ763" s="5">
        <v>44673</v>
      </c>
      <c r="AK763" t="s">
        <v>11912</v>
      </c>
      <c r="AL763" s="2">
        <v>5.93</v>
      </c>
      <c r="AM763" s="2">
        <v>6.04</v>
      </c>
      <c r="AN763" s="2">
        <v>0.15</v>
      </c>
      <c r="AO763" t="s">
        <v>11841</v>
      </c>
      <c r="AP763" t="s">
        <v>11842</v>
      </c>
      <c r="AQ763" t="s">
        <v>11839</v>
      </c>
    </row>
    <row r="764" spans="1:43" x14ac:dyDescent="0.2">
      <c r="A764" t="s">
        <v>11911</v>
      </c>
      <c r="B764" t="s">
        <v>10900</v>
      </c>
      <c r="C764" t="s">
        <v>11033</v>
      </c>
      <c r="D764" t="s">
        <v>11843</v>
      </c>
      <c r="E764" t="s">
        <v>11844</v>
      </c>
      <c r="F764" t="s">
        <v>11843</v>
      </c>
      <c r="G764" s="1">
        <v>7116000</v>
      </c>
      <c r="H764" s="2">
        <v>7113440.1399999997</v>
      </c>
      <c r="I764" s="2">
        <v>7083897.0599999996</v>
      </c>
      <c r="J764" s="2">
        <v>5289.62</v>
      </c>
      <c r="K764" s="2">
        <v>0</v>
      </c>
      <c r="L764" s="2">
        <v>7089186.6799999997</v>
      </c>
      <c r="M764" s="3">
        <v>6.9820180000000001</v>
      </c>
      <c r="N764" s="4">
        <v>1.612866E-2</v>
      </c>
      <c r="O764" s="5">
        <v>44760</v>
      </c>
      <c r="P764" s="5">
        <v>45398</v>
      </c>
      <c r="Q764" s="1">
        <v>6.7830000000000004</v>
      </c>
      <c r="R764" s="2">
        <v>0.23</v>
      </c>
      <c r="S764" s="6">
        <v>0.182016060841</v>
      </c>
      <c r="T764" t="s">
        <v>111</v>
      </c>
      <c r="U764" t="s">
        <v>111</v>
      </c>
      <c r="V764" t="s">
        <v>11189</v>
      </c>
      <c r="W764" t="s">
        <v>43</v>
      </c>
      <c r="X764" t="s">
        <v>11034</v>
      </c>
      <c r="Y764" t="s">
        <v>44</v>
      </c>
      <c r="Z764" t="s">
        <v>44</v>
      </c>
      <c r="AA764" t="s">
        <v>10979</v>
      </c>
      <c r="AB764" t="s">
        <v>44</v>
      </c>
      <c r="AC764" s="4">
        <v>7.1038890300000004</v>
      </c>
      <c r="AD764" s="4">
        <v>6.8825725699999998</v>
      </c>
      <c r="AE764" s="2">
        <v>7.1</v>
      </c>
      <c r="AF764" s="4">
        <v>6.8825725699999998</v>
      </c>
      <c r="AG764" s="2">
        <v>1.28</v>
      </c>
      <c r="AH764" s="2">
        <v>7089186.6799999997</v>
      </c>
      <c r="AI764" s="2">
        <v>0.02</v>
      </c>
      <c r="AJ764" s="5">
        <v>44673</v>
      </c>
      <c r="AK764" t="s">
        <v>11912</v>
      </c>
      <c r="AL764" s="2">
        <v>6.98</v>
      </c>
      <c r="AM764" s="2">
        <v>6.78</v>
      </c>
      <c r="AN764" s="2">
        <v>0.18</v>
      </c>
      <c r="AO764" t="s">
        <v>11179</v>
      </c>
      <c r="AP764" t="s">
        <v>11845</v>
      </c>
      <c r="AQ764" t="s">
        <v>11844</v>
      </c>
    </row>
    <row r="765" spans="1:43" x14ac:dyDescent="0.2">
      <c r="A765" t="s">
        <v>11911</v>
      </c>
      <c r="B765" t="s">
        <v>10900</v>
      </c>
      <c r="C765" t="s">
        <v>10943</v>
      </c>
      <c r="D765" t="s">
        <v>11552</v>
      </c>
      <c r="E765" t="s">
        <v>11553</v>
      </c>
      <c r="F765" t="s">
        <v>11552</v>
      </c>
      <c r="G765" s="1">
        <v>600000</v>
      </c>
      <c r="H765" s="2">
        <v>600000</v>
      </c>
      <c r="I765" s="2">
        <v>600002.06000000006</v>
      </c>
      <c r="J765" s="2">
        <v>7613.19</v>
      </c>
      <c r="K765" s="2">
        <v>0</v>
      </c>
      <c r="L765" s="2">
        <v>607615.25</v>
      </c>
      <c r="M765" s="3">
        <v>5.7189139999999998</v>
      </c>
      <c r="N765" s="4">
        <v>1.3823900000000001E-3</v>
      </c>
      <c r="O765" s="5">
        <v>44684</v>
      </c>
      <c r="P765" s="5">
        <v>46418</v>
      </c>
      <c r="Q765" s="1">
        <v>5.6479999999999997</v>
      </c>
      <c r="R765" s="2">
        <v>0.02</v>
      </c>
      <c r="S765" s="6">
        <v>-2.0490922419E-2</v>
      </c>
      <c r="T765" t="s">
        <v>111</v>
      </c>
      <c r="U765" t="s">
        <v>111</v>
      </c>
      <c r="V765" t="s">
        <v>11189</v>
      </c>
      <c r="W765" t="s">
        <v>43</v>
      </c>
      <c r="X765" t="s">
        <v>11034</v>
      </c>
      <c r="Y765" t="s">
        <v>44</v>
      </c>
      <c r="Z765" t="s">
        <v>44</v>
      </c>
      <c r="AA765" t="s">
        <v>10979</v>
      </c>
      <c r="AB765" t="s">
        <v>44</v>
      </c>
      <c r="AC765" s="4">
        <v>5.8006784400000004</v>
      </c>
      <c r="AD765" s="4">
        <v>5.6519431300000003</v>
      </c>
      <c r="AE765" s="2">
        <v>5.8</v>
      </c>
      <c r="AF765" s="4">
        <v>5.6519431300000003</v>
      </c>
      <c r="AG765" s="2">
        <v>0.11</v>
      </c>
      <c r="AH765" s="2">
        <v>607615.25</v>
      </c>
      <c r="AI765" s="2">
        <v>0</v>
      </c>
      <c r="AJ765" s="5">
        <v>44673</v>
      </c>
      <c r="AK765" t="s">
        <v>11912</v>
      </c>
      <c r="AL765" s="2">
        <v>5.72</v>
      </c>
      <c r="AM765" s="2">
        <v>5.65</v>
      </c>
      <c r="AN765" s="2">
        <v>-0.02</v>
      </c>
      <c r="AO765" t="s">
        <v>11048</v>
      </c>
      <c r="AP765" t="s">
        <v>11554</v>
      </c>
      <c r="AQ765" t="s">
        <v>11553</v>
      </c>
    </row>
    <row r="766" spans="1:43" x14ac:dyDescent="0.2">
      <c r="A766" t="s">
        <v>11911</v>
      </c>
      <c r="B766" t="s">
        <v>10900</v>
      </c>
      <c r="C766" t="s">
        <v>10943</v>
      </c>
      <c r="D766" t="s">
        <v>11555</v>
      </c>
      <c r="E766" t="s">
        <v>11556</v>
      </c>
      <c r="F766" t="s">
        <v>11555</v>
      </c>
      <c r="G766" s="1">
        <v>6000000</v>
      </c>
      <c r="H766" s="2">
        <v>6000000</v>
      </c>
      <c r="I766" s="2">
        <v>5885214</v>
      </c>
      <c r="J766" s="2">
        <v>123813.7</v>
      </c>
      <c r="K766" s="2">
        <v>0</v>
      </c>
      <c r="L766" s="2">
        <v>6009027.7000000002</v>
      </c>
      <c r="M766" s="3">
        <v>9.9250000000000007</v>
      </c>
      <c r="N766" s="4">
        <v>1.367118E-2</v>
      </c>
      <c r="O766" s="5">
        <v>44775</v>
      </c>
      <c r="P766" s="5">
        <v>46420</v>
      </c>
      <c r="Q766" s="1">
        <v>9.4149999999999991</v>
      </c>
      <c r="R766" s="2">
        <v>3.86</v>
      </c>
      <c r="S766" s="6">
        <v>3.6810259830000001</v>
      </c>
      <c r="T766" t="s">
        <v>111</v>
      </c>
      <c r="U766" t="s">
        <v>111</v>
      </c>
      <c r="V766" t="s">
        <v>10944</v>
      </c>
      <c r="W766" t="s">
        <v>43</v>
      </c>
      <c r="X766" t="s">
        <v>44</v>
      </c>
      <c r="Y766" t="s">
        <v>44</v>
      </c>
      <c r="Z766" t="s">
        <v>44</v>
      </c>
      <c r="AA766" t="s">
        <v>10979</v>
      </c>
      <c r="AB766" t="s">
        <v>44</v>
      </c>
      <c r="AC766" s="4">
        <v>10.17126406</v>
      </c>
      <c r="AD766" s="4">
        <v>9.72579277</v>
      </c>
      <c r="AE766" s="2">
        <v>10.17</v>
      </c>
      <c r="AF766" s="4">
        <v>9.72579277</v>
      </c>
      <c r="AG766" s="2">
        <v>1.08</v>
      </c>
      <c r="AH766" s="2">
        <v>6009027.7000000002</v>
      </c>
      <c r="AI766" s="2">
        <v>0.01</v>
      </c>
      <c r="AJ766" s="5">
        <v>44673</v>
      </c>
      <c r="AK766" t="s">
        <v>11912</v>
      </c>
      <c r="AL766" s="2">
        <v>9.93</v>
      </c>
      <c r="AM766" s="2">
        <v>9.41</v>
      </c>
      <c r="AN766" s="2">
        <v>3.68</v>
      </c>
      <c r="AO766" t="s">
        <v>11048</v>
      </c>
      <c r="AP766" t="s">
        <v>11557</v>
      </c>
      <c r="AQ766" t="s">
        <v>11556</v>
      </c>
    </row>
    <row r="767" spans="1:43" x14ac:dyDescent="0.2">
      <c r="A767" t="s">
        <v>11911</v>
      </c>
      <c r="B767" t="s">
        <v>10900</v>
      </c>
      <c r="C767" t="s">
        <v>10943</v>
      </c>
      <c r="D767" t="s">
        <v>11846</v>
      </c>
      <c r="E767" t="s">
        <v>11847</v>
      </c>
      <c r="F767" t="s">
        <v>11846</v>
      </c>
      <c r="G767" s="1">
        <v>623000</v>
      </c>
      <c r="H767" s="2">
        <v>652178.4</v>
      </c>
      <c r="I767" s="2">
        <v>654336.71</v>
      </c>
      <c r="J767" s="2">
        <v>24523.84</v>
      </c>
      <c r="K767" s="2">
        <v>0</v>
      </c>
      <c r="L767" s="2">
        <v>678860.55</v>
      </c>
      <c r="M767" s="3">
        <v>8.7050000000000001</v>
      </c>
      <c r="N767" s="4">
        <v>1.54448E-3</v>
      </c>
      <c r="O767" s="5">
        <v>44715</v>
      </c>
      <c r="P767" s="5">
        <v>46176</v>
      </c>
      <c r="Q767" s="1">
        <v>10.19</v>
      </c>
      <c r="R767" s="2">
        <v>3.35</v>
      </c>
      <c r="S767" s="6">
        <v>3.210117125</v>
      </c>
      <c r="T767" t="s">
        <v>111</v>
      </c>
      <c r="U767" t="s">
        <v>111</v>
      </c>
      <c r="V767" t="s">
        <v>10944</v>
      </c>
      <c r="W767" t="s">
        <v>43</v>
      </c>
      <c r="X767" t="s">
        <v>44</v>
      </c>
      <c r="Y767" t="s">
        <v>44</v>
      </c>
      <c r="Z767" t="s">
        <v>44</v>
      </c>
      <c r="AA767" t="s">
        <v>10979</v>
      </c>
      <c r="AB767" t="s">
        <v>44</v>
      </c>
      <c r="AC767" s="4">
        <v>8.8944425599999999</v>
      </c>
      <c r="AD767" s="4">
        <v>8.5512049999999995</v>
      </c>
      <c r="AE767" s="2">
        <v>8.89</v>
      </c>
      <c r="AF767" s="4">
        <v>8.5512049999999995</v>
      </c>
      <c r="AG767" s="2">
        <v>0.12</v>
      </c>
      <c r="AH767" s="2">
        <v>678860.55</v>
      </c>
      <c r="AI767" s="2">
        <v>0</v>
      </c>
      <c r="AJ767" s="5">
        <v>44673</v>
      </c>
      <c r="AK767" t="s">
        <v>11912</v>
      </c>
      <c r="AL767" s="2">
        <v>8.7100000000000009</v>
      </c>
      <c r="AM767" s="2">
        <v>10.19</v>
      </c>
      <c r="AN767" s="2">
        <v>3.21</v>
      </c>
      <c r="AO767" t="s">
        <v>11054</v>
      </c>
      <c r="AP767" t="s">
        <v>11848</v>
      </c>
      <c r="AQ767" t="s">
        <v>11847</v>
      </c>
    </row>
    <row r="768" spans="1:43" x14ac:dyDescent="0.2">
      <c r="A768" t="s">
        <v>11911</v>
      </c>
      <c r="B768" t="s">
        <v>10900</v>
      </c>
      <c r="C768" t="s">
        <v>10943</v>
      </c>
      <c r="D768" t="s">
        <v>11849</v>
      </c>
      <c r="E768" t="s">
        <v>11850</v>
      </c>
      <c r="F768" t="s">
        <v>11849</v>
      </c>
      <c r="G768" s="1">
        <v>405000</v>
      </c>
      <c r="H768" s="2">
        <v>433495.99</v>
      </c>
      <c r="I768" s="2">
        <v>421842.94</v>
      </c>
      <c r="J768" s="2">
        <v>2319.04</v>
      </c>
      <c r="K768" s="2">
        <v>0</v>
      </c>
      <c r="L768" s="2">
        <v>424161.98</v>
      </c>
      <c r="M768" s="3">
        <v>8.3550000000000004</v>
      </c>
      <c r="N768" s="4">
        <v>9.6500999999999998E-4</v>
      </c>
      <c r="O768" s="5">
        <v>44837</v>
      </c>
      <c r="P768" s="5">
        <v>46296</v>
      </c>
      <c r="Q768" s="1">
        <v>9.5</v>
      </c>
      <c r="R768" s="2">
        <v>3.72</v>
      </c>
      <c r="S768" s="6">
        <v>3.5673572199999999</v>
      </c>
      <c r="T768" t="s">
        <v>111</v>
      </c>
      <c r="U768" t="s">
        <v>111</v>
      </c>
      <c r="V768" t="s">
        <v>10944</v>
      </c>
      <c r="W768" t="s">
        <v>43</v>
      </c>
      <c r="X768" t="s">
        <v>10988</v>
      </c>
      <c r="Y768" t="s">
        <v>44</v>
      </c>
      <c r="Z768" t="s">
        <v>44</v>
      </c>
      <c r="AA768" t="s">
        <v>10979</v>
      </c>
      <c r="AB768" t="s">
        <v>44</v>
      </c>
      <c r="AC768" s="4">
        <v>8.5295150599999996</v>
      </c>
      <c r="AD768" s="4">
        <v>8.2131770100000008</v>
      </c>
      <c r="AE768" s="2">
        <v>8.5299999999999994</v>
      </c>
      <c r="AF768" s="4">
        <v>8.2131770100000008</v>
      </c>
      <c r="AG768" s="2">
        <v>0.08</v>
      </c>
      <c r="AH768" s="2">
        <v>424161.98</v>
      </c>
      <c r="AI768" s="2">
        <v>0</v>
      </c>
      <c r="AJ768" s="5">
        <v>44673</v>
      </c>
      <c r="AK768" t="s">
        <v>11912</v>
      </c>
      <c r="AL768" s="2">
        <v>8.35</v>
      </c>
      <c r="AM768" s="2">
        <v>9.5</v>
      </c>
      <c r="AN768" s="2">
        <v>3.57</v>
      </c>
      <c r="AO768" t="s">
        <v>11054</v>
      </c>
      <c r="AP768" t="s">
        <v>11851</v>
      </c>
      <c r="AQ768" t="s">
        <v>11850</v>
      </c>
    </row>
    <row r="769" spans="1:43" x14ac:dyDescent="0.2">
      <c r="A769" t="s">
        <v>11911</v>
      </c>
      <c r="B769" t="s">
        <v>10900</v>
      </c>
      <c r="C769" t="s">
        <v>10943</v>
      </c>
      <c r="D769" t="s">
        <v>11558</v>
      </c>
      <c r="E769" t="s">
        <v>11559</v>
      </c>
      <c r="F769" t="s">
        <v>11558</v>
      </c>
      <c r="G769" s="1">
        <v>4700000</v>
      </c>
      <c r="H769" s="2">
        <v>4700000</v>
      </c>
      <c r="I769" s="2">
        <v>4626695.51</v>
      </c>
      <c r="J769" s="2">
        <v>4200.38</v>
      </c>
      <c r="K769" s="2">
        <v>0</v>
      </c>
      <c r="L769" s="2">
        <v>4630895.8899999997</v>
      </c>
      <c r="M769" s="3">
        <v>8.625</v>
      </c>
      <c r="N769" s="4">
        <v>1.053579E-2</v>
      </c>
      <c r="O769" s="5">
        <v>44853</v>
      </c>
      <c r="P769" s="5">
        <v>46131</v>
      </c>
      <c r="Q769" s="1">
        <v>8.1549999999999994</v>
      </c>
      <c r="R769" s="2">
        <v>3.47</v>
      </c>
      <c r="S769" s="6">
        <v>3.327828963</v>
      </c>
      <c r="T769" t="s">
        <v>111</v>
      </c>
      <c r="U769" t="s">
        <v>111</v>
      </c>
      <c r="V769" t="s">
        <v>10944</v>
      </c>
      <c r="W769" t="s">
        <v>43</v>
      </c>
      <c r="X769" t="s">
        <v>44</v>
      </c>
      <c r="Y769" t="s">
        <v>44</v>
      </c>
      <c r="Z769" t="s">
        <v>44</v>
      </c>
      <c r="AA769" t="s">
        <v>10979</v>
      </c>
      <c r="AB769" t="s">
        <v>44</v>
      </c>
      <c r="AC769" s="4">
        <v>8.8109765600000003</v>
      </c>
      <c r="AD769" s="4">
        <v>8.4739831300000006</v>
      </c>
      <c r="AE769" s="2">
        <v>8.81</v>
      </c>
      <c r="AF769" s="4">
        <v>8.4739831300000006</v>
      </c>
      <c r="AG769" s="2">
        <v>0.83</v>
      </c>
      <c r="AH769" s="2">
        <v>4630895.8899999997</v>
      </c>
      <c r="AI769" s="2">
        <v>0.01</v>
      </c>
      <c r="AJ769" s="5">
        <v>44673</v>
      </c>
      <c r="AK769" t="s">
        <v>11912</v>
      </c>
      <c r="AL769" s="2">
        <v>8.6300000000000008</v>
      </c>
      <c r="AM769" s="2">
        <v>8.15</v>
      </c>
      <c r="AN769" s="2">
        <v>3.33</v>
      </c>
      <c r="AO769" t="s">
        <v>11054</v>
      </c>
      <c r="AP769" t="s">
        <v>11560</v>
      </c>
      <c r="AQ769" t="s">
        <v>11559</v>
      </c>
    </row>
    <row r="770" spans="1:43" x14ac:dyDescent="0.2">
      <c r="A770" t="s">
        <v>11911</v>
      </c>
      <c r="B770" t="s">
        <v>10900</v>
      </c>
      <c r="C770" t="s">
        <v>10943</v>
      </c>
      <c r="D770" t="s">
        <v>11569</v>
      </c>
      <c r="E770" t="s">
        <v>11570</v>
      </c>
      <c r="F770" t="s">
        <v>11569</v>
      </c>
      <c r="G770" s="1">
        <v>6400000</v>
      </c>
      <c r="H770" s="2">
        <v>6400000</v>
      </c>
      <c r="I770" s="2">
        <v>6434585.0899999999</v>
      </c>
      <c r="J770" s="2">
        <v>87633.71</v>
      </c>
      <c r="K770" s="2">
        <v>0</v>
      </c>
      <c r="L770" s="2">
        <v>6522218.7999999998</v>
      </c>
      <c r="M770" s="3">
        <v>8.5241640000000007</v>
      </c>
      <c r="N770" s="4">
        <v>1.483875E-2</v>
      </c>
      <c r="O770" s="5">
        <v>44705</v>
      </c>
      <c r="P770" s="5">
        <v>46166</v>
      </c>
      <c r="Q770" s="1">
        <v>8.6170000000000009</v>
      </c>
      <c r="R770" s="2">
        <v>0.08</v>
      </c>
      <c r="S770" s="6">
        <v>-9.3404076700000001E-3</v>
      </c>
      <c r="T770" t="s">
        <v>111</v>
      </c>
      <c r="U770" t="s">
        <v>111</v>
      </c>
      <c r="V770" t="s">
        <v>11189</v>
      </c>
      <c r="W770" t="s">
        <v>43</v>
      </c>
      <c r="X770" t="s">
        <v>11034</v>
      </c>
      <c r="Y770" t="s">
        <v>44</v>
      </c>
      <c r="Z770" t="s">
        <v>44</v>
      </c>
      <c r="AA770" t="s">
        <v>11035</v>
      </c>
      <c r="AB770" t="s">
        <v>44</v>
      </c>
      <c r="AC770" s="4">
        <v>8.7058170199999996</v>
      </c>
      <c r="AD770" s="4">
        <v>8.3766132899999999</v>
      </c>
      <c r="AE770" s="2">
        <v>8.7100000000000009</v>
      </c>
      <c r="AF770" s="4">
        <v>8.3766132899999999</v>
      </c>
      <c r="AG770" s="2">
        <v>1.17</v>
      </c>
      <c r="AH770" s="2">
        <v>6522218.7999999998</v>
      </c>
      <c r="AI770" s="2">
        <v>0.01</v>
      </c>
      <c r="AJ770" s="5">
        <v>44673</v>
      </c>
      <c r="AK770" t="s">
        <v>11912</v>
      </c>
      <c r="AL770" s="2">
        <v>8.52</v>
      </c>
      <c r="AM770" s="2">
        <v>8.6199999999999992</v>
      </c>
      <c r="AN770" s="2">
        <v>-0.01</v>
      </c>
      <c r="AO770" t="s">
        <v>11226</v>
      </c>
      <c r="AP770" t="s">
        <v>11571</v>
      </c>
      <c r="AQ770" t="s">
        <v>11570</v>
      </c>
    </row>
    <row r="771" spans="1:43" x14ac:dyDescent="0.2">
      <c r="A771" t="s">
        <v>11911</v>
      </c>
      <c r="B771" t="s">
        <v>10900</v>
      </c>
      <c r="C771" t="s">
        <v>10943</v>
      </c>
      <c r="D771" t="s">
        <v>11575</v>
      </c>
      <c r="E771" t="s">
        <v>11576</v>
      </c>
      <c r="F771" t="s">
        <v>11575</v>
      </c>
      <c r="G771" s="1">
        <v>3500000</v>
      </c>
      <c r="H771" s="2">
        <v>3500000</v>
      </c>
      <c r="I771" s="2">
        <v>3412165.4</v>
      </c>
      <c r="J771" s="2">
        <v>65027.12</v>
      </c>
      <c r="K771" s="2">
        <v>0</v>
      </c>
      <c r="L771" s="2">
        <v>3477192.52</v>
      </c>
      <c r="M771" s="3">
        <v>9.07</v>
      </c>
      <c r="N771" s="4">
        <v>7.9109899999999997E-3</v>
      </c>
      <c r="O771" s="5">
        <v>44771</v>
      </c>
      <c r="P771" s="5">
        <v>46051</v>
      </c>
      <c r="Q771" s="1">
        <v>8.27</v>
      </c>
      <c r="R771" s="2">
        <v>3.24</v>
      </c>
      <c r="S771" s="6">
        <v>3.0998465770000001</v>
      </c>
      <c r="T771" t="s">
        <v>111</v>
      </c>
      <c r="U771" t="s">
        <v>111</v>
      </c>
      <c r="V771" t="s">
        <v>10944</v>
      </c>
      <c r="W771" t="s">
        <v>43</v>
      </c>
      <c r="X771" t="s">
        <v>44</v>
      </c>
      <c r="Y771" t="s">
        <v>44</v>
      </c>
      <c r="Z771" t="s">
        <v>44</v>
      </c>
      <c r="AA771" t="s">
        <v>11035</v>
      </c>
      <c r="AB771" t="s">
        <v>44</v>
      </c>
      <c r="AC771" s="4">
        <v>9.2756622499999999</v>
      </c>
      <c r="AD771" s="4">
        <v>8.9032170799999992</v>
      </c>
      <c r="AE771" s="2">
        <v>9.2799999999999994</v>
      </c>
      <c r="AF771" s="4">
        <v>8.9032170799999992</v>
      </c>
      <c r="AG771" s="2">
        <v>0.63</v>
      </c>
      <c r="AH771" s="2">
        <v>3477192.52</v>
      </c>
      <c r="AI771" s="2">
        <v>0.01</v>
      </c>
      <c r="AJ771" s="5">
        <v>44673</v>
      </c>
      <c r="AK771" t="s">
        <v>11912</v>
      </c>
      <c r="AL771" s="2">
        <v>9.07</v>
      </c>
      <c r="AM771" s="2">
        <v>8.27</v>
      </c>
      <c r="AN771" s="2">
        <v>3.1</v>
      </c>
      <c r="AO771" t="s">
        <v>11437</v>
      </c>
      <c r="AP771" t="s">
        <v>11577</v>
      </c>
      <c r="AQ771" t="s">
        <v>11576</v>
      </c>
    </row>
    <row r="772" spans="1:43" x14ac:dyDescent="0.2">
      <c r="A772" t="s">
        <v>11911</v>
      </c>
      <c r="B772" t="s">
        <v>10900</v>
      </c>
      <c r="C772" t="s">
        <v>10943</v>
      </c>
      <c r="D772" t="s">
        <v>11578</v>
      </c>
      <c r="E772" t="s">
        <v>11579</v>
      </c>
      <c r="F772" t="s">
        <v>11578</v>
      </c>
      <c r="G772" s="1">
        <v>1800000</v>
      </c>
      <c r="H772" s="2">
        <v>1800000</v>
      </c>
      <c r="I772" s="2">
        <v>1680304.68</v>
      </c>
      <c r="J772" s="2">
        <v>14981.5</v>
      </c>
      <c r="K772" s="2">
        <v>0</v>
      </c>
      <c r="L772" s="2">
        <v>1695286.18</v>
      </c>
      <c r="M772" s="3">
        <v>9.375</v>
      </c>
      <c r="N772" s="4">
        <v>3.85696E-3</v>
      </c>
      <c r="O772" s="5">
        <v>44819</v>
      </c>
      <c r="P772" s="5">
        <v>46827</v>
      </c>
      <c r="Q772" s="1">
        <v>7.8849999999999998</v>
      </c>
      <c r="R772" s="2">
        <v>4.74</v>
      </c>
      <c r="S772" s="6">
        <v>4.5243735450000004</v>
      </c>
      <c r="T772" t="s">
        <v>111</v>
      </c>
      <c r="U772" t="s">
        <v>111</v>
      </c>
      <c r="V772" t="s">
        <v>10944</v>
      </c>
      <c r="W772" t="s">
        <v>43</v>
      </c>
      <c r="X772" t="s">
        <v>44</v>
      </c>
      <c r="Y772" t="s">
        <v>44</v>
      </c>
      <c r="Z772" t="s">
        <v>44</v>
      </c>
      <c r="AA772" t="s">
        <v>11441</v>
      </c>
      <c r="AB772" t="s">
        <v>44</v>
      </c>
      <c r="AC772" s="4">
        <v>9.5947265599999998</v>
      </c>
      <c r="AD772" s="4">
        <v>9.1969716100000003</v>
      </c>
      <c r="AE772" s="2">
        <v>9.59</v>
      </c>
      <c r="AF772" s="4">
        <v>9.1969716100000003</v>
      </c>
      <c r="AG772" s="2">
        <v>0.31</v>
      </c>
      <c r="AH772" s="2">
        <v>1695286.18</v>
      </c>
      <c r="AI772" s="2">
        <v>0</v>
      </c>
      <c r="AJ772" s="5">
        <v>44673</v>
      </c>
      <c r="AK772" t="s">
        <v>11912</v>
      </c>
      <c r="AL772" s="2">
        <v>9.3800000000000008</v>
      </c>
      <c r="AM772" s="2">
        <v>7.88</v>
      </c>
      <c r="AN772" s="2">
        <v>4.5199999999999996</v>
      </c>
      <c r="AO772" t="s">
        <v>11580</v>
      </c>
      <c r="AP772" t="s">
        <v>11581</v>
      </c>
      <c r="AQ772" t="s">
        <v>11579</v>
      </c>
    </row>
    <row r="773" spans="1:43" x14ac:dyDescent="0.2">
      <c r="A773" t="s">
        <v>11911</v>
      </c>
      <c r="B773" t="s">
        <v>10900</v>
      </c>
      <c r="C773" t="s">
        <v>10943</v>
      </c>
      <c r="D773" t="s">
        <v>11919</v>
      </c>
      <c r="E773" t="s">
        <v>11920</v>
      </c>
      <c r="F773" t="s">
        <v>11919</v>
      </c>
      <c r="G773" s="1">
        <v>4200000</v>
      </c>
      <c r="H773" s="2">
        <v>4200000</v>
      </c>
      <c r="I773" s="2">
        <v>4422649.62</v>
      </c>
      <c r="J773" s="2">
        <v>17964.84</v>
      </c>
      <c r="K773" s="2">
        <v>0</v>
      </c>
      <c r="L773" s="2">
        <v>4440614.46</v>
      </c>
      <c r="M773" s="3">
        <v>6.2178870000000002</v>
      </c>
      <c r="N773" s="4">
        <v>1.010288E-2</v>
      </c>
      <c r="O773" s="5">
        <v>44746</v>
      </c>
      <c r="P773" s="5">
        <v>45840</v>
      </c>
      <c r="Q773" s="1">
        <v>8.2170000000000005</v>
      </c>
      <c r="R773" s="2">
        <v>0.19</v>
      </c>
      <c r="S773" s="6">
        <v>0.21403134549399999</v>
      </c>
      <c r="T773" t="s">
        <v>111</v>
      </c>
      <c r="U773" t="s">
        <v>111</v>
      </c>
      <c r="V773" t="s">
        <v>11189</v>
      </c>
      <c r="W773" t="s">
        <v>43</v>
      </c>
      <c r="X773" t="s">
        <v>11034</v>
      </c>
      <c r="Y773" t="s">
        <v>44</v>
      </c>
      <c r="Z773" t="s">
        <v>44</v>
      </c>
      <c r="AA773" t="s">
        <v>11035</v>
      </c>
      <c r="AB773" t="s">
        <v>44</v>
      </c>
      <c r="AC773" s="4">
        <v>6.3145418700000002</v>
      </c>
      <c r="AD773" s="4">
        <v>6.1388379000000004</v>
      </c>
      <c r="AE773" s="2">
        <v>6.31</v>
      </c>
      <c r="AF773" s="4">
        <v>6.1388379000000004</v>
      </c>
      <c r="AG773" s="2">
        <v>0.8</v>
      </c>
      <c r="AH773" s="2">
        <v>4440614.46</v>
      </c>
      <c r="AI773" s="2">
        <v>0.01</v>
      </c>
      <c r="AJ773" s="5">
        <v>44673</v>
      </c>
      <c r="AK773" t="s">
        <v>11912</v>
      </c>
      <c r="AL773" s="2">
        <v>6.22</v>
      </c>
      <c r="AM773" s="2">
        <v>8.2200000000000006</v>
      </c>
      <c r="AN773" s="2">
        <v>0.21</v>
      </c>
      <c r="AO773" t="s">
        <v>11036</v>
      </c>
      <c r="AP773" t="s">
        <v>11921</v>
      </c>
      <c r="AQ773" t="s">
        <v>11920</v>
      </c>
    </row>
    <row r="774" spans="1:43" x14ac:dyDescent="0.2">
      <c r="A774" t="s">
        <v>11911</v>
      </c>
      <c r="B774" t="s">
        <v>10900</v>
      </c>
      <c r="C774" t="s">
        <v>10943</v>
      </c>
      <c r="D774" t="s">
        <v>11585</v>
      </c>
      <c r="E774" t="s">
        <v>11586</v>
      </c>
      <c r="F774" t="s">
        <v>11585</v>
      </c>
      <c r="G774" s="1">
        <v>9100000</v>
      </c>
      <c r="H774" s="2">
        <v>9100000</v>
      </c>
      <c r="I774" s="2">
        <v>9473299.6500000004</v>
      </c>
      <c r="J774" s="2">
        <v>102298.96</v>
      </c>
      <c r="K774" s="2">
        <v>0</v>
      </c>
      <c r="L774" s="2">
        <v>9575598.6099999994</v>
      </c>
      <c r="M774" s="3">
        <v>7.7660200000000001</v>
      </c>
      <c r="N774" s="4">
        <v>2.1785519999999999E-2</v>
      </c>
      <c r="O774" s="5">
        <v>44720</v>
      </c>
      <c r="P774" s="5">
        <v>46273</v>
      </c>
      <c r="Q774" s="1">
        <v>8.92</v>
      </c>
      <c r="R774" s="2">
        <v>0.12</v>
      </c>
      <c r="S774" s="6">
        <v>0.10556959685300001</v>
      </c>
      <c r="T774" t="s">
        <v>111</v>
      </c>
      <c r="U774" t="s">
        <v>111</v>
      </c>
      <c r="V774" t="s">
        <v>11189</v>
      </c>
      <c r="W774" t="s">
        <v>43</v>
      </c>
      <c r="X774" t="s">
        <v>11034</v>
      </c>
      <c r="Y774" t="s">
        <v>44</v>
      </c>
      <c r="Z774" t="s">
        <v>44</v>
      </c>
      <c r="AA774" t="s">
        <v>11035</v>
      </c>
      <c r="AB774" t="s">
        <v>44</v>
      </c>
      <c r="AC774" s="4">
        <v>7.9167972899999999</v>
      </c>
      <c r="AD774" s="4">
        <v>7.6432735200000002</v>
      </c>
      <c r="AE774" s="2">
        <v>7.92</v>
      </c>
      <c r="AF774" s="4">
        <v>7.6432735200000002</v>
      </c>
      <c r="AG774" s="2">
        <v>1.72</v>
      </c>
      <c r="AH774" s="2">
        <v>9575598.6099999994</v>
      </c>
      <c r="AI774" s="2">
        <v>0.02</v>
      </c>
      <c r="AJ774" s="5">
        <v>44673</v>
      </c>
      <c r="AK774" t="s">
        <v>11912</v>
      </c>
      <c r="AL774" s="2">
        <v>7.77</v>
      </c>
      <c r="AM774" s="2">
        <v>8.92</v>
      </c>
      <c r="AN774" s="2">
        <v>0.11</v>
      </c>
      <c r="AO774" t="s">
        <v>11036</v>
      </c>
      <c r="AP774" t="s">
        <v>11587</v>
      </c>
      <c r="AQ774" t="s">
        <v>11586</v>
      </c>
    </row>
    <row r="775" spans="1:43" x14ac:dyDescent="0.2">
      <c r="A775" t="s">
        <v>11911</v>
      </c>
      <c r="B775" t="s">
        <v>10900</v>
      </c>
      <c r="C775" t="s">
        <v>10943</v>
      </c>
      <c r="D775" t="s">
        <v>11135</v>
      </c>
      <c r="E775" t="s">
        <v>10946</v>
      </c>
      <c r="F775" t="s">
        <v>11135</v>
      </c>
      <c r="G775" s="1">
        <v>60720000</v>
      </c>
      <c r="H775" s="2">
        <v>67678241.420000002</v>
      </c>
      <c r="I775" s="2">
        <v>65967999.240000002</v>
      </c>
      <c r="J775" s="2">
        <v>2148489.86</v>
      </c>
      <c r="K775" s="2">
        <v>0</v>
      </c>
      <c r="L775" s="2">
        <v>68116489.099999994</v>
      </c>
      <c r="M775" s="3">
        <v>8.2249999999999996</v>
      </c>
      <c r="N775" s="4">
        <v>0.15497235000000001</v>
      </c>
      <c r="O775" s="5">
        <v>44733</v>
      </c>
      <c r="P775" s="5">
        <v>46377</v>
      </c>
      <c r="Q775" s="1">
        <v>10.5</v>
      </c>
      <c r="R775" s="2">
        <v>3.72</v>
      </c>
      <c r="S775" s="6">
        <v>3.572672968</v>
      </c>
      <c r="T775" t="s">
        <v>111</v>
      </c>
      <c r="U775" t="s">
        <v>111</v>
      </c>
      <c r="V775" t="s">
        <v>10944</v>
      </c>
      <c r="W775" t="s">
        <v>43</v>
      </c>
      <c r="X775" t="s">
        <v>10945</v>
      </c>
      <c r="Y775" t="s">
        <v>44</v>
      </c>
      <c r="Z775" t="s">
        <v>44</v>
      </c>
      <c r="AA775" t="s">
        <v>10913</v>
      </c>
      <c r="AB775" t="s">
        <v>44</v>
      </c>
      <c r="AC775" s="4">
        <v>8.3941265600000001</v>
      </c>
      <c r="AD775" s="4">
        <v>8.0875032299999994</v>
      </c>
      <c r="AE775" s="2">
        <v>8.39</v>
      </c>
      <c r="AF775" s="4">
        <v>8.0875032299999994</v>
      </c>
      <c r="AG775" s="2">
        <v>12.26</v>
      </c>
      <c r="AH775" s="2">
        <v>68116489.099999994</v>
      </c>
      <c r="AI775" s="2">
        <v>0.15</v>
      </c>
      <c r="AJ775" s="5">
        <v>44673</v>
      </c>
      <c r="AK775" t="s">
        <v>11912</v>
      </c>
      <c r="AL775" s="2">
        <v>8.23</v>
      </c>
      <c r="AM775" s="2">
        <v>10.5</v>
      </c>
      <c r="AN775" s="2">
        <v>3.57</v>
      </c>
      <c r="AO775" t="s">
        <v>10922</v>
      </c>
      <c r="AP775" t="s">
        <v>11136</v>
      </c>
      <c r="AQ775" t="s">
        <v>10946</v>
      </c>
    </row>
    <row r="776" spans="1:43" x14ac:dyDescent="0.2">
      <c r="A776" t="s">
        <v>11911</v>
      </c>
      <c r="B776" t="s">
        <v>10900</v>
      </c>
      <c r="C776" t="s">
        <v>10943</v>
      </c>
      <c r="D776" t="s">
        <v>12863</v>
      </c>
      <c r="E776" t="s">
        <v>12864</v>
      </c>
      <c r="F776" t="s">
        <v>12863</v>
      </c>
      <c r="G776" s="1">
        <v>3300000</v>
      </c>
      <c r="H776" s="2">
        <v>3300000</v>
      </c>
      <c r="I776" s="2">
        <v>3303748.46</v>
      </c>
      <c r="J776" s="2">
        <v>11799.72</v>
      </c>
      <c r="K776" s="2">
        <v>0</v>
      </c>
      <c r="L776" s="2">
        <v>3315548.18</v>
      </c>
      <c r="M776" s="3">
        <v>8.0409749999999995</v>
      </c>
      <c r="N776" s="4">
        <v>7.5432299999999997E-3</v>
      </c>
      <c r="O776" s="5">
        <v>44750</v>
      </c>
      <c r="P776" s="5">
        <v>46485</v>
      </c>
      <c r="Q776" s="1">
        <v>8.157</v>
      </c>
      <c r="R776" s="2">
        <v>0.2</v>
      </c>
      <c r="S776" s="6">
        <v>9.4975697833E-2</v>
      </c>
      <c r="T776" t="s">
        <v>111</v>
      </c>
      <c r="U776" t="s">
        <v>111</v>
      </c>
      <c r="V776" t="s">
        <v>11189</v>
      </c>
      <c r="W776" t="s">
        <v>43</v>
      </c>
      <c r="X776" t="s">
        <v>11034</v>
      </c>
      <c r="Y776" t="s">
        <v>44</v>
      </c>
      <c r="Z776" t="s">
        <v>44</v>
      </c>
      <c r="AA776" t="s">
        <v>11035</v>
      </c>
      <c r="AB776" t="s">
        <v>44</v>
      </c>
      <c r="AC776" s="4">
        <v>8.2026182599999995</v>
      </c>
      <c r="AD776" s="4">
        <v>7.9094905600000001</v>
      </c>
      <c r="AE776" s="2">
        <v>8.1999999999999993</v>
      </c>
      <c r="AF776" s="4">
        <v>7.9094905600000001</v>
      </c>
      <c r="AG776" s="2">
        <v>0.6</v>
      </c>
      <c r="AH776" s="2">
        <v>3315548.18</v>
      </c>
      <c r="AI776" s="2">
        <v>0.01</v>
      </c>
      <c r="AJ776" s="5">
        <v>44673</v>
      </c>
      <c r="AK776" t="s">
        <v>11912</v>
      </c>
      <c r="AL776" s="2">
        <v>8.0399999999999991</v>
      </c>
      <c r="AM776" s="2">
        <v>8.16</v>
      </c>
      <c r="AN776" s="2">
        <v>0.09</v>
      </c>
      <c r="AO776" t="s">
        <v>11496</v>
      </c>
      <c r="AP776" t="s">
        <v>12865</v>
      </c>
      <c r="AQ776" t="s">
        <v>12864</v>
      </c>
    </row>
    <row r="777" spans="1:43" x14ac:dyDescent="0.2">
      <c r="A777" t="s">
        <v>11911</v>
      </c>
      <c r="B777" t="s">
        <v>10900</v>
      </c>
      <c r="C777" t="s">
        <v>10943</v>
      </c>
      <c r="D777" t="s">
        <v>11852</v>
      </c>
      <c r="E777" t="s">
        <v>11853</v>
      </c>
      <c r="F777" t="s">
        <v>11852</v>
      </c>
      <c r="G777" s="1">
        <v>6128000</v>
      </c>
      <c r="H777" s="2">
        <v>6237842.5899999999</v>
      </c>
      <c r="I777" s="2">
        <v>6483334.5499999998</v>
      </c>
      <c r="J777" s="2">
        <v>39476.410000000003</v>
      </c>
      <c r="K777" s="2">
        <v>0</v>
      </c>
      <c r="L777" s="2">
        <v>6522810.96</v>
      </c>
      <c r="M777" s="3">
        <v>5.9243709999999998</v>
      </c>
      <c r="N777" s="4">
        <v>1.48401E-2</v>
      </c>
      <c r="O777" s="5">
        <v>44739</v>
      </c>
      <c r="P777" s="5">
        <v>45833</v>
      </c>
      <c r="Q777" s="1">
        <v>8.1080000000000005</v>
      </c>
      <c r="R777" s="2">
        <v>0.17</v>
      </c>
      <c r="S777" s="6">
        <v>0.20785827684899999</v>
      </c>
      <c r="T777" t="s">
        <v>111</v>
      </c>
      <c r="U777" t="s">
        <v>111</v>
      </c>
      <c r="V777" t="s">
        <v>11189</v>
      </c>
      <c r="W777" t="s">
        <v>43</v>
      </c>
      <c r="X777" t="s">
        <v>11034</v>
      </c>
      <c r="Y777" t="s">
        <v>44</v>
      </c>
      <c r="Z777" t="s">
        <v>44</v>
      </c>
      <c r="AA777" t="s">
        <v>10979</v>
      </c>
      <c r="AB777" t="s">
        <v>44</v>
      </c>
      <c r="AC777" s="4">
        <v>6.0121162500000001</v>
      </c>
      <c r="AD777" s="4">
        <v>5.8525461400000003</v>
      </c>
      <c r="AE777" s="2">
        <v>6.01</v>
      </c>
      <c r="AF777" s="4">
        <v>5.8525461400000003</v>
      </c>
      <c r="AG777" s="2">
        <v>1.17</v>
      </c>
      <c r="AH777" s="2">
        <v>6522810.96</v>
      </c>
      <c r="AI777" s="2">
        <v>0.01</v>
      </c>
      <c r="AJ777" s="5">
        <v>44673</v>
      </c>
      <c r="AK777" t="s">
        <v>11912</v>
      </c>
      <c r="AL777" s="2">
        <v>5.92</v>
      </c>
      <c r="AM777" s="2">
        <v>8.11</v>
      </c>
      <c r="AN777" s="2">
        <v>0.21</v>
      </c>
      <c r="AO777" t="s">
        <v>11179</v>
      </c>
      <c r="AP777" t="s">
        <v>11854</v>
      </c>
      <c r="AQ777" t="s">
        <v>11853</v>
      </c>
    </row>
    <row r="778" spans="1:43" x14ac:dyDescent="0.2">
      <c r="A778" t="s">
        <v>11911</v>
      </c>
      <c r="B778" t="s">
        <v>10900</v>
      </c>
      <c r="C778" t="s">
        <v>10943</v>
      </c>
      <c r="D778" t="s">
        <v>11858</v>
      </c>
      <c r="E778" t="s">
        <v>11859</v>
      </c>
      <c r="F778" t="s">
        <v>11858</v>
      </c>
      <c r="G778" s="1">
        <v>600000</v>
      </c>
      <c r="H778" s="2">
        <v>600000</v>
      </c>
      <c r="I778" s="2">
        <v>585439.31999999995</v>
      </c>
      <c r="J778" s="2">
        <v>12480.66</v>
      </c>
      <c r="K778" s="2">
        <v>0</v>
      </c>
      <c r="L778" s="2">
        <v>597919.98</v>
      </c>
      <c r="M778" s="3">
        <v>10.77</v>
      </c>
      <c r="N778" s="4">
        <v>1.3603300000000001E-3</v>
      </c>
      <c r="O778" s="5">
        <v>44780</v>
      </c>
      <c r="P778" s="5">
        <v>47156</v>
      </c>
      <c r="Q778" s="1">
        <v>10.26</v>
      </c>
      <c r="R778" s="2">
        <v>4.92</v>
      </c>
      <c r="S778" s="6">
        <v>4.6700968569999999</v>
      </c>
      <c r="T778" t="s">
        <v>111</v>
      </c>
      <c r="U778" t="s">
        <v>111</v>
      </c>
      <c r="V778" t="s">
        <v>10944</v>
      </c>
      <c r="W778" t="s">
        <v>43</v>
      </c>
      <c r="X778" t="s">
        <v>44</v>
      </c>
      <c r="Y778" t="s">
        <v>44</v>
      </c>
      <c r="Z778" t="s">
        <v>44</v>
      </c>
      <c r="AA778" t="s">
        <v>10979</v>
      </c>
      <c r="AB778" t="s">
        <v>44</v>
      </c>
      <c r="AC778" s="4">
        <v>11.059982249999999</v>
      </c>
      <c r="AD778" s="4">
        <v>10.536009160000001</v>
      </c>
      <c r="AE778" s="2">
        <v>11.06</v>
      </c>
      <c r="AF778" s="4">
        <v>10.536009160000001</v>
      </c>
      <c r="AG778" s="2">
        <v>0.11</v>
      </c>
      <c r="AH778" s="2">
        <v>597919.98</v>
      </c>
      <c r="AI778" s="2">
        <v>0</v>
      </c>
      <c r="AJ778" s="5">
        <v>44673</v>
      </c>
      <c r="AK778" t="s">
        <v>11912</v>
      </c>
      <c r="AL778" s="2">
        <v>10.77</v>
      </c>
      <c r="AM778" s="2">
        <v>10.26</v>
      </c>
      <c r="AN778" s="2">
        <v>4.67</v>
      </c>
      <c r="AO778" t="s">
        <v>10982</v>
      </c>
      <c r="AP778" t="s">
        <v>11860</v>
      </c>
      <c r="AQ778" t="s">
        <v>11859</v>
      </c>
    </row>
    <row r="779" spans="1:43" x14ac:dyDescent="0.2">
      <c r="A779" t="s">
        <v>11911</v>
      </c>
      <c r="B779" t="s">
        <v>10900</v>
      </c>
      <c r="C779" t="s">
        <v>11137</v>
      </c>
      <c r="D779" t="s">
        <v>11594</v>
      </c>
      <c r="E779" t="s">
        <v>11595</v>
      </c>
      <c r="F779" t="s">
        <v>11594</v>
      </c>
      <c r="G779" s="1">
        <v>45464000</v>
      </c>
      <c r="H779" s="2">
        <v>42930208.060000002</v>
      </c>
      <c r="I779" s="2">
        <v>40989915.039999999</v>
      </c>
      <c r="J779" s="2">
        <v>817106.4</v>
      </c>
      <c r="K779" s="2">
        <v>0</v>
      </c>
      <c r="L779" s="2">
        <v>41807021.439999998</v>
      </c>
      <c r="M779" s="3">
        <v>9.84</v>
      </c>
      <c r="N779" s="4">
        <v>9.5115469999999994E-2</v>
      </c>
      <c r="O779" s="5">
        <v>44774</v>
      </c>
      <c r="P779" s="5">
        <v>47514</v>
      </c>
      <c r="Q779" s="1">
        <v>8</v>
      </c>
      <c r="R779" s="2">
        <v>5.71</v>
      </c>
      <c r="S779" s="6">
        <v>5.4383328750000004</v>
      </c>
      <c r="T779" t="s">
        <v>111</v>
      </c>
      <c r="U779" t="s">
        <v>111</v>
      </c>
      <c r="V779" t="s">
        <v>10944</v>
      </c>
      <c r="W779" t="s">
        <v>43</v>
      </c>
      <c r="X779" t="s">
        <v>10945</v>
      </c>
      <c r="Y779" t="s">
        <v>44</v>
      </c>
      <c r="Z779" t="s">
        <v>44</v>
      </c>
      <c r="AA779" t="s">
        <v>10913</v>
      </c>
      <c r="AB779" t="s">
        <v>44</v>
      </c>
      <c r="AC779" s="4">
        <v>10.082064000000001</v>
      </c>
      <c r="AD779" s="4">
        <v>9.6441413499999999</v>
      </c>
      <c r="AE779" s="2">
        <v>10.08</v>
      </c>
      <c r="AF779" s="4">
        <v>9.6441413499999999</v>
      </c>
      <c r="AG779" s="2">
        <v>7.52</v>
      </c>
      <c r="AH779" s="2">
        <v>41807021.439999998</v>
      </c>
      <c r="AI779" s="2">
        <v>0.1</v>
      </c>
      <c r="AJ779" s="5">
        <v>44673</v>
      </c>
      <c r="AK779" t="s">
        <v>11912</v>
      </c>
      <c r="AL779" s="2">
        <v>9.84</v>
      </c>
      <c r="AM779" s="2">
        <v>8</v>
      </c>
      <c r="AN779" s="2">
        <v>5.44</v>
      </c>
      <c r="AO779" t="s">
        <v>10922</v>
      </c>
      <c r="AP779" t="s">
        <v>11596</v>
      </c>
      <c r="AQ779" t="s">
        <v>11595</v>
      </c>
    </row>
    <row r="780" spans="1:43" x14ac:dyDescent="0.2">
      <c r="A780" t="s">
        <v>11911</v>
      </c>
      <c r="B780" t="s">
        <v>10900</v>
      </c>
      <c r="C780" t="s">
        <v>10950</v>
      </c>
      <c r="D780" t="s">
        <v>10983</v>
      </c>
      <c r="E780" t="s">
        <v>10984</v>
      </c>
      <c r="F780" t="s">
        <v>10983</v>
      </c>
      <c r="G780" s="1">
        <v>438000</v>
      </c>
      <c r="H780" s="2">
        <v>377612.91</v>
      </c>
      <c r="I780" s="2">
        <v>366226.04</v>
      </c>
      <c r="J780" s="2">
        <v>8364.01</v>
      </c>
      <c r="K780" s="2">
        <v>0</v>
      </c>
      <c r="L780" s="2">
        <v>374590.05</v>
      </c>
      <c r="M780" s="3">
        <v>10.734999999999999</v>
      </c>
      <c r="N780" s="4">
        <v>8.5223000000000004E-4</v>
      </c>
      <c r="O780" s="5">
        <v>44774</v>
      </c>
      <c r="P780" s="5">
        <v>50071</v>
      </c>
      <c r="Q780" s="1">
        <v>8.5</v>
      </c>
      <c r="R780" s="2">
        <v>7.91</v>
      </c>
      <c r="S780" s="6">
        <v>7.5106016819999999</v>
      </c>
      <c r="T780" t="s">
        <v>111</v>
      </c>
      <c r="U780" t="s">
        <v>111</v>
      </c>
      <c r="V780" t="s">
        <v>10944</v>
      </c>
      <c r="W780" t="s">
        <v>43</v>
      </c>
      <c r="X780" t="s">
        <v>10945</v>
      </c>
      <c r="Y780" t="s">
        <v>44</v>
      </c>
      <c r="Z780" t="s">
        <v>44</v>
      </c>
      <c r="AA780" t="s">
        <v>10913</v>
      </c>
      <c r="AB780" t="s">
        <v>44</v>
      </c>
      <c r="AC780" s="4">
        <v>11.02310056</v>
      </c>
      <c r="AD780" s="4">
        <v>10.50250368</v>
      </c>
      <c r="AE780" s="2">
        <v>11.02</v>
      </c>
      <c r="AF780" s="4">
        <v>10.50250368</v>
      </c>
      <c r="AG780" s="2">
        <v>7.0000000000000007E-2</v>
      </c>
      <c r="AH780" s="2">
        <v>374590.05</v>
      </c>
      <c r="AI780" s="2">
        <v>0</v>
      </c>
      <c r="AJ780" s="5">
        <v>44673</v>
      </c>
      <c r="AK780" t="s">
        <v>11912</v>
      </c>
      <c r="AL780" s="2">
        <v>10.73</v>
      </c>
      <c r="AM780" s="2">
        <v>8.5</v>
      </c>
      <c r="AN780" s="2">
        <v>7.51</v>
      </c>
      <c r="AO780" t="s">
        <v>10922</v>
      </c>
      <c r="AP780" t="s">
        <v>10985</v>
      </c>
      <c r="AQ780" t="s">
        <v>10984</v>
      </c>
    </row>
    <row r="781" spans="1:43" x14ac:dyDescent="0.2">
      <c r="A781" t="s">
        <v>11911</v>
      </c>
      <c r="B781" t="s">
        <v>10900</v>
      </c>
      <c r="C781" t="s">
        <v>10990</v>
      </c>
      <c r="D781" t="s">
        <v>11922</v>
      </c>
      <c r="E781" t="s">
        <v>1146</v>
      </c>
      <c r="F781" t="s">
        <v>11922</v>
      </c>
      <c r="G781" s="1">
        <v>146648</v>
      </c>
      <c r="H781" s="2">
        <v>452615.67</v>
      </c>
      <c r="I781" s="2">
        <v>470120.59</v>
      </c>
      <c r="J781" s="2">
        <v>9145.7199999999993</v>
      </c>
      <c r="K781" s="2">
        <v>0</v>
      </c>
      <c r="L781" s="2">
        <v>479266.31</v>
      </c>
      <c r="M781" s="3">
        <v>1.6559999999999999</v>
      </c>
      <c r="N781" s="4">
        <v>1.09038E-3</v>
      </c>
      <c r="O781" s="5">
        <v>44719</v>
      </c>
      <c r="P781" s="5">
        <v>45267</v>
      </c>
      <c r="Q781" s="1">
        <v>5.5</v>
      </c>
      <c r="R781" s="2">
        <v>1.54</v>
      </c>
      <c r="S781" s="6">
        <v>1.529789238</v>
      </c>
      <c r="T781" t="s">
        <v>111</v>
      </c>
      <c r="U781" t="s">
        <v>111</v>
      </c>
      <c r="V781" t="s">
        <v>10992</v>
      </c>
      <c r="W781" t="s">
        <v>43</v>
      </c>
      <c r="X781" t="s">
        <v>10945</v>
      </c>
      <c r="Y781" t="s">
        <v>44</v>
      </c>
      <c r="Z781" t="s">
        <v>44</v>
      </c>
      <c r="AA781" t="s">
        <v>10979</v>
      </c>
      <c r="AB781" t="s">
        <v>44</v>
      </c>
      <c r="AC781" s="4">
        <v>1.66285584</v>
      </c>
      <c r="AD781" s="4">
        <v>1.65031554</v>
      </c>
      <c r="AE781" s="2">
        <v>1.66</v>
      </c>
      <c r="AF781" s="4">
        <v>1.65031554</v>
      </c>
      <c r="AG781" s="2">
        <v>0.09</v>
      </c>
      <c r="AH781" s="2">
        <v>479266.31</v>
      </c>
      <c r="AI781" s="2">
        <v>0</v>
      </c>
      <c r="AJ781" s="5">
        <v>44673</v>
      </c>
      <c r="AK781" t="s">
        <v>11912</v>
      </c>
      <c r="AL781" s="2">
        <v>1.66</v>
      </c>
      <c r="AM781" s="2">
        <v>5.5</v>
      </c>
      <c r="AN781" s="2">
        <v>1.53</v>
      </c>
      <c r="AO781" t="s">
        <v>11179</v>
      </c>
      <c r="AP781" t="s">
        <v>11923</v>
      </c>
      <c r="AQ781" t="s">
        <v>1146</v>
      </c>
    </row>
    <row r="782" spans="1:43" x14ac:dyDescent="0.2">
      <c r="A782" t="s">
        <v>11911</v>
      </c>
      <c r="B782" t="s">
        <v>45</v>
      </c>
      <c r="C782" t="s">
        <v>11000</v>
      </c>
      <c r="D782" t="s">
        <v>11421</v>
      </c>
      <c r="E782" t="s">
        <v>11422</v>
      </c>
      <c r="F782" t="s">
        <v>11421</v>
      </c>
      <c r="G782" s="1">
        <v>2000000</v>
      </c>
      <c r="H782" s="2">
        <v>2000000</v>
      </c>
      <c r="I782" s="2">
        <v>2000000</v>
      </c>
      <c r="J782" s="2">
        <v>15189.04</v>
      </c>
      <c r="K782" s="2">
        <v>0</v>
      </c>
      <c r="L782" s="2">
        <v>2015189.04</v>
      </c>
      <c r="M782" s="3">
        <v>4.2</v>
      </c>
      <c r="N782" s="4">
        <v>4.5847700000000002E-3</v>
      </c>
      <c r="O782" s="5" t="s">
        <v>44</v>
      </c>
      <c r="P782" s="5">
        <v>55153</v>
      </c>
      <c r="Q782" s="1">
        <v>4.2</v>
      </c>
      <c r="R782" s="2">
        <v>0.08</v>
      </c>
      <c r="S782" s="6">
        <v>2.5947269999999998E-3</v>
      </c>
      <c r="T782" t="s">
        <v>112</v>
      </c>
      <c r="U782" t="s">
        <v>46</v>
      </c>
      <c r="V782" t="s">
        <v>11270</v>
      </c>
      <c r="W782" t="s">
        <v>43</v>
      </c>
      <c r="X782" t="s">
        <v>44</v>
      </c>
      <c r="Y782" t="s">
        <v>44</v>
      </c>
      <c r="Z782" t="s">
        <v>44</v>
      </c>
      <c r="AA782" t="s">
        <v>10913</v>
      </c>
      <c r="AB782" t="s">
        <v>44</v>
      </c>
      <c r="AC782" s="4">
        <v>4.2819052299999996</v>
      </c>
      <c r="AD782" s="4">
        <v>4.20010057</v>
      </c>
      <c r="AE782" s="2">
        <v>4.28</v>
      </c>
      <c r="AF782" s="4">
        <v>4.20010057</v>
      </c>
      <c r="AG782" s="2">
        <v>0.36</v>
      </c>
      <c r="AH782" s="2">
        <v>2015189.04</v>
      </c>
      <c r="AI782" s="2">
        <v>0</v>
      </c>
      <c r="AJ782" s="5">
        <v>44673</v>
      </c>
      <c r="AK782" t="s">
        <v>11912</v>
      </c>
      <c r="AL782" s="2">
        <v>4.24</v>
      </c>
      <c r="AM782" s="2">
        <v>4.2</v>
      </c>
      <c r="AN782" s="2">
        <v>0</v>
      </c>
      <c r="AO782" t="s">
        <v>11423</v>
      </c>
      <c r="AP782" t="s">
        <v>44</v>
      </c>
      <c r="AQ782" t="s">
        <v>11422</v>
      </c>
    </row>
    <row r="783" spans="1:43" x14ac:dyDescent="0.2">
      <c r="A783" t="s">
        <v>11911</v>
      </c>
      <c r="B783" t="s">
        <v>45</v>
      </c>
      <c r="C783" t="s">
        <v>11000</v>
      </c>
      <c r="D783" t="s">
        <v>11424</v>
      </c>
      <c r="E783" t="s">
        <v>11425</v>
      </c>
      <c r="F783" t="s">
        <v>11424</v>
      </c>
      <c r="G783" s="1">
        <v>5000000</v>
      </c>
      <c r="H783" s="2">
        <v>5000000</v>
      </c>
      <c r="I783" s="2">
        <v>5000000</v>
      </c>
      <c r="J783" s="2">
        <v>21172.6</v>
      </c>
      <c r="K783" s="2">
        <v>0</v>
      </c>
      <c r="L783" s="2">
        <v>5021172.5999999996</v>
      </c>
      <c r="M783" s="3">
        <v>4.2</v>
      </c>
      <c r="N783" s="4">
        <v>1.142371E-2</v>
      </c>
      <c r="O783" s="5" t="s">
        <v>44</v>
      </c>
      <c r="P783" s="5">
        <v>55153</v>
      </c>
      <c r="Q783" s="1">
        <v>4.2</v>
      </c>
      <c r="R783" s="2">
        <v>0.08</v>
      </c>
      <c r="S783" s="6">
        <v>2.5986049999999999E-3</v>
      </c>
      <c r="T783" t="s">
        <v>112</v>
      </c>
      <c r="U783" t="s">
        <v>46</v>
      </c>
      <c r="V783" t="s">
        <v>11270</v>
      </c>
      <c r="W783" t="s">
        <v>43</v>
      </c>
      <c r="X783" t="s">
        <v>44</v>
      </c>
      <c r="Y783" t="s">
        <v>44</v>
      </c>
      <c r="Z783" t="s">
        <v>44</v>
      </c>
      <c r="AA783" t="s">
        <v>11035</v>
      </c>
      <c r="AB783" t="s">
        <v>44</v>
      </c>
      <c r="AC783" s="4">
        <v>4.2819052299999996</v>
      </c>
      <c r="AD783" s="4">
        <v>4.20010057</v>
      </c>
      <c r="AE783" s="2">
        <v>4.28</v>
      </c>
      <c r="AF783" s="4">
        <v>4.20010057</v>
      </c>
      <c r="AG783" s="2">
        <v>0.9</v>
      </c>
      <c r="AH783" s="2">
        <v>5021172.5999999996</v>
      </c>
      <c r="AI783" s="2">
        <v>0.01</v>
      </c>
      <c r="AJ783" s="5">
        <v>44673</v>
      </c>
      <c r="AK783" t="s">
        <v>11912</v>
      </c>
      <c r="AL783" s="2">
        <v>4.24</v>
      </c>
      <c r="AM783" s="2">
        <v>4.2</v>
      </c>
      <c r="AN783" s="2">
        <v>0</v>
      </c>
      <c r="AO783" t="s">
        <v>11053</v>
      </c>
      <c r="AP783" t="s">
        <v>44</v>
      </c>
      <c r="AQ783" t="s">
        <v>11425</v>
      </c>
    </row>
    <row r="784" spans="1:43" x14ac:dyDescent="0.2">
      <c r="A784" t="s">
        <v>11911</v>
      </c>
      <c r="B784" t="s">
        <v>45</v>
      </c>
      <c r="C784" t="s">
        <v>47</v>
      </c>
      <c r="D784" t="s">
        <v>48</v>
      </c>
      <c r="E784" t="s">
        <v>49</v>
      </c>
      <c r="F784" t="s">
        <v>50</v>
      </c>
      <c r="G784" s="1">
        <v>0</v>
      </c>
      <c r="H784" s="2">
        <v>0</v>
      </c>
      <c r="I784" s="2">
        <v>0</v>
      </c>
      <c r="J784" s="2">
        <v>0</v>
      </c>
      <c r="K784" s="2">
        <v>0</v>
      </c>
      <c r="L784" s="2">
        <v>3474.68</v>
      </c>
      <c r="M784" s="3"/>
      <c r="N784" s="4">
        <v>7.9100000000000005E-6</v>
      </c>
      <c r="O784" s="5" t="s">
        <v>44</v>
      </c>
      <c r="P784" s="5" t="s">
        <v>44</v>
      </c>
      <c r="Q784" s="1"/>
      <c r="R784" s="2">
        <v>0.08</v>
      </c>
      <c r="S784" s="6"/>
      <c r="T784" t="s">
        <v>45</v>
      </c>
      <c r="U784" t="s">
        <v>46</v>
      </c>
      <c r="V784" t="s">
        <v>44</v>
      </c>
      <c r="W784" t="s">
        <v>43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s="4">
        <v>5.1163389600000002</v>
      </c>
      <c r="AD784" s="4">
        <v>5.0001424999999999</v>
      </c>
      <c r="AE784" s="2">
        <v>5.12</v>
      </c>
      <c r="AF784" s="4">
        <v>5.0001424999999999</v>
      </c>
      <c r="AG784" s="2">
        <v>0</v>
      </c>
      <c r="AH784" s="2">
        <v>3474.68</v>
      </c>
      <c r="AI784" s="2">
        <v>0</v>
      </c>
      <c r="AJ784" s="5">
        <v>44673</v>
      </c>
      <c r="AK784" t="s">
        <v>11912</v>
      </c>
      <c r="AL784" s="2">
        <v>5.05</v>
      </c>
      <c r="AM784" s="2">
        <v>0</v>
      </c>
      <c r="AN784" s="2">
        <v>0</v>
      </c>
      <c r="AO784" t="s">
        <v>44</v>
      </c>
      <c r="AP784" t="s">
        <v>44</v>
      </c>
      <c r="AQ784" t="s">
        <v>44</v>
      </c>
    </row>
    <row r="785" spans="1:43" x14ac:dyDescent="0.2">
      <c r="A785" t="s">
        <v>11911</v>
      </c>
      <c r="B785" t="s">
        <v>45</v>
      </c>
      <c r="C785" t="s">
        <v>47</v>
      </c>
      <c r="D785" t="s">
        <v>51</v>
      </c>
      <c r="E785" t="s">
        <v>52</v>
      </c>
      <c r="F785" t="s">
        <v>51</v>
      </c>
      <c r="G785" s="1">
        <v>1072856.92</v>
      </c>
      <c r="H785" s="2">
        <v>1072856.92</v>
      </c>
      <c r="I785" s="2">
        <v>1072856.92</v>
      </c>
      <c r="J785" s="2">
        <v>0</v>
      </c>
      <c r="K785" s="2">
        <v>0</v>
      </c>
      <c r="L785" s="2">
        <v>1072856.92</v>
      </c>
      <c r="M785" s="3"/>
      <c r="N785" s="4">
        <v>2.4408699999999999E-3</v>
      </c>
      <c r="O785" s="5" t="s">
        <v>44</v>
      </c>
      <c r="P785" s="5" t="s">
        <v>44</v>
      </c>
      <c r="Q785" s="1"/>
      <c r="R785" s="2">
        <v>0.08</v>
      </c>
      <c r="S785" s="6"/>
      <c r="T785" t="s">
        <v>45</v>
      </c>
      <c r="U785" t="s">
        <v>53</v>
      </c>
      <c r="V785" t="s">
        <v>44</v>
      </c>
      <c r="W785" t="s">
        <v>43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s="4">
        <v>5.1163389600000002</v>
      </c>
      <c r="AD785" s="4">
        <v>5.0001424999999999</v>
      </c>
      <c r="AE785" s="2">
        <v>5.12</v>
      </c>
      <c r="AF785" s="4">
        <v>5.0001424999999999</v>
      </c>
      <c r="AG785" s="2">
        <v>0.19</v>
      </c>
      <c r="AH785" s="2">
        <v>1072856.92</v>
      </c>
      <c r="AI785" s="2">
        <v>0</v>
      </c>
      <c r="AJ785" s="5">
        <v>44673</v>
      </c>
      <c r="AK785" t="s">
        <v>11912</v>
      </c>
      <c r="AL785" s="2">
        <v>5.05</v>
      </c>
      <c r="AM785" s="2">
        <v>0</v>
      </c>
      <c r="AN785" s="2">
        <v>0</v>
      </c>
      <c r="AO785" t="s">
        <v>44</v>
      </c>
      <c r="AP785" t="s">
        <v>44</v>
      </c>
      <c r="AQ785" t="s">
        <v>43</v>
      </c>
    </row>
    <row r="786" spans="1:43" x14ac:dyDescent="0.2">
      <c r="A786" t="s">
        <v>11911</v>
      </c>
      <c r="B786" t="s">
        <v>45</v>
      </c>
      <c r="C786" t="s">
        <v>47</v>
      </c>
      <c r="D786" t="s">
        <v>11045</v>
      </c>
      <c r="E786" t="s">
        <v>11046</v>
      </c>
      <c r="F786" t="s">
        <v>11045</v>
      </c>
      <c r="G786" s="1">
        <v>64569.14</v>
      </c>
      <c r="H786" s="2">
        <v>993845.37</v>
      </c>
      <c r="I786" s="2">
        <v>1008183.93</v>
      </c>
      <c r="J786" s="2">
        <v>0</v>
      </c>
      <c r="K786" s="2">
        <v>0</v>
      </c>
      <c r="L786" s="2">
        <v>1008183.93</v>
      </c>
      <c r="M786" s="3">
        <v>1</v>
      </c>
      <c r="N786" s="4">
        <v>2.2937299999999999E-3</v>
      </c>
      <c r="O786" s="5" t="s">
        <v>44</v>
      </c>
      <c r="P786" s="5" t="s">
        <v>44</v>
      </c>
      <c r="Q786" s="1"/>
      <c r="R786" s="2">
        <v>0.08</v>
      </c>
      <c r="S786" s="6"/>
      <c r="T786" t="s">
        <v>45</v>
      </c>
      <c r="U786" t="s">
        <v>53</v>
      </c>
      <c r="V786" t="s">
        <v>44</v>
      </c>
      <c r="W786" t="s">
        <v>113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s="4"/>
      <c r="AD786" s="4"/>
      <c r="AE786" s="2">
        <v>0</v>
      </c>
      <c r="AF786" s="4">
        <v>0</v>
      </c>
      <c r="AG786" s="2">
        <v>0.18</v>
      </c>
      <c r="AH786" s="2">
        <v>1008183.93</v>
      </c>
      <c r="AI786" s="2">
        <v>0</v>
      </c>
      <c r="AJ786" s="5">
        <v>44673</v>
      </c>
      <c r="AK786" t="s">
        <v>11912</v>
      </c>
      <c r="AL786" s="2">
        <v>0</v>
      </c>
      <c r="AM786" s="2">
        <v>0</v>
      </c>
      <c r="AN786" s="2">
        <v>0</v>
      </c>
      <c r="AO786" t="s">
        <v>44</v>
      </c>
      <c r="AP786" t="s">
        <v>44</v>
      </c>
      <c r="AQ786" t="s">
        <v>113</v>
      </c>
    </row>
    <row r="787" spans="1:43" x14ac:dyDescent="0.2">
      <c r="A787" t="s">
        <v>11911</v>
      </c>
      <c r="B787" t="s">
        <v>11608</v>
      </c>
      <c r="C787" t="s">
        <v>11608</v>
      </c>
      <c r="D787" t="s">
        <v>12745</v>
      </c>
      <c r="E787" t="s">
        <v>12746</v>
      </c>
      <c r="F787" t="s">
        <v>12745</v>
      </c>
      <c r="G787" s="1">
        <v>61500000</v>
      </c>
      <c r="H787" s="2">
        <v>0</v>
      </c>
      <c r="I787" s="2">
        <v>22891.23</v>
      </c>
      <c r="J787" s="2">
        <v>0</v>
      </c>
      <c r="K787" s="2">
        <v>0</v>
      </c>
      <c r="L787" s="2">
        <v>22891.23</v>
      </c>
      <c r="M787" s="3">
        <v>3.7221999999999998E-2</v>
      </c>
      <c r="N787" s="4">
        <v>5.2080000000000003E-5</v>
      </c>
      <c r="O787" s="5" t="s">
        <v>44</v>
      </c>
      <c r="P787" s="5">
        <v>44890</v>
      </c>
      <c r="Q787" s="1">
        <v>0</v>
      </c>
      <c r="R787" s="2"/>
      <c r="S787" s="6">
        <v>0.34246575342500002</v>
      </c>
      <c r="T787" t="s">
        <v>11412</v>
      </c>
      <c r="U787" t="s">
        <v>11413</v>
      </c>
      <c r="V787" t="s">
        <v>9802</v>
      </c>
      <c r="W787" t="s">
        <v>43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s="4"/>
      <c r="AD787" s="4"/>
      <c r="AE787" s="2">
        <v>0</v>
      </c>
      <c r="AF787" s="4">
        <v>0</v>
      </c>
      <c r="AG787" s="2">
        <v>0</v>
      </c>
      <c r="AH787" s="2">
        <v>22891.23</v>
      </c>
      <c r="AI787" s="2">
        <v>0</v>
      </c>
      <c r="AJ787" s="5">
        <v>44673</v>
      </c>
      <c r="AK787" t="s">
        <v>11912</v>
      </c>
      <c r="AL787" s="2">
        <v>0</v>
      </c>
      <c r="AM787" s="2">
        <v>0</v>
      </c>
      <c r="AN787" s="2">
        <v>0.34</v>
      </c>
      <c r="AO787" t="s">
        <v>44</v>
      </c>
      <c r="AP787" t="s">
        <v>44</v>
      </c>
      <c r="AQ787" t="s">
        <v>44</v>
      </c>
    </row>
    <row r="788" spans="1:43" x14ac:dyDescent="0.2">
      <c r="A788" t="s">
        <v>11911</v>
      </c>
      <c r="B788" t="s">
        <v>11608</v>
      </c>
      <c r="C788" t="s">
        <v>11608</v>
      </c>
      <c r="D788" t="s">
        <v>12747</v>
      </c>
      <c r="E788" t="s">
        <v>12746</v>
      </c>
      <c r="F788" t="s">
        <v>12747</v>
      </c>
      <c r="G788" s="1">
        <v>-61500000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3"/>
      <c r="N788" s="4">
        <v>0</v>
      </c>
      <c r="O788" s="5" t="s">
        <v>44</v>
      </c>
      <c r="P788" s="5">
        <v>44890</v>
      </c>
      <c r="Q788" s="1">
        <v>0</v>
      </c>
      <c r="R788" s="2"/>
      <c r="S788" s="6"/>
      <c r="T788" t="s">
        <v>11412</v>
      </c>
      <c r="U788" t="s">
        <v>11413</v>
      </c>
      <c r="V788" t="s">
        <v>9802</v>
      </c>
      <c r="W788" t="s">
        <v>43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s="4"/>
      <c r="AD788" s="4"/>
      <c r="AE788" s="2">
        <v>0</v>
      </c>
      <c r="AF788" s="4">
        <v>0</v>
      </c>
      <c r="AG788" s="2">
        <v>0</v>
      </c>
      <c r="AH788" s="2">
        <v>0</v>
      </c>
      <c r="AI788" s="2">
        <v>0</v>
      </c>
      <c r="AJ788" s="5">
        <v>44673</v>
      </c>
      <c r="AK788" t="s">
        <v>11912</v>
      </c>
      <c r="AL788" s="2">
        <v>0</v>
      </c>
      <c r="AM788" s="2">
        <v>0</v>
      </c>
      <c r="AN788" s="2">
        <v>0</v>
      </c>
      <c r="AO788" t="s">
        <v>44</v>
      </c>
      <c r="AP788" t="s">
        <v>44</v>
      </c>
      <c r="AQ788" t="s">
        <v>44</v>
      </c>
    </row>
    <row r="789" spans="1:43" x14ac:dyDescent="0.2">
      <c r="A789" t="s">
        <v>11911</v>
      </c>
      <c r="B789" t="s">
        <v>11608</v>
      </c>
      <c r="C789" t="s">
        <v>11608</v>
      </c>
      <c r="D789" t="s">
        <v>12748</v>
      </c>
      <c r="E789" t="s">
        <v>12746</v>
      </c>
      <c r="F789" t="s">
        <v>12748</v>
      </c>
      <c r="G789" s="1">
        <v>61500000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3"/>
      <c r="N789" s="4">
        <v>0</v>
      </c>
      <c r="O789" s="5" t="s">
        <v>44</v>
      </c>
      <c r="P789" s="5">
        <v>44890</v>
      </c>
      <c r="Q789" s="1">
        <v>5.49</v>
      </c>
      <c r="R789" s="2"/>
      <c r="S789" s="6"/>
      <c r="T789" t="s">
        <v>11412</v>
      </c>
      <c r="U789" t="s">
        <v>11413</v>
      </c>
      <c r="V789" t="s">
        <v>9802</v>
      </c>
      <c r="W789" t="s">
        <v>43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s="4"/>
      <c r="AD789" s="4"/>
      <c r="AE789" s="2">
        <v>0</v>
      </c>
      <c r="AF789" s="4">
        <v>0</v>
      </c>
      <c r="AG789" s="2">
        <v>0</v>
      </c>
      <c r="AH789" s="2">
        <v>0</v>
      </c>
      <c r="AI789" s="2">
        <v>0</v>
      </c>
      <c r="AJ789" s="5">
        <v>44673</v>
      </c>
      <c r="AK789" t="s">
        <v>11912</v>
      </c>
      <c r="AL789" s="2">
        <v>0</v>
      </c>
      <c r="AM789" s="2">
        <v>5.49</v>
      </c>
      <c r="AN789" s="2">
        <v>0</v>
      </c>
      <c r="AO789" t="s">
        <v>44</v>
      </c>
      <c r="AP789" t="s">
        <v>44</v>
      </c>
      <c r="AQ789" t="s">
        <v>44</v>
      </c>
    </row>
    <row r="790" spans="1:43" x14ac:dyDescent="0.2">
      <c r="A790" t="s">
        <v>11911</v>
      </c>
      <c r="B790" t="s">
        <v>11608</v>
      </c>
      <c r="C790" t="s">
        <v>11608</v>
      </c>
      <c r="D790" t="s">
        <v>11609</v>
      </c>
      <c r="E790" t="s">
        <v>11610</v>
      </c>
      <c r="F790" t="s">
        <v>11611</v>
      </c>
      <c r="G790" s="1">
        <v>78000000</v>
      </c>
      <c r="H790" s="2">
        <v>0</v>
      </c>
      <c r="I790" s="2">
        <v>51372.58</v>
      </c>
      <c r="J790" s="2">
        <v>0</v>
      </c>
      <c r="K790" s="2">
        <v>0</v>
      </c>
      <c r="L790" s="2">
        <v>51372.58</v>
      </c>
      <c r="M790" s="3">
        <v>6.5862000000000004E-2</v>
      </c>
      <c r="N790" s="4">
        <v>1.1688000000000001E-4</v>
      </c>
      <c r="O790" s="5" t="s">
        <v>44</v>
      </c>
      <c r="P790" s="5">
        <v>44914</v>
      </c>
      <c r="Q790" s="1">
        <v>0</v>
      </c>
      <c r="R790" s="2"/>
      <c r="S790" s="6">
        <v>0.40273972602699998</v>
      </c>
      <c r="T790" t="s">
        <v>11412</v>
      </c>
      <c r="U790" t="s">
        <v>11413</v>
      </c>
      <c r="V790" t="s">
        <v>9802</v>
      </c>
      <c r="W790" t="s">
        <v>43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s="4"/>
      <c r="AD790" s="4"/>
      <c r="AE790" s="2">
        <v>0</v>
      </c>
      <c r="AF790" s="4">
        <v>0</v>
      </c>
      <c r="AG790" s="2">
        <v>0.01</v>
      </c>
      <c r="AH790" s="2">
        <v>51372.58</v>
      </c>
      <c r="AI790" s="2">
        <v>0</v>
      </c>
      <c r="AJ790" s="5">
        <v>44673</v>
      </c>
      <c r="AK790" t="s">
        <v>11912</v>
      </c>
      <c r="AL790" s="2">
        <v>0</v>
      </c>
      <c r="AM790" s="2">
        <v>0</v>
      </c>
      <c r="AN790" s="2">
        <v>0.4</v>
      </c>
      <c r="AO790" t="s">
        <v>44</v>
      </c>
      <c r="AP790" t="s">
        <v>44</v>
      </c>
      <c r="AQ790" t="s">
        <v>44</v>
      </c>
    </row>
    <row r="791" spans="1:43" x14ac:dyDescent="0.2">
      <c r="A791" t="s">
        <v>11911</v>
      </c>
      <c r="B791" t="s">
        <v>11608</v>
      </c>
      <c r="C791" t="s">
        <v>11608</v>
      </c>
      <c r="D791" t="s">
        <v>11612</v>
      </c>
      <c r="E791" t="s">
        <v>11610</v>
      </c>
      <c r="F791" t="s">
        <v>11613</v>
      </c>
      <c r="G791" s="1">
        <v>-78000000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3"/>
      <c r="N791" s="4">
        <v>0</v>
      </c>
      <c r="O791" s="5" t="s">
        <v>44</v>
      </c>
      <c r="P791" s="5">
        <v>44914</v>
      </c>
      <c r="Q791" s="1">
        <v>0</v>
      </c>
      <c r="R791" s="2"/>
      <c r="S791" s="6"/>
      <c r="T791" t="s">
        <v>11412</v>
      </c>
      <c r="U791" t="s">
        <v>11413</v>
      </c>
      <c r="V791" t="s">
        <v>9802</v>
      </c>
      <c r="W791" t="s">
        <v>43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s="4"/>
      <c r="AD791" s="4"/>
      <c r="AE791" s="2">
        <v>0</v>
      </c>
      <c r="AF791" s="4">
        <v>0</v>
      </c>
      <c r="AG791" s="2">
        <v>0</v>
      </c>
      <c r="AH791" s="2">
        <v>0</v>
      </c>
      <c r="AI791" s="2">
        <v>0</v>
      </c>
      <c r="AJ791" s="5">
        <v>44673</v>
      </c>
      <c r="AK791" t="s">
        <v>11912</v>
      </c>
      <c r="AL791" s="2">
        <v>0</v>
      </c>
      <c r="AM791" s="2">
        <v>0</v>
      </c>
      <c r="AN791" s="2">
        <v>0</v>
      </c>
      <c r="AO791" t="s">
        <v>44</v>
      </c>
      <c r="AP791" t="s">
        <v>44</v>
      </c>
      <c r="AQ791" t="s">
        <v>44</v>
      </c>
    </row>
    <row r="792" spans="1:43" x14ac:dyDescent="0.2">
      <c r="A792" t="s">
        <v>11911</v>
      </c>
      <c r="B792" t="s">
        <v>11608</v>
      </c>
      <c r="C792" t="s">
        <v>11608</v>
      </c>
      <c r="D792" t="s">
        <v>11614</v>
      </c>
      <c r="E792" t="s">
        <v>11610</v>
      </c>
      <c r="F792" t="s">
        <v>11615</v>
      </c>
      <c r="G792" s="1">
        <v>78000000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3"/>
      <c r="N792" s="4">
        <v>0</v>
      </c>
      <c r="O792" s="5" t="s">
        <v>44</v>
      </c>
      <c r="P792" s="5">
        <v>44914</v>
      </c>
      <c r="Q792" s="1">
        <v>5.63</v>
      </c>
      <c r="R792" s="2"/>
      <c r="S792" s="6"/>
      <c r="T792" t="s">
        <v>11412</v>
      </c>
      <c r="U792" t="s">
        <v>11413</v>
      </c>
      <c r="V792" t="s">
        <v>9802</v>
      </c>
      <c r="W792" t="s">
        <v>43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s="4"/>
      <c r="AD792" s="4"/>
      <c r="AE792" s="2">
        <v>0</v>
      </c>
      <c r="AF792" s="4">
        <v>0</v>
      </c>
      <c r="AG792" s="2">
        <v>0</v>
      </c>
      <c r="AH792" s="2">
        <v>0</v>
      </c>
      <c r="AI792" s="2">
        <v>0</v>
      </c>
      <c r="AJ792" s="5">
        <v>44673</v>
      </c>
      <c r="AK792" t="s">
        <v>11912</v>
      </c>
      <c r="AL792" s="2">
        <v>0</v>
      </c>
      <c r="AM792" s="2">
        <v>5.63</v>
      </c>
      <c r="AN792" s="2">
        <v>0</v>
      </c>
      <c r="AO792" t="s">
        <v>44</v>
      </c>
      <c r="AP792" t="s">
        <v>44</v>
      </c>
      <c r="AQ792" t="s">
        <v>44</v>
      </c>
    </row>
    <row r="793" spans="1:43" x14ac:dyDescent="0.2">
      <c r="A793" t="s">
        <v>11911</v>
      </c>
      <c r="B793" t="s">
        <v>11608</v>
      </c>
      <c r="C793" t="s">
        <v>11608</v>
      </c>
      <c r="D793" t="s">
        <v>12749</v>
      </c>
      <c r="E793" t="s">
        <v>12750</v>
      </c>
      <c r="F793" t="s">
        <v>12749</v>
      </c>
      <c r="G793" s="1">
        <v>61500000</v>
      </c>
      <c r="H793" s="2">
        <v>0</v>
      </c>
      <c r="I793" s="2">
        <v>21385.78</v>
      </c>
      <c r="J793" s="2">
        <v>0</v>
      </c>
      <c r="K793" s="2">
        <v>0</v>
      </c>
      <c r="L793" s="2">
        <v>21385.78</v>
      </c>
      <c r="M793" s="3">
        <v>3.4773999999999999E-2</v>
      </c>
      <c r="N793" s="4">
        <v>4.8649999999999997E-5</v>
      </c>
      <c r="O793" s="5" t="s">
        <v>44</v>
      </c>
      <c r="P793" s="5">
        <v>44890</v>
      </c>
      <c r="Q793" s="1">
        <v>0</v>
      </c>
      <c r="R793" s="2"/>
      <c r="S793" s="6">
        <v>0.34246575342500002</v>
      </c>
      <c r="T793" t="s">
        <v>11412</v>
      </c>
      <c r="U793" t="s">
        <v>11413</v>
      </c>
      <c r="V793" t="s">
        <v>9802</v>
      </c>
      <c r="W793" t="s">
        <v>43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s="4"/>
      <c r="AD793" s="4"/>
      <c r="AE793" s="2">
        <v>0</v>
      </c>
      <c r="AF793" s="4">
        <v>0</v>
      </c>
      <c r="AG793" s="2">
        <v>0</v>
      </c>
      <c r="AH793" s="2">
        <v>21385.78</v>
      </c>
      <c r="AI793" s="2">
        <v>0</v>
      </c>
      <c r="AJ793" s="5">
        <v>44673</v>
      </c>
      <c r="AK793" t="s">
        <v>11912</v>
      </c>
      <c r="AL793" s="2">
        <v>0</v>
      </c>
      <c r="AM793" s="2">
        <v>0</v>
      </c>
      <c r="AN793" s="2">
        <v>0.34</v>
      </c>
      <c r="AO793" t="s">
        <v>44</v>
      </c>
      <c r="AP793" t="s">
        <v>44</v>
      </c>
      <c r="AQ793" t="s">
        <v>44</v>
      </c>
    </row>
    <row r="794" spans="1:43" x14ac:dyDescent="0.2">
      <c r="A794" t="s">
        <v>11911</v>
      </c>
      <c r="B794" t="s">
        <v>11608</v>
      </c>
      <c r="C794" t="s">
        <v>11608</v>
      </c>
      <c r="D794" t="s">
        <v>12751</v>
      </c>
      <c r="E794" t="s">
        <v>12750</v>
      </c>
      <c r="F794" t="s">
        <v>12751</v>
      </c>
      <c r="G794" s="1">
        <v>-61500000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3"/>
      <c r="N794" s="4">
        <v>0</v>
      </c>
      <c r="O794" s="5" t="s">
        <v>44</v>
      </c>
      <c r="P794" s="5">
        <v>44890</v>
      </c>
      <c r="Q794" s="1">
        <v>0</v>
      </c>
      <c r="R794" s="2"/>
      <c r="S794" s="6"/>
      <c r="T794" t="s">
        <v>11412</v>
      </c>
      <c r="U794" t="s">
        <v>11413</v>
      </c>
      <c r="V794" t="s">
        <v>9802</v>
      </c>
      <c r="W794" t="s">
        <v>43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s="4"/>
      <c r="AD794" s="4"/>
      <c r="AE794" s="2">
        <v>0</v>
      </c>
      <c r="AF794" s="4">
        <v>0</v>
      </c>
      <c r="AG794" s="2">
        <v>0</v>
      </c>
      <c r="AH794" s="2">
        <v>0</v>
      </c>
      <c r="AI794" s="2">
        <v>0</v>
      </c>
      <c r="AJ794" s="5">
        <v>44673</v>
      </c>
      <c r="AK794" t="s">
        <v>11912</v>
      </c>
      <c r="AL794" s="2">
        <v>0</v>
      </c>
      <c r="AM794" s="2">
        <v>0</v>
      </c>
      <c r="AN794" s="2">
        <v>0</v>
      </c>
      <c r="AO794" t="s">
        <v>44</v>
      </c>
      <c r="AP794" t="s">
        <v>44</v>
      </c>
      <c r="AQ794" t="s">
        <v>44</v>
      </c>
    </row>
    <row r="795" spans="1:43" x14ac:dyDescent="0.2">
      <c r="A795" t="s">
        <v>11911</v>
      </c>
      <c r="B795" t="s">
        <v>11608</v>
      </c>
      <c r="C795" t="s">
        <v>11608</v>
      </c>
      <c r="D795" t="s">
        <v>12752</v>
      </c>
      <c r="E795" t="s">
        <v>12750</v>
      </c>
      <c r="F795" t="s">
        <v>12752</v>
      </c>
      <c r="G795" s="1">
        <v>61500000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3"/>
      <c r="N795" s="4">
        <v>0</v>
      </c>
      <c r="O795" s="5" t="s">
        <v>44</v>
      </c>
      <c r="P795" s="5">
        <v>44890</v>
      </c>
      <c r="Q795" s="1">
        <v>5.48</v>
      </c>
      <c r="R795" s="2"/>
      <c r="S795" s="6"/>
      <c r="T795" t="s">
        <v>11412</v>
      </c>
      <c r="U795" t="s">
        <v>11413</v>
      </c>
      <c r="V795" t="s">
        <v>9802</v>
      </c>
      <c r="W795" t="s">
        <v>43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s="4"/>
      <c r="AD795" s="4"/>
      <c r="AE795" s="2">
        <v>0</v>
      </c>
      <c r="AF795" s="4">
        <v>0</v>
      </c>
      <c r="AG795" s="2">
        <v>0</v>
      </c>
      <c r="AH795" s="2">
        <v>0</v>
      </c>
      <c r="AI795" s="2">
        <v>0</v>
      </c>
      <c r="AJ795" s="5">
        <v>44673</v>
      </c>
      <c r="AK795" t="s">
        <v>11912</v>
      </c>
      <c r="AL795" s="2">
        <v>0</v>
      </c>
      <c r="AM795" s="2">
        <v>5.48</v>
      </c>
      <c r="AN795" s="2">
        <v>0</v>
      </c>
      <c r="AO795" t="s">
        <v>44</v>
      </c>
      <c r="AP795" t="s">
        <v>44</v>
      </c>
      <c r="AQ795" t="s">
        <v>44</v>
      </c>
    </row>
    <row r="796" spans="1:43" x14ac:dyDescent="0.2">
      <c r="A796" t="s">
        <v>11911</v>
      </c>
      <c r="B796" t="s">
        <v>11865</v>
      </c>
      <c r="C796" t="s">
        <v>11865</v>
      </c>
      <c r="D796" t="s">
        <v>11866</v>
      </c>
      <c r="E796" t="s">
        <v>11867</v>
      </c>
      <c r="F796" t="s">
        <v>11866</v>
      </c>
      <c r="G796" s="1">
        <v>-503900</v>
      </c>
      <c r="H796" s="2">
        <v>-7844967.1500000004</v>
      </c>
      <c r="I796" s="2">
        <v>-7891294.7699999996</v>
      </c>
      <c r="J796" s="2">
        <v>0</v>
      </c>
      <c r="K796" s="2">
        <v>0</v>
      </c>
      <c r="L796" s="2">
        <v>-7891294.7699999996</v>
      </c>
      <c r="M796" s="3">
        <v>6.3854999999999995E-2</v>
      </c>
      <c r="N796" s="4">
        <v>-1.7953549999999999E-2</v>
      </c>
      <c r="O796" s="5" t="s">
        <v>44</v>
      </c>
      <c r="P796" s="5">
        <v>44701</v>
      </c>
      <c r="Q796" s="1"/>
      <c r="R796" s="2"/>
      <c r="S796" s="6"/>
      <c r="T796" t="s">
        <v>11868</v>
      </c>
      <c r="U796" t="s">
        <v>44</v>
      </c>
      <c r="V796" t="s">
        <v>44</v>
      </c>
      <c r="W796" t="s">
        <v>113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s="4"/>
      <c r="AD796" s="4"/>
      <c r="AE796" s="2">
        <v>0</v>
      </c>
      <c r="AF796" s="4">
        <v>0</v>
      </c>
      <c r="AG796" s="2">
        <v>-1.42</v>
      </c>
      <c r="AH796" s="2">
        <v>-7891294.7699999996</v>
      </c>
      <c r="AI796" s="2">
        <v>-0.02</v>
      </c>
      <c r="AJ796" s="5">
        <v>44673</v>
      </c>
      <c r="AK796" t="s">
        <v>11912</v>
      </c>
      <c r="AL796" s="2">
        <v>0</v>
      </c>
      <c r="AM796" s="2">
        <v>0</v>
      </c>
      <c r="AN796" s="2">
        <v>0</v>
      </c>
      <c r="AO796" t="s">
        <v>44</v>
      </c>
      <c r="AP796" t="s">
        <v>44</v>
      </c>
      <c r="AQ796" t="s">
        <v>113</v>
      </c>
    </row>
    <row r="797" spans="1:43" x14ac:dyDescent="0.2">
      <c r="A797" t="s">
        <v>11911</v>
      </c>
      <c r="B797" t="s">
        <v>11865</v>
      </c>
      <c r="C797" t="s">
        <v>11865</v>
      </c>
      <c r="D797" t="s">
        <v>11869</v>
      </c>
      <c r="E797" t="s">
        <v>11867</v>
      </c>
      <c r="F797" t="s">
        <v>11869</v>
      </c>
      <c r="G797" s="1">
        <v>7844967.1500000004</v>
      </c>
      <c r="H797" s="2">
        <v>7844967.1500000004</v>
      </c>
      <c r="I797" s="2">
        <v>7844967.1500000004</v>
      </c>
      <c r="J797" s="2">
        <v>0</v>
      </c>
      <c r="K797" s="2">
        <v>0</v>
      </c>
      <c r="L797" s="2">
        <v>7844967.1500000004</v>
      </c>
      <c r="M797" s="3">
        <v>1</v>
      </c>
      <c r="N797" s="4">
        <v>1.7848139999999998E-2</v>
      </c>
      <c r="O797" s="5" t="s">
        <v>44</v>
      </c>
      <c r="P797" s="5">
        <v>44701</v>
      </c>
      <c r="Q797" s="1"/>
      <c r="R797" s="2"/>
      <c r="S797" s="6"/>
      <c r="T797" t="s">
        <v>11868</v>
      </c>
      <c r="U797" t="s">
        <v>44</v>
      </c>
      <c r="V797" t="s">
        <v>44</v>
      </c>
      <c r="W797" t="s">
        <v>43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s="4"/>
      <c r="AD797" s="4"/>
      <c r="AE797" s="2">
        <v>0</v>
      </c>
      <c r="AF797" s="4">
        <v>0</v>
      </c>
      <c r="AG797" s="2">
        <v>1.41</v>
      </c>
      <c r="AH797" s="2">
        <v>7844967.1500000004</v>
      </c>
      <c r="AI797" s="2">
        <v>0.02</v>
      </c>
      <c r="AJ797" s="5">
        <v>44673</v>
      </c>
      <c r="AK797" t="s">
        <v>11912</v>
      </c>
      <c r="AL797" s="2">
        <v>0</v>
      </c>
      <c r="AM797" s="2">
        <v>0</v>
      </c>
      <c r="AN797" s="2">
        <v>0</v>
      </c>
      <c r="AO797" t="s">
        <v>44</v>
      </c>
      <c r="AP797" t="s">
        <v>44</v>
      </c>
      <c r="AQ797" t="s">
        <v>43</v>
      </c>
    </row>
    <row r="798" spans="1:43" x14ac:dyDescent="0.2">
      <c r="A798" t="s">
        <v>11911</v>
      </c>
      <c r="B798" t="s">
        <v>11038</v>
      </c>
      <c r="C798" t="s">
        <v>11870</v>
      </c>
      <c r="D798" t="s">
        <v>11056</v>
      </c>
      <c r="E798" t="s">
        <v>11057</v>
      </c>
      <c r="F798" t="s">
        <v>11056</v>
      </c>
      <c r="G798" s="1">
        <v>4391623</v>
      </c>
      <c r="H798" s="2">
        <v>4390574.21</v>
      </c>
      <c r="I798" s="2">
        <v>4391623</v>
      </c>
      <c r="J798" s="2">
        <v>113198.47</v>
      </c>
      <c r="K798" s="2">
        <v>0</v>
      </c>
      <c r="L798" s="2">
        <v>4504821.47</v>
      </c>
      <c r="M798" s="3"/>
      <c r="N798" s="4">
        <v>1.024895E-2</v>
      </c>
      <c r="O798" s="5">
        <v>44692</v>
      </c>
      <c r="P798" s="5">
        <v>44692</v>
      </c>
      <c r="Q798" s="1">
        <v>13.067</v>
      </c>
      <c r="R798" s="2"/>
      <c r="S798" s="6"/>
      <c r="T798" t="s">
        <v>111</v>
      </c>
      <c r="U798" t="s">
        <v>11040</v>
      </c>
      <c r="V798" t="s">
        <v>115</v>
      </c>
      <c r="W798" t="s">
        <v>43</v>
      </c>
      <c r="X798" t="s">
        <v>44</v>
      </c>
      <c r="Y798" t="s">
        <v>44</v>
      </c>
      <c r="Z798" t="s">
        <v>44</v>
      </c>
      <c r="AA798" t="s">
        <v>10979</v>
      </c>
      <c r="AB798" t="s">
        <v>44</v>
      </c>
      <c r="AC798" s="4"/>
      <c r="AD798" s="4"/>
      <c r="AE798" s="2">
        <v>0</v>
      </c>
      <c r="AF798" s="4">
        <v>0</v>
      </c>
      <c r="AG798" s="2">
        <v>0.81</v>
      </c>
      <c r="AH798" s="2">
        <v>4504821.47</v>
      </c>
      <c r="AI798" s="2">
        <v>0.01</v>
      </c>
      <c r="AJ798" s="5">
        <v>44673</v>
      </c>
      <c r="AK798" t="s">
        <v>11912</v>
      </c>
      <c r="AL798" s="2">
        <v>0</v>
      </c>
      <c r="AM798" s="2">
        <v>13.07</v>
      </c>
      <c r="AN798" s="2">
        <v>0</v>
      </c>
      <c r="AO798" t="s">
        <v>10980</v>
      </c>
      <c r="AP798" t="s">
        <v>11058</v>
      </c>
      <c r="AQ798" t="s">
        <v>11057</v>
      </c>
    </row>
    <row r="799" spans="1:43" x14ac:dyDescent="0.2">
      <c r="A799" t="s">
        <v>11911</v>
      </c>
      <c r="B799" t="s">
        <v>11038</v>
      </c>
      <c r="C799" t="s">
        <v>11870</v>
      </c>
      <c r="D799" t="s">
        <v>11616</v>
      </c>
      <c r="E799" t="s">
        <v>11617</v>
      </c>
      <c r="F799" t="s">
        <v>11616</v>
      </c>
      <c r="G799" s="1">
        <v>6000000</v>
      </c>
      <c r="H799" s="2">
        <v>6000000</v>
      </c>
      <c r="I799" s="2">
        <v>6002522.3499999996</v>
      </c>
      <c r="J799" s="2">
        <v>72696</v>
      </c>
      <c r="K799" s="2">
        <v>0</v>
      </c>
      <c r="L799" s="2">
        <v>6075218.3499999996</v>
      </c>
      <c r="M799" s="3">
        <v>4.9760429999999998</v>
      </c>
      <c r="N799" s="4">
        <v>1.3821780000000001E-2</v>
      </c>
      <c r="O799" s="5">
        <v>44690</v>
      </c>
      <c r="P799" s="5">
        <v>44690</v>
      </c>
      <c r="Q799" s="1">
        <v>6.0579999999999998</v>
      </c>
      <c r="R799" s="2">
        <v>0.04</v>
      </c>
      <c r="S799" s="6">
        <v>3.6514757501999999E-2</v>
      </c>
      <c r="T799" t="s">
        <v>111</v>
      </c>
      <c r="U799" t="s">
        <v>11040</v>
      </c>
      <c r="V799" t="s">
        <v>114</v>
      </c>
      <c r="W799" t="s">
        <v>43</v>
      </c>
      <c r="X799" t="s">
        <v>10988</v>
      </c>
      <c r="Y799" t="s">
        <v>44</v>
      </c>
      <c r="Z799" t="s">
        <v>44</v>
      </c>
      <c r="AA799" t="s">
        <v>10979</v>
      </c>
      <c r="AB799" t="s">
        <v>44</v>
      </c>
      <c r="AC799" s="4">
        <v>5.09694307</v>
      </c>
      <c r="AD799" s="4">
        <v>4.9816122199999997</v>
      </c>
      <c r="AE799" s="2">
        <v>5.0999999999999996</v>
      </c>
      <c r="AF799" s="4">
        <v>4.9816122199999997</v>
      </c>
      <c r="AG799" s="2">
        <v>1.0900000000000001</v>
      </c>
      <c r="AH799" s="2">
        <v>6075218.3499999996</v>
      </c>
      <c r="AI799" s="2">
        <v>0.01</v>
      </c>
      <c r="AJ799" s="5">
        <v>44673</v>
      </c>
      <c r="AK799" t="s">
        <v>11912</v>
      </c>
      <c r="AL799" s="2">
        <v>5.03</v>
      </c>
      <c r="AM799" s="2">
        <v>6.06</v>
      </c>
      <c r="AN799" s="2">
        <v>0.04</v>
      </c>
      <c r="AO799" t="s">
        <v>11618</v>
      </c>
      <c r="AP799" t="s">
        <v>11619</v>
      </c>
      <c r="AQ799" t="s">
        <v>11617</v>
      </c>
    </row>
    <row r="800" spans="1:43" x14ac:dyDescent="0.2">
      <c r="A800" t="s">
        <v>11911</v>
      </c>
      <c r="B800" t="s">
        <v>11038</v>
      </c>
      <c r="C800" t="s">
        <v>11055</v>
      </c>
      <c r="D800" t="s">
        <v>11872</v>
      </c>
      <c r="E800" t="s">
        <v>11873</v>
      </c>
      <c r="F800" t="s">
        <v>11872</v>
      </c>
      <c r="G800" s="1">
        <v>11000000</v>
      </c>
      <c r="H800" s="2">
        <v>11000514.34</v>
      </c>
      <c r="I800" s="2">
        <v>11006818.710000001</v>
      </c>
      <c r="J800" s="2">
        <v>94665.7</v>
      </c>
      <c r="K800" s="2">
        <v>0</v>
      </c>
      <c r="L800" s="2">
        <v>11101484.41</v>
      </c>
      <c r="M800" s="3">
        <v>5.1502819999999998</v>
      </c>
      <c r="N800" s="4">
        <v>2.525707E-2</v>
      </c>
      <c r="O800" s="5">
        <v>44712</v>
      </c>
      <c r="P800" s="5">
        <v>44712</v>
      </c>
      <c r="Q800" s="1">
        <v>5.8170000000000002</v>
      </c>
      <c r="R800" s="2">
        <v>0.1</v>
      </c>
      <c r="S800" s="6">
        <v>9.3730576011000002E-2</v>
      </c>
      <c r="T800" t="s">
        <v>111</v>
      </c>
      <c r="U800" t="s">
        <v>11040</v>
      </c>
      <c r="V800" t="s">
        <v>114</v>
      </c>
      <c r="W800" t="s">
        <v>43</v>
      </c>
      <c r="X800" t="s">
        <v>10988</v>
      </c>
      <c r="Y800" t="s">
        <v>44</v>
      </c>
      <c r="Z800" t="s">
        <v>44</v>
      </c>
      <c r="AA800" t="s">
        <v>10979</v>
      </c>
      <c r="AB800" t="s">
        <v>44</v>
      </c>
      <c r="AC800" s="4">
        <v>5.2714900699999996</v>
      </c>
      <c r="AD800" s="4">
        <v>5.1482567699999997</v>
      </c>
      <c r="AE800" s="2">
        <v>5.27</v>
      </c>
      <c r="AF800" s="4">
        <v>5.1482567699999997</v>
      </c>
      <c r="AG800" s="2">
        <v>2</v>
      </c>
      <c r="AH800" s="2">
        <v>11101484.41</v>
      </c>
      <c r="AI800" s="2">
        <v>0.03</v>
      </c>
      <c r="AJ800" s="5">
        <v>44673</v>
      </c>
      <c r="AK800" t="s">
        <v>11912</v>
      </c>
      <c r="AL800" s="2">
        <v>5.2</v>
      </c>
      <c r="AM800" s="2">
        <v>5.82</v>
      </c>
      <c r="AN800" s="2">
        <v>0.09</v>
      </c>
      <c r="AO800" t="s">
        <v>11048</v>
      </c>
      <c r="AP800" t="s">
        <v>11874</v>
      </c>
      <c r="AQ800" t="s">
        <v>11873</v>
      </c>
    </row>
    <row r="801" spans="1:43" x14ac:dyDescent="0.2">
      <c r="A801" t="s">
        <v>11911</v>
      </c>
      <c r="B801" t="s">
        <v>11038</v>
      </c>
      <c r="C801" t="s">
        <v>11039</v>
      </c>
      <c r="D801" t="s">
        <v>11878</v>
      </c>
      <c r="E801" t="s">
        <v>11879</v>
      </c>
      <c r="F801" t="s">
        <v>11878</v>
      </c>
      <c r="G801" s="1">
        <v>1600000</v>
      </c>
      <c r="H801" s="2">
        <v>1600111.81</v>
      </c>
      <c r="I801" s="2">
        <v>1599860.83</v>
      </c>
      <c r="J801" s="2">
        <v>10556.72</v>
      </c>
      <c r="K801" s="2">
        <v>0</v>
      </c>
      <c r="L801" s="2">
        <v>1610417.55</v>
      </c>
      <c r="M801" s="3">
        <v>6.1553490000000002</v>
      </c>
      <c r="N801" s="4">
        <v>3.6638700000000001E-3</v>
      </c>
      <c r="O801" s="5">
        <v>44727</v>
      </c>
      <c r="P801" s="5">
        <v>45000</v>
      </c>
      <c r="Q801" s="1">
        <v>6.1749999999999998</v>
      </c>
      <c r="R801" s="2">
        <v>0.14000000000000001</v>
      </c>
      <c r="S801" s="6">
        <v>0.121958312463</v>
      </c>
      <c r="T801" t="s">
        <v>111</v>
      </c>
      <c r="U801" t="s">
        <v>11040</v>
      </c>
      <c r="V801" t="s">
        <v>114</v>
      </c>
      <c r="W801" t="s">
        <v>43</v>
      </c>
      <c r="X801" t="s">
        <v>10988</v>
      </c>
      <c r="Y801" t="s">
        <v>44</v>
      </c>
      <c r="Z801" t="s">
        <v>44</v>
      </c>
      <c r="AA801" t="s">
        <v>10979</v>
      </c>
      <c r="AB801" t="s">
        <v>44</v>
      </c>
      <c r="AC801" s="4">
        <v>6.3207521</v>
      </c>
      <c r="AD801" s="4">
        <v>6.1447089999999998</v>
      </c>
      <c r="AE801" s="2">
        <v>6.32</v>
      </c>
      <c r="AF801" s="4">
        <v>6.1447089999999998</v>
      </c>
      <c r="AG801" s="2">
        <v>0.28999999999999998</v>
      </c>
      <c r="AH801" s="2">
        <v>1610417.55</v>
      </c>
      <c r="AI801" s="2">
        <v>0</v>
      </c>
      <c r="AJ801" s="5">
        <v>44673</v>
      </c>
      <c r="AK801" t="s">
        <v>11912</v>
      </c>
      <c r="AL801" s="2">
        <v>6.22</v>
      </c>
      <c r="AM801" s="2">
        <v>6.17</v>
      </c>
      <c r="AN801" s="2">
        <v>0.12</v>
      </c>
      <c r="AO801" t="s">
        <v>11567</v>
      </c>
      <c r="AP801" t="s">
        <v>11880</v>
      </c>
      <c r="AQ801" t="s">
        <v>11879</v>
      </c>
    </row>
    <row r="802" spans="1:43" x14ac:dyDescent="0.2">
      <c r="A802" t="s">
        <v>11911</v>
      </c>
      <c r="B802" t="s">
        <v>11038</v>
      </c>
      <c r="C802" t="s">
        <v>11039</v>
      </c>
      <c r="D802" t="s">
        <v>11881</v>
      </c>
      <c r="E802" t="s">
        <v>11882</v>
      </c>
      <c r="F802" t="s">
        <v>11881</v>
      </c>
      <c r="G802" s="1">
        <v>1600000</v>
      </c>
      <c r="H802" s="2">
        <v>1600111.81</v>
      </c>
      <c r="I802" s="2">
        <v>1599860.83</v>
      </c>
      <c r="J802" s="2">
        <v>10556.72</v>
      </c>
      <c r="K802" s="2">
        <v>0</v>
      </c>
      <c r="L802" s="2">
        <v>1610417.55</v>
      </c>
      <c r="M802" s="3">
        <v>6.1553490000000002</v>
      </c>
      <c r="N802" s="4">
        <v>3.6638700000000001E-3</v>
      </c>
      <c r="O802" s="5">
        <v>44727</v>
      </c>
      <c r="P802" s="5">
        <v>45000</v>
      </c>
      <c r="Q802" s="1">
        <v>6.1749999999999998</v>
      </c>
      <c r="R802" s="2">
        <v>0.14000000000000001</v>
      </c>
      <c r="S802" s="6">
        <v>0.121958312463</v>
      </c>
      <c r="T802" t="s">
        <v>111</v>
      </c>
      <c r="U802" t="s">
        <v>11040</v>
      </c>
      <c r="V802" t="s">
        <v>114</v>
      </c>
      <c r="W802" t="s">
        <v>43</v>
      </c>
      <c r="X802" t="s">
        <v>10988</v>
      </c>
      <c r="Y802" t="s">
        <v>44</v>
      </c>
      <c r="Z802" t="s">
        <v>44</v>
      </c>
      <c r="AA802" t="s">
        <v>10979</v>
      </c>
      <c r="AB802" t="s">
        <v>44</v>
      </c>
      <c r="AC802" s="4">
        <v>6.3207521</v>
      </c>
      <c r="AD802" s="4">
        <v>6.1447089999999998</v>
      </c>
      <c r="AE802" s="2">
        <v>6.32</v>
      </c>
      <c r="AF802" s="4">
        <v>6.1447089999999998</v>
      </c>
      <c r="AG802" s="2">
        <v>0.28999999999999998</v>
      </c>
      <c r="AH802" s="2">
        <v>1610417.55</v>
      </c>
      <c r="AI802" s="2">
        <v>0</v>
      </c>
      <c r="AJ802" s="5">
        <v>44673</v>
      </c>
      <c r="AK802" t="s">
        <v>11912</v>
      </c>
      <c r="AL802" s="2">
        <v>6.22</v>
      </c>
      <c r="AM802" s="2">
        <v>6.17</v>
      </c>
      <c r="AN802" s="2">
        <v>0.12</v>
      </c>
      <c r="AO802" t="s">
        <v>11567</v>
      </c>
      <c r="AP802" t="s">
        <v>11883</v>
      </c>
      <c r="AQ802" t="s">
        <v>11882</v>
      </c>
    </row>
    <row r="803" spans="1:43" x14ac:dyDescent="0.2">
      <c r="A803" t="s">
        <v>11911</v>
      </c>
      <c r="B803" t="s">
        <v>11038</v>
      </c>
      <c r="C803" t="s">
        <v>11039</v>
      </c>
      <c r="D803" t="s">
        <v>11216</v>
      </c>
      <c r="E803" t="s">
        <v>11217</v>
      </c>
      <c r="F803" t="s">
        <v>11216</v>
      </c>
      <c r="G803" s="1">
        <v>12000000</v>
      </c>
      <c r="H803" s="2">
        <v>12000000</v>
      </c>
      <c r="I803" s="2">
        <v>11985991.01</v>
      </c>
      <c r="J803" s="2">
        <v>117369.86</v>
      </c>
      <c r="K803" s="2">
        <v>0</v>
      </c>
      <c r="L803" s="2">
        <v>12103360.869999999</v>
      </c>
      <c r="M803" s="3">
        <v>6.0366650000000002</v>
      </c>
      <c r="N803" s="4">
        <v>2.7536450000000001E-2</v>
      </c>
      <c r="O803" s="5">
        <v>44979</v>
      </c>
      <c r="P803" s="5">
        <v>44979</v>
      </c>
      <c r="Q803" s="1">
        <v>5.95</v>
      </c>
      <c r="R803" s="2">
        <v>0.83</v>
      </c>
      <c r="S803" s="6">
        <v>0.79052188852000005</v>
      </c>
      <c r="T803" t="s">
        <v>111</v>
      </c>
      <c r="U803" t="s">
        <v>11040</v>
      </c>
      <c r="V803" t="s">
        <v>11041</v>
      </c>
      <c r="W803" t="s">
        <v>43</v>
      </c>
      <c r="X803" t="s">
        <v>11034</v>
      </c>
      <c r="Y803" t="s">
        <v>44</v>
      </c>
      <c r="Z803" t="s">
        <v>44</v>
      </c>
      <c r="AA803" t="s">
        <v>10979</v>
      </c>
      <c r="AB803" t="s">
        <v>44</v>
      </c>
      <c r="AC803" s="4">
        <v>6.0672128599999997</v>
      </c>
      <c r="AD803" s="4">
        <v>5.9047591700000002</v>
      </c>
      <c r="AE803" s="2">
        <v>6.07</v>
      </c>
      <c r="AF803" s="4">
        <v>5.9047591700000002</v>
      </c>
      <c r="AG803" s="2">
        <v>2.1800000000000002</v>
      </c>
      <c r="AH803" s="2">
        <v>12103360.869999999</v>
      </c>
      <c r="AI803" s="2">
        <v>0.03</v>
      </c>
      <c r="AJ803" s="5">
        <v>44673</v>
      </c>
      <c r="AK803" t="s">
        <v>11912</v>
      </c>
      <c r="AL803" s="2">
        <v>5.98</v>
      </c>
      <c r="AM803" s="2">
        <v>5.95</v>
      </c>
      <c r="AN803" s="2">
        <v>0.79</v>
      </c>
      <c r="AO803" t="s">
        <v>11165</v>
      </c>
      <c r="AP803" t="s">
        <v>11218</v>
      </c>
      <c r="AQ803" t="s">
        <v>11217</v>
      </c>
    </row>
    <row r="804" spans="1:43" x14ac:dyDescent="0.2">
      <c r="A804" t="s">
        <v>11911</v>
      </c>
      <c r="B804" t="s">
        <v>11038</v>
      </c>
      <c r="C804" t="s">
        <v>11039</v>
      </c>
      <c r="D804" t="s">
        <v>11927</v>
      </c>
      <c r="E804" t="s">
        <v>11928</v>
      </c>
      <c r="F804" t="s">
        <v>11927</v>
      </c>
      <c r="G804" s="1">
        <v>10000000</v>
      </c>
      <c r="H804" s="2">
        <v>10000000</v>
      </c>
      <c r="I804" s="2">
        <v>9993844.7400000002</v>
      </c>
      <c r="J804" s="2">
        <v>89506.85</v>
      </c>
      <c r="K804" s="2">
        <v>0</v>
      </c>
      <c r="L804" s="2">
        <v>10083351.59</v>
      </c>
      <c r="M804" s="3">
        <v>6.0701000000000001</v>
      </c>
      <c r="N804" s="4">
        <v>2.294071E-2</v>
      </c>
      <c r="O804" s="5">
        <v>44985</v>
      </c>
      <c r="P804" s="5">
        <v>44985</v>
      </c>
      <c r="Q804" s="1">
        <v>6.05</v>
      </c>
      <c r="R804" s="2">
        <v>0.85</v>
      </c>
      <c r="S804" s="6">
        <v>0.80519785741000005</v>
      </c>
      <c r="T804" t="s">
        <v>111</v>
      </c>
      <c r="U804" t="s">
        <v>11040</v>
      </c>
      <c r="V804" t="s">
        <v>11041</v>
      </c>
      <c r="W804" t="s">
        <v>43</v>
      </c>
      <c r="X804" t="s">
        <v>11034</v>
      </c>
      <c r="Y804" t="s">
        <v>44</v>
      </c>
      <c r="Z804" t="s">
        <v>44</v>
      </c>
      <c r="AA804" t="s">
        <v>10979</v>
      </c>
      <c r="AB804" t="s">
        <v>44</v>
      </c>
      <c r="AC804" s="4">
        <v>6.0979783599999999</v>
      </c>
      <c r="AD804" s="4">
        <v>5.9339036900000002</v>
      </c>
      <c r="AE804" s="2">
        <v>6.1</v>
      </c>
      <c r="AF804" s="4">
        <v>5.9339036900000002</v>
      </c>
      <c r="AG804" s="2">
        <v>1.81</v>
      </c>
      <c r="AH804" s="2">
        <v>10083351.59</v>
      </c>
      <c r="AI804" s="2">
        <v>0.02</v>
      </c>
      <c r="AJ804" s="5">
        <v>44673</v>
      </c>
      <c r="AK804" t="s">
        <v>11912</v>
      </c>
      <c r="AL804" s="2">
        <v>6.01</v>
      </c>
      <c r="AM804" s="2">
        <v>6.05</v>
      </c>
      <c r="AN804" s="2">
        <v>0.81</v>
      </c>
      <c r="AO804" t="s">
        <v>11165</v>
      </c>
      <c r="AP804" t="s">
        <v>11929</v>
      </c>
      <c r="AQ804" t="s">
        <v>11928</v>
      </c>
    </row>
    <row r="805" spans="1:43" x14ac:dyDescent="0.2">
      <c r="A805" t="s">
        <v>11911</v>
      </c>
      <c r="B805" t="s">
        <v>11038</v>
      </c>
      <c r="C805" t="s">
        <v>11039</v>
      </c>
      <c r="D805" t="s">
        <v>11930</v>
      </c>
      <c r="E805" t="s">
        <v>11931</v>
      </c>
      <c r="F805" t="s">
        <v>11930</v>
      </c>
      <c r="G805" s="1">
        <v>11770000</v>
      </c>
      <c r="H805" s="2">
        <v>11769039.32</v>
      </c>
      <c r="I805" s="2">
        <v>11798675.130000001</v>
      </c>
      <c r="J805" s="2">
        <v>174837.06</v>
      </c>
      <c r="K805" s="2">
        <v>0</v>
      </c>
      <c r="L805" s="2">
        <v>11973512.189999999</v>
      </c>
      <c r="M805" s="3">
        <v>6.0853989999999998</v>
      </c>
      <c r="N805" s="4">
        <v>2.7241029999999999E-2</v>
      </c>
      <c r="O805" s="5">
        <v>44676</v>
      </c>
      <c r="P805" s="5">
        <v>44858</v>
      </c>
      <c r="Q805" s="1">
        <v>6.0919999999999996</v>
      </c>
      <c r="R805" s="2">
        <v>0.25</v>
      </c>
      <c r="S805" s="6">
        <v>-5.0177142469999998E-3</v>
      </c>
      <c r="T805" t="s">
        <v>111</v>
      </c>
      <c r="U805" t="s">
        <v>11040</v>
      </c>
      <c r="V805" t="s">
        <v>114</v>
      </c>
      <c r="W805" t="s">
        <v>43</v>
      </c>
      <c r="X805" t="s">
        <v>10988</v>
      </c>
      <c r="Y805" t="s">
        <v>44</v>
      </c>
      <c r="Z805" t="s">
        <v>44</v>
      </c>
      <c r="AA805" t="s">
        <v>10979</v>
      </c>
      <c r="AB805" t="s">
        <v>44</v>
      </c>
      <c r="AC805" s="4">
        <v>6.2258147800000003</v>
      </c>
      <c r="AD805" s="4">
        <v>6.0549217000000004</v>
      </c>
      <c r="AE805" s="2">
        <v>6.23</v>
      </c>
      <c r="AF805" s="4">
        <v>6.0549217000000004</v>
      </c>
      <c r="AG805" s="2">
        <v>2.15</v>
      </c>
      <c r="AH805" s="2">
        <v>11973512.189999999</v>
      </c>
      <c r="AI805" s="2">
        <v>0.03</v>
      </c>
      <c r="AJ805" s="5">
        <v>44673</v>
      </c>
      <c r="AK805" t="s">
        <v>11912</v>
      </c>
      <c r="AL805" s="2">
        <v>6.13</v>
      </c>
      <c r="AM805" s="2">
        <v>6.09</v>
      </c>
      <c r="AN805" s="2">
        <v>-0.01</v>
      </c>
      <c r="AO805" t="s">
        <v>11048</v>
      </c>
      <c r="AP805" t="s">
        <v>11932</v>
      </c>
      <c r="AQ805" t="s">
        <v>11931</v>
      </c>
    </row>
    <row r="806" spans="1:43" x14ac:dyDescent="0.2">
      <c r="A806" t="s">
        <v>11911</v>
      </c>
      <c r="B806" t="s">
        <v>11038</v>
      </c>
      <c r="C806" t="s">
        <v>11039</v>
      </c>
      <c r="D806" t="s">
        <v>11884</v>
      </c>
      <c r="E806" t="s">
        <v>11885</v>
      </c>
      <c r="F806" t="s">
        <v>11884</v>
      </c>
      <c r="G806" s="1">
        <v>12000000</v>
      </c>
      <c r="H806" s="2">
        <v>12000000</v>
      </c>
      <c r="I806" s="2">
        <v>12012006.84</v>
      </c>
      <c r="J806" s="2">
        <v>159511.23000000001</v>
      </c>
      <c r="K806" s="2">
        <v>0</v>
      </c>
      <c r="L806" s="2">
        <v>12171518.07</v>
      </c>
      <c r="M806" s="3">
        <v>5.529731</v>
      </c>
      <c r="N806" s="4">
        <v>2.7691509999999999E-2</v>
      </c>
      <c r="O806" s="5">
        <v>44679</v>
      </c>
      <c r="P806" s="5">
        <v>44862</v>
      </c>
      <c r="Q806" s="1">
        <v>5.7080000000000002</v>
      </c>
      <c r="R806" s="2">
        <v>0.01</v>
      </c>
      <c r="S806" s="6">
        <v>3.323205444E-3</v>
      </c>
      <c r="T806" t="s">
        <v>111</v>
      </c>
      <c r="U806" t="s">
        <v>11040</v>
      </c>
      <c r="V806" t="s">
        <v>114</v>
      </c>
      <c r="W806" t="s">
        <v>43</v>
      </c>
      <c r="X806" t="s">
        <v>10988</v>
      </c>
      <c r="Y806" t="s">
        <v>44</v>
      </c>
      <c r="Z806" t="s">
        <v>44</v>
      </c>
      <c r="AA806" t="s">
        <v>11465</v>
      </c>
      <c r="AB806" t="s">
        <v>44</v>
      </c>
      <c r="AC806" s="4">
        <v>5.6841506900000001</v>
      </c>
      <c r="AD806" s="4">
        <v>5.5412295399999998</v>
      </c>
      <c r="AE806" s="2">
        <v>5.68</v>
      </c>
      <c r="AF806" s="4">
        <v>5.5412295399999998</v>
      </c>
      <c r="AG806" s="2">
        <v>2.19</v>
      </c>
      <c r="AH806" s="2">
        <v>12171518.07</v>
      </c>
      <c r="AI806" s="2">
        <v>0.03</v>
      </c>
      <c r="AJ806" s="5">
        <v>44673</v>
      </c>
      <c r="AK806" t="s">
        <v>11912</v>
      </c>
      <c r="AL806" s="2">
        <v>5.61</v>
      </c>
      <c r="AM806" s="2">
        <v>5.71</v>
      </c>
      <c r="AN806" s="2">
        <v>0</v>
      </c>
      <c r="AO806" t="s">
        <v>11886</v>
      </c>
      <c r="AP806" t="s">
        <v>11887</v>
      </c>
      <c r="AQ806" t="s">
        <v>11885</v>
      </c>
    </row>
    <row r="807" spans="1:43" x14ac:dyDescent="0.2">
      <c r="A807" t="s">
        <v>11911</v>
      </c>
      <c r="B807" t="s">
        <v>11038</v>
      </c>
      <c r="C807" t="s">
        <v>11222</v>
      </c>
      <c r="D807" t="s">
        <v>11933</v>
      </c>
      <c r="E807" t="s">
        <v>11934</v>
      </c>
      <c r="F807" t="s">
        <v>11933</v>
      </c>
      <c r="G807" s="1">
        <v>7000000</v>
      </c>
      <c r="H807" s="2">
        <v>6846104.3399999999</v>
      </c>
      <c r="I807" s="2">
        <v>6826282.5999999996</v>
      </c>
      <c r="J807" s="2">
        <v>171406.03</v>
      </c>
      <c r="K807" s="2">
        <v>0</v>
      </c>
      <c r="L807" s="2">
        <v>6997688.6299999999</v>
      </c>
      <c r="M807" s="3">
        <v>7.1876509999999998</v>
      </c>
      <c r="N807" s="4">
        <v>1.5920500000000001E-2</v>
      </c>
      <c r="O807" s="5">
        <v>44701</v>
      </c>
      <c r="P807" s="5">
        <v>45432</v>
      </c>
      <c r="Q807" s="1">
        <v>5.88</v>
      </c>
      <c r="R807" s="2">
        <v>1.93</v>
      </c>
      <c r="S807" s="6">
        <v>1.86378459163</v>
      </c>
      <c r="T807" t="s">
        <v>111</v>
      </c>
      <c r="U807" t="s">
        <v>11040</v>
      </c>
      <c r="V807" t="s">
        <v>11041</v>
      </c>
      <c r="W807" t="s">
        <v>43</v>
      </c>
      <c r="X807" t="s">
        <v>44</v>
      </c>
      <c r="Y807" t="s">
        <v>44</v>
      </c>
      <c r="Z807" t="s">
        <v>44</v>
      </c>
      <c r="AA807" t="s">
        <v>10979</v>
      </c>
      <c r="AB807" t="s">
        <v>44</v>
      </c>
      <c r="AC807" s="4">
        <v>7.3168070500000004</v>
      </c>
      <c r="AD807" s="4">
        <v>7.0823266</v>
      </c>
      <c r="AE807" s="2">
        <v>7.32</v>
      </c>
      <c r="AF807" s="4">
        <v>7.0823266</v>
      </c>
      <c r="AG807" s="2">
        <v>1.26</v>
      </c>
      <c r="AH807" s="2">
        <v>6997688.6299999999</v>
      </c>
      <c r="AI807" s="2">
        <v>0.02</v>
      </c>
      <c r="AJ807" s="5">
        <v>44673</v>
      </c>
      <c r="AK807" t="s">
        <v>11912</v>
      </c>
      <c r="AL807" s="2">
        <v>7.19</v>
      </c>
      <c r="AM807" s="2">
        <v>5.88</v>
      </c>
      <c r="AN807" s="2">
        <v>1.86</v>
      </c>
      <c r="AO807" t="s">
        <v>11054</v>
      </c>
      <c r="AP807" t="s">
        <v>11935</v>
      </c>
      <c r="AQ807" t="s">
        <v>11934</v>
      </c>
    </row>
    <row r="808" spans="1:43" x14ac:dyDescent="0.2">
      <c r="A808" t="s">
        <v>11911</v>
      </c>
      <c r="B808" t="s">
        <v>11038</v>
      </c>
      <c r="C808" t="s">
        <v>11222</v>
      </c>
      <c r="D808" t="s">
        <v>12965</v>
      </c>
      <c r="E808" t="s">
        <v>12966</v>
      </c>
      <c r="F808" t="s">
        <v>12965</v>
      </c>
      <c r="G808" s="1">
        <v>10000000</v>
      </c>
      <c r="H808" s="2">
        <v>10000000</v>
      </c>
      <c r="I808" s="2">
        <v>10001461.42</v>
      </c>
      <c r="J808" s="2">
        <v>19378.080000000002</v>
      </c>
      <c r="K808" s="2">
        <v>0</v>
      </c>
      <c r="L808" s="2">
        <v>10020839.5</v>
      </c>
      <c r="M808" s="3">
        <v>6.4004060000000003</v>
      </c>
      <c r="N808" s="4">
        <v>2.2798490000000001E-2</v>
      </c>
      <c r="O808" s="5">
        <v>45057</v>
      </c>
      <c r="P808" s="5">
        <v>45057</v>
      </c>
      <c r="Q808" s="1">
        <v>6.43</v>
      </c>
      <c r="R808" s="2">
        <v>1.04</v>
      </c>
      <c r="S808" s="6">
        <v>0.97846466510999996</v>
      </c>
      <c r="T808" t="s">
        <v>111</v>
      </c>
      <c r="U808" t="s">
        <v>11040</v>
      </c>
      <c r="V808" t="s">
        <v>11041</v>
      </c>
      <c r="W808" t="s">
        <v>43</v>
      </c>
      <c r="X808" t="s">
        <v>11034</v>
      </c>
      <c r="Y808" t="s">
        <v>44</v>
      </c>
      <c r="Z808" t="s">
        <v>44</v>
      </c>
      <c r="AA808" t="s">
        <v>10979</v>
      </c>
      <c r="AB808" t="s">
        <v>44</v>
      </c>
      <c r="AC808" s="4">
        <v>6.3916291899999997</v>
      </c>
      <c r="AD808" s="4">
        <v>6.2116933599999999</v>
      </c>
      <c r="AE808" s="2">
        <v>6.39</v>
      </c>
      <c r="AF808" s="4">
        <v>6.2116933599999999</v>
      </c>
      <c r="AG808" s="2">
        <v>1.8</v>
      </c>
      <c r="AH808" s="2">
        <v>10020839.5</v>
      </c>
      <c r="AI808" s="2">
        <v>0.02</v>
      </c>
      <c r="AJ808" s="5">
        <v>44673</v>
      </c>
      <c r="AK808" t="s">
        <v>11912</v>
      </c>
      <c r="AL808" s="2">
        <v>6.29</v>
      </c>
      <c r="AM808" s="2">
        <v>6.43</v>
      </c>
      <c r="AN808" s="2">
        <v>0.98</v>
      </c>
      <c r="AO808" t="s">
        <v>11054</v>
      </c>
      <c r="AP808" t="s">
        <v>12967</v>
      </c>
      <c r="AQ808" t="s">
        <v>12966</v>
      </c>
    </row>
    <row r="809" spans="1:43" x14ac:dyDescent="0.2">
      <c r="A809" t="s">
        <v>11911</v>
      </c>
      <c r="B809" t="s">
        <v>11038</v>
      </c>
      <c r="C809" t="s">
        <v>11222</v>
      </c>
      <c r="D809" t="s">
        <v>11888</v>
      </c>
      <c r="E809" t="s">
        <v>11889</v>
      </c>
      <c r="F809" t="s">
        <v>11888</v>
      </c>
      <c r="G809" s="1">
        <v>12900000</v>
      </c>
      <c r="H809" s="2">
        <v>12934182.140000001</v>
      </c>
      <c r="I809" s="2">
        <v>12943912.029999999</v>
      </c>
      <c r="J809" s="2">
        <v>98287.039999999994</v>
      </c>
      <c r="K809" s="2">
        <v>0</v>
      </c>
      <c r="L809" s="2">
        <v>13042199.07</v>
      </c>
      <c r="M809" s="3">
        <v>5.6397240000000002</v>
      </c>
      <c r="N809" s="4">
        <v>2.967241E-2</v>
      </c>
      <c r="O809" s="5">
        <v>44718</v>
      </c>
      <c r="P809" s="5">
        <v>45083</v>
      </c>
      <c r="Q809" s="1">
        <v>5.9169999999999998</v>
      </c>
      <c r="R809" s="2">
        <v>0.12</v>
      </c>
      <c r="S809" s="6">
        <v>0.10153073584699999</v>
      </c>
      <c r="T809" t="s">
        <v>111</v>
      </c>
      <c r="U809" t="s">
        <v>11040</v>
      </c>
      <c r="V809" t="s">
        <v>114</v>
      </c>
      <c r="W809" t="s">
        <v>43</v>
      </c>
      <c r="X809" t="s">
        <v>10988</v>
      </c>
      <c r="Y809" t="s">
        <v>44</v>
      </c>
      <c r="Z809" t="s">
        <v>44</v>
      </c>
      <c r="AA809" t="s">
        <v>10913</v>
      </c>
      <c r="AB809" t="s">
        <v>44</v>
      </c>
      <c r="AC809" s="4">
        <v>5.7825122599999998</v>
      </c>
      <c r="AD809" s="4">
        <v>5.63469072</v>
      </c>
      <c r="AE809" s="2">
        <v>5.78</v>
      </c>
      <c r="AF809" s="4">
        <v>5.63469072</v>
      </c>
      <c r="AG809" s="2">
        <v>2.35</v>
      </c>
      <c r="AH809" s="2">
        <v>13042199.07</v>
      </c>
      <c r="AI809" s="2">
        <v>0.03</v>
      </c>
      <c r="AJ809" s="5">
        <v>44673</v>
      </c>
      <c r="AK809" t="s">
        <v>11912</v>
      </c>
      <c r="AL809" s="2">
        <v>5.7</v>
      </c>
      <c r="AM809" s="2">
        <v>5.92</v>
      </c>
      <c r="AN809" s="2">
        <v>0.1</v>
      </c>
      <c r="AO809" t="s">
        <v>11563</v>
      </c>
      <c r="AP809" t="s">
        <v>11890</v>
      </c>
      <c r="AQ809" t="s">
        <v>11889</v>
      </c>
    </row>
    <row r="810" spans="1:43" x14ac:dyDescent="0.2">
      <c r="A810" t="s">
        <v>11911</v>
      </c>
      <c r="B810" t="s">
        <v>11038</v>
      </c>
      <c r="C810" t="s">
        <v>11222</v>
      </c>
      <c r="D810" t="s">
        <v>11891</v>
      </c>
      <c r="E810" t="s">
        <v>11892</v>
      </c>
      <c r="F810" t="s">
        <v>11891</v>
      </c>
      <c r="G810" s="1">
        <v>11000000</v>
      </c>
      <c r="H810" s="2">
        <v>11003346.15</v>
      </c>
      <c r="I810" s="2">
        <v>11016580.810000001</v>
      </c>
      <c r="J810" s="2">
        <v>94321.23</v>
      </c>
      <c r="K810" s="2">
        <v>0</v>
      </c>
      <c r="L810" s="2">
        <v>11110902.039999999</v>
      </c>
      <c r="M810" s="3">
        <v>7.9353490000000004</v>
      </c>
      <c r="N810" s="4">
        <v>2.5278499999999999E-2</v>
      </c>
      <c r="O810" s="5">
        <v>44727</v>
      </c>
      <c r="P810" s="5">
        <v>45642</v>
      </c>
      <c r="Q810" s="1">
        <v>8.0250000000000004</v>
      </c>
      <c r="R810" s="2">
        <v>0.14000000000000001</v>
      </c>
      <c r="S810" s="6">
        <v>7.6335008319000003E-2</v>
      </c>
      <c r="T810" t="s">
        <v>111</v>
      </c>
      <c r="U810" t="s">
        <v>11040</v>
      </c>
      <c r="V810" t="s">
        <v>114</v>
      </c>
      <c r="W810" t="s">
        <v>43</v>
      </c>
      <c r="X810" t="s">
        <v>10988</v>
      </c>
      <c r="Y810" t="s">
        <v>44</v>
      </c>
      <c r="Z810" t="s">
        <v>44</v>
      </c>
      <c r="AA810" t="s">
        <v>44</v>
      </c>
      <c r="AB810" t="s">
        <v>44</v>
      </c>
      <c r="AC810" s="4">
        <v>8.2114278699999996</v>
      </c>
      <c r="AD810" s="4">
        <v>7.9176856799999999</v>
      </c>
      <c r="AE810" s="2">
        <v>8.2100000000000009</v>
      </c>
      <c r="AF810" s="4">
        <v>7.9176856799999999</v>
      </c>
      <c r="AG810" s="2">
        <v>2</v>
      </c>
      <c r="AH810" s="2">
        <v>11110902.039999999</v>
      </c>
      <c r="AI810" s="2">
        <v>0.03</v>
      </c>
      <c r="AJ810" s="5">
        <v>44673</v>
      </c>
      <c r="AK810" t="s">
        <v>11912</v>
      </c>
      <c r="AL810" s="2">
        <v>8.0500000000000007</v>
      </c>
      <c r="AM810" s="2">
        <v>8.0299999999999994</v>
      </c>
      <c r="AN810" s="2">
        <v>0.08</v>
      </c>
      <c r="AO810" t="s">
        <v>11871</v>
      </c>
      <c r="AP810" t="s">
        <v>11893</v>
      </c>
      <c r="AQ810" t="s">
        <v>11892</v>
      </c>
    </row>
    <row r="811" spans="1:43" x14ac:dyDescent="0.2">
      <c r="A811" t="s">
        <v>11911</v>
      </c>
      <c r="B811" t="s">
        <v>11038</v>
      </c>
      <c r="C811" t="s">
        <v>11222</v>
      </c>
      <c r="D811" t="s">
        <v>11648</v>
      </c>
      <c r="E811" t="s">
        <v>11649</v>
      </c>
      <c r="F811" t="s">
        <v>11648</v>
      </c>
      <c r="G811" s="1">
        <v>4400000</v>
      </c>
      <c r="H811" s="2">
        <v>4400000</v>
      </c>
      <c r="I811" s="2">
        <v>4412761.08</v>
      </c>
      <c r="J811" s="2">
        <v>40144.639999999999</v>
      </c>
      <c r="K811" s="2">
        <v>0</v>
      </c>
      <c r="L811" s="2">
        <v>4452905.72</v>
      </c>
      <c r="M811" s="3">
        <v>6.0302819999999997</v>
      </c>
      <c r="N811" s="4">
        <v>1.013084E-2</v>
      </c>
      <c r="O811" s="5">
        <v>44712</v>
      </c>
      <c r="P811" s="5">
        <v>45260</v>
      </c>
      <c r="Q811" s="1">
        <v>6.1669999999999998</v>
      </c>
      <c r="R811" s="2">
        <v>0.1</v>
      </c>
      <c r="S811" s="6">
        <v>7.8177650525999995E-2</v>
      </c>
      <c r="T811" t="s">
        <v>111</v>
      </c>
      <c r="U811" t="s">
        <v>11040</v>
      </c>
      <c r="V811" t="s">
        <v>114</v>
      </c>
      <c r="W811" t="s">
        <v>43</v>
      </c>
      <c r="X811" t="s">
        <v>10988</v>
      </c>
      <c r="Y811" t="s">
        <v>44</v>
      </c>
      <c r="Z811" t="s">
        <v>44</v>
      </c>
      <c r="AA811" t="s">
        <v>10979</v>
      </c>
      <c r="AB811" t="s">
        <v>44</v>
      </c>
      <c r="AC811" s="4">
        <v>6.1968427300000002</v>
      </c>
      <c r="AD811" s="4">
        <v>6.0275066400000004</v>
      </c>
      <c r="AE811" s="2">
        <v>6.2</v>
      </c>
      <c r="AF811" s="4">
        <v>6.0275066400000004</v>
      </c>
      <c r="AG811" s="2">
        <v>0.8</v>
      </c>
      <c r="AH811" s="2">
        <v>4452905.72</v>
      </c>
      <c r="AI811" s="2">
        <v>0.01</v>
      </c>
      <c r="AJ811" s="5">
        <v>44673</v>
      </c>
      <c r="AK811" t="s">
        <v>11912</v>
      </c>
      <c r="AL811" s="2">
        <v>6.1</v>
      </c>
      <c r="AM811" s="2">
        <v>6.17</v>
      </c>
      <c r="AN811" s="2">
        <v>0.08</v>
      </c>
      <c r="AO811" t="s">
        <v>11048</v>
      </c>
      <c r="AP811" t="s">
        <v>11650</v>
      </c>
      <c r="AQ811" t="s">
        <v>11649</v>
      </c>
    </row>
    <row r="812" spans="1:43" x14ac:dyDescent="0.2">
      <c r="A812" t="s">
        <v>11911</v>
      </c>
      <c r="B812" t="s">
        <v>11038</v>
      </c>
      <c r="C812" t="s">
        <v>11222</v>
      </c>
      <c r="D812" t="s">
        <v>11894</v>
      </c>
      <c r="E812" t="s">
        <v>11895</v>
      </c>
      <c r="F812" t="s">
        <v>11894</v>
      </c>
      <c r="G812" s="1">
        <v>2300000</v>
      </c>
      <c r="H812" s="2">
        <v>2300314.64</v>
      </c>
      <c r="I812" s="2">
        <v>2299794.66</v>
      </c>
      <c r="J812" s="2">
        <v>15543.9</v>
      </c>
      <c r="K812" s="2">
        <v>0</v>
      </c>
      <c r="L812" s="2">
        <v>2315338.56</v>
      </c>
      <c r="M812" s="3">
        <v>6.3053489999999996</v>
      </c>
      <c r="N812" s="4">
        <v>5.2676399999999996E-3</v>
      </c>
      <c r="O812" s="5">
        <v>44727</v>
      </c>
      <c r="P812" s="5">
        <v>45366</v>
      </c>
      <c r="Q812" s="1">
        <v>6.3250000000000002</v>
      </c>
      <c r="R812" s="2">
        <v>0.14000000000000001</v>
      </c>
      <c r="S812" s="6">
        <v>0.10845508335</v>
      </c>
      <c r="T812" t="s">
        <v>111</v>
      </c>
      <c r="U812" t="s">
        <v>11040</v>
      </c>
      <c r="V812" t="s">
        <v>114</v>
      </c>
      <c r="W812" t="s">
        <v>43</v>
      </c>
      <c r="X812" t="s">
        <v>10988</v>
      </c>
      <c r="Y812" t="s">
        <v>44</v>
      </c>
      <c r="Z812" t="s">
        <v>44</v>
      </c>
      <c r="AA812" t="s">
        <v>10979</v>
      </c>
      <c r="AB812" t="s">
        <v>44</v>
      </c>
      <c r="AC812" s="4">
        <v>6.4789744799999998</v>
      </c>
      <c r="AD812" s="4">
        <v>6.2941851800000004</v>
      </c>
      <c r="AE812" s="2">
        <v>6.48</v>
      </c>
      <c r="AF812" s="4">
        <v>6.2941851800000004</v>
      </c>
      <c r="AG812" s="2">
        <v>0.42</v>
      </c>
      <c r="AH812" s="2">
        <v>2315338.56</v>
      </c>
      <c r="AI812" s="2">
        <v>0.01</v>
      </c>
      <c r="AJ812" s="5">
        <v>44673</v>
      </c>
      <c r="AK812" t="s">
        <v>11912</v>
      </c>
      <c r="AL812" s="2">
        <v>6.38</v>
      </c>
      <c r="AM812" s="2">
        <v>6.33</v>
      </c>
      <c r="AN812" s="2">
        <v>0.11</v>
      </c>
      <c r="AO812" t="s">
        <v>11567</v>
      </c>
      <c r="AP812" t="s">
        <v>11896</v>
      </c>
      <c r="AQ812" t="s">
        <v>11895</v>
      </c>
    </row>
    <row r="813" spans="1:43" x14ac:dyDescent="0.2">
      <c r="A813" t="s">
        <v>11911</v>
      </c>
      <c r="B813" t="s">
        <v>11038</v>
      </c>
      <c r="C813" t="s">
        <v>11222</v>
      </c>
      <c r="D813" t="s">
        <v>11897</v>
      </c>
      <c r="E813" t="s">
        <v>11898</v>
      </c>
      <c r="F813" t="s">
        <v>11897</v>
      </c>
      <c r="G813" s="1">
        <v>1700000</v>
      </c>
      <c r="H813" s="2">
        <v>1700169.51</v>
      </c>
      <c r="I813" s="2">
        <v>1699778.09</v>
      </c>
      <c r="J813" s="2">
        <v>13609.27</v>
      </c>
      <c r="K813" s="2">
        <v>0</v>
      </c>
      <c r="L813" s="2">
        <v>1713387.36</v>
      </c>
      <c r="M813" s="3">
        <v>6.2678570000000002</v>
      </c>
      <c r="N813" s="4">
        <v>3.89814E-3</v>
      </c>
      <c r="O813" s="5">
        <v>44719</v>
      </c>
      <c r="P813" s="5">
        <v>45723</v>
      </c>
      <c r="Q813" s="1">
        <v>6.2169999999999996</v>
      </c>
      <c r="R813" s="2">
        <v>0.12</v>
      </c>
      <c r="S813" s="6">
        <v>7.7282729554999999E-2</v>
      </c>
      <c r="T813" t="s">
        <v>111</v>
      </c>
      <c r="U813" t="s">
        <v>11040</v>
      </c>
      <c r="V813" t="s">
        <v>114</v>
      </c>
      <c r="W813" t="s">
        <v>43</v>
      </c>
      <c r="X813" t="s">
        <v>10988</v>
      </c>
      <c r="Y813" t="s">
        <v>44</v>
      </c>
      <c r="Z813" t="s">
        <v>44</v>
      </c>
      <c r="AA813" t="s">
        <v>11035</v>
      </c>
      <c r="AB813" t="s">
        <v>44</v>
      </c>
      <c r="AC813" s="4">
        <v>6.4439416999999999</v>
      </c>
      <c r="AD813" s="4">
        <v>6.2611065000000004</v>
      </c>
      <c r="AE813" s="2">
        <v>6.44</v>
      </c>
      <c r="AF813" s="4">
        <v>6.2611065000000004</v>
      </c>
      <c r="AG813" s="2">
        <v>0.31</v>
      </c>
      <c r="AH813" s="2">
        <v>1713387.36</v>
      </c>
      <c r="AI813" s="2">
        <v>0</v>
      </c>
      <c r="AJ813" s="5">
        <v>44673</v>
      </c>
      <c r="AK813" t="s">
        <v>11912</v>
      </c>
      <c r="AL813" s="2">
        <v>6.34</v>
      </c>
      <c r="AM813" s="2">
        <v>6.22</v>
      </c>
      <c r="AN813" s="2">
        <v>0.08</v>
      </c>
      <c r="AO813" t="s">
        <v>11437</v>
      </c>
      <c r="AP813" t="s">
        <v>11899</v>
      </c>
      <c r="AQ813" t="s">
        <v>11898</v>
      </c>
    </row>
    <row r="814" spans="1:43" x14ac:dyDescent="0.2">
      <c r="A814" t="s">
        <v>11911</v>
      </c>
      <c r="B814" t="s">
        <v>11038</v>
      </c>
      <c r="C814" t="s">
        <v>11222</v>
      </c>
      <c r="D814" t="s">
        <v>11924</v>
      </c>
      <c r="E814" t="s">
        <v>11925</v>
      </c>
      <c r="F814" t="s">
        <v>11924</v>
      </c>
      <c r="G814" s="1">
        <v>5000000</v>
      </c>
      <c r="H814" s="2">
        <v>4999136.21</v>
      </c>
      <c r="I814" s="2">
        <v>5129146.6500000004</v>
      </c>
      <c r="J814" s="2">
        <v>3566.03</v>
      </c>
      <c r="K814" s="2">
        <v>0</v>
      </c>
      <c r="L814" s="2">
        <v>5132712.68</v>
      </c>
      <c r="M814" s="3">
        <v>5.0620180000000001</v>
      </c>
      <c r="N814" s="4">
        <v>1.1677470000000001E-2</v>
      </c>
      <c r="O814" s="5">
        <v>44760</v>
      </c>
      <c r="P814" s="5">
        <v>45400</v>
      </c>
      <c r="Q814" s="1">
        <v>6.508</v>
      </c>
      <c r="R814" s="2">
        <v>0.23</v>
      </c>
      <c r="S814" s="6">
        <v>0.23106658820500001</v>
      </c>
      <c r="T814" t="s">
        <v>111</v>
      </c>
      <c r="U814" t="s">
        <v>11040</v>
      </c>
      <c r="V814" t="s">
        <v>114</v>
      </c>
      <c r="W814" t="s">
        <v>43</v>
      </c>
      <c r="X814" t="s">
        <v>10988</v>
      </c>
      <c r="Y814" t="s">
        <v>44</v>
      </c>
      <c r="Z814" t="s">
        <v>44</v>
      </c>
      <c r="AA814" t="s">
        <v>10913</v>
      </c>
      <c r="AB814" t="s">
        <v>44</v>
      </c>
      <c r="AC814" s="4">
        <v>5.1615543300000004</v>
      </c>
      <c r="AD814" s="4">
        <v>5.04332782</v>
      </c>
      <c r="AE814" s="2">
        <v>5.16</v>
      </c>
      <c r="AF814" s="4">
        <v>5.04332782</v>
      </c>
      <c r="AG814" s="2">
        <v>0.92</v>
      </c>
      <c r="AH814" s="2">
        <v>5132712.68</v>
      </c>
      <c r="AI814" s="2">
        <v>0.01</v>
      </c>
      <c r="AJ814" s="5">
        <v>44673</v>
      </c>
      <c r="AK814" t="s">
        <v>11912</v>
      </c>
      <c r="AL814" s="2">
        <v>5.0999999999999996</v>
      </c>
      <c r="AM814" s="2">
        <v>6.51</v>
      </c>
      <c r="AN814" s="2">
        <v>0.23</v>
      </c>
      <c r="AO814" t="s">
        <v>11563</v>
      </c>
      <c r="AP814" t="s">
        <v>11926</v>
      </c>
      <c r="AQ814" t="s">
        <v>11925</v>
      </c>
    </row>
    <row r="815" spans="1:43" x14ac:dyDescent="0.2">
      <c r="A815" t="s">
        <v>11911</v>
      </c>
      <c r="B815" t="s">
        <v>11038</v>
      </c>
      <c r="C815" t="s">
        <v>11222</v>
      </c>
      <c r="D815" t="s">
        <v>11900</v>
      </c>
      <c r="E815" t="s">
        <v>11901</v>
      </c>
      <c r="F815" t="s">
        <v>11900</v>
      </c>
      <c r="G815" s="1">
        <v>16860000</v>
      </c>
      <c r="H815" s="2">
        <v>16863312.32</v>
      </c>
      <c r="I815" s="2">
        <v>16915743.760000002</v>
      </c>
      <c r="J815" s="2">
        <v>213910.44</v>
      </c>
      <c r="K815" s="2">
        <v>0</v>
      </c>
      <c r="L815" s="2">
        <v>17129654.199999999</v>
      </c>
      <c r="M815" s="3">
        <v>6.1260430000000001</v>
      </c>
      <c r="N815" s="4">
        <v>3.8971810000000003E-2</v>
      </c>
      <c r="O815" s="5">
        <v>44690</v>
      </c>
      <c r="P815" s="5">
        <v>45330</v>
      </c>
      <c r="Q815" s="1">
        <v>6.258</v>
      </c>
      <c r="R815" s="2">
        <v>0.04</v>
      </c>
      <c r="S815" s="6">
        <v>1.7773178866000001E-2</v>
      </c>
      <c r="T815" t="s">
        <v>111</v>
      </c>
      <c r="U815" t="s">
        <v>11040</v>
      </c>
      <c r="V815" t="s">
        <v>114</v>
      </c>
      <c r="W815" t="s">
        <v>43</v>
      </c>
      <c r="X815" t="s">
        <v>10988</v>
      </c>
      <c r="Y815" t="s">
        <v>44</v>
      </c>
      <c r="Z815" t="s">
        <v>44</v>
      </c>
      <c r="AA815" t="s">
        <v>10979</v>
      </c>
      <c r="AB815" t="s">
        <v>44</v>
      </c>
      <c r="AC815" s="4">
        <v>6.3099366400000001</v>
      </c>
      <c r="AD815" s="4">
        <v>6.1344839599999998</v>
      </c>
      <c r="AE815" s="2">
        <v>6.31</v>
      </c>
      <c r="AF815" s="4">
        <v>6.1344839599999998</v>
      </c>
      <c r="AG815" s="2">
        <v>3.08</v>
      </c>
      <c r="AH815" s="2">
        <v>17129654.199999999</v>
      </c>
      <c r="AI815" s="2">
        <v>0.04</v>
      </c>
      <c r="AJ815" s="5">
        <v>44673</v>
      </c>
      <c r="AK815" t="s">
        <v>11912</v>
      </c>
      <c r="AL815" s="2">
        <v>6.21</v>
      </c>
      <c r="AM815" s="2">
        <v>6.26</v>
      </c>
      <c r="AN815" s="2">
        <v>0.02</v>
      </c>
      <c r="AO815" t="s">
        <v>11824</v>
      </c>
      <c r="AP815" t="s">
        <v>11902</v>
      </c>
      <c r="AQ815" t="s">
        <v>11901</v>
      </c>
    </row>
    <row r="816" spans="1:43" x14ac:dyDescent="0.2">
      <c r="A816" t="s">
        <v>11911</v>
      </c>
      <c r="B816" t="s">
        <v>11038</v>
      </c>
      <c r="C816" t="s">
        <v>11222</v>
      </c>
      <c r="D816" t="s">
        <v>11903</v>
      </c>
      <c r="E816" t="s">
        <v>11904</v>
      </c>
      <c r="F816" t="s">
        <v>11903</v>
      </c>
      <c r="G816" s="1">
        <v>4000000</v>
      </c>
      <c r="H816" s="2">
        <v>4000000</v>
      </c>
      <c r="I816" s="2">
        <v>3999911.8</v>
      </c>
      <c r="J816" s="2">
        <v>48660.160000000003</v>
      </c>
      <c r="K816" s="2">
        <v>0</v>
      </c>
      <c r="L816" s="2">
        <v>4048571.96</v>
      </c>
      <c r="M816" s="3">
        <v>6.2325840000000001</v>
      </c>
      <c r="N816" s="4">
        <v>9.2109400000000008E-3</v>
      </c>
      <c r="O816" s="5">
        <v>44691</v>
      </c>
      <c r="P816" s="5">
        <v>45422</v>
      </c>
      <c r="Q816" s="1">
        <v>6.1669999999999998</v>
      </c>
      <c r="R816" s="2">
        <v>0.04</v>
      </c>
      <c r="S816" s="6">
        <v>1.3346666328999999E-2</v>
      </c>
      <c r="T816" t="s">
        <v>111</v>
      </c>
      <c r="U816" t="s">
        <v>11040</v>
      </c>
      <c r="V816" t="s">
        <v>114</v>
      </c>
      <c r="W816" t="s">
        <v>43</v>
      </c>
      <c r="X816" t="s">
        <v>10988</v>
      </c>
      <c r="Y816" t="s">
        <v>44</v>
      </c>
      <c r="Z816" t="s">
        <v>44</v>
      </c>
      <c r="AA816" t="s">
        <v>11035</v>
      </c>
      <c r="AB816" t="s">
        <v>44</v>
      </c>
      <c r="AC816" s="4">
        <v>6.4224278899999998</v>
      </c>
      <c r="AD816" s="4">
        <v>6.2407877699999998</v>
      </c>
      <c r="AE816" s="2">
        <v>6.42</v>
      </c>
      <c r="AF816" s="4">
        <v>6.2407877699999998</v>
      </c>
      <c r="AG816" s="2">
        <v>0.73</v>
      </c>
      <c r="AH816" s="2">
        <v>4048571.96</v>
      </c>
      <c r="AI816" s="2">
        <v>0.01</v>
      </c>
      <c r="AJ816" s="5">
        <v>44673</v>
      </c>
      <c r="AK816" t="s">
        <v>11912</v>
      </c>
      <c r="AL816" s="2">
        <v>6.32</v>
      </c>
      <c r="AM816" s="2">
        <v>6.17</v>
      </c>
      <c r="AN816" s="2">
        <v>0.01</v>
      </c>
      <c r="AO816" t="s">
        <v>11437</v>
      </c>
      <c r="AP816" t="s">
        <v>11905</v>
      </c>
      <c r="AQ816" t="s">
        <v>11904</v>
      </c>
    </row>
    <row r="817" spans="1:43" x14ac:dyDescent="0.2">
      <c r="A817" t="s">
        <v>11911</v>
      </c>
      <c r="B817" t="s">
        <v>11038</v>
      </c>
      <c r="C817" t="s">
        <v>11222</v>
      </c>
      <c r="D817" t="s">
        <v>11936</v>
      </c>
      <c r="E817" t="s">
        <v>11937</v>
      </c>
      <c r="F817" t="s">
        <v>11936</v>
      </c>
      <c r="G817" s="1">
        <v>1000000</v>
      </c>
      <c r="H817" s="2">
        <v>1000000</v>
      </c>
      <c r="I817" s="2">
        <v>971237.37</v>
      </c>
      <c r="J817" s="2">
        <v>10432.879999999999</v>
      </c>
      <c r="K817" s="2">
        <v>0</v>
      </c>
      <c r="L817" s="2">
        <v>981670.25</v>
      </c>
      <c r="M817" s="3">
        <v>7.314165</v>
      </c>
      <c r="N817" s="4">
        <v>2.2334099999999999E-3</v>
      </c>
      <c r="O817" s="5">
        <v>44791</v>
      </c>
      <c r="P817" s="5">
        <v>45523</v>
      </c>
      <c r="Q817" s="1">
        <v>5.95</v>
      </c>
      <c r="R817" s="2">
        <v>2.1800000000000002</v>
      </c>
      <c r="S817" s="6">
        <v>2.1006662257599999</v>
      </c>
      <c r="T817" t="s">
        <v>111</v>
      </c>
      <c r="U817" t="s">
        <v>11040</v>
      </c>
      <c r="V817" t="s">
        <v>11041</v>
      </c>
      <c r="W817" t="s">
        <v>43</v>
      </c>
      <c r="X817" t="s">
        <v>11034</v>
      </c>
      <c r="Y817" t="s">
        <v>44</v>
      </c>
      <c r="Z817" t="s">
        <v>44</v>
      </c>
      <c r="AA817" t="s">
        <v>10979</v>
      </c>
      <c r="AB817" t="s">
        <v>44</v>
      </c>
      <c r="AC817" s="4">
        <v>7.4479071299999999</v>
      </c>
      <c r="AD817" s="4">
        <v>7.2051405900000001</v>
      </c>
      <c r="AE817" s="2">
        <v>7.45</v>
      </c>
      <c r="AF817" s="4">
        <v>7.2051405900000001</v>
      </c>
      <c r="AG817" s="2">
        <v>0.18</v>
      </c>
      <c r="AH817" s="2">
        <v>981670.25</v>
      </c>
      <c r="AI817" s="2">
        <v>0</v>
      </c>
      <c r="AJ817" s="5">
        <v>44673</v>
      </c>
      <c r="AK817" t="s">
        <v>11912</v>
      </c>
      <c r="AL817" s="2">
        <v>7.31</v>
      </c>
      <c r="AM817" s="2">
        <v>5.95</v>
      </c>
      <c r="AN817" s="2">
        <v>2.1</v>
      </c>
      <c r="AO817" t="s">
        <v>11179</v>
      </c>
      <c r="AP817" t="s">
        <v>11938</v>
      </c>
      <c r="AQ817" t="s">
        <v>11937</v>
      </c>
    </row>
    <row r="818" spans="1:43" x14ac:dyDescent="0.2">
      <c r="A818" t="s">
        <v>11911</v>
      </c>
      <c r="B818" t="s">
        <v>11038</v>
      </c>
      <c r="C818" t="s">
        <v>11222</v>
      </c>
      <c r="D818" t="s">
        <v>11906</v>
      </c>
      <c r="E818" t="s">
        <v>11907</v>
      </c>
      <c r="F818" t="s">
        <v>11906</v>
      </c>
      <c r="G818" s="1">
        <v>32000000</v>
      </c>
      <c r="H818" s="2">
        <v>32002241.129999999</v>
      </c>
      <c r="I818" s="2">
        <v>32046309.41</v>
      </c>
      <c r="J818" s="2">
        <v>307079.01</v>
      </c>
      <c r="K818" s="2">
        <v>0</v>
      </c>
      <c r="L818" s="2">
        <v>32353388.420000002</v>
      </c>
      <c r="M818" s="3">
        <v>5.7430570000000003</v>
      </c>
      <c r="N818" s="4">
        <v>7.3607439999999996E-2</v>
      </c>
      <c r="O818" s="5">
        <v>44704</v>
      </c>
      <c r="P818" s="5">
        <v>45343</v>
      </c>
      <c r="Q818" s="1">
        <v>5.742</v>
      </c>
      <c r="R818" s="2">
        <v>0.08</v>
      </c>
      <c r="S818" s="6">
        <v>5.7362487435999997E-2</v>
      </c>
      <c r="T818" t="s">
        <v>111</v>
      </c>
      <c r="U818" t="s">
        <v>11040</v>
      </c>
      <c r="V818" t="s">
        <v>114</v>
      </c>
      <c r="W818" t="s">
        <v>43</v>
      </c>
      <c r="X818" t="s">
        <v>10988</v>
      </c>
      <c r="Y818" t="s">
        <v>44</v>
      </c>
      <c r="Z818" t="s">
        <v>44</v>
      </c>
      <c r="AA818" t="s">
        <v>11035</v>
      </c>
      <c r="AB818" t="s">
        <v>44</v>
      </c>
      <c r="AC818" s="4">
        <v>5.8978146699999998</v>
      </c>
      <c r="AD818" s="4">
        <v>5.7441473600000004</v>
      </c>
      <c r="AE818" s="2">
        <v>5.9</v>
      </c>
      <c r="AF818" s="4">
        <v>5.7441473600000004</v>
      </c>
      <c r="AG818" s="2">
        <v>5.82</v>
      </c>
      <c r="AH818" s="2">
        <v>32353388.420000002</v>
      </c>
      <c r="AI818" s="2">
        <v>7.0000000000000007E-2</v>
      </c>
      <c r="AJ818" s="5">
        <v>44673</v>
      </c>
      <c r="AK818" t="s">
        <v>11912</v>
      </c>
      <c r="AL818" s="2">
        <v>5.81</v>
      </c>
      <c r="AM818" s="2">
        <v>5.74</v>
      </c>
      <c r="AN818" s="2">
        <v>0.06</v>
      </c>
      <c r="AO818" t="s">
        <v>11036</v>
      </c>
      <c r="AP818" t="s">
        <v>11908</v>
      </c>
      <c r="AQ818" t="s">
        <v>11907</v>
      </c>
    </row>
    <row r="819" spans="1:43" x14ac:dyDescent="0.2">
      <c r="A819" t="s">
        <v>11911</v>
      </c>
      <c r="B819" t="s">
        <v>11038</v>
      </c>
      <c r="C819" t="s">
        <v>11222</v>
      </c>
      <c r="D819" t="s">
        <v>11939</v>
      </c>
      <c r="E819" t="s">
        <v>11940</v>
      </c>
      <c r="F819" t="s">
        <v>11939</v>
      </c>
      <c r="G819" s="1">
        <v>500000</v>
      </c>
      <c r="H819" s="2">
        <v>500000</v>
      </c>
      <c r="I819" s="2">
        <v>502249.06</v>
      </c>
      <c r="J819" s="2">
        <v>7488.19</v>
      </c>
      <c r="K819" s="2">
        <v>0</v>
      </c>
      <c r="L819" s="2">
        <v>509737.25</v>
      </c>
      <c r="M819" s="3">
        <v>6.1653989999999999</v>
      </c>
      <c r="N819" s="4">
        <v>1.15971E-3</v>
      </c>
      <c r="O819" s="5">
        <v>44676</v>
      </c>
      <c r="P819" s="5">
        <v>45040</v>
      </c>
      <c r="Q819" s="1">
        <v>6.1420000000000003</v>
      </c>
      <c r="R819" s="2">
        <v>0.25</v>
      </c>
      <c r="S819" s="6">
        <v>-9.3753711189999995E-3</v>
      </c>
      <c r="T819" t="s">
        <v>111</v>
      </c>
      <c r="U819" t="s">
        <v>11040</v>
      </c>
      <c r="V819" t="s">
        <v>114</v>
      </c>
      <c r="W819" t="s">
        <v>43</v>
      </c>
      <c r="X819" t="s">
        <v>10988</v>
      </c>
      <c r="Y819" t="s">
        <v>44</v>
      </c>
      <c r="Z819" t="s">
        <v>44</v>
      </c>
      <c r="AA819" t="s">
        <v>10979</v>
      </c>
      <c r="AB819" t="s">
        <v>44</v>
      </c>
      <c r="AC819" s="4">
        <v>6.3095501499999997</v>
      </c>
      <c r="AD819" s="4">
        <v>6.1341185500000002</v>
      </c>
      <c r="AE819" s="2">
        <v>6.31</v>
      </c>
      <c r="AF819" s="4">
        <v>6.1341185500000002</v>
      </c>
      <c r="AG819" s="2">
        <v>0.09</v>
      </c>
      <c r="AH819" s="2">
        <v>509737.25</v>
      </c>
      <c r="AI819" s="2">
        <v>0</v>
      </c>
      <c r="AJ819" s="5">
        <v>44673</v>
      </c>
      <c r="AK819" t="s">
        <v>11912</v>
      </c>
      <c r="AL819" s="2">
        <v>6.21</v>
      </c>
      <c r="AM819" s="2">
        <v>6.14</v>
      </c>
      <c r="AN819" s="2">
        <v>-0.01</v>
      </c>
      <c r="AO819" t="s">
        <v>11618</v>
      </c>
      <c r="AP819" t="s">
        <v>11941</v>
      </c>
      <c r="AQ819" t="s">
        <v>11940</v>
      </c>
    </row>
    <row r="820" spans="1:43" x14ac:dyDescent="0.2">
      <c r="A820" t="s">
        <v>11942</v>
      </c>
      <c r="B820" t="s">
        <v>10900</v>
      </c>
      <c r="C820" t="s">
        <v>10943</v>
      </c>
      <c r="D820" t="s">
        <v>11135</v>
      </c>
      <c r="E820" t="s">
        <v>10946</v>
      </c>
      <c r="F820" t="s">
        <v>11135</v>
      </c>
      <c r="G820" s="1">
        <v>7132000</v>
      </c>
      <c r="H820" s="2">
        <v>8005697.2000000002</v>
      </c>
      <c r="I820" s="2">
        <v>7748415.1900000004</v>
      </c>
      <c r="J820" s="2">
        <v>252355.56</v>
      </c>
      <c r="K820" s="2">
        <v>0</v>
      </c>
      <c r="L820" s="2">
        <v>8000770.75</v>
      </c>
      <c r="M820" s="3">
        <v>8.2249999999999996</v>
      </c>
      <c r="N820" s="4">
        <v>1.8202610000000001E-2</v>
      </c>
      <c r="O820" s="5">
        <v>44733</v>
      </c>
      <c r="P820" s="5">
        <v>46377</v>
      </c>
      <c r="Q820" s="1">
        <v>10.5</v>
      </c>
      <c r="R820" s="2">
        <v>3.72</v>
      </c>
      <c r="S820" s="6">
        <v>3.572672968</v>
      </c>
      <c r="T820" t="s">
        <v>111</v>
      </c>
      <c r="U820" t="s">
        <v>111</v>
      </c>
      <c r="V820" t="s">
        <v>10944</v>
      </c>
      <c r="W820" t="s">
        <v>43</v>
      </c>
      <c r="X820" t="s">
        <v>10945</v>
      </c>
      <c r="Y820" t="s">
        <v>44</v>
      </c>
      <c r="Z820" t="s">
        <v>44</v>
      </c>
      <c r="AA820" t="s">
        <v>10913</v>
      </c>
      <c r="AB820" t="s">
        <v>44</v>
      </c>
      <c r="AC820" s="4">
        <v>8.3941265600000001</v>
      </c>
      <c r="AD820" s="4">
        <v>8.0875032299999994</v>
      </c>
      <c r="AE820" s="2">
        <v>8.39</v>
      </c>
      <c r="AF820" s="4">
        <v>8.0875032299999994</v>
      </c>
      <c r="AG820" s="2">
        <v>26.44</v>
      </c>
      <c r="AH820" s="2">
        <v>8000770.75</v>
      </c>
      <c r="AI820" s="2">
        <v>0.02</v>
      </c>
      <c r="AJ820" s="5">
        <v>44673</v>
      </c>
      <c r="AK820" t="s">
        <v>11943</v>
      </c>
      <c r="AL820" s="2">
        <v>8.23</v>
      </c>
      <c r="AM820" s="2">
        <v>10.5</v>
      </c>
      <c r="AN820" s="2">
        <v>3.57</v>
      </c>
      <c r="AO820" t="s">
        <v>10922</v>
      </c>
      <c r="AP820" t="s">
        <v>11136</v>
      </c>
      <c r="AQ820" t="s">
        <v>10946</v>
      </c>
    </row>
    <row r="821" spans="1:43" x14ac:dyDescent="0.2">
      <c r="A821" t="s">
        <v>11942</v>
      </c>
      <c r="B821" t="s">
        <v>10900</v>
      </c>
      <c r="C821" t="s">
        <v>11137</v>
      </c>
      <c r="D821" t="s">
        <v>11594</v>
      </c>
      <c r="E821" t="s">
        <v>11595</v>
      </c>
      <c r="F821" t="s">
        <v>11594</v>
      </c>
      <c r="G821" s="1">
        <v>3579000</v>
      </c>
      <c r="H821" s="2">
        <v>3402499.46</v>
      </c>
      <c r="I821" s="2">
        <v>3226792.76</v>
      </c>
      <c r="J821" s="2">
        <v>64323.95</v>
      </c>
      <c r="K821" s="2">
        <v>0</v>
      </c>
      <c r="L821" s="2">
        <v>3291116.71</v>
      </c>
      <c r="M821" s="3">
        <v>9.84</v>
      </c>
      <c r="N821" s="4">
        <v>7.4876400000000003E-3</v>
      </c>
      <c r="O821" s="5">
        <v>44774</v>
      </c>
      <c r="P821" s="5">
        <v>47514</v>
      </c>
      <c r="Q821" s="1">
        <v>8</v>
      </c>
      <c r="R821" s="2">
        <v>5.71</v>
      </c>
      <c r="S821" s="6">
        <v>5.4383328750000004</v>
      </c>
      <c r="T821" t="s">
        <v>111</v>
      </c>
      <c r="U821" t="s">
        <v>111</v>
      </c>
      <c r="V821" t="s">
        <v>10944</v>
      </c>
      <c r="W821" t="s">
        <v>43</v>
      </c>
      <c r="X821" t="s">
        <v>10945</v>
      </c>
      <c r="Y821" t="s">
        <v>44</v>
      </c>
      <c r="Z821" t="s">
        <v>44</v>
      </c>
      <c r="AA821" t="s">
        <v>10913</v>
      </c>
      <c r="AB821" t="s">
        <v>44</v>
      </c>
      <c r="AC821" s="4">
        <v>10.082064000000001</v>
      </c>
      <c r="AD821" s="4">
        <v>9.6441413499999999</v>
      </c>
      <c r="AE821" s="2">
        <v>10.08</v>
      </c>
      <c r="AF821" s="4">
        <v>9.6441413499999999</v>
      </c>
      <c r="AG821" s="2">
        <v>10.88</v>
      </c>
      <c r="AH821" s="2">
        <v>3291116.71</v>
      </c>
      <c r="AI821" s="2">
        <v>0.01</v>
      </c>
      <c r="AJ821" s="5">
        <v>44673</v>
      </c>
      <c r="AK821" t="s">
        <v>11943</v>
      </c>
      <c r="AL821" s="2">
        <v>9.84</v>
      </c>
      <c r="AM821" s="2">
        <v>8</v>
      </c>
      <c r="AN821" s="2">
        <v>5.44</v>
      </c>
      <c r="AO821" t="s">
        <v>10922</v>
      </c>
      <c r="AP821" t="s">
        <v>11596</v>
      </c>
      <c r="AQ821" t="s">
        <v>11595</v>
      </c>
    </row>
    <row r="822" spans="1:43" x14ac:dyDescent="0.2">
      <c r="A822" t="s">
        <v>11942</v>
      </c>
      <c r="B822" t="s">
        <v>10900</v>
      </c>
      <c r="C822" t="s">
        <v>10950</v>
      </c>
      <c r="D822" t="s">
        <v>10983</v>
      </c>
      <c r="E822" t="s">
        <v>10984</v>
      </c>
      <c r="F822" t="s">
        <v>10983</v>
      </c>
      <c r="G822" s="1">
        <v>1483000</v>
      </c>
      <c r="H822" s="2">
        <v>1277157.6100000001</v>
      </c>
      <c r="I822" s="2">
        <v>1239984.5</v>
      </c>
      <c r="J822" s="2">
        <v>28319.21</v>
      </c>
      <c r="K822" s="2">
        <v>0</v>
      </c>
      <c r="L822" s="2">
        <v>1268303.71</v>
      </c>
      <c r="M822" s="3">
        <v>10.734999999999999</v>
      </c>
      <c r="N822" s="4">
        <v>2.8855299999999999E-3</v>
      </c>
      <c r="O822" s="5">
        <v>44774</v>
      </c>
      <c r="P822" s="5">
        <v>50071</v>
      </c>
      <c r="Q822" s="1">
        <v>8.5</v>
      </c>
      <c r="R822" s="2">
        <v>7.91</v>
      </c>
      <c r="S822" s="6">
        <v>7.5106016819999999</v>
      </c>
      <c r="T822" t="s">
        <v>111</v>
      </c>
      <c r="U822" t="s">
        <v>111</v>
      </c>
      <c r="V822" t="s">
        <v>10944</v>
      </c>
      <c r="W822" t="s">
        <v>43</v>
      </c>
      <c r="X822" t="s">
        <v>10945</v>
      </c>
      <c r="Y822" t="s">
        <v>44</v>
      </c>
      <c r="Z822" t="s">
        <v>44</v>
      </c>
      <c r="AA822" t="s">
        <v>10913</v>
      </c>
      <c r="AB822" t="s">
        <v>44</v>
      </c>
      <c r="AC822" s="4">
        <v>11.02310056</v>
      </c>
      <c r="AD822" s="4">
        <v>10.50250368</v>
      </c>
      <c r="AE822" s="2">
        <v>11.02</v>
      </c>
      <c r="AF822" s="4">
        <v>10.50250368</v>
      </c>
      <c r="AG822" s="2">
        <v>4.1900000000000004</v>
      </c>
      <c r="AH822" s="2">
        <v>1268303.71</v>
      </c>
      <c r="AI822" s="2">
        <v>0</v>
      </c>
      <c r="AJ822" s="5">
        <v>44673</v>
      </c>
      <c r="AK822" t="s">
        <v>11943</v>
      </c>
      <c r="AL822" s="2">
        <v>10.73</v>
      </c>
      <c r="AM822" s="2">
        <v>8.5</v>
      </c>
      <c r="AN822" s="2">
        <v>7.51</v>
      </c>
      <c r="AO822" t="s">
        <v>10922</v>
      </c>
      <c r="AP822" t="s">
        <v>10985</v>
      </c>
      <c r="AQ822" t="s">
        <v>10984</v>
      </c>
    </row>
    <row r="823" spans="1:43" x14ac:dyDescent="0.2">
      <c r="A823" t="s">
        <v>11942</v>
      </c>
      <c r="B823" t="s">
        <v>10900</v>
      </c>
      <c r="C823" t="s">
        <v>10990</v>
      </c>
      <c r="D823" t="s">
        <v>11603</v>
      </c>
      <c r="E823" t="s">
        <v>11604</v>
      </c>
      <c r="F823" t="s">
        <v>11603</v>
      </c>
      <c r="G823" s="1">
        <v>1385875</v>
      </c>
      <c r="H823" s="2">
        <v>4330491.9800000004</v>
      </c>
      <c r="I823" s="2">
        <v>4477008.75</v>
      </c>
      <c r="J823" s="2">
        <v>86430.22</v>
      </c>
      <c r="K823" s="2">
        <v>0</v>
      </c>
      <c r="L823" s="2">
        <v>4563438.97</v>
      </c>
      <c r="M823" s="3">
        <v>1.165</v>
      </c>
      <c r="N823" s="4">
        <v>1.038231E-2</v>
      </c>
      <c r="O823" s="5">
        <v>44719</v>
      </c>
      <c r="P823" s="5">
        <v>45267</v>
      </c>
      <c r="Q823" s="1">
        <v>5.5</v>
      </c>
      <c r="R823" s="2">
        <v>1.54</v>
      </c>
      <c r="S823" s="6">
        <v>1.5339230509999999</v>
      </c>
      <c r="T823" t="s">
        <v>111</v>
      </c>
      <c r="U823" t="s">
        <v>111</v>
      </c>
      <c r="V823" t="s">
        <v>10992</v>
      </c>
      <c r="W823" t="s">
        <v>43</v>
      </c>
      <c r="X823" t="s">
        <v>10945</v>
      </c>
      <c r="Y823" t="s">
        <v>44</v>
      </c>
      <c r="Z823" t="s">
        <v>44</v>
      </c>
      <c r="AA823" t="s">
        <v>10913</v>
      </c>
      <c r="AB823" t="s">
        <v>44</v>
      </c>
      <c r="AC823" s="4">
        <v>1.1683930600000001</v>
      </c>
      <c r="AD823" s="4">
        <v>1.1621824700000001</v>
      </c>
      <c r="AE823" s="2">
        <v>1.17</v>
      </c>
      <c r="AF823" s="4">
        <v>1.1621824700000001</v>
      </c>
      <c r="AG823" s="2">
        <v>15.08</v>
      </c>
      <c r="AH823" s="2">
        <v>4563438.97</v>
      </c>
      <c r="AI823" s="2">
        <v>0.01</v>
      </c>
      <c r="AJ823" s="5">
        <v>44673</v>
      </c>
      <c r="AK823" t="s">
        <v>11943</v>
      </c>
      <c r="AL823" s="2">
        <v>1.1599999999999999</v>
      </c>
      <c r="AM823" s="2">
        <v>5.5</v>
      </c>
      <c r="AN823" s="2">
        <v>1.53</v>
      </c>
      <c r="AO823" t="s">
        <v>10922</v>
      </c>
      <c r="AP823" t="s">
        <v>11605</v>
      </c>
      <c r="AQ823" t="s">
        <v>11604</v>
      </c>
    </row>
    <row r="824" spans="1:43" x14ac:dyDescent="0.2">
      <c r="A824" t="s">
        <v>11942</v>
      </c>
      <c r="B824" t="s">
        <v>45</v>
      </c>
      <c r="C824" t="s">
        <v>11000</v>
      </c>
      <c r="D824" t="s">
        <v>11421</v>
      </c>
      <c r="E824" t="s">
        <v>11422</v>
      </c>
      <c r="F824" t="s">
        <v>11421</v>
      </c>
      <c r="G824" s="1">
        <v>2000000</v>
      </c>
      <c r="H824" s="2">
        <v>2000000</v>
      </c>
      <c r="I824" s="2">
        <v>2000000</v>
      </c>
      <c r="J824" s="2">
        <v>5063.01</v>
      </c>
      <c r="K824" s="2">
        <v>0</v>
      </c>
      <c r="L824" s="2">
        <v>2005063.01</v>
      </c>
      <c r="M824" s="3">
        <v>4.2</v>
      </c>
      <c r="N824" s="4">
        <v>4.56173E-3</v>
      </c>
      <c r="O824" s="5" t="s">
        <v>44</v>
      </c>
      <c r="P824" s="5">
        <v>55153</v>
      </c>
      <c r="Q824" s="1">
        <v>4.2</v>
      </c>
      <c r="R824" s="2">
        <v>0.08</v>
      </c>
      <c r="S824" s="6">
        <v>2.5947269999999998E-3</v>
      </c>
      <c r="T824" t="s">
        <v>112</v>
      </c>
      <c r="U824" t="s">
        <v>46</v>
      </c>
      <c r="V824" t="s">
        <v>11270</v>
      </c>
      <c r="W824" t="s">
        <v>43</v>
      </c>
      <c r="X824" t="s">
        <v>44</v>
      </c>
      <c r="Y824" t="s">
        <v>44</v>
      </c>
      <c r="Z824" t="s">
        <v>44</v>
      </c>
      <c r="AA824" t="s">
        <v>10913</v>
      </c>
      <c r="AB824" t="s">
        <v>44</v>
      </c>
      <c r="AC824" s="4">
        <v>4.2819052299999996</v>
      </c>
      <c r="AD824" s="4">
        <v>4.20010057</v>
      </c>
      <c r="AE824" s="2">
        <v>4.28</v>
      </c>
      <c r="AF824" s="4">
        <v>4.20010057</v>
      </c>
      <c r="AG824" s="2">
        <v>6.63</v>
      </c>
      <c r="AH824" s="2">
        <v>2005063.01</v>
      </c>
      <c r="AI824" s="2">
        <v>0</v>
      </c>
      <c r="AJ824" s="5">
        <v>44673</v>
      </c>
      <c r="AK824" t="s">
        <v>11943</v>
      </c>
      <c r="AL824" s="2">
        <v>4.24</v>
      </c>
      <c r="AM824" s="2">
        <v>4.2</v>
      </c>
      <c r="AN824" s="2">
        <v>0</v>
      </c>
      <c r="AO824" t="s">
        <v>11423</v>
      </c>
      <c r="AP824" t="s">
        <v>44</v>
      </c>
      <c r="AQ824" t="s">
        <v>11422</v>
      </c>
    </row>
    <row r="825" spans="1:43" x14ac:dyDescent="0.2">
      <c r="A825" t="s">
        <v>11942</v>
      </c>
      <c r="B825" t="s">
        <v>45</v>
      </c>
      <c r="C825" t="s">
        <v>11000</v>
      </c>
      <c r="D825" t="s">
        <v>11424</v>
      </c>
      <c r="E825" t="s">
        <v>11425</v>
      </c>
      <c r="F825" t="s">
        <v>11424</v>
      </c>
      <c r="G825" s="1">
        <v>3000000</v>
      </c>
      <c r="H825" s="2">
        <v>3000000</v>
      </c>
      <c r="I825" s="2">
        <v>3000000</v>
      </c>
      <c r="J825" s="2">
        <v>7594.52</v>
      </c>
      <c r="K825" s="2">
        <v>0</v>
      </c>
      <c r="L825" s="2">
        <v>3007594.52</v>
      </c>
      <c r="M825" s="3">
        <v>4.2</v>
      </c>
      <c r="N825" s="4">
        <v>6.8425999999999999E-3</v>
      </c>
      <c r="O825" s="5" t="s">
        <v>44</v>
      </c>
      <c r="P825" s="5">
        <v>55153</v>
      </c>
      <c r="Q825" s="1">
        <v>4.2</v>
      </c>
      <c r="R825" s="2">
        <v>0.08</v>
      </c>
      <c r="S825" s="6">
        <v>2.5986049999999999E-3</v>
      </c>
      <c r="T825" t="s">
        <v>112</v>
      </c>
      <c r="U825" t="s">
        <v>46</v>
      </c>
      <c r="V825" t="s">
        <v>11270</v>
      </c>
      <c r="W825" t="s">
        <v>43</v>
      </c>
      <c r="X825" t="s">
        <v>44</v>
      </c>
      <c r="Y825" t="s">
        <v>44</v>
      </c>
      <c r="Z825" t="s">
        <v>44</v>
      </c>
      <c r="AA825" t="s">
        <v>11035</v>
      </c>
      <c r="AB825" t="s">
        <v>44</v>
      </c>
      <c r="AC825" s="4">
        <v>4.2819052299999996</v>
      </c>
      <c r="AD825" s="4">
        <v>4.20010057</v>
      </c>
      <c r="AE825" s="2">
        <v>4.28</v>
      </c>
      <c r="AF825" s="4">
        <v>4.20010057</v>
      </c>
      <c r="AG825" s="2">
        <v>9.94</v>
      </c>
      <c r="AH825" s="2">
        <v>3007594.52</v>
      </c>
      <c r="AI825" s="2">
        <v>0.01</v>
      </c>
      <c r="AJ825" s="5">
        <v>44673</v>
      </c>
      <c r="AK825" t="s">
        <v>11943</v>
      </c>
      <c r="AL825" s="2">
        <v>4.24</v>
      </c>
      <c r="AM825" s="2">
        <v>4.2</v>
      </c>
      <c r="AN825" s="2">
        <v>0</v>
      </c>
      <c r="AO825" t="s">
        <v>11053</v>
      </c>
      <c r="AP825" t="s">
        <v>44</v>
      </c>
      <c r="AQ825" t="s">
        <v>11425</v>
      </c>
    </row>
    <row r="826" spans="1:43" x14ac:dyDescent="0.2">
      <c r="A826" t="s">
        <v>11942</v>
      </c>
      <c r="B826" t="s">
        <v>45</v>
      </c>
      <c r="C826" t="s">
        <v>47</v>
      </c>
      <c r="D826" t="s">
        <v>48</v>
      </c>
      <c r="E826" t="s">
        <v>49</v>
      </c>
      <c r="F826" t="s">
        <v>50</v>
      </c>
      <c r="G826" s="1">
        <v>0</v>
      </c>
      <c r="H826" s="2">
        <v>0</v>
      </c>
      <c r="I826" s="2">
        <v>0</v>
      </c>
      <c r="J826" s="2">
        <v>0</v>
      </c>
      <c r="K826" s="2">
        <v>0</v>
      </c>
      <c r="L826" s="2">
        <v>4450.49</v>
      </c>
      <c r="M826" s="3"/>
      <c r="N826" s="4">
        <v>1.013E-5</v>
      </c>
      <c r="O826" s="5" t="s">
        <v>44</v>
      </c>
      <c r="P826" s="5" t="s">
        <v>44</v>
      </c>
      <c r="Q826" s="1"/>
      <c r="R826" s="2">
        <v>0.08</v>
      </c>
      <c r="S826" s="6"/>
      <c r="T826" t="s">
        <v>45</v>
      </c>
      <c r="U826" t="s">
        <v>46</v>
      </c>
      <c r="V826" t="s">
        <v>44</v>
      </c>
      <c r="W826" t="s">
        <v>43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s="4">
        <v>5.1163389600000002</v>
      </c>
      <c r="AD826" s="4">
        <v>5.0001424999999999</v>
      </c>
      <c r="AE826" s="2">
        <v>5.12</v>
      </c>
      <c r="AF826" s="4">
        <v>5.0001424999999999</v>
      </c>
      <c r="AG826" s="2">
        <v>0.01</v>
      </c>
      <c r="AH826" s="2">
        <v>4450.49</v>
      </c>
      <c r="AI826" s="2">
        <v>0</v>
      </c>
      <c r="AJ826" s="5">
        <v>44673</v>
      </c>
      <c r="AK826" t="s">
        <v>11943</v>
      </c>
      <c r="AL826" s="2">
        <v>5.05</v>
      </c>
      <c r="AM826" s="2">
        <v>0</v>
      </c>
      <c r="AN826" s="2">
        <v>0</v>
      </c>
      <c r="AO826" t="s">
        <v>44</v>
      </c>
      <c r="AP826" t="s">
        <v>44</v>
      </c>
      <c r="AQ826" t="s">
        <v>44</v>
      </c>
    </row>
    <row r="827" spans="1:43" x14ac:dyDescent="0.2">
      <c r="A827" t="s">
        <v>11942</v>
      </c>
      <c r="B827" t="s">
        <v>45</v>
      </c>
      <c r="C827" t="s">
        <v>47</v>
      </c>
      <c r="D827" t="s">
        <v>51</v>
      </c>
      <c r="E827" t="s">
        <v>52</v>
      </c>
      <c r="F827" t="s">
        <v>51</v>
      </c>
      <c r="G827" s="1">
        <v>1964163.59</v>
      </c>
      <c r="H827" s="2">
        <v>1964163.59</v>
      </c>
      <c r="I827" s="2">
        <v>1964163.59</v>
      </c>
      <c r="J827" s="2">
        <v>0</v>
      </c>
      <c r="K827" s="2">
        <v>0</v>
      </c>
      <c r="L827" s="2">
        <v>1964163.59</v>
      </c>
      <c r="M827" s="3"/>
      <c r="N827" s="4">
        <v>4.46868E-3</v>
      </c>
      <c r="O827" s="5" t="s">
        <v>44</v>
      </c>
      <c r="P827" s="5" t="s">
        <v>44</v>
      </c>
      <c r="Q827" s="1"/>
      <c r="R827" s="2">
        <v>0.08</v>
      </c>
      <c r="S827" s="6"/>
      <c r="T827" t="s">
        <v>45</v>
      </c>
      <c r="U827" t="s">
        <v>53</v>
      </c>
      <c r="V827" t="s">
        <v>44</v>
      </c>
      <c r="W827" t="s">
        <v>43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s="4">
        <v>5.1163389600000002</v>
      </c>
      <c r="AD827" s="4">
        <v>5.0001424999999999</v>
      </c>
      <c r="AE827" s="2">
        <v>5.12</v>
      </c>
      <c r="AF827" s="4">
        <v>5.0001424999999999</v>
      </c>
      <c r="AG827" s="2">
        <v>6.49</v>
      </c>
      <c r="AH827" s="2">
        <v>1964163.59</v>
      </c>
      <c r="AI827" s="2">
        <v>0</v>
      </c>
      <c r="AJ827" s="5">
        <v>44673</v>
      </c>
      <c r="AK827" t="s">
        <v>11943</v>
      </c>
      <c r="AL827" s="2">
        <v>5.05</v>
      </c>
      <c r="AM827" s="2">
        <v>0</v>
      </c>
      <c r="AN827" s="2">
        <v>0</v>
      </c>
      <c r="AO827" t="s">
        <v>44</v>
      </c>
      <c r="AP827" t="s">
        <v>44</v>
      </c>
      <c r="AQ827" t="s">
        <v>43</v>
      </c>
    </row>
    <row r="828" spans="1:43" x14ac:dyDescent="0.2">
      <c r="A828" t="s">
        <v>11942</v>
      </c>
      <c r="B828" t="s">
        <v>45</v>
      </c>
      <c r="C828" t="s">
        <v>47</v>
      </c>
      <c r="D828" t="s">
        <v>11045</v>
      </c>
      <c r="E828" t="s">
        <v>11046</v>
      </c>
      <c r="F828" t="s">
        <v>11045</v>
      </c>
      <c r="G828" s="1">
        <v>1122.24</v>
      </c>
      <c r="H828" s="2">
        <v>16012.33</v>
      </c>
      <c r="I828" s="2">
        <v>17522.68</v>
      </c>
      <c r="J828" s="2">
        <v>0</v>
      </c>
      <c r="K828" s="2">
        <v>0</v>
      </c>
      <c r="L828" s="2">
        <v>17522.68</v>
      </c>
      <c r="M828" s="3">
        <v>1</v>
      </c>
      <c r="N828" s="4">
        <v>3.9870000000000003E-5</v>
      </c>
      <c r="O828" s="5" t="s">
        <v>44</v>
      </c>
      <c r="P828" s="5" t="s">
        <v>44</v>
      </c>
      <c r="Q828" s="1"/>
      <c r="R828" s="2">
        <v>0.08</v>
      </c>
      <c r="S828" s="6"/>
      <c r="T828" t="s">
        <v>45</v>
      </c>
      <c r="U828" t="s">
        <v>53</v>
      </c>
      <c r="V828" t="s">
        <v>44</v>
      </c>
      <c r="W828" t="s">
        <v>113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s="4"/>
      <c r="AD828" s="4"/>
      <c r="AE828" s="2">
        <v>0</v>
      </c>
      <c r="AF828" s="4">
        <v>0</v>
      </c>
      <c r="AG828" s="2">
        <v>0.06</v>
      </c>
      <c r="AH828" s="2">
        <v>17522.68</v>
      </c>
      <c r="AI828" s="2">
        <v>0</v>
      </c>
      <c r="AJ828" s="5">
        <v>44673</v>
      </c>
      <c r="AK828" t="s">
        <v>11943</v>
      </c>
      <c r="AL828" s="2">
        <v>0</v>
      </c>
      <c r="AM828" s="2">
        <v>0</v>
      </c>
      <c r="AN828" s="2">
        <v>0</v>
      </c>
      <c r="AO828" t="s">
        <v>44</v>
      </c>
      <c r="AP828" t="s">
        <v>44</v>
      </c>
      <c r="AQ828" t="s">
        <v>113</v>
      </c>
    </row>
    <row r="829" spans="1:43" x14ac:dyDescent="0.2">
      <c r="A829" t="s">
        <v>11942</v>
      </c>
      <c r="B829" t="s">
        <v>11038</v>
      </c>
      <c r="C829" t="s">
        <v>11870</v>
      </c>
      <c r="D829" t="s">
        <v>11056</v>
      </c>
      <c r="E829" t="s">
        <v>11057</v>
      </c>
      <c r="F829" t="s">
        <v>11056</v>
      </c>
      <c r="G829" s="1">
        <v>6587435</v>
      </c>
      <c r="H829" s="2">
        <v>6585861.8200000003</v>
      </c>
      <c r="I829" s="2">
        <v>6587435</v>
      </c>
      <c r="J829" s="2">
        <v>169797.72</v>
      </c>
      <c r="K829" s="2">
        <v>0</v>
      </c>
      <c r="L829" s="2">
        <v>6757232.7199999997</v>
      </c>
      <c r="M829" s="3"/>
      <c r="N829" s="4">
        <v>1.537343E-2</v>
      </c>
      <c r="O829" s="5">
        <v>44692</v>
      </c>
      <c r="P829" s="5">
        <v>44692</v>
      </c>
      <c r="Q829" s="1">
        <v>13.067</v>
      </c>
      <c r="R829" s="2"/>
      <c r="S829" s="6"/>
      <c r="T829" t="s">
        <v>111</v>
      </c>
      <c r="U829" t="s">
        <v>11040</v>
      </c>
      <c r="V829" t="s">
        <v>115</v>
      </c>
      <c r="W829" t="s">
        <v>43</v>
      </c>
      <c r="X829" t="s">
        <v>44</v>
      </c>
      <c r="Y829" t="s">
        <v>44</v>
      </c>
      <c r="Z829" t="s">
        <v>44</v>
      </c>
      <c r="AA829" t="s">
        <v>10979</v>
      </c>
      <c r="AB829" t="s">
        <v>44</v>
      </c>
      <c r="AC829" s="4"/>
      <c r="AD829" s="4"/>
      <c r="AE829" s="2">
        <v>0</v>
      </c>
      <c r="AF829" s="4">
        <v>0</v>
      </c>
      <c r="AG829" s="2">
        <v>22.33</v>
      </c>
      <c r="AH829" s="2">
        <v>6757232.7199999997</v>
      </c>
      <c r="AI829" s="2">
        <v>0.02</v>
      </c>
      <c r="AJ829" s="5">
        <v>44673</v>
      </c>
      <c r="AK829" t="s">
        <v>11943</v>
      </c>
      <c r="AL829" s="2">
        <v>0</v>
      </c>
      <c r="AM829" s="2">
        <v>13.07</v>
      </c>
      <c r="AN829" s="2">
        <v>0</v>
      </c>
      <c r="AO829" t="s">
        <v>10980</v>
      </c>
      <c r="AP829" t="s">
        <v>11058</v>
      </c>
      <c r="AQ829" t="s">
        <v>11057</v>
      </c>
    </row>
    <row r="830" spans="1:43" x14ac:dyDescent="0.2">
      <c r="A830" t="s">
        <v>11944</v>
      </c>
      <c r="B830" t="s">
        <v>10900</v>
      </c>
      <c r="C830" t="s">
        <v>11033</v>
      </c>
      <c r="D830" t="s">
        <v>11187</v>
      </c>
      <c r="E830" t="s">
        <v>11188</v>
      </c>
      <c r="F830" t="s">
        <v>11187</v>
      </c>
      <c r="G830" s="1">
        <v>5060000</v>
      </c>
      <c r="H830" s="2">
        <v>5188496.45</v>
      </c>
      <c r="I830" s="2">
        <v>5260848.09</v>
      </c>
      <c r="J830" s="2">
        <v>4925.8100000000004</v>
      </c>
      <c r="K830" s="2">
        <v>0</v>
      </c>
      <c r="L830" s="2">
        <v>5265773.9000000004</v>
      </c>
      <c r="M830" s="3">
        <v>7.1638799999999998</v>
      </c>
      <c r="N830" s="4">
        <v>1.19802E-2</v>
      </c>
      <c r="O830" s="5">
        <v>44757</v>
      </c>
      <c r="P830" s="5">
        <v>45672</v>
      </c>
      <c r="Q830" s="1">
        <v>8.8829999999999991</v>
      </c>
      <c r="R830" s="2">
        <v>0.22</v>
      </c>
      <c r="S830" s="6">
        <v>0.20744314818000001</v>
      </c>
      <c r="T830" t="s">
        <v>111</v>
      </c>
      <c r="U830" t="s">
        <v>111</v>
      </c>
      <c r="V830" t="s">
        <v>11189</v>
      </c>
      <c r="W830" t="s">
        <v>43</v>
      </c>
      <c r="X830" t="s">
        <v>11034</v>
      </c>
      <c r="Y830" t="s">
        <v>44</v>
      </c>
      <c r="Z830" t="s">
        <v>44</v>
      </c>
      <c r="AA830" t="s">
        <v>11035</v>
      </c>
      <c r="AB830" t="s">
        <v>44</v>
      </c>
      <c r="AC830" s="4">
        <v>7.2921833700000001</v>
      </c>
      <c r="AD830" s="4">
        <v>7.0592439100000002</v>
      </c>
      <c r="AE830" s="2">
        <v>7.29</v>
      </c>
      <c r="AF830" s="4">
        <v>7.0592439100000002</v>
      </c>
      <c r="AG830" s="2">
        <v>5.08</v>
      </c>
      <c r="AH830" s="2">
        <v>5265773.9000000004</v>
      </c>
      <c r="AI830" s="2">
        <v>0.01</v>
      </c>
      <c r="AJ830" s="5">
        <v>44673</v>
      </c>
      <c r="AK830" t="s">
        <v>11945</v>
      </c>
      <c r="AL830" s="2">
        <v>7.16</v>
      </c>
      <c r="AM830" s="2">
        <v>8.8800000000000008</v>
      </c>
      <c r="AN830" s="2">
        <v>0.21</v>
      </c>
      <c r="AO830" t="s">
        <v>11036</v>
      </c>
      <c r="AP830" t="s">
        <v>11191</v>
      </c>
      <c r="AQ830" t="s">
        <v>11188</v>
      </c>
    </row>
    <row r="831" spans="1:43" x14ac:dyDescent="0.2">
      <c r="A831" t="s">
        <v>11944</v>
      </c>
      <c r="B831" t="s">
        <v>10900</v>
      </c>
      <c r="C831" t="s">
        <v>10943</v>
      </c>
      <c r="D831" t="s">
        <v>10977</v>
      </c>
      <c r="E831" t="s">
        <v>10978</v>
      </c>
      <c r="F831" t="s">
        <v>10977</v>
      </c>
      <c r="G831" s="1">
        <v>2067120</v>
      </c>
      <c r="H831" s="2">
        <v>2097611.0699999998</v>
      </c>
      <c r="I831" s="2">
        <v>1942828.62</v>
      </c>
      <c r="J831" s="2">
        <v>95134.81</v>
      </c>
      <c r="K831" s="2">
        <v>0</v>
      </c>
      <c r="L831" s="2">
        <v>2037963.43</v>
      </c>
      <c r="M831" s="3">
        <v>11.88</v>
      </c>
      <c r="N831" s="4">
        <v>4.6365900000000003E-3</v>
      </c>
      <c r="O831" s="5">
        <v>44697</v>
      </c>
      <c r="P831" s="5">
        <v>46888</v>
      </c>
      <c r="Q831" s="1">
        <v>10.565</v>
      </c>
      <c r="R831" s="2">
        <v>4.7300000000000004</v>
      </c>
      <c r="S831" s="6">
        <v>4.4668326030000003</v>
      </c>
      <c r="T831" t="s">
        <v>111</v>
      </c>
      <c r="U831" t="s">
        <v>111</v>
      </c>
      <c r="V831" t="s">
        <v>10944</v>
      </c>
      <c r="W831" t="s">
        <v>43</v>
      </c>
      <c r="X831" t="s">
        <v>44</v>
      </c>
      <c r="Y831" t="s">
        <v>44</v>
      </c>
      <c r="Z831" t="s">
        <v>44</v>
      </c>
      <c r="AA831" t="s">
        <v>10979</v>
      </c>
      <c r="AB831" t="s">
        <v>44</v>
      </c>
      <c r="AC831" s="4">
        <v>12.232836000000001</v>
      </c>
      <c r="AD831" s="4">
        <v>11.596213730000001</v>
      </c>
      <c r="AE831" s="2">
        <v>12.23</v>
      </c>
      <c r="AF831" s="4">
        <v>11.596213730000001</v>
      </c>
      <c r="AG831" s="2">
        <v>1.97</v>
      </c>
      <c r="AH831" s="2">
        <v>2037963.43</v>
      </c>
      <c r="AI831" s="2">
        <v>0</v>
      </c>
      <c r="AJ831" s="5">
        <v>44673</v>
      </c>
      <c r="AK831" t="s">
        <v>11945</v>
      </c>
      <c r="AL831" s="2">
        <v>11.88</v>
      </c>
      <c r="AM831" s="2">
        <v>10.56</v>
      </c>
      <c r="AN831" s="2">
        <v>4.47</v>
      </c>
      <c r="AO831" t="s">
        <v>10980</v>
      </c>
      <c r="AP831" t="s">
        <v>10981</v>
      </c>
      <c r="AQ831" t="s">
        <v>10978</v>
      </c>
    </row>
    <row r="832" spans="1:43" x14ac:dyDescent="0.2">
      <c r="A832" t="s">
        <v>11944</v>
      </c>
      <c r="B832" t="s">
        <v>10900</v>
      </c>
      <c r="C832" t="s">
        <v>10943</v>
      </c>
      <c r="D832" t="s">
        <v>11135</v>
      </c>
      <c r="E832" t="s">
        <v>10946</v>
      </c>
      <c r="F832" t="s">
        <v>11135</v>
      </c>
      <c r="G832" s="1">
        <v>17800000</v>
      </c>
      <c r="H832" s="2">
        <v>19875321.690000001</v>
      </c>
      <c r="I832" s="2">
        <v>19338445.100000001</v>
      </c>
      <c r="J832" s="2">
        <v>629827.4</v>
      </c>
      <c r="K832" s="2">
        <v>0</v>
      </c>
      <c r="L832" s="2">
        <v>19968272.5</v>
      </c>
      <c r="M832" s="3">
        <v>8.2249999999999996</v>
      </c>
      <c r="N832" s="4">
        <v>4.542997E-2</v>
      </c>
      <c r="O832" s="5">
        <v>44733</v>
      </c>
      <c r="P832" s="5">
        <v>46377</v>
      </c>
      <c r="Q832" s="1">
        <v>10.5</v>
      </c>
      <c r="R832" s="2">
        <v>3.72</v>
      </c>
      <c r="S832" s="6">
        <v>3.572672968</v>
      </c>
      <c r="T832" t="s">
        <v>111</v>
      </c>
      <c r="U832" t="s">
        <v>111</v>
      </c>
      <c r="V832" t="s">
        <v>10944</v>
      </c>
      <c r="W832" t="s">
        <v>43</v>
      </c>
      <c r="X832" t="s">
        <v>10945</v>
      </c>
      <c r="Y832" t="s">
        <v>44</v>
      </c>
      <c r="Z832" t="s">
        <v>44</v>
      </c>
      <c r="AA832" t="s">
        <v>10913</v>
      </c>
      <c r="AB832" t="s">
        <v>44</v>
      </c>
      <c r="AC832" s="4">
        <v>8.3941265600000001</v>
      </c>
      <c r="AD832" s="4">
        <v>8.0875032299999994</v>
      </c>
      <c r="AE832" s="2">
        <v>8.39</v>
      </c>
      <c r="AF832" s="4">
        <v>8.0875032299999994</v>
      </c>
      <c r="AG832" s="2">
        <v>19.27</v>
      </c>
      <c r="AH832" s="2">
        <v>19968272.5</v>
      </c>
      <c r="AI832" s="2">
        <v>0.05</v>
      </c>
      <c r="AJ832" s="5">
        <v>44673</v>
      </c>
      <c r="AK832" t="s">
        <v>11945</v>
      </c>
      <c r="AL832" s="2">
        <v>8.23</v>
      </c>
      <c r="AM832" s="2">
        <v>10.5</v>
      </c>
      <c r="AN832" s="2">
        <v>3.57</v>
      </c>
      <c r="AO832" t="s">
        <v>10922</v>
      </c>
      <c r="AP832" t="s">
        <v>11136</v>
      </c>
      <c r="AQ832" t="s">
        <v>10946</v>
      </c>
    </row>
    <row r="833" spans="1:43" x14ac:dyDescent="0.2">
      <c r="A833" t="s">
        <v>11944</v>
      </c>
      <c r="B833" t="s">
        <v>10900</v>
      </c>
      <c r="C833" t="s">
        <v>10943</v>
      </c>
      <c r="D833" t="s">
        <v>12863</v>
      </c>
      <c r="E833" t="s">
        <v>12864</v>
      </c>
      <c r="F833" t="s">
        <v>12863</v>
      </c>
      <c r="G833" s="1">
        <v>2130000</v>
      </c>
      <c r="H833" s="2">
        <v>2130000</v>
      </c>
      <c r="I833" s="2">
        <v>2132419.46</v>
      </c>
      <c r="J833" s="2">
        <v>7616.18</v>
      </c>
      <c r="K833" s="2">
        <v>0</v>
      </c>
      <c r="L833" s="2">
        <v>2140035.64</v>
      </c>
      <c r="M833" s="3">
        <v>8.0409749999999995</v>
      </c>
      <c r="N833" s="4">
        <v>4.8688100000000003E-3</v>
      </c>
      <c r="O833" s="5">
        <v>44750</v>
      </c>
      <c r="P833" s="5">
        <v>46485</v>
      </c>
      <c r="Q833" s="1">
        <v>8.157</v>
      </c>
      <c r="R833" s="2">
        <v>0.2</v>
      </c>
      <c r="S833" s="6">
        <v>9.4975697833E-2</v>
      </c>
      <c r="T833" t="s">
        <v>111</v>
      </c>
      <c r="U833" t="s">
        <v>111</v>
      </c>
      <c r="V833" t="s">
        <v>11189</v>
      </c>
      <c r="W833" t="s">
        <v>43</v>
      </c>
      <c r="X833" t="s">
        <v>11034</v>
      </c>
      <c r="Y833" t="s">
        <v>44</v>
      </c>
      <c r="Z833" t="s">
        <v>44</v>
      </c>
      <c r="AA833" t="s">
        <v>11035</v>
      </c>
      <c r="AB833" t="s">
        <v>44</v>
      </c>
      <c r="AC833" s="4">
        <v>8.2026182599999995</v>
      </c>
      <c r="AD833" s="4">
        <v>7.9094905600000001</v>
      </c>
      <c r="AE833" s="2">
        <v>8.1999999999999993</v>
      </c>
      <c r="AF833" s="4">
        <v>7.9094905600000001</v>
      </c>
      <c r="AG833" s="2">
        <v>2.0699999999999998</v>
      </c>
      <c r="AH833" s="2">
        <v>2140035.64</v>
      </c>
      <c r="AI833" s="2">
        <v>0</v>
      </c>
      <c r="AJ833" s="5">
        <v>44673</v>
      </c>
      <c r="AK833" t="s">
        <v>11945</v>
      </c>
      <c r="AL833" s="2">
        <v>8.0399999999999991</v>
      </c>
      <c r="AM833" s="2">
        <v>8.16</v>
      </c>
      <c r="AN833" s="2">
        <v>0.09</v>
      </c>
      <c r="AO833" t="s">
        <v>11496</v>
      </c>
      <c r="AP833" t="s">
        <v>12865</v>
      </c>
      <c r="AQ833" t="s">
        <v>12864</v>
      </c>
    </row>
    <row r="834" spans="1:43" x14ac:dyDescent="0.2">
      <c r="A834" t="s">
        <v>11944</v>
      </c>
      <c r="B834" t="s">
        <v>10900</v>
      </c>
      <c r="C834" t="s">
        <v>11137</v>
      </c>
      <c r="D834" t="s">
        <v>11138</v>
      </c>
      <c r="E834" t="s">
        <v>11139</v>
      </c>
      <c r="F834" t="s">
        <v>11138</v>
      </c>
      <c r="G834" s="1">
        <v>2600000</v>
      </c>
      <c r="H834" s="2">
        <v>2574928</v>
      </c>
      <c r="I834" s="2">
        <v>2486096.08</v>
      </c>
      <c r="J834" s="2">
        <v>8975.34</v>
      </c>
      <c r="K834" s="2">
        <v>0</v>
      </c>
      <c r="L834" s="2">
        <v>2495071.42</v>
      </c>
      <c r="M834" s="3">
        <v>11.316000000000001</v>
      </c>
      <c r="N834" s="4">
        <v>5.6765599999999998E-3</v>
      </c>
      <c r="O834" s="5">
        <v>44844</v>
      </c>
      <c r="P834" s="5">
        <v>47765</v>
      </c>
      <c r="Q834" s="1">
        <v>10.5</v>
      </c>
      <c r="R834" s="2">
        <v>5.71</v>
      </c>
      <c r="S834" s="6">
        <v>5.4077134439999996</v>
      </c>
      <c r="T834" t="s">
        <v>111</v>
      </c>
      <c r="U834" t="s">
        <v>111</v>
      </c>
      <c r="V834" t="s">
        <v>10944</v>
      </c>
      <c r="W834" t="s">
        <v>43</v>
      </c>
      <c r="X834" t="s">
        <v>44</v>
      </c>
      <c r="Y834" t="s">
        <v>44</v>
      </c>
      <c r="Z834" t="s">
        <v>44</v>
      </c>
      <c r="AA834" t="s">
        <v>10979</v>
      </c>
      <c r="AB834" t="s">
        <v>44</v>
      </c>
      <c r="AC834" s="4">
        <v>11.63612964</v>
      </c>
      <c r="AD834" s="4">
        <v>11.058095140000001</v>
      </c>
      <c r="AE834" s="2">
        <v>11.64</v>
      </c>
      <c r="AF834" s="4">
        <v>11.058095140000001</v>
      </c>
      <c r="AG834" s="2">
        <v>2.41</v>
      </c>
      <c r="AH834" s="2">
        <v>2495071.42</v>
      </c>
      <c r="AI834" s="2">
        <v>0.01</v>
      </c>
      <c r="AJ834" s="5">
        <v>44673</v>
      </c>
      <c r="AK834" t="s">
        <v>11945</v>
      </c>
      <c r="AL834" s="2">
        <v>11.32</v>
      </c>
      <c r="AM834" s="2">
        <v>10.5</v>
      </c>
      <c r="AN834" s="2">
        <v>5.41</v>
      </c>
      <c r="AO834" t="s">
        <v>10982</v>
      </c>
      <c r="AP834" t="s">
        <v>11140</v>
      </c>
      <c r="AQ834" t="s">
        <v>11139</v>
      </c>
    </row>
    <row r="835" spans="1:43" x14ac:dyDescent="0.2">
      <c r="A835" t="s">
        <v>11944</v>
      </c>
      <c r="B835" t="s">
        <v>10900</v>
      </c>
      <c r="C835" t="s">
        <v>10950</v>
      </c>
      <c r="D835" t="s">
        <v>11141</v>
      </c>
      <c r="E835" t="s">
        <v>11142</v>
      </c>
      <c r="F835" t="s">
        <v>11141</v>
      </c>
      <c r="G835" s="1">
        <v>3600000</v>
      </c>
      <c r="H835" s="2">
        <v>2896552.7</v>
      </c>
      <c r="I835" s="2">
        <v>2959151.04</v>
      </c>
      <c r="J835" s="2">
        <v>47609.61</v>
      </c>
      <c r="K835" s="2">
        <v>0</v>
      </c>
      <c r="L835" s="2">
        <v>3006760.65</v>
      </c>
      <c r="M835" s="3">
        <v>10.805</v>
      </c>
      <c r="N835" s="4">
        <v>6.8406999999999999E-3</v>
      </c>
      <c r="O835" s="5">
        <v>44804</v>
      </c>
      <c r="P835" s="5">
        <v>54116</v>
      </c>
      <c r="Q835" s="1">
        <v>8.75</v>
      </c>
      <c r="R835" s="2">
        <v>9.2200000000000006</v>
      </c>
      <c r="S835" s="6">
        <v>8.7507641760000006</v>
      </c>
      <c r="T835" t="s">
        <v>111</v>
      </c>
      <c r="U835" t="s">
        <v>111</v>
      </c>
      <c r="V835" t="s">
        <v>10944</v>
      </c>
      <c r="W835" t="s">
        <v>43</v>
      </c>
      <c r="X835" t="s">
        <v>10945</v>
      </c>
      <c r="Y835" t="s">
        <v>44</v>
      </c>
      <c r="Z835" t="s">
        <v>44</v>
      </c>
      <c r="AA835" t="s">
        <v>10913</v>
      </c>
      <c r="AB835" t="s">
        <v>44</v>
      </c>
      <c r="AC835" s="4">
        <v>11.096870060000001</v>
      </c>
      <c r="AD835" s="4">
        <v>10.56950999</v>
      </c>
      <c r="AE835" s="2">
        <v>11.1</v>
      </c>
      <c r="AF835" s="4">
        <v>10.56950999</v>
      </c>
      <c r="AG835" s="2">
        <v>2.9</v>
      </c>
      <c r="AH835" s="2">
        <v>3006760.65</v>
      </c>
      <c r="AI835" s="2">
        <v>0.01</v>
      </c>
      <c r="AJ835" s="5">
        <v>44673</v>
      </c>
      <c r="AK835" t="s">
        <v>11945</v>
      </c>
      <c r="AL835" s="2">
        <v>10.8</v>
      </c>
      <c r="AM835" s="2">
        <v>8.75</v>
      </c>
      <c r="AN835" s="2">
        <v>8.75</v>
      </c>
      <c r="AO835" t="s">
        <v>10922</v>
      </c>
      <c r="AP835" t="s">
        <v>11143</v>
      </c>
      <c r="AQ835" t="s">
        <v>11142</v>
      </c>
    </row>
    <row r="836" spans="1:43" x14ac:dyDescent="0.2">
      <c r="A836" t="s">
        <v>11944</v>
      </c>
      <c r="B836" t="s">
        <v>10900</v>
      </c>
      <c r="C836" t="s">
        <v>10950</v>
      </c>
      <c r="D836" t="s">
        <v>10983</v>
      </c>
      <c r="E836" t="s">
        <v>10984</v>
      </c>
      <c r="F836" t="s">
        <v>10983</v>
      </c>
      <c r="G836" s="1">
        <v>3250000</v>
      </c>
      <c r="H836" s="2">
        <v>2726181.6</v>
      </c>
      <c r="I836" s="2">
        <v>2717430.63</v>
      </c>
      <c r="J836" s="2">
        <v>61083.59</v>
      </c>
      <c r="K836" s="2">
        <v>0</v>
      </c>
      <c r="L836" s="2">
        <v>2778514.22</v>
      </c>
      <c r="M836" s="3">
        <v>10.734999999999999</v>
      </c>
      <c r="N836" s="4">
        <v>6.3214200000000003E-3</v>
      </c>
      <c r="O836" s="5">
        <v>44774</v>
      </c>
      <c r="P836" s="5">
        <v>50071</v>
      </c>
      <c r="Q836" s="1">
        <v>8.5</v>
      </c>
      <c r="R836" s="2">
        <v>7.91</v>
      </c>
      <c r="S836" s="6">
        <v>7.5106016819999999</v>
      </c>
      <c r="T836" t="s">
        <v>111</v>
      </c>
      <c r="U836" t="s">
        <v>111</v>
      </c>
      <c r="V836" t="s">
        <v>10944</v>
      </c>
      <c r="W836" t="s">
        <v>43</v>
      </c>
      <c r="X836" t="s">
        <v>10945</v>
      </c>
      <c r="Y836" t="s">
        <v>44</v>
      </c>
      <c r="Z836" t="s">
        <v>44</v>
      </c>
      <c r="AA836" t="s">
        <v>10913</v>
      </c>
      <c r="AB836" t="s">
        <v>44</v>
      </c>
      <c r="AC836" s="4">
        <v>11.02310056</v>
      </c>
      <c r="AD836" s="4">
        <v>10.50250368</v>
      </c>
      <c r="AE836" s="2">
        <v>11.02</v>
      </c>
      <c r="AF836" s="4">
        <v>10.50250368</v>
      </c>
      <c r="AG836" s="2">
        <v>2.68</v>
      </c>
      <c r="AH836" s="2">
        <v>2778514.22</v>
      </c>
      <c r="AI836" s="2">
        <v>0.01</v>
      </c>
      <c r="AJ836" s="5">
        <v>44673</v>
      </c>
      <c r="AK836" t="s">
        <v>11945</v>
      </c>
      <c r="AL836" s="2">
        <v>10.73</v>
      </c>
      <c r="AM836" s="2">
        <v>8.5</v>
      </c>
      <c r="AN836" s="2">
        <v>7.51</v>
      </c>
      <c r="AO836" t="s">
        <v>10922</v>
      </c>
      <c r="AP836" t="s">
        <v>10985</v>
      </c>
      <c r="AQ836" t="s">
        <v>10984</v>
      </c>
    </row>
    <row r="837" spans="1:43" x14ac:dyDescent="0.2">
      <c r="A837" t="s">
        <v>11944</v>
      </c>
      <c r="B837" t="s">
        <v>10900</v>
      </c>
      <c r="C837" t="s">
        <v>10990</v>
      </c>
      <c r="D837" t="s">
        <v>10991</v>
      </c>
      <c r="E837" t="s">
        <v>1153</v>
      </c>
      <c r="F837" t="s">
        <v>10991</v>
      </c>
      <c r="G837" s="1">
        <v>1960000</v>
      </c>
      <c r="H837" s="2">
        <v>2524058.96</v>
      </c>
      <c r="I837" s="2">
        <v>2534491.83</v>
      </c>
      <c r="J837" s="2">
        <v>15874.45</v>
      </c>
      <c r="K837" s="2">
        <v>0</v>
      </c>
      <c r="L837" s="2">
        <v>2550366.2799999998</v>
      </c>
      <c r="M837" s="3">
        <v>3.9</v>
      </c>
      <c r="N837" s="4">
        <v>5.8023600000000003E-3</v>
      </c>
      <c r="O837" s="5">
        <v>44774</v>
      </c>
      <c r="P837" s="5">
        <v>50436</v>
      </c>
      <c r="Q837" s="1">
        <v>2.25</v>
      </c>
      <c r="R837" s="2">
        <v>12.94</v>
      </c>
      <c r="S837" s="6">
        <v>12.689805079999999</v>
      </c>
      <c r="T837" t="s">
        <v>111</v>
      </c>
      <c r="U837" t="s">
        <v>111</v>
      </c>
      <c r="V837" t="s">
        <v>10992</v>
      </c>
      <c r="W837" t="s">
        <v>43</v>
      </c>
      <c r="X837" t="s">
        <v>10945</v>
      </c>
      <c r="Y837" t="s">
        <v>44</v>
      </c>
      <c r="Z837" t="s">
        <v>44</v>
      </c>
      <c r="AA837" t="s">
        <v>10913</v>
      </c>
      <c r="AB837" t="s">
        <v>44</v>
      </c>
      <c r="AC837" s="4">
        <v>3.9380250000000001</v>
      </c>
      <c r="AD837" s="4">
        <v>3.8686849699999999</v>
      </c>
      <c r="AE837" s="2">
        <v>3.94</v>
      </c>
      <c r="AF837" s="4">
        <v>3.8686849699999999</v>
      </c>
      <c r="AG837" s="2">
        <v>2.46</v>
      </c>
      <c r="AH837" s="2">
        <v>2550366.2799999998</v>
      </c>
      <c r="AI837" s="2">
        <v>0.01</v>
      </c>
      <c r="AJ837" s="5">
        <v>44673</v>
      </c>
      <c r="AK837" t="s">
        <v>11945</v>
      </c>
      <c r="AL837" s="2">
        <v>3.9</v>
      </c>
      <c r="AM837" s="2">
        <v>2.25</v>
      </c>
      <c r="AN837" s="2">
        <v>12.69</v>
      </c>
      <c r="AO837" t="s">
        <v>10922</v>
      </c>
      <c r="AP837" t="s">
        <v>10993</v>
      </c>
      <c r="AQ837" t="s">
        <v>1153</v>
      </c>
    </row>
    <row r="838" spans="1:43" x14ac:dyDescent="0.2">
      <c r="A838" t="s">
        <v>11944</v>
      </c>
      <c r="B838" t="s">
        <v>10900</v>
      </c>
      <c r="C838" t="s">
        <v>10990</v>
      </c>
      <c r="D838" t="s">
        <v>10994</v>
      </c>
      <c r="E838" t="s">
        <v>1190</v>
      </c>
      <c r="F838" t="s">
        <v>10994</v>
      </c>
      <c r="G838" s="1">
        <v>2140000</v>
      </c>
      <c r="H838" s="2">
        <v>2516136.23</v>
      </c>
      <c r="I838" s="2">
        <v>2531909.37</v>
      </c>
      <c r="J838" s="2">
        <v>5091.1499999999996</v>
      </c>
      <c r="K838" s="2">
        <v>0</v>
      </c>
      <c r="L838" s="2">
        <v>2537000.52</v>
      </c>
      <c r="M838" s="3">
        <v>3.9</v>
      </c>
      <c r="N838" s="4">
        <v>5.7719499999999997E-3</v>
      </c>
      <c r="O838" s="5">
        <v>44834</v>
      </c>
      <c r="P838" s="5">
        <v>53417</v>
      </c>
      <c r="Q838" s="1">
        <v>2.5</v>
      </c>
      <c r="R838" s="2">
        <v>17.22</v>
      </c>
      <c r="S838" s="6">
        <v>16.886631569999999</v>
      </c>
      <c r="T838" t="s">
        <v>111</v>
      </c>
      <c r="U838" t="s">
        <v>111</v>
      </c>
      <c r="V838" t="s">
        <v>10992</v>
      </c>
      <c r="W838" t="s">
        <v>43</v>
      </c>
      <c r="X838" t="s">
        <v>10945</v>
      </c>
      <c r="Y838" t="s">
        <v>44</v>
      </c>
      <c r="Z838" t="s">
        <v>44</v>
      </c>
      <c r="AA838" t="s">
        <v>10913</v>
      </c>
      <c r="AB838" t="s">
        <v>44</v>
      </c>
      <c r="AC838" s="4">
        <v>3.9380250000000001</v>
      </c>
      <c r="AD838" s="4">
        <v>3.8686849699999999</v>
      </c>
      <c r="AE838" s="2">
        <v>3.94</v>
      </c>
      <c r="AF838" s="4">
        <v>3.8686849699999999</v>
      </c>
      <c r="AG838" s="2">
        <v>2.4500000000000002</v>
      </c>
      <c r="AH838" s="2">
        <v>2537000.52</v>
      </c>
      <c r="AI838" s="2">
        <v>0.01</v>
      </c>
      <c r="AJ838" s="5">
        <v>44673</v>
      </c>
      <c r="AK838" t="s">
        <v>11945</v>
      </c>
      <c r="AL838" s="2">
        <v>3.9</v>
      </c>
      <c r="AM838" s="2">
        <v>2.5</v>
      </c>
      <c r="AN838" s="2">
        <v>16.89</v>
      </c>
      <c r="AO838" t="s">
        <v>10922</v>
      </c>
      <c r="AP838" t="s">
        <v>10995</v>
      </c>
      <c r="AQ838" t="s">
        <v>1190</v>
      </c>
    </row>
    <row r="839" spans="1:43" x14ac:dyDescent="0.2">
      <c r="A839" t="s">
        <v>11944</v>
      </c>
      <c r="B839" t="s">
        <v>10900</v>
      </c>
      <c r="C839" t="s">
        <v>10990</v>
      </c>
      <c r="D839" t="s">
        <v>10996</v>
      </c>
      <c r="E839" t="s">
        <v>1160</v>
      </c>
      <c r="F839" t="s">
        <v>10996</v>
      </c>
      <c r="G839" s="1">
        <v>2380000</v>
      </c>
      <c r="H839" s="2">
        <v>2869549.12</v>
      </c>
      <c r="I839" s="2">
        <v>2894103.07</v>
      </c>
      <c r="J839" s="2">
        <v>29487.8</v>
      </c>
      <c r="K839" s="2">
        <v>0</v>
      </c>
      <c r="L839" s="2">
        <v>2923590.87</v>
      </c>
      <c r="M839" s="3">
        <v>3.9</v>
      </c>
      <c r="N839" s="4">
        <v>6.6514800000000004E-3</v>
      </c>
      <c r="O839" s="5">
        <v>44742</v>
      </c>
      <c r="P839" s="5">
        <v>55153</v>
      </c>
      <c r="Q839" s="1">
        <v>2.5</v>
      </c>
      <c r="R839" s="2">
        <v>19.05</v>
      </c>
      <c r="S839" s="6">
        <v>18.689623709999999</v>
      </c>
      <c r="T839" t="s">
        <v>111</v>
      </c>
      <c r="U839" t="s">
        <v>111</v>
      </c>
      <c r="V839" t="s">
        <v>10992</v>
      </c>
      <c r="W839" t="s">
        <v>43</v>
      </c>
      <c r="X839" t="s">
        <v>10945</v>
      </c>
      <c r="Y839" t="s">
        <v>44</v>
      </c>
      <c r="Z839" t="s">
        <v>44</v>
      </c>
      <c r="AA839" t="s">
        <v>10913</v>
      </c>
      <c r="AB839" t="s">
        <v>44</v>
      </c>
      <c r="AC839" s="4">
        <v>3.9380250000000001</v>
      </c>
      <c r="AD839" s="4">
        <v>3.8686849699999999</v>
      </c>
      <c r="AE839" s="2">
        <v>3.94</v>
      </c>
      <c r="AF839" s="4">
        <v>3.8686849699999999</v>
      </c>
      <c r="AG839" s="2">
        <v>2.82</v>
      </c>
      <c r="AH839" s="2">
        <v>2923590.87</v>
      </c>
      <c r="AI839" s="2">
        <v>0.01</v>
      </c>
      <c r="AJ839" s="5">
        <v>44673</v>
      </c>
      <c r="AK839" t="s">
        <v>11945</v>
      </c>
      <c r="AL839" s="2">
        <v>3.9</v>
      </c>
      <c r="AM839" s="2">
        <v>2.5</v>
      </c>
      <c r="AN839" s="2">
        <v>18.690000000000001</v>
      </c>
      <c r="AO839" t="s">
        <v>10922</v>
      </c>
      <c r="AP839" t="s">
        <v>10997</v>
      </c>
      <c r="AQ839" t="s">
        <v>1160</v>
      </c>
    </row>
    <row r="840" spans="1:43" x14ac:dyDescent="0.2">
      <c r="A840" t="s">
        <v>11944</v>
      </c>
      <c r="B840" t="s">
        <v>10900</v>
      </c>
      <c r="C840" t="s">
        <v>10990</v>
      </c>
      <c r="D840" t="s">
        <v>10998</v>
      </c>
      <c r="E840" t="s">
        <v>1197</v>
      </c>
      <c r="F840" t="s">
        <v>10998</v>
      </c>
      <c r="G840" s="1">
        <v>2260000</v>
      </c>
      <c r="H840" s="2">
        <v>2565235.59</v>
      </c>
      <c r="I840" s="2">
        <v>2557719.16</v>
      </c>
      <c r="J840" s="2">
        <v>8563.31</v>
      </c>
      <c r="K840" s="2">
        <v>0</v>
      </c>
      <c r="L840" s="2">
        <v>2566282.4700000002</v>
      </c>
      <c r="M840" s="3">
        <v>3.82</v>
      </c>
      <c r="N840" s="4">
        <v>5.8385700000000004E-3</v>
      </c>
      <c r="O840" s="5">
        <v>44804</v>
      </c>
      <c r="P840" s="5">
        <v>48638</v>
      </c>
      <c r="Q840" s="1">
        <v>1.875</v>
      </c>
      <c r="R840" s="2">
        <v>9.7100000000000009</v>
      </c>
      <c r="S840" s="6">
        <v>9.5277218819999998</v>
      </c>
      <c r="T840" t="s">
        <v>111</v>
      </c>
      <c r="U840" t="s">
        <v>111</v>
      </c>
      <c r="V840" t="s">
        <v>10992</v>
      </c>
      <c r="W840" t="s">
        <v>43</v>
      </c>
      <c r="X840" t="s">
        <v>10945</v>
      </c>
      <c r="Y840" t="s">
        <v>44</v>
      </c>
      <c r="Z840" t="s">
        <v>44</v>
      </c>
      <c r="AA840" t="s">
        <v>10913</v>
      </c>
      <c r="AB840" t="s">
        <v>44</v>
      </c>
      <c r="AC840" s="4">
        <v>3.856481</v>
      </c>
      <c r="AD840" s="4">
        <v>3.7899492800000001</v>
      </c>
      <c r="AE840" s="2">
        <v>3.86</v>
      </c>
      <c r="AF840" s="4">
        <v>3.7899492800000001</v>
      </c>
      <c r="AG840" s="2">
        <v>2.48</v>
      </c>
      <c r="AH840" s="2">
        <v>2566282.4700000002</v>
      </c>
      <c r="AI840" s="2">
        <v>0.01</v>
      </c>
      <c r="AJ840" s="5">
        <v>44673</v>
      </c>
      <c r="AK840" t="s">
        <v>11945</v>
      </c>
      <c r="AL840" s="2">
        <v>3.82</v>
      </c>
      <c r="AM840" s="2">
        <v>1.88</v>
      </c>
      <c r="AN840" s="2">
        <v>9.5299999999999994</v>
      </c>
      <c r="AO840" t="s">
        <v>10922</v>
      </c>
      <c r="AP840" t="s">
        <v>10999</v>
      </c>
      <c r="AQ840" t="s">
        <v>1197</v>
      </c>
    </row>
    <row r="841" spans="1:43" x14ac:dyDescent="0.2">
      <c r="A841" t="s">
        <v>11944</v>
      </c>
      <c r="B841" t="s">
        <v>45</v>
      </c>
      <c r="C841" t="s">
        <v>11000</v>
      </c>
      <c r="D841" t="s">
        <v>11001</v>
      </c>
      <c r="E841" t="s">
        <v>11002</v>
      </c>
      <c r="F841" t="s">
        <v>11001</v>
      </c>
      <c r="G841" s="1">
        <v>3303338.14</v>
      </c>
      <c r="H841" s="2">
        <v>3303338.1</v>
      </c>
      <c r="I841" s="2">
        <v>3303338.1</v>
      </c>
      <c r="J841" s="2">
        <v>14856.28</v>
      </c>
      <c r="K841" s="2">
        <v>0</v>
      </c>
      <c r="L841" s="2">
        <v>3318194.38</v>
      </c>
      <c r="M841" s="3"/>
      <c r="N841" s="4">
        <v>7.5492500000000004E-3</v>
      </c>
      <c r="O841" s="5">
        <v>40756</v>
      </c>
      <c r="P841" s="5">
        <v>73020</v>
      </c>
      <c r="Q841" s="1">
        <v>0</v>
      </c>
      <c r="R841" s="2"/>
      <c r="S841" s="6"/>
      <c r="T841" t="s">
        <v>111</v>
      </c>
      <c r="U841" t="s">
        <v>11003</v>
      </c>
      <c r="V841" t="s">
        <v>46</v>
      </c>
      <c r="W841" t="s">
        <v>43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s="4"/>
      <c r="AD841" s="4"/>
      <c r="AE841" s="2">
        <v>0</v>
      </c>
      <c r="AF841" s="4">
        <v>0</v>
      </c>
      <c r="AG841" s="2">
        <v>3.2</v>
      </c>
      <c r="AH841" s="2">
        <v>3318194.38</v>
      </c>
      <c r="AI841" s="2">
        <v>0.01</v>
      </c>
      <c r="AJ841" s="5">
        <v>44673</v>
      </c>
      <c r="AK841" t="s">
        <v>11945</v>
      </c>
      <c r="AL841" s="2">
        <v>0</v>
      </c>
      <c r="AM841" s="2">
        <v>0</v>
      </c>
      <c r="AN841" s="2">
        <v>0</v>
      </c>
      <c r="AO841" t="s">
        <v>44</v>
      </c>
      <c r="AP841" t="s">
        <v>11004</v>
      </c>
      <c r="AQ841" t="s">
        <v>11002</v>
      </c>
    </row>
    <row r="842" spans="1:43" x14ac:dyDescent="0.2">
      <c r="A842" t="s">
        <v>11944</v>
      </c>
      <c r="B842" t="s">
        <v>45</v>
      </c>
      <c r="C842" t="s">
        <v>11144</v>
      </c>
      <c r="D842" t="s">
        <v>11145</v>
      </c>
      <c r="E842" t="s">
        <v>11146</v>
      </c>
      <c r="F842" t="s">
        <v>11147</v>
      </c>
      <c r="G842" s="1">
        <v>1368509</v>
      </c>
      <c r="H842" s="2">
        <v>1368509</v>
      </c>
      <c r="I842" s="2">
        <v>1368509</v>
      </c>
      <c r="J842" s="2">
        <v>4779.97</v>
      </c>
      <c r="K842" s="2">
        <v>0</v>
      </c>
      <c r="L842" s="2">
        <v>1373288.97</v>
      </c>
      <c r="M842" s="3">
        <v>6.88</v>
      </c>
      <c r="N842" s="4">
        <v>3.12438E-3</v>
      </c>
      <c r="O842" s="5" t="s">
        <v>44</v>
      </c>
      <c r="P842" s="5">
        <v>55153</v>
      </c>
      <c r="Q842" s="1">
        <v>6.88</v>
      </c>
      <c r="R842" s="2">
        <v>0.08</v>
      </c>
      <c r="S842" s="6">
        <v>2.6006750000000002E-3</v>
      </c>
      <c r="T842" t="s">
        <v>112</v>
      </c>
      <c r="U842" t="s">
        <v>46</v>
      </c>
      <c r="V842" t="s">
        <v>11148</v>
      </c>
      <c r="W842" t="s">
        <v>43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s="4"/>
      <c r="AD842" s="4"/>
      <c r="AE842" s="2">
        <v>0</v>
      </c>
      <c r="AF842" s="4">
        <v>0</v>
      </c>
      <c r="AG842" s="2">
        <v>1.33</v>
      </c>
      <c r="AH842" s="2">
        <v>1373288.97</v>
      </c>
      <c r="AI842" s="2">
        <v>0</v>
      </c>
      <c r="AJ842" s="5">
        <v>44673</v>
      </c>
      <c r="AK842" t="s">
        <v>11945</v>
      </c>
      <c r="AL842" s="2">
        <v>0</v>
      </c>
      <c r="AM842" s="2">
        <v>6.88</v>
      </c>
      <c r="AN842" s="2">
        <v>0</v>
      </c>
      <c r="AO842" t="s">
        <v>11146</v>
      </c>
      <c r="AP842" t="s">
        <v>44</v>
      </c>
      <c r="AQ842" t="s">
        <v>11146</v>
      </c>
    </row>
    <row r="843" spans="1:43" x14ac:dyDescent="0.2">
      <c r="A843" t="s">
        <v>11944</v>
      </c>
      <c r="B843" t="s">
        <v>45</v>
      </c>
      <c r="C843" t="s">
        <v>47</v>
      </c>
      <c r="D843" t="s">
        <v>48</v>
      </c>
      <c r="E843" t="s">
        <v>49</v>
      </c>
      <c r="F843" t="s">
        <v>50</v>
      </c>
      <c r="G843" s="1">
        <v>0</v>
      </c>
      <c r="H843" s="2">
        <v>0</v>
      </c>
      <c r="I843" s="2">
        <v>0</v>
      </c>
      <c r="J843" s="2">
        <v>0</v>
      </c>
      <c r="K843" s="2">
        <v>0</v>
      </c>
      <c r="L843" s="2">
        <v>626.05999999999995</v>
      </c>
      <c r="M843" s="3"/>
      <c r="N843" s="4">
        <v>1.42E-6</v>
      </c>
      <c r="O843" s="5" t="s">
        <v>44</v>
      </c>
      <c r="P843" s="5" t="s">
        <v>44</v>
      </c>
      <c r="Q843" s="1"/>
      <c r="R843" s="2">
        <v>0.08</v>
      </c>
      <c r="S843" s="6"/>
      <c r="T843" t="s">
        <v>45</v>
      </c>
      <c r="U843" t="s">
        <v>46</v>
      </c>
      <c r="V843" t="s">
        <v>44</v>
      </c>
      <c r="W843" t="s">
        <v>43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s="4">
        <v>5.1163389600000002</v>
      </c>
      <c r="AD843" s="4">
        <v>5.0001424999999999</v>
      </c>
      <c r="AE843" s="2">
        <v>5.12</v>
      </c>
      <c r="AF843" s="4">
        <v>5.0001424999999999</v>
      </c>
      <c r="AG843" s="2">
        <v>0</v>
      </c>
      <c r="AH843" s="2">
        <v>626.05999999999995</v>
      </c>
      <c r="AI843" s="2">
        <v>0</v>
      </c>
      <c r="AJ843" s="5">
        <v>44673</v>
      </c>
      <c r="AK843" t="s">
        <v>11945</v>
      </c>
      <c r="AL843" s="2">
        <v>5.05</v>
      </c>
      <c r="AM843" s="2">
        <v>0</v>
      </c>
      <c r="AN843" s="2">
        <v>0</v>
      </c>
      <c r="AO843" t="s">
        <v>44</v>
      </c>
      <c r="AP843" t="s">
        <v>44</v>
      </c>
      <c r="AQ843" t="s">
        <v>44</v>
      </c>
    </row>
    <row r="844" spans="1:43" x14ac:dyDescent="0.2">
      <c r="A844" t="s">
        <v>11944</v>
      </c>
      <c r="B844" t="s">
        <v>45</v>
      </c>
      <c r="C844" t="s">
        <v>47</v>
      </c>
      <c r="D844" t="s">
        <v>51</v>
      </c>
      <c r="E844" t="s">
        <v>52</v>
      </c>
      <c r="F844" t="s">
        <v>51</v>
      </c>
      <c r="G844" s="1">
        <v>717616.7</v>
      </c>
      <c r="H844" s="2">
        <v>717616.7</v>
      </c>
      <c r="I844" s="2">
        <v>717616.7</v>
      </c>
      <c r="J844" s="2">
        <v>0</v>
      </c>
      <c r="K844" s="2">
        <v>0</v>
      </c>
      <c r="L844" s="2">
        <v>717616.7</v>
      </c>
      <c r="M844" s="3"/>
      <c r="N844" s="4">
        <v>1.63266E-3</v>
      </c>
      <c r="O844" s="5" t="s">
        <v>44</v>
      </c>
      <c r="P844" s="5" t="s">
        <v>44</v>
      </c>
      <c r="Q844" s="1"/>
      <c r="R844" s="2">
        <v>0.08</v>
      </c>
      <c r="S844" s="6"/>
      <c r="T844" t="s">
        <v>45</v>
      </c>
      <c r="U844" t="s">
        <v>53</v>
      </c>
      <c r="V844" t="s">
        <v>44</v>
      </c>
      <c r="W844" t="s">
        <v>43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s="4">
        <v>5.1163389600000002</v>
      </c>
      <c r="AD844" s="4">
        <v>5.0001424999999999</v>
      </c>
      <c r="AE844" s="2">
        <v>5.12</v>
      </c>
      <c r="AF844" s="4">
        <v>5.0001424999999999</v>
      </c>
      <c r="AG844" s="2">
        <v>0.69</v>
      </c>
      <c r="AH844" s="2">
        <v>717616.7</v>
      </c>
      <c r="AI844" s="2">
        <v>0</v>
      </c>
      <c r="AJ844" s="5">
        <v>44673</v>
      </c>
      <c r="AK844" t="s">
        <v>11945</v>
      </c>
      <c r="AL844" s="2">
        <v>5.05</v>
      </c>
      <c r="AM844" s="2">
        <v>0</v>
      </c>
      <c r="AN844" s="2">
        <v>0</v>
      </c>
      <c r="AO844" t="s">
        <v>44</v>
      </c>
      <c r="AP844" t="s">
        <v>44</v>
      </c>
      <c r="AQ844" t="s">
        <v>43</v>
      </c>
    </row>
    <row r="845" spans="1:43" x14ac:dyDescent="0.2">
      <c r="A845" t="s">
        <v>11944</v>
      </c>
      <c r="B845" t="s">
        <v>45</v>
      </c>
      <c r="C845" t="s">
        <v>11005</v>
      </c>
      <c r="D845" t="s">
        <v>11149</v>
      </c>
      <c r="E845" t="s">
        <v>11150</v>
      </c>
      <c r="F845" t="s">
        <v>44</v>
      </c>
      <c r="G845" s="1">
        <v>-379732</v>
      </c>
      <c r="H845" s="2">
        <v>-379732</v>
      </c>
      <c r="I845" s="2">
        <v>-379732</v>
      </c>
      <c r="J845" s="2">
        <v>0</v>
      </c>
      <c r="K845" s="2"/>
      <c r="L845" s="2">
        <v>-379732</v>
      </c>
      <c r="M845" s="3"/>
      <c r="N845" s="4">
        <v>-8.6392999999999995E-4</v>
      </c>
      <c r="O845" s="5" t="s">
        <v>44</v>
      </c>
      <c r="P845" s="5">
        <v>73051</v>
      </c>
      <c r="Q845" s="1">
        <v>0</v>
      </c>
      <c r="R845" s="2">
        <v>0.08</v>
      </c>
      <c r="S845" s="6"/>
      <c r="T845" t="s">
        <v>45</v>
      </c>
      <c r="U845" t="s">
        <v>44</v>
      </c>
      <c r="V845" t="s">
        <v>44</v>
      </c>
      <c r="W845" t="s">
        <v>43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s="4">
        <v>5.1163389600000002</v>
      </c>
      <c r="AD845" s="4">
        <v>5.0001424999999999</v>
      </c>
      <c r="AE845" s="2">
        <v>5.12</v>
      </c>
      <c r="AF845" s="4">
        <v>5.0001424999999999</v>
      </c>
      <c r="AG845" s="2">
        <v>-0.37</v>
      </c>
      <c r="AH845" s="2">
        <v>-379732</v>
      </c>
      <c r="AI845" s="2">
        <v>0</v>
      </c>
      <c r="AJ845" s="5">
        <v>44673</v>
      </c>
      <c r="AK845" t="s">
        <v>11945</v>
      </c>
      <c r="AL845" s="2">
        <v>5.05</v>
      </c>
      <c r="AM845" s="2">
        <v>0</v>
      </c>
      <c r="AN845" s="2">
        <v>0</v>
      </c>
      <c r="AO845" t="s">
        <v>44</v>
      </c>
      <c r="AP845" t="s">
        <v>44</v>
      </c>
      <c r="AQ845" t="s">
        <v>44</v>
      </c>
    </row>
    <row r="846" spans="1:43" x14ac:dyDescent="0.2">
      <c r="A846" t="s">
        <v>11944</v>
      </c>
      <c r="B846" t="s">
        <v>11024</v>
      </c>
      <c r="C846" t="s">
        <v>57</v>
      </c>
      <c r="D846" t="s">
        <v>11151</v>
      </c>
      <c r="E846" t="s">
        <v>11151</v>
      </c>
      <c r="F846" t="s">
        <v>11151</v>
      </c>
      <c r="G846" s="1">
        <v>23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3">
        <v>65704</v>
      </c>
      <c r="N846" s="4">
        <v>0</v>
      </c>
      <c r="O846" s="5" t="s">
        <v>44</v>
      </c>
      <c r="P846" s="5">
        <v>44727</v>
      </c>
      <c r="Q846" s="1"/>
      <c r="R846" s="2"/>
      <c r="S846" s="6"/>
      <c r="T846" t="s">
        <v>11026</v>
      </c>
      <c r="U846" t="s">
        <v>11025</v>
      </c>
      <c r="V846" t="s">
        <v>11027</v>
      </c>
      <c r="W846" t="s">
        <v>43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s="4"/>
      <c r="AD846" s="4"/>
      <c r="AE846" s="2">
        <v>0</v>
      </c>
      <c r="AF846" s="4">
        <v>0</v>
      </c>
      <c r="AG846" s="2">
        <v>0</v>
      </c>
      <c r="AH846" s="2">
        <v>15111920</v>
      </c>
      <c r="AI846" s="2">
        <v>0.03</v>
      </c>
      <c r="AJ846" s="5">
        <v>44673</v>
      </c>
      <c r="AK846" t="s">
        <v>11945</v>
      </c>
      <c r="AL846" s="2">
        <v>0</v>
      </c>
      <c r="AM846" s="2">
        <v>0</v>
      </c>
      <c r="AN846" s="2">
        <v>0</v>
      </c>
      <c r="AO846" t="s">
        <v>44</v>
      </c>
      <c r="AP846" t="s">
        <v>11152</v>
      </c>
      <c r="AQ846" t="s">
        <v>11151</v>
      </c>
    </row>
    <row r="847" spans="1:43" x14ac:dyDescent="0.2">
      <c r="A847" t="s">
        <v>11944</v>
      </c>
      <c r="B847" t="s">
        <v>11024</v>
      </c>
      <c r="C847" t="s">
        <v>57</v>
      </c>
      <c r="D847" t="s">
        <v>11157</v>
      </c>
      <c r="E847" t="s">
        <v>11157</v>
      </c>
      <c r="F847" t="s">
        <v>11157</v>
      </c>
      <c r="G847" s="1">
        <v>-17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3">
        <v>65741</v>
      </c>
      <c r="N847" s="4">
        <v>0</v>
      </c>
      <c r="O847" s="5" t="s">
        <v>44</v>
      </c>
      <c r="P847" s="5">
        <v>44819</v>
      </c>
      <c r="Q847" s="1"/>
      <c r="R847" s="2"/>
      <c r="S847" s="6"/>
      <c r="T847" t="s">
        <v>11026</v>
      </c>
      <c r="U847" t="s">
        <v>11025</v>
      </c>
      <c r="V847" t="s">
        <v>11027</v>
      </c>
      <c r="W847" t="s">
        <v>43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s="4"/>
      <c r="AD847" s="4"/>
      <c r="AE847" s="2">
        <v>0</v>
      </c>
      <c r="AF847" s="4">
        <v>0</v>
      </c>
      <c r="AG847" s="2">
        <v>0</v>
      </c>
      <c r="AH847" s="2">
        <v>-11175970</v>
      </c>
      <c r="AI847" s="2">
        <v>-0.03</v>
      </c>
      <c r="AJ847" s="5">
        <v>44673</v>
      </c>
      <c r="AK847" t="s">
        <v>11945</v>
      </c>
      <c r="AL847" s="2">
        <v>0</v>
      </c>
      <c r="AM847" s="2">
        <v>0</v>
      </c>
      <c r="AN847" s="2">
        <v>0</v>
      </c>
      <c r="AO847" t="s">
        <v>44</v>
      </c>
      <c r="AP847" t="s">
        <v>11158</v>
      </c>
      <c r="AQ847" t="s">
        <v>11157</v>
      </c>
    </row>
    <row r="848" spans="1:43" x14ac:dyDescent="0.2">
      <c r="A848" t="s">
        <v>11944</v>
      </c>
      <c r="B848" t="s">
        <v>11024</v>
      </c>
      <c r="C848" t="s">
        <v>57</v>
      </c>
      <c r="D848" t="s">
        <v>12738</v>
      </c>
      <c r="E848" t="s">
        <v>12738</v>
      </c>
      <c r="F848" t="s">
        <v>12738</v>
      </c>
      <c r="G848" s="1">
        <v>34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3">
        <v>17668</v>
      </c>
      <c r="N848" s="4">
        <v>0</v>
      </c>
      <c r="O848" s="5" t="s">
        <v>44</v>
      </c>
      <c r="P848" s="5">
        <v>44819</v>
      </c>
      <c r="Q848" s="1"/>
      <c r="R848" s="2"/>
      <c r="S848" s="6"/>
      <c r="T848" t="s">
        <v>11153</v>
      </c>
      <c r="U848" t="s">
        <v>11025</v>
      </c>
      <c r="V848" t="s">
        <v>11154</v>
      </c>
      <c r="W848" t="s">
        <v>43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s="4"/>
      <c r="AD848" s="4"/>
      <c r="AE848" s="2">
        <v>0</v>
      </c>
      <c r="AF848" s="4">
        <v>0</v>
      </c>
      <c r="AG848" s="2">
        <v>0</v>
      </c>
      <c r="AH848" s="2">
        <v>8060032.9800000004</v>
      </c>
      <c r="AI848" s="2">
        <v>0.02</v>
      </c>
      <c r="AJ848" s="5">
        <v>44673</v>
      </c>
      <c r="AK848" t="s">
        <v>11945</v>
      </c>
      <c r="AL848" s="2">
        <v>0</v>
      </c>
      <c r="AM848" s="2">
        <v>0</v>
      </c>
      <c r="AN848" s="2">
        <v>0</v>
      </c>
      <c r="AO848" t="s">
        <v>44</v>
      </c>
      <c r="AP848" t="s">
        <v>12741</v>
      </c>
      <c r="AQ848" t="s">
        <v>12738</v>
      </c>
    </row>
    <row r="849" spans="1:43" x14ac:dyDescent="0.2">
      <c r="A849" t="s">
        <v>11944</v>
      </c>
      <c r="B849" t="s">
        <v>11024</v>
      </c>
      <c r="C849" t="s">
        <v>57</v>
      </c>
      <c r="D849" t="s">
        <v>12722</v>
      </c>
      <c r="E849" t="s">
        <v>12722</v>
      </c>
      <c r="F849" t="s">
        <v>12722</v>
      </c>
      <c r="G849" s="1">
        <v>34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3">
        <v>14076</v>
      </c>
      <c r="N849" s="4">
        <v>0</v>
      </c>
      <c r="O849" s="5" t="s">
        <v>44</v>
      </c>
      <c r="P849" s="5">
        <v>44819</v>
      </c>
      <c r="Q849" s="1"/>
      <c r="R849" s="2"/>
      <c r="S849" s="6"/>
      <c r="T849" t="s">
        <v>11153</v>
      </c>
      <c r="U849" t="s">
        <v>11025</v>
      </c>
      <c r="V849" t="s">
        <v>11154</v>
      </c>
      <c r="W849" t="s">
        <v>43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s="4"/>
      <c r="AD849" s="4"/>
      <c r="AE849" s="2">
        <v>0</v>
      </c>
      <c r="AF849" s="4">
        <v>0</v>
      </c>
      <c r="AG849" s="2">
        <v>0</v>
      </c>
      <c r="AH849" s="2">
        <v>6940213.21</v>
      </c>
      <c r="AI849" s="2">
        <v>0.02</v>
      </c>
      <c r="AJ849" s="5">
        <v>44673</v>
      </c>
      <c r="AK849" t="s">
        <v>11945</v>
      </c>
      <c r="AL849" s="2">
        <v>0</v>
      </c>
      <c r="AM849" s="2">
        <v>0</v>
      </c>
      <c r="AN849" s="2">
        <v>0</v>
      </c>
      <c r="AO849" t="s">
        <v>44</v>
      </c>
      <c r="AP849" t="s">
        <v>12723</v>
      </c>
      <c r="AQ849" t="s">
        <v>12722</v>
      </c>
    </row>
    <row r="850" spans="1:43" x14ac:dyDescent="0.2">
      <c r="A850" t="s">
        <v>11944</v>
      </c>
      <c r="B850" t="s">
        <v>11024</v>
      </c>
      <c r="C850" t="s">
        <v>57</v>
      </c>
      <c r="D850" t="s">
        <v>12996</v>
      </c>
      <c r="E850" t="s">
        <v>12996</v>
      </c>
      <c r="F850" t="s">
        <v>12996</v>
      </c>
      <c r="G850" s="1">
        <v>-34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3">
        <v>5097</v>
      </c>
      <c r="N850" s="4">
        <v>0</v>
      </c>
      <c r="O850" s="5" t="s">
        <v>44</v>
      </c>
      <c r="P850" s="5">
        <v>44819</v>
      </c>
      <c r="Q850" s="1"/>
      <c r="R850" s="2"/>
      <c r="S850" s="6"/>
      <c r="T850" t="s">
        <v>11153</v>
      </c>
      <c r="U850" t="s">
        <v>11025</v>
      </c>
      <c r="V850" t="s">
        <v>11154</v>
      </c>
      <c r="W850" t="s">
        <v>43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s="4"/>
      <c r="AD850" s="4"/>
      <c r="AE850" s="2">
        <v>0</v>
      </c>
      <c r="AF850" s="4">
        <v>0</v>
      </c>
      <c r="AG850" s="2">
        <v>0</v>
      </c>
      <c r="AH850" s="2">
        <v>-3284696.08</v>
      </c>
      <c r="AI850" s="2">
        <v>-0.01</v>
      </c>
      <c r="AJ850" s="5">
        <v>44673</v>
      </c>
      <c r="AK850" t="s">
        <v>11945</v>
      </c>
      <c r="AL850" s="2">
        <v>0</v>
      </c>
      <c r="AM850" s="2">
        <v>0</v>
      </c>
      <c r="AN850" s="2">
        <v>0</v>
      </c>
      <c r="AO850" t="s">
        <v>44</v>
      </c>
      <c r="AP850" t="s">
        <v>13000</v>
      </c>
      <c r="AQ850" t="s">
        <v>12996</v>
      </c>
    </row>
    <row r="851" spans="1:43" x14ac:dyDescent="0.2">
      <c r="A851" t="s">
        <v>11944</v>
      </c>
      <c r="B851" t="s">
        <v>11037</v>
      </c>
      <c r="C851" t="s">
        <v>11195</v>
      </c>
      <c r="D851" t="s">
        <v>11196</v>
      </c>
      <c r="E851" t="s">
        <v>5755</v>
      </c>
      <c r="F851" t="s">
        <v>11196</v>
      </c>
      <c r="G851" s="1">
        <v>25682</v>
      </c>
      <c r="H851" s="2">
        <v>530631.35</v>
      </c>
      <c r="I851" s="2">
        <v>554217.56000000006</v>
      </c>
      <c r="J851" s="2">
        <v>0</v>
      </c>
      <c r="K851" s="2">
        <v>0</v>
      </c>
      <c r="L851" s="2">
        <v>554217.56000000006</v>
      </c>
      <c r="M851" s="3">
        <v>2158</v>
      </c>
      <c r="N851" s="4">
        <v>1.2608999999999999E-3</v>
      </c>
      <c r="O851" s="5" t="s">
        <v>44</v>
      </c>
      <c r="P851" s="5" t="s">
        <v>44</v>
      </c>
      <c r="Q851" s="1"/>
      <c r="R851" s="2"/>
      <c r="S851" s="6"/>
      <c r="T851" t="s">
        <v>10902</v>
      </c>
      <c r="U851" t="s">
        <v>10902</v>
      </c>
      <c r="V851" t="s">
        <v>10902</v>
      </c>
      <c r="W851" t="s">
        <v>43</v>
      </c>
      <c r="X851" t="s">
        <v>11197</v>
      </c>
      <c r="Y851" t="s">
        <v>11198</v>
      </c>
      <c r="Z851" t="s">
        <v>11195</v>
      </c>
      <c r="AA851" t="s">
        <v>44</v>
      </c>
      <c r="AB851" t="s">
        <v>44</v>
      </c>
      <c r="AC851" s="4"/>
      <c r="AD851" s="4"/>
      <c r="AE851" s="2">
        <v>0</v>
      </c>
      <c r="AF851" s="4">
        <v>0</v>
      </c>
      <c r="AG851" s="2">
        <v>0.53</v>
      </c>
      <c r="AH851" s="2">
        <v>554217.56000000006</v>
      </c>
      <c r="AI851" s="2">
        <v>0</v>
      </c>
      <c r="AJ851" s="5">
        <v>44673</v>
      </c>
      <c r="AK851" t="s">
        <v>11945</v>
      </c>
      <c r="AL851" s="2">
        <v>0</v>
      </c>
      <c r="AM851" s="2">
        <v>0</v>
      </c>
      <c r="AN851" s="2">
        <v>0</v>
      </c>
      <c r="AO851" t="s">
        <v>44</v>
      </c>
      <c r="AP851" t="s">
        <v>11199</v>
      </c>
      <c r="AQ851" t="s">
        <v>5755</v>
      </c>
    </row>
    <row r="852" spans="1:43" x14ac:dyDescent="0.2">
      <c r="A852" t="s">
        <v>11944</v>
      </c>
      <c r="B852" t="s">
        <v>11037</v>
      </c>
      <c r="C852" t="s">
        <v>11195</v>
      </c>
      <c r="D852" t="s">
        <v>11200</v>
      </c>
      <c r="E852" t="s">
        <v>5277</v>
      </c>
      <c r="F852" t="s">
        <v>11200</v>
      </c>
      <c r="G852" s="1">
        <v>44852</v>
      </c>
      <c r="H852" s="2">
        <v>604451.30000000005</v>
      </c>
      <c r="I852" s="2">
        <v>559304.43999999994</v>
      </c>
      <c r="J852" s="2">
        <v>0</v>
      </c>
      <c r="K852" s="2">
        <v>0</v>
      </c>
      <c r="L852" s="2">
        <v>559304.43999999994</v>
      </c>
      <c r="M852" s="3">
        <v>1247</v>
      </c>
      <c r="N852" s="4">
        <v>1.2724800000000001E-3</v>
      </c>
      <c r="O852" s="5" t="s">
        <v>44</v>
      </c>
      <c r="P852" s="5" t="s">
        <v>44</v>
      </c>
      <c r="Q852" s="1"/>
      <c r="R852" s="2"/>
      <c r="S852" s="6"/>
      <c r="T852" t="s">
        <v>10902</v>
      </c>
      <c r="U852" t="s">
        <v>10902</v>
      </c>
      <c r="V852" t="s">
        <v>10902</v>
      </c>
      <c r="W852" t="s">
        <v>43</v>
      </c>
      <c r="X852" t="s">
        <v>11197</v>
      </c>
      <c r="Y852" t="s">
        <v>11198</v>
      </c>
      <c r="Z852" t="s">
        <v>11195</v>
      </c>
      <c r="AA852" t="s">
        <v>44</v>
      </c>
      <c r="AB852" t="s">
        <v>44</v>
      </c>
      <c r="AC852" s="4"/>
      <c r="AD852" s="4"/>
      <c r="AE852" s="2">
        <v>0</v>
      </c>
      <c r="AF852" s="4">
        <v>0</v>
      </c>
      <c r="AG852" s="2">
        <v>0.54</v>
      </c>
      <c r="AH852" s="2">
        <v>559304.43999999994</v>
      </c>
      <c r="AI852" s="2">
        <v>0</v>
      </c>
      <c r="AJ852" s="5">
        <v>44673</v>
      </c>
      <c r="AK852" t="s">
        <v>11945</v>
      </c>
      <c r="AL852" s="2">
        <v>0</v>
      </c>
      <c r="AM852" s="2">
        <v>0</v>
      </c>
      <c r="AN852" s="2">
        <v>0</v>
      </c>
      <c r="AO852" t="s">
        <v>44</v>
      </c>
      <c r="AP852" t="s">
        <v>11201</v>
      </c>
      <c r="AQ852" t="s">
        <v>5277</v>
      </c>
    </row>
    <row r="853" spans="1:43" x14ac:dyDescent="0.2">
      <c r="A853" t="s">
        <v>11944</v>
      </c>
      <c r="B853" t="s">
        <v>11037</v>
      </c>
      <c r="C853" t="s">
        <v>11195</v>
      </c>
      <c r="D853" t="s">
        <v>5988</v>
      </c>
      <c r="E853" t="s">
        <v>3145</v>
      </c>
      <c r="F853" t="s">
        <v>5988</v>
      </c>
      <c r="G853" s="1">
        <v>128047</v>
      </c>
      <c r="H853" s="2">
        <v>1771445.53</v>
      </c>
      <c r="I853" s="2">
        <v>1792658</v>
      </c>
      <c r="J853" s="2">
        <v>0</v>
      </c>
      <c r="K853" s="2">
        <v>0</v>
      </c>
      <c r="L853" s="2">
        <v>1792658</v>
      </c>
      <c r="M853" s="3">
        <v>1400</v>
      </c>
      <c r="N853" s="4">
        <v>4.0784899999999997E-3</v>
      </c>
      <c r="O853" s="5" t="s">
        <v>44</v>
      </c>
      <c r="P853" s="5" t="s">
        <v>44</v>
      </c>
      <c r="Q853" s="1"/>
      <c r="R853" s="2"/>
      <c r="S853" s="6"/>
      <c r="T853" t="s">
        <v>10902</v>
      </c>
      <c r="U853" t="s">
        <v>10902</v>
      </c>
      <c r="V853" t="s">
        <v>10902</v>
      </c>
      <c r="W853" t="s">
        <v>43</v>
      </c>
      <c r="X853" t="s">
        <v>11197</v>
      </c>
      <c r="Y853" t="s">
        <v>11198</v>
      </c>
      <c r="Z853" t="s">
        <v>11195</v>
      </c>
      <c r="AA853" t="s">
        <v>44</v>
      </c>
      <c r="AB853" t="s">
        <v>44</v>
      </c>
      <c r="AC853" s="4"/>
      <c r="AD853" s="4"/>
      <c r="AE853" s="2">
        <v>0</v>
      </c>
      <c r="AF853" s="4">
        <v>0</v>
      </c>
      <c r="AG853" s="2">
        <v>1.73</v>
      </c>
      <c r="AH853" s="2">
        <v>1792658</v>
      </c>
      <c r="AI853" s="2">
        <v>0</v>
      </c>
      <c r="AJ853" s="5">
        <v>44673</v>
      </c>
      <c r="AK853" t="s">
        <v>11945</v>
      </c>
      <c r="AL853" s="2">
        <v>0</v>
      </c>
      <c r="AM853" s="2">
        <v>0</v>
      </c>
      <c r="AN853" s="2">
        <v>0</v>
      </c>
      <c r="AO853" t="s">
        <v>44</v>
      </c>
      <c r="AP853" t="s">
        <v>11202</v>
      </c>
      <c r="AQ853" t="s">
        <v>3145</v>
      </c>
    </row>
    <row r="854" spans="1:43" x14ac:dyDescent="0.2">
      <c r="A854" t="s">
        <v>11944</v>
      </c>
      <c r="B854" t="s">
        <v>11037</v>
      </c>
      <c r="C854" t="s">
        <v>11195</v>
      </c>
      <c r="D854" t="s">
        <v>6332</v>
      </c>
      <c r="E854" t="s">
        <v>3152</v>
      </c>
      <c r="F854" t="s">
        <v>6332</v>
      </c>
      <c r="G854" s="1">
        <v>12989</v>
      </c>
      <c r="H854" s="2">
        <v>401915.55</v>
      </c>
      <c r="I854" s="2">
        <v>468643.12</v>
      </c>
      <c r="J854" s="2">
        <v>0</v>
      </c>
      <c r="K854" s="2">
        <v>0</v>
      </c>
      <c r="L854" s="2">
        <v>468643.12</v>
      </c>
      <c r="M854" s="3">
        <v>3608</v>
      </c>
      <c r="N854" s="4">
        <v>1.0662099999999999E-3</v>
      </c>
      <c r="O854" s="5" t="s">
        <v>44</v>
      </c>
      <c r="P854" s="5" t="s">
        <v>44</v>
      </c>
      <c r="Q854" s="1"/>
      <c r="R854" s="2"/>
      <c r="S854" s="6"/>
      <c r="T854" t="s">
        <v>10902</v>
      </c>
      <c r="U854" t="s">
        <v>10902</v>
      </c>
      <c r="V854" t="s">
        <v>10902</v>
      </c>
      <c r="W854" t="s">
        <v>43</v>
      </c>
      <c r="X854" t="s">
        <v>11197</v>
      </c>
      <c r="Y854" t="s">
        <v>11198</v>
      </c>
      <c r="Z854" t="s">
        <v>11195</v>
      </c>
      <c r="AA854" t="s">
        <v>44</v>
      </c>
      <c r="AB854" t="s">
        <v>44</v>
      </c>
      <c r="AC854" s="4"/>
      <c r="AD854" s="4"/>
      <c r="AE854" s="2">
        <v>0</v>
      </c>
      <c r="AF854" s="4">
        <v>0</v>
      </c>
      <c r="AG854" s="2">
        <v>0.45</v>
      </c>
      <c r="AH854" s="2">
        <v>468643.12</v>
      </c>
      <c r="AI854" s="2">
        <v>0</v>
      </c>
      <c r="AJ854" s="5">
        <v>44673</v>
      </c>
      <c r="AK854" t="s">
        <v>11945</v>
      </c>
      <c r="AL854" s="2">
        <v>0</v>
      </c>
      <c r="AM854" s="2">
        <v>0</v>
      </c>
      <c r="AN854" s="2">
        <v>0</v>
      </c>
      <c r="AO854" t="s">
        <v>44</v>
      </c>
      <c r="AP854" t="s">
        <v>11203</v>
      </c>
      <c r="AQ854" t="s">
        <v>3152</v>
      </c>
    </row>
    <row r="855" spans="1:43" x14ac:dyDescent="0.2">
      <c r="A855" t="s">
        <v>11944</v>
      </c>
      <c r="B855" t="s">
        <v>11037</v>
      </c>
      <c r="C855" t="s">
        <v>11195</v>
      </c>
      <c r="D855" t="s">
        <v>11204</v>
      </c>
      <c r="E855" t="s">
        <v>5699</v>
      </c>
      <c r="F855" t="s">
        <v>11204</v>
      </c>
      <c r="G855" s="1">
        <v>16238</v>
      </c>
      <c r="H855" s="2">
        <v>301985.94</v>
      </c>
      <c r="I855" s="2">
        <v>355287.44</v>
      </c>
      <c r="J855" s="2">
        <v>0</v>
      </c>
      <c r="K855" s="2">
        <v>0</v>
      </c>
      <c r="L855" s="2">
        <v>355287.44</v>
      </c>
      <c r="M855" s="3">
        <v>2188</v>
      </c>
      <c r="N855" s="4">
        <v>8.0831999999999996E-4</v>
      </c>
      <c r="O855" s="5" t="s">
        <v>44</v>
      </c>
      <c r="P855" s="5" t="s">
        <v>44</v>
      </c>
      <c r="Q855" s="1"/>
      <c r="R855" s="2"/>
      <c r="S855" s="6"/>
      <c r="T855" t="s">
        <v>10902</v>
      </c>
      <c r="U855" t="s">
        <v>10902</v>
      </c>
      <c r="V855" t="s">
        <v>10902</v>
      </c>
      <c r="W855" t="s">
        <v>43</v>
      </c>
      <c r="X855" t="s">
        <v>11197</v>
      </c>
      <c r="Y855" t="s">
        <v>11198</v>
      </c>
      <c r="Z855" t="s">
        <v>11195</v>
      </c>
      <c r="AA855" t="s">
        <v>44</v>
      </c>
      <c r="AB855" t="s">
        <v>44</v>
      </c>
      <c r="AC855" s="4"/>
      <c r="AD855" s="4"/>
      <c r="AE855" s="2">
        <v>0</v>
      </c>
      <c r="AF855" s="4">
        <v>0</v>
      </c>
      <c r="AG855" s="2">
        <v>0.34</v>
      </c>
      <c r="AH855" s="2">
        <v>355287.44</v>
      </c>
      <c r="AI855" s="2">
        <v>0</v>
      </c>
      <c r="AJ855" s="5">
        <v>44673</v>
      </c>
      <c r="AK855" t="s">
        <v>11945</v>
      </c>
      <c r="AL855" s="2">
        <v>0</v>
      </c>
      <c r="AM855" s="2">
        <v>0</v>
      </c>
      <c r="AN855" s="2">
        <v>0</v>
      </c>
      <c r="AO855" t="s">
        <v>44</v>
      </c>
      <c r="AP855" t="s">
        <v>11205</v>
      </c>
      <c r="AQ855" t="s">
        <v>5699</v>
      </c>
    </row>
    <row r="856" spans="1:43" x14ac:dyDescent="0.2">
      <c r="A856" t="s">
        <v>11944</v>
      </c>
      <c r="B856" t="s">
        <v>11037</v>
      </c>
      <c r="C856" t="s">
        <v>11195</v>
      </c>
      <c r="D856" t="s">
        <v>11206</v>
      </c>
      <c r="E856" t="s">
        <v>5005</v>
      </c>
      <c r="F856" t="s">
        <v>11206</v>
      </c>
      <c r="G856" s="1">
        <v>17190</v>
      </c>
      <c r="H856" s="2">
        <v>1704757.73</v>
      </c>
      <c r="I856" s="2">
        <v>1655397</v>
      </c>
      <c r="J856" s="2">
        <v>0</v>
      </c>
      <c r="K856" s="2">
        <v>0</v>
      </c>
      <c r="L856" s="2">
        <v>1655397</v>
      </c>
      <c r="M856" s="3">
        <v>9630</v>
      </c>
      <c r="N856" s="4">
        <v>3.7662099999999999E-3</v>
      </c>
      <c r="O856" s="5" t="s">
        <v>44</v>
      </c>
      <c r="P856" s="5" t="s">
        <v>44</v>
      </c>
      <c r="Q856" s="1"/>
      <c r="R856" s="2"/>
      <c r="S856" s="6"/>
      <c r="T856" t="s">
        <v>10902</v>
      </c>
      <c r="U856" t="s">
        <v>10902</v>
      </c>
      <c r="V856" t="s">
        <v>10902</v>
      </c>
      <c r="W856" t="s">
        <v>43</v>
      </c>
      <c r="X856" t="s">
        <v>11197</v>
      </c>
      <c r="Y856" t="s">
        <v>11198</v>
      </c>
      <c r="Z856" t="s">
        <v>11195</v>
      </c>
      <c r="AA856" t="s">
        <v>44</v>
      </c>
      <c r="AB856" t="s">
        <v>44</v>
      </c>
      <c r="AC856" s="4"/>
      <c r="AD856" s="4"/>
      <c r="AE856" s="2">
        <v>0</v>
      </c>
      <c r="AF856" s="4">
        <v>0</v>
      </c>
      <c r="AG856" s="2">
        <v>1.6</v>
      </c>
      <c r="AH856" s="2">
        <v>1655397</v>
      </c>
      <c r="AI856" s="2">
        <v>0</v>
      </c>
      <c r="AJ856" s="5">
        <v>44673</v>
      </c>
      <c r="AK856" t="s">
        <v>11945</v>
      </c>
      <c r="AL856" s="2">
        <v>0</v>
      </c>
      <c r="AM856" s="2">
        <v>0</v>
      </c>
      <c r="AN856" s="2">
        <v>0</v>
      </c>
      <c r="AO856" t="s">
        <v>44</v>
      </c>
      <c r="AP856" t="s">
        <v>11207</v>
      </c>
      <c r="AQ856" t="s">
        <v>5005</v>
      </c>
    </row>
    <row r="857" spans="1:43" x14ac:dyDescent="0.2">
      <c r="A857" t="s">
        <v>11944</v>
      </c>
      <c r="B857" t="s">
        <v>11037</v>
      </c>
      <c r="C857" t="s">
        <v>11195</v>
      </c>
      <c r="D857" t="s">
        <v>11208</v>
      </c>
      <c r="E857" t="s">
        <v>3160</v>
      </c>
      <c r="F857" t="s">
        <v>11208</v>
      </c>
      <c r="G857" s="1">
        <v>257037</v>
      </c>
      <c r="H857" s="2">
        <v>1155086.8999999999</v>
      </c>
      <c r="I857" s="2">
        <v>1138673.9099999999</v>
      </c>
      <c r="J857" s="2">
        <v>0</v>
      </c>
      <c r="K857" s="2">
        <v>0</v>
      </c>
      <c r="L857" s="2">
        <v>1138673.9099999999</v>
      </c>
      <c r="M857" s="3">
        <v>443</v>
      </c>
      <c r="N857" s="4">
        <v>2.5906100000000001E-3</v>
      </c>
      <c r="O857" s="5" t="s">
        <v>44</v>
      </c>
      <c r="P857" s="5" t="s">
        <v>44</v>
      </c>
      <c r="Q857" s="1"/>
      <c r="R857" s="2"/>
      <c r="S857" s="6"/>
      <c r="T857" t="s">
        <v>10902</v>
      </c>
      <c r="U857" t="s">
        <v>10902</v>
      </c>
      <c r="V857" t="s">
        <v>10902</v>
      </c>
      <c r="W857" t="s">
        <v>43</v>
      </c>
      <c r="X857" t="s">
        <v>11197</v>
      </c>
      <c r="Y857" t="s">
        <v>11198</v>
      </c>
      <c r="Z857" t="s">
        <v>11195</v>
      </c>
      <c r="AA857" t="s">
        <v>44</v>
      </c>
      <c r="AB857" t="s">
        <v>44</v>
      </c>
      <c r="AC857" s="4"/>
      <c r="AD857" s="4"/>
      <c r="AE857" s="2">
        <v>0</v>
      </c>
      <c r="AF857" s="4">
        <v>0</v>
      </c>
      <c r="AG857" s="2">
        <v>1.1000000000000001</v>
      </c>
      <c r="AH857" s="2">
        <v>1138673.9099999999</v>
      </c>
      <c r="AI857" s="2">
        <v>0</v>
      </c>
      <c r="AJ857" s="5">
        <v>44673</v>
      </c>
      <c r="AK857" t="s">
        <v>11945</v>
      </c>
      <c r="AL857" s="2">
        <v>0</v>
      </c>
      <c r="AM857" s="2">
        <v>0</v>
      </c>
      <c r="AN857" s="2">
        <v>0</v>
      </c>
      <c r="AO857" t="s">
        <v>44</v>
      </c>
      <c r="AP857" t="s">
        <v>11209</v>
      </c>
      <c r="AQ857" t="s">
        <v>3160</v>
      </c>
    </row>
    <row r="858" spans="1:43" x14ac:dyDescent="0.2">
      <c r="A858" t="s">
        <v>11944</v>
      </c>
      <c r="B858" t="s">
        <v>11037</v>
      </c>
      <c r="C858" t="s">
        <v>11195</v>
      </c>
      <c r="D858" t="s">
        <v>11210</v>
      </c>
      <c r="E858" t="s">
        <v>3167</v>
      </c>
      <c r="F858" t="s">
        <v>11211</v>
      </c>
      <c r="G858" s="1">
        <v>12294</v>
      </c>
      <c r="H858" s="2">
        <v>705313.62</v>
      </c>
      <c r="I858" s="2">
        <v>719199</v>
      </c>
      <c r="J858" s="2">
        <v>0</v>
      </c>
      <c r="K858" s="2">
        <v>0</v>
      </c>
      <c r="L858" s="2">
        <v>719199</v>
      </c>
      <c r="M858" s="3">
        <v>5850</v>
      </c>
      <c r="N858" s="4">
        <v>1.6362600000000001E-3</v>
      </c>
      <c r="O858" s="5" t="s">
        <v>44</v>
      </c>
      <c r="P858" s="5" t="s">
        <v>44</v>
      </c>
      <c r="Q858" s="1"/>
      <c r="R858" s="2"/>
      <c r="S858" s="6"/>
      <c r="T858" t="s">
        <v>10902</v>
      </c>
      <c r="U858" t="s">
        <v>10902</v>
      </c>
      <c r="V858" t="s">
        <v>11212</v>
      </c>
      <c r="W858" t="s">
        <v>43</v>
      </c>
      <c r="X858" t="s">
        <v>11197</v>
      </c>
      <c r="Y858" t="s">
        <v>11198</v>
      </c>
      <c r="Z858" t="s">
        <v>11195</v>
      </c>
      <c r="AA858" t="s">
        <v>44</v>
      </c>
      <c r="AB858" t="s">
        <v>44</v>
      </c>
      <c r="AC858" s="4"/>
      <c r="AD858" s="4"/>
      <c r="AE858" s="2">
        <v>0</v>
      </c>
      <c r="AF858" s="4">
        <v>0</v>
      </c>
      <c r="AG858" s="2">
        <v>0.69</v>
      </c>
      <c r="AH858" s="2">
        <v>719199</v>
      </c>
      <c r="AI858" s="2">
        <v>0</v>
      </c>
      <c r="AJ858" s="5">
        <v>44673</v>
      </c>
      <c r="AK858" t="s">
        <v>11945</v>
      </c>
      <c r="AL858" s="2">
        <v>0</v>
      </c>
      <c r="AM858" s="2">
        <v>0</v>
      </c>
      <c r="AN858" s="2">
        <v>0</v>
      </c>
      <c r="AO858" t="s">
        <v>44</v>
      </c>
      <c r="AP858" t="s">
        <v>11213</v>
      </c>
      <c r="AQ858" t="s">
        <v>3167</v>
      </c>
    </row>
    <row r="859" spans="1:43" x14ac:dyDescent="0.2">
      <c r="A859" t="s">
        <v>11944</v>
      </c>
      <c r="B859" t="s">
        <v>11037</v>
      </c>
      <c r="C859" t="s">
        <v>11195</v>
      </c>
      <c r="D859" t="s">
        <v>6710</v>
      </c>
      <c r="E859" t="s">
        <v>1780</v>
      </c>
      <c r="F859" t="s">
        <v>6710</v>
      </c>
      <c r="G859" s="1">
        <v>11334</v>
      </c>
      <c r="H859" s="2">
        <v>274665.3</v>
      </c>
      <c r="I859" s="2">
        <v>269749.2</v>
      </c>
      <c r="J859" s="2">
        <v>0</v>
      </c>
      <c r="K859" s="2">
        <v>0</v>
      </c>
      <c r="L859" s="2">
        <v>269749.2</v>
      </c>
      <c r="M859" s="3">
        <v>2380</v>
      </c>
      <c r="N859" s="4">
        <v>6.1370999999999995E-4</v>
      </c>
      <c r="O859" s="5" t="s">
        <v>44</v>
      </c>
      <c r="P859" s="5" t="s">
        <v>44</v>
      </c>
      <c r="Q859" s="1"/>
      <c r="R859" s="2"/>
      <c r="S859" s="6"/>
      <c r="T859" t="s">
        <v>10902</v>
      </c>
      <c r="U859" t="s">
        <v>10902</v>
      </c>
      <c r="V859" t="s">
        <v>10902</v>
      </c>
      <c r="W859" t="s">
        <v>43</v>
      </c>
      <c r="X859" t="s">
        <v>11197</v>
      </c>
      <c r="Y859" t="s">
        <v>11198</v>
      </c>
      <c r="Z859" t="s">
        <v>11195</v>
      </c>
      <c r="AA859" t="s">
        <v>44</v>
      </c>
      <c r="AB859" t="s">
        <v>44</v>
      </c>
      <c r="AC859" s="4"/>
      <c r="AD859" s="4"/>
      <c r="AE859" s="2">
        <v>0</v>
      </c>
      <c r="AF859" s="4">
        <v>0</v>
      </c>
      <c r="AG859" s="2">
        <v>0.26</v>
      </c>
      <c r="AH859" s="2">
        <v>269749.2</v>
      </c>
      <c r="AI859" s="2">
        <v>0</v>
      </c>
      <c r="AJ859" s="5">
        <v>44673</v>
      </c>
      <c r="AK859" t="s">
        <v>11945</v>
      </c>
      <c r="AL859" s="2">
        <v>0</v>
      </c>
      <c r="AM859" s="2">
        <v>0</v>
      </c>
      <c r="AN859" s="2">
        <v>0</v>
      </c>
      <c r="AO859" t="s">
        <v>44</v>
      </c>
      <c r="AP859" t="s">
        <v>11214</v>
      </c>
      <c r="AQ859" t="s">
        <v>1780</v>
      </c>
    </row>
    <row r="860" spans="1:43" x14ac:dyDescent="0.2">
      <c r="A860" t="s">
        <v>11944</v>
      </c>
      <c r="B860" t="s">
        <v>11037</v>
      </c>
      <c r="C860" t="s">
        <v>11195</v>
      </c>
      <c r="D860" t="s">
        <v>6348</v>
      </c>
      <c r="E860" t="s">
        <v>5241</v>
      </c>
      <c r="F860" t="s">
        <v>6348</v>
      </c>
      <c r="G860" s="1">
        <v>33663</v>
      </c>
      <c r="H860" s="2">
        <v>411031.4</v>
      </c>
      <c r="I860" s="2">
        <v>451084.2</v>
      </c>
      <c r="J860" s="2">
        <v>0</v>
      </c>
      <c r="K860" s="2">
        <v>0</v>
      </c>
      <c r="L860" s="2">
        <v>451084.2</v>
      </c>
      <c r="M860" s="3">
        <v>1340</v>
      </c>
      <c r="N860" s="4">
        <v>1.0262699999999999E-3</v>
      </c>
      <c r="O860" s="5" t="s">
        <v>44</v>
      </c>
      <c r="P860" s="5" t="s">
        <v>44</v>
      </c>
      <c r="Q860" s="1"/>
      <c r="R860" s="2"/>
      <c r="S860" s="6"/>
      <c r="T860" t="s">
        <v>10902</v>
      </c>
      <c r="U860" t="s">
        <v>10902</v>
      </c>
      <c r="V860" t="s">
        <v>10902</v>
      </c>
      <c r="W860" t="s">
        <v>43</v>
      </c>
      <c r="X860" t="s">
        <v>11197</v>
      </c>
      <c r="Y860" t="s">
        <v>11198</v>
      </c>
      <c r="Z860" t="s">
        <v>11195</v>
      </c>
      <c r="AA860" t="s">
        <v>44</v>
      </c>
      <c r="AB860" t="s">
        <v>44</v>
      </c>
      <c r="AC860" s="4"/>
      <c r="AD860" s="4"/>
      <c r="AE860" s="2">
        <v>0</v>
      </c>
      <c r="AF860" s="4">
        <v>0</v>
      </c>
      <c r="AG860" s="2">
        <v>0.44</v>
      </c>
      <c r="AH860" s="2">
        <v>451084.2</v>
      </c>
      <c r="AI860" s="2">
        <v>0</v>
      </c>
      <c r="AJ860" s="5">
        <v>44673</v>
      </c>
      <c r="AK860" t="s">
        <v>11945</v>
      </c>
      <c r="AL860" s="2">
        <v>0</v>
      </c>
      <c r="AM860" s="2">
        <v>0</v>
      </c>
      <c r="AN860" s="2">
        <v>0</v>
      </c>
      <c r="AO860" t="s">
        <v>44</v>
      </c>
      <c r="AP860" t="s">
        <v>11215</v>
      </c>
      <c r="AQ860" t="s">
        <v>5241</v>
      </c>
    </row>
    <row r="861" spans="1:43" x14ac:dyDescent="0.2">
      <c r="A861" t="s">
        <v>11944</v>
      </c>
      <c r="B861" t="s">
        <v>11038</v>
      </c>
      <c r="C861" t="s">
        <v>11039</v>
      </c>
      <c r="D861" t="s">
        <v>11216</v>
      </c>
      <c r="E861" t="s">
        <v>11217</v>
      </c>
      <c r="F861" t="s">
        <v>11216</v>
      </c>
      <c r="G861" s="1">
        <v>6000000</v>
      </c>
      <c r="H861" s="2">
        <v>6000000</v>
      </c>
      <c r="I861" s="2">
        <v>5992995.5099999998</v>
      </c>
      <c r="J861" s="2">
        <v>58684.93</v>
      </c>
      <c r="K861" s="2">
        <v>0</v>
      </c>
      <c r="L861" s="2">
        <v>6051680.4400000004</v>
      </c>
      <c r="M861" s="3">
        <v>6.0366650000000002</v>
      </c>
      <c r="N861" s="4">
        <v>1.3768219999999999E-2</v>
      </c>
      <c r="O861" s="5">
        <v>44979</v>
      </c>
      <c r="P861" s="5">
        <v>44979</v>
      </c>
      <c r="Q861" s="1">
        <v>5.95</v>
      </c>
      <c r="R861" s="2">
        <v>0.83</v>
      </c>
      <c r="S861" s="6">
        <v>0.79052188852000005</v>
      </c>
      <c r="T861" t="s">
        <v>111</v>
      </c>
      <c r="U861" t="s">
        <v>11040</v>
      </c>
      <c r="V861" t="s">
        <v>11041</v>
      </c>
      <c r="W861" t="s">
        <v>43</v>
      </c>
      <c r="X861" t="s">
        <v>11034</v>
      </c>
      <c r="Y861" t="s">
        <v>44</v>
      </c>
      <c r="Z861" t="s">
        <v>44</v>
      </c>
      <c r="AA861" t="s">
        <v>10979</v>
      </c>
      <c r="AB861" t="s">
        <v>44</v>
      </c>
      <c r="AC861" s="4">
        <v>6.0672128599999997</v>
      </c>
      <c r="AD861" s="4">
        <v>5.9047591700000002</v>
      </c>
      <c r="AE861" s="2">
        <v>6.07</v>
      </c>
      <c r="AF861" s="4">
        <v>5.9047591700000002</v>
      </c>
      <c r="AG861" s="2">
        <v>5.84</v>
      </c>
      <c r="AH861" s="2">
        <v>6051680.4400000004</v>
      </c>
      <c r="AI861" s="2">
        <v>0.01</v>
      </c>
      <c r="AJ861" s="5">
        <v>44673</v>
      </c>
      <c r="AK861" t="s">
        <v>11945</v>
      </c>
      <c r="AL861" s="2">
        <v>5.98</v>
      </c>
      <c r="AM861" s="2">
        <v>5.95</v>
      </c>
      <c r="AN861" s="2">
        <v>0.79</v>
      </c>
      <c r="AO861" t="s">
        <v>11165</v>
      </c>
      <c r="AP861" t="s">
        <v>11218</v>
      </c>
      <c r="AQ861" t="s">
        <v>11217</v>
      </c>
    </row>
    <row r="862" spans="1:43" x14ac:dyDescent="0.2">
      <c r="A862" t="s">
        <v>11944</v>
      </c>
      <c r="B862" t="s">
        <v>11038</v>
      </c>
      <c r="C862" t="s">
        <v>11039</v>
      </c>
      <c r="D862" t="s">
        <v>11042</v>
      </c>
      <c r="E862" t="s">
        <v>11043</v>
      </c>
      <c r="F862" t="s">
        <v>11042</v>
      </c>
      <c r="G862" s="1">
        <v>10000000</v>
      </c>
      <c r="H862" s="2">
        <v>10000000</v>
      </c>
      <c r="I862" s="2">
        <v>9992966.2599999998</v>
      </c>
      <c r="J862" s="2">
        <v>110849.32</v>
      </c>
      <c r="K862" s="2">
        <v>0</v>
      </c>
      <c r="L862" s="2">
        <v>10103815.58</v>
      </c>
      <c r="M862" s="3">
        <v>5.9730699999999999</v>
      </c>
      <c r="N862" s="4">
        <v>2.2987270000000001E-2</v>
      </c>
      <c r="O862" s="5">
        <v>44971</v>
      </c>
      <c r="P862" s="5">
        <v>44971</v>
      </c>
      <c r="Q862" s="1">
        <v>5.95</v>
      </c>
      <c r="R862" s="2">
        <v>0.81</v>
      </c>
      <c r="S862" s="6">
        <v>0.77099882388999996</v>
      </c>
      <c r="T862" t="s">
        <v>111</v>
      </c>
      <c r="U862" t="s">
        <v>11040</v>
      </c>
      <c r="V862" t="s">
        <v>11041</v>
      </c>
      <c r="W862" t="s">
        <v>43</v>
      </c>
      <c r="X862" t="s">
        <v>11034</v>
      </c>
      <c r="Y862" t="s">
        <v>44</v>
      </c>
      <c r="Z862" t="s">
        <v>44</v>
      </c>
      <c r="AA862" t="s">
        <v>11035</v>
      </c>
      <c r="AB862" t="s">
        <v>44</v>
      </c>
      <c r="AC862" s="4">
        <v>6.0068705900000001</v>
      </c>
      <c r="AD862" s="4">
        <v>5.8475737299999997</v>
      </c>
      <c r="AE862" s="2">
        <v>6.01</v>
      </c>
      <c r="AF862" s="4">
        <v>5.8475737299999997</v>
      </c>
      <c r="AG862" s="2">
        <v>9.75</v>
      </c>
      <c r="AH862" s="2">
        <v>10103815.58</v>
      </c>
      <c r="AI862" s="2">
        <v>0.02</v>
      </c>
      <c r="AJ862" s="5">
        <v>44673</v>
      </c>
      <c r="AK862" t="s">
        <v>11945</v>
      </c>
      <c r="AL862" s="2">
        <v>5.92</v>
      </c>
      <c r="AM862" s="2">
        <v>5.95</v>
      </c>
      <c r="AN862" s="2">
        <v>0.77</v>
      </c>
      <c r="AO862" t="s">
        <v>11036</v>
      </c>
      <c r="AP862" t="s">
        <v>11044</v>
      </c>
      <c r="AQ862" t="s">
        <v>11043</v>
      </c>
    </row>
    <row r="863" spans="1:43" x14ac:dyDescent="0.2">
      <c r="A863" t="s">
        <v>11944</v>
      </c>
      <c r="B863" t="s">
        <v>11038</v>
      </c>
      <c r="C863" t="s">
        <v>11039</v>
      </c>
      <c r="D863" t="s">
        <v>11219</v>
      </c>
      <c r="E863" t="s">
        <v>11220</v>
      </c>
      <c r="F863" t="s">
        <v>11219</v>
      </c>
      <c r="G863" s="1">
        <v>1000000</v>
      </c>
      <c r="H863" s="2">
        <v>1000000</v>
      </c>
      <c r="I863" s="2">
        <v>998008.3</v>
      </c>
      <c r="J863" s="2">
        <v>18965.75</v>
      </c>
      <c r="K863" s="2">
        <v>0</v>
      </c>
      <c r="L863" s="2">
        <v>1016974.05</v>
      </c>
      <c r="M863" s="3">
        <v>5.541328</v>
      </c>
      <c r="N863" s="4">
        <v>2.31373E-3</v>
      </c>
      <c r="O863" s="5">
        <v>44909</v>
      </c>
      <c r="P863" s="5">
        <v>44909</v>
      </c>
      <c r="Q863" s="1">
        <v>5.3250000000000002</v>
      </c>
      <c r="R863" s="2">
        <v>0.64</v>
      </c>
      <c r="S863" s="6">
        <v>0.61654680116000005</v>
      </c>
      <c r="T863" t="s">
        <v>111</v>
      </c>
      <c r="U863" t="s">
        <v>11040</v>
      </c>
      <c r="V863" t="s">
        <v>11041</v>
      </c>
      <c r="W863" t="s">
        <v>43</v>
      </c>
      <c r="X863" t="s">
        <v>11034</v>
      </c>
      <c r="Y863" t="s">
        <v>44</v>
      </c>
      <c r="Z863" t="s">
        <v>44</v>
      </c>
      <c r="AA863" t="s">
        <v>10979</v>
      </c>
      <c r="AB863" t="s">
        <v>44</v>
      </c>
      <c r="AC863" s="4">
        <v>5.5965717899999996</v>
      </c>
      <c r="AD863" s="4">
        <v>5.4579467099999999</v>
      </c>
      <c r="AE863" s="2">
        <v>5.6</v>
      </c>
      <c r="AF863" s="4">
        <v>5.4579467099999999</v>
      </c>
      <c r="AG863" s="2">
        <v>0.98</v>
      </c>
      <c r="AH863" s="2">
        <v>1016974.05</v>
      </c>
      <c r="AI863" s="2">
        <v>0</v>
      </c>
      <c r="AJ863" s="5">
        <v>44673</v>
      </c>
      <c r="AK863" t="s">
        <v>11945</v>
      </c>
      <c r="AL863" s="2">
        <v>5.52</v>
      </c>
      <c r="AM863" s="2">
        <v>5.33</v>
      </c>
      <c r="AN863" s="2">
        <v>0.62</v>
      </c>
      <c r="AO863" t="s">
        <v>11179</v>
      </c>
      <c r="AP863" t="s">
        <v>11221</v>
      </c>
      <c r="AQ863" t="s">
        <v>11220</v>
      </c>
    </row>
    <row r="864" spans="1:43" x14ac:dyDescent="0.2">
      <c r="A864" t="s">
        <v>11944</v>
      </c>
      <c r="B864" t="s">
        <v>11038</v>
      </c>
      <c r="C864" t="s">
        <v>11039</v>
      </c>
      <c r="D864" t="s">
        <v>12838</v>
      </c>
      <c r="E864" t="s">
        <v>12839</v>
      </c>
      <c r="F864" t="s">
        <v>12838</v>
      </c>
      <c r="G864" s="1">
        <v>2000000</v>
      </c>
      <c r="H864" s="2">
        <v>2000000</v>
      </c>
      <c r="I864" s="2">
        <v>2002086.31</v>
      </c>
      <c r="J864" s="2">
        <v>8002.74</v>
      </c>
      <c r="K864" s="2">
        <v>0</v>
      </c>
      <c r="L864" s="2">
        <v>2010089.05</v>
      </c>
      <c r="M864" s="3">
        <v>6.2045560000000002</v>
      </c>
      <c r="N864" s="4">
        <v>4.5731699999999997E-3</v>
      </c>
      <c r="O864" s="5">
        <v>45016</v>
      </c>
      <c r="P864" s="5">
        <v>45016</v>
      </c>
      <c r="Q864" s="1">
        <v>6.35</v>
      </c>
      <c r="R864" s="2">
        <v>0.93</v>
      </c>
      <c r="S864" s="6">
        <v>0.88061116438999998</v>
      </c>
      <c r="T864" t="s">
        <v>111</v>
      </c>
      <c r="U864" t="s">
        <v>11040</v>
      </c>
      <c r="V864" t="s">
        <v>11041</v>
      </c>
      <c r="W864" t="s">
        <v>43</v>
      </c>
      <c r="X864" t="s">
        <v>11034</v>
      </c>
      <c r="Y864" t="s">
        <v>44</v>
      </c>
      <c r="Z864" t="s">
        <v>44</v>
      </c>
      <c r="AA864" t="s">
        <v>10979</v>
      </c>
      <c r="AB864" t="s">
        <v>44</v>
      </c>
      <c r="AC864" s="4">
        <v>6.2175109700000002</v>
      </c>
      <c r="AD864" s="4">
        <v>6.0470648499999999</v>
      </c>
      <c r="AE864" s="2">
        <v>6.22</v>
      </c>
      <c r="AF864" s="4">
        <v>6.0470648499999999</v>
      </c>
      <c r="AG864" s="2">
        <v>1.94</v>
      </c>
      <c r="AH864" s="2">
        <v>2010089.05</v>
      </c>
      <c r="AI864" s="2">
        <v>0</v>
      </c>
      <c r="AJ864" s="5">
        <v>44673</v>
      </c>
      <c r="AK864" t="s">
        <v>11945</v>
      </c>
      <c r="AL864" s="2">
        <v>6.12</v>
      </c>
      <c r="AM864" s="2">
        <v>6.35</v>
      </c>
      <c r="AN864" s="2">
        <v>0.88</v>
      </c>
      <c r="AO864" t="s">
        <v>11179</v>
      </c>
      <c r="AP864" t="s">
        <v>12840</v>
      </c>
      <c r="AQ864" t="s">
        <v>12839</v>
      </c>
    </row>
    <row r="865" spans="1:43" x14ac:dyDescent="0.2">
      <c r="A865" t="s">
        <v>11944</v>
      </c>
      <c r="B865" t="s">
        <v>11038</v>
      </c>
      <c r="C865" t="s">
        <v>11222</v>
      </c>
      <c r="D865" t="s">
        <v>12965</v>
      </c>
      <c r="E865" t="s">
        <v>12966</v>
      </c>
      <c r="F865" t="s">
        <v>12965</v>
      </c>
      <c r="G865" s="1">
        <v>3000000</v>
      </c>
      <c r="H865" s="2">
        <v>3000000</v>
      </c>
      <c r="I865" s="2">
        <v>3000438.43</v>
      </c>
      <c r="J865" s="2">
        <v>5813.42</v>
      </c>
      <c r="K865" s="2">
        <v>0</v>
      </c>
      <c r="L865" s="2">
        <v>3006251.85</v>
      </c>
      <c r="M865" s="3">
        <v>6.4004060000000003</v>
      </c>
      <c r="N865" s="4">
        <v>6.8395499999999998E-3</v>
      </c>
      <c r="O865" s="5">
        <v>45057</v>
      </c>
      <c r="P865" s="5">
        <v>45057</v>
      </c>
      <c r="Q865" s="1">
        <v>6.43</v>
      </c>
      <c r="R865" s="2">
        <v>1.04</v>
      </c>
      <c r="S865" s="6">
        <v>0.97846466510999996</v>
      </c>
      <c r="T865" t="s">
        <v>111</v>
      </c>
      <c r="U865" t="s">
        <v>11040</v>
      </c>
      <c r="V865" t="s">
        <v>11041</v>
      </c>
      <c r="W865" t="s">
        <v>43</v>
      </c>
      <c r="X865" t="s">
        <v>11034</v>
      </c>
      <c r="Y865" t="s">
        <v>44</v>
      </c>
      <c r="Z865" t="s">
        <v>44</v>
      </c>
      <c r="AA865" t="s">
        <v>10979</v>
      </c>
      <c r="AB865" t="s">
        <v>44</v>
      </c>
      <c r="AC865" s="4">
        <v>6.3916291899999997</v>
      </c>
      <c r="AD865" s="4">
        <v>6.2116933599999999</v>
      </c>
      <c r="AE865" s="2">
        <v>6.39</v>
      </c>
      <c r="AF865" s="4">
        <v>6.2116933599999999</v>
      </c>
      <c r="AG865" s="2">
        <v>2.9</v>
      </c>
      <c r="AH865" s="2">
        <v>3006251.85</v>
      </c>
      <c r="AI865" s="2">
        <v>0.01</v>
      </c>
      <c r="AJ865" s="5">
        <v>44673</v>
      </c>
      <c r="AK865" t="s">
        <v>11945</v>
      </c>
      <c r="AL865" s="2">
        <v>6.29</v>
      </c>
      <c r="AM865" s="2">
        <v>6.43</v>
      </c>
      <c r="AN865" s="2">
        <v>0.98</v>
      </c>
      <c r="AO865" t="s">
        <v>11054</v>
      </c>
      <c r="AP865" t="s">
        <v>12967</v>
      </c>
      <c r="AQ865" t="s">
        <v>12966</v>
      </c>
    </row>
    <row r="866" spans="1:43" x14ac:dyDescent="0.2">
      <c r="A866" t="s">
        <v>11944</v>
      </c>
      <c r="B866" t="s">
        <v>11038</v>
      </c>
      <c r="C866" t="s">
        <v>11222</v>
      </c>
      <c r="D866" t="s">
        <v>11223</v>
      </c>
      <c r="E866" t="s">
        <v>11224</v>
      </c>
      <c r="F866" t="s">
        <v>11223</v>
      </c>
      <c r="G866" s="1">
        <v>2930000</v>
      </c>
      <c r="H866" s="2">
        <v>2968460.6</v>
      </c>
      <c r="I866" s="2">
        <v>3010422.18</v>
      </c>
      <c r="J866" s="2">
        <v>45945.29</v>
      </c>
      <c r="K866" s="2">
        <v>0</v>
      </c>
      <c r="L866" s="2">
        <v>3056367.47</v>
      </c>
      <c r="M866" s="3">
        <v>7.1645300000000001</v>
      </c>
      <c r="N866" s="4">
        <v>6.9535700000000001E-3</v>
      </c>
      <c r="O866" s="5">
        <v>44693</v>
      </c>
      <c r="P866" s="5">
        <v>45516</v>
      </c>
      <c r="Q866" s="1">
        <v>8.4169999999999998</v>
      </c>
      <c r="R866" s="2">
        <v>0.05</v>
      </c>
      <c r="S866" s="6">
        <v>3.2810324337999998E-2</v>
      </c>
      <c r="T866" t="s">
        <v>111</v>
      </c>
      <c r="U866" t="s">
        <v>11040</v>
      </c>
      <c r="V866" t="s">
        <v>11189</v>
      </c>
      <c r="W866" t="s">
        <v>43</v>
      </c>
      <c r="X866" t="s">
        <v>11034</v>
      </c>
      <c r="Y866" t="s">
        <v>44</v>
      </c>
      <c r="Z866" t="s">
        <v>44</v>
      </c>
      <c r="AA866" t="s">
        <v>11035</v>
      </c>
      <c r="AB866" t="s">
        <v>11225</v>
      </c>
      <c r="AC866" s="4">
        <v>7.41461039</v>
      </c>
      <c r="AD866" s="4">
        <v>7.1739613599999998</v>
      </c>
      <c r="AE866" s="2">
        <v>7.41</v>
      </c>
      <c r="AF866" s="4">
        <v>7.1739613599999998</v>
      </c>
      <c r="AG866" s="2">
        <v>2.95</v>
      </c>
      <c r="AH866" s="2">
        <v>3056367.47</v>
      </c>
      <c r="AI866" s="2">
        <v>0.01</v>
      </c>
      <c r="AJ866" s="5">
        <v>44673</v>
      </c>
      <c r="AK866" t="s">
        <v>11945</v>
      </c>
      <c r="AL866" s="2">
        <v>7.28</v>
      </c>
      <c r="AM866" s="2">
        <v>8.42</v>
      </c>
      <c r="AN866" s="2">
        <v>0.03</v>
      </c>
      <c r="AO866" t="s">
        <v>11226</v>
      </c>
      <c r="AP866" t="s">
        <v>11227</v>
      </c>
      <c r="AQ866" t="s">
        <v>11224</v>
      </c>
    </row>
    <row r="867" spans="1:43" x14ac:dyDescent="0.2">
      <c r="A867" t="s">
        <v>11944</v>
      </c>
      <c r="B867" t="s">
        <v>11038</v>
      </c>
      <c r="C867" t="s">
        <v>11222</v>
      </c>
      <c r="D867" t="s">
        <v>11228</v>
      </c>
      <c r="E867" t="s">
        <v>11229</v>
      </c>
      <c r="F867" t="s">
        <v>11228</v>
      </c>
      <c r="G867" s="1">
        <v>5000000</v>
      </c>
      <c r="H867" s="2">
        <v>5000000</v>
      </c>
      <c r="I867" s="2">
        <v>4954949.33</v>
      </c>
      <c r="J867" s="2">
        <v>53506.85</v>
      </c>
      <c r="K867" s="2">
        <v>0</v>
      </c>
      <c r="L867" s="2">
        <v>5008456.18</v>
      </c>
      <c r="M867" s="3">
        <v>7.0358479999999997</v>
      </c>
      <c r="N867" s="4">
        <v>1.139478E-2</v>
      </c>
      <c r="O867" s="5">
        <v>44795</v>
      </c>
      <c r="P867" s="5">
        <v>45344</v>
      </c>
      <c r="Q867" s="1">
        <v>6.51</v>
      </c>
      <c r="R867" s="2">
        <v>1.74</v>
      </c>
      <c r="S867" s="6">
        <v>1.67798858708</v>
      </c>
      <c r="T867" t="s">
        <v>111</v>
      </c>
      <c r="U867" t="s">
        <v>11040</v>
      </c>
      <c r="V867" t="s">
        <v>11041</v>
      </c>
      <c r="W867" t="s">
        <v>43</v>
      </c>
      <c r="X867" t="s">
        <v>44</v>
      </c>
      <c r="Y867" t="s">
        <v>44</v>
      </c>
      <c r="Z867" t="s">
        <v>44</v>
      </c>
      <c r="AA867" t="s">
        <v>10979</v>
      </c>
      <c r="AB867" t="s">
        <v>44</v>
      </c>
      <c r="AC867" s="4">
        <v>7.1596057599999998</v>
      </c>
      <c r="AD867" s="4">
        <v>6.93487966</v>
      </c>
      <c r="AE867" s="2">
        <v>7.16</v>
      </c>
      <c r="AF867" s="4">
        <v>6.93487966</v>
      </c>
      <c r="AG867" s="2">
        <v>4.83</v>
      </c>
      <c r="AH867" s="2">
        <v>5008456.18</v>
      </c>
      <c r="AI867" s="2">
        <v>0.01</v>
      </c>
      <c r="AJ867" s="5">
        <v>44673</v>
      </c>
      <c r="AK867" t="s">
        <v>11945</v>
      </c>
      <c r="AL867" s="2">
        <v>7.04</v>
      </c>
      <c r="AM867" s="2">
        <v>6.51</v>
      </c>
      <c r="AN867" s="2">
        <v>1.68</v>
      </c>
      <c r="AO867" t="s">
        <v>11179</v>
      </c>
      <c r="AP867" t="s">
        <v>11230</v>
      </c>
      <c r="AQ867" t="s">
        <v>11229</v>
      </c>
    </row>
    <row r="868" spans="1:43" x14ac:dyDescent="0.2">
      <c r="A868" t="s">
        <v>11944</v>
      </c>
      <c r="B868" t="s">
        <v>11160</v>
      </c>
      <c r="C868" t="s">
        <v>11161</v>
      </c>
      <c r="D868" t="s">
        <v>11162</v>
      </c>
      <c r="E868" t="s">
        <v>11163</v>
      </c>
      <c r="F868" t="s">
        <v>11162</v>
      </c>
      <c r="G868" s="1">
        <v>2766</v>
      </c>
      <c r="H868" s="2">
        <v>1915569.61</v>
      </c>
      <c r="I868" s="2">
        <v>2489400</v>
      </c>
      <c r="J868" s="2">
        <v>0</v>
      </c>
      <c r="K868" s="2">
        <v>68987.070000000007</v>
      </c>
      <c r="L868" s="2">
        <v>2558387.0699999998</v>
      </c>
      <c r="M868" s="3">
        <v>90000</v>
      </c>
      <c r="N868" s="4">
        <v>5.8206100000000004E-3</v>
      </c>
      <c r="O868" s="5" t="s">
        <v>44</v>
      </c>
      <c r="P868" s="5" t="s">
        <v>44</v>
      </c>
      <c r="Q868" s="1"/>
      <c r="R868" s="2"/>
      <c r="S868" s="6"/>
      <c r="T868" t="s">
        <v>10902</v>
      </c>
      <c r="U868" t="s">
        <v>10902</v>
      </c>
      <c r="V868" t="s">
        <v>11164</v>
      </c>
      <c r="W868" t="s">
        <v>43</v>
      </c>
      <c r="X868" t="s">
        <v>44</v>
      </c>
      <c r="Y868" t="s">
        <v>44</v>
      </c>
      <c r="Z868" t="s">
        <v>44</v>
      </c>
      <c r="AA868" t="s">
        <v>10979</v>
      </c>
      <c r="AB868" t="s">
        <v>44</v>
      </c>
      <c r="AC868" s="4"/>
      <c r="AD868" s="4"/>
      <c r="AE868" s="2">
        <v>0</v>
      </c>
      <c r="AF868" s="4">
        <v>0</v>
      </c>
      <c r="AG868" s="2">
        <v>2.4700000000000002</v>
      </c>
      <c r="AH868" s="2">
        <v>2558387.0699999998</v>
      </c>
      <c r="AI868" s="2">
        <v>0.01</v>
      </c>
      <c r="AJ868" s="5">
        <v>44673</v>
      </c>
      <c r="AK868" t="s">
        <v>11945</v>
      </c>
      <c r="AL868" s="2">
        <v>0</v>
      </c>
      <c r="AM868" s="2">
        <v>0</v>
      </c>
      <c r="AN868" s="2">
        <v>0</v>
      </c>
      <c r="AO868" t="s">
        <v>11165</v>
      </c>
      <c r="AP868" t="s">
        <v>11166</v>
      </c>
      <c r="AQ868" t="s">
        <v>11163</v>
      </c>
    </row>
    <row r="869" spans="1:43" x14ac:dyDescent="0.2">
      <c r="A869" t="s">
        <v>11944</v>
      </c>
      <c r="B869" t="s">
        <v>11160</v>
      </c>
      <c r="C869" t="s">
        <v>11161</v>
      </c>
      <c r="D869" t="s">
        <v>11170</v>
      </c>
      <c r="E869" t="s">
        <v>11171</v>
      </c>
      <c r="F869" t="s">
        <v>11170</v>
      </c>
      <c r="G869" s="1">
        <v>27806</v>
      </c>
      <c r="H869" s="2">
        <v>2030935.75</v>
      </c>
      <c r="I869" s="2">
        <v>2678830.04</v>
      </c>
      <c r="J869" s="2">
        <v>0</v>
      </c>
      <c r="K869" s="2">
        <v>0</v>
      </c>
      <c r="L869" s="2">
        <v>2678830.04</v>
      </c>
      <c r="M869" s="3">
        <v>9634</v>
      </c>
      <c r="N869" s="4">
        <v>6.0946300000000002E-3</v>
      </c>
      <c r="O869" s="5" t="s">
        <v>44</v>
      </c>
      <c r="P869" s="5" t="s">
        <v>44</v>
      </c>
      <c r="Q869" s="1"/>
      <c r="R869" s="2"/>
      <c r="S869" s="6"/>
      <c r="T869" t="s">
        <v>10902</v>
      </c>
      <c r="U869" t="s">
        <v>10902</v>
      </c>
      <c r="V869" t="s">
        <v>11164</v>
      </c>
      <c r="W869" t="s">
        <v>43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s="4"/>
      <c r="AD869" s="4"/>
      <c r="AE869" s="2">
        <v>0</v>
      </c>
      <c r="AF869" s="4">
        <v>0</v>
      </c>
      <c r="AG869" s="2">
        <v>2.59</v>
      </c>
      <c r="AH869" s="2">
        <v>2678830.04</v>
      </c>
      <c r="AI869" s="2">
        <v>0.01</v>
      </c>
      <c r="AJ869" s="5">
        <v>44673</v>
      </c>
      <c r="AK869" t="s">
        <v>11945</v>
      </c>
      <c r="AL869" s="2">
        <v>0</v>
      </c>
      <c r="AM869" s="2">
        <v>0</v>
      </c>
      <c r="AN869" s="2">
        <v>0</v>
      </c>
      <c r="AO869" t="s">
        <v>44</v>
      </c>
      <c r="AP869" t="s">
        <v>11172</v>
      </c>
      <c r="AQ869" t="s">
        <v>11171</v>
      </c>
    </row>
    <row r="870" spans="1:43" x14ac:dyDescent="0.2">
      <c r="A870" t="s">
        <v>11944</v>
      </c>
      <c r="B870" t="s">
        <v>11160</v>
      </c>
      <c r="C870" t="s">
        <v>11161</v>
      </c>
      <c r="D870" t="s">
        <v>11173</v>
      </c>
      <c r="E870" t="s">
        <v>11174</v>
      </c>
      <c r="F870" t="s">
        <v>11173</v>
      </c>
      <c r="G870" s="1">
        <v>7516</v>
      </c>
      <c r="H870" s="2">
        <v>622880.84</v>
      </c>
      <c r="I870" s="2">
        <v>646376</v>
      </c>
      <c r="J870" s="2">
        <v>0</v>
      </c>
      <c r="K870" s="2">
        <v>0</v>
      </c>
      <c r="L870" s="2">
        <v>646376</v>
      </c>
      <c r="M870" s="3">
        <v>8600</v>
      </c>
      <c r="N870" s="4">
        <v>1.47057E-3</v>
      </c>
      <c r="O870" s="5" t="s">
        <v>44</v>
      </c>
      <c r="P870" s="5" t="s">
        <v>44</v>
      </c>
      <c r="Q870" s="1"/>
      <c r="R870" s="2"/>
      <c r="S870" s="6"/>
      <c r="T870" t="s">
        <v>10902</v>
      </c>
      <c r="U870" t="s">
        <v>10902</v>
      </c>
      <c r="V870" t="s">
        <v>11164</v>
      </c>
      <c r="W870" t="s">
        <v>43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s="4"/>
      <c r="AD870" s="4"/>
      <c r="AE870" s="2">
        <v>0</v>
      </c>
      <c r="AF870" s="4">
        <v>0</v>
      </c>
      <c r="AG870" s="2">
        <v>0.62</v>
      </c>
      <c r="AH870" s="2">
        <v>646376</v>
      </c>
      <c r="AI870" s="2">
        <v>0</v>
      </c>
      <c r="AJ870" s="5">
        <v>44673</v>
      </c>
      <c r="AK870" t="s">
        <v>11945</v>
      </c>
      <c r="AL870" s="2">
        <v>0</v>
      </c>
      <c r="AM870" s="2">
        <v>0</v>
      </c>
      <c r="AN870" s="2">
        <v>0</v>
      </c>
      <c r="AO870" t="s">
        <v>44</v>
      </c>
      <c r="AP870" t="s">
        <v>11175</v>
      </c>
      <c r="AQ870" t="s">
        <v>11174</v>
      </c>
    </row>
    <row r="871" spans="1:43" x14ac:dyDescent="0.2">
      <c r="A871" t="s">
        <v>11944</v>
      </c>
      <c r="B871" t="s">
        <v>11160</v>
      </c>
      <c r="C871" t="s">
        <v>11161</v>
      </c>
      <c r="D871" t="s">
        <v>11176</v>
      </c>
      <c r="E871" t="s">
        <v>11177</v>
      </c>
      <c r="F871" t="s">
        <v>11178</v>
      </c>
      <c r="G871" s="1">
        <v>25171</v>
      </c>
      <c r="H871" s="2">
        <v>1960392.4</v>
      </c>
      <c r="I871" s="2">
        <v>2325548.69</v>
      </c>
      <c r="J871" s="2">
        <v>0</v>
      </c>
      <c r="K871" s="2">
        <v>0</v>
      </c>
      <c r="L871" s="2">
        <v>2325548.69</v>
      </c>
      <c r="M871" s="3">
        <v>9239</v>
      </c>
      <c r="N871" s="4">
        <v>5.2908699999999996E-3</v>
      </c>
      <c r="O871" s="5" t="s">
        <v>44</v>
      </c>
      <c r="P871" s="5" t="s">
        <v>44</v>
      </c>
      <c r="Q871" s="1"/>
      <c r="R871" s="2"/>
      <c r="S871" s="6"/>
      <c r="T871" t="s">
        <v>10902</v>
      </c>
      <c r="U871" t="s">
        <v>10902</v>
      </c>
      <c r="V871" t="s">
        <v>11164</v>
      </c>
      <c r="W871" t="s">
        <v>43</v>
      </c>
      <c r="X871" t="s">
        <v>44</v>
      </c>
      <c r="Y871" t="s">
        <v>44</v>
      </c>
      <c r="Z871" t="s">
        <v>44</v>
      </c>
      <c r="AA871" t="s">
        <v>10979</v>
      </c>
      <c r="AB871" t="s">
        <v>44</v>
      </c>
      <c r="AC871" s="4"/>
      <c r="AD871" s="4"/>
      <c r="AE871" s="2">
        <v>0</v>
      </c>
      <c r="AF871" s="4">
        <v>0</v>
      </c>
      <c r="AG871" s="2">
        <v>2.2400000000000002</v>
      </c>
      <c r="AH871" s="2">
        <v>2325548.69</v>
      </c>
      <c r="AI871" s="2">
        <v>0.01</v>
      </c>
      <c r="AJ871" s="5">
        <v>44673</v>
      </c>
      <c r="AK871" t="s">
        <v>11945</v>
      </c>
      <c r="AL871" s="2">
        <v>0</v>
      </c>
      <c r="AM871" s="2">
        <v>0</v>
      </c>
      <c r="AN871" s="2">
        <v>0</v>
      </c>
      <c r="AO871" t="s">
        <v>11179</v>
      </c>
      <c r="AP871" t="s">
        <v>11180</v>
      </c>
      <c r="AQ871" t="s">
        <v>11177</v>
      </c>
    </row>
    <row r="872" spans="1:43" x14ac:dyDescent="0.2">
      <c r="A872" t="s">
        <v>11944</v>
      </c>
      <c r="B872" t="s">
        <v>10951</v>
      </c>
      <c r="C872" t="s">
        <v>10952</v>
      </c>
      <c r="D872" t="s">
        <v>11028</v>
      </c>
      <c r="E872" t="s">
        <v>11029</v>
      </c>
      <c r="F872" t="s">
        <v>11028</v>
      </c>
      <c r="G872" s="1">
        <v>5172176.5176999997</v>
      </c>
      <c r="H872" s="2">
        <v>5201302.75</v>
      </c>
      <c r="I872" s="2">
        <v>5178900.3499999996</v>
      </c>
      <c r="J872" s="2">
        <v>0</v>
      </c>
      <c r="K872" s="2">
        <v>0</v>
      </c>
      <c r="L872" s="2">
        <v>5178900.3499999996</v>
      </c>
      <c r="M872" s="3">
        <v>1.0013000000000001</v>
      </c>
      <c r="N872" s="4">
        <v>1.1782559999999999E-2</v>
      </c>
      <c r="O872" s="5" t="s">
        <v>44</v>
      </c>
      <c r="P872" s="5" t="s">
        <v>44</v>
      </c>
      <c r="Q872" s="1"/>
      <c r="R872" s="2"/>
      <c r="S872" s="6"/>
      <c r="T872" t="s">
        <v>10902</v>
      </c>
      <c r="U872" t="s">
        <v>10953</v>
      </c>
      <c r="V872" t="s">
        <v>10954</v>
      </c>
      <c r="W872" t="s">
        <v>43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s="4"/>
      <c r="AD872" s="4"/>
      <c r="AE872" s="2">
        <v>0</v>
      </c>
      <c r="AF872" s="4">
        <v>0</v>
      </c>
      <c r="AG872" s="2">
        <v>5</v>
      </c>
      <c r="AH872" s="2">
        <v>5178900.3499999996</v>
      </c>
      <c r="AI872" s="2">
        <v>0.01</v>
      </c>
      <c r="AJ872" s="5">
        <v>44673</v>
      </c>
      <c r="AK872" t="s">
        <v>11945</v>
      </c>
      <c r="AL872" s="2">
        <v>0</v>
      </c>
      <c r="AM872" s="2">
        <v>0</v>
      </c>
      <c r="AN872" s="2">
        <v>0</v>
      </c>
      <c r="AO872" t="s">
        <v>44</v>
      </c>
      <c r="AP872" t="s">
        <v>44</v>
      </c>
      <c r="AQ872" t="s">
        <v>11029</v>
      </c>
    </row>
    <row r="873" spans="1:43" x14ac:dyDescent="0.2">
      <c r="A873" t="s">
        <v>11944</v>
      </c>
      <c r="B873" t="s">
        <v>11030</v>
      </c>
      <c r="C873" t="s">
        <v>11030</v>
      </c>
      <c r="D873" t="s">
        <v>11181</v>
      </c>
      <c r="E873" t="s">
        <v>11151</v>
      </c>
      <c r="F873" t="s">
        <v>11181</v>
      </c>
      <c r="G873" s="1">
        <v>23</v>
      </c>
      <c r="H873" s="2"/>
      <c r="I873" s="2">
        <v>0</v>
      </c>
      <c r="J873" s="2"/>
      <c r="K873" s="2"/>
      <c r="L873" s="2">
        <v>0</v>
      </c>
      <c r="M873" s="3"/>
      <c r="N873" s="4">
        <v>0</v>
      </c>
      <c r="O873" s="5" t="s">
        <v>44</v>
      </c>
      <c r="P873" s="5" t="s">
        <v>44</v>
      </c>
      <c r="Q873" s="1"/>
      <c r="R873" s="2"/>
      <c r="S873" s="6"/>
      <c r="T873" t="s">
        <v>11031</v>
      </c>
      <c r="U873" t="s">
        <v>11032</v>
      </c>
      <c r="V873" t="s">
        <v>45</v>
      </c>
      <c r="W873" t="s">
        <v>43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s="4"/>
      <c r="AD873" s="4"/>
      <c r="AE873" s="2">
        <v>0</v>
      </c>
      <c r="AF873" s="4">
        <v>0</v>
      </c>
      <c r="AG873" s="2">
        <v>0</v>
      </c>
      <c r="AH873" s="2">
        <v>-15111920</v>
      </c>
      <c r="AI873" s="2">
        <v>-0.03</v>
      </c>
      <c r="AJ873" s="5">
        <v>44673</v>
      </c>
      <c r="AK873" t="s">
        <v>11945</v>
      </c>
      <c r="AL873" s="2">
        <v>0</v>
      </c>
      <c r="AM873" s="2">
        <v>0</v>
      </c>
      <c r="AN873" s="2">
        <v>0</v>
      </c>
      <c r="AO873" t="s">
        <v>44</v>
      </c>
      <c r="AP873" t="s">
        <v>44</v>
      </c>
      <c r="AQ873" t="s">
        <v>11182</v>
      </c>
    </row>
    <row r="874" spans="1:43" x14ac:dyDescent="0.2">
      <c r="A874" t="s">
        <v>11944</v>
      </c>
      <c r="B874" t="s">
        <v>11030</v>
      </c>
      <c r="C874" t="s">
        <v>11030</v>
      </c>
      <c r="D874" t="s">
        <v>11185</v>
      </c>
      <c r="E874" t="s">
        <v>11157</v>
      </c>
      <c r="F874" t="s">
        <v>11185</v>
      </c>
      <c r="G874" s="1">
        <v>-17</v>
      </c>
      <c r="H874" s="2"/>
      <c r="I874" s="2">
        <v>0</v>
      </c>
      <c r="J874" s="2"/>
      <c r="K874" s="2"/>
      <c r="L874" s="2">
        <v>0</v>
      </c>
      <c r="M874" s="3"/>
      <c r="N874" s="4">
        <v>0</v>
      </c>
      <c r="O874" s="5" t="s">
        <v>44</v>
      </c>
      <c r="P874" s="5" t="s">
        <v>44</v>
      </c>
      <c r="Q874" s="1"/>
      <c r="R874" s="2"/>
      <c r="S874" s="6"/>
      <c r="T874" t="s">
        <v>11031</v>
      </c>
      <c r="U874" t="s">
        <v>11032</v>
      </c>
      <c r="V874" t="s">
        <v>45</v>
      </c>
      <c r="W874" t="s">
        <v>43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s="4"/>
      <c r="AD874" s="4"/>
      <c r="AE874" s="2">
        <v>0</v>
      </c>
      <c r="AF874" s="4">
        <v>0</v>
      </c>
      <c r="AG874" s="2">
        <v>0</v>
      </c>
      <c r="AH874" s="2">
        <v>11175970</v>
      </c>
      <c r="AI874" s="2">
        <v>0.03</v>
      </c>
      <c r="AJ874" s="5">
        <v>44673</v>
      </c>
      <c r="AK874" t="s">
        <v>11945</v>
      </c>
      <c r="AL874" s="2">
        <v>0</v>
      </c>
      <c r="AM874" s="2">
        <v>0</v>
      </c>
      <c r="AN874" s="2">
        <v>0</v>
      </c>
      <c r="AO874" t="s">
        <v>44</v>
      </c>
      <c r="AP874" t="s">
        <v>44</v>
      </c>
      <c r="AQ874" t="s">
        <v>11182</v>
      </c>
    </row>
    <row r="875" spans="1:43" x14ac:dyDescent="0.2">
      <c r="A875" t="s">
        <v>11944</v>
      </c>
      <c r="B875" t="s">
        <v>11030</v>
      </c>
      <c r="C875" t="s">
        <v>11030</v>
      </c>
      <c r="D875" t="s">
        <v>12743</v>
      </c>
      <c r="E875" t="s">
        <v>12738</v>
      </c>
      <c r="F875" t="s">
        <v>12743</v>
      </c>
      <c r="G875" s="1">
        <v>34</v>
      </c>
      <c r="H875" s="2"/>
      <c r="I875" s="2">
        <v>0</v>
      </c>
      <c r="J875" s="2"/>
      <c r="K875" s="2"/>
      <c r="L875" s="2">
        <v>0</v>
      </c>
      <c r="M875" s="3"/>
      <c r="N875" s="4">
        <v>0</v>
      </c>
      <c r="O875" s="5" t="s">
        <v>44</v>
      </c>
      <c r="P875" s="5" t="s">
        <v>44</v>
      </c>
      <c r="Q875" s="1"/>
      <c r="R875" s="2"/>
      <c r="S875" s="6"/>
      <c r="T875" t="s">
        <v>11031</v>
      </c>
      <c r="U875" t="s">
        <v>11183</v>
      </c>
      <c r="V875" t="s">
        <v>45</v>
      </c>
      <c r="W875" t="s">
        <v>43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s="4"/>
      <c r="AD875" s="4"/>
      <c r="AE875" s="2">
        <v>0</v>
      </c>
      <c r="AF875" s="4">
        <v>0</v>
      </c>
      <c r="AG875" s="2">
        <v>0</v>
      </c>
      <c r="AH875" s="2">
        <v>-8060032.9800000004</v>
      </c>
      <c r="AI875" s="2">
        <v>-0.02</v>
      </c>
      <c r="AJ875" s="5">
        <v>44673</v>
      </c>
      <c r="AK875" t="s">
        <v>11945</v>
      </c>
      <c r="AL875" s="2">
        <v>0</v>
      </c>
      <c r="AM875" s="2">
        <v>0</v>
      </c>
      <c r="AN875" s="2">
        <v>0</v>
      </c>
      <c r="AO875" t="s">
        <v>44</v>
      </c>
      <c r="AP875" t="s">
        <v>44</v>
      </c>
      <c r="AQ875" t="s">
        <v>11182</v>
      </c>
    </row>
    <row r="876" spans="1:43" x14ac:dyDescent="0.2">
      <c r="A876" t="s">
        <v>11944</v>
      </c>
      <c r="B876" t="s">
        <v>11030</v>
      </c>
      <c r="C876" t="s">
        <v>11030</v>
      </c>
      <c r="D876" t="s">
        <v>12726</v>
      </c>
      <c r="E876" t="s">
        <v>12722</v>
      </c>
      <c r="F876" t="s">
        <v>12726</v>
      </c>
      <c r="G876" s="1">
        <v>34</v>
      </c>
      <c r="H876" s="2"/>
      <c r="I876" s="2">
        <v>0</v>
      </c>
      <c r="J876" s="2"/>
      <c r="K876" s="2"/>
      <c r="L876" s="2">
        <v>0</v>
      </c>
      <c r="M876" s="3"/>
      <c r="N876" s="4">
        <v>0</v>
      </c>
      <c r="O876" s="5" t="s">
        <v>44</v>
      </c>
      <c r="P876" s="5" t="s">
        <v>44</v>
      </c>
      <c r="Q876" s="1"/>
      <c r="R876" s="2"/>
      <c r="S876" s="6"/>
      <c r="T876" t="s">
        <v>11031</v>
      </c>
      <c r="U876" t="s">
        <v>11183</v>
      </c>
      <c r="V876" t="s">
        <v>45</v>
      </c>
      <c r="W876" t="s">
        <v>43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s="4"/>
      <c r="AD876" s="4"/>
      <c r="AE876" s="2">
        <v>0</v>
      </c>
      <c r="AF876" s="4">
        <v>0</v>
      </c>
      <c r="AG876" s="2">
        <v>0</v>
      </c>
      <c r="AH876" s="2">
        <v>-6940213.21</v>
      </c>
      <c r="AI876" s="2">
        <v>-0.02</v>
      </c>
      <c r="AJ876" s="5">
        <v>44673</v>
      </c>
      <c r="AK876" t="s">
        <v>11945</v>
      </c>
      <c r="AL876" s="2">
        <v>0</v>
      </c>
      <c r="AM876" s="2">
        <v>0</v>
      </c>
      <c r="AN876" s="2">
        <v>0</v>
      </c>
      <c r="AO876" t="s">
        <v>44</v>
      </c>
      <c r="AP876" t="s">
        <v>44</v>
      </c>
      <c r="AQ876" t="s">
        <v>11182</v>
      </c>
    </row>
    <row r="877" spans="1:43" x14ac:dyDescent="0.2">
      <c r="A877" t="s">
        <v>11944</v>
      </c>
      <c r="B877" t="s">
        <v>11030</v>
      </c>
      <c r="C877" t="s">
        <v>11030</v>
      </c>
      <c r="D877" t="s">
        <v>13002</v>
      </c>
      <c r="E877" t="s">
        <v>12996</v>
      </c>
      <c r="F877" t="s">
        <v>13002</v>
      </c>
      <c r="G877" s="1">
        <v>-34</v>
      </c>
      <c r="H877" s="2"/>
      <c r="I877" s="2">
        <v>0</v>
      </c>
      <c r="J877" s="2"/>
      <c r="K877" s="2"/>
      <c r="L877" s="2">
        <v>0</v>
      </c>
      <c r="M877" s="3"/>
      <c r="N877" s="4">
        <v>0</v>
      </c>
      <c r="O877" s="5" t="s">
        <v>44</v>
      </c>
      <c r="P877" s="5" t="s">
        <v>44</v>
      </c>
      <c r="Q877" s="1"/>
      <c r="R877" s="2"/>
      <c r="S877" s="6"/>
      <c r="T877" t="s">
        <v>11031</v>
      </c>
      <c r="U877" t="s">
        <v>11183</v>
      </c>
      <c r="V877" t="s">
        <v>45</v>
      </c>
      <c r="W877" t="s">
        <v>43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s="4"/>
      <c r="AD877" s="4"/>
      <c r="AE877" s="2">
        <v>0</v>
      </c>
      <c r="AF877" s="4">
        <v>0</v>
      </c>
      <c r="AG877" s="2">
        <v>0</v>
      </c>
      <c r="AH877" s="2">
        <v>3284696.08</v>
      </c>
      <c r="AI877" s="2">
        <v>0.01</v>
      </c>
      <c r="AJ877" s="5">
        <v>44673</v>
      </c>
      <c r="AK877" t="s">
        <v>11945</v>
      </c>
      <c r="AL877" s="2">
        <v>0</v>
      </c>
      <c r="AM877" s="2">
        <v>0</v>
      </c>
      <c r="AN877" s="2">
        <v>0</v>
      </c>
      <c r="AO877" t="s">
        <v>44</v>
      </c>
      <c r="AP877" t="s">
        <v>44</v>
      </c>
      <c r="AQ877" t="s">
        <v>11182</v>
      </c>
    </row>
    <row r="878" spans="1:43" x14ac:dyDescent="0.2">
      <c r="A878" t="s">
        <v>11946</v>
      </c>
      <c r="B878" t="s">
        <v>10900</v>
      </c>
      <c r="C878" t="s">
        <v>11049</v>
      </c>
      <c r="D878" t="s">
        <v>11947</v>
      </c>
      <c r="E878" t="s">
        <v>11948</v>
      </c>
      <c r="F878" t="s">
        <v>11947</v>
      </c>
      <c r="G878" s="1">
        <v>1700000</v>
      </c>
      <c r="H878" s="2">
        <v>1700000</v>
      </c>
      <c r="I878" s="2">
        <v>1699802.52</v>
      </c>
      <c r="J878" s="2">
        <v>20540.560000000001</v>
      </c>
      <c r="K878" s="2">
        <v>0</v>
      </c>
      <c r="L878" s="2">
        <v>1720343.08</v>
      </c>
      <c r="M878" s="3">
        <v>8.2316739999999999</v>
      </c>
      <c r="N878" s="4">
        <v>3.9139700000000001E-3</v>
      </c>
      <c r="O878" s="5">
        <v>44711</v>
      </c>
      <c r="P878" s="5">
        <v>44985</v>
      </c>
      <c r="Q878" s="1">
        <v>8.1669999999999998</v>
      </c>
      <c r="R878" s="2">
        <v>0.1</v>
      </c>
      <c r="S878" s="6">
        <v>6.9032934557999998E-2</v>
      </c>
      <c r="T878" t="s">
        <v>111</v>
      </c>
      <c r="U878" t="s">
        <v>111</v>
      </c>
      <c r="V878" t="s">
        <v>11189</v>
      </c>
      <c r="W878" t="s">
        <v>43</v>
      </c>
      <c r="X878" t="s">
        <v>11034</v>
      </c>
      <c r="Y878" t="s">
        <v>44</v>
      </c>
      <c r="Z878" t="s">
        <v>44</v>
      </c>
      <c r="AA878" t="s">
        <v>44</v>
      </c>
      <c r="AB878" t="s">
        <v>44</v>
      </c>
      <c r="AC878" s="4">
        <v>8.4010746600000008</v>
      </c>
      <c r="AD878" s="4">
        <v>8.0939562800000004</v>
      </c>
      <c r="AE878" s="2">
        <v>8.4</v>
      </c>
      <c r="AF878" s="4">
        <v>8.0939562800000004</v>
      </c>
      <c r="AG878" s="2">
        <v>1.34</v>
      </c>
      <c r="AH878" s="2">
        <v>1720343.08</v>
      </c>
      <c r="AI878" s="2">
        <v>0</v>
      </c>
      <c r="AJ878" s="5">
        <v>44673</v>
      </c>
      <c r="AK878" t="s">
        <v>11949</v>
      </c>
      <c r="AL878" s="2">
        <v>8.23</v>
      </c>
      <c r="AM878" s="2">
        <v>8.17</v>
      </c>
      <c r="AN878" s="2">
        <v>7.0000000000000007E-2</v>
      </c>
      <c r="AO878" t="s">
        <v>11950</v>
      </c>
      <c r="AP878" t="s">
        <v>11951</v>
      </c>
      <c r="AQ878" t="s">
        <v>11948</v>
      </c>
    </row>
    <row r="879" spans="1:43" x14ac:dyDescent="0.2">
      <c r="A879" t="s">
        <v>11946</v>
      </c>
      <c r="B879" t="s">
        <v>10900</v>
      </c>
      <c r="C879" t="s">
        <v>10943</v>
      </c>
      <c r="D879" t="s">
        <v>10977</v>
      </c>
      <c r="E879" t="s">
        <v>10978</v>
      </c>
      <c r="F879" t="s">
        <v>10977</v>
      </c>
      <c r="G879" s="1">
        <v>2352240</v>
      </c>
      <c r="H879" s="2">
        <v>2386659.7400000002</v>
      </c>
      <c r="I879" s="2">
        <v>2210804.98</v>
      </c>
      <c r="J879" s="2">
        <v>108256.85</v>
      </c>
      <c r="K879" s="2">
        <v>0</v>
      </c>
      <c r="L879" s="2">
        <v>2319061.83</v>
      </c>
      <c r="M879" s="3">
        <v>11.88</v>
      </c>
      <c r="N879" s="4">
        <v>5.2761199999999996E-3</v>
      </c>
      <c r="O879" s="5">
        <v>44697</v>
      </c>
      <c r="P879" s="5">
        <v>46888</v>
      </c>
      <c r="Q879" s="1">
        <v>10.565</v>
      </c>
      <c r="R879" s="2">
        <v>4.7300000000000004</v>
      </c>
      <c r="S879" s="6">
        <v>4.4668326030000003</v>
      </c>
      <c r="T879" t="s">
        <v>111</v>
      </c>
      <c r="U879" t="s">
        <v>111</v>
      </c>
      <c r="V879" t="s">
        <v>10944</v>
      </c>
      <c r="W879" t="s">
        <v>43</v>
      </c>
      <c r="X879" t="s">
        <v>44</v>
      </c>
      <c r="Y879" t="s">
        <v>44</v>
      </c>
      <c r="Z879" t="s">
        <v>44</v>
      </c>
      <c r="AA879" t="s">
        <v>10979</v>
      </c>
      <c r="AB879" t="s">
        <v>44</v>
      </c>
      <c r="AC879" s="4">
        <v>12.232836000000001</v>
      </c>
      <c r="AD879" s="4">
        <v>11.596213730000001</v>
      </c>
      <c r="AE879" s="2">
        <v>12.23</v>
      </c>
      <c r="AF879" s="4">
        <v>11.596213730000001</v>
      </c>
      <c r="AG879" s="2">
        <v>1.81</v>
      </c>
      <c r="AH879" s="2">
        <v>2319061.83</v>
      </c>
      <c r="AI879" s="2">
        <v>0.01</v>
      </c>
      <c r="AJ879" s="5">
        <v>44673</v>
      </c>
      <c r="AK879" t="s">
        <v>11949</v>
      </c>
      <c r="AL879" s="2">
        <v>11.88</v>
      </c>
      <c r="AM879" s="2">
        <v>10.56</v>
      </c>
      <c r="AN879" s="2">
        <v>4.47</v>
      </c>
      <c r="AO879" t="s">
        <v>10980</v>
      </c>
      <c r="AP879" t="s">
        <v>10981</v>
      </c>
      <c r="AQ879" t="s">
        <v>10978</v>
      </c>
    </row>
    <row r="880" spans="1:43" x14ac:dyDescent="0.2">
      <c r="A880" t="s">
        <v>11946</v>
      </c>
      <c r="B880" t="s">
        <v>10900</v>
      </c>
      <c r="C880" t="s">
        <v>10943</v>
      </c>
      <c r="D880" t="s">
        <v>11135</v>
      </c>
      <c r="E880" t="s">
        <v>10946</v>
      </c>
      <c r="F880" t="s">
        <v>11135</v>
      </c>
      <c r="G880" s="1">
        <v>19430000</v>
      </c>
      <c r="H880" s="2">
        <v>21619718.91</v>
      </c>
      <c r="I880" s="2">
        <v>21109325.190000001</v>
      </c>
      <c r="J880" s="2">
        <v>687502.6</v>
      </c>
      <c r="K880" s="2">
        <v>0</v>
      </c>
      <c r="L880" s="2">
        <v>21796827.789999999</v>
      </c>
      <c r="M880" s="3">
        <v>8.2249999999999996</v>
      </c>
      <c r="N880" s="4">
        <v>4.9590130000000003E-2</v>
      </c>
      <c r="O880" s="5">
        <v>44733</v>
      </c>
      <c r="P880" s="5">
        <v>46377</v>
      </c>
      <c r="Q880" s="1">
        <v>10.5</v>
      </c>
      <c r="R880" s="2">
        <v>3.72</v>
      </c>
      <c r="S880" s="6">
        <v>3.572672968</v>
      </c>
      <c r="T880" t="s">
        <v>111</v>
      </c>
      <c r="U880" t="s">
        <v>111</v>
      </c>
      <c r="V880" t="s">
        <v>10944</v>
      </c>
      <c r="W880" t="s">
        <v>43</v>
      </c>
      <c r="X880" t="s">
        <v>10945</v>
      </c>
      <c r="Y880" t="s">
        <v>44</v>
      </c>
      <c r="Z880" t="s">
        <v>44</v>
      </c>
      <c r="AA880" t="s">
        <v>10913</v>
      </c>
      <c r="AB880" t="s">
        <v>44</v>
      </c>
      <c r="AC880" s="4">
        <v>8.3941265600000001</v>
      </c>
      <c r="AD880" s="4">
        <v>8.0875032299999994</v>
      </c>
      <c r="AE880" s="2">
        <v>8.39</v>
      </c>
      <c r="AF880" s="4">
        <v>8.0875032299999994</v>
      </c>
      <c r="AG880" s="2">
        <v>17.010000000000002</v>
      </c>
      <c r="AH880" s="2">
        <v>21796827.789999999</v>
      </c>
      <c r="AI880" s="2">
        <v>0.05</v>
      </c>
      <c r="AJ880" s="5">
        <v>44673</v>
      </c>
      <c r="AK880" t="s">
        <v>11949</v>
      </c>
      <c r="AL880" s="2">
        <v>8.23</v>
      </c>
      <c r="AM880" s="2">
        <v>10.5</v>
      </c>
      <c r="AN880" s="2">
        <v>3.57</v>
      </c>
      <c r="AO880" t="s">
        <v>10922</v>
      </c>
      <c r="AP880" t="s">
        <v>11136</v>
      </c>
      <c r="AQ880" t="s">
        <v>10946</v>
      </c>
    </row>
    <row r="881" spans="1:43" x14ac:dyDescent="0.2">
      <c r="A881" t="s">
        <v>11946</v>
      </c>
      <c r="B881" t="s">
        <v>10900</v>
      </c>
      <c r="C881" t="s">
        <v>11137</v>
      </c>
      <c r="D881" t="s">
        <v>11138</v>
      </c>
      <c r="E881" t="s">
        <v>11139</v>
      </c>
      <c r="F881" t="s">
        <v>11138</v>
      </c>
      <c r="G881" s="1">
        <v>2200000</v>
      </c>
      <c r="H881" s="2">
        <v>2155322.29</v>
      </c>
      <c r="I881" s="2">
        <v>2103619.7599999998</v>
      </c>
      <c r="J881" s="2">
        <v>7594.52</v>
      </c>
      <c r="K881" s="2">
        <v>0</v>
      </c>
      <c r="L881" s="2">
        <v>2111214.2799999998</v>
      </c>
      <c r="M881" s="3">
        <v>11.316000000000001</v>
      </c>
      <c r="N881" s="4">
        <v>4.8032400000000003E-3</v>
      </c>
      <c r="O881" s="5">
        <v>44844</v>
      </c>
      <c r="P881" s="5">
        <v>47765</v>
      </c>
      <c r="Q881" s="1">
        <v>10.5</v>
      </c>
      <c r="R881" s="2">
        <v>5.71</v>
      </c>
      <c r="S881" s="6">
        <v>5.4077134439999996</v>
      </c>
      <c r="T881" t="s">
        <v>111</v>
      </c>
      <c r="U881" t="s">
        <v>111</v>
      </c>
      <c r="V881" t="s">
        <v>10944</v>
      </c>
      <c r="W881" t="s">
        <v>43</v>
      </c>
      <c r="X881" t="s">
        <v>44</v>
      </c>
      <c r="Y881" t="s">
        <v>44</v>
      </c>
      <c r="Z881" t="s">
        <v>44</v>
      </c>
      <c r="AA881" t="s">
        <v>10979</v>
      </c>
      <c r="AB881" t="s">
        <v>44</v>
      </c>
      <c r="AC881" s="4">
        <v>11.63612964</v>
      </c>
      <c r="AD881" s="4">
        <v>11.058095140000001</v>
      </c>
      <c r="AE881" s="2">
        <v>11.64</v>
      </c>
      <c r="AF881" s="4">
        <v>11.058095140000001</v>
      </c>
      <c r="AG881" s="2">
        <v>1.65</v>
      </c>
      <c r="AH881" s="2">
        <v>2111214.2799999998</v>
      </c>
      <c r="AI881" s="2">
        <v>0</v>
      </c>
      <c r="AJ881" s="5">
        <v>44673</v>
      </c>
      <c r="AK881" t="s">
        <v>11949</v>
      </c>
      <c r="AL881" s="2">
        <v>11.32</v>
      </c>
      <c r="AM881" s="2">
        <v>10.5</v>
      </c>
      <c r="AN881" s="2">
        <v>5.41</v>
      </c>
      <c r="AO881" t="s">
        <v>10982</v>
      </c>
      <c r="AP881" t="s">
        <v>11140</v>
      </c>
      <c r="AQ881" t="s">
        <v>11139</v>
      </c>
    </row>
    <row r="882" spans="1:43" x14ac:dyDescent="0.2">
      <c r="A882" t="s">
        <v>11946</v>
      </c>
      <c r="B882" t="s">
        <v>10900</v>
      </c>
      <c r="C882" t="s">
        <v>10950</v>
      </c>
      <c r="D882" t="s">
        <v>11141</v>
      </c>
      <c r="E882" t="s">
        <v>11142</v>
      </c>
      <c r="F882" t="s">
        <v>11141</v>
      </c>
      <c r="G882" s="1">
        <v>2100000</v>
      </c>
      <c r="H882" s="2">
        <v>1689696.43</v>
      </c>
      <c r="I882" s="2">
        <v>1726171.44</v>
      </c>
      <c r="J882" s="2">
        <v>27760.29</v>
      </c>
      <c r="K882" s="2">
        <v>0</v>
      </c>
      <c r="L882" s="2">
        <v>1753931.73</v>
      </c>
      <c r="M882" s="3">
        <v>10.805</v>
      </c>
      <c r="N882" s="4">
        <v>3.99038E-3</v>
      </c>
      <c r="O882" s="5">
        <v>44804</v>
      </c>
      <c r="P882" s="5">
        <v>54116</v>
      </c>
      <c r="Q882" s="1">
        <v>8.75</v>
      </c>
      <c r="R882" s="2">
        <v>9.2200000000000006</v>
      </c>
      <c r="S882" s="6">
        <v>8.7507641760000006</v>
      </c>
      <c r="T882" t="s">
        <v>111</v>
      </c>
      <c r="U882" t="s">
        <v>111</v>
      </c>
      <c r="V882" t="s">
        <v>10944</v>
      </c>
      <c r="W882" t="s">
        <v>43</v>
      </c>
      <c r="X882" t="s">
        <v>10945</v>
      </c>
      <c r="Y882" t="s">
        <v>44</v>
      </c>
      <c r="Z882" t="s">
        <v>44</v>
      </c>
      <c r="AA882" t="s">
        <v>10913</v>
      </c>
      <c r="AB882" t="s">
        <v>44</v>
      </c>
      <c r="AC882" s="4">
        <v>11.096870060000001</v>
      </c>
      <c r="AD882" s="4">
        <v>10.56950999</v>
      </c>
      <c r="AE882" s="2">
        <v>11.1</v>
      </c>
      <c r="AF882" s="4">
        <v>10.56950999</v>
      </c>
      <c r="AG882" s="2">
        <v>1.37</v>
      </c>
      <c r="AH882" s="2">
        <v>1753931.73</v>
      </c>
      <c r="AI882" s="2">
        <v>0</v>
      </c>
      <c r="AJ882" s="5">
        <v>44673</v>
      </c>
      <c r="AK882" t="s">
        <v>11949</v>
      </c>
      <c r="AL882" s="2">
        <v>10.8</v>
      </c>
      <c r="AM882" s="2">
        <v>8.75</v>
      </c>
      <c r="AN882" s="2">
        <v>8.75</v>
      </c>
      <c r="AO882" t="s">
        <v>10922</v>
      </c>
      <c r="AP882" t="s">
        <v>11143</v>
      </c>
      <c r="AQ882" t="s">
        <v>11142</v>
      </c>
    </row>
    <row r="883" spans="1:43" x14ac:dyDescent="0.2">
      <c r="A883" t="s">
        <v>11946</v>
      </c>
      <c r="B883" t="s">
        <v>10900</v>
      </c>
      <c r="C883" t="s">
        <v>10950</v>
      </c>
      <c r="D883" t="s">
        <v>10983</v>
      </c>
      <c r="E883" t="s">
        <v>10984</v>
      </c>
      <c r="F883" t="s">
        <v>10983</v>
      </c>
      <c r="G883" s="1">
        <v>1840000</v>
      </c>
      <c r="H883" s="2">
        <v>1553951.68</v>
      </c>
      <c r="I883" s="2">
        <v>1538483.8</v>
      </c>
      <c r="J883" s="2">
        <v>34577.550000000003</v>
      </c>
      <c r="K883" s="2">
        <v>0</v>
      </c>
      <c r="L883" s="2">
        <v>1573061.35</v>
      </c>
      <c r="M883" s="3">
        <v>10.734999999999999</v>
      </c>
      <c r="N883" s="4">
        <v>3.57888E-3</v>
      </c>
      <c r="O883" s="5">
        <v>44774</v>
      </c>
      <c r="P883" s="5">
        <v>50071</v>
      </c>
      <c r="Q883" s="1">
        <v>8.5</v>
      </c>
      <c r="R883" s="2">
        <v>7.91</v>
      </c>
      <c r="S883" s="6">
        <v>7.5106016819999999</v>
      </c>
      <c r="T883" t="s">
        <v>111</v>
      </c>
      <c r="U883" t="s">
        <v>111</v>
      </c>
      <c r="V883" t="s">
        <v>10944</v>
      </c>
      <c r="W883" t="s">
        <v>43</v>
      </c>
      <c r="X883" t="s">
        <v>10945</v>
      </c>
      <c r="Y883" t="s">
        <v>44</v>
      </c>
      <c r="Z883" t="s">
        <v>44</v>
      </c>
      <c r="AA883" t="s">
        <v>10913</v>
      </c>
      <c r="AB883" t="s">
        <v>44</v>
      </c>
      <c r="AC883" s="4">
        <v>11.02310056</v>
      </c>
      <c r="AD883" s="4">
        <v>10.50250368</v>
      </c>
      <c r="AE883" s="2">
        <v>11.02</v>
      </c>
      <c r="AF883" s="4">
        <v>10.50250368</v>
      </c>
      <c r="AG883" s="2">
        <v>1.23</v>
      </c>
      <c r="AH883" s="2">
        <v>1573061.35</v>
      </c>
      <c r="AI883" s="2">
        <v>0</v>
      </c>
      <c r="AJ883" s="5">
        <v>44673</v>
      </c>
      <c r="AK883" t="s">
        <v>11949</v>
      </c>
      <c r="AL883" s="2">
        <v>10.73</v>
      </c>
      <c r="AM883" s="2">
        <v>8.5</v>
      </c>
      <c r="AN883" s="2">
        <v>7.51</v>
      </c>
      <c r="AO883" t="s">
        <v>10922</v>
      </c>
      <c r="AP883" t="s">
        <v>10985</v>
      </c>
      <c r="AQ883" t="s">
        <v>10984</v>
      </c>
    </row>
    <row r="884" spans="1:43" x14ac:dyDescent="0.2">
      <c r="A884" t="s">
        <v>11946</v>
      </c>
      <c r="B884" t="s">
        <v>10900</v>
      </c>
      <c r="C884" t="s">
        <v>10950</v>
      </c>
      <c r="D884" t="s">
        <v>10986</v>
      </c>
      <c r="E884" t="s">
        <v>10987</v>
      </c>
      <c r="F884" t="s">
        <v>10986</v>
      </c>
      <c r="G884" s="1">
        <v>2700000</v>
      </c>
      <c r="H884" s="2">
        <v>2472339.12</v>
      </c>
      <c r="I884" s="2">
        <v>2441950.4700000002</v>
      </c>
      <c r="J884" s="2">
        <v>11132.88</v>
      </c>
      <c r="K884" s="2">
        <v>0</v>
      </c>
      <c r="L884" s="2">
        <v>2453083.35</v>
      </c>
      <c r="M884" s="3">
        <v>12.05</v>
      </c>
      <c r="N884" s="4">
        <v>5.5810299999999998E-3</v>
      </c>
      <c r="O884" s="5">
        <v>44844</v>
      </c>
      <c r="P884" s="5">
        <v>51418</v>
      </c>
      <c r="Q884" s="1">
        <v>10.75</v>
      </c>
      <c r="R884" s="2">
        <v>7.89</v>
      </c>
      <c r="S884" s="6">
        <v>7.4432483840000003</v>
      </c>
      <c r="T884" t="s">
        <v>111</v>
      </c>
      <c r="U884" t="s">
        <v>111</v>
      </c>
      <c r="V884" t="s">
        <v>10944</v>
      </c>
      <c r="W884" t="s">
        <v>43</v>
      </c>
      <c r="X884" t="s">
        <v>10988</v>
      </c>
      <c r="Y884" t="s">
        <v>44</v>
      </c>
      <c r="Z884" t="s">
        <v>44</v>
      </c>
      <c r="AA884" t="s">
        <v>10979</v>
      </c>
      <c r="AB884" t="s">
        <v>44</v>
      </c>
      <c r="AC884" s="4">
        <v>12.41300625</v>
      </c>
      <c r="AD884" s="4">
        <v>11.758178470000001</v>
      </c>
      <c r="AE884" s="2">
        <v>12.41</v>
      </c>
      <c r="AF884" s="4">
        <v>11.758178470000001</v>
      </c>
      <c r="AG884" s="2">
        <v>1.91</v>
      </c>
      <c r="AH884" s="2">
        <v>2453083.35</v>
      </c>
      <c r="AI884" s="2">
        <v>0.01</v>
      </c>
      <c r="AJ884" s="5">
        <v>44673</v>
      </c>
      <c r="AK884" t="s">
        <v>11949</v>
      </c>
      <c r="AL884" s="2">
        <v>12.05</v>
      </c>
      <c r="AM884" s="2">
        <v>10.75</v>
      </c>
      <c r="AN884" s="2">
        <v>7.44</v>
      </c>
      <c r="AO884" t="s">
        <v>10982</v>
      </c>
      <c r="AP884" t="s">
        <v>10989</v>
      </c>
      <c r="AQ884" t="s">
        <v>10987</v>
      </c>
    </row>
    <row r="885" spans="1:43" x14ac:dyDescent="0.2">
      <c r="A885" t="s">
        <v>11946</v>
      </c>
      <c r="B885" t="s">
        <v>10900</v>
      </c>
      <c r="C885" t="s">
        <v>10990</v>
      </c>
      <c r="D885" t="s">
        <v>10991</v>
      </c>
      <c r="E885" t="s">
        <v>1153</v>
      </c>
      <c r="F885" t="s">
        <v>10991</v>
      </c>
      <c r="G885" s="1">
        <v>2060000</v>
      </c>
      <c r="H885" s="2">
        <v>2658314.91</v>
      </c>
      <c r="I885" s="2">
        <v>2663802.63</v>
      </c>
      <c r="J885" s="2">
        <v>16684.38</v>
      </c>
      <c r="K885" s="2">
        <v>0</v>
      </c>
      <c r="L885" s="2">
        <v>2680487.0099999998</v>
      </c>
      <c r="M885" s="3">
        <v>3.9</v>
      </c>
      <c r="N885" s="4">
        <v>6.0984000000000003E-3</v>
      </c>
      <c r="O885" s="5">
        <v>44774</v>
      </c>
      <c r="P885" s="5">
        <v>50436</v>
      </c>
      <c r="Q885" s="1">
        <v>2.25</v>
      </c>
      <c r="R885" s="2">
        <v>12.94</v>
      </c>
      <c r="S885" s="6">
        <v>12.689805079999999</v>
      </c>
      <c r="T885" t="s">
        <v>111</v>
      </c>
      <c r="U885" t="s">
        <v>111</v>
      </c>
      <c r="V885" t="s">
        <v>10992</v>
      </c>
      <c r="W885" t="s">
        <v>43</v>
      </c>
      <c r="X885" t="s">
        <v>10945</v>
      </c>
      <c r="Y885" t="s">
        <v>44</v>
      </c>
      <c r="Z885" t="s">
        <v>44</v>
      </c>
      <c r="AA885" t="s">
        <v>10913</v>
      </c>
      <c r="AB885" t="s">
        <v>44</v>
      </c>
      <c r="AC885" s="4">
        <v>3.9380250000000001</v>
      </c>
      <c r="AD885" s="4">
        <v>3.8686849699999999</v>
      </c>
      <c r="AE885" s="2">
        <v>3.94</v>
      </c>
      <c r="AF885" s="4">
        <v>3.8686849699999999</v>
      </c>
      <c r="AG885" s="2">
        <v>2.09</v>
      </c>
      <c r="AH885" s="2">
        <v>2680487.0099999998</v>
      </c>
      <c r="AI885" s="2">
        <v>0.01</v>
      </c>
      <c r="AJ885" s="5">
        <v>44673</v>
      </c>
      <c r="AK885" t="s">
        <v>11949</v>
      </c>
      <c r="AL885" s="2">
        <v>3.9</v>
      </c>
      <c r="AM885" s="2">
        <v>2.25</v>
      </c>
      <c r="AN885" s="2">
        <v>12.69</v>
      </c>
      <c r="AO885" t="s">
        <v>10922</v>
      </c>
      <c r="AP885" t="s">
        <v>10993</v>
      </c>
      <c r="AQ885" t="s">
        <v>1153</v>
      </c>
    </row>
    <row r="886" spans="1:43" x14ac:dyDescent="0.2">
      <c r="A886" t="s">
        <v>11946</v>
      </c>
      <c r="B886" t="s">
        <v>10900</v>
      </c>
      <c r="C886" t="s">
        <v>10990</v>
      </c>
      <c r="D886" t="s">
        <v>10994</v>
      </c>
      <c r="E886" t="s">
        <v>1190</v>
      </c>
      <c r="F886" t="s">
        <v>10994</v>
      </c>
      <c r="G886" s="1">
        <v>2220000</v>
      </c>
      <c r="H886" s="2">
        <v>2618408</v>
      </c>
      <c r="I886" s="2">
        <v>2626560.19</v>
      </c>
      <c r="J886" s="2">
        <v>5281.47</v>
      </c>
      <c r="K886" s="2">
        <v>0</v>
      </c>
      <c r="L886" s="2">
        <v>2631841.66</v>
      </c>
      <c r="M886" s="3">
        <v>3.9</v>
      </c>
      <c r="N886" s="4">
        <v>5.9877200000000002E-3</v>
      </c>
      <c r="O886" s="5">
        <v>44834</v>
      </c>
      <c r="P886" s="5">
        <v>53417</v>
      </c>
      <c r="Q886" s="1">
        <v>2.5</v>
      </c>
      <c r="R886" s="2">
        <v>17.22</v>
      </c>
      <c r="S886" s="6">
        <v>16.886631569999999</v>
      </c>
      <c r="T886" t="s">
        <v>111</v>
      </c>
      <c r="U886" t="s">
        <v>111</v>
      </c>
      <c r="V886" t="s">
        <v>10992</v>
      </c>
      <c r="W886" t="s">
        <v>43</v>
      </c>
      <c r="X886" t="s">
        <v>10945</v>
      </c>
      <c r="Y886" t="s">
        <v>44</v>
      </c>
      <c r="Z886" t="s">
        <v>44</v>
      </c>
      <c r="AA886" t="s">
        <v>10913</v>
      </c>
      <c r="AB886" t="s">
        <v>44</v>
      </c>
      <c r="AC886" s="4">
        <v>3.9380250000000001</v>
      </c>
      <c r="AD886" s="4">
        <v>3.8686849699999999</v>
      </c>
      <c r="AE886" s="2">
        <v>3.94</v>
      </c>
      <c r="AF886" s="4">
        <v>3.8686849699999999</v>
      </c>
      <c r="AG886" s="2">
        <v>2.0499999999999998</v>
      </c>
      <c r="AH886" s="2">
        <v>2631841.66</v>
      </c>
      <c r="AI886" s="2">
        <v>0.01</v>
      </c>
      <c r="AJ886" s="5">
        <v>44673</v>
      </c>
      <c r="AK886" t="s">
        <v>11949</v>
      </c>
      <c r="AL886" s="2">
        <v>3.9</v>
      </c>
      <c r="AM886" s="2">
        <v>2.5</v>
      </c>
      <c r="AN886" s="2">
        <v>16.89</v>
      </c>
      <c r="AO886" t="s">
        <v>10922</v>
      </c>
      <c r="AP886" t="s">
        <v>10995</v>
      </c>
      <c r="AQ886" t="s">
        <v>1190</v>
      </c>
    </row>
    <row r="887" spans="1:43" x14ac:dyDescent="0.2">
      <c r="A887" t="s">
        <v>11946</v>
      </c>
      <c r="B887" t="s">
        <v>10900</v>
      </c>
      <c r="C887" t="s">
        <v>10990</v>
      </c>
      <c r="D887" t="s">
        <v>10996</v>
      </c>
      <c r="E887" t="s">
        <v>1160</v>
      </c>
      <c r="F887" t="s">
        <v>10996</v>
      </c>
      <c r="G887" s="1">
        <v>2120000</v>
      </c>
      <c r="H887" s="2">
        <v>2567590.9900000002</v>
      </c>
      <c r="I887" s="2">
        <v>2577940.5499999998</v>
      </c>
      <c r="J887" s="2">
        <v>26266.44</v>
      </c>
      <c r="K887" s="2">
        <v>0</v>
      </c>
      <c r="L887" s="2">
        <v>2604206.9900000002</v>
      </c>
      <c r="M887" s="3">
        <v>3.9</v>
      </c>
      <c r="N887" s="4">
        <v>5.9248499999999997E-3</v>
      </c>
      <c r="O887" s="5">
        <v>44742</v>
      </c>
      <c r="P887" s="5">
        <v>55153</v>
      </c>
      <c r="Q887" s="1">
        <v>2.5</v>
      </c>
      <c r="R887" s="2">
        <v>19.05</v>
      </c>
      <c r="S887" s="6">
        <v>18.689623709999999</v>
      </c>
      <c r="T887" t="s">
        <v>111</v>
      </c>
      <c r="U887" t="s">
        <v>111</v>
      </c>
      <c r="V887" t="s">
        <v>10992</v>
      </c>
      <c r="W887" t="s">
        <v>43</v>
      </c>
      <c r="X887" t="s">
        <v>10945</v>
      </c>
      <c r="Y887" t="s">
        <v>44</v>
      </c>
      <c r="Z887" t="s">
        <v>44</v>
      </c>
      <c r="AA887" t="s">
        <v>10913</v>
      </c>
      <c r="AB887" t="s">
        <v>44</v>
      </c>
      <c r="AC887" s="4">
        <v>3.9380250000000001</v>
      </c>
      <c r="AD887" s="4">
        <v>3.8686849699999999</v>
      </c>
      <c r="AE887" s="2">
        <v>3.94</v>
      </c>
      <c r="AF887" s="4">
        <v>3.8686849699999999</v>
      </c>
      <c r="AG887" s="2">
        <v>2.0299999999999998</v>
      </c>
      <c r="AH887" s="2">
        <v>2604206.9900000002</v>
      </c>
      <c r="AI887" s="2">
        <v>0.01</v>
      </c>
      <c r="AJ887" s="5">
        <v>44673</v>
      </c>
      <c r="AK887" t="s">
        <v>11949</v>
      </c>
      <c r="AL887" s="2">
        <v>3.9</v>
      </c>
      <c r="AM887" s="2">
        <v>2.5</v>
      </c>
      <c r="AN887" s="2">
        <v>18.690000000000001</v>
      </c>
      <c r="AO887" t="s">
        <v>10922</v>
      </c>
      <c r="AP887" t="s">
        <v>10997</v>
      </c>
      <c r="AQ887" t="s">
        <v>1160</v>
      </c>
    </row>
    <row r="888" spans="1:43" x14ac:dyDescent="0.2">
      <c r="A888" t="s">
        <v>11946</v>
      </c>
      <c r="B888" t="s">
        <v>10900</v>
      </c>
      <c r="C888" t="s">
        <v>10990</v>
      </c>
      <c r="D888" t="s">
        <v>10998</v>
      </c>
      <c r="E888" t="s">
        <v>1197</v>
      </c>
      <c r="F888" t="s">
        <v>10998</v>
      </c>
      <c r="G888" s="1">
        <v>2300000</v>
      </c>
      <c r="H888" s="2">
        <v>2603636.9</v>
      </c>
      <c r="I888" s="2">
        <v>2602988.5299999998</v>
      </c>
      <c r="J888" s="2">
        <v>8714.8799999999992</v>
      </c>
      <c r="K888" s="2">
        <v>0</v>
      </c>
      <c r="L888" s="2">
        <v>2611703.41</v>
      </c>
      <c r="M888" s="3">
        <v>3.82</v>
      </c>
      <c r="N888" s="4">
        <v>5.9419099999999999E-3</v>
      </c>
      <c r="O888" s="5">
        <v>44804</v>
      </c>
      <c r="P888" s="5">
        <v>48638</v>
      </c>
      <c r="Q888" s="1">
        <v>1.875</v>
      </c>
      <c r="R888" s="2">
        <v>9.7100000000000009</v>
      </c>
      <c r="S888" s="6">
        <v>9.5277218819999998</v>
      </c>
      <c r="T888" t="s">
        <v>111</v>
      </c>
      <c r="U888" t="s">
        <v>111</v>
      </c>
      <c r="V888" t="s">
        <v>10992</v>
      </c>
      <c r="W888" t="s">
        <v>43</v>
      </c>
      <c r="X888" t="s">
        <v>10945</v>
      </c>
      <c r="Y888" t="s">
        <v>44</v>
      </c>
      <c r="Z888" t="s">
        <v>44</v>
      </c>
      <c r="AA888" t="s">
        <v>10913</v>
      </c>
      <c r="AB888" t="s">
        <v>44</v>
      </c>
      <c r="AC888" s="4">
        <v>3.856481</v>
      </c>
      <c r="AD888" s="4">
        <v>3.7899492800000001</v>
      </c>
      <c r="AE888" s="2">
        <v>3.86</v>
      </c>
      <c r="AF888" s="4">
        <v>3.7899492800000001</v>
      </c>
      <c r="AG888" s="2">
        <v>2.04</v>
      </c>
      <c r="AH888" s="2">
        <v>2611703.41</v>
      </c>
      <c r="AI888" s="2">
        <v>0.01</v>
      </c>
      <c r="AJ888" s="5">
        <v>44673</v>
      </c>
      <c r="AK888" t="s">
        <v>11949</v>
      </c>
      <c r="AL888" s="2">
        <v>3.82</v>
      </c>
      <c r="AM888" s="2">
        <v>1.88</v>
      </c>
      <c r="AN888" s="2">
        <v>9.5299999999999994</v>
      </c>
      <c r="AO888" t="s">
        <v>10922</v>
      </c>
      <c r="AP888" t="s">
        <v>10999</v>
      </c>
      <c r="AQ888" t="s">
        <v>1197</v>
      </c>
    </row>
    <row r="889" spans="1:43" x14ac:dyDescent="0.2">
      <c r="A889" t="s">
        <v>11946</v>
      </c>
      <c r="B889" t="s">
        <v>45</v>
      </c>
      <c r="C889" t="s">
        <v>11000</v>
      </c>
      <c r="D889" t="s">
        <v>11001</v>
      </c>
      <c r="E889" t="s">
        <v>11002</v>
      </c>
      <c r="F889" t="s">
        <v>11001</v>
      </c>
      <c r="G889" s="1">
        <v>1553048.1502</v>
      </c>
      <c r="H889" s="2">
        <v>1553048.16</v>
      </c>
      <c r="I889" s="2">
        <v>1553048.16</v>
      </c>
      <c r="J889" s="2">
        <v>7886.59</v>
      </c>
      <c r="K889" s="2">
        <v>0</v>
      </c>
      <c r="L889" s="2">
        <v>1560934.75</v>
      </c>
      <c r="M889" s="3"/>
      <c r="N889" s="4">
        <v>3.5512899999999999E-3</v>
      </c>
      <c r="O889" s="5">
        <v>40756</v>
      </c>
      <c r="P889" s="5">
        <v>73020</v>
      </c>
      <c r="Q889" s="1">
        <v>0</v>
      </c>
      <c r="R889" s="2"/>
      <c r="S889" s="6"/>
      <c r="T889" t="s">
        <v>111</v>
      </c>
      <c r="U889" t="s">
        <v>11003</v>
      </c>
      <c r="V889" t="s">
        <v>46</v>
      </c>
      <c r="W889" t="s">
        <v>43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s="4"/>
      <c r="AD889" s="4"/>
      <c r="AE889" s="2">
        <v>0</v>
      </c>
      <c r="AF889" s="4">
        <v>0</v>
      </c>
      <c r="AG889" s="2">
        <v>1.22</v>
      </c>
      <c r="AH889" s="2">
        <v>1560934.75</v>
      </c>
      <c r="AI889" s="2">
        <v>0</v>
      </c>
      <c r="AJ889" s="5">
        <v>44673</v>
      </c>
      <c r="AK889" t="s">
        <v>11949</v>
      </c>
      <c r="AL889" s="2">
        <v>0</v>
      </c>
      <c r="AM889" s="2">
        <v>0</v>
      </c>
      <c r="AN889" s="2">
        <v>0</v>
      </c>
      <c r="AO889" t="s">
        <v>44</v>
      </c>
      <c r="AP889" t="s">
        <v>11004</v>
      </c>
      <c r="AQ889" t="s">
        <v>11002</v>
      </c>
    </row>
    <row r="890" spans="1:43" x14ac:dyDescent="0.2">
      <c r="A890" t="s">
        <v>11946</v>
      </c>
      <c r="B890" t="s">
        <v>45</v>
      </c>
      <c r="C890" t="s">
        <v>11144</v>
      </c>
      <c r="D890" t="s">
        <v>11145</v>
      </c>
      <c r="E890" t="s">
        <v>11146</v>
      </c>
      <c r="F890" t="s">
        <v>11147</v>
      </c>
      <c r="G890" s="1">
        <v>4193546</v>
      </c>
      <c r="H890" s="2">
        <v>4193546</v>
      </c>
      <c r="I890" s="2">
        <v>4193546</v>
      </c>
      <c r="J890" s="2">
        <v>12982.6</v>
      </c>
      <c r="K890" s="2">
        <v>0</v>
      </c>
      <c r="L890" s="2">
        <v>4206528.5999999996</v>
      </c>
      <c r="M890" s="3">
        <v>6.88</v>
      </c>
      <c r="N890" s="4">
        <v>9.5703100000000003E-3</v>
      </c>
      <c r="O890" s="5" t="s">
        <v>44</v>
      </c>
      <c r="P890" s="5">
        <v>55153</v>
      </c>
      <c r="Q890" s="1">
        <v>6.88</v>
      </c>
      <c r="R890" s="2">
        <v>0.08</v>
      </c>
      <c r="S890" s="6">
        <v>2.6006750000000002E-3</v>
      </c>
      <c r="T890" t="s">
        <v>112</v>
      </c>
      <c r="U890" t="s">
        <v>46</v>
      </c>
      <c r="V890" t="s">
        <v>11148</v>
      </c>
      <c r="W890" t="s">
        <v>43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s="4"/>
      <c r="AD890" s="4"/>
      <c r="AE890" s="2">
        <v>0</v>
      </c>
      <c r="AF890" s="4">
        <v>0</v>
      </c>
      <c r="AG890" s="2">
        <v>3.28</v>
      </c>
      <c r="AH890" s="2">
        <v>4206528.5999999996</v>
      </c>
      <c r="AI890" s="2">
        <v>0.01</v>
      </c>
      <c r="AJ890" s="5">
        <v>44673</v>
      </c>
      <c r="AK890" t="s">
        <v>11949</v>
      </c>
      <c r="AL890" s="2">
        <v>0</v>
      </c>
      <c r="AM890" s="2">
        <v>6.88</v>
      </c>
      <c r="AN890" s="2">
        <v>0</v>
      </c>
      <c r="AO890" t="s">
        <v>11146</v>
      </c>
      <c r="AP890" t="s">
        <v>44</v>
      </c>
      <c r="AQ890" t="s">
        <v>11146</v>
      </c>
    </row>
    <row r="891" spans="1:43" x14ac:dyDescent="0.2">
      <c r="A891" t="s">
        <v>11946</v>
      </c>
      <c r="B891" t="s">
        <v>45</v>
      </c>
      <c r="C891" t="s">
        <v>47</v>
      </c>
      <c r="D891" t="s">
        <v>48</v>
      </c>
      <c r="E891" t="s">
        <v>49</v>
      </c>
      <c r="F891" t="s">
        <v>50</v>
      </c>
      <c r="G891" s="1">
        <v>0</v>
      </c>
      <c r="H891" s="2">
        <v>0</v>
      </c>
      <c r="I891" s="2">
        <v>0</v>
      </c>
      <c r="J891" s="2">
        <v>0</v>
      </c>
      <c r="K891" s="2">
        <v>0</v>
      </c>
      <c r="L891" s="2">
        <v>1739.37</v>
      </c>
      <c r="M891" s="3"/>
      <c r="N891" s="4">
        <v>3.9600000000000002E-6</v>
      </c>
      <c r="O891" s="5" t="s">
        <v>44</v>
      </c>
      <c r="P891" s="5" t="s">
        <v>44</v>
      </c>
      <c r="Q891" s="1"/>
      <c r="R891" s="2">
        <v>0.08</v>
      </c>
      <c r="S891" s="6"/>
      <c r="T891" t="s">
        <v>45</v>
      </c>
      <c r="U891" t="s">
        <v>46</v>
      </c>
      <c r="V891" t="s">
        <v>44</v>
      </c>
      <c r="W891" t="s">
        <v>43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s="4">
        <v>5.1163389600000002</v>
      </c>
      <c r="AD891" s="4">
        <v>5.0001424999999999</v>
      </c>
      <c r="AE891" s="2">
        <v>5.12</v>
      </c>
      <c r="AF891" s="4">
        <v>5.0001424999999999</v>
      </c>
      <c r="AG891" s="2">
        <v>0</v>
      </c>
      <c r="AH891" s="2">
        <v>1739.37</v>
      </c>
      <c r="AI891" s="2">
        <v>0</v>
      </c>
      <c r="AJ891" s="5">
        <v>44673</v>
      </c>
      <c r="AK891" t="s">
        <v>11949</v>
      </c>
      <c r="AL891" s="2">
        <v>5.05</v>
      </c>
      <c r="AM891" s="2">
        <v>0</v>
      </c>
      <c r="AN891" s="2">
        <v>0</v>
      </c>
      <c r="AO891" t="s">
        <v>44</v>
      </c>
      <c r="AP891" t="s">
        <v>44</v>
      </c>
      <c r="AQ891" t="s">
        <v>44</v>
      </c>
    </row>
    <row r="892" spans="1:43" x14ac:dyDescent="0.2">
      <c r="A892" t="s">
        <v>11946</v>
      </c>
      <c r="B892" t="s">
        <v>45</v>
      </c>
      <c r="C892" t="s">
        <v>47</v>
      </c>
      <c r="D892" t="s">
        <v>51</v>
      </c>
      <c r="E892" t="s">
        <v>52</v>
      </c>
      <c r="F892" t="s">
        <v>51</v>
      </c>
      <c r="G892" s="1">
        <v>890341.74</v>
      </c>
      <c r="H892" s="2">
        <v>890341.74</v>
      </c>
      <c r="I892" s="2">
        <v>890341.74</v>
      </c>
      <c r="J892" s="2">
        <v>0</v>
      </c>
      <c r="K892" s="2">
        <v>0</v>
      </c>
      <c r="L892" s="2">
        <v>890341.74</v>
      </c>
      <c r="M892" s="3"/>
      <c r="N892" s="4">
        <v>2.0256200000000001E-3</v>
      </c>
      <c r="O892" s="5" t="s">
        <v>44</v>
      </c>
      <c r="P892" s="5" t="s">
        <v>44</v>
      </c>
      <c r="Q892" s="1"/>
      <c r="R892" s="2">
        <v>0.08</v>
      </c>
      <c r="S892" s="6"/>
      <c r="T892" t="s">
        <v>45</v>
      </c>
      <c r="U892" t="s">
        <v>53</v>
      </c>
      <c r="V892" t="s">
        <v>44</v>
      </c>
      <c r="W892" t="s">
        <v>43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s="4">
        <v>5.1163389600000002</v>
      </c>
      <c r="AD892" s="4">
        <v>5.0001424999999999</v>
      </c>
      <c r="AE892" s="2">
        <v>5.12</v>
      </c>
      <c r="AF892" s="4">
        <v>5.0001424999999999</v>
      </c>
      <c r="AG892" s="2">
        <v>0.69</v>
      </c>
      <c r="AH892" s="2">
        <v>890341.74</v>
      </c>
      <c r="AI892" s="2">
        <v>0</v>
      </c>
      <c r="AJ892" s="5">
        <v>44673</v>
      </c>
      <c r="AK892" t="s">
        <v>11949</v>
      </c>
      <c r="AL892" s="2">
        <v>5.05</v>
      </c>
      <c r="AM892" s="2">
        <v>0</v>
      </c>
      <c r="AN892" s="2">
        <v>0</v>
      </c>
      <c r="AO892" t="s">
        <v>44</v>
      </c>
      <c r="AP892" t="s">
        <v>44</v>
      </c>
      <c r="AQ892" t="s">
        <v>43</v>
      </c>
    </row>
    <row r="893" spans="1:43" x14ac:dyDescent="0.2">
      <c r="A893" t="s">
        <v>11946</v>
      </c>
      <c r="B893" t="s">
        <v>45</v>
      </c>
      <c r="C893" t="s">
        <v>47</v>
      </c>
      <c r="D893" t="s">
        <v>11045</v>
      </c>
      <c r="E893" t="s">
        <v>11046</v>
      </c>
      <c r="F893" t="s">
        <v>11045</v>
      </c>
      <c r="G893" s="1">
        <v>2000</v>
      </c>
      <c r="H893" s="2">
        <v>28597.57</v>
      </c>
      <c r="I893" s="2">
        <v>31228.04</v>
      </c>
      <c r="J893" s="2">
        <v>0</v>
      </c>
      <c r="K893" s="2">
        <v>0</v>
      </c>
      <c r="L893" s="2">
        <v>31228.04</v>
      </c>
      <c r="M893" s="3">
        <v>1</v>
      </c>
      <c r="N893" s="4">
        <v>7.1050000000000006E-5</v>
      </c>
      <c r="O893" s="5" t="s">
        <v>44</v>
      </c>
      <c r="P893" s="5" t="s">
        <v>44</v>
      </c>
      <c r="Q893" s="1"/>
      <c r="R893" s="2">
        <v>0.08</v>
      </c>
      <c r="S893" s="6"/>
      <c r="T893" t="s">
        <v>45</v>
      </c>
      <c r="U893" t="s">
        <v>53</v>
      </c>
      <c r="V893" t="s">
        <v>44</v>
      </c>
      <c r="W893" t="s">
        <v>113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s="4"/>
      <c r="AD893" s="4"/>
      <c r="AE893" s="2">
        <v>0</v>
      </c>
      <c r="AF893" s="4">
        <v>0</v>
      </c>
      <c r="AG893" s="2">
        <v>0.02</v>
      </c>
      <c r="AH893" s="2">
        <v>31228.04</v>
      </c>
      <c r="AI893" s="2">
        <v>0</v>
      </c>
      <c r="AJ893" s="5">
        <v>44673</v>
      </c>
      <c r="AK893" t="s">
        <v>11949</v>
      </c>
      <c r="AL893" s="2">
        <v>0</v>
      </c>
      <c r="AM893" s="2">
        <v>0</v>
      </c>
      <c r="AN893" s="2">
        <v>0</v>
      </c>
      <c r="AO893" t="s">
        <v>44</v>
      </c>
      <c r="AP893" t="s">
        <v>44</v>
      </c>
      <c r="AQ893" t="s">
        <v>113</v>
      </c>
    </row>
    <row r="894" spans="1:43" x14ac:dyDescent="0.2">
      <c r="A894" t="s">
        <v>11946</v>
      </c>
      <c r="B894" t="s">
        <v>45</v>
      </c>
      <c r="C894" t="s">
        <v>11005</v>
      </c>
      <c r="D894" t="s">
        <v>11009</v>
      </c>
      <c r="E894" t="s">
        <v>11010</v>
      </c>
      <c r="F894" t="s">
        <v>44</v>
      </c>
      <c r="G894" s="1">
        <v>-31.52</v>
      </c>
      <c r="H894" s="2">
        <v>-31.52</v>
      </c>
      <c r="I894" s="2">
        <v>-31.52</v>
      </c>
      <c r="J894" s="2">
        <v>0</v>
      </c>
      <c r="K894" s="2"/>
      <c r="L894" s="2">
        <v>-31.52</v>
      </c>
      <c r="M894" s="3"/>
      <c r="N894" s="4">
        <v>-7.0000000000000005E-8</v>
      </c>
      <c r="O894" s="5" t="s">
        <v>44</v>
      </c>
      <c r="P894" s="5">
        <v>73051</v>
      </c>
      <c r="Q894" s="1">
        <v>0</v>
      </c>
      <c r="R894" s="2">
        <v>0.08</v>
      </c>
      <c r="S894" s="6"/>
      <c r="T894" t="s">
        <v>45</v>
      </c>
      <c r="U894" t="s">
        <v>44</v>
      </c>
      <c r="V894" t="s">
        <v>44</v>
      </c>
      <c r="W894" t="s">
        <v>43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s="4">
        <v>5.1163389600000002</v>
      </c>
      <c r="AD894" s="4">
        <v>5.0001424999999999</v>
      </c>
      <c r="AE894" s="2">
        <v>5.12</v>
      </c>
      <c r="AF894" s="4">
        <v>5.0001424999999999</v>
      </c>
      <c r="AG894" s="2">
        <v>0</v>
      </c>
      <c r="AH894" s="2">
        <v>-31.52</v>
      </c>
      <c r="AI894" s="2">
        <v>0</v>
      </c>
      <c r="AJ894" s="5">
        <v>44673</v>
      </c>
      <c r="AK894" t="s">
        <v>11949</v>
      </c>
      <c r="AL894" s="2">
        <v>5.05</v>
      </c>
      <c r="AM894" s="2">
        <v>0</v>
      </c>
      <c r="AN894" s="2">
        <v>0</v>
      </c>
      <c r="AO894" t="s">
        <v>44</v>
      </c>
      <c r="AP894" t="s">
        <v>44</v>
      </c>
      <c r="AQ894" t="s">
        <v>44</v>
      </c>
    </row>
    <row r="895" spans="1:43" x14ac:dyDescent="0.2">
      <c r="A895" t="s">
        <v>11946</v>
      </c>
      <c r="B895" t="s">
        <v>45</v>
      </c>
      <c r="C895" t="s">
        <v>11005</v>
      </c>
      <c r="D895" t="s">
        <v>11149</v>
      </c>
      <c r="E895" t="s">
        <v>11150</v>
      </c>
      <c r="F895" t="s">
        <v>44</v>
      </c>
      <c r="G895" s="1">
        <v>-1082271.43</v>
      </c>
      <c r="H895" s="2">
        <v>-1082271.43</v>
      </c>
      <c r="I895" s="2">
        <v>-1082271.43</v>
      </c>
      <c r="J895" s="2">
        <v>0</v>
      </c>
      <c r="K895" s="2"/>
      <c r="L895" s="2">
        <v>-1082271.43</v>
      </c>
      <c r="M895" s="3"/>
      <c r="N895" s="4">
        <v>-2.4622799999999999E-3</v>
      </c>
      <c r="O895" s="5" t="s">
        <v>44</v>
      </c>
      <c r="P895" s="5">
        <v>73051</v>
      </c>
      <c r="Q895" s="1">
        <v>0</v>
      </c>
      <c r="R895" s="2">
        <v>0.08</v>
      </c>
      <c r="S895" s="6"/>
      <c r="T895" t="s">
        <v>45</v>
      </c>
      <c r="U895" t="s">
        <v>44</v>
      </c>
      <c r="V895" t="s">
        <v>44</v>
      </c>
      <c r="W895" t="s">
        <v>43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s="4">
        <v>5.1163389600000002</v>
      </c>
      <c r="AD895" s="4">
        <v>5.0001424999999999</v>
      </c>
      <c r="AE895" s="2">
        <v>5.12</v>
      </c>
      <c r="AF895" s="4">
        <v>5.0001424999999999</v>
      </c>
      <c r="AG895" s="2">
        <v>-0.84</v>
      </c>
      <c r="AH895" s="2">
        <v>-1082271.43</v>
      </c>
      <c r="AI895" s="2">
        <v>0</v>
      </c>
      <c r="AJ895" s="5">
        <v>44673</v>
      </c>
      <c r="AK895" t="s">
        <v>11949</v>
      </c>
      <c r="AL895" s="2">
        <v>5.05</v>
      </c>
      <c r="AM895" s="2">
        <v>0</v>
      </c>
      <c r="AN895" s="2">
        <v>0</v>
      </c>
      <c r="AO895" t="s">
        <v>44</v>
      </c>
      <c r="AP895" t="s">
        <v>44</v>
      </c>
      <c r="AQ895" t="s">
        <v>44</v>
      </c>
    </row>
    <row r="896" spans="1:43" x14ac:dyDescent="0.2">
      <c r="A896" t="s">
        <v>11946</v>
      </c>
      <c r="B896" t="s">
        <v>11013</v>
      </c>
      <c r="C896" t="s">
        <v>11014</v>
      </c>
      <c r="D896" t="s">
        <v>11015</v>
      </c>
      <c r="E896" t="s">
        <v>11016</v>
      </c>
      <c r="F896" t="s">
        <v>11015</v>
      </c>
      <c r="G896" s="1">
        <v>14536485.9279</v>
      </c>
      <c r="H896" s="2">
        <v>15432863.060000001</v>
      </c>
      <c r="I896" s="2">
        <v>15099047.93</v>
      </c>
      <c r="J896" s="2">
        <v>0</v>
      </c>
      <c r="K896" s="2">
        <v>0</v>
      </c>
      <c r="L896" s="2">
        <v>15099047.93</v>
      </c>
      <c r="M896" s="3">
        <v>1.0387</v>
      </c>
      <c r="N896" s="4">
        <v>3.4351960000000001E-2</v>
      </c>
      <c r="O896" s="5" t="s">
        <v>44</v>
      </c>
      <c r="P896" s="5" t="s">
        <v>44</v>
      </c>
      <c r="Q896" s="1"/>
      <c r="R896" s="2"/>
      <c r="S896" s="6"/>
      <c r="T896" t="s">
        <v>10902</v>
      </c>
      <c r="U896" t="s">
        <v>11003</v>
      </c>
      <c r="V896" t="s">
        <v>11003</v>
      </c>
      <c r="W896" t="s">
        <v>43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s="4"/>
      <c r="AD896" s="4"/>
      <c r="AE896" s="2">
        <v>0</v>
      </c>
      <c r="AF896" s="4">
        <v>0</v>
      </c>
      <c r="AG896" s="2">
        <v>11.78</v>
      </c>
      <c r="AH896" s="2">
        <v>15099047.93</v>
      </c>
      <c r="AI896" s="2">
        <v>0.03</v>
      </c>
      <c r="AJ896" s="5">
        <v>44673</v>
      </c>
      <c r="AK896" t="s">
        <v>11949</v>
      </c>
      <c r="AL896" s="2">
        <v>0</v>
      </c>
      <c r="AM896" s="2">
        <v>0</v>
      </c>
      <c r="AN896" s="2">
        <v>0</v>
      </c>
      <c r="AO896" t="s">
        <v>44</v>
      </c>
      <c r="AP896" t="s">
        <v>11017</v>
      </c>
      <c r="AQ896" t="s">
        <v>11016</v>
      </c>
    </row>
    <row r="897" spans="1:43" x14ac:dyDescent="0.2">
      <c r="A897" t="s">
        <v>11946</v>
      </c>
      <c r="B897" t="s">
        <v>11013</v>
      </c>
      <c r="C897" t="s">
        <v>11014</v>
      </c>
      <c r="D897" t="s">
        <v>11018</v>
      </c>
      <c r="E897" t="s">
        <v>11019</v>
      </c>
      <c r="F897" t="s">
        <v>11018</v>
      </c>
      <c r="G897" s="1">
        <v>10461492.18</v>
      </c>
      <c r="H897" s="2">
        <v>10491140.640000001</v>
      </c>
      <c r="I897" s="2">
        <v>10520076.539999999</v>
      </c>
      <c r="J897" s="2">
        <v>0</v>
      </c>
      <c r="K897" s="2">
        <v>0</v>
      </c>
      <c r="L897" s="2">
        <v>10520076.539999999</v>
      </c>
      <c r="M897" s="3">
        <v>1.0056</v>
      </c>
      <c r="N897" s="4">
        <v>2.393431E-2</v>
      </c>
      <c r="O897" s="5" t="s">
        <v>44</v>
      </c>
      <c r="P897" s="5" t="s">
        <v>44</v>
      </c>
      <c r="Q897" s="1"/>
      <c r="R897" s="2"/>
      <c r="S897" s="6"/>
      <c r="T897" t="s">
        <v>10902</v>
      </c>
      <c r="U897" t="s">
        <v>11003</v>
      </c>
      <c r="V897" t="s">
        <v>11003</v>
      </c>
      <c r="W897" t="s">
        <v>43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s="4"/>
      <c r="AD897" s="4"/>
      <c r="AE897" s="2">
        <v>0</v>
      </c>
      <c r="AF897" s="4">
        <v>0</v>
      </c>
      <c r="AG897" s="2">
        <v>8.2100000000000009</v>
      </c>
      <c r="AH897" s="2">
        <v>10520076.539999999</v>
      </c>
      <c r="AI897" s="2">
        <v>0.02</v>
      </c>
      <c r="AJ897" s="5">
        <v>44673</v>
      </c>
      <c r="AK897" t="s">
        <v>11949</v>
      </c>
      <c r="AL897" s="2">
        <v>0</v>
      </c>
      <c r="AM897" s="2">
        <v>0</v>
      </c>
      <c r="AN897" s="2">
        <v>0</v>
      </c>
      <c r="AO897" t="s">
        <v>44</v>
      </c>
      <c r="AP897" t="s">
        <v>11020</v>
      </c>
      <c r="AQ897" t="s">
        <v>11019</v>
      </c>
    </row>
    <row r="898" spans="1:43" x14ac:dyDescent="0.2">
      <c r="A898" t="s">
        <v>11946</v>
      </c>
      <c r="B898" t="s">
        <v>11013</v>
      </c>
      <c r="C898" t="s">
        <v>11014</v>
      </c>
      <c r="D898" t="s">
        <v>11021</v>
      </c>
      <c r="E898" t="s">
        <v>11022</v>
      </c>
      <c r="F898" t="s">
        <v>11021</v>
      </c>
      <c r="G898" s="1">
        <v>8255006.4895000001</v>
      </c>
      <c r="H898" s="2">
        <v>7177283.0099999998</v>
      </c>
      <c r="I898" s="2">
        <v>8288026.5199999996</v>
      </c>
      <c r="J898" s="2">
        <v>0</v>
      </c>
      <c r="K898" s="2">
        <v>0</v>
      </c>
      <c r="L898" s="2">
        <v>8288026.5199999996</v>
      </c>
      <c r="M898" s="3">
        <v>1.004</v>
      </c>
      <c r="N898" s="4">
        <v>1.8856149999999999E-2</v>
      </c>
      <c r="O898" s="5" t="s">
        <v>44</v>
      </c>
      <c r="P898" s="5" t="s">
        <v>44</v>
      </c>
      <c r="Q898" s="1"/>
      <c r="R898" s="2"/>
      <c r="S898" s="6"/>
      <c r="T898" t="s">
        <v>10902</v>
      </c>
      <c r="U898" t="s">
        <v>11003</v>
      </c>
      <c r="V898" t="s">
        <v>11003</v>
      </c>
      <c r="W898" t="s">
        <v>43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s="4"/>
      <c r="AD898" s="4"/>
      <c r="AE898" s="2">
        <v>0</v>
      </c>
      <c r="AF898" s="4">
        <v>0</v>
      </c>
      <c r="AG898" s="2">
        <v>6.47</v>
      </c>
      <c r="AH898" s="2">
        <v>8288026.5199999996</v>
      </c>
      <c r="AI898" s="2">
        <v>0.02</v>
      </c>
      <c r="AJ898" s="5">
        <v>44673</v>
      </c>
      <c r="AK898" t="s">
        <v>11949</v>
      </c>
      <c r="AL898" s="2">
        <v>0</v>
      </c>
      <c r="AM898" s="2">
        <v>0</v>
      </c>
      <c r="AN898" s="2">
        <v>0</v>
      </c>
      <c r="AO898" t="s">
        <v>44</v>
      </c>
      <c r="AP898" t="s">
        <v>11023</v>
      </c>
      <c r="AQ898" t="s">
        <v>11022</v>
      </c>
    </row>
    <row r="899" spans="1:43" x14ac:dyDescent="0.2">
      <c r="A899" t="s">
        <v>11946</v>
      </c>
      <c r="B899" t="s">
        <v>11013</v>
      </c>
      <c r="C899" t="s">
        <v>11047</v>
      </c>
      <c r="D899" t="s">
        <v>11233</v>
      </c>
      <c r="E899" t="s">
        <v>11234</v>
      </c>
      <c r="F899" t="s">
        <v>11233</v>
      </c>
      <c r="G899" s="1">
        <v>1226553.9331</v>
      </c>
      <c r="H899" s="2">
        <v>24046476.280000001</v>
      </c>
      <c r="I899" s="2">
        <v>25439955.129999999</v>
      </c>
      <c r="J899" s="2">
        <v>0</v>
      </c>
      <c r="K899" s="2">
        <v>0</v>
      </c>
      <c r="L899" s="2">
        <v>25439955.129999999</v>
      </c>
      <c r="M899" s="3">
        <v>20.741</v>
      </c>
      <c r="N899" s="4">
        <v>5.7878640000000002E-2</v>
      </c>
      <c r="O899" s="5" t="s">
        <v>44</v>
      </c>
      <c r="P899" s="5" t="s">
        <v>44</v>
      </c>
      <c r="Q899" s="1"/>
      <c r="R899" s="2"/>
      <c r="S899" s="6"/>
      <c r="T899" t="s">
        <v>10902</v>
      </c>
      <c r="U899" t="s">
        <v>11003</v>
      </c>
      <c r="V899" t="s">
        <v>11003</v>
      </c>
      <c r="W899" t="s">
        <v>43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s="4"/>
      <c r="AD899" s="4"/>
      <c r="AE899" s="2">
        <v>0</v>
      </c>
      <c r="AF899" s="4">
        <v>0</v>
      </c>
      <c r="AG899" s="2">
        <v>19.850000000000001</v>
      </c>
      <c r="AH899" s="2">
        <v>25439955.129999999</v>
      </c>
      <c r="AI899" s="2">
        <v>0.06</v>
      </c>
      <c r="AJ899" s="5">
        <v>44673</v>
      </c>
      <c r="AK899" t="s">
        <v>11949</v>
      </c>
      <c r="AL899" s="2">
        <v>0</v>
      </c>
      <c r="AM899" s="2">
        <v>0</v>
      </c>
      <c r="AN899" s="2">
        <v>0</v>
      </c>
      <c r="AO899" t="s">
        <v>44</v>
      </c>
      <c r="AP899" t="s">
        <v>11235</v>
      </c>
      <c r="AQ899" t="s">
        <v>11234</v>
      </c>
    </row>
    <row r="900" spans="1:43" x14ac:dyDescent="0.2">
      <c r="A900" t="s">
        <v>11946</v>
      </c>
      <c r="B900" t="s">
        <v>11024</v>
      </c>
      <c r="C900" t="s">
        <v>57</v>
      </c>
      <c r="D900" t="s">
        <v>12717</v>
      </c>
      <c r="E900" t="s">
        <v>12717</v>
      </c>
      <c r="F900" t="s">
        <v>12717</v>
      </c>
      <c r="G900" s="1">
        <v>-40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3">
        <v>65943</v>
      </c>
      <c r="N900" s="4">
        <v>0</v>
      </c>
      <c r="O900" s="5" t="s">
        <v>44</v>
      </c>
      <c r="P900" s="5">
        <v>44910</v>
      </c>
      <c r="Q900" s="1"/>
      <c r="R900" s="2"/>
      <c r="S900" s="6"/>
      <c r="T900" t="s">
        <v>11026</v>
      </c>
      <c r="U900" t="s">
        <v>11025</v>
      </c>
      <c r="V900" t="s">
        <v>11027</v>
      </c>
      <c r="W900" t="s">
        <v>43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s="4"/>
      <c r="AD900" s="4"/>
      <c r="AE900" s="2">
        <v>0</v>
      </c>
      <c r="AF900" s="4">
        <v>0</v>
      </c>
      <c r="AG900" s="2">
        <v>0</v>
      </c>
      <c r="AH900" s="2">
        <v>-26377200</v>
      </c>
      <c r="AI900" s="2">
        <v>-0.06</v>
      </c>
      <c r="AJ900" s="5">
        <v>44673</v>
      </c>
      <c r="AK900" t="s">
        <v>11949</v>
      </c>
      <c r="AL900" s="2">
        <v>0</v>
      </c>
      <c r="AM900" s="2">
        <v>0</v>
      </c>
      <c r="AN900" s="2">
        <v>0</v>
      </c>
      <c r="AO900" t="s">
        <v>44</v>
      </c>
      <c r="AP900" t="s">
        <v>12718</v>
      </c>
      <c r="AQ900" t="s">
        <v>12717</v>
      </c>
    </row>
    <row r="901" spans="1:43" x14ac:dyDescent="0.2">
      <c r="A901" t="s">
        <v>11946</v>
      </c>
      <c r="B901" t="s">
        <v>11024</v>
      </c>
      <c r="C901" t="s">
        <v>57</v>
      </c>
      <c r="D901" t="s">
        <v>12719</v>
      </c>
      <c r="E901" t="s">
        <v>12719</v>
      </c>
      <c r="F901" t="s">
        <v>12719</v>
      </c>
      <c r="G901" s="1">
        <v>73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3">
        <v>23175</v>
      </c>
      <c r="N901" s="4">
        <v>0</v>
      </c>
      <c r="O901" s="5" t="s">
        <v>44</v>
      </c>
      <c r="P901" s="5">
        <v>44910</v>
      </c>
      <c r="Q901" s="1"/>
      <c r="R901" s="2"/>
      <c r="S901" s="6"/>
      <c r="T901" t="s">
        <v>11153</v>
      </c>
      <c r="U901" t="s">
        <v>11025</v>
      </c>
      <c r="V901" t="s">
        <v>11154</v>
      </c>
      <c r="W901" t="s">
        <v>43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s="4"/>
      <c r="AD901" s="4"/>
      <c r="AE901" s="2">
        <v>0</v>
      </c>
      <c r="AF901" s="4">
        <v>0</v>
      </c>
      <c r="AG901" s="2">
        <v>0</v>
      </c>
      <c r="AH901" s="2">
        <v>17891325.809999999</v>
      </c>
      <c r="AI901" s="2">
        <v>0.04</v>
      </c>
      <c r="AJ901" s="5">
        <v>44673</v>
      </c>
      <c r="AK901" t="s">
        <v>11949</v>
      </c>
      <c r="AL901" s="2">
        <v>0</v>
      </c>
      <c r="AM901" s="2">
        <v>0</v>
      </c>
      <c r="AN901" s="2">
        <v>0</v>
      </c>
      <c r="AO901" t="s">
        <v>44</v>
      </c>
      <c r="AP901" t="s">
        <v>12720</v>
      </c>
      <c r="AQ901" t="s">
        <v>12719</v>
      </c>
    </row>
    <row r="902" spans="1:43" x14ac:dyDescent="0.2">
      <c r="A902" t="s">
        <v>11946</v>
      </c>
      <c r="B902" t="s">
        <v>11024</v>
      </c>
      <c r="C902" t="s">
        <v>57</v>
      </c>
      <c r="D902" t="s">
        <v>11151</v>
      </c>
      <c r="E902" t="s">
        <v>11151</v>
      </c>
      <c r="F902" t="s">
        <v>11151</v>
      </c>
      <c r="G902" s="1">
        <v>62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3">
        <v>65704</v>
      </c>
      <c r="N902" s="4">
        <v>0</v>
      </c>
      <c r="O902" s="5" t="s">
        <v>44</v>
      </c>
      <c r="P902" s="5">
        <v>44727</v>
      </c>
      <c r="Q902" s="1"/>
      <c r="R902" s="2"/>
      <c r="S902" s="6"/>
      <c r="T902" t="s">
        <v>11026</v>
      </c>
      <c r="U902" t="s">
        <v>11025</v>
      </c>
      <c r="V902" t="s">
        <v>11027</v>
      </c>
      <c r="W902" t="s">
        <v>43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s="4"/>
      <c r="AD902" s="4"/>
      <c r="AE902" s="2">
        <v>0</v>
      </c>
      <c r="AF902" s="4">
        <v>0</v>
      </c>
      <c r="AG902" s="2">
        <v>0</v>
      </c>
      <c r="AH902" s="2">
        <v>40736480</v>
      </c>
      <c r="AI902" s="2">
        <v>0.09</v>
      </c>
      <c r="AJ902" s="5">
        <v>44673</v>
      </c>
      <c r="AK902" t="s">
        <v>11949</v>
      </c>
      <c r="AL902" s="2">
        <v>0</v>
      </c>
      <c r="AM902" s="2">
        <v>0</v>
      </c>
      <c r="AN902" s="2">
        <v>0</v>
      </c>
      <c r="AO902" t="s">
        <v>44</v>
      </c>
      <c r="AP902" t="s">
        <v>11152</v>
      </c>
      <c r="AQ902" t="s">
        <v>11151</v>
      </c>
    </row>
    <row r="903" spans="1:43" x14ac:dyDescent="0.2">
      <c r="A903" t="s">
        <v>11946</v>
      </c>
      <c r="B903" t="s">
        <v>11024</v>
      </c>
      <c r="C903" t="s">
        <v>57</v>
      </c>
      <c r="D903" t="s">
        <v>12995</v>
      </c>
      <c r="E903" t="s">
        <v>12995</v>
      </c>
      <c r="F903" t="s">
        <v>12995</v>
      </c>
      <c r="G903" s="1">
        <v>-20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3">
        <v>11809</v>
      </c>
      <c r="N903" s="4">
        <v>0</v>
      </c>
      <c r="O903" s="5" t="s">
        <v>44</v>
      </c>
      <c r="P903" s="5">
        <v>44727</v>
      </c>
      <c r="Q903" s="1"/>
      <c r="R903" s="2"/>
      <c r="S903" s="6"/>
      <c r="T903" t="s">
        <v>11153</v>
      </c>
      <c r="U903" t="s">
        <v>11025</v>
      </c>
      <c r="V903" t="s">
        <v>11154</v>
      </c>
      <c r="W903" t="s">
        <v>43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s="4"/>
      <c r="AD903" s="4"/>
      <c r="AE903" s="2">
        <v>0</v>
      </c>
      <c r="AF903" s="4">
        <v>0</v>
      </c>
      <c r="AG903" s="2">
        <v>0</v>
      </c>
      <c r="AH903" s="2">
        <v>3976561.19</v>
      </c>
      <c r="AI903" s="2">
        <v>0.01</v>
      </c>
      <c r="AJ903" s="5">
        <v>44673</v>
      </c>
      <c r="AK903" t="s">
        <v>11949</v>
      </c>
      <c r="AL903" s="2">
        <v>0</v>
      </c>
      <c r="AM903" s="2">
        <v>0</v>
      </c>
      <c r="AN903" s="2">
        <v>0</v>
      </c>
      <c r="AO903" t="s">
        <v>44</v>
      </c>
      <c r="AP903" t="s">
        <v>12999</v>
      </c>
      <c r="AQ903" t="s">
        <v>12995</v>
      </c>
    </row>
    <row r="904" spans="1:43" x14ac:dyDescent="0.2">
      <c r="A904" t="s">
        <v>11946</v>
      </c>
      <c r="B904" t="s">
        <v>11024</v>
      </c>
      <c r="C904" t="s">
        <v>57</v>
      </c>
      <c r="D904" t="s">
        <v>11155</v>
      </c>
      <c r="E904" t="s">
        <v>11155</v>
      </c>
      <c r="F904" t="s">
        <v>11155</v>
      </c>
      <c r="G904" s="1">
        <v>-40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3">
        <v>615</v>
      </c>
      <c r="N904" s="4">
        <v>0</v>
      </c>
      <c r="O904" s="5" t="s">
        <v>44</v>
      </c>
      <c r="P904" s="5">
        <v>44727</v>
      </c>
      <c r="Q904" s="1"/>
      <c r="R904" s="2"/>
      <c r="S904" s="6"/>
      <c r="T904" t="s">
        <v>11153</v>
      </c>
      <c r="U904" t="s">
        <v>11025</v>
      </c>
      <c r="V904" t="s">
        <v>11154</v>
      </c>
      <c r="W904" t="s">
        <v>43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s="4"/>
      <c r="AD904" s="4"/>
      <c r="AE904" s="2">
        <v>0</v>
      </c>
      <c r="AF904" s="4">
        <v>0</v>
      </c>
      <c r="AG904" s="2">
        <v>0</v>
      </c>
      <c r="AH904" s="2">
        <v>-967523.74</v>
      </c>
      <c r="AI904" s="2">
        <v>0</v>
      </c>
      <c r="AJ904" s="5">
        <v>44673</v>
      </c>
      <c r="AK904" t="s">
        <v>11949</v>
      </c>
      <c r="AL904" s="2">
        <v>0</v>
      </c>
      <c r="AM904" s="2">
        <v>0</v>
      </c>
      <c r="AN904" s="2">
        <v>0</v>
      </c>
      <c r="AO904" t="s">
        <v>44</v>
      </c>
      <c r="AP904" t="s">
        <v>11156</v>
      </c>
      <c r="AQ904" t="s">
        <v>11155</v>
      </c>
    </row>
    <row r="905" spans="1:43" x14ac:dyDescent="0.2">
      <c r="A905" t="s">
        <v>11946</v>
      </c>
      <c r="B905" t="s">
        <v>11024</v>
      </c>
      <c r="C905" t="s">
        <v>57</v>
      </c>
      <c r="D905" t="s">
        <v>11157</v>
      </c>
      <c r="E905" t="s">
        <v>11157</v>
      </c>
      <c r="F905" t="s">
        <v>11157</v>
      </c>
      <c r="G905" s="1">
        <v>-15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3">
        <v>65741</v>
      </c>
      <c r="N905" s="4">
        <v>0</v>
      </c>
      <c r="O905" s="5" t="s">
        <v>44</v>
      </c>
      <c r="P905" s="5">
        <v>44819</v>
      </c>
      <c r="Q905" s="1"/>
      <c r="R905" s="2"/>
      <c r="S905" s="6"/>
      <c r="T905" t="s">
        <v>11026</v>
      </c>
      <c r="U905" t="s">
        <v>11025</v>
      </c>
      <c r="V905" t="s">
        <v>11027</v>
      </c>
      <c r="W905" t="s">
        <v>43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s="4"/>
      <c r="AD905" s="4"/>
      <c r="AE905" s="2">
        <v>0</v>
      </c>
      <c r="AF905" s="4">
        <v>0</v>
      </c>
      <c r="AG905" s="2">
        <v>0</v>
      </c>
      <c r="AH905" s="2">
        <v>-9861150</v>
      </c>
      <c r="AI905" s="2">
        <v>-0.02</v>
      </c>
      <c r="AJ905" s="5">
        <v>44673</v>
      </c>
      <c r="AK905" t="s">
        <v>11949</v>
      </c>
      <c r="AL905" s="2">
        <v>0</v>
      </c>
      <c r="AM905" s="2">
        <v>0</v>
      </c>
      <c r="AN905" s="2">
        <v>0</v>
      </c>
      <c r="AO905" t="s">
        <v>44</v>
      </c>
      <c r="AP905" t="s">
        <v>11158</v>
      </c>
      <c r="AQ905" t="s">
        <v>11157</v>
      </c>
    </row>
    <row r="906" spans="1:43" x14ac:dyDescent="0.2">
      <c r="A906" t="s">
        <v>11946</v>
      </c>
      <c r="B906" t="s">
        <v>11024</v>
      </c>
      <c r="C906" t="s">
        <v>57</v>
      </c>
      <c r="D906" t="s">
        <v>12738</v>
      </c>
      <c r="E906" t="s">
        <v>12738</v>
      </c>
      <c r="F906" t="s">
        <v>12738</v>
      </c>
      <c r="G906" s="1">
        <v>42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3">
        <v>17668</v>
      </c>
      <c r="N906" s="4">
        <v>0</v>
      </c>
      <c r="O906" s="5" t="s">
        <v>44</v>
      </c>
      <c r="P906" s="5">
        <v>44819</v>
      </c>
      <c r="Q906" s="1"/>
      <c r="R906" s="2"/>
      <c r="S906" s="6"/>
      <c r="T906" t="s">
        <v>11153</v>
      </c>
      <c r="U906" t="s">
        <v>11025</v>
      </c>
      <c r="V906" t="s">
        <v>11154</v>
      </c>
      <c r="W906" t="s">
        <v>43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s="4"/>
      <c r="AD906" s="4"/>
      <c r="AE906" s="2">
        <v>0</v>
      </c>
      <c r="AF906" s="4">
        <v>0</v>
      </c>
      <c r="AG906" s="2">
        <v>0</v>
      </c>
      <c r="AH906" s="2">
        <v>9956511.3300000001</v>
      </c>
      <c r="AI906" s="2">
        <v>0.02</v>
      </c>
      <c r="AJ906" s="5">
        <v>44673</v>
      </c>
      <c r="AK906" t="s">
        <v>11949</v>
      </c>
      <c r="AL906" s="2">
        <v>0</v>
      </c>
      <c r="AM906" s="2">
        <v>0</v>
      </c>
      <c r="AN906" s="2">
        <v>0</v>
      </c>
      <c r="AO906" t="s">
        <v>44</v>
      </c>
      <c r="AP906" t="s">
        <v>12741</v>
      </c>
      <c r="AQ906" t="s">
        <v>12738</v>
      </c>
    </row>
    <row r="907" spans="1:43" x14ac:dyDescent="0.2">
      <c r="A907" t="s">
        <v>11946</v>
      </c>
      <c r="B907" t="s">
        <v>11024</v>
      </c>
      <c r="C907" t="s">
        <v>57</v>
      </c>
      <c r="D907" t="s">
        <v>12722</v>
      </c>
      <c r="E907" t="s">
        <v>12722</v>
      </c>
      <c r="F907" t="s">
        <v>12722</v>
      </c>
      <c r="G907" s="1">
        <v>43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3">
        <v>14076</v>
      </c>
      <c r="N907" s="4">
        <v>0</v>
      </c>
      <c r="O907" s="5" t="s">
        <v>44</v>
      </c>
      <c r="P907" s="5">
        <v>44819</v>
      </c>
      <c r="Q907" s="1"/>
      <c r="R907" s="2"/>
      <c r="S907" s="6"/>
      <c r="T907" t="s">
        <v>11153</v>
      </c>
      <c r="U907" t="s">
        <v>11025</v>
      </c>
      <c r="V907" t="s">
        <v>11154</v>
      </c>
      <c r="W907" t="s">
        <v>43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s="4"/>
      <c r="AD907" s="4"/>
      <c r="AE907" s="2">
        <v>0</v>
      </c>
      <c r="AF907" s="4">
        <v>0</v>
      </c>
      <c r="AG907" s="2">
        <v>0</v>
      </c>
      <c r="AH907" s="2">
        <v>8777328.4700000007</v>
      </c>
      <c r="AI907" s="2">
        <v>0.02</v>
      </c>
      <c r="AJ907" s="5">
        <v>44673</v>
      </c>
      <c r="AK907" t="s">
        <v>11949</v>
      </c>
      <c r="AL907" s="2">
        <v>0</v>
      </c>
      <c r="AM907" s="2">
        <v>0</v>
      </c>
      <c r="AN907" s="2">
        <v>0</v>
      </c>
      <c r="AO907" t="s">
        <v>44</v>
      </c>
      <c r="AP907" t="s">
        <v>12723</v>
      </c>
      <c r="AQ907" t="s">
        <v>12722</v>
      </c>
    </row>
    <row r="908" spans="1:43" x14ac:dyDescent="0.2">
      <c r="A908" t="s">
        <v>11946</v>
      </c>
      <c r="B908" t="s">
        <v>11024</v>
      </c>
      <c r="C908" t="s">
        <v>57</v>
      </c>
      <c r="D908" t="s">
        <v>12996</v>
      </c>
      <c r="E908" t="s">
        <v>12996</v>
      </c>
      <c r="F908" t="s">
        <v>12996</v>
      </c>
      <c r="G908" s="1">
        <v>-38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3">
        <v>5097</v>
      </c>
      <c r="N908" s="4">
        <v>0</v>
      </c>
      <c r="O908" s="5" t="s">
        <v>44</v>
      </c>
      <c r="P908" s="5">
        <v>44819</v>
      </c>
      <c r="Q908" s="1"/>
      <c r="R908" s="2"/>
      <c r="S908" s="6"/>
      <c r="T908" t="s">
        <v>11153</v>
      </c>
      <c r="U908" t="s">
        <v>11025</v>
      </c>
      <c r="V908" t="s">
        <v>11154</v>
      </c>
      <c r="W908" t="s">
        <v>43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s="4"/>
      <c r="AD908" s="4"/>
      <c r="AE908" s="2">
        <v>0</v>
      </c>
      <c r="AF908" s="4">
        <v>0</v>
      </c>
      <c r="AG908" s="2">
        <v>0</v>
      </c>
      <c r="AH908" s="2">
        <v>-3671130.91</v>
      </c>
      <c r="AI908" s="2">
        <v>-0.01</v>
      </c>
      <c r="AJ908" s="5">
        <v>44673</v>
      </c>
      <c r="AK908" t="s">
        <v>11949</v>
      </c>
      <c r="AL908" s="2">
        <v>0</v>
      </c>
      <c r="AM908" s="2">
        <v>0</v>
      </c>
      <c r="AN908" s="2">
        <v>0</v>
      </c>
      <c r="AO908" t="s">
        <v>44</v>
      </c>
      <c r="AP908" t="s">
        <v>13000</v>
      </c>
      <c r="AQ908" t="s">
        <v>12996</v>
      </c>
    </row>
    <row r="909" spans="1:43" x14ac:dyDescent="0.2">
      <c r="A909" t="s">
        <v>11946</v>
      </c>
      <c r="B909" t="s">
        <v>11024</v>
      </c>
      <c r="C909" t="s">
        <v>57</v>
      </c>
      <c r="D909" t="s">
        <v>12739</v>
      </c>
      <c r="E909" t="s">
        <v>12739</v>
      </c>
      <c r="F909" t="s">
        <v>12739</v>
      </c>
      <c r="G909" s="1">
        <v>-38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3">
        <v>2268</v>
      </c>
      <c r="N909" s="4">
        <v>0</v>
      </c>
      <c r="O909" s="5" t="s">
        <v>44</v>
      </c>
      <c r="P909" s="5">
        <v>44819</v>
      </c>
      <c r="Q909" s="1"/>
      <c r="R909" s="2"/>
      <c r="S909" s="6"/>
      <c r="T909" t="s">
        <v>11153</v>
      </c>
      <c r="U909" t="s">
        <v>11025</v>
      </c>
      <c r="V909" t="s">
        <v>11154</v>
      </c>
      <c r="W909" t="s">
        <v>43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s="4"/>
      <c r="AD909" s="4"/>
      <c r="AE909" s="2">
        <v>0</v>
      </c>
      <c r="AF909" s="4">
        <v>0</v>
      </c>
      <c r="AG909" s="2">
        <v>0</v>
      </c>
      <c r="AH909" s="2">
        <v>-1886967.26</v>
      </c>
      <c r="AI909" s="2">
        <v>0</v>
      </c>
      <c r="AJ909" s="5">
        <v>44673</v>
      </c>
      <c r="AK909" t="s">
        <v>11949</v>
      </c>
      <c r="AL909" s="2">
        <v>0</v>
      </c>
      <c r="AM909" s="2">
        <v>0</v>
      </c>
      <c r="AN909" s="2">
        <v>0</v>
      </c>
      <c r="AO909" t="s">
        <v>44</v>
      </c>
      <c r="AP909" t="s">
        <v>12742</v>
      </c>
      <c r="AQ909" t="s">
        <v>12739</v>
      </c>
    </row>
    <row r="910" spans="1:43" x14ac:dyDescent="0.2">
      <c r="A910" t="s">
        <v>11946</v>
      </c>
      <c r="B910" t="s">
        <v>11038</v>
      </c>
      <c r="C910" t="s">
        <v>11870</v>
      </c>
      <c r="D910" t="s">
        <v>11056</v>
      </c>
      <c r="E910" t="s">
        <v>11057</v>
      </c>
      <c r="F910" t="s">
        <v>11056</v>
      </c>
      <c r="G910" s="1">
        <v>731938</v>
      </c>
      <c r="H910" s="2">
        <v>731763.19999999995</v>
      </c>
      <c r="I910" s="2">
        <v>731938</v>
      </c>
      <c r="J910" s="2">
        <v>18866.43</v>
      </c>
      <c r="K910" s="2">
        <v>0</v>
      </c>
      <c r="L910" s="2">
        <v>750804.43</v>
      </c>
      <c r="M910" s="3"/>
      <c r="N910" s="4">
        <v>1.70816E-3</v>
      </c>
      <c r="O910" s="5">
        <v>44692</v>
      </c>
      <c r="P910" s="5">
        <v>44692</v>
      </c>
      <c r="Q910" s="1">
        <v>13.067</v>
      </c>
      <c r="R910" s="2"/>
      <c r="S910" s="6"/>
      <c r="T910" t="s">
        <v>111</v>
      </c>
      <c r="U910" t="s">
        <v>11040</v>
      </c>
      <c r="V910" t="s">
        <v>115</v>
      </c>
      <c r="W910" t="s">
        <v>43</v>
      </c>
      <c r="X910" t="s">
        <v>44</v>
      </c>
      <c r="Y910" t="s">
        <v>44</v>
      </c>
      <c r="Z910" t="s">
        <v>44</v>
      </c>
      <c r="AA910" t="s">
        <v>10979</v>
      </c>
      <c r="AB910" t="s">
        <v>44</v>
      </c>
      <c r="AC910" s="4"/>
      <c r="AD910" s="4"/>
      <c r="AE910" s="2">
        <v>0</v>
      </c>
      <c r="AF910" s="4">
        <v>0</v>
      </c>
      <c r="AG910" s="2">
        <v>0.59</v>
      </c>
      <c r="AH910" s="2">
        <v>750804.43</v>
      </c>
      <c r="AI910" s="2">
        <v>0</v>
      </c>
      <c r="AJ910" s="5">
        <v>44673</v>
      </c>
      <c r="AK910" t="s">
        <v>11949</v>
      </c>
      <c r="AL910" s="2">
        <v>0</v>
      </c>
      <c r="AM910" s="2">
        <v>13.07</v>
      </c>
      <c r="AN910" s="2">
        <v>0</v>
      </c>
      <c r="AO910" t="s">
        <v>10980</v>
      </c>
      <c r="AP910" t="s">
        <v>11058</v>
      </c>
      <c r="AQ910" t="s">
        <v>11057</v>
      </c>
    </row>
    <row r="911" spans="1:43" x14ac:dyDescent="0.2">
      <c r="A911" t="s">
        <v>11946</v>
      </c>
      <c r="B911" t="s">
        <v>11160</v>
      </c>
      <c r="C911" t="s">
        <v>11161</v>
      </c>
      <c r="D911" t="s">
        <v>11162</v>
      </c>
      <c r="E911" t="s">
        <v>11163</v>
      </c>
      <c r="F911" t="s">
        <v>11162</v>
      </c>
      <c r="G911" s="1">
        <v>5376</v>
      </c>
      <c r="H911" s="2">
        <v>4147013.43</v>
      </c>
      <c r="I911" s="2">
        <v>4838400</v>
      </c>
      <c r="J911" s="2">
        <v>0</v>
      </c>
      <c r="K911" s="2">
        <v>134083.32999999999</v>
      </c>
      <c r="L911" s="2">
        <v>4972483.33</v>
      </c>
      <c r="M911" s="3">
        <v>90000</v>
      </c>
      <c r="N911" s="4">
        <v>1.1312930000000001E-2</v>
      </c>
      <c r="O911" s="5" t="s">
        <v>44</v>
      </c>
      <c r="P911" s="5" t="s">
        <v>44</v>
      </c>
      <c r="Q911" s="1"/>
      <c r="R911" s="2"/>
      <c r="S911" s="6"/>
      <c r="T911" t="s">
        <v>10902</v>
      </c>
      <c r="U911" t="s">
        <v>10902</v>
      </c>
      <c r="V911" t="s">
        <v>11164</v>
      </c>
      <c r="W911" t="s">
        <v>43</v>
      </c>
      <c r="X911" t="s">
        <v>44</v>
      </c>
      <c r="Y911" t="s">
        <v>44</v>
      </c>
      <c r="Z911" t="s">
        <v>44</v>
      </c>
      <c r="AA911" t="s">
        <v>10979</v>
      </c>
      <c r="AB911" t="s">
        <v>44</v>
      </c>
      <c r="AC911" s="4"/>
      <c r="AD911" s="4"/>
      <c r="AE911" s="2">
        <v>0</v>
      </c>
      <c r="AF911" s="4">
        <v>0</v>
      </c>
      <c r="AG911" s="2">
        <v>3.88</v>
      </c>
      <c r="AH911" s="2">
        <v>4972483.33</v>
      </c>
      <c r="AI911" s="2">
        <v>0.01</v>
      </c>
      <c r="AJ911" s="5">
        <v>44673</v>
      </c>
      <c r="AK911" t="s">
        <v>11949</v>
      </c>
      <c r="AL911" s="2">
        <v>0</v>
      </c>
      <c r="AM911" s="2">
        <v>0</v>
      </c>
      <c r="AN911" s="2">
        <v>0</v>
      </c>
      <c r="AO911" t="s">
        <v>11165</v>
      </c>
      <c r="AP911" t="s">
        <v>11166</v>
      </c>
      <c r="AQ911" t="s">
        <v>11163</v>
      </c>
    </row>
    <row r="912" spans="1:43" x14ac:dyDescent="0.2">
      <c r="A912" t="s">
        <v>11946</v>
      </c>
      <c r="B912" t="s">
        <v>11160</v>
      </c>
      <c r="C912" t="s">
        <v>11161</v>
      </c>
      <c r="D912" t="s">
        <v>11167</v>
      </c>
      <c r="E912" t="s">
        <v>11168</v>
      </c>
      <c r="F912" t="s">
        <v>11167</v>
      </c>
      <c r="G912" s="1">
        <v>38252</v>
      </c>
      <c r="H912" s="2">
        <v>3530012.57</v>
      </c>
      <c r="I912" s="2">
        <v>3697055.8</v>
      </c>
      <c r="J912" s="2">
        <v>0</v>
      </c>
      <c r="K912" s="2">
        <v>0</v>
      </c>
      <c r="L912" s="2">
        <v>3697055.8</v>
      </c>
      <c r="M912" s="3">
        <v>9665</v>
      </c>
      <c r="N912" s="4">
        <v>8.4112000000000006E-3</v>
      </c>
      <c r="O912" s="5" t="s">
        <v>44</v>
      </c>
      <c r="P912" s="5" t="s">
        <v>44</v>
      </c>
      <c r="Q912" s="1"/>
      <c r="R912" s="2"/>
      <c r="S912" s="6"/>
      <c r="T912" t="s">
        <v>10902</v>
      </c>
      <c r="U912" t="s">
        <v>10902</v>
      </c>
      <c r="V912" t="s">
        <v>11164</v>
      </c>
      <c r="W912" t="s">
        <v>43</v>
      </c>
      <c r="X912" t="s">
        <v>11164</v>
      </c>
      <c r="Y912" t="s">
        <v>44</v>
      </c>
      <c r="Z912" t="s">
        <v>44</v>
      </c>
      <c r="AA912" t="s">
        <v>44</v>
      </c>
      <c r="AB912" t="s">
        <v>44</v>
      </c>
      <c r="AC912" s="4"/>
      <c r="AD912" s="4"/>
      <c r="AE912" s="2">
        <v>0</v>
      </c>
      <c r="AF912" s="4">
        <v>0</v>
      </c>
      <c r="AG912" s="2">
        <v>2.89</v>
      </c>
      <c r="AH912" s="2">
        <v>3697055.8</v>
      </c>
      <c r="AI912" s="2">
        <v>0.01</v>
      </c>
      <c r="AJ912" s="5">
        <v>44673</v>
      </c>
      <c r="AK912" t="s">
        <v>11949</v>
      </c>
      <c r="AL912" s="2">
        <v>0</v>
      </c>
      <c r="AM912" s="2">
        <v>0</v>
      </c>
      <c r="AN912" s="2">
        <v>0</v>
      </c>
      <c r="AO912" t="s">
        <v>44</v>
      </c>
      <c r="AP912" t="s">
        <v>11169</v>
      </c>
      <c r="AQ912" t="s">
        <v>11168</v>
      </c>
    </row>
    <row r="913" spans="1:43" x14ac:dyDescent="0.2">
      <c r="A913" t="s">
        <v>11946</v>
      </c>
      <c r="B913" t="s">
        <v>11160</v>
      </c>
      <c r="C913" t="s">
        <v>11161</v>
      </c>
      <c r="D913" t="s">
        <v>11170</v>
      </c>
      <c r="E913" t="s">
        <v>11171</v>
      </c>
      <c r="F913" t="s">
        <v>11170</v>
      </c>
      <c r="G913" s="1">
        <v>28289</v>
      </c>
      <c r="H913" s="2">
        <v>2311819.5499999998</v>
      </c>
      <c r="I913" s="2">
        <v>2725362.26</v>
      </c>
      <c r="J913" s="2">
        <v>0</v>
      </c>
      <c r="K913" s="2">
        <v>0</v>
      </c>
      <c r="L913" s="2">
        <v>2725362.26</v>
      </c>
      <c r="M913" s="3">
        <v>9634</v>
      </c>
      <c r="N913" s="4">
        <v>6.2004900000000003E-3</v>
      </c>
      <c r="O913" s="5" t="s">
        <v>44</v>
      </c>
      <c r="P913" s="5" t="s">
        <v>44</v>
      </c>
      <c r="Q913" s="1"/>
      <c r="R913" s="2"/>
      <c r="S913" s="6"/>
      <c r="T913" t="s">
        <v>10902</v>
      </c>
      <c r="U913" t="s">
        <v>10902</v>
      </c>
      <c r="V913" t="s">
        <v>11164</v>
      </c>
      <c r="W913" t="s">
        <v>43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s="4"/>
      <c r="AD913" s="4"/>
      <c r="AE913" s="2">
        <v>0</v>
      </c>
      <c r="AF913" s="4">
        <v>0</v>
      </c>
      <c r="AG913" s="2">
        <v>2.13</v>
      </c>
      <c r="AH913" s="2">
        <v>2725362.26</v>
      </c>
      <c r="AI913" s="2">
        <v>0.01</v>
      </c>
      <c r="AJ913" s="5">
        <v>44673</v>
      </c>
      <c r="AK913" t="s">
        <v>11949</v>
      </c>
      <c r="AL913" s="2">
        <v>0</v>
      </c>
      <c r="AM913" s="2">
        <v>0</v>
      </c>
      <c r="AN913" s="2">
        <v>0</v>
      </c>
      <c r="AO913" t="s">
        <v>44</v>
      </c>
      <c r="AP913" t="s">
        <v>11172</v>
      </c>
      <c r="AQ913" t="s">
        <v>11171</v>
      </c>
    </row>
    <row r="914" spans="1:43" x14ac:dyDescent="0.2">
      <c r="A914" t="s">
        <v>11946</v>
      </c>
      <c r="B914" t="s">
        <v>11160</v>
      </c>
      <c r="C914" t="s">
        <v>11161</v>
      </c>
      <c r="D914" t="s">
        <v>11173</v>
      </c>
      <c r="E914" t="s">
        <v>11174</v>
      </c>
      <c r="F914" t="s">
        <v>11173</v>
      </c>
      <c r="G914" s="1">
        <v>9241</v>
      </c>
      <c r="H914" s="2">
        <v>747855.73</v>
      </c>
      <c r="I914" s="2">
        <v>794726</v>
      </c>
      <c r="J914" s="2">
        <v>0</v>
      </c>
      <c r="K914" s="2">
        <v>0</v>
      </c>
      <c r="L914" s="2">
        <v>794726</v>
      </c>
      <c r="M914" s="3">
        <v>8600</v>
      </c>
      <c r="N914" s="4">
        <v>1.80809E-3</v>
      </c>
      <c r="O914" s="5" t="s">
        <v>44</v>
      </c>
      <c r="P914" s="5" t="s">
        <v>44</v>
      </c>
      <c r="Q914" s="1"/>
      <c r="R914" s="2"/>
      <c r="S914" s="6"/>
      <c r="T914" t="s">
        <v>10902</v>
      </c>
      <c r="U914" t="s">
        <v>10902</v>
      </c>
      <c r="V914" t="s">
        <v>11164</v>
      </c>
      <c r="W914" t="s">
        <v>43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s="4"/>
      <c r="AD914" s="4"/>
      <c r="AE914" s="2">
        <v>0</v>
      </c>
      <c r="AF914" s="4">
        <v>0</v>
      </c>
      <c r="AG914" s="2">
        <v>0.62</v>
      </c>
      <c r="AH914" s="2">
        <v>794726</v>
      </c>
      <c r="AI914" s="2">
        <v>0</v>
      </c>
      <c r="AJ914" s="5">
        <v>44673</v>
      </c>
      <c r="AK914" t="s">
        <v>11949</v>
      </c>
      <c r="AL914" s="2">
        <v>0</v>
      </c>
      <c r="AM914" s="2">
        <v>0</v>
      </c>
      <c r="AN914" s="2">
        <v>0</v>
      </c>
      <c r="AO914" t="s">
        <v>44</v>
      </c>
      <c r="AP914" t="s">
        <v>11175</v>
      </c>
      <c r="AQ914" t="s">
        <v>11174</v>
      </c>
    </row>
    <row r="915" spans="1:43" x14ac:dyDescent="0.2">
      <c r="A915" t="s">
        <v>11946</v>
      </c>
      <c r="B915" t="s">
        <v>11160</v>
      </c>
      <c r="C915" t="s">
        <v>11161</v>
      </c>
      <c r="D915" t="s">
        <v>11176</v>
      </c>
      <c r="E915" t="s">
        <v>11177</v>
      </c>
      <c r="F915" t="s">
        <v>11178</v>
      </c>
      <c r="G915" s="1">
        <v>21385</v>
      </c>
      <c r="H915" s="2">
        <v>1757842.77</v>
      </c>
      <c r="I915" s="2">
        <v>1975760.15</v>
      </c>
      <c r="J915" s="2">
        <v>0</v>
      </c>
      <c r="K915" s="2">
        <v>0</v>
      </c>
      <c r="L915" s="2">
        <v>1975760.15</v>
      </c>
      <c r="M915" s="3">
        <v>9239</v>
      </c>
      <c r="N915" s="4">
        <v>4.4950700000000003E-3</v>
      </c>
      <c r="O915" s="5" t="s">
        <v>44</v>
      </c>
      <c r="P915" s="5" t="s">
        <v>44</v>
      </c>
      <c r="Q915" s="1"/>
      <c r="R915" s="2"/>
      <c r="S915" s="6"/>
      <c r="T915" t="s">
        <v>10902</v>
      </c>
      <c r="U915" t="s">
        <v>10902</v>
      </c>
      <c r="V915" t="s">
        <v>11164</v>
      </c>
      <c r="W915" t="s">
        <v>43</v>
      </c>
      <c r="X915" t="s">
        <v>44</v>
      </c>
      <c r="Y915" t="s">
        <v>44</v>
      </c>
      <c r="Z915" t="s">
        <v>44</v>
      </c>
      <c r="AA915" t="s">
        <v>10979</v>
      </c>
      <c r="AB915" t="s">
        <v>44</v>
      </c>
      <c r="AC915" s="4"/>
      <c r="AD915" s="4"/>
      <c r="AE915" s="2">
        <v>0</v>
      </c>
      <c r="AF915" s="4">
        <v>0</v>
      </c>
      <c r="AG915" s="2">
        <v>1.54</v>
      </c>
      <c r="AH915" s="2">
        <v>1975760.15</v>
      </c>
      <c r="AI915" s="2">
        <v>0</v>
      </c>
      <c r="AJ915" s="5">
        <v>44673</v>
      </c>
      <c r="AK915" t="s">
        <v>11949</v>
      </c>
      <c r="AL915" s="2">
        <v>0</v>
      </c>
      <c r="AM915" s="2">
        <v>0</v>
      </c>
      <c r="AN915" s="2">
        <v>0</v>
      </c>
      <c r="AO915" t="s">
        <v>11179</v>
      </c>
      <c r="AP915" t="s">
        <v>11180</v>
      </c>
      <c r="AQ915" t="s">
        <v>11177</v>
      </c>
    </row>
    <row r="916" spans="1:43" x14ac:dyDescent="0.2">
      <c r="A916" t="s">
        <v>11946</v>
      </c>
      <c r="B916" t="s">
        <v>10951</v>
      </c>
      <c r="C916" t="s">
        <v>10952</v>
      </c>
      <c r="D916" t="s">
        <v>11028</v>
      </c>
      <c r="E916" t="s">
        <v>11029</v>
      </c>
      <c r="F916" t="s">
        <v>11028</v>
      </c>
      <c r="G916" s="1">
        <v>5138933.9741000002</v>
      </c>
      <c r="H916" s="2">
        <v>5134980.7</v>
      </c>
      <c r="I916" s="2">
        <v>5145614.59</v>
      </c>
      <c r="J916" s="2">
        <v>0</v>
      </c>
      <c r="K916" s="2">
        <v>0</v>
      </c>
      <c r="L916" s="2">
        <v>5145614.59</v>
      </c>
      <c r="M916" s="3">
        <v>1.0013000000000001</v>
      </c>
      <c r="N916" s="4">
        <v>1.170683E-2</v>
      </c>
      <c r="O916" s="5" t="s">
        <v>44</v>
      </c>
      <c r="P916" s="5" t="s">
        <v>44</v>
      </c>
      <c r="Q916" s="1"/>
      <c r="R916" s="2"/>
      <c r="S916" s="6"/>
      <c r="T916" t="s">
        <v>10902</v>
      </c>
      <c r="U916" t="s">
        <v>10953</v>
      </c>
      <c r="V916" t="s">
        <v>10954</v>
      </c>
      <c r="W916" t="s">
        <v>43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s="4"/>
      <c r="AD916" s="4"/>
      <c r="AE916" s="2">
        <v>0</v>
      </c>
      <c r="AF916" s="4">
        <v>0</v>
      </c>
      <c r="AG916" s="2">
        <v>4.0199999999999996</v>
      </c>
      <c r="AH916" s="2">
        <v>5145614.59</v>
      </c>
      <c r="AI916" s="2">
        <v>0.01</v>
      </c>
      <c r="AJ916" s="5">
        <v>44673</v>
      </c>
      <c r="AK916" t="s">
        <v>11949</v>
      </c>
      <c r="AL916" s="2">
        <v>0</v>
      </c>
      <c r="AM916" s="2">
        <v>0</v>
      </c>
      <c r="AN916" s="2">
        <v>0</v>
      </c>
      <c r="AO916" t="s">
        <v>44</v>
      </c>
      <c r="AP916" t="s">
        <v>44</v>
      </c>
      <c r="AQ916" t="s">
        <v>11029</v>
      </c>
    </row>
    <row r="917" spans="1:43" x14ac:dyDescent="0.2">
      <c r="A917" t="s">
        <v>11946</v>
      </c>
      <c r="B917" t="s">
        <v>11030</v>
      </c>
      <c r="C917" t="s">
        <v>11030</v>
      </c>
      <c r="D917" t="s">
        <v>12724</v>
      </c>
      <c r="E917" t="s">
        <v>12717</v>
      </c>
      <c r="F917" t="s">
        <v>12724</v>
      </c>
      <c r="G917" s="1">
        <v>-40</v>
      </c>
      <c r="H917" s="2"/>
      <c r="I917" s="2">
        <v>0</v>
      </c>
      <c r="J917" s="2"/>
      <c r="K917" s="2"/>
      <c r="L917" s="2">
        <v>0</v>
      </c>
      <c r="M917" s="3"/>
      <c r="N917" s="4">
        <v>0</v>
      </c>
      <c r="O917" s="5" t="s">
        <v>44</v>
      </c>
      <c r="P917" s="5" t="s">
        <v>44</v>
      </c>
      <c r="Q917" s="1"/>
      <c r="R917" s="2"/>
      <c r="S917" s="6"/>
      <c r="T917" t="s">
        <v>11031</v>
      </c>
      <c r="U917" t="s">
        <v>11032</v>
      </c>
      <c r="V917" t="s">
        <v>45</v>
      </c>
      <c r="W917" t="s">
        <v>43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s="4"/>
      <c r="AD917" s="4"/>
      <c r="AE917" s="2">
        <v>0</v>
      </c>
      <c r="AF917" s="4">
        <v>0</v>
      </c>
      <c r="AG917" s="2">
        <v>0</v>
      </c>
      <c r="AH917" s="2">
        <v>26377200</v>
      </c>
      <c r="AI917" s="2">
        <v>0.06</v>
      </c>
      <c r="AJ917" s="5">
        <v>44673</v>
      </c>
      <c r="AK917" t="s">
        <v>11949</v>
      </c>
      <c r="AL917" s="2">
        <v>0</v>
      </c>
      <c r="AM917" s="2">
        <v>0</v>
      </c>
      <c r="AN917" s="2">
        <v>0</v>
      </c>
      <c r="AO917" t="s">
        <v>44</v>
      </c>
      <c r="AP917" t="s">
        <v>44</v>
      </c>
      <c r="AQ917" t="s">
        <v>11182</v>
      </c>
    </row>
    <row r="918" spans="1:43" x14ac:dyDescent="0.2">
      <c r="A918" t="s">
        <v>11946</v>
      </c>
      <c r="B918" t="s">
        <v>11030</v>
      </c>
      <c r="C918" t="s">
        <v>11030</v>
      </c>
      <c r="D918" t="s">
        <v>12725</v>
      </c>
      <c r="E918" t="s">
        <v>12719</v>
      </c>
      <c r="F918" t="s">
        <v>12725</v>
      </c>
      <c r="G918" s="1">
        <v>73</v>
      </c>
      <c r="H918" s="2"/>
      <c r="I918" s="2">
        <v>0</v>
      </c>
      <c r="J918" s="2"/>
      <c r="K918" s="2"/>
      <c r="L918" s="2">
        <v>0</v>
      </c>
      <c r="M918" s="3"/>
      <c r="N918" s="4">
        <v>0</v>
      </c>
      <c r="O918" s="5" t="s">
        <v>44</v>
      </c>
      <c r="P918" s="5" t="s">
        <v>44</v>
      </c>
      <c r="Q918" s="1"/>
      <c r="R918" s="2"/>
      <c r="S918" s="6"/>
      <c r="T918" t="s">
        <v>11031</v>
      </c>
      <c r="U918" t="s">
        <v>11183</v>
      </c>
      <c r="V918" t="s">
        <v>45</v>
      </c>
      <c r="W918" t="s">
        <v>43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s="4"/>
      <c r="AD918" s="4"/>
      <c r="AE918" s="2">
        <v>0</v>
      </c>
      <c r="AF918" s="4">
        <v>0</v>
      </c>
      <c r="AG918" s="2">
        <v>0</v>
      </c>
      <c r="AH918" s="2">
        <v>-17891325.809999999</v>
      </c>
      <c r="AI918" s="2">
        <v>-0.04</v>
      </c>
      <c r="AJ918" s="5">
        <v>44673</v>
      </c>
      <c r="AK918" t="s">
        <v>11949</v>
      </c>
      <c r="AL918" s="2">
        <v>0</v>
      </c>
      <c r="AM918" s="2">
        <v>0</v>
      </c>
      <c r="AN918" s="2">
        <v>0</v>
      </c>
      <c r="AO918" t="s">
        <v>44</v>
      </c>
      <c r="AP918" t="s">
        <v>44</v>
      </c>
      <c r="AQ918" t="s">
        <v>11182</v>
      </c>
    </row>
    <row r="919" spans="1:43" x14ac:dyDescent="0.2">
      <c r="A919" t="s">
        <v>11946</v>
      </c>
      <c r="B919" t="s">
        <v>11030</v>
      </c>
      <c r="C919" t="s">
        <v>11030</v>
      </c>
      <c r="D919" t="s">
        <v>11181</v>
      </c>
      <c r="E919" t="s">
        <v>11151</v>
      </c>
      <c r="F919" t="s">
        <v>11181</v>
      </c>
      <c r="G919" s="1">
        <v>62</v>
      </c>
      <c r="H919" s="2"/>
      <c r="I919" s="2">
        <v>0</v>
      </c>
      <c r="J919" s="2"/>
      <c r="K919" s="2"/>
      <c r="L919" s="2">
        <v>0</v>
      </c>
      <c r="M919" s="3"/>
      <c r="N919" s="4">
        <v>0</v>
      </c>
      <c r="O919" s="5" t="s">
        <v>44</v>
      </c>
      <c r="P919" s="5" t="s">
        <v>44</v>
      </c>
      <c r="Q919" s="1"/>
      <c r="R919" s="2"/>
      <c r="S919" s="6"/>
      <c r="T919" t="s">
        <v>11031</v>
      </c>
      <c r="U919" t="s">
        <v>11032</v>
      </c>
      <c r="V919" t="s">
        <v>45</v>
      </c>
      <c r="W919" t="s">
        <v>43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s="4"/>
      <c r="AD919" s="4"/>
      <c r="AE919" s="2">
        <v>0</v>
      </c>
      <c r="AF919" s="4">
        <v>0</v>
      </c>
      <c r="AG919" s="2">
        <v>0</v>
      </c>
      <c r="AH919" s="2">
        <v>-40736480</v>
      </c>
      <c r="AI919" s="2">
        <v>-0.09</v>
      </c>
      <c r="AJ919" s="5">
        <v>44673</v>
      </c>
      <c r="AK919" t="s">
        <v>11949</v>
      </c>
      <c r="AL919" s="2">
        <v>0</v>
      </c>
      <c r="AM919" s="2">
        <v>0</v>
      </c>
      <c r="AN919" s="2">
        <v>0</v>
      </c>
      <c r="AO919" t="s">
        <v>44</v>
      </c>
      <c r="AP919" t="s">
        <v>44</v>
      </c>
      <c r="AQ919" t="s">
        <v>11182</v>
      </c>
    </row>
    <row r="920" spans="1:43" x14ac:dyDescent="0.2">
      <c r="A920" t="s">
        <v>11946</v>
      </c>
      <c r="B920" t="s">
        <v>11030</v>
      </c>
      <c r="C920" t="s">
        <v>11030</v>
      </c>
      <c r="D920" t="s">
        <v>13001</v>
      </c>
      <c r="E920" t="s">
        <v>12995</v>
      </c>
      <c r="F920" t="s">
        <v>13001</v>
      </c>
      <c r="G920" s="1">
        <v>-20</v>
      </c>
      <c r="H920" s="2"/>
      <c r="I920" s="2">
        <v>0</v>
      </c>
      <c r="J920" s="2"/>
      <c r="K920" s="2"/>
      <c r="L920" s="2">
        <v>0</v>
      </c>
      <c r="M920" s="3"/>
      <c r="N920" s="4">
        <v>0</v>
      </c>
      <c r="O920" s="5" t="s">
        <v>44</v>
      </c>
      <c r="P920" s="5" t="s">
        <v>44</v>
      </c>
      <c r="Q920" s="1"/>
      <c r="R920" s="2"/>
      <c r="S920" s="6"/>
      <c r="T920" t="s">
        <v>11031</v>
      </c>
      <c r="U920" t="s">
        <v>11183</v>
      </c>
      <c r="V920" t="s">
        <v>45</v>
      </c>
      <c r="W920" t="s">
        <v>43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s="4"/>
      <c r="AD920" s="4"/>
      <c r="AE920" s="2">
        <v>0</v>
      </c>
      <c r="AF920" s="4">
        <v>0</v>
      </c>
      <c r="AG920" s="2">
        <v>0</v>
      </c>
      <c r="AH920" s="2">
        <v>-3976561.19</v>
      </c>
      <c r="AI920" s="2">
        <v>-0.01</v>
      </c>
      <c r="AJ920" s="5">
        <v>44673</v>
      </c>
      <c r="AK920" t="s">
        <v>11949</v>
      </c>
      <c r="AL920" s="2">
        <v>0</v>
      </c>
      <c r="AM920" s="2">
        <v>0</v>
      </c>
      <c r="AN920" s="2">
        <v>0</v>
      </c>
      <c r="AO920" t="s">
        <v>44</v>
      </c>
      <c r="AP920" t="s">
        <v>44</v>
      </c>
      <c r="AQ920" t="s">
        <v>11182</v>
      </c>
    </row>
    <row r="921" spans="1:43" x14ac:dyDescent="0.2">
      <c r="A921" t="s">
        <v>11946</v>
      </c>
      <c r="B921" t="s">
        <v>11030</v>
      </c>
      <c r="C921" t="s">
        <v>11030</v>
      </c>
      <c r="D921" t="s">
        <v>11184</v>
      </c>
      <c r="E921" t="s">
        <v>11155</v>
      </c>
      <c r="F921" t="s">
        <v>11184</v>
      </c>
      <c r="G921" s="1">
        <v>-40</v>
      </c>
      <c r="H921" s="2"/>
      <c r="I921" s="2">
        <v>0</v>
      </c>
      <c r="J921" s="2"/>
      <c r="K921" s="2"/>
      <c r="L921" s="2">
        <v>0</v>
      </c>
      <c r="M921" s="3"/>
      <c r="N921" s="4">
        <v>0</v>
      </c>
      <c r="O921" s="5" t="s">
        <v>44</v>
      </c>
      <c r="P921" s="5" t="s">
        <v>44</v>
      </c>
      <c r="Q921" s="1"/>
      <c r="R921" s="2"/>
      <c r="S921" s="6"/>
      <c r="T921" t="s">
        <v>11031</v>
      </c>
      <c r="U921" t="s">
        <v>11183</v>
      </c>
      <c r="V921" t="s">
        <v>45</v>
      </c>
      <c r="W921" t="s">
        <v>43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s="4"/>
      <c r="AD921" s="4"/>
      <c r="AE921" s="2">
        <v>0</v>
      </c>
      <c r="AF921" s="4">
        <v>0</v>
      </c>
      <c r="AG921" s="2">
        <v>0</v>
      </c>
      <c r="AH921" s="2">
        <v>967523.74</v>
      </c>
      <c r="AI921" s="2">
        <v>0</v>
      </c>
      <c r="AJ921" s="5">
        <v>44673</v>
      </c>
      <c r="AK921" t="s">
        <v>11949</v>
      </c>
      <c r="AL921" s="2">
        <v>0</v>
      </c>
      <c r="AM921" s="2">
        <v>0</v>
      </c>
      <c r="AN921" s="2">
        <v>0</v>
      </c>
      <c r="AO921" t="s">
        <v>44</v>
      </c>
      <c r="AP921" t="s">
        <v>44</v>
      </c>
      <c r="AQ921" t="s">
        <v>11182</v>
      </c>
    </row>
    <row r="922" spans="1:43" x14ac:dyDescent="0.2">
      <c r="A922" t="s">
        <v>11946</v>
      </c>
      <c r="B922" t="s">
        <v>11030</v>
      </c>
      <c r="C922" t="s">
        <v>11030</v>
      </c>
      <c r="D922" t="s">
        <v>11185</v>
      </c>
      <c r="E922" t="s">
        <v>11157</v>
      </c>
      <c r="F922" t="s">
        <v>11185</v>
      </c>
      <c r="G922" s="1">
        <v>-15</v>
      </c>
      <c r="H922" s="2"/>
      <c r="I922" s="2">
        <v>0</v>
      </c>
      <c r="J922" s="2"/>
      <c r="K922" s="2"/>
      <c r="L922" s="2">
        <v>0</v>
      </c>
      <c r="M922" s="3"/>
      <c r="N922" s="4">
        <v>0</v>
      </c>
      <c r="O922" s="5" t="s">
        <v>44</v>
      </c>
      <c r="P922" s="5" t="s">
        <v>44</v>
      </c>
      <c r="Q922" s="1"/>
      <c r="R922" s="2"/>
      <c r="S922" s="6"/>
      <c r="T922" t="s">
        <v>11031</v>
      </c>
      <c r="U922" t="s">
        <v>11032</v>
      </c>
      <c r="V922" t="s">
        <v>45</v>
      </c>
      <c r="W922" t="s">
        <v>43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s="4"/>
      <c r="AD922" s="4"/>
      <c r="AE922" s="2">
        <v>0</v>
      </c>
      <c r="AF922" s="4">
        <v>0</v>
      </c>
      <c r="AG922" s="2">
        <v>0</v>
      </c>
      <c r="AH922" s="2">
        <v>9861150</v>
      </c>
      <c r="AI922" s="2">
        <v>0.02</v>
      </c>
      <c r="AJ922" s="5">
        <v>44673</v>
      </c>
      <c r="AK922" t="s">
        <v>11949</v>
      </c>
      <c r="AL922" s="2">
        <v>0</v>
      </c>
      <c r="AM922" s="2">
        <v>0</v>
      </c>
      <c r="AN922" s="2">
        <v>0</v>
      </c>
      <c r="AO922" t="s">
        <v>44</v>
      </c>
      <c r="AP922" t="s">
        <v>44</v>
      </c>
      <c r="AQ922" t="s">
        <v>11182</v>
      </c>
    </row>
    <row r="923" spans="1:43" x14ac:dyDescent="0.2">
      <c r="A923" t="s">
        <v>11946</v>
      </c>
      <c r="B923" t="s">
        <v>11030</v>
      </c>
      <c r="C923" t="s">
        <v>11030</v>
      </c>
      <c r="D923" t="s">
        <v>12743</v>
      </c>
      <c r="E923" t="s">
        <v>12738</v>
      </c>
      <c r="F923" t="s">
        <v>12743</v>
      </c>
      <c r="G923" s="1">
        <v>42</v>
      </c>
      <c r="H923" s="2"/>
      <c r="I923" s="2">
        <v>0</v>
      </c>
      <c r="J923" s="2"/>
      <c r="K923" s="2"/>
      <c r="L923" s="2">
        <v>0</v>
      </c>
      <c r="M923" s="3"/>
      <c r="N923" s="4">
        <v>0</v>
      </c>
      <c r="O923" s="5" t="s">
        <v>44</v>
      </c>
      <c r="P923" s="5" t="s">
        <v>44</v>
      </c>
      <c r="Q923" s="1"/>
      <c r="R923" s="2"/>
      <c r="S923" s="6"/>
      <c r="T923" t="s">
        <v>11031</v>
      </c>
      <c r="U923" t="s">
        <v>11183</v>
      </c>
      <c r="V923" t="s">
        <v>45</v>
      </c>
      <c r="W923" t="s">
        <v>43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s="4"/>
      <c r="AD923" s="4"/>
      <c r="AE923" s="2">
        <v>0</v>
      </c>
      <c r="AF923" s="4">
        <v>0</v>
      </c>
      <c r="AG923" s="2">
        <v>0</v>
      </c>
      <c r="AH923" s="2">
        <v>-9956511.3300000001</v>
      </c>
      <c r="AI923" s="2">
        <v>-0.02</v>
      </c>
      <c r="AJ923" s="5">
        <v>44673</v>
      </c>
      <c r="AK923" t="s">
        <v>11949</v>
      </c>
      <c r="AL923" s="2">
        <v>0</v>
      </c>
      <c r="AM923" s="2">
        <v>0</v>
      </c>
      <c r="AN923" s="2">
        <v>0</v>
      </c>
      <c r="AO923" t="s">
        <v>44</v>
      </c>
      <c r="AP923" t="s">
        <v>44</v>
      </c>
      <c r="AQ923" t="s">
        <v>11182</v>
      </c>
    </row>
    <row r="924" spans="1:43" x14ac:dyDescent="0.2">
      <c r="A924" t="s">
        <v>11946</v>
      </c>
      <c r="B924" t="s">
        <v>11030</v>
      </c>
      <c r="C924" t="s">
        <v>11030</v>
      </c>
      <c r="D924" t="s">
        <v>12726</v>
      </c>
      <c r="E924" t="s">
        <v>12722</v>
      </c>
      <c r="F924" t="s">
        <v>12726</v>
      </c>
      <c r="G924" s="1">
        <v>43</v>
      </c>
      <c r="H924" s="2"/>
      <c r="I924" s="2">
        <v>0</v>
      </c>
      <c r="J924" s="2"/>
      <c r="K924" s="2"/>
      <c r="L924" s="2">
        <v>0</v>
      </c>
      <c r="M924" s="3"/>
      <c r="N924" s="4">
        <v>0</v>
      </c>
      <c r="O924" s="5" t="s">
        <v>44</v>
      </c>
      <c r="P924" s="5" t="s">
        <v>44</v>
      </c>
      <c r="Q924" s="1"/>
      <c r="R924" s="2"/>
      <c r="S924" s="6"/>
      <c r="T924" t="s">
        <v>11031</v>
      </c>
      <c r="U924" t="s">
        <v>11183</v>
      </c>
      <c r="V924" t="s">
        <v>45</v>
      </c>
      <c r="W924" t="s">
        <v>43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s="4"/>
      <c r="AD924" s="4"/>
      <c r="AE924" s="2">
        <v>0</v>
      </c>
      <c r="AF924" s="4">
        <v>0</v>
      </c>
      <c r="AG924" s="2">
        <v>0</v>
      </c>
      <c r="AH924" s="2">
        <v>-8777328.4700000007</v>
      </c>
      <c r="AI924" s="2">
        <v>-0.02</v>
      </c>
      <c r="AJ924" s="5">
        <v>44673</v>
      </c>
      <c r="AK924" t="s">
        <v>11949</v>
      </c>
      <c r="AL924" s="2">
        <v>0</v>
      </c>
      <c r="AM924" s="2">
        <v>0</v>
      </c>
      <c r="AN924" s="2">
        <v>0</v>
      </c>
      <c r="AO924" t="s">
        <v>44</v>
      </c>
      <c r="AP924" t="s">
        <v>44</v>
      </c>
      <c r="AQ924" t="s">
        <v>11182</v>
      </c>
    </row>
    <row r="925" spans="1:43" x14ac:dyDescent="0.2">
      <c r="A925" t="s">
        <v>11946</v>
      </c>
      <c r="B925" t="s">
        <v>11030</v>
      </c>
      <c r="C925" t="s">
        <v>11030</v>
      </c>
      <c r="D925" t="s">
        <v>13002</v>
      </c>
      <c r="E925" t="s">
        <v>12996</v>
      </c>
      <c r="F925" t="s">
        <v>13002</v>
      </c>
      <c r="G925" s="1">
        <v>-38</v>
      </c>
      <c r="H925" s="2"/>
      <c r="I925" s="2">
        <v>0</v>
      </c>
      <c r="J925" s="2"/>
      <c r="K925" s="2"/>
      <c r="L925" s="2">
        <v>0</v>
      </c>
      <c r="M925" s="3"/>
      <c r="N925" s="4">
        <v>0</v>
      </c>
      <c r="O925" s="5" t="s">
        <v>44</v>
      </c>
      <c r="P925" s="5" t="s">
        <v>44</v>
      </c>
      <c r="Q925" s="1"/>
      <c r="R925" s="2"/>
      <c r="S925" s="6"/>
      <c r="T925" t="s">
        <v>11031</v>
      </c>
      <c r="U925" t="s">
        <v>11183</v>
      </c>
      <c r="V925" t="s">
        <v>45</v>
      </c>
      <c r="W925" t="s">
        <v>43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s="4"/>
      <c r="AD925" s="4"/>
      <c r="AE925" s="2">
        <v>0</v>
      </c>
      <c r="AF925" s="4">
        <v>0</v>
      </c>
      <c r="AG925" s="2">
        <v>0</v>
      </c>
      <c r="AH925" s="2">
        <v>3671130.91</v>
      </c>
      <c r="AI925" s="2">
        <v>0.01</v>
      </c>
      <c r="AJ925" s="5">
        <v>44673</v>
      </c>
      <c r="AK925" t="s">
        <v>11949</v>
      </c>
      <c r="AL925" s="2">
        <v>0</v>
      </c>
      <c r="AM925" s="2">
        <v>0</v>
      </c>
      <c r="AN925" s="2">
        <v>0</v>
      </c>
      <c r="AO925" t="s">
        <v>44</v>
      </c>
      <c r="AP925" t="s">
        <v>44</v>
      </c>
      <c r="AQ925" t="s">
        <v>11182</v>
      </c>
    </row>
    <row r="926" spans="1:43" x14ac:dyDescent="0.2">
      <c r="A926" t="s">
        <v>11946</v>
      </c>
      <c r="B926" t="s">
        <v>11030</v>
      </c>
      <c r="C926" t="s">
        <v>11030</v>
      </c>
      <c r="D926" t="s">
        <v>12744</v>
      </c>
      <c r="E926" t="s">
        <v>12739</v>
      </c>
      <c r="F926" t="s">
        <v>12744</v>
      </c>
      <c r="G926" s="1">
        <v>-38</v>
      </c>
      <c r="H926" s="2"/>
      <c r="I926" s="2">
        <v>0</v>
      </c>
      <c r="J926" s="2"/>
      <c r="K926" s="2"/>
      <c r="L926" s="2">
        <v>0</v>
      </c>
      <c r="M926" s="3"/>
      <c r="N926" s="4">
        <v>0</v>
      </c>
      <c r="O926" s="5" t="s">
        <v>44</v>
      </c>
      <c r="P926" s="5" t="s">
        <v>44</v>
      </c>
      <c r="Q926" s="1"/>
      <c r="R926" s="2"/>
      <c r="S926" s="6"/>
      <c r="T926" t="s">
        <v>11031</v>
      </c>
      <c r="U926" t="s">
        <v>11183</v>
      </c>
      <c r="V926" t="s">
        <v>45</v>
      </c>
      <c r="W926" t="s">
        <v>43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s="4"/>
      <c r="AD926" s="4"/>
      <c r="AE926" s="2">
        <v>0</v>
      </c>
      <c r="AF926" s="4">
        <v>0</v>
      </c>
      <c r="AG926" s="2">
        <v>0</v>
      </c>
      <c r="AH926" s="2">
        <v>1886967.26</v>
      </c>
      <c r="AI926" s="2">
        <v>0</v>
      </c>
      <c r="AJ926" s="5">
        <v>44673</v>
      </c>
      <c r="AK926" t="s">
        <v>11949</v>
      </c>
      <c r="AL926" s="2">
        <v>0</v>
      </c>
      <c r="AM926" s="2">
        <v>0</v>
      </c>
      <c r="AN926" s="2">
        <v>0</v>
      </c>
      <c r="AO926" t="s">
        <v>44</v>
      </c>
      <c r="AP926" t="s">
        <v>44</v>
      </c>
      <c r="AQ926" t="s">
        <v>11182</v>
      </c>
    </row>
    <row r="927" spans="1:43" x14ac:dyDescent="0.2">
      <c r="A927" t="s">
        <v>11952</v>
      </c>
      <c r="B927" t="s">
        <v>10900</v>
      </c>
      <c r="C927" t="s">
        <v>11049</v>
      </c>
      <c r="D927" t="s">
        <v>11947</v>
      </c>
      <c r="E927" t="s">
        <v>11948</v>
      </c>
      <c r="F927" t="s">
        <v>11947</v>
      </c>
      <c r="G927" s="1">
        <v>3200000</v>
      </c>
      <c r="H927" s="2">
        <v>3200000</v>
      </c>
      <c r="I927" s="2">
        <v>3199628.28</v>
      </c>
      <c r="J927" s="2">
        <v>38664.589999999997</v>
      </c>
      <c r="K927" s="2">
        <v>0</v>
      </c>
      <c r="L927" s="2">
        <v>3238292.87</v>
      </c>
      <c r="M927" s="3">
        <v>8.2316739999999999</v>
      </c>
      <c r="N927" s="4">
        <v>7.3674600000000002E-3</v>
      </c>
      <c r="O927" s="5">
        <v>44711</v>
      </c>
      <c r="P927" s="5">
        <v>44985</v>
      </c>
      <c r="Q927" s="1">
        <v>8.1669999999999998</v>
      </c>
      <c r="R927" s="2">
        <v>0.1</v>
      </c>
      <c r="S927" s="6">
        <v>6.9032934557999998E-2</v>
      </c>
      <c r="T927" t="s">
        <v>111</v>
      </c>
      <c r="U927" t="s">
        <v>111</v>
      </c>
      <c r="V927" t="s">
        <v>11189</v>
      </c>
      <c r="W927" t="s">
        <v>43</v>
      </c>
      <c r="X927" t="s">
        <v>11034</v>
      </c>
      <c r="Y927" t="s">
        <v>44</v>
      </c>
      <c r="Z927" t="s">
        <v>44</v>
      </c>
      <c r="AA927" t="s">
        <v>44</v>
      </c>
      <c r="AB927" t="s">
        <v>44</v>
      </c>
      <c r="AC927" s="4">
        <v>8.4010746600000008</v>
      </c>
      <c r="AD927" s="4">
        <v>8.0939562800000004</v>
      </c>
      <c r="AE927" s="2">
        <v>8.4</v>
      </c>
      <c r="AF927" s="4">
        <v>8.0939562800000004</v>
      </c>
      <c r="AG927" s="2">
        <v>1.65</v>
      </c>
      <c r="AH927" s="2">
        <v>3238292.87</v>
      </c>
      <c r="AI927" s="2">
        <v>0.01</v>
      </c>
      <c r="AJ927" s="5">
        <v>44673</v>
      </c>
      <c r="AK927" t="s">
        <v>11953</v>
      </c>
      <c r="AL927" s="2">
        <v>8.23</v>
      </c>
      <c r="AM927" s="2">
        <v>8.17</v>
      </c>
      <c r="AN927" s="2">
        <v>7.0000000000000007E-2</v>
      </c>
      <c r="AO927" t="s">
        <v>11950</v>
      </c>
      <c r="AP927" t="s">
        <v>11951</v>
      </c>
      <c r="AQ927" t="s">
        <v>11948</v>
      </c>
    </row>
    <row r="928" spans="1:43" x14ac:dyDescent="0.2">
      <c r="A928" t="s">
        <v>11952</v>
      </c>
      <c r="B928" t="s">
        <v>10900</v>
      </c>
      <c r="C928" t="s">
        <v>10943</v>
      </c>
      <c r="D928" t="s">
        <v>10977</v>
      </c>
      <c r="E928" t="s">
        <v>10978</v>
      </c>
      <c r="F928" t="s">
        <v>10977</v>
      </c>
      <c r="G928" s="1">
        <v>4205520</v>
      </c>
      <c r="H928" s="2">
        <v>4267197.38</v>
      </c>
      <c r="I928" s="2">
        <v>3952651.33</v>
      </c>
      <c r="J928" s="2">
        <v>193550.13</v>
      </c>
      <c r="K928" s="2">
        <v>0</v>
      </c>
      <c r="L928" s="2">
        <v>4146201.46</v>
      </c>
      <c r="M928" s="3">
        <v>11.88</v>
      </c>
      <c r="N928" s="4">
        <v>9.4330500000000001E-3</v>
      </c>
      <c r="O928" s="5">
        <v>44697</v>
      </c>
      <c r="P928" s="5">
        <v>46888</v>
      </c>
      <c r="Q928" s="1">
        <v>10.565</v>
      </c>
      <c r="R928" s="2">
        <v>4.7300000000000004</v>
      </c>
      <c r="S928" s="6">
        <v>4.4668326030000003</v>
      </c>
      <c r="T928" t="s">
        <v>111</v>
      </c>
      <c r="U928" t="s">
        <v>111</v>
      </c>
      <c r="V928" t="s">
        <v>10944</v>
      </c>
      <c r="W928" t="s">
        <v>43</v>
      </c>
      <c r="X928" t="s">
        <v>44</v>
      </c>
      <c r="Y928" t="s">
        <v>44</v>
      </c>
      <c r="Z928" t="s">
        <v>44</v>
      </c>
      <c r="AA928" t="s">
        <v>10979</v>
      </c>
      <c r="AB928" t="s">
        <v>44</v>
      </c>
      <c r="AC928" s="4">
        <v>12.232836000000001</v>
      </c>
      <c r="AD928" s="4">
        <v>11.596213730000001</v>
      </c>
      <c r="AE928" s="2">
        <v>12.23</v>
      </c>
      <c r="AF928" s="4">
        <v>11.596213730000001</v>
      </c>
      <c r="AG928" s="2">
        <v>2.11</v>
      </c>
      <c r="AH928" s="2">
        <v>4146201.46</v>
      </c>
      <c r="AI928" s="2">
        <v>0.01</v>
      </c>
      <c r="AJ928" s="5">
        <v>44673</v>
      </c>
      <c r="AK928" t="s">
        <v>11953</v>
      </c>
      <c r="AL928" s="2">
        <v>11.88</v>
      </c>
      <c r="AM928" s="2">
        <v>10.56</v>
      </c>
      <c r="AN928" s="2">
        <v>4.47</v>
      </c>
      <c r="AO928" t="s">
        <v>10980</v>
      </c>
      <c r="AP928" t="s">
        <v>10981</v>
      </c>
      <c r="AQ928" t="s">
        <v>10978</v>
      </c>
    </row>
    <row r="929" spans="1:43" x14ac:dyDescent="0.2">
      <c r="A929" t="s">
        <v>11952</v>
      </c>
      <c r="B929" t="s">
        <v>10900</v>
      </c>
      <c r="C929" t="s">
        <v>10943</v>
      </c>
      <c r="D929" t="s">
        <v>11135</v>
      </c>
      <c r="E929" t="s">
        <v>10946</v>
      </c>
      <c r="F929" t="s">
        <v>11135</v>
      </c>
      <c r="G929" s="1">
        <v>31000000</v>
      </c>
      <c r="H929" s="2">
        <v>34562021.170000002</v>
      </c>
      <c r="I929" s="2">
        <v>33679314.5</v>
      </c>
      <c r="J929" s="2">
        <v>1096890.4099999999</v>
      </c>
      <c r="K929" s="2">
        <v>0</v>
      </c>
      <c r="L929" s="2">
        <v>34776204.909999996</v>
      </c>
      <c r="M929" s="3">
        <v>8.2249999999999996</v>
      </c>
      <c r="N929" s="4">
        <v>7.9119610000000007E-2</v>
      </c>
      <c r="O929" s="5">
        <v>44733</v>
      </c>
      <c r="P929" s="5">
        <v>46377</v>
      </c>
      <c r="Q929" s="1">
        <v>10.5</v>
      </c>
      <c r="R929" s="2">
        <v>3.72</v>
      </c>
      <c r="S929" s="6">
        <v>3.572672968</v>
      </c>
      <c r="T929" t="s">
        <v>111</v>
      </c>
      <c r="U929" t="s">
        <v>111</v>
      </c>
      <c r="V929" t="s">
        <v>10944</v>
      </c>
      <c r="W929" t="s">
        <v>43</v>
      </c>
      <c r="X929" t="s">
        <v>10945</v>
      </c>
      <c r="Y929" t="s">
        <v>44</v>
      </c>
      <c r="Z929" t="s">
        <v>44</v>
      </c>
      <c r="AA929" t="s">
        <v>10913</v>
      </c>
      <c r="AB929" t="s">
        <v>44</v>
      </c>
      <c r="AC929" s="4">
        <v>8.3941265600000001</v>
      </c>
      <c r="AD929" s="4">
        <v>8.0875032299999994</v>
      </c>
      <c r="AE929" s="2">
        <v>8.39</v>
      </c>
      <c r="AF929" s="4">
        <v>8.0875032299999994</v>
      </c>
      <c r="AG929" s="2">
        <v>17.72</v>
      </c>
      <c r="AH929" s="2">
        <v>34776204.909999996</v>
      </c>
      <c r="AI929" s="2">
        <v>0.08</v>
      </c>
      <c r="AJ929" s="5">
        <v>44673</v>
      </c>
      <c r="AK929" t="s">
        <v>11953</v>
      </c>
      <c r="AL929" s="2">
        <v>8.23</v>
      </c>
      <c r="AM929" s="2">
        <v>10.5</v>
      </c>
      <c r="AN929" s="2">
        <v>3.57</v>
      </c>
      <c r="AO929" t="s">
        <v>10922</v>
      </c>
      <c r="AP929" t="s">
        <v>11136</v>
      </c>
      <c r="AQ929" t="s">
        <v>10946</v>
      </c>
    </row>
    <row r="930" spans="1:43" x14ac:dyDescent="0.2">
      <c r="A930" t="s">
        <v>11952</v>
      </c>
      <c r="B930" t="s">
        <v>10900</v>
      </c>
      <c r="C930" t="s">
        <v>11137</v>
      </c>
      <c r="D930" t="s">
        <v>11138</v>
      </c>
      <c r="E930" t="s">
        <v>11139</v>
      </c>
      <c r="F930" t="s">
        <v>11138</v>
      </c>
      <c r="G930" s="1">
        <v>3690000</v>
      </c>
      <c r="H930" s="2">
        <v>3614142.84</v>
      </c>
      <c r="I930" s="2">
        <v>3528344.05</v>
      </c>
      <c r="J930" s="2">
        <v>12738.08</v>
      </c>
      <c r="K930" s="2">
        <v>0</v>
      </c>
      <c r="L930" s="2">
        <v>3541082.13</v>
      </c>
      <c r="M930" s="3">
        <v>11.316000000000001</v>
      </c>
      <c r="N930" s="4">
        <v>8.0563400000000004E-3</v>
      </c>
      <c r="O930" s="5">
        <v>44844</v>
      </c>
      <c r="P930" s="5">
        <v>47765</v>
      </c>
      <c r="Q930" s="1">
        <v>10.5</v>
      </c>
      <c r="R930" s="2">
        <v>5.71</v>
      </c>
      <c r="S930" s="6">
        <v>5.4077134439999996</v>
      </c>
      <c r="T930" t="s">
        <v>111</v>
      </c>
      <c r="U930" t="s">
        <v>111</v>
      </c>
      <c r="V930" t="s">
        <v>10944</v>
      </c>
      <c r="W930" t="s">
        <v>43</v>
      </c>
      <c r="X930" t="s">
        <v>44</v>
      </c>
      <c r="Y930" t="s">
        <v>44</v>
      </c>
      <c r="Z930" t="s">
        <v>44</v>
      </c>
      <c r="AA930" t="s">
        <v>10979</v>
      </c>
      <c r="AB930" t="s">
        <v>44</v>
      </c>
      <c r="AC930" s="4">
        <v>11.63612964</v>
      </c>
      <c r="AD930" s="4">
        <v>11.058095140000001</v>
      </c>
      <c r="AE930" s="2">
        <v>11.64</v>
      </c>
      <c r="AF930" s="4">
        <v>11.058095140000001</v>
      </c>
      <c r="AG930" s="2">
        <v>1.8</v>
      </c>
      <c r="AH930" s="2">
        <v>3541082.13</v>
      </c>
      <c r="AI930" s="2">
        <v>0.01</v>
      </c>
      <c r="AJ930" s="5">
        <v>44673</v>
      </c>
      <c r="AK930" t="s">
        <v>11953</v>
      </c>
      <c r="AL930" s="2">
        <v>11.32</v>
      </c>
      <c r="AM930" s="2">
        <v>10.5</v>
      </c>
      <c r="AN930" s="2">
        <v>5.41</v>
      </c>
      <c r="AO930" t="s">
        <v>10982</v>
      </c>
      <c r="AP930" t="s">
        <v>11140</v>
      </c>
      <c r="AQ930" t="s">
        <v>11139</v>
      </c>
    </row>
    <row r="931" spans="1:43" x14ac:dyDescent="0.2">
      <c r="A931" t="s">
        <v>11952</v>
      </c>
      <c r="B931" t="s">
        <v>10900</v>
      </c>
      <c r="C931" t="s">
        <v>10950</v>
      </c>
      <c r="D931" t="s">
        <v>11141</v>
      </c>
      <c r="E931" t="s">
        <v>11142</v>
      </c>
      <c r="F931" t="s">
        <v>11141</v>
      </c>
      <c r="G931" s="1">
        <v>3000000</v>
      </c>
      <c r="H931" s="2">
        <v>2415272.67</v>
      </c>
      <c r="I931" s="2">
        <v>2465959.2000000002</v>
      </c>
      <c r="J931" s="2">
        <v>39698.65</v>
      </c>
      <c r="K931" s="2">
        <v>0</v>
      </c>
      <c r="L931" s="2">
        <v>2505657.85</v>
      </c>
      <c r="M931" s="3">
        <v>10.805</v>
      </c>
      <c r="N931" s="4">
        <v>5.7006399999999999E-3</v>
      </c>
      <c r="O931" s="5">
        <v>44804</v>
      </c>
      <c r="P931" s="5">
        <v>54116</v>
      </c>
      <c r="Q931" s="1">
        <v>8.75</v>
      </c>
      <c r="R931" s="2">
        <v>9.2200000000000006</v>
      </c>
      <c r="S931" s="6">
        <v>8.7507641760000006</v>
      </c>
      <c r="T931" t="s">
        <v>111</v>
      </c>
      <c r="U931" t="s">
        <v>111</v>
      </c>
      <c r="V931" t="s">
        <v>10944</v>
      </c>
      <c r="W931" t="s">
        <v>43</v>
      </c>
      <c r="X931" t="s">
        <v>10945</v>
      </c>
      <c r="Y931" t="s">
        <v>44</v>
      </c>
      <c r="Z931" t="s">
        <v>44</v>
      </c>
      <c r="AA931" t="s">
        <v>10913</v>
      </c>
      <c r="AB931" t="s">
        <v>44</v>
      </c>
      <c r="AC931" s="4">
        <v>11.096870060000001</v>
      </c>
      <c r="AD931" s="4">
        <v>10.56950999</v>
      </c>
      <c r="AE931" s="2">
        <v>11.1</v>
      </c>
      <c r="AF931" s="4">
        <v>10.56950999</v>
      </c>
      <c r="AG931" s="2">
        <v>1.28</v>
      </c>
      <c r="AH931" s="2">
        <v>2505657.85</v>
      </c>
      <c r="AI931" s="2">
        <v>0.01</v>
      </c>
      <c r="AJ931" s="5">
        <v>44673</v>
      </c>
      <c r="AK931" t="s">
        <v>11953</v>
      </c>
      <c r="AL931" s="2">
        <v>10.8</v>
      </c>
      <c r="AM931" s="2">
        <v>8.75</v>
      </c>
      <c r="AN931" s="2">
        <v>8.75</v>
      </c>
      <c r="AO931" t="s">
        <v>10922</v>
      </c>
      <c r="AP931" t="s">
        <v>11143</v>
      </c>
      <c r="AQ931" t="s">
        <v>11142</v>
      </c>
    </row>
    <row r="932" spans="1:43" x14ac:dyDescent="0.2">
      <c r="A932" t="s">
        <v>11952</v>
      </c>
      <c r="B932" t="s">
        <v>10900</v>
      </c>
      <c r="C932" t="s">
        <v>10950</v>
      </c>
      <c r="D932" t="s">
        <v>10983</v>
      </c>
      <c r="E932" t="s">
        <v>10984</v>
      </c>
      <c r="F932" t="s">
        <v>10983</v>
      </c>
      <c r="G932" s="1">
        <v>2710000</v>
      </c>
      <c r="H932" s="2">
        <v>2264091.61</v>
      </c>
      <c r="I932" s="2">
        <v>2265919.08</v>
      </c>
      <c r="J932" s="2">
        <v>50911.53</v>
      </c>
      <c r="K932" s="2">
        <v>0</v>
      </c>
      <c r="L932" s="2">
        <v>2316830.61</v>
      </c>
      <c r="M932" s="3">
        <v>10.734999999999999</v>
      </c>
      <c r="N932" s="4">
        <v>5.2710400000000003E-3</v>
      </c>
      <c r="O932" s="5">
        <v>44774</v>
      </c>
      <c r="P932" s="5">
        <v>50071</v>
      </c>
      <c r="Q932" s="1">
        <v>8.5</v>
      </c>
      <c r="R932" s="2">
        <v>7.91</v>
      </c>
      <c r="S932" s="6">
        <v>7.5106016819999999</v>
      </c>
      <c r="T932" t="s">
        <v>111</v>
      </c>
      <c r="U932" t="s">
        <v>111</v>
      </c>
      <c r="V932" t="s">
        <v>10944</v>
      </c>
      <c r="W932" t="s">
        <v>43</v>
      </c>
      <c r="X932" t="s">
        <v>10945</v>
      </c>
      <c r="Y932" t="s">
        <v>44</v>
      </c>
      <c r="Z932" t="s">
        <v>44</v>
      </c>
      <c r="AA932" t="s">
        <v>10913</v>
      </c>
      <c r="AB932" t="s">
        <v>44</v>
      </c>
      <c r="AC932" s="4">
        <v>11.02310056</v>
      </c>
      <c r="AD932" s="4">
        <v>10.50250368</v>
      </c>
      <c r="AE932" s="2">
        <v>11.02</v>
      </c>
      <c r="AF932" s="4">
        <v>10.50250368</v>
      </c>
      <c r="AG932" s="2">
        <v>1.18</v>
      </c>
      <c r="AH932" s="2">
        <v>2316830.61</v>
      </c>
      <c r="AI932" s="2">
        <v>0.01</v>
      </c>
      <c r="AJ932" s="5">
        <v>44673</v>
      </c>
      <c r="AK932" t="s">
        <v>11953</v>
      </c>
      <c r="AL932" s="2">
        <v>10.73</v>
      </c>
      <c r="AM932" s="2">
        <v>8.5</v>
      </c>
      <c r="AN932" s="2">
        <v>7.51</v>
      </c>
      <c r="AO932" t="s">
        <v>10922</v>
      </c>
      <c r="AP932" t="s">
        <v>10985</v>
      </c>
      <c r="AQ932" t="s">
        <v>10984</v>
      </c>
    </row>
    <row r="933" spans="1:43" x14ac:dyDescent="0.2">
      <c r="A933" t="s">
        <v>11952</v>
      </c>
      <c r="B933" t="s">
        <v>10900</v>
      </c>
      <c r="C933" t="s">
        <v>10950</v>
      </c>
      <c r="D933" t="s">
        <v>10986</v>
      </c>
      <c r="E933" t="s">
        <v>10987</v>
      </c>
      <c r="F933" t="s">
        <v>10986</v>
      </c>
      <c r="G933" s="1">
        <v>4600000</v>
      </c>
      <c r="H933" s="2">
        <v>4222611.45</v>
      </c>
      <c r="I933" s="2">
        <v>4160360.06</v>
      </c>
      <c r="J933" s="2">
        <v>18967.12</v>
      </c>
      <c r="K933" s="2">
        <v>0</v>
      </c>
      <c r="L933" s="2">
        <v>4179327.18</v>
      </c>
      <c r="M933" s="3">
        <v>12.05</v>
      </c>
      <c r="N933" s="4">
        <v>9.5084200000000001E-3</v>
      </c>
      <c r="O933" s="5">
        <v>44844</v>
      </c>
      <c r="P933" s="5">
        <v>51418</v>
      </c>
      <c r="Q933" s="1">
        <v>10.75</v>
      </c>
      <c r="R933" s="2">
        <v>7.89</v>
      </c>
      <c r="S933" s="6">
        <v>7.4432483840000003</v>
      </c>
      <c r="T933" t="s">
        <v>111</v>
      </c>
      <c r="U933" t="s">
        <v>111</v>
      </c>
      <c r="V933" t="s">
        <v>10944</v>
      </c>
      <c r="W933" t="s">
        <v>43</v>
      </c>
      <c r="X933" t="s">
        <v>10988</v>
      </c>
      <c r="Y933" t="s">
        <v>44</v>
      </c>
      <c r="Z933" t="s">
        <v>44</v>
      </c>
      <c r="AA933" t="s">
        <v>10979</v>
      </c>
      <c r="AB933" t="s">
        <v>44</v>
      </c>
      <c r="AC933" s="4">
        <v>12.41300625</v>
      </c>
      <c r="AD933" s="4">
        <v>11.758178470000001</v>
      </c>
      <c r="AE933" s="2">
        <v>12.41</v>
      </c>
      <c r="AF933" s="4">
        <v>11.758178470000001</v>
      </c>
      <c r="AG933" s="2">
        <v>2.13</v>
      </c>
      <c r="AH933" s="2">
        <v>4179327.18</v>
      </c>
      <c r="AI933" s="2">
        <v>0.01</v>
      </c>
      <c r="AJ933" s="5">
        <v>44673</v>
      </c>
      <c r="AK933" t="s">
        <v>11953</v>
      </c>
      <c r="AL933" s="2">
        <v>12.05</v>
      </c>
      <c r="AM933" s="2">
        <v>10.75</v>
      </c>
      <c r="AN933" s="2">
        <v>7.44</v>
      </c>
      <c r="AO933" t="s">
        <v>10982</v>
      </c>
      <c r="AP933" t="s">
        <v>10989</v>
      </c>
      <c r="AQ933" t="s">
        <v>10987</v>
      </c>
    </row>
    <row r="934" spans="1:43" x14ac:dyDescent="0.2">
      <c r="A934" t="s">
        <v>11952</v>
      </c>
      <c r="B934" t="s">
        <v>10900</v>
      </c>
      <c r="C934" t="s">
        <v>10990</v>
      </c>
      <c r="D934" t="s">
        <v>10991</v>
      </c>
      <c r="E934" t="s">
        <v>1153</v>
      </c>
      <c r="F934" t="s">
        <v>10991</v>
      </c>
      <c r="G934" s="1">
        <v>3300000</v>
      </c>
      <c r="H934" s="2">
        <v>4256440.5199999996</v>
      </c>
      <c r="I934" s="2">
        <v>4267256.6500000004</v>
      </c>
      <c r="J934" s="2">
        <v>26727.4</v>
      </c>
      <c r="K934" s="2">
        <v>0</v>
      </c>
      <c r="L934" s="2">
        <v>4293984.05</v>
      </c>
      <c r="M934" s="3">
        <v>3.9</v>
      </c>
      <c r="N934" s="4">
        <v>9.76928E-3</v>
      </c>
      <c r="O934" s="5">
        <v>44774</v>
      </c>
      <c r="P934" s="5">
        <v>50436</v>
      </c>
      <c r="Q934" s="1">
        <v>2.25</v>
      </c>
      <c r="R934" s="2">
        <v>12.94</v>
      </c>
      <c r="S934" s="6">
        <v>12.689805079999999</v>
      </c>
      <c r="T934" t="s">
        <v>111</v>
      </c>
      <c r="U934" t="s">
        <v>111</v>
      </c>
      <c r="V934" t="s">
        <v>10992</v>
      </c>
      <c r="W934" t="s">
        <v>43</v>
      </c>
      <c r="X934" t="s">
        <v>10945</v>
      </c>
      <c r="Y934" t="s">
        <v>44</v>
      </c>
      <c r="Z934" t="s">
        <v>44</v>
      </c>
      <c r="AA934" t="s">
        <v>10913</v>
      </c>
      <c r="AB934" t="s">
        <v>44</v>
      </c>
      <c r="AC934" s="4">
        <v>3.9380250000000001</v>
      </c>
      <c r="AD934" s="4">
        <v>3.8686849699999999</v>
      </c>
      <c r="AE934" s="2">
        <v>3.94</v>
      </c>
      <c r="AF934" s="4">
        <v>3.8686849699999999</v>
      </c>
      <c r="AG934" s="2">
        <v>2.19</v>
      </c>
      <c r="AH934" s="2">
        <v>4293984.05</v>
      </c>
      <c r="AI934" s="2">
        <v>0.01</v>
      </c>
      <c r="AJ934" s="5">
        <v>44673</v>
      </c>
      <c r="AK934" t="s">
        <v>11953</v>
      </c>
      <c r="AL934" s="2">
        <v>3.9</v>
      </c>
      <c r="AM934" s="2">
        <v>2.25</v>
      </c>
      <c r="AN934" s="2">
        <v>12.69</v>
      </c>
      <c r="AO934" t="s">
        <v>10922</v>
      </c>
      <c r="AP934" t="s">
        <v>10993</v>
      </c>
      <c r="AQ934" t="s">
        <v>1153</v>
      </c>
    </row>
    <row r="935" spans="1:43" x14ac:dyDescent="0.2">
      <c r="A935" t="s">
        <v>11952</v>
      </c>
      <c r="B935" t="s">
        <v>10900</v>
      </c>
      <c r="C935" t="s">
        <v>10990</v>
      </c>
      <c r="D935" t="s">
        <v>10994</v>
      </c>
      <c r="E935" t="s">
        <v>1190</v>
      </c>
      <c r="F935" t="s">
        <v>10994</v>
      </c>
      <c r="G935" s="1">
        <v>3550000</v>
      </c>
      <c r="H935" s="2">
        <v>4184994.38</v>
      </c>
      <c r="I935" s="2">
        <v>4200130.03</v>
      </c>
      <c r="J935" s="2">
        <v>8445.59</v>
      </c>
      <c r="K935" s="2">
        <v>0</v>
      </c>
      <c r="L935" s="2">
        <v>4208575.62</v>
      </c>
      <c r="M935" s="3">
        <v>3.9</v>
      </c>
      <c r="N935" s="4">
        <v>9.5749600000000004E-3</v>
      </c>
      <c r="O935" s="5">
        <v>44834</v>
      </c>
      <c r="P935" s="5">
        <v>53417</v>
      </c>
      <c r="Q935" s="1">
        <v>2.5</v>
      </c>
      <c r="R935" s="2">
        <v>17.22</v>
      </c>
      <c r="S935" s="6">
        <v>16.886631569999999</v>
      </c>
      <c r="T935" t="s">
        <v>111</v>
      </c>
      <c r="U935" t="s">
        <v>111</v>
      </c>
      <c r="V935" t="s">
        <v>10992</v>
      </c>
      <c r="W935" t="s">
        <v>43</v>
      </c>
      <c r="X935" t="s">
        <v>10945</v>
      </c>
      <c r="Y935" t="s">
        <v>44</v>
      </c>
      <c r="Z935" t="s">
        <v>44</v>
      </c>
      <c r="AA935" t="s">
        <v>10913</v>
      </c>
      <c r="AB935" t="s">
        <v>44</v>
      </c>
      <c r="AC935" s="4">
        <v>3.9380250000000001</v>
      </c>
      <c r="AD935" s="4">
        <v>3.8686849699999999</v>
      </c>
      <c r="AE935" s="2">
        <v>3.94</v>
      </c>
      <c r="AF935" s="4">
        <v>3.8686849699999999</v>
      </c>
      <c r="AG935" s="2">
        <v>2.14</v>
      </c>
      <c r="AH935" s="2">
        <v>4208575.62</v>
      </c>
      <c r="AI935" s="2">
        <v>0.01</v>
      </c>
      <c r="AJ935" s="5">
        <v>44673</v>
      </c>
      <c r="AK935" t="s">
        <v>11953</v>
      </c>
      <c r="AL935" s="2">
        <v>3.9</v>
      </c>
      <c r="AM935" s="2">
        <v>2.5</v>
      </c>
      <c r="AN935" s="2">
        <v>16.89</v>
      </c>
      <c r="AO935" t="s">
        <v>10922</v>
      </c>
      <c r="AP935" t="s">
        <v>10995</v>
      </c>
      <c r="AQ935" t="s">
        <v>1190</v>
      </c>
    </row>
    <row r="936" spans="1:43" x14ac:dyDescent="0.2">
      <c r="A936" t="s">
        <v>11952</v>
      </c>
      <c r="B936" t="s">
        <v>10900</v>
      </c>
      <c r="C936" t="s">
        <v>10990</v>
      </c>
      <c r="D936" t="s">
        <v>10996</v>
      </c>
      <c r="E936" t="s">
        <v>1160</v>
      </c>
      <c r="F936" t="s">
        <v>10996</v>
      </c>
      <c r="G936" s="1">
        <v>3480000</v>
      </c>
      <c r="H936" s="2">
        <v>4196650.33</v>
      </c>
      <c r="I936" s="2">
        <v>4231713.7300000004</v>
      </c>
      <c r="J936" s="2">
        <v>43116.61</v>
      </c>
      <c r="K936" s="2">
        <v>0</v>
      </c>
      <c r="L936" s="2">
        <v>4274830.34</v>
      </c>
      <c r="M936" s="3">
        <v>3.9</v>
      </c>
      <c r="N936" s="4">
        <v>9.7257000000000003E-3</v>
      </c>
      <c r="O936" s="5">
        <v>44742</v>
      </c>
      <c r="P936" s="5">
        <v>55153</v>
      </c>
      <c r="Q936" s="1">
        <v>2.5</v>
      </c>
      <c r="R936" s="2">
        <v>19.05</v>
      </c>
      <c r="S936" s="6">
        <v>18.689623709999999</v>
      </c>
      <c r="T936" t="s">
        <v>111</v>
      </c>
      <c r="U936" t="s">
        <v>111</v>
      </c>
      <c r="V936" t="s">
        <v>10992</v>
      </c>
      <c r="W936" t="s">
        <v>43</v>
      </c>
      <c r="X936" t="s">
        <v>10945</v>
      </c>
      <c r="Y936" t="s">
        <v>44</v>
      </c>
      <c r="Z936" t="s">
        <v>44</v>
      </c>
      <c r="AA936" t="s">
        <v>10913</v>
      </c>
      <c r="AB936" t="s">
        <v>44</v>
      </c>
      <c r="AC936" s="4">
        <v>3.9380250000000001</v>
      </c>
      <c r="AD936" s="4">
        <v>3.8686849699999999</v>
      </c>
      <c r="AE936" s="2">
        <v>3.94</v>
      </c>
      <c r="AF936" s="4">
        <v>3.8686849699999999</v>
      </c>
      <c r="AG936" s="2">
        <v>2.1800000000000002</v>
      </c>
      <c r="AH936" s="2">
        <v>4274830.34</v>
      </c>
      <c r="AI936" s="2">
        <v>0.01</v>
      </c>
      <c r="AJ936" s="5">
        <v>44673</v>
      </c>
      <c r="AK936" t="s">
        <v>11953</v>
      </c>
      <c r="AL936" s="2">
        <v>3.9</v>
      </c>
      <c r="AM936" s="2">
        <v>2.5</v>
      </c>
      <c r="AN936" s="2">
        <v>18.690000000000001</v>
      </c>
      <c r="AO936" t="s">
        <v>10922</v>
      </c>
      <c r="AP936" t="s">
        <v>10997</v>
      </c>
      <c r="AQ936" t="s">
        <v>1160</v>
      </c>
    </row>
    <row r="937" spans="1:43" x14ac:dyDescent="0.2">
      <c r="A937" t="s">
        <v>11952</v>
      </c>
      <c r="B937" t="s">
        <v>10900</v>
      </c>
      <c r="C937" t="s">
        <v>10990</v>
      </c>
      <c r="D937" t="s">
        <v>10998</v>
      </c>
      <c r="E937" t="s">
        <v>1197</v>
      </c>
      <c r="F937" t="s">
        <v>10998</v>
      </c>
      <c r="G937" s="1">
        <v>3760000</v>
      </c>
      <c r="H937" s="2">
        <v>4267170.49</v>
      </c>
      <c r="I937" s="2">
        <v>4255320.38</v>
      </c>
      <c r="J937" s="2">
        <v>14246.93</v>
      </c>
      <c r="K937" s="2">
        <v>0</v>
      </c>
      <c r="L937" s="2">
        <v>4269567.3099999996</v>
      </c>
      <c r="M937" s="3">
        <v>3.82</v>
      </c>
      <c r="N937" s="4">
        <v>9.7137300000000003E-3</v>
      </c>
      <c r="O937" s="5">
        <v>44804</v>
      </c>
      <c r="P937" s="5">
        <v>48638</v>
      </c>
      <c r="Q937" s="1">
        <v>1.875</v>
      </c>
      <c r="R937" s="2">
        <v>9.7100000000000009</v>
      </c>
      <c r="S937" s="6">
        <v>9.5277218819999998</v>
      </c>
      <c r="T937" t="s">
        <v>111</v>
      </c>
      <c r="U937" t="s">
        <v>111</v>
      </c>
      <c r="V937" t="s">
        <v>10992</v>
      </c>
      <c r="W937" t="s">
        <v>43</v>
      </c>
      <c r="X937" t="s">
        <v>10945</v>
      </c>
      <c r="Y937" t="s">
        <v>44</v>
      </c>
      <c r="Z937" t="s">
        <v>44</v>
      </c>
      <c r="AA937" t="s">
        <v>10913</v>
      </c>
      <c r="AB937" t="s">
        <v>44</v>
      </c>
      <c r="AC937" s="4">
        <v>3.856481</v>
      </c>
      <c r="AD937" s="4">
        <v>3.7899492800000001</v>
      </c>
      <c r="AE937" s="2">
        <v>3.86</v>
      </c>
      <c r="AF937" s="4">
        <v>3.7899492800000001</v>
      </c>
      <c r="AG937" s="2">
        <v>2.1800000000000002</v>
      </c>
      <c r="AH937" s="2">
        <v>4269567.3099999996</v>
      </c>
      <c r="AI937" s="2">
        <v>0.01</v>
      </c>
      <c r="AJ937" s="5">
        <v>44673</v>
      </c>
      <c r="AK937" t="s">
        <v>11953</v>
      </c>
      <c r="AL937" s="2">
        <v>3.82</v>
      </c>
      <c r="AM937" s="2">
        <v>1.88</v>
      </c>
      <c r="AN937" s="2">
        <v>9.5299999999999994</v>
      </c>
      <c r="AO937" t="s">
        <v>10922</v>
      </c>
      <c r="AP937" t="s">
        <v>10999</v>
      </c>
      <c r="AQ937" t="s">
        <v>1197</v>
      </c>
    </row>
    <row r="938" spans="1:43" x14ac:dyDescent="0.2">
      <c r="A938" t="s">
        <v>11952</v>
      </c>
      <c r="B938" t="s">
        <v>45</v>
      </c>
      <c r="C938" t="s">
        <v>11000</v>
      </c>
      <c r="D938" t="s">
        <v>11001</v>
      </c>
      <c r="E938" t="s">
        <v>11002</v>
      </c>
      <c r="F938" t="s">
        <v>11001</v>
      </c>
      <c r="G938" s="1">
        <v>3860519.9698000001</v>
      </c>
      <c r="H938" s="2">
        <v>3860519.94</v>
      </c>
      <c r="I938" s="2">
        <v>3860519.94</v>
      </c>
      <c r="J938" s="2">
        <v>14169.86</v>
      </c>
      <c r="K938" s="2">
        <v>0</v>
      </c>
      <c r="L938" s="2">
        <v>3874689.8</v>
      </c>
      <c r="M938" s="3"/>
      <c r="N938" s="4">
        <v>8.8153399999999996E-3</v>
      </c>
      <c r="O938" s="5">
        <v>40756</v>
      </c>
      <c r="P938" s="5">
        <v>73020</v>
      </c>
      <c r="Q938" s="1">
        <v>0</v>
      </c>
      <c r="R938" s="2"/>
      <c r="S938" s="6"/>
      <c r="T938" t="s">
        <v>111</v>
      </c>
      <c r="U938" t="s">
        <v>11003</v>
      </c>
      <c r="V938" t="s">
        <v>46</v>
      </c>
      <c r="W938" t="s">
        <v>43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s="4"/>
      <c r="AD938" s="4"/>
      <c r="AE938" s="2">
        <v>0</v>
      </c>
      <c r="AF938" s="4">
        <v>0</v>
      </c>
      <c r="AG938" s="2">
        <v>1.97</v>
      </c>
      <c r="AH938" s="2">
        <v>3874689.8</v>
      </c>
      <c r="AI938" s="2">
        <v>0.01</v>
      </c>
      <c r="AJ938" s="5">
        <v>44673</v>
      </c>
      <c r="AK938" t="s">
        <v>11953</v>
      </c>
      <c r="AL938" s="2">
        <v>0</v>
      </c>
      <c r="AM938" s="2">
        <v>0</v>
      </c>
      <c r="AN938" s="2">
        <v>0</v>
      </c>
      <c r="AO938" t="s">
        <v>44</v>
      </c>
      <c r="AP938" t="s">
        <v>11004</v>
      </c>
      <c r="AQ938" t="s">
        <v>11002</v>
      </c>
    </row>
    <row r="939" spans="1:43" x14ac:dyDescent="0.2">
      <c r="A939" t="s">
        <v>11952</v>
      </c>
      <c r="B939" t="s">
        <v>45</v>
      </c>
      <c r="C939" t="s">
        <v>11144</v>
      </c>
      <c r="D939" t="s">
        <v>11145</v>
      </c>
      <c r="E939" t="s">
        <v>11146</v>
      </c>
      <c r="F939" t="s">
        <v>11147</v>
      </c>
      <c r="G939" s="1">
        <v>6235758</v>
      </c>
      <c r="H939" s="2">
        <v>6235758</v>
      </c>
      <c r="I939" s="2">
        <v>6235758</v>
      </c>
      <c r="J939" s="2">
        <v>20057.990000000002</v>
      </c>
      <c r="K939" s="2">
        <v>0</v>
      </c>
      <c r="L939" s="2">
        <v>6255815.9900000002</v>
      </c>
      <c r="M939" s="3">
        <v>6.88</v>
      </c>
      <c r="N939" s="4">
        <v>1.4232649999999999E-2</v>
      </c>
      <c r="O939" s="5" t="s">
        <v>44</v>
      </c>
      <c r="P939" s="5">
        <v>55153</v>
      </c>
      <c r="Q939" s="1">
        <v>6.88</v>
      </c>
      <c r="R939" s="2">
        <v>0.08</v>
      </c>
      <c r="S939" s="6">
        <v>2.6006750000000002E-3</v>
      </c>
      <c r="T939" t="s">
        <v>112</v>
      </c>
      <c r="U939" t="s">
        <v>46</v>
      </c>
      <c r="V939" t="s">
        <v>11148</v>
      </c>
      <c r="W939" t="s">
        <v>43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s="4"/>
      <c r="AD939" s="4"/>
      <c r="AE939" s="2">
        <v>0</v>
      </c>
      <c r="AF939" s="4">
        <v>0</v>
      </c>
      <c r="AG939" s="2">
        <v>3.19</v>
      </c>
      <c r="AH939" s="2">
        <v>6255815.9900000002</v>
      </c>
      <c r="AI939" s="2">
        <v>0.01</v>
      </c>
      <c r="AJ939" s="5">
        <v>44673</v>
      </c>
      <c r="AK939" t="s">
        <v>11953</v>
      </c>
      <c r="AL939" s="2">
        <v>0</v>
      </c>
      <c r="AM939" s="2">
        <v>6.88</v>
      </c>
      <c r="AN939" s="2">
        <v>0</v>
      </c>
      <c r="AO939" t="s">
        <v>11146</v>
      </c>
      <c r="AP939" t="s">
        <v>44</v>
      </c>
      <c r="AQ939" t="s">
        <v>11146</v>
      </c>
    </row>
    <row r="940" spans="1:43" x14ac:dyDescent="0.2">
      <c r="A940" t="s">
        <v>11952</v>
      </c>
      <c r="B940" t="s">
        <v>45</v>
      </c>
      <c r="C940" t="s">
        <v>47</v>
      </c>
      <c r="D940" t="s">
        <v>11257</v>
      </c>
      <c r="E940" t="s">
        <v>11258</v>
      </c>
      <c r="F940" t="s">
        <v>11257</v>
      </c>
      <c r="G940" s="1">
        <v>1111.05</v>
      </c>
      <c r="H940" s="2">
        <v>17949.11</v>
      </c>
      <c r="I940" s="2">
        <v>18688.810000000001</v>
      </c>
      <c r="J940" s="2">
        <v>0</v>
      </c>
      <c r="K940" s="2">
        <v>0</v>
      </c>
      <c r="L940" s="2">
        <v>18688.810000000001</v>
      </c>
      <c r="M940" s="3"/>
      <c r="N940" s="4">
        <v>4.2519999999999999E-5</v>
      </c>
      <c r="O940" s="5" t="s">
        <v>44</v>
      </c>
      <c r="P940" s="5" t="s">
        <v>44</v>
      </c>
      <c r="Q940" s="1"/>
      <c r="R940" s="2">
        <v>0.08</v>
      </c>
      <c r="S940" s="6"/>
      <c r="T940" t="s">
        <v>45</v>
      </c>
      <c r="U940" t="s">
        <v>53</v>
      </c>
      <c r="V940" t="s">
        <v>44</v>
      </c>
      <c r="W940" t="s">
        <v>528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s="4"/>
      <c r="AD940" s="4"/>
      <c r="AE940" s="2">
        <v>0</v>
      </c>
      <c r="AF940" s="4">
        <v>0</v>
      </c>
      <c r="AG940" s="2">
        <v>0.01</v>
      </c>
      <c r="AH940" s="2">
        <v>18688.810000000001</v>
      </c>
      <c r="AI940" s="2">
        <v>0</v>
      </c>
      <c r="AJ940" s="5">
        <v>44673</v>
      </c>
      <c r="AK940" t="s">
        <v>11953</v>
      </c>
      <c r="AL940" s="2">
        <v>0</v>
      </c>
      <c r="AM940" s="2">
        <v>0</v>
      </c>
      <c r="AN940" s="2">
        <v>0</v>
      </c>
      <c r="AO940" t="s">
        <v>44</v>
      </c>
      <c r="AP940" t="s">
        <v>44</v>
      </c>
      <c r="AQ940" t="s">
        <v>528</v>
      </c>
    </row>
    <row r="941" spans="1:43" x14ac:dyDescent="0.2">
      <c r="A941" t="s">
        <v>11952</v>
      </c>
      <c r="B941" t="s">
        <v>45</v>
      </c>
      <c r="C941" t="s">
        <v>47</v>
      </c>
      <c r="D941" t="s">
        <v>48</v>
      </c>
      <c r="E941" t="s">
        <v>49</v>
      </c>
      <c r="F941" t="s">
        <v>50</v>
      </c>
      <c r="G941" s="1">
        <v>0</v>
      </c>
      <c r="H941" s="2">
        <v>0</v>
      </c>
      <c r="I941" s="2">
        <v>0</v>
      </c>
      <c r="J941" s="2">
        <v>0</v>
      </c>
      <c r="K941" s="2">
        <v>0</v>
      </c>
      <c r="L941" s="2">
        <v>1487.12</v>
      </c>
      <c r="M941" s="3"/>
      <c r="N941" s="4">
        <v>3.3799999999999998E-6</v>
      </c>
      <c r="O941" s="5" t="s">
        <v>44</v>
      </c>
      <c r="P941" s="5" t="s">
        <v>44</v>
      </c>
      <c r="Q941" s="1"/>
      <c r="R941" s="2">
        <v>0.08</v>
      </c>
      <c r="S941" s="6"/>
      <c r="T941" t="s">
        <v>45</v>
      </c>
      <c r="U941" t="s">
        <v>46</v>
      </c>
      <c r="V941" t="s">
        <v>44</v>
      </c>
      <c r="W941" t="s">
        <v>43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s="4">
        <v>5.1163389600000002</v>
      </c>
      <c r="AD941" s="4">
        <v>5.0001424999999999</v>
      </c>
      <c r="AE941" s="2">
        <v>5.12</v>
      </c>
      <c r="AF941" s="4">
        <v>5.0001424999999999</v>
      </c>
      <c r="AG941" s="2">
        <v>0</v>
      </c>
      <c r="AH941" s="2">
        <v>1487.12</v>
      </c>
      <c r="AI941" s="2">
        <v>0</v>
      </c>
      <c r="AJ941" s="5">
        <v>44673</v>
      </c>
      <c r="AK941" t="s">
        <v>11953</v>
      </c>
      <c r="AL941" s="2">
        <v>5.05</v>
      </c>
      <c r="AM941" s="2">
        <v>0</v>
      </c>
      <c r="AN941" s="2">
        <v>0</v>
      </c>
      <c r="AO941" t="s">
        <v>44</v>
      </c>
      <c r="AP941" t="s">
        <v>44</v>
      </c>
      <c r="AQ941" t="s">
        <v>44</v>
      </c>
    </row>
    <row r="942" spans="1:43" x14ac:dyDescent="0.2">
      <c r="A942" t="s">
        <v>11952</v>
      </c>
      <c r="B942" t="s">
        <v>45</v>
      </c>
      <c r="C942" t="s">
        <v>47</v>
      </c>
      <c r="D942" t="s">
        <v>51</v>
      </c>
      <c r="E942" t="s">
        <v>52</v>
      </c>
      <c r="F942" t="s">
        <v>51</v>
      </c>
      <c r="G942" s="1">
        <v>1449159.26</v>
      </c>
      <c r="H942" s="2">
        <v>1449159.26</v>
      </c>
      <c r="I942" s="2">
        <v>1449159.26</v>
      </c>
      <c r="J942" s="2">
        <v>0</v>
      </c>
      <c r="K942" s="2">
        <v>0</v>
      </c>
      <c r="L942" s="2">
        <v>1449159.26</v>
      </c>
      <c r="M942" s="3"/>
      <c r="N942" s="4">
        <v>3.2969900000000001E-3</v>
      </c>
      <c r="O942" s="5" t="s">
        <v>44</v>
      </c>
      <c r="P942" s="5" t="s">
        <v>44</v>
      </c>
      <c r="Q942" s="1"/>
      <c r="R942" s="2">
        <v>0.08</v>
      </c>
      <c r="S942" s="6"/>
      <c r="T942" t="s">
        <v>45</v>
      </c>
      <c r="U942" t="s">
        <v>53</v>
      </c>
      <c r="V942" t="s">
        <v>44</v>
      </c>
      <c r="W942" t="s">
        <v>43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s="4">
        <v>5.1163389600000002</v>
      </c>
      <c r="AD942" s="4">
        <v>5.0001424999999999</v>
      </c>
      <c r="AE942" s="2">
        <v>5.12</v>
      </c>
      <c r="AF942" s="4">
        <v>5.0001424999999999</v>
      </c>
      <c r="AG942" s="2">
        <v>0.74</v>
      </c>
      <c r="AH942" s="2">
        <v>1449159.26</v>
      </c>
      <c r="AI942" s="2">
        <v>0</v>
      </c>
      <c r="AJ942" s="5">
        <v>44673</v>
      </c>
      <c r="AK942" t="s">
        <v>11953</v>
      </c>
      <c r="AL942" s="2">
        <v>5.05</v>
      </c>
      <c r="AM942" s="2">
        <v>0</v>
      </c>
      <c r="AN942" s="2">
        <v>0</v>
      </c>
      <c r="AO942" t="s">
        <v>44</v>
      </c>
      <c r="AP942" t="s">
        <v>44</v>
      </c>
      <c r="AQ942" t="s">
        <v>43</v>
      </c>
    </row>
    <row r="943" spans="1:43" x14ac:dyDescent="0.2">
      <c r="A943" t="s">
        <v>11952</v>
      </c>
      <c r="B943" t="s">
        <v>45</v>
      </c>
      <c r="C943" t="s">
        <v>47</v>
      </c>
      <c r="D943" t="s">
        <v>11045</v>
      </c>
      <c r="E943" t="s">
        <v>11046</v>
      </c>
      <c r="F943" t="s">
        <v>11045</v>
      </c>
      <c r="G943" s="1">
        <v>-0.01</v>
      </c>
      <c r="H943" s="2">
        <v>-0.15</v>
      </c>
      <c r="I943" s="2">
        <v>-0.16</v>
      </c>
      <c r="J943" s="2">
        <v>0</v>
      </c>
      <c r="K943" s="2">
        <v>0</v>
      </c>
      <c r="L943" s="2">
        <v>-0.16</v>
      </c>
      <c r="M943" s="3">
        <v>1</v>
      </c>
      <c r="N943" s="4">
        <v>0</v>
      </c>
      <c r="O943" s="5" t="s">
        <v>44</v>
      </c>
      <c r="P943" s="5" t="s">
        <v>44</v>
      </c>
      <c r="Q943" s="1"/>
      <c r="R943" s="2">
        <v>0.08</v>
      </c>
      <c r="S943" s="6"/>
      <c r="T943" t="s">
        <v>45</v>
      </c>
      <c r="U943" t="s">
        <v>53</v>
      </c>
      <c r="V943" t="s">
        <v>44</v>
      </c>
      <c r="W943" t="s">
        <v>113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s="4"/>
      <c r="AD943" s="4"/>
      <c r="AE943" s="2">
        <v>0</v>
      </c>
      <c r="AF943" s="4">
        <v>0</v>
      </c>
      <c r="AG943" s="2">
        <v>0</v>
      </c>
      <c r="AH943" s="2">
        <v>-0.16</v>
      </c>
      <c r="AI943" s="2">
        <v>0</v>
      </c>
      <c r="AJ943" s="5">
        <v>44673</v>
      </c>
      <c r="AK943" t="s">
        <v>11953</v>
      </c>
      <c r="AL943" s="2">
        <v>0</v>
      </c>
      <c r="AM943" s="2">
        <v>0</v>
      </c>
      <c r="AN943" s="2">
        <v>0</v>
      </c>
      <c r="AO943" t="s">
        <v>44</v>
      </c>
      <c r="AP943" t="s">
        <v>44</v>
      </c>
      <c r="AQ943" t="s">
        <v>113</v>
      </c>
    </row>
    <row r="944" spans="1:43" x14ac:dyDescent="0.2">
      <c r="A944" t="s">
        <v>11952</v>
      </c>
      <c r="B944" t="s">
        <v>45</v>
      </c>
      <c r="C944" t="s">
        <v>11005</v>
      </c>
      <c r="D944" t="s">
        <v>11009</v>
      </c>
      <c r="E944" t="s">
        <v>11010</v>
      </c>
      <c r="F944" t="s">
        <v>44</v>
      </c>
      <c r="G944" s="1">
        <v>0.01</v>
      </c>
      <c r="H944" s="2">
        <v>0.01</v>
      </c>
      <c r="I944" s="2">
        <v>0.01</v>
      </c>
      <c r="J944" s="2">
        <v>0</v>
      </c>
      <c r="K944" s="2"/>
      <c r="L944" s="2">
        <v>0.01</v>
      </c>
      <c r="M944" s="3"/>
      <c r="N944" s="4">
        <v>0</v>
      </c>
      <c r="O944" s="5" t="s">
        <v>44</v>
      </c>
      <c r="P944" s="5">
        <v>73051</v>
      </c>
      <c r="Q944" s="1">
        <v>0</v>
      </c>
      <c r="R944" s="2">
        <v>0.08</v>
      </c>
      <c r="S944" s="6"/>
      <c r="T944" t="s">
        <v>45</v>
      </c>
      <c r="U944" t="s">
        <v>44</v>
      </c>
      <c r="V944" t="s">
        <v>44</v>
      </c>
      <c r="W944" t="s">
        <v>43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s="4">
        <v>5.1163389600000002</v>
      </c>
      <c r="AD944" s="4">
        <v>5.0001424999999999</v>
      </c>
      <c r="AE944" s="2">
        <v>5.12</v>
      </c>
      <c r="AF944" s="4">
        <v>5.0001424999999999</v>
      </c>
      <c r="AG944" s="2">
        <v>0</v>
      </c>
      <c r="AH944" s="2">
        <v>0.01</v>
      </c>
      <c r="AI944" s="2">
        <v>0</v>
      </c>
      <c r="AJ944" s="5">
        <v>44673</v>
      </c>
      <c r="AK944" t="s">
        <v>11953</v>
      </c>
      <c r="AL944" s="2">
        <v>5.05</v>
      </c>
      <c r="AM944" s="2">
        <v>0</v>
      </c>
      <c r="AN944" s="2">
        <v>0</v>
      </c>
      <c r="AO944" t="s">
        <v>44</v>
      </c>
      <c r="AP944" t="s">
        <v>44</v>
      </c>
      <c r="AQ944" t="s">
        <v>44</v>
      </c>
    </row>
    <row r="945" spans="1:43" x14ac:dyDescent="0.2">
      <c r="A945" t="s">
        <v>11952</v>
      </c>
      <c r="B945" t="s">
        <v>45</v>
      </c>
      <c r="C945" t="s">
        <v>11005</v>
      </c>
      <c r="D945" t="s">
        <v>11149</v>
      </c>
      <c r="E945" t="s">
        <v>11150</v>
      </c>
      <c r="F945" t="s">
        <v>44</v>
      </c>
      <c r="G945" s="1">
        <v>-1639904.6</v>
      </c>
      <c r="H945" s="2">
        <v>-1639904.6</v>
      </c>
      <c r="I945" s="2">
        <v>-1639904.6</v>
      </c>
      <c r="J945" s="2">
        <v>0</v>
      </c>
      <c r="K945" s="2"/>
      <c r="L945" s="2">
        <v>-1639904.6</v>
      </c>
      <c r="M945" s="3"/>
      <c r="N945" s="4">
        <v>-3.7309600000000002E-3</v>
      </c>
      <c r="O945" s="5" t="s">
        <v>44</v>
      </c>
      <c r="P945" s="5">
        <v>73051</v>
      </c>
      <c r="Q945" s="1">
        <v>0</v>
      </c>
      <c r="R945" s="2">
        <v>0.08</v>
      </c>
      <c r="S945" s="6"/>
      <c r="T945" t="s">
        <v>45</v>
      </c>
      <c r="U945" t="s">
        <v>44</v>
      </c>
      <c r="V945" t="s">
        <v>44</v>
      </c>
      <c r="W945" t="s">
        <v>43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s="4">
        <v>5.1163389600000002</v>
      </c>
      <c r="AD945" s="4">
        <v>5.0001424999999999</v>
      </c>
      <c r="AE945" s="2">
        <v>5.12</v>
      </c>
      <c r="AF945" s="4">
        <v>5.0001424999999999</v>
      </c>
      <c r="AG945" s="2">
        <v>-0.84</v>
      </c>
      <c r="AH945" s="2">
        <v>-1639904.6</v>
      </c>
      <c r="AI945" s="2">
        <v>0</v>
      </c>
      <c r="AJ945" s="5">
        <v>44673</v>
      </c>
      <c r="AK945" t="s">
        <v>11953</v>
      </c>
      <c r="AL945" s="2">
        <v>5.05</v>
      </c>
      <c r="AM945" s="2">
        <v>0</v>
      </c>
      <c r="AN945" s="2">
        <v>0</v>
      </c>
      <c r="AO945" t="s">
        <v>44</v>
      </c>
      <c r="AP945" t="s">
        <v>44</v>
      </c>
      <c r="AQ945" t="s">
        <v>44</v>
      </c>
    </row>
    <row r="946" spans="1:43" x14ac:dyDescent="0.2">
      <c r="A946" t="s">
        <v>11952</v>
      </c>
      <c r="B946" t="s">
        <v>11013</v>
      </c>
      <c r="C946" t="s">
        <v>11014</v>
      </c>
      <c r="D946" t="s">
        <v>11015</v>
      </c>
      <c r="E946" t="s">
        <v>11016</v>
      </c>
      <c r="F946" t="s">
        <v>11015</v>
      </c>
      <c r="G946" s="1">
        <v>17418072.3895</v>
      </c>
      <c r="H946" s="2">
        <v>18386325.309999999</v>
      </c>
      <c r="I946" s="2">
        <v>18092151.789999999</v>
      </c>
      <c r="J946" s="2">
        <v>0</v>
      </c>
      <c r="K946" s="2">
        <v>0</v>
      </c>
      <c r="L946" s="2">
        <v>18092151.789999999</v>
      </c>
      <c r="M946" s="3">
        <v>1.0387</v>
      </c>
      <c r="N946" s="4">
        <v>4.1161589999999998E-2</v>
      </c>
      <c r="O946" s="5" t="s">
        <v>44</v>
      </c>
      <c r="P946" s="5" t="s">
        <v>44</v>
      </c>
      <c r="Q946" s="1"/>
      <c r="R946" s="2"/>
      <c r="S946" s="6"/>
      <c r="T946" t="s">
        <v>10902</v>
      </c>
      <c r="U946" t="s">
        <v>11003</v>
      </c>
      <c r="V946" t="s">
        <v>11003</v>
      </c>
      <c r="W946" t="s">
        <v>43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s="4"/>
      <c r="AD946" s="4"/>
      <c r="AE946" s="2">
        <v>0</v>
      </c>
      <c r="AF946" s="4">
        <v>0</v>
      </c>
      <c r="AG946" s="2">
        <v>9.2200000000000006</v>
      </c>
      <c r="AH946" s="2">
        <v>18092151.789999999</v>
      </c>
      <c r="AI946" s="2">
        <v>0.04</v>
      </c>
      <c r="AJ946" s="5">
        <v>44673</v>
      </c>
      <c r="AK946" t="s">
        <v>11953</v>
      </c>
      <c r="AL946" s="2">
        <v>0</v>
      </c>
      <c r="AM946" s="2">
        <v>0</v>
      </c>
      <c r="AN946" s="2">
        <v>0</v>
      </c>
      <c r="AO946" t="s">
        <v>44</v>
      </c>
      <c r="AP946" t="s">
        <v>11017</v>
      </c>
      <c r="AQ946" t="s">
        <v>11016</v>
      </c>
    </row>
    <row r="947" spans="1:43" x14ac:dyDescent="0.2">
      <c r="A947" t="s">
        <v>11952</v>
      </c>
      <c r="B947" t="s">
        <v>11013</v>
      </c>
      <c r="C947" t="s">
        <v>11014</v>
      </c>
      <c r="D947" t="s">
        <v>11018</v>
      </c>
      <c r="E947" t="s">
        <v>11019</v>
      </c>
      <c r="F947" t="s">
        <v>11018</v>
      </c>
      <c r="G947" s="1">
        <v>16037252.0655</v>
      </c>
      <c r="H947" s="2">
        <v>16070516.25</v>
      </c>
      <c r="I947" s="2">
        <v>16127060.68</v>
      </c>
      <c r="J947" s="2">
        <v>0</v>
      </c>
      <c r="K947" s="2">
        <v>0</v>
      </c>
      <c r="L947" s="2">
        <v>16127060.68</v>
      </c>
      <c r="M947" s="3">
        <v>1.0056</v>
      </c>
      <c r="N947" s="4">
        <v>3.6690800000000003E-2</v>
      </c>
      <c r="O947" s="5" t="s">
        <v>44</v>
      </c>
      <c r="P947" s="5" t="s">
        <v>44</v>
      </c>
      <c r="Q947" s="1"/>
      <c r="R947" s="2"/>
      <c r="S947" s="6"/>
      <c r="T947" t="s">
        <v>10902</v>
      </c>
      <c r="U947" t="s">
        <v>11003</v>
      </c>
      <c r="V947" t="s">
        <v>11003</v>
      </c>
      <c r="W947" t="s">
        <v>43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s="4"/>
      <c r="AD947" s="4"/>
      <c r="AE947" s="2">
        <v>0</v>
      </c>
      <c r="AF947" s="4">
        <v>0</v>
      </c>
      <c r="AG947" s="2">
        <v>8.2200000000000006</v>
      </c>
      <c r="AH947" s="2">
        <v>16127060.68</v>
      </c>
      <c r="AI947" s="2">
        <v>0.04</v>
      </c>
      <c r="AJ947" s="5">
        <v>44673</v>
      </c>
      <c r="AK947" t="s">
        <v>11953</v>
      </c>
      <c r="AL947" s="2">
        <v>0</v>
      </c>
      <c r="AM947" s="2">
        <v>0</v>
      </c>
      <c r="AN947" s="2">
        <v>0</v>
      </c>
      <c r="AO947" t="s">
        <v>44</v>
      </c>
      <c r="AP947" t="s">
        <v>11020</v>
      </c>
      <c r="AQ947" t="s">
        <v>11019</v>
      </c>
    </row>
    <row r="948" spans="1:43" x14ac:dyDescent="0.2">
      <c r="A948" t="s">
        <v>11952</v>
      </c>
      <c r="B948" t="s">
        <v>11013</v>
      </c>
      <c r="C948" t="s">
        <v>11014</v>
      </c>
      <c r="D948" t="s">
        <v>11021</v>
      </c>
      <c r="E948" t="s">
        <v>11022</v>
      </c>
      <c r="F948" t="s">
        <v>11021</v>
      </c>
      <c r="G948" s="1">
        <v>13046470.490900001</v>
      </c>
      <c r="H948" s="2">
        <v>11108385.6</v>
      </c>
      <c r="I948" s="2">
        <v>13098656.369999999</v>
      </c>
      <c r="J948" s="2">
        <v>0</v>
      </c>
      <c r="K948" s="2">
        <v>0</v>
      </c>
      <c r="L948" s="2">
        <v>13098656.369999999</v>
      </c>
      <c r="M948" s="3">
        <v>1.004</v>
      </c>
      <c r="N948" s="4">
        <v>2.980085E-2</v>
      </c>
      <c r="O948" s="5" t="s">
        <v>44</v>
      </c>
      <c r="P948" s="5" t="s">
        <v>44</v>
      </c>
      <c r="Q948" s="1"/>
      <c r="R948" s="2"/>
      <c r="S948" s="6"/>
      <c r="T948" t="s">
        <v>10902</v>
      </c>
      <c r="U948" t="s">
        <v>11003</v>
      </c>
      <c r="V948" t="s">
        <v>11003</v>
      </c>
      <c r="W948" t="s">
        <v>43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s="4"/>
      <c r="AD948" s="4"/>
      <c r="AE948" s="2">
        <v>0</v>
      </c>
      <c r="AF948" s="4">
        <v>0</v>
      </c>
      <c r="AG948" s="2">
        <v>6.68</v>
      </c>
      <c r="AH948" s="2">
        <v>13098656.369999999</v>
      </c>
      <c r="AI948" s="2">
        <v>0.03</v>
      </c>
      <c r="AJ948" s="5">
        <v>44673</v>
      </c>
      <c r="AK948" t="s">
        <v>11953</v>
      </c>
      <c r="AL948" s="2">
        <v>0</v>
      </c>
      <c r="AM948" s="2">
        <v>0</v>
      </c>
      <c r="AN948" s="2">
        <v>0</v>
      </c>
      <c r="AO948" t="s">
        <v>44</v>
      </c>
      <c r="AP948" t="s">
        <v>11023</v>
      </c>
      <c r="AQ948" t="s">
        <v>11022</v>
      </c>
    </row>
    <row r="949" spans="1:43" x14ac:dyDescent="0.2">
      <c r="A949" t="s">
        <v>11952</v>
      </c>
      <c r="B949" t="s">
        <v>11013</v>
      </c>
      <c r="C949" t="s">
        <v>11047</v>
      </c>
      <c r="D949" t="s">
        <v>11233</v>
      </c>
      <c r="E949" t="s">
        <v>11234</v>
      </c>
      <c r="F949" t="s">
        <v>11233</v>
      </c>
      <c r="G949" s="1">
        <v>1878003.4990999999</v>
      </c>
      <c r="H949" s="2">
        <v>32011498.539999999</v>
      </c>
      <c r="I949" s="2">
        <v>38951670.579999998</v>
      </c>
      <c r="J949" s="2">
        <v>0</v>
      </c>
      <c r="K949" s="2">
        <v>0</v>
      </c>
      <c r="L949" s="2">
        <v>38951670.579999998</v>
      </c>
      <c r="M949" s="3">
        <v>20.741</v>
      </c>
      <c r="N949" s="4">
        <v>8.8619240000000002E-2</v>
      </c>
      <c r="O949" s="5" t="s">
        <v>44</v>
      </c>
      <c r="P949" s="5" t="s">
        <v>44</v>
      </c>
      <c r="Q949" s="1"/>
      <c r="R949" s="2"/>
      <c r="S949" s="6"/>
      <c r="T949" t="s">
        <v>10902</v>
      </c>
      <c r="U949" t="s">
        <v>11003</v>
      </c>
      <c r="V949" t="s">
        <v>11003</v>
      </c>
      <c r="W949" t="s">
        <v>43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s="4"/>
      <c r="AD949" s="4"/>
      <c r="AE949" s="2">
        <v>0</v>
      </c>
      <c r="AF949" s="4">
        <v>0</v>
      </c>
      <c r="AG949" s="2">
        <v>19.850000000000001</v>
      </c>
      <c r="AH949" s="2">
        <v>38951670.579999998</v>
      </c>
      <c r="AI949" s="2">
        <v>0.09</v>
      </c>
      <c r="AJ949" s="5">
        <v>44673</v>
      </c>
      <c r="AK949" t="s">
        <v>11953</v>
      </c>
      <c r="AL949" s="2">
        <v>0</v>
      </c>
      <c r="AM949" s="2">
        <v>0</v>
      </c>
      <c r="AN949" s="2">
        <v>0</v>
      </c>
      <c r="AO949" t="s">
        <v>44</v>
      </c>
      <c r="AP949" t="s">
        <v>11235</v>
      </c>
      <c r="AQ949" t="s">
        <v>11234</v>
      </c>
    </row>
    <row r="950" spans="1:43" x14ac:dyDescent="0.2">
      <c r="A950" t="s">
        <v>11952</v>
      </c>
      <c r="B950" t="s">
        <v>11024</v>
      </c>
      <c r="C950" t="s">
        <v>57</v>
      </c>
      <c r="D950" t="s">
        <v>12717</v>
      </c>
      <c r="E950" t="s">
        <v>12717</v>
      </c>
      <c r="F950" t="s">
        <v>12717</v>
      </c>
      <c r="G950" s="1">
        <v>-50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3">
        <v>65943</v>
      </c>
      <c r="N950" s="4">
        <v>0</v>
      </c>
      <c r="O950" s="5" t="s">
        <v>44</v>
      </c>
      <c r="P950" s="5">
        <v>44910</v>
      </c>
      <c r="Q950" s="1"/>
      <c r="R950" s="2"/>
      <c r="S950" s="6"/>
      <c r="T950" t="s">
        <v>11026</v>
      </c>
      <c r="U950" t="s">
        <v>11025</v>
      </c>
      <c r="V950" t="s">
        <v>11027</v>
      </c>
      <c r="W950" t="s">
        <v>43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s="4"/>
      <c r="AD950" s="4"/>
      <c r="AE950" s="2">
        <v>0</v>
      </c>
      <c r="AF950" s="4">
        <v>0</v>
      </c>
      <c r="AG950" s="2">
        <v>0</v>
      </c>
      <c r="AH950" s="2">
        <v>-32971500</v>
      </c>
      <c r="AI950" s="2">
        <v>-0.08</v>
      </c>
      <c r="AJ950" s="5">
        <v>44673</v>
      </c>
      <c r="AK950" t="s">
        <v>11953</v>
      </c>
      <c r="AL950" s="2">
        <v>0</v>
      </c>
      <c r="AM950" s="2">
        <v>0</v>
      </c>
      <c r="AN950" s="2">
        <v>0</v>
      </c>
      <c r="AO950" t="s">
        <v>44</v>
      </c>
      <c r="AP950" t="s">
        <v>12718</v>
      </c>
      <c r="AQ950" t="s">
        <v>12717</v>
      </c>
    </row>
    <row r="951" spans="1:43" x14ac:dyDescent="0.2">
      <c r="A951" t="s">
        <v>11952</v>
      </c>
      <c r="B951" t="s">
        <v>11024</v>
      </c>
      <c r="C951" t="s">
        <v>57</v>
      </c>
      <c r="D951" t="s">
        <v>12719</v>
      </c>
      <c r="E951" t="s">
        <v>12719</v>
      </c>
      <c r="F951" t="s">
        <v>12719</v>
      </c>
      <c r="G951" s="1">
        <v>92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3">
        <v>23175</v>
      </c>
      <c r="N951" s="4">
        <v>0</v>
      </c>
      <c r="O951" s="5" t="s">
        <v>44</v>
      </c>
      <c r="P951" s="5">
        <v>44910</v>
      </c>
      <c r="Q951" s="1"/>
      <c r="R951" s="2"/>
      <c r="S951" s="6"/>
      <c r="T951" t="s">
        <v>11153</v>
      </c>
      <c r="U951" t="s">
        <v>11025</v>
      </c>
      <c r="V951" t="s">
        <v>11154</v>
      </c>
      <c r="W951" t="s">
        <v>43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s="4"/>
      <c r="AD951" s="4"/>
      <c r="AE951" s="2">
        <v>0</v>
      </c>
      <c r="AF951" s="4">
        <v>0</v>
      </c>
      <c r="AG951" s="2">
        <v>0</v>
      </c>
      <c r="AH951" s="2">
        <v>22547972.25</v>
      </c>
      <c r="AI951" s="2">
        <v>0.05</v>
      </c>
      <c r="AJ951" s="5">
        <v>44673</v>
      </c>
      <c r="AK951" t="s">
        <v>11953</v>
      </c>
      <c r="AL951" s="2">
        <v>0</v>
      </c>
      <c r="AM951" s="2">
        <v>0</v>
      </c>
      <c r="AN951" s="2">
        <v>0</v>
      </c>
      <c r="AO951" t="s">
        <v>44</v>
      </c>
      <c r="AP951" t="s">
        <v>12720</v>
      </c>
      <c r="AQ951" t="s">
        <v>12719</v>
      </c>
    </row>
    <row r="952" spans="1:43" x14ac:dyDescent="0.2">
      <c r="A952" t="s">
        <v>11952</v>
      </c>
      <c r="B952" t="s">
        <v>11024</v>
      </c>
      <c r="C952" t="s">
        <v>57</v>
      </c>
      <c r="D952" t="s">
        <v>11151</v>
      </c>
      <c r="E952" t="s">
        <v>11151</v>
      </c>
      <c r="F952" t="s">
        <v>11151</v>
      </c>
      <c r="G952" s="1">
        <v>90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3">
        <v>65704</v>
      </c>
      <c r="N952" s="4">
        <v>0</v>
      </c>
      <c r="O952" s="5" t="s">
        <v>44</v>
      </c>
      <c r="P952" s="5">
        <v>44727</v>
      </c>
      <c r="Q952" s="1"/>
      <c r="R952" s="2"/>
      <c r="S952" s="6"/>
      <c r="T952" t="s">
        <v>11026</v>
      </c>
      <c r="U952" t="s">
        <v>11025</v>
      </c>
      <c r="V952" t="s">
        <v>11027</v>
      </c>
      <c r="W952" t="s">
        <v>43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s="4"/>
      <c r="AD952" s="4"/>
      <c r="AE952" s="2">
        <v>0</v>
      </c>
      <c r="AF952" s="4">
        <v>0</v>
      </c>
      <c r="AG952" s="2">
        <v>0</v>
      </c>
      <c r="AH952" s="2">
        <v>59133600</v>
      </c>
      <c r="AI952" s="2">
        <v>0.13</v>
      </c>
      <c r="AJ952" s="5">
        <v>44673</v>
      </c>
      <c r="AK952" t="s">
        <v>11953</v>
      </c>
      <c r="AL952" s="2">
        <v>0</v>
      </c>
      <c r="AM952" s="2">
        <v>0</v>
      </c>
      <c r="AN952" s="2">
        <v>0</v>
      </c>
      <c r="AO952" t="s">
        <v>44</v>
      </c>
      <c r="AP952" t="s">
        <v>11152</v>
      </c>
      <c r="AQ952" t="s">
        <v>11151</v>
      </c>
    </row>
    <row r="953" spans="1:43" x14ac:dyDescent="0.2">
      <c r="A953" t="s">
        <v>11952</v>
      </c>
      <c r="B953" t="s">
        <v>11024</v>
      </c>
      <c r="C953" t="s">
        <v>57</v>
      </c>
      <c r="D953" t="s">
        <v>12995</v>
      </c>
      <c r="E953" t="s">
        <v>12995</v>
      </c>
      <c r="F953" t="s">
        <v>12995</v>
      </c>
      <c r="G953" s="1">
        <v>-30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3">
        <v>11809</v>
      </c>
      <c r="N953" s="4">
        <v>0</v>
      </c>
      <c r="O953" s="5" t="s">
        <v>44</v>
      </c>
      <c r="P953" s="5">
        <v>44727</v>
      </c>
      <c r="Q953" s="1"/>
      <c r="R953" s="2"/>
      <c r="S953" s="6"/>
      <c r="T953" t="s">
        <v>11153</v>
      </c>
      <c r="U953" t="s">
        <v>11025</v>
      </c>
      <c r="V953" t="s">
        <v>11154</v>
      </c>
      <c r="W953" t="s">
        <v>43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s="4"/>
      <c r="AD953" s="4"/>
      <c r="AE953" s="2">
        <v>0</v>
      </c>
      <c r="AF953" s="4">
        <v>0</v>
      </c>
      <c r="AG953" s="2">
        <v>0</v>
      </c>
      <c r="AH953" s="2">
        <v>5964841.79</v>
      </c>
      <c r="AI953" s="2">
        <v>0.01</v>
      </c>
      <c r="AJ953" s="5">
        <v>44673</v>
      </c>
      <c r="AK953" t="s">
        <v>11953</v>
      </c>
      <c r="AL953" s="2">
        <v>0</v>
      </c>
      <c r="AM953" s="2">
        <v>0</v>
      </c>
      <c r="AN953" s="2">
        <v>0</v>
      </c>
      <c r="AO953" t="s">
        <v>44</v>
      </c>
      <c r="AP953" t="s">
        <v>12999</v>
      </c>
      <c r="AQ953" t="s">
        <v>12995</v>
      </c>
    </row>
    <row r="954" spans="1:43" x14ac:dyDescent="0.2">
      <c r="A954" t="s">
        <v>11952</v>
      </c>
      <c r="B954" t="s">
        <v>11024</v>
      </c>
      <c r="C954" t="s">
        <v>57</v>
      </c>
      <c r="D954" t="s">
        <v>11155</v>
      </c>
      <c r="E954" t="s">
        <v>11155</v>
      </c>
      <c r="F954" t="s">
        <v>11155</v>
      </c>
      <c r="G954" s="1">
        <v>-70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3">
        <v>615</v>
      </c>
      <c r="N954" s="4">
        <v>0</v>
      </c>
      <c r="O954" s="5" t="s">
        <v>44</v>
      </c>
      <c r="P954" s="5">
        <v>44727</v>
      </c>
      <c r="Q954" s="1"/>
      <c r="R954" s="2"/>
      <c r="S954" s="6"/>
      <c r="T954" t="s">
        <v>11153</v>
      </c>
      <c r="U954" t="s">
        <v>11025</v>
      </c>
      <c r="V954" t="s">
        <v>11154</v>
      </c>
      <c r="W954" t="s">
        <v>43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s="4"/>
      <c r="AD954" s="4"/>
      <c r="AE954" s="2">
        <v>0</v>
      </c>
      <c r="AF954" s="4">
        <v>0</v>
      </c>
      <c r="AG954" s="2">
        <v>0</v>
      </c>
      <c r="AH954" s="2">
        <v>-1693166.55</v>
      </c>
      <c r="AI954" s="2">
        <v>0</v>
      </c>
      <c r="AJ954" s="5">
        <v>44673</v>
      </c>
      <c r="AK954" t="s">
        <v>11953</v>
      </c>
      <c r="AL954" s="2">
        <v>0</v>
      </c>
      <c r="AM954" s="2">
        <v>0</v>
      </c>
      <c r="AN954" s="2">
        <v>0</v>
      </c>
      <c r="AO954" t="s">
        <v>44</v>
      </c>
      <c r="AP954" t="s">
        <v>11156</v>
      </c>
      <c r="AQ954" t="s">
        <v>11155</v>
      </c>
    </row>
    <row r="955" spans="1:43" x14ac:dyDescent="0.2">
      <c r="A955" t="s">
        <v>11952</v>
      </c>
      <c r="B955" t="s">
        <v>11024</v>
      </c>
      <c r="C955" t="s">
        <v>57</v>
      </c>
      <c r="D955" t="s">
        <v>11157</v>
      </c>
      <c r="E955" t="s">
        <v>11157</v>
      </c>
      <c r="F955" t="s">
        <v>11157</v>
      </c>
      <c r="G955" s="1">
        <v>-35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3">
        <v>65741</v>
      </c>
      <c r="N955" s="4">
        <v>0</v>
      </c>
      <c r="O955" s="5" t="s">
        <v>44</v>
      </c>
      <c r="P955" s="5">
        <v>44819</v>
      </c>
      <c r="Q955" s="1"/>
      <c r="R955" s="2"/>
      <c r="S955" s="6"/>
      <c r="T955" t="s">
        <v>11026</v>
      </c>
      <c r="U955" t="s">
        <v>11025</v>
      </c>
      <c r="V955" t="s">
        <v>11027</v>
      </c>
      <c r="W955" t="s">
        <v>43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s="4"/>
      <c r="AD955" s="4"/>
      <c r="AE955" s="2">
        <v>0</v>
      </c>
      <c r="AF955" s="4">
        <v>0</v>
      </c>
      <c r="AG955" s="2">
        <v>0</v>
      </c>
      <c r="AH955" s="2">
        <v>-23009350</v>
      </c>
      <c r="AI955" s="2">
        <v>-0.05</v>
      </c>
      <c r="AJ955" s="5">
        <v>44673</v>
      </c>
      <c r="AK955" t="s">
        <v>11953</v>
      </c>
      <c r="AL955" s="2">
        <v>0</v>
      </c>
      <c r="AM955" s="2">
        <v>0</v>
      </c>
      <c r="AN955" s="2">
        <v>0</v>
      </c>
      <c r="AO955" t="s">
        <v>44</v>
      </c>
      <c r="AP955" t="s">
        <v>11158</v>
      </c>
      <c r="AQ955" t="s">
        <v>11157</v>
      </c>
    </row>
    <row r="956" spans="1:43" x14ac:dyDescent="0.2">
      <c r="A956" t="s">
        <v>11952</v>
      </c>
      <c r="B956" t="s">
        <v>11024</v>
      </c>
      <c r="C956" t="s">
        <v>57</v>
      </c>
      <c r="D956" t="s">
        <v>12738</v>
      </c>
      <c r="E956" t="s">
        <v>12738</v>
      </c>
      <c r="F956" t="s">
        <v>12738</v>
      </c>
      <c r="G956" s="1">
        <v>86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3">
        <v>17668</v>
      </c>
      <c r="N956" s="4">
        <v>0</v>
      </c>
      <c r="O956" s="5" t="s">
        <v>44</v>
      </c>
      <c r="P956" s="5">
        <v>44819</v>
      </c>
      <c r="Q956" s="1"/>
      <c r="R956" s="2"/>
      <c r="S956" s="6"/>
      <c r="T956" t="s">
        <v>11153</v>
      </c>
      <c r="U956" t="s">
        <v>11025</v>
      </c>
      <c r="V956" t="s">
        <v>11154</v>
      </c>
      <c r="W956" t="s">
        <v>43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s="4"/>
      <c r="AD956" s="4"/>
      <c r="AE956" s="2">
        <v>0</v>
      </c>
      <c r="AF956" s="4">
        <v>0</v>
      </c>
      <c r="AG956" s="2">
        <v>0</v>
      </c>
      <c r="AH956" s="2">
        <v>20387142.25</v>
      </c>
      <c r="AI956" s="2">
        <v>0.05</v>
      </c>
      <c r="AJ956" s="5">
        <v>44673</v>
      </c>
      <c r="AK956" t="s">
        <v>11953</v>
      </c>
      <c r="AL956" s="2">
        <v>0</v>
      </c>
      <c r="AM956" s="2">
        <v>0</v>
      </c>
      <c r="AN956" s="2">
        <v>0</v>
      </c>
      <c r="AO956" t="s">
        <v>44</v>
      </c>
      <c r="AP956" t="s">
        <v>12741</v>
      </c>
      <c r="AQ956" t="s">
        <v>12738</v>
      </c>
    </row>
    <row r="957" spans="1:43" x14ac:dyDescent="0.2">
      <c r="A957" t="s">
        <v>11952</v>
      </c>
      <c r="B957" t="s">
        <v>11024</v>
      </c>
      <c r="C957" t="s">
        <v>57</v>
      </c>
      <c r="D957" t="s">
        <v>12722</v>
      </c>
      <c r="E957" t="s">
        <v>12722</v>
      </c>
      <c r="F957" t="s">
        <v>12722</v>
      </c>
      <c r="G957" s="1">
        <v>86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3">
        <v>14076</v>
      </c>
      <c r="N957" s="4">
        <v>0</v>
      </c>
      <c r="O957" s="5" t="s">
        <v>44</v>
      </c>
      <c r="P957" s="5">
        <v>44819</v>
      </c>
      <c r="Q957" s="1"/>
      <c r="R957" s="2"/>
      <c r="S957" s="6"/>
      <c r="T957" t="s">
        <v>11153</v>
      </c>
      <c r="U957" t="s">
        <v>11025</v>
      </c>
      <c r="V957" t="s">
        <v>11154</v>
      </c>
      <c r="W957" t="s">
        <v>43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s="4"/>
      <c r="AD957" s="4"/>
      <c r="AE957" s="2">
        <v>0</v>
      </c>
      <c r="AF957" s="4">
        <v>0</v>
      </c>
      <c r="AG957" s="2">
        <v>0</v>
      </c>
      <c r="AH957" s="2">
        <v>17554656.93</v>
      </c>
      <c r="AI957" s="2">
        <v>0.04</v>
      </c>
      <c r="AJ957" s="5">
        <v>44673</v>
      </c>
      <c r="AK957" t="s">
        <v>11953</v>
      </c>
      <c r="AL957" s="2">
        <v>0</v>
      </c>
      <c r="AM957" s="2">
        <v>0</v>
      </c>
      <c r="AN957" s="2">
        <v>0</v>
      </c>
      <c r="AO957" t="s">
        <v>44</v>
      </c>
      <c r="AP957" t="s">
        <v>12723</v>
      </c>
      <c r="AQ957" t="s">
        <v>12722</v>
      </c>
    </row>
    <row r="958" spans="1:43" x14ac:dyDescent="0.2">
      <c r="A958" t="s">
        <v>11952</v>
      </c>
      <c r="B958" t="s">
        <v>11024</v>
      </c>
      <c r="C958" t="s">
        <v>57</v>
      </c>
      <c r="D958" t="s">
        <v>12996</v>
      </c>
      <c r="E958" t="s">
        <v>12996</v>
      </c>
      <c r="F958" t="s">
        <v>12996</v>
      </c>
      <c r="G958" s="1">
        <v>-60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3">
        <v>5097</v>
      </c>
      <c r="N958" s="4">
        <v>0</v>
      </c>
      <c r="O958" s="5" t="s">
        <v>44</v>
      </c>
      <c r="P958" s="5">
        <v>44819</v>
      </c>
      <c r="Q958" s="1"/>
      <c r="R958" s="2"/>
      <c r="S958" s="6"/>
      <c r="T958" t="s">
        <v>11153</v>
      </c>
      <c r="U958" t="s">
        <v>11025</v>
      </c>
      <c r="V958" t="s">
        <v>11154</v>
      </c>
      <c r="W958" t="s">
        <v>43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s="4"/>
      <c r="AD958" s="4"/>
      <c r="AE958" s="2">
        <v>0</v>
      </c>
      <c r="AF958" s="4">
        <v>0</v>
      </c>
      <c r="AG958" s="2">
        <v>0</v>
      </c>
      <c r="AH958" s="2">
        <v>-5796522.5</v>
      </c>
      <c r="AI958" s="2">
        <v>-0.01</v>
      </c>
      <c r="AJ958" s="5">
        <v>44673</v>
      </c>
      <c r="AK958" t="s">
        <v>11953</v>
      </c>
      <c r="AL958" s="2">
        <v>0</v>
      </c>
      <c r="AM958" s="2">
        <v>0</v>
      </c>
      <c r="AN958" s="2">
        <v>0</v>
      </c>
      <c r="AO958" t="s">
        <v>44</v>
      </c>
      <c r="AP958" t="s">
        <v>13000</v>
      </c>
      <c r="AQ958" t="s">
        <v>12996</v>
      </c>
    </row>
    <row r="959" spans="1:43" x14ac:dyDescent="0.2">
      <c r="A959" t="s">
        <v>11952</v>
      </c>
      <c r="B959" t="s">
        <v>11024</v>
      </c>
      <c r="C959" t="s">
        <v>57</v>
      </c>
      <c r="D959" t="s">
        <v>12739</v>
      </c>
      <c r="E959" t="s">
        <v>12739</v>
      </c>
      <c r="F959" t="s">
        <v>12739</v>
      </c>
      <c r="G959" s="1">
        <v>-61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3">
        <v>2268</v>
      </c>
      <c r="N959" s="4">
        <v>0</v>
      </c>
      <c r="O959" s="5" t="s">
        <v>44</v>
      </c>
      <c r="P959" s="5">
        <v>44819</v>
      </c>
      <c r="Q959" s="1"/>
      <c r="R959" s="2"/>
      <c r="S959" s="6"/>
      <c r="T959" t="s">
        <v>11153</v>
      </c>
      <c r="U959" t="s">
        <v>11025</v>
      </c>
      <c r="V959" t="s">
        <v>11154</v>
      </c>
      <c r="W959" t="s">
        <v>43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s="4"/>
      <c r="AD959" s="4"/>
      <c r="AE959" s="2">
        <v>0</v>
      </c>
      <c r="AF959" s="4">
        <v>0</v>
      </c>
      <c r="AG959" s="2">
        <v>0</v>
      </c>
      <c r="AH959" s="2">
        <v>-3029079.02</v>
      </c>
      <c r="AI959" s="2">
        <v>-0.01</v>
      </c>
      <c r="AJ959" s="5">
        <v>44673</v>
      </c>
      <c r="AK959" t="s">
        <v>11953</v>
      </c>
      <c r="AL959" s="2">
        <v>0</v>
      </c>
      <c r="AM959" s="2">
        <v>0</v>
      </c>
      <c r="AN959" s="2">
        <v>0</v>
      </c>
      <c r="AO959" t="s">
        <v>44</v>
      </c>
      <c r="AP959" t="s">
        <v>12742</v>
      </c>
      <c r="AQ959" t="s">
        <v>12739</v>
      </c>
    </row>
    <row r="960" spans="1:43" x14ac:dyDescent="0.2">
      <c r="A960" t="s">
        <v>11952</v>
      </c>
      <c r="B960" t="s">
        <v>11160</v>
      </c>
      <c r="C960" t="s">
        <v>11161</v>
      </c>
      <c r="D960" t="s">
        <v>11162</v>
      </c>
      <c r="E960" t="s">
        <v>11163</v>
      </c>
      <c r="F960" t="s">
        <v>11162</v>
      </c>
      <c r="G960" s="1">
        <v>7247</v>
      </c>
      <c r="H960" s="2">
        <v>4848031.17</v>
      </c>
      <c r="I960" s="2">
        <v>6522300</v>
      </c>
      <c r="J960" s="2">
        <v>0</v>
      </c>
      <c r="K960" s="2">
        <v>180748.12</v>
      </c>
      <c r="L960" s="2">
        <v>6703048.1200000001</v>
      </c>
      <c r="M960" s="3">
        <v>90000</v>
      </c>
      <c r="N960" s="4">
        <v>1.525016E-2</v>
      </c>
      <c r="O960" s="5" t="s">
        <v>44</v>
      </c>
      <c r="P960" s="5" t="s">
        <v>44</v>
      </c>
      <c r="Q960" s="1"/>
      <c r="R960" s="2"/>
      <c r="S960" s="6"/>
      <c r="T960" t="s">
        <v>10902</v>
      </c>
      <c r="U960" t="s">
        <v>10902</v>
      </c>
      <c r="V960" t="s">
        <v>11164</v>
      </c>
      <c r="W960" t="s">
        <v>43</v>
      </c>
      <c r="X960" t="s">
        <v>44</v>
      </c>
      <c r="Y960" t="s">
        <v>44</v>
      </c>
      <c r="Z960" t="s">
        <v>44</v>
      </c>
      <c r="AA960" t="s">
        <v>10979</v>
      </c>
      <c r="AB960" t="s">
        <v>44</v>
      </c>
      <c r="AC960" s="4"/>
      <c r="AD960" s="4"/>
      <c r="AE960" s="2">
        <v>0</v>
      </c>
      <c r="AF960" s="4">
        <v>0</v>
      </c>
      <c r="AG960" s="2">
        <v>3.42</v>
      </c>
      <c r="AH960" s="2">
        <v>6703048.1200000001</v>
      </c>
      <c r="AI960" s="2">
        <v>0.02</v>
      </c>
      <c r="AJ960" s="5">
        <v>44673</v>
      </c>
      <c r="AK960" t="s">
        <v>11953</v>
      </c>
      <c r="AL960" s="2">
        <v>0</v>
      </c>
      <c r="AM960" s="2">
        <v>0</v>
      </c>
      <c r="AN960" s="2">
        <v>0</v>
      </c>
      <c r="AO960" t="s">
        <v>11165</v>
      </c>
      <c r="AP960" t="s">
        <v>11166</v>
      </c>
      <c r="AQ960" t="s">
        <v>11163</v>
      </c>
    </row>
    <row r="961" spans="1:43" x14ac:dyDescent="0.2">
      <c r="A961" t="s">
        <v>11952</v>
      </c>
      <c r="B961" t="s">
        <v>11160</v>
      </c>
      <c r="C961" t="s">
        <v>11161</v>
      </c>
      <c r="D961" t="s">
        <v>11167</v>
      </c>
      <c r="E961" t="s">
        <v>11168</v>
      </c>
      <c r="F961" t="s">
        <v>11167</v>
      </c>
      <c r="G961" s="1">
        <v>64225</v>
      </c>
      <c r="H961" s="2">
        <v>5778334.9500000002</v>
      </c>
      <c r="I961" s="2">
        <v>6207346.25</v>
      </c>
      <c r="J961" s="2">
        <v>0</v>
      </c>
      <c r="K961" s="2">
        <v>0</v>
      </c>
      <c r="L961" s="2">
        <v>6207346.25</v>
      </c>
      <c r="M961" s="3">
        <v>9665</v>
      </c>
      <c r="N961" s="4">
        <v>1.412238E-2</v>
      </c>
      <c r="O961" s="5" t="s">
        <v>44</v>
      </c>
      <c r="P961" s="5" t="s">
        <v>44</v>
      </c>
      <c r="Q961" s="1"/>
      <c r="R961" s="2"/>
      <c r="S961" s="6"/>
      <c r="T961" t="s">
        <v>10902</v>
      </c>
      <c r="U961" t="s">
        <v>10902</v>
      </c>
      <c r="V961" t="s">
        <v>11164</v>
      </c>
      <c r="W961" t="s">
        <v>43</v>
      </c>
      <c r="X961" t="s">
        <v>11164</v>
      </c>
      <c r="Y961" t="s">
        <v>44</v>
      </c>
      <c r="Z961" t="s">
        <v>44</v>
      </c>
      <c r="AA961" t="s">
        <v>44</v>
      </c>
      <c r="AB961" t="s">
        <v>44</v>
      </c>
      <c r="AC961" s="4"/>
      <c r="AD961" s="4"/>
      <c r="AE961" s="2">
        <v>0</v>
      </c>
      <c r="AF961" s="4">
        <v>0</v>
      </c>
      <c r="AG961" s="2">
        <v>3.16</v>
      </c>
      <c r="AH961" s="2">
        <v>6207346.25</v>
      </c>
      <c r="AI961" s="2">
        <v>0.01</v>
      </c>
      <c r="AJ961" s="5">
        <v>44673</v>
      </c>
      <c r="AK961" t="s">
        <v>11953</v>
      </c>
      <c r="AL961" s="2">
        <v>0</v>
      </c>
      <c r="AM961" s="2">
        <v>0</v>
      </c>
      <c r="AN961" s="2">
        <v>0</v>
      </c>
      <c r="AO961" t="s">
        <v>44</v>
      </c>
      <c r="AP961" t="s">
        <v>11169</v>
      </c>
      <c r="AQ961" t="s">
        <v>11168</v>
      </c>
    </row>
    <row r="962" spans="1:43" x14ac:dyDescent="0.2">
      <c r="A962" t="s">
        <v>11952</v>
      </c>
      <c r="B962" t="s">
        <v>11160</v>
      </c>
      <c r="C962" t="s">
        <v>11161</v>
      </c>
      <c r="D962" t="s">
        <v>11170</v>
      </c>
      <c r="E962" t="s">
        <v>11171</v>
      </c>
      <c r="F962" t="s">
        <v>11170</v>
      </c>
      <c r="G962" s="1">
        <v>47498</v>
      </c>
      <c r="H962" s="2">
        <v>3481120.11</v>
      </c>
      <c r="I962" s="2">
        <v>4575957.32</v>
      </c>
      <c r="J962" s="2">
        <v>0</v>
      </c>
      <c r="K962" s="2">
        <v>0</v>
      </c>
      <c r="L962" s="2">
        <v>4575957.32</v>
      </c>
      <c r="M962" s="3">
        <v>9634</v>
      </c>
      <c r="N962" s="4">
        <v>1.04108E-2</v>
      </c>
      <c r="O962" s="5" t="s">
        <v>44</v>
      </c>
      <c r="P962" s="5" t="s">
        <v>44</v>
      </c>
      <c r="Q962" s="1"/>
      <c r="R962" s="2"/>
      <c r="S962" s="6"/>
      <c r="T962" t="s">
        <v>10902</v>
      </c>
      <c r="U962" t="s">
        <v>10902</v>
      </c>
      <c r="V962" t="s">
        <v>11164</v>
      </c>
      <c r="W962" t="s">
        <v>43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s="4"/>
      <c r="AD962" s="4"/>
      <c r="AE962" s="2">
        <v>0</v>
      </c>
      <c r="AF962" s="4">
        <v>0</v>
      </c>
      <c r="AG962" s="2">
        <v>2.33</v>
      </c>
      <c r="AH962" s="2">
        <v>4575957.32</v>
      </c>
      <c r="AI962" s="2">
        <v>0.01</v>
      </c>
      <c r="AJ962" s="5">
        <v>44673</v>
      </c>
      <c r="AK962" t="s">
        <v>11953</v>
      </c>
      <c r="AL962" s="2">
        <v>0</v>
      </c>
      <c r="AM962" s="2">
        <v>0</v>
      </c>
      <c r="AN962" s="2">
        <v>0</v>
      </c>
      <c r="AO962" t="s">
        <v>44</v>
      </c>
      <c r="AP962" t="s">
        <v>11172</v>
      </c>
      <c r="AQ962" t="s">
        <v>11171</v>
      </c>
    </row>
    <row r="963" spans="1:43" x14ac:dyDescent="0.2">
      <c r="A963" t="s">
        <v>11952</v>
      </c>
      <c r="B963" t="s">
        <v>11160</v>
      </c>
      <c r="C963" t="s">
        <v>11161</v>
      </c>
      <c r="D963" t="s">
        <v>11173</v>
      </c>
      <c r="E963" t="s">
        <v>11174</v>
      </c>
      <c r="F963" t="s">
        <v>11173</v>
      </c>
      <c r="G963" s="1">
        <v>15516</v>
      </c>
      <c r="H963" s="2">
        <v>1221931.25</v>
      </c>
      <c r="I963" s="2">
        <v>1334376</v>
      </c>
      <c r="J963" s="2">
        <v>0</v>
      </c>
      <c r="K963" s="2">
        <v>0</v>
      </c>
      <c r="L963" s="2">
        <v>1334376</v>
      </c>
      <c r="M963" s="3">
        <v>8600</v>
      </c>
      <c r="N963" s="4">
        <v>3.0358500000000001E-3</v>
      </c>
      <c r="O963" s="5" t="s">
        <v>44</v>
      </c>
      <c r="P963" s="5" t="s">
        <v>44</v>
      </c>
      <c r="Q963" s="1"/>
      <c r="R963" s="2"/>
      <c r="S963" s="6"/>
      <c r="T963" t="s">
        <v>10902</v>
      </c>
      <c r="U963" t="s">
        <v>10902</v>
      </c>
      <c r="V963" t="s">
        <v>11164</v>
      </c>
      <c r="W963" t="s">
        <v>43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s="4"/>
      <c r="AD963" s="4"/>
      <c r="AE963" s="2">
        <v>0</v>
      </c>
      <c r="AF963" s="4">
        <v>0</v>
      </c>
      <c r="AG963" s="2">
        <v>0.68</v>
      </c>
      <c r="AH963" s="2">
        <v>1334376</v>
      </c>
      <c r="AI963" s="2">
        <v>0</v>
      </c>
      <c r="AJ963" s="5">
        <v>44673</v>
      </c>
      <c r="AK963" t="s">
        <v>11953</v>
      </c>
      <c r="AL963" s="2">
        <v>0</v>
      </c>
      <c r="AM963" s="2">
        <v>0</v>
      </c>
      <c r="AN963" s="2">
        <v>0</v>
      </c>
      <c r="AO963" t="s">
        <v>44</v>
      </c>
      <c r="AP963" t="s">
        <v>11175</v>
      </c>
      <c r="AQ963" t="s">
        <v>11174</v>
      </c>
    </row>
    <row r="964" spans="1:43" x14ac:dyDescent="0.2">
      <c r="A964" t="s">
        <v>11952</v>
      </c>
      <c r="B964" t="s">
        <v>11160</v>
      </c>
      <c r="C964" t="s">
        <v>11161</v>
      </c>
      <c r="D964" t="s">
        <v>11176</v>
      </c>
      <c r="E964" t="s">
        <v>11177</v>
      </c>
      <c r="F964" t="s">
        <v>11178</v>
      </c>
      <c r="G964" s="1">
        <v>35905</v>
      </c>
      <c r="H964" s="2">
        <v>2738738.31</v>
      </c>
      <c r="I964" s="2">
        <v>3317262.95</v>
      </c>
      <c r="J964" s="2">
        <v>0</v>
      </c>
      <c r="K964" s="2">
        <v>0</v>
      </c>
      <c r="L964" s="2">
        <v>3317262.95</v>
      </c>
      <c r="M964" s="3">
        <v>9239</v>
      </c>
      <c r="N964" s="4">
        <v>7.54713E-3</v>
      </c>
      <c r="O964" s="5" t="s">
        <v>44</v>
      </c>
      <c r="P964" s="5" t="s">
        <v>44</v>
      </c>
      <c r="Q964" s="1"/>
      <c r="R964" s="2"/>
      <c r="S964" s="6"/>
      <c r="T964" t="s">
        <v>10902</v>
      </c>
      <c r="U964" t="s">
        <v>10902</v>
      </c>
      <c r="V964" t="s">
        <v>11164</v>
      </c>
      <c r="W964" t="s">
        <v>43</v>
      </c>
      <c r="X964" t="s">
        <v>44</v>
      </c>
      <c r="Y964" t="s">
        <v>44</v>
      </c>
      <c r="Z964" t="s">
        <v>44</v>
      </c>
      <c r="AA964" t="s">
        <v>10979</v>
      </c>
      <c r="AB964" t="s">
        <v>44</v>
      </c>
      <c r="AC964" s="4"/>
      <c r="AD964" s="4"/>
      <c r="AE964" s="2">
        <v>0</v>
      </c>
      <c r="AF964" s="4">
        <v>0</v>
      </c>
      <c r="AG964" s="2">
        <v>1.69</v>
      </c>
      <c r="AH964" s="2">
        <v>3317262.95</v>
      </c>
      <c r="AI964" s="2">
        <v>0.01</v>
      </c>
      <c r="AJ964" s="5">
        <v>44673</v>
      </c>
      <c r="AK964" t="s">
        <v>11953</v>
      </c>
      <c r="AL964" s="2">
        <v>0</v>
      </c>
      <c r="AM964" s="2">
        <v>0</v>
      </c>
      <c r="AN964" s="2">
        <v>0</v>
      </c>
      <c r="AO964" t="s">
        <v>11179</v>
      </c>
      <c r="AP964" t="s">
        <v>11180</v>
      </c>
      <c r="AQ964" t="s">
        <v>11177</v>
      </c>
    </row>
    <row r="965" spans="1:43" x14ac:dyDescent="0.2">
      <c r="A965" t="s">
        <v>11952</v>
      </c>
      <c r="B965" t="s">
        <v>10951</v>
      </c>
      <c r="C965" t="s">
        <v>10952</v>
      </c>
      <c r="D965" t="s">
        <v>11028</v>
      </c>
      <c r="E965" t="s">
        <v>11029</v>
      </c>
      <c r="F965" t="s">
        <v>11028</v>
      </c>
      <c r="G965" s="1">
        <v>7857538.1243000003</v>
      </c>
      <c r="H965" s="2">
        <v>7911175.5300000003</v>
      </c>
      <c r="I965" s="2">
        <v>7867752.9199999999</v>
      </c>
      <c r="J965" s="2">
        <v>0</v>
      </c>
      <c r="K965" s="2">
        <v>0</v>
      </c>
      <c r="L965" s="2">
        <v>7867752.9199999999</v>
      </c>
      <c r="M965" s="3">
        <v>1.0013000000000001</v>
      </c>
      <c r="N965" s="4">
        <v>1.7899979999999999E-2</v>
      </c>
      <c r="O965" s="5" t="s">
        <v>44</v>
      </c>
      <c r="P965" s="5" t="s">
        <v>44</v>
      </c>
      <c r="Q965" s="1"/>
      <c r="R965" s="2"/>
      <c r="S965" s="6"/>
      <c r="T965" t="s">
        <v>10902</v>
      </c>
      <c r="U965" t="s">
        <v>10953</v>
      </c>
      <c r="V965" t="s">
        <v>10954</v>
      </c>
      <c r="W965" t="s">
        <v>43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s="4"/>
      <c r="AD965" s="4"/>
      <c r="AE965" s="2">
        <v>0</v>
      </c>
      <c r="AF965" s="4">
        <v>0</v>
      </c>
      <c r="AG965" s="2">
        <v>4.01</v>
      </c>
      <c r="AH965" s="2">
        <v>7867752.9199999999</v>
      </c>
      <c r="AI965" s="2">
        <v>0.02</v>
      </c>
      <c r="AJ965" s="5">
        <v>44673</v>
      </c>
      <c r="AK965" t="s">
        <v>11953</v>
      </c>
      <c r="AL965" s="2">
        <v>0</v>
      </c>
      <c r="AM965" s="2">
        <v>0</v>
      </c>
      <c r="AN965" s="2">
        <v>0</v>
      </c>
      <c r="AO965" t="s">
        <v>44</v>
      </c>
      <c r="AP965" t="s">
        <v>44</v>
      </c>
      <c r="AQ965" t="s">
        <v>11029</v>
      </c>
    </row>
    <row r="966" spans="1:43" x14ac:dyDescent="0.2">
      <c r="A966" t="s">
        <v>11952</v>
      </c>
      <c r="B966" t="s">
        <v>11030</v>
      </c>
      <c r="C966" t="s">
        <v>11030</v>
      </c>
      <c r="D966" t="s">
        <v>12724</v>
      </c>
      <c r="E966" t="s">
        <v>12717</v>
      </c>
      <c r="F966" t="s">
        <v>12724</v>
      </c>
      <c r="G966" s="1">
        <v>-50</v>
      </c>
      <c r="H966" s="2"/>
      <c r="I966" s="2">
        <v>0</v>
      </c>
      <c r="J966" s="2"/>
      <c r="K966" s="2"/>
      <c r="L966" s="2">
        <v>0</v>
      </c>
      <c r="M966" s="3"/>
      <c r="N966" s="4">
        <v>0</v>
      </c>
      <c r="O966" s="5" t="s">
        <v>44</v>
      </c>
      <c r="P966" s="5" t="s">
        <v>44</v>
      </c>
      <c r="Q966" s="1"/>
      <c r="R966" s="2"/>
      <c r="S966" s="6"/>
      <c r="T966" t="s">
        <v>11031</v>
      </c>
      <c r="U966" t="s">
        <v>11032</v>
      </c>
      <c r="V966" t="s">
        <v>45</v>
      </c>
      <c r="W966" t="s">
        <v>43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s="4"/>
      <c r="AD966" s="4"/>
      <c r="AE966" s="2">
        <v>0</v>
      </c>
      <c r="AF966" s="4">
        <v>0</v>
      </c>
      <c r="AG966" s="2">
        <v>0</v>
      </c>
      <c r="AH966" s="2">
        <v>32971500</v>
      </c>
      <c r="AI966" s="2">
        <v>0.08</v>
      </c>
      <c r="AJ966" s="5">
        <v>44673</v>
      </c>
      <c r="AK966" t="s">
        <v>11953</v>
      </c>
      <c r="AL966" s="2">
        <v>0</v>
      </c>
      <c r="AM966" s="2">
        <v>0</v>
      </c>
      <c r="AN966" s="2">
        <v>0</v>
      </c>
      <c r="AO966" t="s">
        <v>44</v>
      </c>
      <c r="AP966" t="s">
        <v>44</v>
      </c>
      <c r="AQ966" t="s">
        <v>11182</v>
      </c>
    </row>
    <row r="967" spans="1:43" x14ac:dyDescent="0.2">
      <c r="A967" t="s">
        <v>11952</v>
      </c>
      <c r="B967" t="s">
        <v>11030</v>
      </c>
      <c r="C967" t="s">
        <v>11030</v>
      </c>
      <c r="D967" t="s">
        <v>12725</v>
      </c>
      <c r="E967" t="s">
        <v>12719</v>
      </c>
      <c r="F967" t="s">
        <v>12725</v>
      </c>
      <c r="G967" s="1">
        <v>92</v>
      </c>
      <c r="H967" s="2"/>
      <c r="I967" s="2">
        <v>0</v>
      </c>
      <c r="J967" s="2"/>
      <c r="K967" s="2"/>
      <c r="L967" s="2">
        <v>0</v>
      </c>
      <c r="M967" s="3"/>
      <c r="N967" s="4">
        <v>0</v>
      </c>
      <c r="O967" s="5" t="s">
        <v>44</v>
      </c>
      <c r="P967" s="5" t="s">
        <v>44</v>
      </c>
      <c r="Q967" s="1"/>
      <c r="R967" s="2"/>
      <c r="S967" s="6"/>
      <c r="T967" t="s">
        <v>11031</v>
      </c>
      <c r="U967" t="s">
        <v>11183</v>
      </c>
      <c r="V967" t="s">
        <v>45</v>
      </c>
      <c r="W967" t="s">
        <v>43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s="4"/>
      <c r="AD967" s="4"/>
      <c r="AE967" s="2">
        <v>0</v>
      </c>
      <c r="AF967" s="4">
        <v>0</v>
      </c>
      <c r="AG967" s="2">
        <v>0</v>
      </c>
      <c r="AH967" s="2">
        <v>-22547972.25</v>
      </c>
      <c r="AI967" s="2">
        <v>-0.05</v>
      </c>
      <c r="AJ967" s="5">
        <v>44673</v>
      </c>
      <c r="AK967" t="s">
        <v>11953</v>
      </c>
      <c r="AL967" s="2">
        <v>0</v>
      </c>
      <c r="AM967" s="2">
        <v>0</v>
      </c>
      <c r="AN967" s="2">
        <v>0</v>
      </c>
      <c r="AO967" t="s">
        <v>44</v>
      </c>
      <c r="AP967" t="s">
        <v>44</v>
      </c>
      <c r="AQ967" t="s">
        <v>11182</v>
      </c>
    </row>
    <row r="968" spans="1:43" x14ac:dyDescent="0.2">
      <c r="A968" t="s">
        <v>11952</v>
      </c>
      <c r="B968" t="s">
        <v>11030</v>
      </c>
      <c r="C968" t="s">
        <v>11030</v>
      </c>
      <c r="D968" t="s">
        <v>11181</v>
      </c>
      <c r="E968" t="s">
        <v>11151</v>
      </c>
      <c r="F968" t="s">
        <v>11181</v>
      </c>
      <c r="G968" s="1">
        <v>90</v>
      </c>
      <c r="H968" s="2"/>
      <c r="I968" s="2">
        <v>0</v>
      </c>
      <c r="J968" s="2"/>
      <c r="K968" s="2"/>
      <c r="L968" s="2">
        <v>0</v>
      </c>
      <c r="M968" s="3"/>
      <c r="N968" s="4">
        <v>0</v>
      </c>
      <c r="O968" s="5" t="s">
        <v>44</v>
      </c>
      <c r="P968" s="5" t="s">
        <v>44</v>
      </c>
      <c r="Q968" s="1"/>
      <c r="R968" s="2"/>
      <c r="S968" s="6"/>
      <c r="T968" t="s">
        <v>11031</v>
      </c>
      <c r="U968" t="s">
        <v>11032</v>
      </c>
      <c r="V968" t="s">
        <v>45</v>
      </c>
      <c r="W968" t="s">
        <v>43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s="4"/>
      <c r="AD968" s="4"/>
      <c r="AE968" s="2">
        <v>0</v>
      </c>
      <c r="AF968" s="4">
        <v>0</v>
      </c>
      <c r="AG968" s="2">
        <v>0</v>
      </c>
      <c r="AH968" s="2">
        <v>-59133600</v>
      </c>
      <c r="AI968" s="2">
        <v>-0.13</v>
      </c>
      <c r="AJ968" s="5">
        <v>44673</v>
      </c>
      <c r="AK968" t="s">
        <v>11953</v>
      </c>
      <c r="AL968" s="2">
        <v>0</v>
      </c>
      <c r="AM968" s="2">
        <v>0</v>
      </c>
      <c r="AN968" s="2">
        <v>0</v>
      </c>
      <c r="AO968" t="s">
        <v>44</v>
      </c>
      <c r="AP968" t="s">
        <v>44</v>
      </c>
      <c r="AQ968" t="s">
        <v>11182</v>
      </c>
    </row>
    <row r="969" spans="1:43" x14ac:dyDescent="0.2">
      <c r="A969" t="s">
        <v>11952</v>
      </c>
      <c r="B969" t="s">
        <v>11030</v>
      </c>
      <c r="C969" t="s">
        <v>11030</v>
      </c>
      <c r="D969" t="s">
        <v>13001</v>
      </c>
      <c r="E969" t="s">
        <v>12995</v>
      </c>
      <c r="F969" t="s">
        <v>13001</v>
      </c>
      <c r="G969" s="1">
        <v>-30</v>
      </c>
      <c r="H969" s="2"/>
      <c r="I969" s="2">
        <v>0</v>
      </c>
      <c r="J969" s="2"/>
      <c r="K969" s="2"/>
      <c r="L969" s="2">
        <v>0</v>
      </c>
      <c r="M969" s="3"/>
      <c r="N969" s="4">
        <v>0</v>
      </c>
      <c r="O969" s="5" t="s">
        <v>44</v>
      </c>
      <c r="P969" s="5" t="s">
        <v>44</v>
      </c>
      <c r="Q969" s="1"/>
      <c r="R969" s="2"/>
      <c r="S969" s="6"/>
      <c r="T969" t="s">
        <v>11031</v>
      </c>
      <c r="U969" t="s">
        <v>11183</v>
      </c>
      <c r="V969" t="s">
        <v>45</v>
      </c>
      <c r="W969" t="s">
        <v>43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s="4"/>
      <c r="AD969" s="4"/>
      <c r="AE969" s="2">
        <v>0</v>
      </c>
      <c r="AF969" s="4">
        <v>0</v>
      </c>
      <c r="AG969" s="2">
        <v>0</v>
      </c>
      <c r="AH969" s="2">
        <v>-5964841.79</v>
      </c>
      <c r="AI969" s="2">
        <v>-0.01</v>
      </c>
      <c r="AJ969" s="5">
        <v>44673</v>
      </c>
      <c r="AK969" t="s">
        <v>11953</v>
      </c>
      <c r="AL969" s="2">
        <v>0</v>
      </c>
      <c r="AM969" s="2">
        <v>0</v>
      </c>
      <c r="AN969" s="2">
        <v>0</v>
      </c>
      <c r="AO969" t="s">
        <v>44</v>
      </c>
      <c r="AP969" t="s">
        <v>44</v>
      </c>
      <c r="AQ969" t="s">
        <v>11182</v>
      </c>
    </row>
    <row r="970" spans="1:43" x14ac:dyDescent="0.2">
      <c r="A970" t="s">
        <v>11952</v>
      </c>
      <c r="B970" t="s">
        <v>11030</v>
      </c>
      <c r="C970" t="s">
        <v>11030</v>
      </c>
      <c r="D970" t="s">
        <v>11184</v>
      </c>
      <c r="E970" t="s">
        <v>11155</v>
      </c>
      <c r="F970" t="s">
        <v>11184</v>
      </c>
      <c r="G970" s="1">
        <v>-70</v>
      </c>
      <c r="H970" s="2"/>
      <c r="I970" s="2">
        <v>0</v>
      </c>
      <c r="J970" s="2"/>
      <c r="K970" s="2"/>
      <c r="L970" s="2">
        <v>0</v>
      </c>
      <c r="M970" s="3"/>
      <c r="N970" s="4">
        <v>0</v>
      </c>
      <c r="O970" s="5" t="s">
        <v>44</v>
      </c>
      <c r="P970" s="5" t="s">
        <v>44</v>
      </c>
      <c r="Q970" s="1"/>
      <c r="R970" s="2"/>
      <c r="S970" s="6"/>
      <c r="T970" t="s">
        <v>11031</v>
      </c>
      <c r="U970" t="s">
        <v>11183</v>
      </c>
      <c r="V970" t="s">
        <v>45</v>
      </c>
      <c r="W970" t="s">
        <v>43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s="4"/>
      <c r="AD970" s="4"/>
      <c r="AE970" s="2">
        <v>0</v>
      </c>
      <c r="AF970" s="4">
        <v>0</v>
      </c>
      <c r="AG970" s="2">
        <v>0</v>
      </c>
      <c r="AH970" s="2">
        <v>1693166.55</v>
      </c>
      <c r="AI970" s="2">
        <v>0</v>
      </c>
      <c r="AJ970" s="5">
        <v>44673</v>
      </c>
      <c r="AK970" t="s">
        <v>11953</v>
      </c>
      <c r="AL970" s="2">
        <v>0</v>
      </c>
      <c r="AM970" s="2">
        <v>0</v>
      </c>
      <c r="AN970" s="2">
        <v>0</v>
      </c>
      <c r="AO970" t="s">
        <v>44</v>
      </c>
      <c r="AP970" t="s">
        <v>44</v>
      </c>
      <c r="AQ970" t="s">
        <v>11182</v>
      </c>
    </row>
    <row r="971" spans="1:43" x14ac:dyDescent="0.2">
      <c r="A971" t="s">
        <v>11952</v>
      </c>
      <c r="B971" t="s">
        <v>11030</v>
      </c>
      <c r="C971" t="s">
        <v>11030</v>
      </c>
      <c r="D971" t="s">
        <v>11185</v>
      </c>
      <c r="E971" t="s">
        <v>11157</v>
      </c>
      <c r="F971" t="s">
        <v>11185</v>
      </c>
      <c r="G971" s="1">
        <v>-35</v>
      </c>
      <c r="H971" s="2"/>
      <c r="I971" s="2">
        <v>0</v>
      </c>
      <c r="J971" s="2"/>
      <c r="K971" s="2"/>
      <c r="L971" s="2">
        <v>0</v>
      </c>
      <c r="M971" s="3"/>
      <c r="N971" s="4">
        <v>0</v>
      </c>
      <c r="O971" s="5" t="s">
        <v>44</v>
      </c>
      <c r="P971" s="5" t="s">
        <v>44</v>
      </c>
      <c r="Q971" s="1"/>
      <c r="R971" s="2"/>
      <c r="S971" s="6"/>
      <c r="T971" t="s">
        <v>11031</v>
      </c>
      <c r="U971" t="s">
        <v>11032</v>
      </c>
      <c r="V971" t="s">
        <v>45</v>
      </c>
      <c r="W971" t="s">
        <v>43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s="4"/>
      <c r="AD971" s="4"/>
      <c r="AE971" s="2">
        <v>0</v>
      </c>
      <c r="AF971" s="4">
        <v>0</v>
      </c>
      <c r="AG971" s="2">
        <v>0</v>
      </c>
      <c r="AH971" s="2">
        <v>23009350</v>
      </c>
      <c r="AI971" s="2">
        <v>0.05</v>
      </c>
      <c r="AJ971" s="5">
        <v>44673</v>
      </c>
      <c r="AK971" t="s">
        <v>11953</v>
      </c>
      <c r="AL971" s="2">
        <v>0</v>
      </c>
      <c r="AM971" s="2">
        <v>0</v>
      </c>
      <c r="AN971" s="2">
        <v>0</v>
      </c>
      <c r="AO971" t="s">
        <v>44</v>
      </c>
      <c r="AP971" t="s">
        <v>44</v>
      </c>
      <c r="AQ971" t="s">
        <v>11182</v>
      </c>
    </row>
    <row r="972" spans="1:43" x14ac:dyDescent="0.2">
      <c r="A972" t="s">
        <v>11952</v>
      </c>
      <c r="B972" t="s">
        <v>11030</v>
      </c>
      <c r="C972" t="s">
        <v>11030</v>
      </c>
      <c r="D972" t="s">
        <v>12743</v>
      </c>
      <c r="E972" t="s">
        <v>12738</v>
      </c>
      <c r="F972" t="s">
        <v>12743</v>
      </c>
      <c r="G972" s="1">
        <v>86</v>
      </c>
      <c r="H972" s="2"/>
      <c r="I972" s="2">
        <v>0</v>
      </c>
      <c r="J972" s="2"/>
      <c r="K972" s="2"/>
      <c r="L972" s="2">
        <v>0</v>
      </c>
      <c r="M972" s="3"/>
      <c r="N972" s="4">
        <v>0</v>
      </c>
      <c r="O972" s="5" t="s">
        <v>44</v>
      </c>
      <c r="P972" s="5" t="s">
        <v>44</v>
      </c>
      <c r="Q972" s="1"/>
      <c r="R972" s="2"/>
      <c r="S972" s="6"/>
      <c r="T972" t="s">
        <v>11031</v>
      </c>
      <c r="U972" t="s">
        <v>11183</v>
      </c>
      <c r="V972" t="s">
        <v>45</v>
      </c>
      <c r="W972" t="s">
        <v>43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s="4"/>
      <c r="AD972" s="4"/>
      <c r="AE972" s="2">
        <v>0</v>
      </c>
      <c r="AF972" s="4">
        <v>0</v>
      </c>
      <c r="AG972" s="2">
        <v>0</v>
      </c>
      <c r="AH972" s="2">
        <v>-20387142.25</v>
      </c>
      <c r="AI972" s="2">
        <v>-0.05</v>
      </c>
      <c r="AJ972" s="5">
        <v>44673</v>
      </c>
      <c r="AK972" t="s">
        <v>11953</v>
      </c>
      <c r="AL972" s="2">
        <v>0</v>
      </c>
      <c r="AM972" s="2">
        <v>0</v>
      </c>
      <c r="AN972" s="2">
        <v>0</v>
      </c>
      <c r="AO972" t="s">
        <v>44</v>
      </c>
      <c r="AP972" t="s">
        <v>44</v>
      </c>
      <c r="AQ972" t="s">
        <v>11182</v>
      </c>
    </row>
    <row r="973" spans="1:43" x14ac:dyDescent="0.2">
      <c r="A973" t="s">
        <v>11952</v>
      </c>
      <c r="B973" t="s">
        <v>11030</v>
      </c>
      <c r="C973" t="s">
        <v>11030</v>
      </c>
      <c r="D973" t="s">
        <v>12726</v>
      </c>
      <c r="E973" t="s">
        <v>12722</v>
      </c>
      <c r="F973" t="s">
        <v>12726</v>
      </c>
      <c r="G973" s="1">
        <v>86</v>
      </c>
      <c r="H973" s="2"/>
      <c r="I973" s="2">
        <v>0</v>
      </c>
      <c r="J973" s="2"/>
      <c r="K973" s="2"/>
      <c r="L973" s="2">
        <v>0</v>
      </c>
      <c r="M973" s="3"/>
      <c r="N973" s="4">
        <v>0</v>
      </c>
      <c r="O973" s="5" t="s">
        <v>44</v>
      </c>
      <c r="P973" s="5" t="s">
        <v>44</v>
      </c>
      <c r="Q973" s="1"/>
      <c r="R973" s="2"/>
      <c r="S973" s="6"/>
      <c r="T973" t="s">
        <v>11031</v>
      </c>
      <c r="U973" t="s">
        <v>11183</v>
      </c>
      <c r="V973" t="s">
        <v>45</v>
      </c>
      <c r="W973" t="s">
        <v>43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s="4"/>
      <c r="AD973" s="4"/>
      <c r="AE973" s="2">
        <v>0</v>
      </c>
      <c r="AF973" s="4">
        <v>0</v>
      </c>
      <c r="AG973" s="2">
        <v>0</v>
      </c>
      <c r="AH973" s="2">
        <v>-17554656.93</v>
      </c>
      <c r="AI973" s="2">
        <v>-0.04</v>
      </c>
      <c r="AJ973" s="5">
        <v>44673</v>
      </c>
      <c r="AK973" t="s">
        <v>11953</v>
      </c>
      <c r="AL973" s="2">
        <v>0</v>
      </c>
      <c r="AM973" s="2">
        <v>0</v>
      </c>
      <c r="AN973" s="2">
        <v>0</v>
      </c>
      <c r="AO973" t="s">
        <v>44</v>
      </c>
      <c r="AP973" t="s">
        <v>44</v>
      </c>
      <c r="AQ973" t="s">
        <v>11182</v>
      </c>
    </row>
    <row r="974" spans="1:43" x14ac:dyDescent="0.2">
      <c r="A974" t="s">
        <v>11952</v>
      </c>
      <c r="B974" t="s">
        <v>11030</v>
      </c>
      <c r="C974" t="s">
        <v>11030</v>
      </c>
      <c r="D974" t="s">
        <v>13002</v>
      </c>
      <c r="E974" t="s">
        <v>12996</v>
      </c>
      <c r="F974" t="s">
        <v>13002</v>
      </c>
      <c r="G974" s="1">
        <v>-60</v>
      </c>
      <c r="H974" s="2"/>
      <c r="I974" s="2">
        <v>0</v>
      </c>
      <c r="J974" s="2"/>
      <c r="K974" s="2"/>
      <c r="L974" s="2">
        <v>0</v>
      </c>
      <c r="M974" s="3"/>
      <c r="N974" s="4">
        <v>0</v>
      </c>
      <c r="O974" s="5" t="s">
        <v>44</v>
      </c>
      <c r="P974" s="5" t="s">
        <v>44</v>
      </c>
      <c r="Q974" s="1"/>
      <c r="R974" s="2"/>
      <c r="S974" s="6"/>
      <c r="T974" t="s">
        <v>11031</v>
      </c>
      <c r="U974" t="s">
        <v>11183</v>
      </c>
      <c r="V974" t="s">
        <v>45</v>
      </c>
      <c r="W974" t="s">
        <v>43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s="4"/>
      <c r="AD974" s="4"/>
      <c r="AE974" s="2">
        <v>0</v>
      </c>
      <c r="AF974" s="4">
        <v>0</v>
      </c>
      <c r="AG974" s="2">
        <v>0</v>
      </c>
      <c r="AH974" s="2">
        <v>5796522.5</v>
      </c>
      <c r="AI974" s="2">
        <v>0.01</v>
      </c>
      <c r="AJ974" s="5">
        <v>44673</v>
      </c>
      <c r="AK974" t="s">
        <v>11953</v>
      </c>
      <c r="AL974" s="2">
        <v>0</v>
      </c>
      <c r="AM974" s="2">
        <v>0</v>
      </c>
      <c r="AN974" s="2">
        <v>0</v>
      </c>
      <c r="AO974" t="s">
        <v>44</v>
      </c>
      <c r="AP974" t="s">
        <v>44</v>
      </c>
      <c r="AQ974" t="s">
        <v>11182</v>
      </c>
    </row>
    <row r="975" spans="1:43" x14ac:dyDescent="0.2">
      <c r="A975" t="s">
        <v>11952</v>
      </c>
      <c r="B975" t="s">
        <v>11030</v>
      </c>
      <c r="C975" t="s">
        <v>11030</v>
      </c>
      <c r="D975" t="s">
        <v>12744</v>
      </c>
      <c r="E975" t="s">
        <v>12739</v>
      </c>
      <c r="F975" t="s">
        <v>12744</v>
      </c>
      <c r="G975" s="1">
        <v>-61</v>
      </c>
      <c r="H975" s="2"/>
      <c r="I975" s="2">
        <v>0</v>
      </c>
      <c r="J975" s="2"/>
      <c r="K975" s="2"/>
      <c r="L975" s="2">
        <v>0</v>
      </c>
      <c r="M975" s="3"/>
      <c r="N975" s="4">
        <v>0</v>
      </c>
      <c r="O975" s="5" t="s">
        <v>44</v>
      </c>
      <c r="P975" s="5" t="s">
        <v>44</v>
      </c>
      <c r="Q975" s="1"/>
      <c r="R975" s="2"/>
      <c r="S975" s="6"/>
      <c r="T975" t="s">
        <v>11031</v>
      </c>
      <c r="U975" t="s">
        <v>11183</v>
      </c>
      <c r="V975" t="s">
        <v>45</v>
      </c>
      <c r="W975" t="s">
        <v>43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s="4"/>
      <c r="AD975" s="4"/>
      <c r="AE975" s="2">
        <v>0</v>
      </c>
      <c r="AF975" s="4">
        <v>0</v>
      </c>
      <c r="AG975" s="2">
        <v>0</v>
      </c>
      <c r="AH975" s="2">
        <v>3029079.02</v>
      </c>
      <c r="AI975" s="2">
        <v>0.01</v>
      </c>
      <c r="AJ975" s="5">
        <v>44673</v>
      </c>
      <c r="AK975" t="s">
        <v>11953</v>
      </c>
      <c r="AL975" s="2">
        <v>0</v>
      </c>
      <c r="AM975" s="2">
        <v>0</v>
      </c>
      <c r="AN975" s="2">
        <v>0</v>
      </c>
      <c r="AO975" t="s">
        <v>44</v>
      </c>
      <c r="AP975" t="s">
        <v>44</v>
      </c>
      <c r="AQ975" t="s">
        <v>11182</v>
      </c>
    </row>
    <row r="976" spans="1:43" x14ac:dyDescent="0.2">
      <c r="A976" t="s">
        <v>11954</v>
      </c>
      <c r="B976" t="s">
        <v>10900</v>
      </c>
      <c r="C976" t="s">
        <v>11049</v>
      </c>
      <c r="D976" t="s">
        <v>11453</v>
      </c>
      <c r="E976" t="s">
        <v>11454</v>
      </c>
      <c r="F976" t="s">
        <v>11453</v>
      </c>
      <c r="G976" s="1">
        <v>2000000</v>
      </c>
      <c r="H976" s="2">
        <v>2004919.48</v>
      </c>
      <c r="I976" s="2">
        <v>2007554.77</v>
      </c>
      <c r="J976" s="2">
        <v>16652.71</v>
      </c>
      <c r="K976" s="2">
        <v>0</v>
      </c>
      <c r="L976" s="2">
        <v>2024207.48</v>
      </c>
      <c r="M976" s="3">
        <v>5.0248049999999997</v>
      </c>
      <c r="N976" s="4">
        <v>4.6052899999999997E-3</v>
      </c>
      <c r="O976" s="5">
        <v>44707</v>
      </c>
      <c r="P976" s="5">
        <v>44983</v>
      </c>
      <c r="Q976" s="1">
        <v>5.4269999999999996</v>
      </c>
      <c r="R976" s="2">
        <v>0.08</v>
      </c>
      <c r="S976" s="6">
        <v>7.8644503066000002E-2</v>
      </c>
      <c r="T976" t="s">
        <v>111</v>
      </c>
      <c r="U976" t="s">
        <v>111</v>
      </c>
      <c r="V976" t="s">
        <v>11189</v>
      </c>
      <c r="W976" t="s">
        <v>43</v>
      </c>
      <c r="X976" t="s">
        <v>11034</v>
      </c>
      <c r="Y976" t="s">
        <v>44</v>
      </c>
      <c r="Z976" t="s">
        <v>44</v>
      </c>
      <c r="AA976" t="s">
        <v>11441</v>
      </c>
      <c r="AB976" t="s">
        <v>44</v>
      </c>
      <c r="AC976" s="4">
        <v>5.0879264600000003</v>
      </c>
      <c r="AD976" s="4">
        <v>4.9729969399999998</v>
      </c>
      <c r="AE976" s="2">
        <v>5.09</v>
      </c>
      <c r="AF976" s="4">
        <v>4.9729969399999998</v>
      </c>
      <c r="AG976" s="2">
        <v>1.85</v>
      </c>
      <c r="AH976" s="2">
        <v>2024207.48</v>
      </c>
      <c r="AI976" s="2">
        <v>0</v>
      </c>
      <c r="AJ976" s="5">
        <v>44673</v>
      </c>
      <c r="AK976" t="s">
        <v>11955</v>
      </c>
      <c r="AL976" s="2">
        <v>5.0199999999999996</v>
      </c>
      <c r="AM976" s="2">
        <v>5.43</v>
      </c>
      <c r="AN976" s="2">
        <v>0.08</v>
      </c>
      <c r="AO976" t="s">
        <v>11455</v>
      </c>
      <c r="AP976" t="s">
        <v>11456</v>
      </c>
      <c r="AQ976" t="s">
        <v>11454</v>
      </c>
    </row>
    <row r="977" spans="1:43" x14ac:dyDescent="0.2">
      <c r="A977" t="s">
        <v>11954</v>
      </c>
      <c r="B977" t="s">
        <v>10900</v>
      </c>
      <c r="C977" t="s">
        <v>11049</v>
      </c>
      <c r="D977" t="s">
        <v>11785</v>
      </c>
      <c r="E977" t="s">
        <v>11786</v>
      </c>
      <c r="F977" t="s">
        <v>11785</v>
      </c>
      <c r="G977" s="1">
        <v>2000000</v>
      </c>
      <c r="H977" s="2">
        <v>2014692.34</v>
      </c>
      <c r="I977" s="2">
        <v>2020427.18</v>
      </c>
      <c r="J977" s="2">
        <v>13864.55</v>
      </c>
      <c r="K977" s="2">
        <v>0</v>
      </c>
      <c r="L977" s="2">
        <v>2034291.73</v>
      </c>
      <c r="M977" s="3">
        <v>4.8216830000000002</v>
      </c>
      <c r="N977" s="4">
        <v>4.6282299999999997E-3</v>
      </c>
      <c r="O977" s="5">
        <v>44732</v>
      </c>
      <c r="P977" s="5">
        <v>44824</v>
      </c>
      <c r="Q977" s="1">
        <v>7.4420000000000002</v>
      </c>
      <c r="R977" s="2">
        <v>0.15</v>
      </c>
      <c r="S977" s="6">
        <v>0.146783072519</v>
      </c>
      <c r="T977" t="s">
        <v>111</v>
      </c>
      <c r="U977" t="s">
        <v>111</v>
      </c>
      <c r="V977" t="s">
        <v>11189</v>
      </c>
      <c r="W977" t="s">
        <v>43</v>
      </c>
      <c r="X977" t="s">
        <v>11034</v>
      </c>
      <c r="Y977" t="s">
        <v>44</v>
      </c>
      <c r="Z977" t="s">
        <v>44</v>
      </c>
      <c r="AA977" t="s">
        <v>10979</v>
      </c>
      <c r="AB977" t="s">
        <v>11441</v>
      </c>
      <c r="AC977" s="4">
        <v>4.87980444</v>
      </c>
      <c r="AD977" s="4">
        <v>4.7739498600000001</v>
      </c>
      <c r="AE977" s="2">
        <v>4.88</v>
      </c>
      <c r="AF977" s="4">
        <v>4.7739498600000001</v>
      </c>
      <c r="AG977" s="2">
        <v>1.86</v>
      </c>
      <c r="AH977" s="2">
        <v>2034291.73</v>
      </c>
      <c r="AI977" s="2">
        <v>0</v>
      </c>
      <c r="AJ977" s="5">
        <v>44673</v>
      </c>
      <c r="AK977" t="s">
        <v>11955</v>
      </c>
      <c r="AL977" s="2">
        <v>4.82</v>
      </c>
      <c r="AM977" s="2">
        <v>7.44</v>
      </c>
      <c r="AN977" s="2">
        <v>0.15</v>
      </c>
      <c r="AO977" t="s">
        <v>11054</v>
      </c>
      <c r="AP977" t="s">
        <v>11787</v>
      </c>
      <c r="AQ977" t="s">
        <v>11786</v>
      </c>
    </row>
    <row r="978" spans="1:43" x14ac:dyDescent="0.2">
      <c r="A978" t="s">
        <v>11954</v>
      </c>
      <c r="B978" t="s">
        <v>10900</v>
      </c>
      <c r="C978" t="s">
        <v>11049</v>
      </c>
      <c r="D978" t="s">
        <v>11956</v>
      </c>
      <c r="E978" t="s">
        <v>11957</v>
      </c>
      <c r="F978" t="s">
        <v>11956</v>
      </c>
      <c r="G978" s="1">
        <v>2000000</v>
      </c>
      <c r="H978" s="2">
        <v>2001262.22</v>
      </c>
      <c r="I978" s="2">
        <v>2004619.86</v>
      </c>
      <c r="J978" s="2">
        <v>21993.040000000001</v>
      </c>
      <c r="K978" s="2">
        <v>0</v>
      </c>
      <c r="L978" s="2">
        <v>2026612.9</v>
      </c>
      <c r="M978" s="3">
        <v>5.1338650000000001</v>
      </c>
      <c r="N978" s="4">
        <v>4.6107600000000002E-3</v>
      </c>
      <c r="O978" s="5">
        <v>44697</v>
      </c>
      <c r="P978" s="5">
        <v>44788</v>
      </c>
      <c r="Q978" s="1">
        <v>5.8170000000000002</v>
      </c>
      <c r="R978" s="2">
        <v>0.06</v>
      </c>
      <c r="S978" s="6">
        <v>5.3630172561E-2</v>
      </c>
      <c r="T978" t="s">
        <v>111</v>
      </c>
      <c r="U978" t="s">
        <v>111</v>
      </c>
      <c r="V978" t="s">
        <v>11189</v>
      </c>
      <c r="W978" t="s">
        <v>43</v>
      </c>
      <c r="X978" t="s">
        <v>11034</v>
      </c>
      <c r="Y978" t="s">
        <v>44</v>
      </c>
      <c r="Z978" t="s">
        <v>44</v>
      </c>
      <c r="AA978" t="s">
        <v>11225</v>
      </c>
      <c r="AB978" t="s">
        <v>44</v>
      </c>
      <c r="AC978" s="4">
        <v>5.1997564000000001</v>
      </c>
      <c r="AD978" s="4">
        <v>5.0798014499999997</v>
      </c>
      <c r="AE978" s="2">
        <v>5.2</v>
      </c>
      <c r="AF978" s="4">
        <v>5.0798014499999997</v>
      </c>
      <c r="AG978" s="2">
        <v>1.85</v>
      </c>
      <c r="AH978" s="2">
        <v>2026612.9</v>
      </c>
      <c r="AI978" s="2">
        <v>0</v>
      </c>
      <c r="AJ978" s="5">
        <v>44673</v>
      </c>
      <c r="AK978" t="s">
        <v>11955</v>
      </c>
      <c r="AL978" s="2">
        <v>5.13</v>
      </c>
      <c r="AM978" s="2">
        <v>5.82</v>
      </c>
      <c r="AN978" s="2">
        <v>0.05</v>
      </c>
      <c r="AO978" t="s">
        <v>11817</v>
      </c>
      <c r="AP978" t="s">
        <v>11958</v>
      </c>
      <c r="AQ978" t="s">
        <v>11957</v>
      </c>
    </row>
    <row r="979" spans="1:43" x14ac:dyDescent="0.2">
      <c r="A979" t="s">
        <v>11954</v>
      </c>
      <c r="B979" t="s">
        <v>10900</v>
      </c>
      <c r="C979" t="s">
        <v>11049</v>
      </c>
      <c r="D979" t="s">
        <v>11463</v>
      </c>
      <c r="E979" t="s">
        <v>11464</v>
      </c>
      <c r="F979" t="s">
        <v>11463</v>
      </c>
      <c r="G979" s="1">
        <v>2000000</v>
      </c>
      <c r="H979" s="2">
        <v>2008020.48</v>
      </c>
      <c r="I979" s="2">
        <v>2007947.38</v>
      </c>
      <c r="J979" s="2">
        <v>15261.81</v>
      </c>
      <c r="K979" s="2">
        <v>0</v>
      </c>
      <c r="L979" s="2">
        <v>2023209.19</v>
      </c>
      <c r="M979" s="3">
        <v>5.5214679999999996</v>
      </c>
      <c r="N979" s="4">
        <v>4.6030200000000002E-3</v>
      </c>
      <c r="O979" s="5">
        <v>44733</v>
      </c>
      <c r="P979" s="5">
        <v>44733</v>
      </c>
      <c r="Q979" s="1">
        <v>8.1920000000000002</v>
      </c>
      <c r="R979" s="2">
        <v>0.16</v>
      </c>
      <c r="S979" s="6">
        <v>0.14786153473499999</v>
      </c>
      <c r="T979" t="s">
        <v>111</v>
      </c>
      <c r="U979" t="s">
        <v>111</v>
      </c>
      <c r="V979" t="s">
        <v>11189</v>
      </c>
      <c r="W979" t="s">
        <v>43</v>
      </c>
      <c r="X979" t="s">
        <v>11034</v>
      </c>
      <c r="Y979" t="s">
        <v>44</v>
      </c>
      <c r="Z979" t="s">
        <v>44</v>
      </c>
      <c r="AA979" t="s">
        <v>11035</v>
      </c>
      <c r="AB979" t="s">
        <v>11465</v>
      </c>
      <c r="AC979" s="4">
        <v>5.5976845400000004</v>
      </c>
      <c r="AD979" s="4">
        <v>5.4590052800000004</v>
      </c>
      <c r="AE979" s="2">
        <v>5.6</v>
      </c>
      <c r="AF979" s="4">
        <v>5.4590052800000004</v>
      </c>
      <c r="AG979" s="2">
        <v>1.85</v>
      </c>
      <c r="AH979" s="2">
        <v>2023209.19</v>
      </c>
      <c r="AI979" s="2">
        <v>0</v>
      </c>
      <c r="AJ979" s="5">
        <v>44673</v>
      </c>
      <c r="AK979" t="s">
        <v>11955</v>
      </c>
      <c r="AL979" s="2">
        <v>5.52</v>
      </c>
      <c r="AM979" s="2">
        <v>8.19</v>
      </c>
      <c r="AN979" s="2">
        <v>0.15</v>
      </c>
      <c r="AO979" t="s">
        <v>11053</v>
      </c>
      <c r="AP979" t="s">
        <v>11466</v>
      </c>
      <c r="AQ979" t="s">
        <v>11464</v>
      </c>
    </row>
    <row r="980" spans="1:43" x14ac:dyDescent="0.2">
      <c r="A980" t="s">
        <v>11954</v>
      </c>
      <c r="B980" t="s">
        <v>10900</v>
      </c>
      <c r="C980" t="s">
        <v>11049</v>
      </c>
      <c r="D980" t="s">
        <v>11959</v>
      </c>
      <c r="E980" t="s">
        <v>11960</v>
      </c>
      <c r="F980" t="s">
        <v>11959</v>
      </c>
      <c r="G980" s="1">
        <v>2000000</v>
      </c>
      <c r="H980" s="2">
        <v>2001948.78</v>
      </c>
      <c r="I980" s="2">
        <v>2001854.72</v>
      </c>
      <c r="J980" s="2">
        <v>12542.47</v>
      </c>
      <c r="K980" s="2">
        <v>0</v>
      </c>
      <c r="L980" s="2">
        <v>2014397.19</v>
      </c>
      <c r="M980" s="3">
        <v>5.1678660000000001</v>
      </c>
      <c r="N980" s="4">
        <v>4.5829699999999996E-3</v>
      </c>
      <c r="O980" s="5">
        <v>44725</v>
      </c>
      <c r="P980" s="5">
        <v>44816</v>
      </c>
      <c r="Q980" s="1">
        <v>5.45</v>
      </c>
      <c r="R980" s="2">
        <v>0.13</v>
      </c>
      <c r="S980" s="6">
        <v>0.1261341168</v>
      </c>
      <c r="T980" t="s">
        <v>111</v>
      </c>
      <c r="U980" t="s">
        <v>111</v>
      </c>
      <c r="V980" t="s">
        <v>11189</v>
      </c>
      <c r="W980" t="s">
        <v>43</v>
      </c>
      <c r="X980" t="s">
        <v>11034</v>
      </c>
      <c r="Y980" t="s">
        <v>44</v>
      </c>
      <c r="Z980" t="s">
        <v>44</v>
      </c>
      <c r="AA980" t="s">
        <v>11035</v>
      </c>
      <c r="AB980" t="s">
        <v>44</v>
      </c>
      <c r="AC980" s="4">
        <v>5.2346334099999998</v>
      </c>
      <c r="AD980" s="4">
        <v>5.1130898599999997</v>
      </c>
      <c r="AE980" s="2">
        <v>5.23</v>
      </c>
      <c r="AF980" s="4">
        <v>5.1130898599999997</v>
      </c>
      <c r="AG980" s="2">
        <v>1.84</v>
      </c>
      <c r="AH980" s="2">
        <v>2014397.19</v>
      </c>
      <c r="AI980" s="2">
        <v>0</v>
      </c>
      <c r="AJ980" s="5">
        <v>44673</v>
      </c>
      <c r="AK980" t="s">
        <v>11955</v>
      </c>
      <c r="AL980" s="2">
        <v>5.17</v>
      </c>
      <c r="AM980" s="2">
        <v>5.45</v>
      </c>
      <c r="AN980" s="2">
        <v>0.13</v>
      </c>
      <c r="AO980" t="s">
        <v>11053</v>
      </c>
      <c r="AP980" t="s">
        <v>11961</v>
      </c>
      <c r="AQ980" t="s">
        <v>11960</v>
      </c>
    </row>
    <row r="981" spans="1:43" x14ac:dyDescent="0.2">
      <c r="A981" t="s">
        <v>11954</v>
      </c>
      <c r="B981" t="s">
        <v>10900</v>
      </c>
      <c r="C981" t="s">
        <v>11049</v>
      </c>
      <c r="D981" t="s">
        <v>11913</v>
      </c>
      <c r="E981" t="s">
        <v>11914</v>
      </c>
      <c r="F981" t="s">
        <v>11913</v>
      </c>
      <c r="G981" s="1">
        <v>1000000</v>
      </c>
      <c r="H981" s="2">
        <v>1004544.16</v>
      </c>
      <c r="I981" s="2">
        <v>1005227.93</v>
      </c>
      <c r="J981" s="2">
        <v>14689.64</v>
      </c>
      <c r="K981" s="2">
        <v>0</v>
      </c>
      <c r="L981" s="2">
        <v>1019917.57</v>
      </c>
      <c r="M981" s="3">
        <v>5.3153990000000002</v>
      </c>
      <c r="N981" s="4">
        <v>2.3204200000000001E-3</v>
      </c>
      <c r="O981" s="5">
        <v>44676</v>
      </c>
      <c r="P981" s="5">
        <v>44858</v>
      </c>
      <c r="Q981" s="1">
        <v>5.8920000000000003</v>
      </c>
      <c r="R981" s="2">
        <v>0.25</v>
      </c>
      <c r="S981" s="6">
        <v>-1.386882034E-3</v>
      </c>
      <c r="T981" t="s">
        <v>111</v>
      </c>
      <c r="U981" t="s">
        <v>111</v>
      </c>
      <c r="V981" t="s">
        <v>11189</v>
      </c>
      <c r="W981" t="s">
        <v>43</v>
      </c>
      <c r="X981" t="s">
        <v>11034</v>
      </c>
      <c r="Y981" t="s">
        <v>44</v>
      </c>
      <c r="Z981" t="s">
        <v>44</v>
      </c>
      <c r="AA981" t="s">
        <v>44</v>
      </c>
      <c r="AB981" t="s">
        <v>44</v>
      </c>
      <c r="AC981" s="4">
        <v>5.3860322900000002</v>
      </c>
      <c r="AD981" s="4">
        <v>5.2574756100000002</v>
      </c>
      <c r="AE981" s="2">
        <v>5.39</v>
      </c>
      <c r="AF981" s="4">
        <v>5.2574756100000002</v>
      </c>
      <c r="AG981" s="2">
        <v>0.93</v>
      </c>
      <c r="AH981" s="2">
        <v>1019917.57</v>
      </c>
      <c r="AI981" s="2">
        <v>0</v>
      </c>
      <c r="AJ981" s="5">
        <v>44673</v>
      </c>
      <c r="AK981" t="s">
        <v>11955</v>
      </c>
      <c r="AL981" s="2">
        <v>5.32</v>
      </c>
      <c r="AM981" s="2">
        <v>5.89</v>
      </c>
      <c r="AN981" s="2">
        <v>0</v>
      </c>
      <c r="AO981" t="s">
        <v>11527</v>
      </c>
      <c r="AP981" t="s">
        <v>11915</v>
      </c>
      <c r="AQ981" t="s">
        <v>11914</v>
      </c>
    </row>
    <row r="982" spans="1:43" x14ac:dyDescent="0.2">
      <c r="A982" t="s">
        <v>11954</v>
      </c>
      <c r="B982" t="s">
        <v>10900</v>
      </c>
      <c r="C982" t="s">
        <v>11049</v>
      </c>
      <c r="D982" t="s">
        <v>11797</v>
      </c>
      <c r="E982" t="s">
        <v>11798</v>
      </c>
      <c r="F982" t="s">
        <v>11797</v>
      </c>
      <c r="G982" s="1">
        <v>2500000</v>
      </c>
      <c r="H982" s="2">
        <v>2500000</v>
      </c>
      <c r="I982" s="2">
        <v>2541791.2200000002</v>
      </c>
      <c r="J982" s="2">
        <v>16809.93</v>
      </c>
      <c r="K982" s="2">
        <v>0</v>
      </c>
      <c r="L982" s="2">
        <v>2558601.15</v>
      </c>
      <c r="M982" s="3">
        <v>5.7687520000000001</v>
      </c>
      <c r="N982" s="4">
        <v>5.8210900000000001E-3</v>
      </c>
      <c r="O982" s="5">
        <v>44742</v>
      </c>
      <c r="P982" s="5">
        <v>44834</v>
      </c>
      <c r="Q982" s="1">
        <v>9.8170000000000002</v>
      </c>
      <c r="R982" s="2">
        <v>0.18</v>
      </c>
      <c r="S982" s="6">
        <v>0.17046604942900001</v>
      </c>
      <c r="T982" t="s">
        <v>111</v>
      </c>
      <c r="U982" t="s">
        <v>111</v>
      </c>
      <c r="V982" t="s">
        <v>11189</v>
      </c>
      <c r="W982" t="s">
        <v>43</v>
      </c>
      <c r="X982" t="s">
        <v>11034</v>
      </c>
      <c r="Y982" t="s">
        <v>44</v>
      </c>
      <c r="Z982" t="s">
        <v>44</v>
      </c>
      <c r="AA982" t="s">
        <v>11035</v>
      </c>
      <c r="AB982" t="s">
        <v>2680</v>
      </c>
      <c r="AC982" s="4">
        <v>5.8519482600000003</v>
      </c>
      <c r="AD982" s="4">
        <v>5.7006194399999996</v>
      </c>
      <c r="AE982" s="2">
        <v>5.85</v>
      </c>
      <c r="AF982" s="4">
        <v>5.7006194399999996</v>
      </c>
      <c r="AG982" s="2">
        <v>2.34</v>
      </c>
      <c r="AH982" s="2">
        <v>2558601.15</v>
      </c>
      <c r="AI982" s="2">
        <v>0.01</v>
      </c>
      <c r="AJ982" s="5">
        <v>44673</v>
      </c>
      <c r="AK982" t="s">
        <v>11955</v>
      </c>
      <c r="AL982" s="2">
        <v>5.77</v>
      </c>
      <c r="AM982" s="2">
        <v>9.82</v>
      </c>
      <c r="AN982" s="2">
        <v>0.17</v>
      </c>
      <c r="AO982" t="s">
        <v>11496</v>
      </c>
      <c r="AP982" t="s">
        <v>11799</v>
      </c>
      <c r="AQ982" t="s">
        <v>11798</v>
      </c>
    </row>
    <row r="983" spans="1:43" x14ac:dyDescent="0.2">
      <c r="A983" t="s">
        <v>11954</v>
      </c>
      <c r="B983" t="s">
        <v>10900</v>
      </c>
      <c r="C983" t="s">
        <v>11049</v>
      </c>
      <c r="D983" t="s">
        <v>11494</v>
      </c>
      <c r="E983" t="s">
        <v>11495</v>
      </c>
      <c r="F983" t="s">
        <v>11494</v>
      </c>
      <c r="G983" s="1">
        <v>2000000</v>
      </c>
      <c r="H983" s="2">
        <v>2029074.15</v>
      </c>
      <c r="I983" s="2">
        <v>2031793.83</v>
      </c>
      <c r="J983" s="2">
        <v>28026.85</v>
      </c>
      <c r="K983" s="2">
        <v>0</v>
      </c>
      <c r="L983" s="2">
        <v>2059820.68</v>
      </c>
      <c r="M983" s="3">
        <v>5.349933</v>
      </c>
      <c r="N983" s="4">
        <v>4.68631E-3</v>
      </c>
      <c r="O983" s="5">
        <v>44694</v>
      </c>
      <c r="P983" s="5">
        <v>44970</v>
      </c>
      <c r="Q983" s="1">
        <v>7.3070000000000004</v>
      </c>
      <c r="R983" s="2">
        <v>0.05</v>
      </c>
      <c r="S983" s="6">
        <v>4.8092249657999998E-2</v>
      </c>
      <c r="T983" t="s">
        <v>111</v>
      </c>
      <c r="U983" t="s">
        <v>111</v>
      </c>
      <c r="V983" t="s">
        <v>11189</v>
      </c>
      <c r="W983" t="s">
        <v>43</v>
      </c>
      <c r="X983" t="s">
        <v>11034</v>
      </c>
      <c r="Y983" t="s">
        <v>44</v>
      </c>
      <c r="Z983" t="s">
        <v>44</v>
      </c>
      <c r="AA983" t="s">
        <v>11035</v>
      </c>
      <c r="AB983" t="s">
        <v>44</v>
      </c>
      <c r="AC983" s="4">
        <v>5.4214878100000004</v>
      </c>
      <c r="AD983" s="4">
        <v>5.2912612699999997</v>
      </c>
      <c r="AE983" s="2">
        <v>5.42</v>
      </c>
      <c r="AF983" s="4">
        <v>5.2912612699999997</v>
      </c>
      <c r="AG983" s="2">
        <v>1.88</v>
      </c>
      <c r="AH983" s="2">
        <v>2059820.68</v>
      </c>
      <c r="AI983" s="2">
        <v>0</v>
      </c>
      <c r="AJ983" s="5">
        <v>44673</v>
      </c>
      <c r="AK983" t="s">
        <v>11955</v>
      </c>
      <c r="AL983" s="2">
        <v>5.35</v>
      </c>
      <c r="AM983" s="2">
        <v>7.31</v>
      </c>
      <c r="AN983" s="2">
        <v>0.05</v>
      </c>
      <c r="AO983" t="s">
        <v>11496</v>
      </c>
      <c r="AP983" t="s">
        <v>11497</v>
      </c>
      <c r="AQ983" t="s">
        <v>11495</v>
      </c>
    </row>
    <row r="984" spans="1:43" x14ac:dyDescent="0.2">
      <c r="A984" t="s">
        <v>11954</v>
      </c>
      <c r="B984" t="s">
        <v>10900</v>
      </c>
      <c r="C984" t="s">
        <v>11033</v>
      </c>
      <c r="D984" t="s">
        <v>11803</v>
      </c>
      <c r="E984" t="s">
        <v>11804</v>
      </c>
      <c r="F984" t="s">
        <v>11803</v>
      </c>
      <c r="G984" s="1">
        <v>1700000</v>
      </c>
      <c r="H984" s="2">
        <v>1700000</v>
      </c>
      <c r="I984" s="2">
        <v>1720219.71</v>
      </c>
      <c r="J984" s="2">
        <v>17389</v>
      </c>
      <c r="K984" s="2">
        <v>0</v>
      </c>
      <c r="L984" s="2">
        <v>1737608.71</v>
      </c>
      <c r="M984" s="3">
        <v>5.9316740000000001</v>
      </c>
      <c r="N984" s="4">
        <v>3.9532500000000002E-3</v>
      </c>
      <c r="O984" s="5">
        <v>44711</v>
      </c>
      <c r="P984" s="5">
        <v>45259</v>
      </c>
      <c r="Q984" s="1">
        <v>6.6669999999999998</v>
      </c>
      <c r="R984" s="2">
        <v>0.1</v>
      </c>
      <c r="S984" s="6">
        <v>8.3360787894999996E-2</v>
      </c>
      <c r="T984" t="s">
        <v>111</v>
      </c>
      <c r="U984" t="s">
        <v>111</v>
      </c>
      <c r="V984" t="s">
        <v>11189</v>
      </c>
      <c r="W984" t="s">
        <v>43</v>
      </c>
      <c r="X984" t="s">
        <v>11034</v>
      </c>
      <c r="Y984" t="s">
        <v>44</v>
      </c>
      <c r="Z984" t="s">
        <v>44</v>
      </c>
      <c r="AA984" t="s">
        <v>10979</v>
      </c>
      <c r="AB984" t="s">
        <v>44</v>
      </c>
      <c r="AC984" s="4">
        <v>6.0196354200000002</v>
      </c>
      <c r="AD984" s="4">
        <v>5.8596732400000002</v>
      </c>
      <c r="AE984" s="2">
        <v>6.02</v>
      </c>
      <c r="AF984" s="4">
        <v>5.8596732400000002</v>
      </c>
      <c r="AG984" s="2">
        <v>1.59</v>
      </c>
      <c r="AH984" s="2">
        <v>1737608.71</v>
      </c>
      <c r="AI984" s="2">
        <v>0</v>
      </c>
      <c r="AJ984" s="5">
        <v>44673</v>
      </c>
      <c r="AK984" t="s">
        <v>11955</v>
      </c>
      <c r="AL984" s="2">
        <v>5.93</v>
      </c>
      <c r="AM984" s="2">
        <v>6.67</v>
      </c>
      <c r="AN984" s="2">
        <v>0.08</v>
      </c>
      <c r="AO984" t="s">
        <v>11165</v>
      </c>
      <c r="AP984" t="s">
        <v>11805</v>
      </c>
      <c r="AQ984" t="s">
        <v>11804</v>
      </c>
    </row>
    <row r="985" spans="1:43" x14ac:dyDescent="0.2">
      <c r="A985" t="s">
        <v>11954</v>
      </c>
      <c r="B985" t="s">
        <v>10900</v>
      </c>
      <c r="C985" t="s">
        <v>11033</v>
      </c>
      <c r="D985" t="s">
        <v>11501</v>
      </c>
      <c r="E985" t="s">
        <v>11502</v>
      </c>
      <c r="F985" t="s">
        <v>11501</v>
      </c>
      <c r="G985" s="1">
        <v>2000000</v>
      </c>
      <c r="H985" s="2">
        <v>2003837.9</v>
      </c>
      <c r="I985" s="2">
        <v>2004003.06</v>
      </c>
      <c r="J985" s="2">
        <v>7788.6</v>
      </c>
      <c r="K985" s="2">
        <v>0</v>
      </c>
      <c r="L985" s="2">
        <v>2011791.66</v>
      </c>
      <c r="M985" s="3">
        <v>5.2487519999999996</v>
      </c>
      <c r="N985" s="4">
        <v>4.5770400000000001E-3</v>
      </c>
      <c r="O985" s="5">
        <v>44742</v>
      </c>
      <c r="P985" s="5">
        <v>45383</v>
      </c>
      <c r="Q985" s="1">
        <v>5.4669999999999996</v>
      </c>
      <c r="R985" s="2">
        <v>0.18</v>
      </c>
      <c r="S985" s="6">
        <v>0.16209118744199999</v>
      </c>
      <c r="T985" t="s">
        <v>111</v>
      </c>
      <c r="U985" t="s">
        <v>111</v>
      </c>
      <c r="V985" t="s">
        <v>11189</v>
      </c>
      <c r="W985" t="s">
        <v>43</v>
      </c>
      <c r="X985" t="s">
        <v>11034</v>
      </c>
      <c r="Y985" t="s">
        <v>44</v>
      </c>
      <c r="Z985" t="s">
        <v>44</v>
      </c>
      <c r="AA985" t="s">
        <v>10979</v>
      </c>
      <c r="AB985" t="s">
        <v>44</v>
      </c>
      <c r="AC985" s="4">
        <v>5.3176255100000001</v>
      </c>
      <c r="AD985" s="4">
        <v>5.1922611500000002</v>
      </c>
      <c r="AE985" s="2">
        <v>5.32</v>
      </c>
      <c r="AF985" s="4">
        <v>5.1922611500000002</v>
      </c>
      <c r="AG985" s="2">
        <v>1.84</v>
      </c>
      <c r="AH985" s="2">
        <v>2011791.66</v>
      </c>
      <c r="AI985" s="2">
        <v>0</v>
      </c>
      <c r="AJ985" s="5">
        <v>44673</v>
      </c>
      <c r="AK985" t="s">
        <v>11955</v>
      </c>
      <c r="AL985" s="2">
        <v>5.25</v>
      </c>
      <c r="AM985" s="2">
        <v>5.47</v>
      </c>
      <c r="AN985" s="2">
        <v>0.16</v>
      </c>
      <c r="AO985" t="s">
        <v>11165</v>
      </c>
      <c r="AP985" t="s">
        <v>11503</v>
      </c>
      <c r="AQ985" t="s">
        <v>11502</v>
      </c>
    </row>
    <row r="986" spans="1:43" x14ac:dyDescent="0.2">
      <c r="A986" t="s">
        <v>11954</v>
      </c>
      <c r="B986" t="s">
        <v>10900</v>
      </c>
      <c r="C986" t="s">
        <v>11033</v>
      </c>
      <c r="D986" t="s">
        <v>11518</v>
      </c>
      <c r="E986" t="s">
        <v>11519</v>
      </c>
      <c r="F986" t="s">
        <v>11518</v>
      </c>
      <c r="G986" s="1">
        <v>1900000</v>
      </c>
      <c r="H986" s="2">
        <v>1900000</v>
      </c>
      <c r="I986" s="2">
        <v>1906028.49</v>
      </c>
      <c r="J986" s="2">
        <v>20470.34</v>
      </c>
      <c r="K986" s="2">
        <v>0</v>
      </c>
      <c r="L986" s="2">
        <v>1926498.83</v>
      </c>
      <c r="M986" s="3">
        <v>6.0730570000000004</v>
      </c>
      <c r="N986" s="4">
        <v>4.3829899999999998E-3</v>
      </c>
      <c r="O986" s="5">
        <v>44704</v>
      </c>
      <c r="P986" s="5">
        <v>45159</v>
      </c>
      <c r="Q986" s="1">
        <v>6.242</v>
      </c>
      <c r="R986" s="2">
        <v>0.08</v>
      </c>
      <c r="S986" s="6">
        <v>5.9720457003999999E-2</v>
      </c>
      <c r="T986" t="s">
        <v>111</v>
      </c>
      <c r="U986" t="s">
        <v>111</v>
      </c>
      <c r="V986" t="s">
        <v>11189</v>
      </c>
      <c r="W986" t="s">
        <v>43</v>
      </c>
      <c r="X986" t="s">
        <v>11034</v>
      </c>
      <c r="Y986" t="s">
        <v>44</v>
      </c>
      <c r="Z986" t="s">
        <v>44</v>
      </c>
      <c r="AA986" t="s">
        <v>11441</v>
      </c>
      <c r="AB986" t="s">
        <v>44</v>
      </c>
      <c r="AC986" s="4">
        <v>6.1652619800000004</v>
      </c>
      <c r="AD986" s="4">
        <v>5.9976152599999999</v>
      </c>
      <c r="AE986" s="2">
        <v>6.17</v>
      </c>
      <c r="AF986" s="4">
        <v>5.9976152599999999</v>
      </c>
      <c r="AG986" s="2">
        <v>1.76</v>
      </c>
      <c r="AH986" s="2">
        <v>1926498.83</v>
      </c>
      <c r="AI986" s="2">
        <v>0</v>
      </c>
      <c r="AJ986" s="5">
        <v>44673</v>
      </c>
      <c r="AK986" t="s">
        <v>11955</v>
      </c>
      <c r="AL986" s="2">
        <v>6.07</v>
      </c>
      <c r="AM986" s="2">
        <v>6.24</v>
      </c>
      <c r="AN986" s="2">
        <v>0.06</v>
      </c>
      <c r="AO986" t="s">
        <v>11520</v>
      </c>
      <c r="AP986" t="s">
        <v>11521</v>
      </c>
      <c r="AQ986" t="s">
        <v>11519</v>
      </c>
    </row>
    <row r="987" spans="1:43" x14ac:dyDescent="0.2">
      <c r="A987" t="s">
        <v>11954</v>
      </c>
      <c r="B987" t="s">
        <v>10900</v>
      </c>
      <c r="C987" t="s">
        <v>11033</v>
      </c>
      <c r="D987" t="s">
        <v>11059</v>
      </c>
      <c r="E987" t="s">
        <v>11060</v>
      </c>
      <c r="F987" t="s">
        <v>11059</v>
      </c>
      <c r="G987" s="1">
        <v>581000</v>
      </c>
      <c r="H987" s="2">
        <v>629442.67000000004</v>
      </c>
      <c r="I987" s="2">
        <v>622515.76</v>
      </c>
      <c r="J987" s="2">
        <v>23271.84</v>
      </c>
      <c r="K987" s="2">
        <v>0</v>
      </c>
      <c r="L987" s="2">
        <v>645787.6</v>
      </c>
      <c r="M987" s="3">
        <v>7.69</v>
      </c>
      <c r="N987" s="4">
        <v>1.4692399999999999E-3</v>
      </c>
      <c r="O987" s="5">
        <v>44722</v>
      </c>
      <c r="P987" s="5">
        <v>45636</v>
      </c>
      <c r="Q987" s="1">
        <v>10.75</v>
      </c>
      <c r="R987" s="2">
        <v>2.2799999999999998</v>
      </c>
      <c r="S987" s="6">
        <v>2.1998010890000002</v>
      </c>
      <c r="T987" t="s">
        <v>111</v>
      </c>
      <c r="U987" t="s">
        <v>111</v>
      </c>
      <c r="V987" t="s">
        <v>10944</v>
      </c>
      <c r="W987" t="s">
        <v>43</v>
      </c>
      <c r="X987" t="s">
        <v>10988</v>
      </c>
      <c r="Y987" t="s">
        <v>44</v>
      </c>
      <c r="Z987" t="s">
        <v>44</v>
      </c>
      <c r="AA987" t="s">
        <v>10979</v>
      </c>
      <c r="AB987" t="s">
        <v>44</v>
      </c>
      <c r="AC987" s="4">
        <v>7.8378402500000002</v>
      </c>
      <c r="AD987" s="4">
        <v>7.5696180699999998</v>
      </c>
      <c r="AE987" s="2">
        <v>7.84</v>
      </c>
      <c r="AF987" s="4">
        <v>7.5696180699999998</v>
      </c>
      <c r="AG987" s="2">
        <v>0.59</v>
      </c>
      <c r="AH987" s="2">
        <v>645787.6</v>
      </c>
      <c r="AI987" s="2">
        <v>0</v>
      </c>
      <c r="AJ987" s="5">
        <v>44673</v>
      </c>
      <c r="AK987" t="s">
        <v>11955</v>
      </c>
      <c r="AL987" s="2">
        <v>7.69</v>
      </c>
      <c r="AM987" s="2">
        <v>10.75</v>
      </c>
      <c r="AN987" s="2">
        <v>2.2000000000000002</v>
      </c>
      <c r="AO987" t="s">
        <v>11054</v>
      </c>
      <c r="AP987" t="s">
        <v>11061</v>
      </c>
      <c r="AQ987" t="s">
        <v>11060</v>
      </c>
    </row>
    <row r="988" spans="1:43" x14ac:dyDescent="0.2">
      <c r="A988" t="s">
        <v>11954</v>
      </c>
      <c r="B988" t="s">
        <v>10900</v>
      </c>
      <c r="C988" t="s">
        <v>11033</v>
      </c>
      <c r="D988" t="s">
        <v>11812</v>
      </c>
      <c r="E988" t="s">
        <v>11813</v>
      </c>
      <c r="F988" t="s">
        <v>11812</v>
      </c>
      <c r="G988" s="1">
        <v>233000</v>
      </c>
      <c r="H988" s="2">
        <v>2792149.28</v>
      </c>
      <c r="I988" s="2">
        <v>3692492.47</v>
      </c>
      <c r="J988" s="2">
        <v>113689.59</v>
      </c>
      <c r="K988" s="2">
        <v>0</v>
      </c>
      <c r="L988" s="2">
        <v>3806182.06</v>
      </c>
      <c r="M988" s="3"/>
      <c r="N988" s="4">
        <v>8.6594700000000007E-3</v>
      </c>
      <c r="O988" s="5">
        <v>44676</v>
      </c>
      <c r="P988" s="5">
        <v>45039</v>
      </c>
      <c r="Q988" s="1">
        <v>6.25</v>
      </c>
      <c r="R988" s="2">
        <v>2.71</v>
      </c>
      <c r="S988" s="6">
        <v>2.63</v>
      </c>
      <c r="T988" t="s">
        <v>111</v>
      </c>
      <c r="U988" t="s">
        <v>111</v>
      </c>
      <c r="V988" t="s">
        <v>10944</v>
      </c>
      <c r="W988" t="s">
        <v>113</v>
      </c>
      <c r="X988" t="s">
        <v>44</v>
      </c>
      <c r="Y988" t="s">
        <v>44</v>
      </c>
      <c r="Z988" t="s">
        <v>44</v>
      </c>
      <c r="AA988" t="s">
        <v>10979</v>
      </c>
      <c r="AB988" t="s">
        <v>11465</v>
      </c>
      <c r="AC988" s="4"/>
      <c r="AD988" s="4"/>
      <c r="AE988" s="2">
        <v>0</v>
      </c>
      <c r="AF988" s="4">
        <v>0</v>
      </c>
      <c r="AG988" s="2">
        <v>3.48</v>
      </c>
      <c r="AH988" s="2">
        <v>3806182.06</v>
      </c>
      <c r="AI988" s="2">
        <v>0.01</v>
      </c>
      <c r="AJ988" s="5">
        <v>44673</v>
      </c>
      <c r="AK988" t="s">
        <v>11955</v>
      </c>
      <c r="AL988" s="2">
        <v>0</v>
      </c>
      <c r="AM988" s="2">
        <v>6.25</v>
      </c>
      <c r="AN988" s="2">
        <v>2.63</v>
      </c>
      <c r="AO988" t="s">
        <v>11054</v>
      </c>
      <c r="AP988" t="s">
        <v>11814</v>
      </c>
      <c r="AQ988" t="s">
        <v>11813</v>
      </c>
    </row>
    <row r="989" spans="1:43" x14ac:dyDescent="0.2">
      <c r="A989" t="s">
        <v>11954</v>
      </c>
      <c r="B989" t="s">
        <v>10900</v>
      </c>
      <c r="C989" t="s">
        <v>11033</v>
      </c>
      <c r="D989" t="s">
        <v>11815</v>
      </c>
      <c r="E989" t="s">
        <v>11816</v>
      </c>
      <c r="F989" t="s">
        <v>11815</v>
      </c>
      <c r="G989" s="1">
        <v>800000</v>
      </c>
      <c r="H989" s="2">
        <v>800000</v>
      </c>
      <c r="I989" s="2">
        <v>799957.45</v>
      </c>
      <c r="J989" s="2">
        <v>9175.2999999999993</v>
      </c>
      <c r="K989" s="2">
        <v>0</v>
      </c>
      <c r="L989" s="2">
        <v>809132.75</v>
      </c>
      <c r="M989" s="3">
        <v>6.1638650000000004</v>
      </c>
      <c r="N989" s="4">
        <v>1.8408599999999999E-3</v>
      </c>
      <c r="O989" s="5">
        <v>44697</v>
      </c>
      <c r="P989" s="5">
        <v>45519</v>
      </c>
      <c r="Q989" s="1">
        <v>6.0670000000000002</v>
      </c>
      <c r="R989" s="2">
        <v>0.06</v>
      </c>
      <c r="S989" s="6">
        <v>2.7386669091000002E-2</v>
      </c>
      <c r="T989" t="s">
        <v>111</v>
      </c>
      <c r="U989" t="s">
        <v>111</v>
      </c>
      <c r="V989" t="s">
        <v>11189</v>
      </c>
      <c r="W989" t="s">
        <v>43</v>
      </c>
      <c r="X989" t="s">
        <v>11034</v>
      </c>
      <c r="Y989" t="s">
        <v>44</v>
      </c>
      <c r="Z989" t="s">
        <v>44</v>
      </c>
      <c r="AA989" t="s">
        <v>11225</v>
      </c>
      <c r="AB989" t="s">
        <v>44</v>
      </c>
      <c r="AC989" s="4">
        <v>6.2588480500000001</v>
      </c>
      <c r="AD989" s="4">
        <v>6.0861713799999997</v>
      </c>
      <c r="AE989" s="2">
        <v>6.26</v>
      </c>
      <c r="AF989" s="4">
        <v>6.0861713799999997</v>
      </c>
      <c r="AG989" s="2">
        <v>0.74</v>
      </c>
      <c r="AH989" s="2">
        <v>809132.75</v>
      </c>
      <c r="AI989" s="2">
        <v>0</v>
      </c>
      <c r="AJ989" s="5">
        <v>44673</v>
      </c>
      <c r="AK989" t="s">
        <v>11955</v>
      </c>
      <c r="AL989" s="2">
        <v>6.16</v>
      </c>
      <c r="AM989" s="2">
        <v>6.07</v>
      </c>
      <c r="AN989" s="2">
        <v>0.03</v>
      </c>
      <c r="AO989" t="s">
        <v>11817</v>
      </c>
      <c r="AP989" t="s">
        <v>11818</v>
      </c>
      <c r="AQ989" t="s">
        <v>11816</v>
      </c>
    </row>
    <row r="990" spans="1:43" x14ac:dyDescent="0.2">
      <c r="A990" t="s">
        <v>11954</v>
      </c>
      <c r="B990" t="s">
        <v>10900</v>
      </c>
      <c r="C990" t="s">
        <v>11033</v>
      </c>
      <c r="D990" t="s">
        <v>11822</v>
      </c>
      <c r="E990" t="s">
        <v>11823</v>
      </c>
      <c r="F990" t="s">
        <v>11822</v>
      </c>
      <c r="G990" s="1">
        <v>800000</v>
      </c>
      <c r="H990" s="2">
        <v>800000</v>
      </c>
      <c r="I990" s="2">
        <v>793815.16</v>
      </c>
      <c r="J990" s="2">
        <v>9001.42</v>
      </c>
      <c r="K990" s="2">
        <v>0</v>
      </c>
      <c r="L990" s="2">
        <v>802816.58</v>
      </c>
      <c r="M990" s="3">
        <v>6.4745299999999997</v>
      </c>
      <c r="N990" s="4">
        <v>1.8264900000000001E-3</v>
      </c>
      <c r="O990" s="5">
        <v>44693</v>
      </c>
      <c r="P990" s="5">
        <v>45242</v>
      </c>
      <c r="Q990" s="1">
        <v>5.867</v>
      </c>
      <c r="R990" s="2">
        <v>0.05</v>
      </c>
      <c r="S990" s="6">
        <v>1.5942423563000001E-2</v>
      </c>
      <c r="T990" t="s">
        <v>111</v>
      </c>
      <c r="U990" t="s">
        <v>111</v>
      </c>
      <c r="V990" t="s">
        <v>11189</v>
      </c>
      <c r="W990" t="s">
        <v>43</v>
      </c>
      <c r="X990" t="s">
        <v>11034</v>
      </c>
      <c r="Y990" t="s">
        <v>44</v>
      </c>
      <c r="Z990" t="s">
        <v>44</v>
      </c>
      <c r="AA990" t="s">
        <v>10979</v>
      </c>
      <c r="AB990" t="s">
        <v>44</v>
      </c>
      <c r="AC990" s="4">
        <v>6.5793283799999998</v>
      </c>
      <c r="AD990" s="4">
        <v>6.3888862499999997</v>
      </c>
      <c r="AE990" s="2">
        <v>6.58</v>
      </c>
      <c r="AF990" s="4">
        <v>6.3888862499999997</v>
      </c>
      <c r="AG990" s="2">
        <v>0.73</v>
      </c>
      <c r="AH990" s="2">
        <v>802816.58</v>
      </c>
      <c r="AI990" s="2">
        <v>0</v>
      </c>
      <c r="AJ990" s="5">
        <v>44673</v>
      </c>
      <c r="AK990" t="s">
        <v>11955</v>
      </c>
      <c r="AL990" s="2">
        <v>6.47</v>
      </c>
      <c r="AM990" s="2">
        <v>5.87</v>
      </c>
      <c r="AN990" s="2">
        <v>0.02</v>
      </c>
      <c r="AO990" t="s">
        <v>11824</v>
      </c>
      <c r="AP990" t="s">
        <v>11825</v>
      </c>
      <c r="AQ990" t="s">
        <v>11823</v>
      </c>
    </row>
    <row r="991" spans="1:43" x14ac:dyDescent="0.2">
      <c r="A991" t="s">
        <v>11954</v>
      </c>
      <c r="B991" t="s">
        <v>10900</v>
      </c>
      <c r="C991" t="s">
        <v>11033</v>
      </c>
      <c r="D991" t="s">
        <v>11826</v>
      </c>
      <c r="E991" t="s">
        <v>11827</v>
      </c>
      <c r="F991" t="s">
        <v>11826</v>
      </c>
      <c r="G991" s="1">
        <v>800000</v>
      </c>
      <c r="H991" s="2">
        <v>800000</v>
      </c>
      <c r="I991" s="2">
        <v>794614.49</v>
      </c>
      <c r="J991" s="2">
        <v>4948.95</v>
      </c>
      <c r="K991" s="2">
        <v>0</v>
      </c>
      <c r="L991" s="2">
        <v>799563.44</v>
      </c>
      <c r="M991" s="3">
        <v>6.1816829999999996</v>
      </c>
      <c r="N991" s="4">
        <v>1.81909E-3</v>
      </c>
      <c r="O991" s="5">
        <v>44732</v>
      </c>
      <c r="P991" s="5">
        <v>45644</v>
      </c>
      <c r="Q991" s="1">
        <v>5.9420000000000002</v>
      </c>
      <c r="R991" s="2">
        <v>0.15</v>
      </c>
      <c r="S991" s="6">
        <v>0.106811678077</v>
      </c>
      <c r="T991" t="s">
        <v>111</v>
      </c>
      <c r="U991" t="s">
        <v>111</v>
      </c>
      <c r="V991" t="s">
        <v>11189</v>
      </c>
      <c r="W991" t="s">
        <v>43</v>
      </c>
      <c r="X991" t="s">
        <v>11034</v>
      </c>
      <c r="Y991" t="s">
        <v>44</v>
      </c>
      <c r="Z991" t="s">
        <v>44</v>
      </c>
      <c r="AA991" t="s">
        <v>10979</v>
      </c>
      <c r="AB991" t="s">
        <v>44</v>
      </c>
      <c r="AC991" s="4">
        <v>6.2772158899999999</v>
      </c>
      <c r="AD991" s="4">
        <v>6.10354361</v>
      </c>
      <c r="AE991" s="2">
        <v>6.28</v>
      </c>
      <c r="AF991" s="4">
        <v>6.10354361</v>
      </c>
      <c r="AG991" s="2">
        <v>0.73</v>
      </c>
      <c r="AH991" s="2">
        <v>799563.44</v>
      </c>
      <c r="AI991" s="2">
        <v>0</v>
      </c>
      <c r="AJ991" s="5">
        <v>44673</v>
      </c>
      <c r="AK991" t="s">
        <v>11955</v>
      </c>
      <c r="AL991" s="2">
        <v>6.18</v>
      </c>
      <c r="AM991" s="2">
        <v>5.94</v>
      </c>
      <c r="AN991" s="2">
        <v>0.11</v>
      </c>
      <c r="AO991" t="s">
        <v>11824</v>
      </c>
      <c r="AP991" t="s">
        <v>11828</v>
      </c>
      <c r="AQ991" t="s">
        <v>11827</v>
      </c>
    </row>
    <row r="992" spans="1:43" x14ac:dyDescent="0.2">
      <c r="A992" t="s">
        <v>11954</v>
      </c>
      <c r="B992" t="s">
        <v>10900</v>
      </c>
      <c r="C992" t="s">
        <v>11033</v>
      </c>
      <c r="D992" t="s">
        <v>12841</v>
      </c>
      <c r="E992" t="s">
        <v>12842</v>
      </c>
      <c r="F992" t="s">
        <v>12841</v>
      </c>
      <c r="G992" s="1">
        <v>1100000</v>
      </c>
      <c r="H992" s="2">
        <v>1100000</v>
      </c>
      <c r="I992" s="2">
        <v>1100028.54</v>
      </c>
      <c r="J992" s="2">
        <v>4773.46</v>
      </c>
      <c r="K992" s="2">
        <v>0</v>
      </c>
      <c r="L992" s="2">
        <v>1104802</v>
      </c>
      <c r="M992" s="3">
        <v>5.8547310000000001</v>
      </c>
      <c r="N992" s="4">
        <v>2.5135399999999999E-3</v>
      </c>
      <c r="O992" s="5">
        <v>44679</v>
      </c>
      <c r="P992" s="5">
        <v>45044</v>
      </c>
      <c r="Q992" s="1">
        <v>6.0919999999999996</v>
      </c>
      <c r="R992" s="2">
        <v>0.01</v>
      </c>
      <c r="S992" s="6">
        <v>-3.847892072E-3</v>
      </c>
      <c r="T992" t="s">
        <v>111</v>
      </c>
      <c r="U992" t="s">
        <v>111</v>
      </c>
      <c r="V992" t="s">
        <v>114</v>
      </c>
      <c r="W992" t="s">
        <v>43</v>
      </c>
      <c r="X992" t="s">
        <v>44</v>
      </c>
      <c r="Y992" t="s">
        <v>44</v>
      </c>
      <c r="Z992" t="s">
        <v>44</v>
      </c>
      <c r="AA992" t="s">
        <v>10979</v>
      </c>
      <c r="AB992" t="s">
        <v>44</v>
      </c>
      <c r="AC992" s="4">
        <v>5.9404258900000002</v>
      </c>
      <c r="AD992" s="4">
        <v>5.7845705699999996</v>
      </c>
      <c r="AE992" s="2">
        <v>5.94</v>
      </c>
      <c r="AF992" s="4">
        <v>5.7845705699999996</v>
      </c>
      <c r="AG992" s="2">
        <v>1.01</v>
      </c>
      <c r="AH992" s="2">
        <v>1104802</v>
      </c>
      <c r="AI992" s="2">
        <v>0</v>
      </c>
      <c r="AJ992" s="5">
        <v>44673</v>
      </c>
      <c r="AK992" t="s">
        <v>11955</v>
      </c>
      <c r="AL992" s="2">
        <v>5.85</v>
      </c>
      <c r="AM992" s="2">
        <v>6.09</v>
      </c>
      <c r="AN992" s="2">
        <v>0</v>
      </c>
      <c r="AO992" t="s">
        <v>11165</v>
      </c>
      <c r="AP992" t="s">
        <v>12843</v>
      </c>
      <c r="AQ992" t="s">
        <v>12842</v>
      </c>
    </row>
    <row r="993" spans="1:43" x14ac:dyDescent="0.2">
      <c r="A993" t="s">
        <v>11954</v>
      </c>
      <c r="B993" t="s">
        <v>10900</v>
      </c>
      <c r="C993" t="s">
        <v>11033</v>
      </c>
      <c r="D993" t="s">
        <v>11829</v>
      </c>
      <c r="E993" t="s">
        <v>11830</v>
      </c>
      <c r="F993" t="s">
        <v>11829</v>
      </c>
      <c r="G993" s="1">
        <v>1200000</v>
      </c>
      <c r="H993" s="2">
        <v>1200000</v>
      </c>
      <c r="I993" s="2">
        <v>1199846.8500000001</v>
      </c>
      <c r="J993" s="2">
        <v>9532.0400000000009</v>
      </c>
      <c r="K993" s="2">
        <v>0</v>
      </c>
      <c r="L993" s="2">
        <v>1209378.8899999999</v>
      </c>
      <c r="M993" s="3">
        <v>5.9678570000000004</v>
      </c>
      <c r="N993" s="4">
        <v>2.7514699999999998E-3</v>
      </c>
      <c r="O993" s="5">
        <v>44719</v>
      </c>
      <c r="P993" s="5">
        <v>45723</v>
      </c>
      <c r="Q993" s="1">
        <v>5.9169999999999998</v>
      </c>
      <c r="R993" s="2">
        <v>0.12</v>
      </c>
      <c r="S993" s="6">
        <v>8.2443218371999999E-2</v>
      </c>
      <c r="T993" t="s">
        <v>111</v>
      </c>
      <c r="U993" t="s">
        <v>111</v>
      </c>
      <c r="V993" t="s">
        <v>11189</v>
      </c>
      <c r="W993" t="s">
        <v>43</v>
      </c>
      <c r="X993" t="s">
        <v>11034</v>
      </c>
      <c r="Y993" t="s">
        <v>44</v>
      </c>
      <c r="Z993" t="s">
        <v>44</v>
      </c>
      <c r="AA993" t="s">
        <v>11035</v>
      </c>
      <c r="AB993" t="s">
        <v>44</v>
      </c>
      <c r="AC993" s="4">
        <v>6.0568952400000002</v>
      </c>
      <c r="AD993" s="4">
        <v>5.8949834299999999</v>
      </c>
      <c r="AE993" s="2">
        <v>6.06</v>
      </c>
      <c r="AF993" s="4">
        <v>5.8949834299999999</v>
      </c>
      <c r="AG993" s="2">
        <v>1.1100000000000001</v>
      </c>
      <c r="AH993" s="2">
        <v>1209378.8899999999</v>
      </c>
      <c r="AI993" s="2">
        <v>0</v>
      </c>
      <c r="AJ993" s="5">
        <v>44673</v>
      </c>
      <c r="AK993" t="s">
        <v>11955</v>
      </c>
      <c r="AL993" s="2">
        <v>5.97</v>
      </c>
      <c r="AM993" s="2">
        <v>5.92</v>
      </c>
      <c r="AN993" s="2">
        <v>0.08</v>
      </c>
      <c r="AO993" t="s">
        <v>11437</v>
      </c>
      <c r="AP993" t="s">
        <v>11831</v>
      </c>
      <c r="AQ993" t="s">
        <v>11830</v>
      </c>
    </row>
    <row r="994" spans="1:43" x14ac:dyDescent="0.2">
      <c r="A994" t="s">
        <v>11954</v>
      </c>
      <c r="B994" t="s">
        <v>10900</v>
      </c>
      <c r="C994" t="s">
        <v>11033</v>
      </c>
      <c r="D994" t="s">
        <v>11832</v>
      </c>
      <c r="E994" t="s">
        <v>11833</v>
      </c>
      <c r="F994" t="s">
        <v>11832</v>
      </c>
      <c r="G994" s="1">
        <v>2000000</v>
      </c>
      <c r="H994" s="2">
        <v>2000561.76</v>
      </c>
      <c r="I994" s="2">
        <v>2000785.77</v>
      </c>
      <c r="J994" s="2">
        <v>1802.63</v>
      </c>
      <c r="K994" s="2">
        <v>0</v>
      </c>
      <c r="L994" s="2">
        <v>2002588.4</v>
      </c>
      <c r="M994" s="3">
        <v>5.3938800000000002</v>
      </c>
      <c r="N994" s="4">
        <v>4.5561000000000004E-3</v>
      </c>
      <c r="O994" s="5">
        <v>44757</v>
      </c>
      <c r="P994" s="5">
        <v>45397</v>
      </c>
      <c r="Q994" s="1">
        <v>5.4829999999999997</v>
      </c>
      <c r="R994" s="2">
        <v>0.22</v>
      </c>
      <c r="S994" s="6">
        <v>0.19846818724099999</v>
      </c>
      <c r="T994" t="s">
        <v>111</v>
      </c>
      <c r="U994" t="s">
        <v>111</v>
      </c>
      <c r="V994" t="s">
        <v>11189</v>
      </c>
      <c r="W994" t="s">
        <v>43</v>
      </c>
      <c r="X994" t="s">
        <v>11034</v>
      </c>
      <c r="Y994" t="s">
        <v>44</v>
      </c>
      <c r="Z994" t="s">
        <v>44</v>
      </c>
      <c r="AA994" t="s">
        <v>11035</v>
      </c>
      <c r="AB994" t="s">
        <v>44</v>
      </c>
      <c r="AC994" s="4">
        <v>5.4666152800000001</v>
      </c>
      <c r="AD994" s="4">
        <v>5.3342482999999996</v>
      </c>
      <c r="AE994" s="2">
        <v>5.47</v>
      </c>
      <c r="AF994" s="4">
        <v>5.3342482999999996</v>
      </c>
      <c r="AG994" s="2">
        <v>1.83</v>
      </c>
      <c r="AH994" s="2">
        <v>2002588.4</v>
      </c>
      <c r="AI994" s="2">
        <v>0</v>
      </c>
      <c r="AJ994" s="5">
        <v>44673</v>
      </c>
      <c r="AK994" t="s">
        <v>11955</v>
      </c>
      <c r="AL994" s="2">
        <v>5.39</v>
      </c>
      <c r="AM994" s="2">
        <v>5.48</v>
      </c>
      <c r="AN994" s="2">
        <v>0.2</v>
      </c>
      <c r="AO994" t="s">
        <v>11036</v>
      </c>
      <c r="AP994" t="s">
        <v>11834</v>
      </c>
      <c r="AQ994" t="s">
        <v>11833</v>
      </c>
    </row>
    <row r="995" spans="1:43" x14ac:dyDescent="0.2">
      <c r="A995" t="s">
        <v>11954</v>
      </c>
      <c r="B995" t="s">
        <v>10900</v>
      </c>
      <c r="C995" t="s">
        <v>11033</v>
      </c>
      <c r="D995" t="s">
        <v>12982</v>
      </c>
      <c r="E995" t="s">
        <v>12983</v>
      </c>
      <c r="F995" t="s">
        <v>12982</v>
      </c>
      <c r="G995" s="1">
        <v>1200000</v>
      </c>
      <c r="H995" s="2">
        <v>1200000</v>
      </c>
      <c r="I995" s="2">
        <v>1250814.93</v>
      </c>
      <c r="J995" s="2">
        <v>15938.73</v>
      </c>
      <c r="K995" s="2">
        <v>0</v>
      </c>
      <c r="L995" s="2">
        <v>1266753.6599999999</v>
      </c>
      <c r="M995" s="3">
        <v>6.0747210000000003</v>
      </c>
      <c r="N995" s="4">
        <v>2.882E-3</v>
      </c>
      <c r="O995" s="5">
        <v>44706</v>
      </c>
      <c r="P995" s="5">
        <v>45439</v>
      </c>
      <c r="Q995" s="1">
        <v>8.2170000000000005</v>
      </c>
      <c r="R995" s="2">
        <v>0.08</v>
      </c>
      <c r="S995" s="6">
        <v>9.4979191527000004E-2</v>
      </c>
      <c r="T995" t="s">
        <v>111</v>
      </c>
      <c r="U995" t="s">
        <v>111</v>
      </c>
      <c r="V995" t="s">
        <v>11189</v>
      </c>
      <c r="W995" t="s">
        <v>43</v>
      </c>
      <c r="X995" t="s">
        <v>11034</v>
      </c>
      <c r="Y995" t="s">
        <v>44</v>
      </c>
      <c r="Z995" t="s">
        <v>44</v>
      </c>
      <c r="AA995" t="s">
        <v>44</v>
      </c>
      <c r="AB995" t="s">
        <v>44</v>
      </c>
      <c r="AC995" s="4">
        <v>6.1669761000000003</v>
      </c>
      <c r="AD995" s="4">
        <v>5.9992378899999999</v>
      </c>
      <c r="AE995" s="2">
        <v>6.17</v>
      </c>
      <c r="AF995" s="4">
        <v>5.9992378899999999</v>
      </c>
      <c r="AG995" s="2">
        <v>1.1599999999999999</v>
      </c>
      <c r="AH995" s="2">
        <v>1266753.6599999999</v>
      </c>
      <c r="AI995" s="2">
        <v>0</v>
      </c>
      <c r="AJ995" s="5">
        <v>44673</v>
      </c>
      <c r="AK995" t="s">
        <v>11955</v>
      </c>
      <c r="AL995" s="2">
        <v>6.07</v>
      </c>
      <c r="AM995" s="2">
        <v>8.2200000000000006</v>
      </c>
      <c r="AN995" s="2">
        <v>0.09</v>
      </c>
      <c r="AO995" t="s">
        <v>12984</v>
      </c>
      <c r="AP995" t="s">
        <v>12985</v>
      </c>
      <c r="AQ995" t="s">
        <v>12983</v>
      </c>
    </row>
    <row r="996" spans="1:43" x14ac:dyDescent="0.2">
      <c r="A996" t="s">
        <v>11954</v>
      </c>
      <c r="B996" t="s">
        <v>10900</v>
      </c>
      <c r="C996" t="s">
        <v>11033</v>
      </c>
      <c r="D996" t="s">
        <v>11843</v>
      </c>
      <c r="E996" t="s">
        <v>11844</v>
      </c>
      <c r="F996" t="s">
        <v>11843</v>
      </c>
      <c r="G996" s="1">
        <v>1700000</v>
      </c>
      <c r="H996" s="2">
        <v>1706953.46</v>
      </c>
      <c r="I996" s="2">
        <v>1692330.66</v>
      </c>
      <c r="J996" s="2">
        <v>1895.52</v>
      </c>
      <c r="K996" s="2">
        <v>0</v>
      </c>
      <c r="L996" s="2">
        <v>1694226.18</v>
      </c>
      <c r="M996" s="3">
        <v>6.9820180000000001</v>
      </c>
      <c r="N996" s="4">
        <v>3.85455E-3</v>
      </c>
      <c r="O996" s="5">
        <v>44760</v>
      </c>
      <c r="P996" s="5">
        <v>45398</v>
      </c>
      <c r="Q996" s="1">
        <v>6.7830000000000004</v>
      </c>
      <c r="R996" s="2">
        <v>0.23</v>
      </c>
      <c r="S996" s="6">
        <v>0.182016060841</v>
      </c>
      <c r="T996" t="s">
        <v>111</v>
      </c>
      <c r="U996" t="s">
        <v>111</v>
      </c>
      <c r="V996" t="s">
        <v>11189</v>
      </c>
      <c r="W996" t="s">
        <v>43</v>
      </c>
      <c r="X996" t="s">
        <v>11034</v>
      </c>
      <c r="Y996" t="s">
        <v>44</v>
      </c>
      <c r="Z996" t="s">
        <v>44</v>
      </c>
      <c r="AA996" t="s">
        <v>10979</v>
      </c>
      <c r="AB996" t="s">
        <v>44</v>
      </c>
      <c r="AC996" s="4">
        <v>7.1038890300000004</v>
      </c>
      <c r="AD996" s="4">
        <v>6.8825725699999998</v>
      </c>
      <c r="AE996" s="2">
        <v>7.1</v>
      </c>
      <c r="AF996" s="4">
        <v>6.8825725699999998</v>
      </c>
      <c r="AG996" s="2">
        <v>1.55</v>
      </c>
      <c r="AH996" s="2">
        <v>1694226.18</v>
      </c>
      <c r="AI996" s="2">
        <v>0</v>
      </c>
      <c r="AJ996" s="5">
        <v>44673</v>
      </c>
      <c r="AK996" t="s">
        <v>11955</v>
      </c>
      <c r="AL996" s="2">
        <v>6.98</v>
      </c>
      <c r="AM996" s="2">
        <v>6.78</v>
      </c>
      <c r="AN996" s="2">
        <v>0.18</v>
      </c>
      <c r="AO996" t="s">
        <v>11179</v>
      </c>
      <c r="AP996" t="s">
        <v>11845</v>
      </c>
      <c r="AQ996" t="s">
        <v>11844</v>
      </c>
    </row>
    <row r="997" spans="1:43" x14ac:dyDescent="0.2">
      <c r="A997" t="s">
        <v>11954</v>
      </c>
      <c r="B997" t="s">
        <v>10900</v>
      </c>
      <c r="C997" t="s">
        <v>10943</v>
      </c>
      <c r="D997" t="s">
        <v>11555</v>
      </c>
      <c r="E997" t="s">
        <v>11556</v>
      </c>
      <c r="F997" t="s">
        <v>11555</v>
      </c>
      <c r="G997" s="1">
        <v>900000</v>
      </c>
      <c r="H997" s="2">
        <v>900000</v>
      </c>
      <c r="I997" s="2">
        <v>882782.1</v>
      </c>
      <c r="J997" s="2">
        <v>19036.36</v>
      </c>
      <c r="K997" s="2">
        <v>0</v>
      </c>
      <c r="L997" s="2">
        <v>901818.46</v>
      </c>
      <c r="M997" s="3">
        <v>9.9250000000000007</v>
      </c>
      <c r="N997" s="4">
        <v>2.0517299999999999E-3</v>
      </c>
      <c r="O997" s="5">
        <v>44775</v>
      </c>
      <c r="P997" s="5">
        <v>46420</v>
      </c>
      <c r="Q997" s="1">
        <v>9.4149999999999991</v>
      </c>
      <c r="R997" s="2">
        <v>3.86</v>
      </c>
      <c r="S997" s="6">
        <v>3.6810259830000001</v>
      </c>
      <c r="T997" t="s">
        <v>111</v>
      </c>
      <c r="U997" t="s">
        <v>111</v>
      </c>
      <c r="V997" t="s">
        <v>10944</v>
      </c>
      <c r="W997" t="s">
        <v>43</v>
      </c>
      <c r="X997" t="s">
        <v>44</v>
      </c>
      <c r="Y997" t="s">
        <v>44</v>
      </c>
      <c r="Z997" t="s">
        <v>44</v>
      </c>
      <c r="AA997" t="s">
        <v>10979</v>
      </c>
      <c r="AB997" t="s">
        <v>44</v>
      </c>
      <c r="AC997" s="4">
        <v>10.17126406</v>
      </c>
      <c r="AD997" s="4">
        <v>9.72579277</v>
      </c>
      <c r="AE997" s="2">
        <v>10.17</v>
      </c>
      <c r="AF997" s="4">
        <v>9.72579277</v>
      </c>
      <c r="AG997" s="2">
        <v>0.83</v>
      </c>
      <c r="AH997" s="2">
        <v>901818.46</v>
      </c>
      <c r="AI997" s="2">
        <v>0</v>
      </c>
      <c r="AJ997" s="5">
        <v>44673</v>
      </c>
      <c r="AK997" t="s">
        <v>11955</v>
      </c>
      <c r="AL997" s="2">
        <v>9.93</v>
      </c>
      <c r="AM997" s="2">
        <v>9.41</v>
      </c>
      <c r="AN997" s="2">
        <v>3.68</v>
      </c>
      <c r="AO997" t="s">
        <v>11048</v>
      </c>
      <c r="AP997" t="s">
        <v>11557</v>
      </c>
      <c r="AQ997" t="s">
        <v>11556</v>
      </c>
    </row>
    <row r="998" spans="1:43" x14ac:dyDescent="0.2">
      <c r="A998" t="s">
        <v>11954</v>
      </c>
      <c r="B998" t="s">
        <v>10900</v>
      </c>
      <c r="C998" t="s">
        <v>10943</v>
      </c>
      <c r="D998" t="s">
        <v>11846</v>
      </c>
      <c r="E998" t="s">
        <v>11847</v>
      </c>
      <c r="F998" t="s">
        <v>11846</v>
      </c>
      <c r="G998" s="1">
        <v>546000</v>
      </c>
      <c r="H998" s="2">
        <v>571547.24</v>
      </c>
      <c r="I998" s="2">
        <v>573463.64</v>
      </c>
      <c r="J998" s="2">
        <v>21797.67</v>
      </c>
      <c r="K998" s="2">
        <v>0</v>
      </c>
      <c r="L998" s="2">
        <v>595261.31000000006</v>
      </c>
      <c r="M998" s="3">
        <v>8.7050000000000001</v>
      </c>
      <c r="N998" s="4">
        <v>1.35428E-3</v>
      </c>
      <c r="O998" s="5">
        <v>44715</v>
      </c>
      <c r="P998" s="5">
        <v>46176</v>
      </c>
      <c r="Q998" s="1">
        <v>10.19</v>
      </c>
      <c r="R998" s="2">
        <v>3.35</v>
      </c>
      <c r="S998" s="6">
        <v>3.210117125</v>
      </c>
      <c r="T998" t="s">
        <v>111</v>
      </c>
      <c r="U998" t="s">
        <v>111</v>
      </c>
      <c r="V998" t="s">
        <v>10944</v>
      </c>
      <c r="W998" t="s">
        <v>43</v>
      </c>
      <c r="X998" t="s">
        <v>44</v>
      </c>
      <c r="Y998" t="s">
        <v>44</v>
      </c>
      <c r="Z998" t="s">
        <v>44</v>
      </c>
      <c r="AA998" t="s">
        <v>10979</v>
      </c>
      <c r="AB998" t="s">
        <v>44</v>
      </c>
      <c r="AC998" s="4">
        <v>8.8944425599999999</v>
      </c>
      <c r="AD998" s="4">
        <v>8.5512049999999995</v>
      </c>
      <c r="AE998" s="2">
        <v>8.89</v>
      </c>
      <c r="AF998" s="4">
        <v>8.5512049999999995</v>
      </c>
      <c r="AG998" s="2">
        <v>0.54</v>
      </c>
      <c r="AH998" s="2">
        <v>595261.31000000006</v>
      </c>
      <c r="AI998" s="2">
        <v>0</v>
      </c>
      <c r="AJ998" s="5">
        <v>44673</v>
      </c>
      <c r="AK998" t="s">
        <v>11955</v>
      </c>
      <c r="AL998" s="2">
        <v>8.7100000000000009</v>
      </c>
      <c r="AM998" s="2">
        <v>10.19</v>
      </c>
      <c r="AN998" s="2">
        <v>3.21</v>
      </c>
      <c r="AO998" t="s">
        <v>11054</v>
      </c>
      <c r="AP998" t="s">
        <v>11848</v>
      </c>
      <c r="AQ998" t="s">
        <v>11847</v>
      </c>
    </row>
    <row r="999" spans="1:43" x14ac:dyDescent="0.2">
      <c r="A999" t="s">
        <v>11954</v>
      </c>
      <c r="B999" t="s">
        <v>10900</v>
      </c>
      <c r="C999" t="s">
        <v>10943</v>
      </c>
      <c r="D999" t="s">
        <v>11849</v>
      </c>
      <c r="E999" t="s">
        <v>11850</v>
      </c>
      <c r="F999" t="s">
        <v>11849</v>
      </c>
      <c r="G999" s="1">
        <v>332000</v>
      </c>
      <c r="H999" s="2">
        <v>355332.92</v>
      </c>
      <c r="I999" s="2">
        <v>345807.05</v>
      </c>
      <c r="J999" s="2">
        <v>2073.86</v>
      </c>
      <c r="K999" s="2">
        <v>0</v>
      </c>
      <c r="L999" s="2">
        <v>347880.91</v>
      </c>
      <c r="M999" s="3">
        <v>8.3550000000000004</v>
      </c>
      <c r="N999" s="4">
        <v>7.9146999999999996E-4</v>
      </c>
      <c r="O999" s="5">
        <v>44837</v>
      </c>
      <c r="P999" s="5">
        <v>46296</v>
      </c>
      <c r="Q999" s="1">
        <v>9.5</v>
      </c>
      <c r="R999" s="2">
        <v>3.72</v>
      </c>
      <c r="S999" s="6">
        <v>3.5673572199999999</v>
      </c>
      <c r="T999" t="s">
        <v>111</v>
      </c>
      <c r="U999" t="s">
        <v>111</v>
      </c>
      <c r="V999" t="s">
        <v>10944</v>
      </c>
      <c r="W999" t="s">
        <v>43</v>
      </c>
      <c r="X999" t="s">
        <v>10988</v>
      </c>
      <c r="Y999" t="s">
        <v>44</v>
      </c>
      <c r="Z999" t="s">
        <v>44</v>
      </c>
      <c r="AA999" t="s">
        <v>10979</v>
      </c>
      <c r="AB999" t="s">
        <v>44</v>
      </c>
      <c r="AC999" s="4">
        <v>8.5295150599999996</v>
      </c>
      <c r="AD999" s="4">
        <v>8.2131770100000008</v>
      </c>
      <c r="AE999" s="2">
        <v>8.5299999999999994</v>
      </c>
      <c r="AF999" s="4">
        <v>8.2131770100000008</v>
      </c>
      <c r="AG999" s="2">
        <v>0.32</v>
      </c>
      <c r="AH999" s="2">
        <v>347880.91</v>
      </c>
      <c r="AI999" s="2">
        <v>0</v>
      </c>
      <c r="AJ999" s="5">
        <v>44673</v>
      </c>
      <c r="AK999" t="s">
        <v>11955</v>
      </c>
      <c r="AL999" s="2">
        <v>8.35</v>
      </c>
      <c r="AM999" s="2">
        <v>9.5</v>
      </c>
      <c r="AN999" s="2">
        <v>3.57</v>
      </c>
      <c r="AO999" t="s">
        <v>11054</v>
      </c>
      <c r="AP999" t="s">
        <v>11851</v>
      </c>
      <c r="AQ999" t="s">
        <v>11850</v>
      </c>
    </row>
    <row r="1000" spans="1:43" x14ac:dyDescent="0.2">
      <c r="A1000" t="s">
        <v>11954</v>
      </c>
      <c r="B1000" t="s">
        <v>10900</v>
      </c>
      <c r="C1000" t="s">
        <v>10943</v>
      </c>
      <c r="D1000" t="s">
        <v>11569</v>
      </c>
      <c r="E1000" t="s">
        <v>11570</v>
      </c>
      <c r="F1000" t="s">
        <v>11569</v>
      </c>
      <c r="G1000" s="1">
        <v>1100000</v>
      </c>
      <c r="H1000" s="2">
        <v>1100000</v>
      </c>
      <c r="I1000" s="2">
        <v>1105944.31</v>
      </c>
      <c r="J1000" s="2">
        <v>15581.42</v>
      </c>
      <c r="K1000" s="2">
        <v>0</v>
      </c>
      <c r="L1000" s="2">
        <v>1121525.73</v>
      </c>
      <c r="M1000" s="3">
        <v>8.5241640000000007</v>
      </c>
      <c r="N1000" s="4">
        <v>2.5515899999999998E-3</v>
      </c>
      <c r="O1000" s="5">
        <v>44705</v>
      </c>
      <c r="P1000" s="5">
        <v>46166</v>
      </c>
      <c r="Q1000" s="1">
        <v>8.6170000000000009</v>
      </c>
      <c r="R1000" s="2">
        <v>0.08</v>
      </c>
      <c r="S1000" s="6">
        <v>-9.3404076700000001E-3</v>
      </c>
      <c r="T1000" t="s">
        <v>111</v>
      </c>
      <c r="U1000" t="s">
        <v>111</v>
      </c>
      <c r="V1000" t="s">
        <v>11189</v>
      </c>
      <c r="W1000" t="s">
        <v>43</v>
      </c>
      <c r="X1000" t="s">
        <v>11034</v>
      </c>
      <c r="Y1000" t="s">
        <v>44</v>
      </c>
      <c r="Z1000" t="s">
        <v>44</v>
      </c>
      <c r="AA1000" t="s">
        <v>11035</v>
      </c>
      <c r="AB1000" t="s">
        <v>44</v>
      </c>
      <c r="AC1000" s="4">
        <v>8.7058170199999996</v>
      </c>
      <c r="AD1000" s="4">
        <v>8.3766132899999999</v>
      </c>
      <c r="AE1000" s="2">
        <v>8.7100000000000009</v>
      </c>
      <c r="AF1000" s="4">
        <v>8.3766132899999999</v>
      </c>
      <c r="AG1000" s="2">
        <v>1.03</v>
      </c>
      <c r="AH1000" s="2">
        <v>1121525.73</v>
      </c>
      <c r="AI1000" s="2">
        <v>0</v>
      </c>
      <c r="AJ1000" s="5">
        <v>44673</v>
      </c>
      <c r="AK1000" t="s">
        <v>11955</v>
      </c>
      <c r="AL1000" s="2">
        <v>8.52</v>
      </c>
      <c r="AM1000" s="2">
        <v>8.6199999999999992</v>
      </c>
      <c r="AN1000" s="2">
        <v>-0.01</v>
      </c>
      <c r="AO1000" t="s">
        <v>11226</v>
      </c>
      <c r="AP1000" t="s">
        <v>11571</v>
      </c>
      <c r="AQ1000" t="s">
        <v>11570</v>
      </c>
    </row>
    <row r="1001" spans="1:43" x14ac:dyDescent="0.2">
      <c r="A1001" t="s">
        <v>11954</v>
      </c>
      <c r="B1001" t="s">
        <v>10900</v>
      </c>
      <c r="C1001" t="s">
        <v>10943</v>
      </c>
      <c r="D1001" t="s">
        <v>11575</v>
      </c>
      <c r="E1001" t="s">
        <v>11576</v>
      </c>
      <c r="F1001" t="s">
        <v>11575</v>
      </c>
      <c r="G1001" s="1">
        <v>1506000</v>
      </c>
      <c r="H1001" s="2">
        <v>1506000</v>
      </c>
      <c r="I1001" s="2">
        <v>1468206.03</v>
      </c>
      <c r="J1001" s="2">
        <v>28662.69</v>
      </c>
      <c r="K1001" s="2">
        <v>0</v>
      </c>
      <c r="L1001" s="2">
        <v>1496868.72</v>
      </c>
      <c r="M1001" s="3">
        <v>9.07</v>
      </c>
      <c r="N1001" s="4">
        <v>3.4055399999999999E-3</v>
      </c>
      <c r="O1001" s="5">
        <v>44771</v>
      </c>
      <c r="P1001" s="5">
        <v>46051</v>
      </c>
      <c r="Q1001" s="1">
        <v>8.27</v>
      </c>
      <c r="R1001" s="2">
        <v>3.24</v>
      </c>
      <c r="S1001" s="6">
        <v>3.0998465770000001</v>
      </c>
      <c r="T1001" t="s">
        <v>111</v>
      </c>
      <c r="U1001" t="s">
        <v>111</v>
      </c>
      <c r="V1001" t="s">
        <v>10944</v>
      </c>
      <c r="W1001" t="s">
        <v>43</v>
      </c>
      <c r="X1001" t="s">
        <v>44</v>
      </c>
      <c r="Y1001" t="s">
        <v>44</v>
      </c>
      <c r="Z1001" t="s">
        <v>44</v>
      </c>
      <c r="AA1001" t="s">
        <v>11035</v>
      </c>
      <c r="AB1001" t="s">
        <v>44</v>
      </c>
      <c r="AC1001" s="4">
        <v>9.2756622499999999</v>
      </c>
      <c r="AD1001" s="4">
        <v>8.9032170799999992</v>
      </c>
      <c r="AE1001" s="2">
        <v>9.2799999999999994</v>
      </c>
      <c r="AF1001" s="4">
        <v>8.9032170799999992</v>
      </c>
      <c r="AG1001" s="2">
        <v>1.37</v>
      </c>
      <c r="AH1001" s="2">
        <v>1496868.72</v>
      </c>
      <c r="AI1001" s="2">
        <v>0</v>
      </c>
      <c r="AJ1001" s="5">
        <v>44673</v>
      </c>
      <c r="AK1001" t="s">
        <v>11955</v>
      </c>
      <c r="AL1001" s="2">
        <v>9.07</v>
      </c>
      <c r="AM1001" s="2">
        <v>8.27</v>
      </c>
      <c r="AN1001" s="2">
        <v>3.1</v>
      </c>
      <c r="AO1001" t="s">
        <v>11437</v>
      </c>
      <c r="AP1001" t="s">
        <v>11577</v>
      </c>
      <c r="AQ1001" t="s">
        <v>11576</v>
      </c>
    </row>
    <row r="1002" spans="1:43" x14ac:dyDescent="0.2">
      <c r="A1002" t="s">
        <v>11954</v>
      </c>
      <c r="B1002" t="s">
        <v>10900</v>
      </c>
      <c r="C1002" t="s">
        <v>10943</v>
      </c>
      <c r="D1002" t="s">
        <v>11578</v>
      </c>
      <c r="E1002" t="s">
        <v>11579</v>
      </c>
      <c r="F1002" t="s">
        <v>11578</v>
      </c>
      <c r="G1002" s="1">
        <v>500000</v>
      </c>
      <c r="H1002" s="2">
        <v>500000</v>
      </c>
      <c r="I1002" s="2">
        <v>466751.3</v>
      </c>
      <c r="J1002" s="2">
        <v>4380.5600000000004</v>
      </c>
      <c r="K1002" s="2">
        <v>0</v>
      </c>
      <c r="L1002" s="2">
        <v>471131.86</v>
      </c>
      <c r="M1002" s="3">
        <v>9.375</v>
      </c>
      <c r="N1002" s="4">
        <v>1.0718800000000001E-3</v>
      </c>
      <c r="O1002" s="5">
        <v>44819</v>
      </c>
      <c r="P1002" s="5">
        <v>46827</v>
      </c>
      <c r="Q1002" s="1">
        <v>7.8849999999999998</v>
      </c>
      <c r="R1002" s="2">
        <v>4.74</v>
      </c>
      <c r="S1002" s="6">
        <v>4.5243735450000004</v>
      </c>
      <c r="T1002" t="s">
        <v>111</v>
      </c>
      <c r="U1002" t="s">
        <v>111</v>
      </c>
      <c r="V1002" t="s">
        <v>10944</v>
      </c>
      <c r="W1002" t="s">
        <v>43</v>
      </c>
      <c r="X1002" t="s">
        <v>44</v>
      </c>
      <c r="Y1002" t="s">
        <v>44</v>
      </c>
      <c r="Z1002" t="s">
        <v>44</v>
      </c>
      <c r="AA1002" t="s">
        <v>11441</v>
      </c>
      <c r="AB1002" t="s">
        <v>44</v>
      </c>
      <c r="AC1002" s="4">
        <v>9.5947265599999998</v>
      </c>
      <c r="AD1002" s="4">
        <v>9.1969716100000003</v>
      </c>
      <c r="AE1002" s="2">
        <v>9.59</v>
      </c>
      <c r="AF1002" s="4">
        <v>9.1969716100000003</v>
      </c>
      <c r="AG1002" s="2">
        <v>0.43</v>
      </c>
      <c r="AH1002" s="2">
        <v>471131.86</v>
      </c>
      <c r="AI1002" s="2">
        <v>0</v>
      </c>
      <c r="AJ1002" s="5">
        <v>44673</v>
      </c>
      <c r="AK1002" t="s">
        <v>11955</v>
      </c>
      <c r="AL1002" s="2">
        <v>9.3800000000000008</v>
      </c>
      <c r="AM1002" s="2">
        <v>7.88</v>
      </c>
      <c r="AN1002" s="2">
        <v>4.5199999999999996</v>
      </c>
      <c r="AO1002" t="s">
        <v>11580</v>
      </c>
      <c r="AP1002" t="s">
        <v>11581</v>
      </c>
      <c r="AQ1002" t="s">
        <v>11579</v>
      </c>
    </row>
    <row r="1003" spans="1:43" x14ac:dyDescent="0.2">
      <c r="A1003" t="s">
        <v>11954</v>
      </c>
      <c r="B1003" t="s">
        <v>10900</v>
      </c>
      <c r="C1003" t="s">
        <v>10943</v>
      </c>
      <c r="D1003" t="s">
        <v>11962</v>
      </c>
      <c r="E1003" t="s">
        <v>11963</v>
      </c>
      <c r="F1003" t="s">
        <v>11962</v>
      </c>
      <c r="G1003" s="1">
        <v>2300000</v>
      </c>
      <c r="H1003" s="2">
        <v>2300000</v>
      </c>
      <c r="I1003" s="2">
        <v>2357465.9</v>
      </c>
      <c r="J1003" s="2">
        <v>44192.52</v>
      </c>
      <c r="K1003" s="2">
        <v>0</v>
      </c>
      <c r="L1003" s="2">
        <v>2401658.42</v>
      </c>
      <c r="M1003" s="3">
        <v>8.2411139999999996</v>
      </c>
      <c r="N1003" s="4">
        <v>5.4640299999999999E-3</v>
      </c>
      <c r="O1003" s="5">
        <v>44686</v>
      </c>
      <c r="P1003" s="5">
        <v>45874</v>
      </c>
      <c r="Q1003" s="1">
        <v>9.1080000000000005</v>
      </c>
      <c r="R1003" s="2">
        <v>0.03</v>
      </c>
      <c r="S1003" s="6">
        <v>-1.210173591E-2</v>
      </c>
      <c r="T1003" t="s">
        <v>111</v>
      </c>
      <c r="U1003" t="s">
        <v>111</v>
      </c>
      <c r="V1003" t="s">
        <v>11189</v>
      </c>
      <c r="W1003" t="s">
        <v>43</v>
      </c>
      <c r="X1003" t="s">
        <v>11034</v>
      </c>
      <c r="Y1003" t="s">
        <v>44</v>
      </c>
      <c r="Z1003" t="s">
        <v>44</v>
      </c>
      <c r="AA1003" t="s">
        <v>11035</v>
      </c>
      <c r="AB1003" t="s">
        <v>44</v>
      </c>
      <c r="AC1003" s="4">
        <v>8.4109039299999999</v>
      </c>
      <c r="AD1003" s="4">
        <v>8.1030845599999992</v>
      </c>
      <c r="AE1003" s="2">
        <v>8.41</v>
      </c>
      <c r="AF1003" s="4">
        <v>8.1030845599999992</v>
      </c>
      <c r="AG1003" s="2">
        <v>2.2000000000000002</v>
      </c>
      <c r="AH1003" s="2">
        <v>2401658.42</v>
      </c>
      <c r="AI1003" s="2">
        <v>0.01</v>
      </c>
      <c r="AJ1003" s="5">
        <v>44673</v>
      </c>
      <c r="AK1003" t="s">
        <v>11955</v>
      </c>
      <c r="AL1003" s="2">
        <v>8.24</v>
      </c>
      <c r="AM1003" s="2">
        <v>9.11</v>
      </c>
      <c r="AN1003" s="2">
        <v>-0.01</v>
      </c>
      <c r="AO1003" t="s">
        <v>11036</v>
      </c>
      <c r="AP1003" t="s">
        <v>11964</v>
      </c>
      <c r="AQ1003" t="s">
        <v>11963</v>
      </c>
    </row>
    <row r="1004" spans="1:43" x14ac:dyDescent="0.2">
      <c r="A1004" t="s">
        <v>11954</v>
      </c>
      <c r="B1004" t="s">
        <v>10900</v>
      </c>
      <c r="C1004" t="s">
        <v>10943</v>
      </c>
      <c r="D1004" t="s">
        <v>11585</v>
      </c>
      <c r="E1004" t="s">
        <v>11586</v>
      </c>
      <c r="F1004" t="s">
        <v>11585</v>
      </c>
      <c r="G1004" s="1">
        <v>500000</v>
      </c>
      <c r="H1004" s="2">
        <v>500000</v>
      </c>
      <c r="I1004" s="2">
        <v>520510.97</v>
      </c>
      <c r="J1004" s="2">
        <v>5865.21</v>
      </c>
      <c r="K1004" s="2">
        <v>0</v>
      </c>
      <c r="L1004" s="2">
        <v>526376.18000000005</v>
      </c>
      <c r="M1004" s="3">
        <v>7.7660200000000001</v>
      </c>
      <c r="N1004" s="4">
        <v>1.1975600000000001E-3</v>
      </c>
      <c r="O1004" s="5">
        <v>44720</v>
      </c>
      <c r="P1004" s="5">
        <v>46273</v>
      </c>
      <c r="Q1004" s="1">
        <v>8.92</v>
      </c>
      <c r="R1004" s="2">
        <v>0.12</v>
      </c>
      <c r="S1004" s="6">
        <v>0.10556959685300001</v>
      </c>
      <c r="T1004" t="s">
        <v>111</v>
      </c>
      <c r="U1004" t="s">
        <v>111</v>
      </c>
      <c r="V1004" t="s">
        <v>11189</v>
      </c>
      <c r="W1004" t="s">
        <v>43</v>
      </c>
      <c r="X1004" t="s">
        <v>11034</v>
      </c>
      <c r="Y1004" t="s">
        <v>44</v>
      </c>
      <c r="Z1004" t="s">
        <v>44</v>
      </c>
      <c r="AA1004" t="s">
        <v>11035</v>
      </c>
      <c r="AB1004" t="s">
        <v>44</v>
      </c>
      <c r="AC1004" s="4">
        <v>7.9167972899999999</v>
      </c>
      <c r="AD1004" s="4">
        <v>7.6432735200000002</v>
      </c>
      <c r="AE1004" s="2">
        <v>7.92</v>
      </c>
      <c r="AF1004" s="4">
        <v>7.6432735200000002</v>
      </c>
      <c r="AG1004" s="2">
        <v>0.48</v>
      </c>
      <c r="AH1004" s="2">
        <v>526376.18000000005</v>
      </c>
      <c r="AI1004" s="2">
        <v>0</v>
      </c>
      <c r="AJ1004" s="5">
        <v>44673</v>
      </c>
      <c r="AK1004" t="s">
        <v>11955</v>
      </c>
      <c r="AL1004" s="2">
        <v>7.77</v>
      </c>
      <c r="AM1004" s="2">
        <v>8.92</v>
      </c>
      <c r="AN1004" s="2">
        <v>0.11</v>
      </c>
      <c r="AO1004" t="s">
        <v>11036</v>
      </c>
      <c r="AP1004" t="s">
        <v>11587</v>
      </c>
      <c r="AQ1004" t="s">
        <v>11586</v>
      </c>
    </row>
    <row r="1005" spans="1:43" x14ac:dyDescent="0.2">
      <c r="A1005" t="s">
        <v>11954</v>
      </c>
      <c r="B1005" t="s">
        <v>10900</v>
      </c>
      <c r="C1005" t="s">
        <v>10943</v>
      </c>
      <c r="D1005" t="s">
        <v>11135</v>
      </c>
      <c r="E1005" t="s">
        <v>10946</v>
      </c>
      <c r="F1005" t="s">
        <v>11135</v>
      </c>
      <c r="G1005" s="1">
        <v>4630000</v>
      </c>
      <c r="H1005" s="2">
        <v>5144208.4400000004</v>
      </c>
      <c r="I1005" s="2">
        <v>5030168.59</v>
      </c>
      <c r="J1005" s="2">
        <v>166489.73000000001</v>
      </c>
      <c r="K1005" s="2">
        <v>0</v>
      </c>
      <c r="L1005" s="2">
        <v>5196658.32</v>
      </c>
      <c r="M1005" s="3">
        <v>8.2249999999999996</v>
      </c>
      <c r="N1005" s="4">
        <v>1.182296E-2</v>
      </c>
      <c r="O1005" s="5">
        <v>44733</v>
      </c>
      <c r="P1005" s="5">
        <v>46377</v>
      </c>
      <c r="Q1005" s="1">
        <v>10.5</v>
      </c>
      <c r="R1005" s="2">
        <v>3.72</v>
      </c>
      <c r="S1005" s="6">
        <v>3.572672968</v>
      </c>
      <c r="T1005" t="s">
        <v>111</v>
      </c>
      <c r="U1005" t="s">
        <v>111</v>
      </c>
      <c r="V1005" t="s">
        <v>10944</v>
      </c>
      <c r="W1005" t="s">
        <v>43</v>
      </c>
      <c r="X1005" t="s">
        <v>10945</v>
      </c>
      <c r="Y1005" t="s">
        <v>44</v>
      </c>
      <c r="Z1005" t="s">
        <v>44</v>
      </c>
      <c r="AA1005" t="s">
        <v>10913</v>
      </c>
      <c r="AB1005" t="s">
        <v>44</v>
      </c>
      <c r="AC1005" s="4">
        <v>8.3941265600000001</v>
      </c>
      <c r="AD1005" s="4">
        <v>8.0875032299999994</v>
      </c>
      <c r="AE1005" s="2">
        <v>8.39</v>
      </c>
      <c r="AF1005" s="4">
        <v>8.0875032299999994</v>
      </c>
      <c r="AG1005" s="2">
        <v>4.76</v>
      </c>
      <c r="AH1005" s="2">
        <v>5196658.32</v>
      </c>
      <c r="AI1005" s="2">
        <v>0.01</v>
      </c>
      <c r="AJ1005" s="5">
        <v>44673</v>
      </c>
      <c r="AK1005" t="s">
        <v>11955</v>
      </c>
      <c r="AL1005" s="2">
        <v>8.23</v>
      </c>
      <c r="AM1005" s="2">
        <v>10.5</v>
      </c>
      <c r="AN1005" s="2">
        <v>3.57</v>
      </c>
      <c r="AO1005" t="s">
        <v>10922</v>
      </c>
      <c r="AP1005" t="s">
        <v>11136</v>
      </c>
      <c r="AQ1005" t="s">
        <v>10946</v>
      </c>
    </row>
    <row r="1006" spans="1:43" x14ac:dyDescent="0.2">
      <c r="A1006" t="s">
        <v>11954</v>
      </c>
      <c r="B1006" t="s">
        <v>10900</v>
      </c>
      <c r="C1006" t="s">
        <v>10943</v>
      </c>
      <c r="D1006" t="s">
        <v>12863</v>
      </c>
      <c r="E1006" t="s">
        <v>12864</v>
      </c>
      <c r="F1006" t="s">
        <v>12863</v>
      </c>
      <c r="G1006" s="1">
        <v>600000</v>
      </c>
      <c r="H1006" s="2">
        <v>600000</v>
      </c>
      <c r="I1006" s="2">
        <v>600681.54</v>
      </c>
      <c r="J1006" s="2">
        <v>2413.58</v>
      </c>
      <c r="K1006" s="2">
        <v>0</v>
      </c>
      <c r="L1006" s="2">
        <v>603095.12</v>
      </c>
      <c r="M1006" s="3">
        <v>8.0409749999999995</v>
      </c>
      <c r="N1006" s="4">
        <v>1.37211E-3</v>
      </c>
      <c r="O1006" s="5">
        <v>44750</v>
      </c>
      <c r="P1006" s="5">
        <v>46485</v>
      </c>
      <c r="Q1006" s="1">
        <v>8.157</v>
      </c>
      <c r="R1006" s="2">
        <v>0.2</v>
      </c>
      <c r="S1006" s="6">
        <v>9.4975697833E-2</v>
      </c>
      <c r="T1006" t="s">
        <v>111</v>
      </c>
      <c r="U1006" t="s">
        <v>111</v>
      </c>
      <c r="V1006" t="s">
        <v>11189</v>
      </c>
      <c r="W1006" t="s">
        <v>43</v>
      </c>
      <c r="X1006" t="s">
        <v>11034</v>
      </c>
      <c r="Y1006" t="s">
        <v>44</v>
      </c>
      <c r="Z1006" t="s">
        <v>44</v>
      </c>
      <c r="AA1006" t="s">
        <v>11035</v>
      </c>
      <c r="AB1006" t="s">
        <v>44</v>
      </c>
      <c r="AC1006" s="4">
        <v>8.2026182599999995</v>
      </c>
      <c r="AD1006" s="4">
        <v>7.9094905600000001</v>
      </c>
      <c r="AE1006" s="2">
        <v>8.1999999999999993</v>
      </c>
      <c r="AF1006" s="4">
        <v>7.9094905600000001</v>
      </c>
      <c r="AG1006" s="2">
        <v>0.55000000000000004</v>
      </c>
      <c r="AH1006" s="2">
        <v>603095.12</v>
      </c>
      <c r="AI1006" s="2">
        <v>0</v>
      </c>
      <c r="AJ1006" s="5">
        <v>44673</v>
      </c>
      <c r="AK1006" t="s">
        <v>11955</v>
      </c>
      <c r="AL1006" s="2">
        <v>8.0399999999999991</v>
      </c>
      <c r="AM1006" s="2">
        <v>8.16</v>
      </c>
      <c r="AN1006" s="2">
        <v>0.09</v>
      </c>
      <c r="AO1006" t="s">
        <v>11496</v>
      </c>
      <c r="AP1006" t="s">
        <v>12865</v>
      </c>
      <c r="AQ1006" t="s">
        <v>12864</v>
      </c>
    </row>
    <row r="1007" spans="1:43" x14ac:dyDescent="0.2">
      <c r="A1007" t="s">
        <v>11954</v>
      </c>
      <c r="B1007" t="s">
        <v>10900</v>
      </c>
      <c r="C1007" t="s">
        <v>10943</v>
      </c>
      <c r="D1007" t="s">
        <v>11855</v>
      </c>
      <c r="E1007" t="s">
        <v>11856</v>
      </c>
      <c r="F1007" t="s">
        <v>11855</v>
      </c>
      <c r="G1007" s="1">
        <v>271000</v>
      </c>
      <c r="H1007" s="2">
        <v>293328.28000000003</v>
      </c>
      <c r="I1007" s="2">
        <v>282258.48</v>
      </c>
      <c r="J1007" s="2">
        <v>9735.14</v>
      </c>
      <c r="K1007" s="2">
        <v>0</v>
      </c>
      <c r="L1007" s="2">
        <v>291993.62</v>
      </c>
      <c r="M1007" s="3">
        <v>8.76</v>
      </c>
      <c r="N1007" s="4">
        <v>6.6432000000000004E-4</v>
      </c>
      <c r="O1007" s="5">
        <v>44724</v>
      </c>
      <c r="P1007" s="5">
        <v>46550</v>
      </c>
      <c r="Q1007" s="1">
        <v>9.7850000000000001</v>
      </c>
      <c r="R1007" s="2">
        <v>4.04</v>
      </c>
      <c r="S1007" s="6">
        <v>3.8707805450000001</v>
      </c>
      <c r="T1007" t="s">
        <v>111</v>
      </c>
      <c r="U1007" t="s">
        <v>111</v>
      </c>
      <c r="V1007" t="s">
        <v>10944</v>
      </c>
      <c r="W1007" t="s">
        <v>43</v>
      </c>
      <c r="X1007" t="s">
        <v>10988</v>
      </c>
      <c r="Y1007" t="s">
        <v>44</v>
      </c>
      <c r="Z1007" t="s">
        <v>44</v>
      </c>
      <c r="AA1007" t="s">
        <v>10979</v>
      </c>
      <c r="AB1007" t="s">
        <v>44</v>
      </c>
      <c r="AC1007" s="4">
        <v>8.9518439999999995</v>
      </c>
      <c r="AD1007" s="4">
        <v>8.6042807299999993</v>
      </c>
      <c r="AE1007" s="2">
        <v>8.9499999999999993</v>
      </c>
      <c r="AF1007" s="4">
        <v>8.6042807299999993</v>
      </c>
      <c r="AG1007" s="2">
        <v>0.27</v>
      </c>
      <c r="AH1007" s="2">
        <v>291993.62</v>
      </c>
      <c r="AI1007" s="2">
        <v>0</v>
      </c>
      <c r="AJ1007" s="5">
        <v>44673</v>
      </c>
      <c r="AK1007" t="s">
        <v>11955</v>
      </c>
      <c r="AL1007" s="2">
        <v>8.76</v>
      </c>
      <c r="AM1007" s="2">
        <v>9.7899999999999991</v>
      </c>
      <c r="AN1007" s="2">
        <v>3.87</v>
      </c>
      <c r="AO1007" t="s">
        <v>11179</v>
      </c>
      <c r="AP1007" t="s">
        <v>11857</v>
      </c>
      <c r="AQ1007" t="s">
        <v>11856</v>
      </c>
    </row>
    <row r="1008" spans="1:43" x14ac:dyDescent="0.2">
      <c r="A1008" t="s">
        <v>11954</v>
      </c>
      <c r="B1008" t="s">
        <v>10900</v>
      </c>
      <c r="C1008" t="s">
        <v>10990</v>
      </c>
      <c r="D1008" t="s">
        <v>11603</v>
      </c>
      <c r="E1008" t="s">
        <v>11604</v>
      </c>
      <c r="F1008" t="s">
        <v>11603</v>
      </c>
      <c r="G1008" s="1">
        <v>291587</v>
      </c>
      <c r="H1008" s="2">
        <v>911242.74</v>
      </c>
      <c r="I1008" s="2">
        <v>942084.43</v>
      </c>
      <c r="J1008" s="2">
        <v>18452.78</v>
      </c>
      <c r="K1008" s="2">
        <v>0</v>
      </c>
      <c r="L1008" s="2">
        <v>960537.21</v>
      </c>
      <c r="M1008" s="3">
        <v>1.165</v>
      </c>
      <c r="N1008" s="4">
        <v>2.1853300000000001E-3</v>
      </c>
      <c r="O1008" s="5">
        <v>44719</v>
      </c>
      <c r="P1008" s="5">
        <v>45267</v>
      </c>
      <c r="Q1008" s="1">
        <v>5.5</v>
      </c>
      <c r="R1008" s="2">
        <v>1.54</v>
      </c>
      <c r="S1008" s="6">
        <v>1.5339230509999999</v>
      </c>
      <c r="T1008" t="s">
        <v>111</v>
      </c>
      <c r="U1008" t="s">
        <v>111</v>
      </c>
      <c r="V1008" t="s">
        <v>10992</v>
      </c>
      <c r="W1008" t="s">
        <v>43</v>
      </c>
      <c r="X1008" t="s">
        <v>10945</v>
      </c>
      <c r="Y1008" t="s">
        <v>44</v>
      </c>
      <c r="Z1008" t="s">
        <v>44</v>
      </c>
      <c r="AA1008" t="s">
        <v>10913</v>
      </c>
      <c r="AB1008" t="s">
        <v>44</v>
      </c>
      <c r="AC1008" s="4">
        <v>1.1683930600000001</v>
      </c>
      <c r="AD1008" s="4">
        <v>1.1621824700000001</v>
      </c>
      <c r="AE1008" s="2">
        <v>1.17</v>
      </c>
      <c r="AF1008" s="4">
        <v>1.1621824700000001</v>
      </c>
      <c r="AG1008" s="2">
        <v>0.88</v>
      </c>
      <c r="AH1008" s="2">
        <v>960537.21</v>
      </c>
      <c r="AI1008" s="2">
        <v>0</v>
      </c>
      <c r="AJ1008" s="5">
        <v>44673</v>
      </c>
      <c r="AK1008" t="s">
        <v>11955</v>
      </c>
      <c r="AL1008" s="2">
        <v>1.1599999999999999</v>
      </c>
      <c r="AM1008" s="2">
        <v>5.5</v>
      </c>
      <c r="AN1008" s="2">
        <v>1.53</v>
      </c>
      <c r="AO1008" t="s">
        <v>10922</v>
      </c>
      <c r="AP1008" t="s">
        <v>11605</v>
      </c>
      <c r="AQ1008" t="s">
        <v>11604</v>
      </c>
    </row>
    <row r="1009" spans="1:43" x14ac:dyDescent="0.2">
      <c r="A1009" t="s">
        <v>11954</v>
      </c>
      <c r="B1009" t="s">
        <v>10900</v>
      </c>
      <c r="C1009" t="s">
        <v>10990</v>
      </c>
      <c r="D1009" t="s">
        <v>11922</v>
      </c>
      <c r="E1009" t="s">
        <v>1146</v>
      </c>
      <c r="F1009" t="s">
        <v>11922</v>
      </c>
      <c r="G1009" s="1">
        <v>280931</v>
      </c>
      <c r="H1009" s="2">
        <v>867121.99</v>
      </c>
      <c r="I1009" s="2">
        <v>900721.61</v>
      </c>
      <c r="J1009" s="2">
        <v>17778.419999999998</v>
      </c>
      <c r="K1009" s="2">
        <v>0</v>
      </c>
      <c r="L1009" s="2">
        <v>918500.03</v>
      </c>
      <c r="M1009" s="3">
        <v>1.6559999999999999</v>
      </c>
      <c r="N1009" s="4">
        <v>2.08969E-3</v>
      </c>
      <c r="O1009" s="5">
        <v>44719</v>
      </c>
      <c r="P1009" s="5">
        <v>45267</v>
      </c>
      <c r="Q1009" s="1">
        <v>5.5</v>
      </c>
      <c r="R1009" s="2">
        <v>1.54</v>
      </c>
      <c r="S1009" s="6">
        <v>1.529789238</v>
      </c>
      <c r="T1009" t="s">
        <v>111</v>
      </c>
      <c r="U1009" t="s">
        <v>111</v>
      </c>
      <c r="V1009" t="s">
        <v>10992</v>
      </c>
      <c r="W1009" t="s">
        <v>43</v>
      </c>
      <c r="X1009" t="s">
        <v>10945</v>
      </c>
      <c r="Y1009" t="s">
        <v>44</v>
      </c>
      <c r="Z1009" t="s">
        <v>44</v>
      </c>
      <c r="AA1009" t="s">
        <v>10979</v>
      </c>
      <c r="AB1009" t="s">
        <v>44</v>
      </c>
      <c r="AC1009" s="4">
        <v>1.66285584</v>
      </c>
      <c r="AD1009" s="4">
        <v>1.65031554</v>
      </c>
      <c r="AE1009" s="2">
        <v>1.66</v>
      </c>
      <c r="AF1009" s="4">
        <v>1.65031554</v>
      </c>
      <c r="AG1009" s="2">
        <v>0.84</v>
      </c>
      <c r="AH1009" s="2">
        <v>918500.03</v>
      </c>
      <c r="AI1009" s="2">
        <v>0</v>
      </c>
      <c r="AJ1009" s="5">
        <v>44673</v>
      </c>
      <c r="AK1009" t="s">
        <v>11955</v>
      </c>
      <c r="AL1009" s="2">
        <v>1.66</v>
      </c>
      <c r="AM1009" s="2">
        <v>5.5</v>
      </c>
      <c r="AN1009" s="2">
        <v>1.53</v>
      </c>
      <c r="AO1009" t="s">
        <v>11179</v>
      </c>
      <c r="AP1009" t="s">
        <v>11923</v>
      </c>
      <c r="AQ1009" t="s">
        <v>1146</v>
      </c>
    </row>
    <row r="1010" spans="1:43" x14ac:dyDescent="0.2">
      <c r="A1010" t="s">
        <v>11954</v>
      </c>
      <c r="B1010" t="s">
        <v>45</v>
      </c>
      <c r="C1010" t="s">
        <v>11000</v>
      </c>
      <c r="D1010" t="s">
        <v>11421</v>
      </c>
      <c r="E1010" t="s">
        <v>11422</v>
      </c>
      <c r="F1010" t="s">
        <v>11421</v>
      </c>
      <c r="G1010" s="1">
        <v>0</v>
      </c>
      <c r="H1010" s="2">
        <v>0</v>
      </c>
      <c r="I1010" s="2">
        <v>0</v>
      </c>
      <c r="J1010" s="2">
        <v>2071.23</v>
      </c>
      <c r="K1010" s="2">
        <v>0</v>
      </c>
      <c r="L1010" s="2">
        <v>2071.23</v>
      </c>
      <c r="M1010" s="3">
        <v>4.2</v>
      </c>
      <c r="N1010" s="4">
        <v>4.7099999999999998E-6</v>
      </c>
      <c r="O1010" s="5" t="s">
        <v>44</v>
      </c>
      <c r="P1010" s="5">
        <v>55153</v>
      </c>
      <c r="Q1010" s="1">
        <v>4.2</v>
      </c>
      <c r="R1010" s="2">
        <v>0.08</v>
      </c>
      <c r="S1010" s="6">
        <v>2.5947269999999998E-3</v>
      </c>
      <c r="T1010" t="s">
        <v>112</v>
      </c>
      <c r="U1010" t="s">
        <v>46</v>
      </c>
      <c r="V1010" t="s">
        <v>11270</v>
      </c>
      <c r="W1010" t="s">
        <v>43</v>
      </c>
      <c r="X1010" t="s">
        <v>44</v>
      </c>
      <c r="Y1010" t="s">
        <v>44</v>
      </c>
      <c r="Z1010" t="s">
        <v>44</v>
      </c>
      <c r="AA1010" t="s">
        <v>10913</v>
      </c>
      <c r="AB1010" t="s">
        <v>44</v>
      </c>
      <c r="AC1010" s="4">
        <v>4.2819052299999996</v>
      </c>
      <c r="AD1010" s="4">
        <v>4.20010057</v>
      </c>
      <c r="AE1010" s="2">
        <v>4.28</v>
      </c>
      <c r="AF1010" s="4">
        <v>4.20010057</v>
      </c>
      <c r="AG1010" s="2">
        <v>0</v>
      </c>
      <c r="AH1010" s="2">
        <v>2071.23</v>
      </c>
      <c r="AI1010" s="2">
        <v>0</v>
      </c>
      <c r="AJ1010" s="5">
        <v>44673</v>
      </c>
      <c r="AK1010" t="s">
        <v>11955</v>
      </c>
      <c r="AL1010" s="2">
        <v>4.24</v>
      </c>
      <c r="AM1010" s="2">
        <v>4.2</v>
      </c>
      <c r="AN1010" s="2">
        <v>0</v>
      </c>
      <c r="AO1010" t="s">
        <v>11423</v>
      </c>
      <c r="AP1010" t="s">
        <v>44</v>
      </c>
      <c r="AQ1010" t="s">
        <v>11422</v>
      </c>
    </row>
    <row r="1011" spans="1:43" x14ac:dyDescent="0.2">
      <c r="A1011" t="s">
        <v>11954</v>
      </c>
      <c r="B1011" t="s">
        <v>45</v>
      </c>
      <c r="C1011" t="s">
        <v>11000</v>
      </c>
      <c r="D1011" t="s">
        <v>11424</v>
      </c>
      <c r="E1011" t="s">
        <v>11425</v>
      </c>
      <c r="F1011" t="s">
        <v>11424</v>
      </c>
      <c r="G1011" s="1">
        <v>0</v>
      </c>
      <c r="H1011" s="2">
        <v>0</v>
      </c>
      <c r="I1011" s="2">
        <v>0</v>
      </c>
      <c r="J1011" s="2">
        <v>2071.23</v>
      </c>
      <c r="K1011" s="2">
        <v>0</v>
      </c>
      <c r="L1011" s="2">
        <v>2071.23</v>
      </c>
      <c r="M1011" s="3">
        <v>4.2</v>
      </c>
      <c r="N1011" s="4">
        <v>4.7099999999999998E-6</v>
      </c>
      <c r="O1011" s="5" t="s">
        <v>44</v>
      </c>
      <c r="P1011" s="5">
        <v>55153</v>
      </c>
      <c r="Q1011" s="1">
        <v>4.2</v>
      </c>
      <c r="R1011" s="2">
        <v>0.08</v>
      </c>
      <c r="S1011" s="6">
        <v>2.5986049999999999E-3</v>
      </c>
      <c r="T1011" t="s">
        <v>112</v>
      </c>
      <c r="U1011" t="s">
        <v>46</v>
      </c>
      <c r="V1011" t="s">
        <v>11270</v>
      </c>
      <c r="W1011" t="s">
        <v>43</v>
      </c>
      <c r="X1011" t="s">
        <v>44</v>
      </c>
      <c r="Y1011" t="s">
        <v>44</v>
      </c>
      <c r="Z1011" t="s">
        <v>44</v>
      </c>
      <c r="AA1011" t="s">
        <v>11035</v>
      </c>
      <c r="AB1011" t="s">
        <v>44</v>
      </c>
      <c r="AC1011" s="4">
        <v>4.2819052299999996</v>
      </c>
      <c r="AD1011" s="4">
        <v>4.20010057</v>
      </c>
      <c r="AE1011" s="2">
        <v>4.28</v>
      </c>
      <c r="AF1011" s="4">
        <v>4.20010057</v>
      </c>
      <c r="AG1011" s="2">
        <v>0</v>
      </c>
      <c r="AH1011" s="2">
        <v>2071.23</v>
      </c>
      <c r="AI1011" s="2">
        <v>0</v>
      </c>
      <c r="AJ1011" s="5">
        <v>44673</v>
      </c>
      <c r="AK1011" t="s">
        <v>11955</v>
      </c>
      <c r="AL1011" s="2">
        <v>4.24</v>
      </c>
      <c r="AM1011" s="2">
        <v>4.2</v>
      </c>
      <c r="AN1011" s="2">
        <v>0</v>
      </c>
      <c r="AO1011" t="s">
        <v>11053</v>
      </c>
      <c r="AP1011" t="s">
        <v>44</v>
      </c>
      <c r="AQ1011" t="s">
        <v>11425</v>
      </c>
    </row>
    <row r="1012" spans="1:43" x14ac:dyDescent="0.2">
      <c r="A1012" t="s">
        <v>11954</v>
      </c>
      <c r="B1012" t="s">
        <v>45</v>
      </c>
      <c r="C1012" t="s">
        <v>47</v>
      </c>
      <c r="D1012" t="s">
        <v>48</v>
      </c>
      <c r="E1012" t="s">
        <v>49</v>
      </c>
      <c r="F1012" t="s">
        <v>50</v>
      </c>
      <c r="G1012" s="1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1714.99</v>
      </c>
      <c r="M1012" s="3"/>
      <c r="N1012" s="4">
        <v>3.8999999999999999E-6</v>
      </c>
      <c r="O1012" s="5" t="s">
        <v>44</v>
      </c>
      <c r="P1012" s="5" t="s">
        <v>44</v>
      </c>
      <c r="Q1012" s="1"/>
      <c r="R1012" s="2">
        <v>0.08</v>
      </c>
      <c r="S1012" s="6"/>
      <c r="T1012" t="s">
        <v>45</v>
      </c>
      <c r="U1012" t="s">
        <v>46</v>
      </c>
      <c r="V1012" t="s">
        <v>44</v>
      </c>
      <c r="W1012" t="s">
        <v>43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s="4">
        <v>5.1163389600000002</v>
      </c>
      <c r="AD1012" s="4">
        <v>5.0001424999999999</v>
      </c>
      <c r="AE1012" s="2">
        <v>5.12</v>
      </c>
      <c r="AF1012" s="4">
        <v>5.0001424999999999</v>
      </c>
      <c r="AG1012" s="2">
        <v>0</v>
      </c>
      <c r="AH1012" s="2">
        <v>1714.99</v>
      </c>
      <c r="AI1012" s="2">
        <v>0</v>
      </c>
      <c r="AJ1012" s="5">
        <v>44673</v>
      </c>
      <c r="AK1012" t="s">
        <v>11955</v>
      </c>
      <c r="AL1012" s="2">
        <v>5.05</v>
      </c>
      <c r="AM1012" s="2">
        <v>0</v>
      </c>
      <c r="AN1012" s="2">
        <v>0</v>
      </c>
      <c r="AO1012" t="s">
        <v>44</v>
      </c>
      <c r="AP1012" t="s">
        <v>44</v>
      </c>
      <c r="AQ1012" t="s">
        <v>44</v>
      </c>
    </row>
    <row r="1013" spans="1:43" x14ac:dyDescent="0.2">
      <c r="A1013" t="s">
        <v>11954</v>
      </c>
      <c r="B1013" t="s">
        <v>45</v>
      </c>
      <c r="C1013" t="s">
        <v>47</v>
      </c>
      <c r="D1013" t="s">
        <v>51</v>
      </c>
      <c r="E1013" t="s">
        <v>52</v>
      </c>
      <c r="F1013" t="s">
        <v>51</v>
      </c>
      <c r="G1013" s="1">
        <v>1447823.77</v>
      </c>
      <c r="H1013" s="2">
        <v>1447823.77</v>
      </c>
      <c r="I1013" s="2">
        <v>1447823.77</v>
      </c>
      <c r="J1013" s="2">
        <v>0</v>
      </c>
      <c r="K1013" s="2">
        <v>0</v>
      </c>
      <c r="L1013" s="2">
        <v>1447823.77</v>
      </c>
      <c r="M1013" s="3"/>
      <c r="N1013" s="4">
        <v>3.2939499999999999E-3</v>
      </c>
      <c r="O1013" s="5" t="s">
        <v>44</v>
      </c>
      <c r="P1013" s="5" t="s">
        <v>44</v>
      </c>
      <c r="Q1013" s="1"/>
      <c r="R1013" s="2">
        <v>0.08</v>
      </c>
      <c r="S1013" s="6"/>
      <c r="T1013" t="s">
        <v>45</v>
      </c>
      <c r="U1013" t="s">
        <v>53</v>
      </c>
      <c r="V1013" t="s">
        <v>44</v>
      </c>
      <c r="W1013" t="s">
        <v>43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s="4">
        <v>5.1163389600000002</v>
      </c>
      <c r="AD1013" s="4">
        <v>5.0001424999999999</v>
      </c>
      <c r="AE1013" s="2">
        <v>5.12</v>
      </c>
      <c r="AF1013" s="4">
        <v>5.0001424999999999</v>
      </c>
      <c r="AG1013" s="2">
        <v>1.32</v>
      </c>
      <c r="AH1013" s="2">
        <v>1447823.77</v>
      </c>
      <c r="AI1013" s="2">
        <v>0</v>
      </c>
      <c r="AJ1013" s="5">
        <v>44673</v>
      </c>
      <c r="AK1013" t="s">
        <v>11955</v>
      </c>
      <c r="AL1013" s="2">
        <v>5.05</v>
      </c>
      <c r="AM1013" s="2">
        <v>0</v>
      </c>
      <c r="AN1013" s="2">
        <v>0</v>
      </c>
      <c r="AO1013" t="s">
        <v>44</v>
      </c>
      <c r="AP1013" t="s">
        <v>44</v>
      </c>
      <c r="AQ1013" t="s">
        <v>43</v>
      </c>
    </row>
    <row r="1014" spans="1:43" x14ac:dyDescent="0.2">
      <c r="A1014" t="s">
        <v>11954</v>
      </c>
      <c r="B1014" t="s">
        <v>45</v>
      </c>
      <c r="C1014" t="s">
        <v>47</v>
      </c>
      <c r="D1014" t="s">
        <v>11045</v>
      </c>
      <c r="E1014" t="s">
        <v>11046</v>
      </c>
      <c r="F1014" t="s">
        <v>11045</v>
      </c>
      <c r="G1014" s="1">
        <v>36497.18</v>
      </c>
      <c r="H1014" s="2">
        <v>561762.99</v>
      </c>
      <c r="I1014" s="2">
        <v>569867.75</v>
      </c>
      <c r="J1014" s="2">
        <v>0</v>
      </c>
      <c r="K1014" s="2">
        <v>0</v>
      </c>
      <c r="L1014" s="2">
        <v>569867.75</v>
      </c>
      <c r="M1014" s="3">
        <v>1</v>
      </c>
      <c r="N1014" s="4">
        <v>1.2965100000000001E-3</v>
      </c>
      <c r="O1014" s="5" t="s">
        <v>44</v>
      </c>
      <c r="P1014" s="5" t="s">
        <v>44</v>
      </c>
      <c r="Q1014" s="1"/>
      <c r="R1014" s="2">
        <v>0.08</v>
      </c>
      <c r="S1014" s="6"/>
      <c r="T1014" t="s">
        <v>45</v>
      </c>
      <c r="U1014" t="s">
        <v>53</v>
      </c>
      <c r="V1014" t="s">
        <v>44</v>
      </c>
      <c r="W1014" t="s">
        <v>113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s="4"/>
      <c r="AD1014" s="4"/>
      <c r="AE1014" s="2">
        <v>0</v>
      </c>
      <c r="AF1014" s="4">
        <v>0</v>
      </c>
      <c r="AG1014" s="2">
        <v>0.52</v>
      </c>
      <c r="AH1014" s="2">
        <v>569867.75</v>
      </c>
      <c r="AI1014" s="2">
        <v>0</v>
      </c>
      <c r="AJ1014" s="5">
        <v>44673</v>
      </c>
      <c r="AK1014" t="s">
        <v>11955</v>
      </c>
      <c r="AL1014" s="2">
        <v>0</v>
      </c>
      <c r="AM1014" s="2">
        <v>0</v>
      </c>
      <c r="AN1014" s="2">
        <v>0</v>
      </c>
      <c r="AO1014" t="s">
        <v>44</v>
      </c>
      <c r="AP1014" t="s">
        <v>44</v>
      </c>
      <c r="AQ1014" t="s">
        <v>113</v>
      </c>
    </row>
    <row r="1015" spans="1:43" x14ac:dyDescent="0.2">
      <c r="A1015" t="s">
        <v>11954</v>
      </c>
      <c r="B1015" t="s">
        <v>11013</v>
      </c>
      <c r="C1015" t="s">
        <v>11014</v>
      </c>
      <c r="D1015" t="s">
        <v>11965</v>
      </c>
      <c r="E1015" t="s">
        <v>11966</v>
      </c>
      <c r="F1015" t="s">
        <v>11965</v>
      </c>
      <c r="G1015" s="1">
        <v>20384655.999899998</v>
      </c>
      <c r="H1015" s="2">
        <v>21673705.949999999</v>
      </c>
      <c r="I1015" s="2">
        <v>21418158.059999999</v>
      </c>
      <c r="J1015" s="2">
        <v>0</v>
      </c>
      <c r="K1015" s="2">
        <v>0</v>
      </c>
      <c r="L1015" s="2">
        <v>21418158.059999999</v>
      </c>
      <c r="M1015" s="3">
        <v>1.0507</v>
      </c>
      <c r="N1015" s="4">
        <v>4.872862E-2</v>
      </c>
      <c r="O1015" s="5" t="s">
        <v>44</v>
      </c>
      <c r="P1015" s="5" t="s">
        <v>44</v>
      </c>
      <c r="Q1015" s="1"/>
      <c r="R1015" s="2"/>
      <c r="S1015" s="6"/>
      <c r="T1015" t="s">
        <v>10902</v>
      </c>
      <c r="U1015" t="s">
        <v>11003</v>
      </c>
      <c r="V1015" t="s">
        <v>11003</v>
      </c>
      <c r="W1015" t="s">
        <v>43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s="4"/>
      <c r="AD1015" s="4"/>
      <c r="AE1015" s="2">
        <v>0</v>
      </c>
      <c r="AF1015" s="4">
        <v>0</v>
      </c>
      <c r="AG1015" s="2">
        <v>19.600000000000001</v>
      </c>
      <c r="AH1015" s="2">
        <v>21418158.059999999</v>
      </c>
      <c r="AI1015" s="2">
        <v>0.05</v>
      </c>
      <c r="AJ1015" s="5">
        <v>44673</v>
      </c>
      <c r="AK1015" t="s">
        <v>11955</v>
      </c>
      <c r="AL1015" s="2">
        <v>0</v>
      </c>
      <c r="AM1015" s="2">
        <v>0</v>
      </c>
      <c r="AN1015" s="2">
        <v>0</v>
      </c>
      <c r="AO1015" t="s">
        <v>44</v>
      </c>
      <c r="AP1015" t="s">
        <v>11967</v>
      </c>
      <c r="AQ1015" t="s">
        <v>11966</v>
      </c>
    </row>
    <row r="1016" spans="1:43" x14ac:dyDescent="0.2">
      <c r="A1016" t="s">
        <v>11954</v>
      </c>
      <c r="B1016" t="s">
        <v>11013</v>
      </c>
      <c r="C1016" t="s">
        <v>11047</v>
      </c>
      <c r="D1016" t="s">
        <v>11861</v>
      </c>
      <c r="E1016" t="s">
        <v>11862</v>
      </c>
      <c r="F1016" t="s">
        <v>11861</v>
      </c>
      <c r="G1016" s="1">
        <v>447026.70189999999</v>
      </c>
      <c r="H1016" s="2">
        <v>5177950.2300000004</v>
      </c>
      <c r="I1016" s="2">
        <v>7012060.8499999996</v>
      </c>
      <c r="J1016" s="2">
        <v>0</v>
      </c>
      <c r="K1016" s="2">
        <v>0</v>
      </c>
      <c r="L1016" s="2">
        <v>7012060.8499999996</v>
      </c>
      <c r="M1016" s="3">
        <v>15.686</v>
      </c>
      <c r="N1016" s="4">
        <v>1.5953189999999999E-2</v>
      </c>
      <c r="O1016" s="5" t="s">
        <v>44</v>
      </c>
      <c r="P1016" s="5" t="s">
        <v>44</v>
      </c>
      <c r="Q1016" s="1"/>
      <c r="R1016" s="2"/>
      <c r="S1016" s="6"/>
      <c r="T1016" t="s">
        <v>10902</v>
      </c>
      <c r="U1016" t="s">
        <v>11003</v>
      </c>
      <c r="V1016" t="s">
        <v>11003</v>
      </c>
      <c r="W1016" t="s">
        <v>43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s="4"/>
      <c r="AD1016" s="4"/>
      <c r="AE1016" s="2">
        <v>0</v>
      </c>
      <c r="AF1016" s="4">
        <v>0</v>
      </c>
      <c r="AG1016" s="2">
        <v>6.42</v>
      </c>
      <c r="AH1016" s="2">
        <v>7012060.8499999996</v>
      </c>
      <c r="AI1016" s="2">
        <v>0.02</v>
      </c>
      <c r="AJ1016" s="5">
        <v>44673</v>
      </c>
      <c r="AK1016" t="s">
        <v>11955</v>
      </c>
      <c r="AL1016" s="2">
        <v>0</v>
      </c>
      <c r="AM1016" s="2">
        <v>0</v>
      </c>
      <c r="AN1016" s="2">
        <v>0</v>
      </c>
      <c r="AO1016" t="s">
        <v>44</v>
      </c>
      <c r="AP1016" t="s">
        <v>44</v>
      </c>
      <c r="AQ1016" t="s">
        <v>11862</v>
      </c>
    </row>
    <row r="1017" spans="1:43" x14ac:dyDescent="0.2">
      <c r="A1017" t="s">
        <v>11954</v>
      </c>
      <c r="B1017" t="s">
        <v>11037</v>
      </c>
      <c r="C1017" t="s">
        <v>11195</v>
      </c>
      <c r="D1017" t="s">
        <v>11606</v>
      </c>
      <c r="E1017" t="s">
        <v>7660</v>
      </c>
      <c r="F1017" t="s">
        <v>11606</v>
      </c>
      <c r="G1017" s="1">
        <v>92903</v>
      </c>
      <c r="H1017" s="2">
        <v>910438.13</v>
      </c>
      <c r="I1017" s="2">
        <v>757159.45</v>
      </c>
      <c r="J1017" s="2">
        <v>0</v>
      </c>
      <c r="K1017" s="2">
        <v>0</v>
      </c>
      <c r="L1017" s="2">
        <v>757159.45</v>
      </c>
      <c r="M1017" s="3">
        <v>815</v>
      </c>
      <c r="N1017" s="4">
        <v>1.72262E-3</v>
      </c>
      <c r="O1017" s="5" t="s">
        <v>44</v>
      </c>
      <c r="P1017" s="5" t="s">
        <v>44</v>
      </c>
      <c r="Q1017" s="1"/>
      <c r="R1017" s="2"/>
      <c r="S1017" s="6"/>
      <c r="T1017" t="s">
        <v>10902</v>
      </c>
      <c r="U1017" t="s">
        <v>10902</v>
      </c>
      <c r="V1017" t="s">
        <v>10902</v>
      </c>
      <c r="W1017" t="s">
        <v>43</v>
      </c>
      <c r="X1017" t="s">
        <v>11197</v>
      </c>
      <c r="Y1017" t="s">
        <v>11198</v>
      </c>
      <c r="Z1017" t="s">
        <v>11195</v>
      </c>
      <c r="AA1017" t="s">
        <v>44</v>
      </c>
      <c r="AB1017" t="s">
        <v>44</v>
      </c>
      <c r="AC1017" s="4"/>
      <c r="AD1017" s="4"/>
      <c r="AE1017" s="2">
        <v>0</v>
      </c>
      <c r="AF1017" s="4">
        <v>0</v>
      </c>
      <c r="AG1017" s="2">
        <v>0.69</v>
      </c>
      <c r="AH1017" s="2">
        <v>757159.45</v>
      </c>
      <c r="AI1017" s="2">
        <v>0</v>
      </c>
      <c r="AJ1017" s="5">
        <v>44673</v>
      </c>
      <c r="AK1017" t="s">
        <v>11955</v>
      </c>
      <c r="AL1017" s="2">
        <v>0</v>
      </c>
      <c r="AM1017" s="2">
        <v>0</v>
      </c>
      <c r="AN1017" s="2">
        <v>0</v>
      </c>
      <c r="AO1017" t="s">
        <v>44</v>
      </c>
      <c r="AP1017" t="s">
        <v>11607</v>
      </c>
      <c r="AQ1017" t="s">
        <v>7660</v>
      </c>
    </row>
    <row r="1018" spans="1:43" x14ac:dyDescent="0.2">
      <c r="A1018" t="s">
        <v>11954</v>
      </c>
      <c r="B1018" t="s">
        <v>11865</v>
      </c>
      <c r="C1018" t="s">
        <v>11865</v>
      </c>
      <c r="D1018" t="s">
        <v>11866</v>
      </c>
      <c r="E1018" t="s">
        <v>11867</v>
      </c>
      <c r="F1018" t="s">
        <v>11866</v>
      </c>
      <c r="G1018" s="1">
        <v>-280200</v>
      </c>
      <c r="H1018" s="2">
        <v>-4362293.7</v>
      </c>
      <c r="I1018" s="2">
        <v>-4388054.76</v>
      </c>
      <c r="J1018" s="2">
        <v>0</v>
      </c>
      <c r="K1018" s="2">
        <v>0</v>
      </c>
      <c r="L1018" s="2">
        <v>-4388054.76</v>
      </c>
      <c r="M1018" s="3">
        <v>6.3854999999999995E-2</v>
      </c>
      <c r="N1018" s="4">
        <v>-9.9833000000000005E-3</v>
      </c>
      <c r="O1018" s="5" t="s">
        <v>44</v>
      </c>
      <c r="P1018" s="5">
        <v>44701</v>
      </c>
      <c r="Q1018" s="1"/>
      <c r="R1018" s="2"/>
      <c r="S1018" s="6"/>
      <c r="T1018" t="s">
        <v>11868</v>
      </c>
      <c r="U1018" t="s">
        <v>44</v>
      </c>
      <c r="V1018" t="s">
        <v>44</v>
      </c>
      <c r="W1018" t="s">
        <v>113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s="4"/>
      <c r="AD1018" s="4"/>
      <c r="AE1018" s="2">
        <v>0</v>
      </c>
      <c r="AF1018" s="4">
        <v>0</v>
      </c>
      <c r="AG1018" s="2">
        <v>-4.0199999999999996</v>
      </c>
      <c r="AH1018" s="2">
        <v>-4388054.76</v>
      </c>
      <c r="AI1018" s="2">
        <v>-0.01</v>
      </c>
      <c r="AJ1018" s="5">
        <v>44673</v>
      </c>
      <c r="AK1018" t="s">
        <v>11955</v>
      </c>
      <c r="AL1018" s="2">
        <v>0</v>
      </c>
      <c r="AM1018" s="2">
        <v>0</v>
      </c>
      <c r="AN1018" s="2">
        <v>0</v>
      </c>
      <c r="AO1018" t="s">
        <v>44</v>
      </c>
      <c r="AP1018" t="s">
        <v>44</v>
      </c>
      <c r="AQ1018" t="s">
        <v>113</v>
      </c>
    </row>
    <row r="1019" spans="1:43" x14ac:dyDescent="0.2">
      <c r="A1019" t="s">
        <v>11954</v>
      </c>
      <c r="B1019" t="s">
        <v>11865</v>
      </c>
      <c r="C1019" t="s">
        <v>11865</v>
      </c>
      <c r="D1019" t="s">
        <v>11869</v>
      </c>
      <c r="E1019" t="s">
        <v>11867</v>
      </c>
      <c r="F1019" t="s">
        <v>11869</v>
      </c>
      <c r="G1019" s="1">
        <v>4362293.7</v>
      </c>
      <c r="H1019" s="2">
        <v>4362293.7</v>
      </c>
      <c r="I1019" s="2">
        <v>4362293.7</v>
      </c>
      <c r="J1019" s="2">
        <v>0</v>
      </c>
      <c r="K1019" s="2">
        <v>0</v>
      </c>
      <c r="L1019" s="2">
        <v>4362293.7</v>
      </c>
      <c r="M1019" s="3">
        <v>1</v>
      </c>
      <c r="N1019" s="4">
        <v>9.9246899999999999E-3</v>
      </c>
      <c r="O1019" s="5" t="s">
        <v>44</v>
      </c>
      <c r="P1019" s="5">
        <v>44701</v>
      </c>
      <c r="Q1019" s="1"/>
      <c r="R1019" s="2"/>
      <c r="S1019" s="6"/>
      <c r="T1019" t="s">
        <v>11868</v>
      </c>
      <c r="U1019" t="s">
        <v>44</v>
      </c>
      <c r="V1019" t="s">
        <v>44</v>
      </c>
      <c r="W1019" t="s">
        <v>43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s="4"/>
      <c r="AD1019" s="4"/>
      <c r="AE1019" s="2">
        <v>0</v>
      </c>
      <c r="AF1019" s="4">
        <v>0</v>
      </c>
      <c r="AG1019" s="2">
        <v>3.99</v>
      </c>
      <c r="AH1019" s="2">
        <v>4362293.7</v>
      </c>
      <c r="AI1019" s="2">
        <v>0.01</v>
      </c>
      <c r="AJ1019" s="5">
        <v>44673</v>
      </c>
      <c r="AK1019" t="s">
        <v>11955</v>
      </c>
      <c r="AL1019" s="2">
        <v>0</v>
      </c>
      <c r="AM1019" s="2">
        <v>0</v>
      </c>
      <c r="AN1019" s="2">
        <v>0</v>
      </c>
      <c r="AO1019" t="s">
        <v>44</v>
      </c>
      <c r="AP1019" t="s">
        <v>44</v>
      </c>
      <c r="AQ1019" t="s">
        <v>43</v>
      </c>
    </row>
    <row r="1020" spans="1:43" x14ac:dyDescent="0.2">
      <c r="A1020" t="s">
        <v>11954</v>
      </c>
      <c r="B1020" t="s">
        <v>11038</v>
      </c>
      <c r="C1020" t="s">
        <v>11870</v>
      </c>
      <c r="D1020" t="s">
        <v>11056</v>
      </c>
      <c r="E1020" t="s">
        <v>11057</v>
      </c>
      <c r="F1020" t="s">
        <v>11056</v>
      </c>
      <c r="G1020" s="1">
        <v>2195812</v>
      </c>
      <c r="H1020" s="2">
        <v>2195336.48</v>
      </c>
      <c r="I1020" s="2">
        <v>2195812</v>
      </c>
      <c r="J1020" s="2">
        <v>58171.45</v>
      </c>
      <c r="K1020" s="2">
        <v>0</v>
      </c>
      <c r="L1020" s="2">
        <v>2253983.4500000002</v>
      </c>
      <c r="M1020" s="3"/>
      <c r="N1020" s="4">
        <v>5.1280600000000003E-3</v>
      </c>
      <c r="O1020" s="5">
        <v>44692</v>
      </c>
      <c r="P1020" s="5">
        <v>44692</v>
      </c>
      <c r="Q1020" s="1">
        <v>13.067</v>
      </c>
      <c r="R1020" s="2"/>
      <c r="S1020" s="6"/>
      <c r="T1020" t="s">
        <v>111</v>
      </c>
      <c r="U1020" t="s">
        <v>11040</v>
      </c>
      <c r="V1020" t="s">
        <v>115</v>
      </c>
      <c r="W1020" t="s">
        <v>43</v>
      </c>
      <c r="X1020" t="s">
        <v>44</v>
      </c>
      <c r="Y1020" t="s">
        <v>44</v>
      </c>
      <c r="Z1020" t="s">
        <v>44</v>
      </c>
      <c r="AA1020" t="s">
        <v>10979</v>
      </c>
      <c r="AB1020" t="s">
        <v>44</v>
      </c>
      <c r="AC1020" s="4"/>
      <c r="AD1020" s="4"/>
      <c r="AE1020" s="2">
        <v>0</v>
      </c>
      <c r="AF1020" s="4">
        <v>0</v>
      </c>
      <c r="AG1020" s="2">
        <v>2.06</v>
      </c>
      <c r="AH1020" s="2">
        <v>2253983.4500000002</v>
      </c>
      <c r="AI1020" s="2">
        <v>0.01</v>
      </c>
      <c r="AJ1020" s="5">
        <v>44673</v>
      </c>
      <c r="AK1020" t="s">
        <v>11955</v>
      </c>
      <c r="AL1020" s="2">
        <v>0</v>
      </c>
      <c r="AM1020" s="2">
        <v>13.07</v>
      </c>
      <c r="AN1020" s="2">
        <v>0</v>
      </c>
      <c r="AO1020" t="s">
        <v>10980</v>
      </c>
      <c r="AP1020" t="s">
        <v>11058</v>
      </c>
      <c r="AQ1020" t="s">
        <v>11057</v>
      </c>
    </row>
    <row r="1021" spans="1:43" x14ac:dyDescent="0.2">
      <c r="A1021" t="s">
        <v>11954</v>
      </c>
      <c r="B1021" t="s">
        <v>11038</v>
      </c>
      <c r="C1021" t="s">
        <v>11055</v>
      </c>
      <c r="D1021" t="s">
        <v>11872</v>
      </c>
      <c r="E1021" t="s">
        <v>11873</v>
      </c>
      <c r="F1021" t="s">
        <v>11872</v>
      </c>
      <c r="G1021" s="1">
        <v>2510000</v>
      </c>
      <c r="H1021" s="2">
        <v>2510000</v>
      </c>
      <c r="I1021" s="2">
        <v>2511555.91</v>
      </c>
      <c r="J1021" s="2">
        <v>22401.03</v>
      </c>
      <c r="K1021" s="2">
        <v>0</v>
      </c>
      <c r="L1021" s="2">
        <v>2533956.94</v>
      </c>
      <c r="M1021" s="3">
        <v>5.1502819999999998</v>
      </c>
      <c r="N1021" s="4">
        <v>5.76502E-3</v>
      </c>
      <c r="O1021" s="5">
        <v>44712</v>
      </c>
      <c r="P1021" s="5">
        <v>44712</v>
      </c>
      <c r="Q1021" s="1">
        <v>5.8170000000000002</v>
      </c>
      <c r="R1021" s="2">
        <v>0.1</v>
      </c>
      <c r="S1021" s="6">
        <v>9.3730576011000002E-2</v>
      </c>
      <c r="T1021" t="s">
        <v>111</v>
      </c>
      <c r="U1021" t="s">
        <v>11040</v>
      </c>
      <c r="V1021" t="s">
        <v>114</v>
      </c>
      <c r="W1021" t="s">
        <v>43</v>
      </c>
      <c r="X1021" t="s">
        <v>10988</v>
      </c>
      <c r="Y1021" t="s">
        <v>44</v>
      </c>
      <c r="Z1021" t="s">
        <v>44</v>
      </c>
      <c r="AA1021" t="s">
        <v>10979</v>
      </c>
      <c r="AB1021" t="s">
        <v>44</v>
      </c>
      <c r="AC1021" s="4">
        <v>5.2714900699999996</v>
      </c>
      <c r="AD1021" s="4">
        <v>5.1482567699999997</v>
      </c>
      <c r="AE1021" s="2">
        <v>5.27</v>
      </c>
      <c r="AF1021" s="4">
        <v>5.1482567699999997</v>
      </c>
      <c r="AG1021" s="2">
        <v>2.3199999999999998</v>
      </c>
      <c r="AH1021" s="2">
        <v>2533956.94</v>
      </c>
      <c r="AI1021" s="2">
        <v>0.01</v>
      </c>
      <c r="AJ1021" s="5">
        <v>44673</v>
      </c>
      <c r="AK1021" t="s">
        <v>11955</v>
      </c>
      <c r="AL1021" s="2">
        <v>5.2</v>
      </c>
      <c r="AM1021" s="2">
        <v>5.82</v>
      </c>
      <c r="AN1021" s="2">
        <v>0.09</v>
      </c>
      <c r="AO1021" t="s">
        <v>11048</v>
      </c>
      <c r="AP1021" t="s">
        <v>11874</v>
      </c>
      <c r="AQ1021" t="s">
        <v>11873</v>
      </c>
    </row>
    <row r="1022" spans="1:43" x14ac:dyDescent="0.2">
      <c r="A1022" t="s">
        <v>11954</v>
      </c>
      <c r="B1022" t="s">
        <v>11038</v>
      </c>
      <c r="C1022" t="s">
        <v>11039</v>
      </c>
      <c r="D1022" t="s">
        <v>11968</v>
      </c>
      <c r="E1022" t="s">
        <v>11969</v>
      </c>
      <c r="F1022" t="s">
        <v>11968</v>
      </c>
      <c r="G1022" s="1">
        <v>2000000</v>
      </c>
      <c r="H1022" s="2">
        <v>2000000</v>
      </c>
      <c r="I1022" s="2">
        <v>1996578.13</v>
      </c>
      <c r="J1022" s="2">
        <v>35076.71</v>
      </c>
      <c r="K1022" s="2">
        <v>0</v>
      </c>
      <c r="L1022" s="2">
        <v>2031654.84</v>
      </c>
      <c r="M1022" s="3">
        <v>5.5893660000000001</v>
      </c>
      <c r="N1022" s="4">
        <v>4.6222299999999997E-3</v>
      </c>
      <c r="O1022" s="5">
        <v>44923</v>
      </c>
      <c r="P1022" s="5">
        <v>44923</v>
      </c>
      <c r="Q1022" s="1">
        <v>5.4249999999999998</v>
      </c>
      <c r="R1022" s="2">
        <v>0.68</v>
      </c>
      <c r="S1022" s="6">
        <v>0.65204926551999998</v>
      </c>
      <c r="T1022" t="s">
        <v>111</v>
      </c>
      <c r="U1022" t="s">
        <v>11040</v>
      </c>
      <c r="V1022" t="s">
        <v>11041</v>
      </c>
      <c r="W1022" t="s">
        <v>43</v>
      </c>
      <c r="X1022" t="s">
        <v>11034</v>
      </c>
      <c r="Y1022" t="s">
        <v>44</v>
      </c>
      <c r="Z1022" t="s">
        <v>44</v>
      </c>
      <c r="AA1022" t="s">
        <v>10979</v>
      </c>
      <c r="AB1022" t="s">
        <v>44</v>
      </c>
      <c r="AC1022" s="4">
        <v>5.6395369400000002</v>
      </c>
      <c r="AD1022" s="4">
        <v>5.4988121699999999</v>
      </c>
      <c r="AE1022" s="2">
        <v>5.64</v>
      </c>
      <c r="AF1022" s="4">
        <v>5.4988121699999999</v>
      </c>
      <c r="AG1022" s="2">
        <v>1.86</v>
      </c>
      <c r="AH1022" s="2">
        <v>2031654.84</v>
      </c>
      <c r="AI1022" s="2">
        <v>0</v>
      </c>
      <c r="AJ1022" s="5">
        <v>44673</v>
      </c>
      <c r="AK1022" t="s">
        <v>11955</v>
      </c>
      <c r="AL1022" s="2">
        <v>5.56</v>
      </c>
      <c r="AM1022" s="2">
        <v>5.42</v>
      </c>
      <c r="AN1022" s="2">
        <v>0.65</v>
      </c>
      <c r="AO1022" t="s">
        <v>11165</v>
      </c>
      <c r="AP1022" t="s">
        <v>11970</v>
      </c>
      <c r="AQ1022" t="s">
        <v>11969</v>
      </c>
    </row>
    <row r="1023" spans="1:43" x14ac:dyDescent="0.2">
      <c r="A1023" t="s">
        <v>11954</v>
      </c>
      <c r="B1023" t="s">
        <v>11038</v>
      </c>
      <c r="C1023" t="s">
        <v>11039</v>
      </c>
      <c r="D1023" t="s">
        <v>11971</v>
      </c>
      <c r="E1023" t="s">
        <v>11972</v>
      </c>
      <c r="F1023" t="s">
        <v>11971</v>
      </c>
      <c r="G1023" s="1">
        <v>1000000</v>
      </c>
      <c r="H1023" s="2">
        <v>1000000</v>
      </c>
      <c r="I1023" s="2">
        <v>998963.76</v>
      </c>
      <c r="J1023" s="2">
        <v>12180.82</v>
      </c>
      <c r="K1023" s="2">
        <v>0</v>
      </c>
      <c r="L1023" s="2">
        <v>1011144.58</v>
      </c>
      <c r="M1023" s="3">
        <v>5.914955</v>
      </c>
      <c r="N1023" s="4">
        <v>2.3004599999999998E-3</v>
      </c>
      <c r="O1023" s="5">
        <v>44965</v>
      </c>
      <c r="P1023" s="5">
        <v>44965</v>
      </c>
      <c r="Q1023" s="1">
        <v>5.85</v>
      </c>
      <c r="R1023" s="2">
        <v>0.79</v>
      </c>
      <c r="S1023" s="6">
        <v>0.75635794914999999</v>
      </c>
      <c r="T1023" t="s">
        <v>111</v>
      </c>
      <c r="U1023" t="s">
        <v>11040</v>
      </c>
      <c r="V1023" t="s">
        <v>11041</v>
      </c>
      <c r="W1023" t="s">
        <v>43</v>
      </c>
      <c r="X1023" t="s">
        <v>11034</v>
      </c>
      <c r="Y1023" t="s">
        <v>44</v>
      </c>
      <c r="Z1023" t="s">
        <v>44</v>
      </c>
      <c r="AA1023" t="s">
        <v>10979</v>
      </c>
      <c r="AB1023" t="s">
        <v>44</v>
      </c>
      <c r="AC1023" s="4">
        <v>5.9509684500000004</v>
      </c>
      <c r="AD1023" s="4">
        <v>5.7945694899999998</v>
      </c>
      <c r="AE1023" s="2">
        <v>5.95</v>
      </c>
      <c r="AF1023" s="4">
        <v>5.7945694899999998</v>
      </c>
      <c r="AG1023" s="2">
        <v>0.93</v>
      </c>
      <c r="AH1023" s="2">
        <v>1011144.58</v>
      </c>
      <c r="AI1023" s="2">
        <v>0</v>
      </c>
      <c r="AJ1023" s="5">
        <v>44673</v>
      </c>
      <c r="AK1023" t="s">
        <v>11955</v>
      </c>
      <c r="AL1023" s="2">
        <v>5.86</v>
      </c>
      <c r="AM1023" s="2">
        <v>5.85</v>
      </c>
      <c r="AN1023" s="2">
        <v>0.76</v>
      </c>
      <c r="AO1023" t="s">
        <v>11165</v>
      </c>
      <c r="AP1023" t="s">
        <v>11973</v>
      </c>
      <c r="AQ1023" t="s">
        <v>11972</v>
      </c>
    </row>
    <row r="1024" spans="1:43" x14ac:dyDescent="0.2">
      <c r="A1024" t="s">
        <v>11954</v>
      </c>
      <c r="B1024" t="s">
        <v>11038</v>
      </c>
      <c r="C1024" t="s">
        <v>11039</v>
      </c>
      <c r="D1024" t="s">
        <v>12844</v>
      </c>
      <c r="E1024" t="s">
        <v>12845</v>
      </c>
      <c r="F1024" t="s">
        <v>12844</v>
      </c>
      <c r="G1024" s="1">
        <v>3000000</v>
      </c>
      <c r="H1024" s="2">
        <v>3000000</v>
      </c>
      <c r="I1024" s="2">
        <v>3003129.47</v>
      </c>
      <c r="J1024" s="2">
        <v>13047.95</v>
      </c>
      <c r="K1024" s="2">
        <v>0</v>
      </c>
      <c r="L1024" s="2">
        <v>3016177.42</v>
      </c>
      <c r="M1024" s="3">
        <v>6.2045560000000002</v>
      </c>
      <c r="N1024" s="4">
        <v>6.8621300000000001E-3</v>
      </c>
      <c r="O1024" s="5">
        <v>45016</v>
      </c>
      <c r="P1024" s="5">
        <v>45016</v>
      </c>
      <c r="Q1024" s="1">
        <v>6.35</v>
      </c>
      <c r="R1024" s="2">
        <v>0.93</v>
      </c>
      <c r="S1024" s="6">
        <v>0.88061116438999998</v>
      </c>
      <c r="T1024" t="s">
        <v>111</v>
      </c>
      <c r="U1024" t="s">
        <v>11040</v>
      </c>
      <c r="V1024" t="s">
        <v>11041</v>
      </c>
      <c r="W1024" t="s">
        <v>43</v>
      </c>
      <c r="X1024" t="s">
        <v>11034</v>
      </c>
      <c r="Y1024" t="s">
        <v>44</v>
      </c>
      <c r="Z1024" t="s">
        <v>44</v>
      </c>
      <c r="AA1024" t="s">
        <v>11035</v>
      </c>
      <c r="AB1024" t="s">
        <v>44</v>
      </c>
      <c r="AC1024" s="4">
        <v>6.2175109700000002</v>
      </c>
      <c r="AD1024" s="4">
        <v>6.0470648499999999</v>
      </c>
      <c r="AE1024" s="2">
        <v>6.22</v>
      </c>
      <c r="AF1024" s="4">
        <v>6.0470648499999999</v>
      </c>
      <c r="AG1024" s="2">
        <v>2.76</v>
      </c>
      <c r="AH1024" s="2">
        <v>3016177.42</v>
      </c>
      <c r="AI1024" s="2">
        <v>0.01</v>
      </c>
      <c r="AJ1024" s="5">
        <v>44673</v>
      </c>
      <c r="AK1024" t="s">
        <v>11955</v>
      </c>
      <c r="AL1024" s="2">
        <v>6.12</v>
      </c>
      <c r="AM1024" s="2">
        <v>6.35</v>
      </c>
      <c r="AN1024" s="2">
        <v>0.88</v>
      </c>
      <c r="AO1024" t="s">
        <v>11036</v>
      </c>
      <c r="AP1024" t="s">
        <v>12846</v>
      </c>
      <c r="AQ1024" t="s">
        <v>12845</v>
      </c>
    </row>
    <row r="1025" spans="1:43" x14ac:dyDescent="0.2">
      <c r="A1025" t="s">
        <v>11954</v>
      </c>
      <c r="B1025" t="s">
        <v>11038</v>
      </c>
      <c r="C1025" t="s">
        <v>11039</v>
      </c>
      <c r="D1025" t="s">
        <v>11974</v>
      </c>
      <c r="E1025" t="s">
        <v>11975</v>
      </c>
      <c r="F1025" t="s">
        <v>11974</v>
      </c>
      <c r="G1025" s="1">
        <v>2000000</v>
      </c>
      <c r="H1025" s="2">
        <v>2000000</v>
      </c>
      <c r="I1025" s="2">
        <v>1996926.99</v>
      </c>
      <c r="J1025" s="2">
        <v>40241.1</v>
      </c>
      <c r="K1025" s="2">
        <v>0</v>
      </c>
      <c r="L1025" s="2">
        <v>2037168.09</v>
      </c>
      <c r="M1025" s="3">
        <v>5.5398290000000001</v>
      </c>
      <c r="N1025" s="4">
        <v>4.6347799999999998E-3</v>
      </c>
      <c r="O1025" s="5">
        <v>44907</v>
      </c>
      <c r="P1025" s="5">
        <v>44907</v>
      </c>
      <c r="Q1025" s="1">
        <v>5.4</v>
      </c>
      <c r="R1025" s="2">
        <v>0.63</v>
      </c>
      <c r="S1025" s="6">
        <v>0.61143946870999999</v>
      </c>
      <c r="T1025" t="s">
        <v>111</v>
      </c>
      <c r="U1025" t="s">
        <v>11040</v>
      </c>
      <c r="V1025" t="s">
        <v>11041</v>
      </c>
      <c r="W1025" t="s">
        <v>43</v>
      </c>
      <c r="X1025" t="s">
        <v>11034</v>
      </c>
      <c r="Y1025" t="s">
        <v>44</v>
      </c>
      <c r="Z1025" t="s">
        <v>44</v>
      </c>
      <c r="AA1025" t="s">
        <v>10979</v>
      </c>
      <c r="AB1025" t="s">
        <v>44</v>
      </c>
      <c r="AC1025" s="4">
        <v>5.5958904499999997</v>
      </c>
      <c r="AD1025" s="4">
        <v>5.45729855</v>
      </c>
      <c r="AE1025" s="2">
        <v>5.6</v>
      </c>
      <c r="AF1025" s="4">
        <v>5.45729855</v>
      </c>
      <c r="AG1025" s="2">
        <v>1.86</v>
      </c>
      <c r="AH1025" s="2">
        <v>2037168.09</v>
      </c>
      <c r="AI1025" s="2">
        <v>0</v>
      </c>
      <c r="AJ1025" s="5">
        <v>44673</v>
      </c>
      <c r="AK1025" t="s">
        <v>11955</v>
      </c>
      <c r="AL1025" s="2">
        <v>5.52</v>
      </c>
      <c r="AM1025" s="2">
        <v>5.4</v>
      </c>
      <c r="AN1025" s="2">
        <v>0.61</v>
      </c>
      <c r="AO1025" t="s">
        <v>11179</v>
      </c>
      <c r="AP1025" t="s">
        <v>11976</v>
      </c>
      <c r="AQ1025" t="s">
        <v>11975</v>
      </c>
    </row>
    <row r="1026" spans="1:43" x14ac:dyDescent="0.2">
      <c r="A1026" t="s">
        <v>11954</v>
      </c>
      <c r="B1026" t="s">
        <v>11038</v>
      </c>
      <c r="C1026" t="s">
        <v>11222</v>
      </c>
      <c r="D1026" t="s">
        <v>12730</v>
      </c>
      <c r="E1026" t="s">
        <v>12731</v>
      </c>
      <c r="F1026" t="s">
        <v>12730</v>
      </c>
      <c r="G1026" s="1">
        <v>700000</v>
      </c>
      <c r="H1026" s="2">
        <v>700000</v>
      </c>
      <c r="I1026" s="2">
        <v>700000.44</v>
      </c>
      <c r="J1026" s="2">
        <v>3898.87</v>
      </c>
      <c r="K1026" s="2">
        <v>0</v>
      </c>
      <c r="L1026" s="2">
        <v>703899.31</v>
      </c>
      <c r="M1026" s="3">
        <v>6.4543710000000001</v>
      </c>
      <c r="N1026" s="4">
        <v>1.6014499999999999E-3</v>
      </c>
      <c r="O1026" s="5">
        <v>44739</v>
      </c>
      <c r="P1026" s="5">
        <v>46563</v>
      </c>
      <c r="Q1026" s="1">
        <v>6.5579999999999998</v>
      </c>
      <c r="R1026" s="2">
        <v>0.17</v>
      </c>
      <c r="S1026" s="6">
        <v>0.10239071847800001</v>
      </c>
      <c r="T1026" t="s">
        <v>111</v>
      </c>
      <c r="U1026" t="s">
        <v>11040</v>
      </c>
      <c r="V1026" t="s">
        <v>11189</v>
      </c>
      <c r="W1026" t="s">
        <v>43</v>
      </c>
      <c r="X1026" t="s">
        <v>11034</v>
      </c>
      <c r="Y1026" t="s">
        <v>44</v>
      </c>
      <c r="Z1026" t="s">
        <v>44</v>
      </c>
      <c r="AA1026" t="s">
        <v>11035</v>
      </c>
      <c r="AB1026" t="s">
        <v>44</v>
      </c>
      <c r="AC1026" s="4">
        <v>6.6291599999999997</v>
      </c>
      <c r="AD1026" s="4">
        <v>6.4358805400000003</v>
      </c>
      <c r="AE1026" s="2">
        <v>6.63</v>
      </c>
      <c r="AF1026" s="4">
        <v>6.4358805400000003</v>
      </c>
      <c r="AG1026" s="2">
        <v>0.64</v>
      </c>
      <c r="AH1026" s="2">
        <v>703899.31</v>
      </c>
      <c r="AI1026" s="2">
        <v>0</v>
      </c>
      <c r="AJ1026" s="5">
        <v>44673</v>
      </c>
      <c r="AK1026" t="s">
        <v>11955</v>
      </c>
      <c r="AL1026" s="2">
        <v>6.52</v>
      </c>
      <c r="AM1026" s="2">
        <v>6.56</v>
      </c>
      <c r="AN1026" s="2">
        <v>0.1</v>
      </c>
      <c r="AO1026" t="s">
        <v>11226</v>
      </c>
      <c r="AP1026" t="s">
        <v>12732</v>
      </c>
      <c r="AQ1026" t="s">
        <v>12731</v>
      </c>
    </row>
    <row r="1027" spans="1:43" x14ac:dyDescent="0.2">
      <c r="A1027" t="s">
        <v>11954</v>
      </c>
      <c r="B1027" t="s">
        <v>11038</v>
      </c>
      <c r="C1027" t="s">
        <v>11222</v>
      </c>
      <c r="D1027" t="s">
        <v>11891</v>
      </c>
      <c r="E1027" t="s">
        <v>11892</v>
      </c>
      <c r="F1027" t="s">
        <v>11891</v>
      </c>
      <c r="G1027" s="1">
        <v>1700000</v>
      </c>
      <c r="H1027" s="2">
        <v>1700000</v>
      </c>
      <c r="I1027" s="2">
        <v>1702562.49</v>
      </c>
      <c r="J1027" s="2">
        <v>15324.45</v>
      </c>
      <c r="K1027" s="2">
        <v>0</v>
      </c>
      <c r="L1027" s="2">
        <v>1717886.94</v>
      </c>
      <c r="M1027" s="3">
        <v>7.9353490000000004</v>
      </c>
      <c r="N1027" s="4">
        <v>3.9083800000000004E-3</v>
      </c>
      <c r="O1027" s="5">
        <v>44727</v>
      </c>
      <c r="P1027" s="5">
        <v>45642</v>
      </c>
      <c r="Q1027" s="1">
        <v>8.0250000000000004</v>
      </c>
      <c r="R1027" s="2">
        <v>0.14000000000000001</v>
      </c>
      <c r="S1027" s="6">
        <v>7.6335008319000003E-2</v>
      </c>
      <c r="T1027" t="s">
        <v>111</v>
      </c>
      <c r="U1027" t="s">
        <v>11040</v>
      </c>
      <c r="V1027" t="s">
        <v>114</v>
      </c>
      <c r="W1027" t="s">
        <v>43</v>
      </c>
      <c r="X1027" t="s">
        <v>10988</v>
      </c>
      <c r="Y1027" t="s">
        <v>44</v>
      </c>
      <c r="Z1027" t="s">
        <v>44</v>
      </c>
      <c r="AA1027" t="s">
        <v>44</v>
      </c>
      <c r="AB1027" t="s">
        <v>44</v>
      </c>
      <c r="AC1027" s="4">
        <v>8.2114278699999996</v>
      </c>
      <c r="AD1027" s="4">
        <v>7.9176856799999999</v>
      </c>
      <c r="AE1027" s="2">
        <v>8.2100000000000009</v>
      </c>
      <c r="AF1027" s="4">
        <v>7.9176856799999999</v>
      </c>
      <c r="AG1027" s="2">
        <v>1.57</v>
      </c>
      <c r="AH1027" s="2">
        <v>1717886.94</v>
      </c>
      <c r="AI1027" s="2">
        <v>0</v>
      </c>
      <c r="AJ1027" s="5">
        <v>44673</v>
      </c>
      <c r="AK1027" t="s">
        <v>11955</v>
      </c>
      <c r="AL1027" s="2">
        <v>8.0500000000000007</v>
      </c>
      <c r="AM1027" s="2">
        <v>8.0299999999999994</v>
      </c>
      <c r="AN1027" s="2">
        <v>0.08</v>
      </c>
      <c r="AO1027" t="s">
        <v>11871</v>
      </c>
      <c r="AP1027" t="s">
        <v>11893</v>
      </c>
      <c r="AQ1027" t="s">
        <v>11892</v>
      </c>
    </row>
    <row r="1028" spans="1:43" x14ac:dyDescent="0.2">
      <c r="A1028" t="s">
        <v>11954</v>
      </c>
      <c r="B1028" t="s">
        <v>11038</v>
      </c>
      <c r="C1028" t="s">
        <v>11222</v>
      </c>
      <c r="D1028" t="s">
        <v>11648</v>
      </c>
      <c r="E1028" t="s">
        <v>11649</v>
      </c>
      <c r="F1028" t="s">
        <v>11648</v>
      </c>
      <c r="G1028" s="1">
        <v>2300000</v>
      </c>
      <c r="H1028" s="2">
        <v>2300000</v>
      </c>
      <c r="I1028" s="2">
        <v>2306670.5699999998</v>
      </c>
      <c r="J1028" s="2">
        <v>21761.91</v>
      </c>
      <c r="K1028" s="2">
        <v>0</v>
      </c>
      <c r="L1028" s="2">
        <v>2328432.48</v>
      </c>
      <c r="M1028" s="3">
        <v>6.0302819999999997</v>
      </c>
      <c r="N1028" s="4">
        <v>5.2974299999999997E-3</v>
      </c>
      <c r="O1028" s="5">
        <v>44712</v>
      </c>
      <c r="P1028" s="5">
        <v>45260</v>
      </c>
      <c r="Q1028" s="1">
        <v>6.1669999999999998</v>
      </c>
      <c r="R1028" s="2">
        <v>0.1</v>
      </c>
      <c r="S1028" s="6">
        <v>7.8177650525999995E-2</v>
      </c>
      <c r="T1028" t="s">
        <v>111</v>
      </c>
      <c r="U1028" t="s">
        <v>11040</v>
      </c>
      <c r="V1028" t="s">
        <v>114</v>
      </c>
      <c r="W1028" t="s">
        <v>43</v>
      </c>
      <c r="X1028" t="s">
        <v>10988</v>
      </c>
      <c r="Y1028" t="s">
        <v>44</v>
      </c>
      <c r="Z1028" t="s">
        <v>44</v>
      </c>
      <c r="AA1028" t="s">
        <v>10979</v>
      </c>
      <c r="AB1028" t="s">
        <v>44</v>
      </c>
      <c r="AC1028" s="4">
        <v>6.1968427300000002</v>
      </c>
      <c r="AD1028" s="4">
        <v>6.0275066400000004</v>
      </c>
      <c r="AE1028" s="2">
        <v>6.2</v>
      </c>
      <c r="AF1028" s="4">
        <v>6.0275066400000004</v>
      </c>
      <c r="AG1028" s="2">
        <v>2.13</v>
      </c>
      <c r="AH1028" s="2">
        <v>2328432.48</v>
      </c>
      <c r="AI1028" s="2">
        <v>0.01</v>
      </c>
      <c r="AJ1028" s="5">
        <v>44673</v>
      </c>
      <c r="AK1028" t="s">
        <v>11955</v>
      </c>
      <c r="AL1028" s="2">
        <v>6.1</v>
      </c>
      <c r="AM1028" s="2">
        <v>6.17</v>
      </c>
      <c r="AN1028" s="2">
        <v>0.08</v>
      </c>
      <c r="AO1028" t="s">
        <v>11048</v>
      </c>
      <c r="AP1028" t="s">
        <v>11650</v>
      </c>
      <c r="AQ1028" t="s">
        <v>11649</v>
      </c>
    </row>
    <row r="1029" spans="1:43" x14ac:dyDescent="0.2">
      <c r="A1029" t="s">
        <v>11954</v>
      </c>
      <c r="B1029" t="s">
        <v>11038</v>
      </c>
      <c r="C1029" t="s">
        <v>11222</v>
      </c>
      <c r="D1029" t="s">
        <v>11894</v>
      </c>
      <c r="E1029" t="s">
        <v>11895</v>
      </c>
      <c r="F1029" t="s">
        <v>11894</v>
      </c>
      <c r="G1029" s="1">
        <v>1700000</v>
      </c>
      <c r="H1029" s="2">
        <v>1700225.79</v>
      </c>
      <c r="I1029" s="2">
        <v>1699848.23</v>
      </c>
      <c r="J1029" s="2">
        <v>12078.15</v>
      </c>
      <c r="K1029" s="2">
        <v>0</v>
      </c>
      <c r="L1029" s="2">
        <v>1711926.38</v>
      </c>
      <c r="M1029" s="3">
        <v>6.3053489999999996</v>
      </c>
      <c r="N1029" s="4">
        <v>3.8948199999999998E-3</v>
      </c>
      <c r="O1029" s="5">
        <v>44727</v>
      </c>
      <c r="P1029" s="5">
        <v>45366</v>
      </c>
      <c r="Q1029" s="1">
        <v>6.3250000000000002</v>
      </c>
      <c r="R1029" s="2">
        <v>0.14000000000000001</v>
      </c>
      <c r="S1029" s="6">
        <v>0.10845508335</v>
      </c>
      <c r="T1029" t="s">
        <v>111</v>
      </c>
      <c r="U1029" t="s">
        <v>11040</v>
      </c>
      <c r="V1029" t="s">
        <v>114</v>
      </c>
      <c r="W1029" t="s">
        <v>43</v>
      </c>
      <c r="X1029" t="s">
        <v>10988</v>
      </c>
      <c r="Y1029" t="s">
        <v>44</v>
      </c>
      <c r="Z1029" t="s">
        <v>44</v>
      </c>
      <c r="AA1029" t="s">
        <v>10979</v>
      </c>
      <c r="AB1029" t="s">
        <v>44</v>
      </c>
      <c r="AC1029" s="4">
        <v>6.4789744799999998</v>
      </c>
      <c r="AD1029" s="4">
        <v>6.2941851800000004</v>
      </c>
      <c r="AE1029" s="2">
        <v>6.48</v>
      </c>
      <c r="AF1029" s="4">
        <v>6.2941851800000004</v>
      </c>
      <c r="AG1029" s="2">
        <v>1.57</v>
      </c>
      <c r="AH1029" s="2">
        <v>1711926.38</v>
      </c>
      <c r="AI1029" s="2">
        <v>0</v>
      </c>
      <c r="AJ1029" s="5">
        <v>44673</v>
      </c>
      <c r="AK1029" t="s">
        <v>11955</v>
      </c>
      <c r="AL1029" s="2">
        <v>6.38</v>
      </c>
      <c r="AM1029" s="2">
        <v>6.33</v>
      </c>
      <c r="AN1029" s="2">
        <v>0.11</v>
      </c>
      <c r="AO1029" t="s">
        <v>11567</v>
      </c>
      <c r="AP1029" t="s">
        <v>11896</v>
      </c>
      <c r="AQ1029" t="s">
        <v>11895</v>
      </c>
    </row>
    <row r="1030" spans="1:43" x14ac:dyDescent="0.2">
      <c r="A1030" t="s">
        <v>11954</v>
      </c>
      <c r="B1030" t="s">
        <v>11038</v>
      </c>
      <c r="C1030" t="s">
        <v>11222</v>
      </c>
      <c r="D1030" t="s">
        <v>11897</v>
      </c>
      <c r="E1030" t="s">
        <v>11898</v>
      </c>
      <c r="F1030" t="s">
        <v>11897</v>
      </c>
      <c r="G1030" s="1">
        <v>1000000</v>
      </c>
      <c r="H1030" s="2">
        <v>1000130.01</v>
      </c>
      <c r="I1030" s="2">
        <v>999869.46</v>
      </c>
      <c r="J1030" s="2">
        <v>8346.11</v>
      </c>
      <c r="K1030" s="2">
        <v>0</v>
      </c>
      <c r="L1030" s="2">
        <v>1008215.57</v>
      </c>
      <c r="M1030" s="3">
        <v>6.2678570000000002</v>
      </c>
      <c r="N1030" s="4">
        <v>2.2937999999999999E-3</v>
      </c>
      <c r="O1030" s="5">
        <v>44719</v>
      </c>
      <c r="P1030" s="5">
        <v>45723</v>
      </c>
      <c r="Q1030" s="1">
        <v>6.2169999999999996</v>
      </c>
      <c r="R1030" s="2">
        <v>0.12</v>
      </c>
      <c r="S1030" s="6">
        <v>7.7282729554999999E-2</v>
      </c>
      <c r="T1030" t="s">
        <v>111</v>
      </c>
      <c r="U1030" t="s">
        <v>11040</v>
      </c>
      <c r="V1030" t="s">
        <v>114</v>
      </c>
      <c r="W1030" t="s">
        <v>43</v>
      </c>
      <c r="X1030" t="s">
        <v>10988</v>
      </c>
      <c r="Y1030" t="s">
        <v>44</v>
      </c>
      <c r="Z1030" t="s">
        <v>44</v>
      </c>
      <c r="AA1030" t="s">
        <v>11035</v>
      </c>
      <c r="AB1030" t="s">
        <v>44</v>
      </c>
      <c r="AC1030" s="4">
        <v>6.4439416999999999</v>
      </c>
      <c r="AD1030" s="4">
        <v>6.2611065000000004</v>
      </c>
      <c r="AE1030" s="2">
        <v>6.44</v>
      </c>
      <c r="AF1030" s="4">
        <v>6.2611065000000004</v>
      </c>
      <c r="AG1030" s="2">
        <v>0.92</v>
      </c>
      <c r="AH1030" s="2">
        <v>1008215.57</v>
      </c>
      <c r="AI1030" s="2">
        <v>0</v>
      </c>
      <c r="AJ1030" s="5">
        <v>44673</v>
      </c>
      <c r="AK1030" t="s">
        <v>11955</v>
      </c>
      <c r="AL1030" s="2">
        <v>6.34</v>
      </c>
      <c r="AM1030" s="2">
        <v>6.22</v>
      </c>
      <c r="AN1030" s="2">
        <v>0.08</v>
      </c>
      <c r="AO1030" t="s">
        <v>11437</v>
      </c>
      <c r="AP1030" t="s">
        <v>11899</v>
      </c>
      <c r="AQ1030" t="s">
        <v>11898</v>
      </c>
    </row>
    <row r="1031" spans="1:43" x14ac:dyDescent="0.2">
      <c r="A1031" t="s">
        <v>11954</v>
      </c>
      <c r="B1031" t="s">
        <v>11038</v>
      </c>
      <c r="C1031" t="s">
        <v>11222</v>
      </c>
      <c r="D1031" t="s">
        <v>11900</v>
      </c>
      <c r="E1031" t="s">
        <v>11901</v>
      </c>
      <c r="F1031" t="s">
        <v>11900</v>
      </c>
      <c r="G1031" s="1">
        <v>2522000</v>
      </c>
      <c r="H1031" s="2">
        <v>2522541.85</v>
      </c>
      <c r="I1031" s="2">
        <v>2530338.42</v>
      </c>
      <c r="J1031" s="2">
        <v>32862.559999999998</v>
      </c>
      <c r="K1031" s="2">
        <v>0</v>
      </c>
      <c r="L1031" s="2">
        <v>2563200.98</v>
      </c>
      <c r="M1031" s="3">
        <v>6.1260430000000001</v>
      </c>
      <c r="N1031" s="4">
        <v>5.8315600000000004E-3</v>
      </c>
      <c r="O1031" s="5">
        <v>44690</v>
      </c>
      <c r="P1031" s="5">
        <v>45330</v>
      </c>
      <c r="Q1031" s="1">
        <v>6.258</v>
      </c>
      <c r="R1031" s="2">
        <v>0.04</v>
      </c>
      <c r="S1031" s="6">
        <v>1.7773178866000001E-2</v>
      </c>
      <c r="T1031" t="s">
        <v>111</v>
      </c>
      <c r="U1031" t="s">
        <v>11040</v>
      </c>
      <c r="V1031" t="s">
        <v>114</v>
      </c>
      <c r="W1031" t="s">
        <v>43</v>
      </c>
      <c r="X1031" t="s">
        <v>10988</v>
      </c>
      <c r="Y1031" t="s">
        <v>44</v>
      </c>
      <c r="Z1031" t="s">
        <v>44</v>
      </c>
      <c r="AA1031" t="s">
        <v>10979</v>
      </c>
      <c r="AB1031" t="s">
        <v>44</v>
      </c>
      <c r="AC1031" s="4">
        <v>6.3099366400000001</v>
      </c>
      <c r="AD1031" s="4">
        <v>6.1344839599999998</v>
      </c>
      <c r="AE1031" s="2">
        <v>6.31</v>
      </c>
      <c r="AF1031" s="4">
        <v>6.1344839599999998</v>
      </c>
      <c r="AG1031" s="2">
        <v>2.35</v>
      </c>
      <c r="AH1031" s="2">
        <v>2563200.98</v>
      </c>
      <c r="AI1031" s="2">
        <v>0.01</v>
      </c>
      <c r="AJ1031" s="5">
        <v>44673</v>
      </c>
      <c r="AK1031" t="s">
        <v>11955</v>
      </c>
      <c r="AL1031" s="2">
        <v>6.21</v>
      </c>
      <c r="AM1031" s="2">
        <v>6.26</v>
      </c>
      <c r="AN1031" s="2">
        <v>0.02</v>
      </c>
      <c r="AO1031" t="s">
        <v>11824</v>
      </c>
      <c r="AP1031" t="s">
        <v>11902</v>
      </c>
      <c r="AQ1031" t="s">
        <v>11901</v>
      </c>
    </row>
    <row r="1032" spans="1:43" x14ac:dyDescent="0.2">
      <c r="A1032" t="s">
        <v>11954</v>
      </c>
      <c r="B1032" t="s">
        <v>11038</v>
      </c>
      <c r="C1032" t="s">
        <v>11222</v>
      </c>
      <c r="D1032" t="s">
        <v>11903</v>
      </c>
      <c r="E1032" t="s">
        <v>11904</v>
      </c>
      <c r="F1032" t="s">
        <v>11903</v>
      </c>
      <c r="G1032" s="1">
        <v>800000</v>
      </c>
      <c r="H1032" s="2">
        <v>800000</v>
      </c>
      <c r="I1032" s="2">
        <v>799982.36</v>
      </c>
      <c r="J1032" s="2">
        <v>10002.370000000001</v>
      </c>
      <c r="K1032" s="2">
        <v>0</v>
      </c>
      <c r="L1032" s="2">
        <v>809984.73</v>
      </c>
      <c r="M1032" s="3">
        <v>6.2325840000000001</v>
      </c>
      <c r="N1032" s="4">
        <v>1.8427999999999999E-3</v>
      </c>
      <c r="O1032" s="5">
        <v>44691</v>
      </c>
      <c r="P1032" s="5">
        <v>45422</v>
      </c>
      <c r="Q1032" s="1">
        <v>6.1669999999999998</v>
      </c>
      <c r="R1032" s="2">
        <v>0.04</v>
      </c>
      <c r="S1032" s="6">
        <v>1.3346666328999999E-2</v>
      </c>
      <c r="T1032" t="s">
        <v>111</v>
      </c>
      <c r="U1032" t="s">
        <v>11040</v>
      </c>
      <c r="V1032" t="s">
        <v>114</v>
      </c>
      <c r="W1032" t="s">
        <v>43</v>
      </c>
      <c r="X1032" t="s">
        <v>10988</v>
      </c>
      <c r="Y1032" t="s">
        <v>44</v>
      </c>
      <c r="Z1032" t="s">
        <v>44</v>
      </c>
      <c r="AA1032" t="s">
        <v>11035</v>
      </c>
      <c r="AB1032" t="s">
        <v>44</v>
      </c>
      <c r="AC1032" s="4">
        <v>6.4224278899999998</v>
      </c>
      <c r="AD1032" s="4">
        <v>6.2407877699999998</v>
      </c>
      <c r="AE1032" s="2">
        <v>6.42</v>
      </c>
      <c r="AF1032" s="4">
        <v>6.2407877699999998</v>
      </c>
      <c r="AG1032" s="2">
        <v>0.74</v>
      </c>
      <c r="AH1032" s="2">
        <v>809984.73</v>
      </c>
      <c r="AI1032" s="2">
        <v>0</v>
      </c>
      <c r="AJ1032" s="5">
        <v>44673</v>
      </c>
      <c r="AK1032" t="s">
        <v>11955</v>
      </c>
      <c r="AL1032" s="2">
        <v>6.32</v>
      </c>
      <c r="AM1032" s="2">
        <v>6.17</v>
      </c>
      <c r="AN1032" s="2">
        <v>0.01</v>
      </c>
      <c r="AO1032" t="s">
        <v>11437</v>
      </c>
      <c r="AP1032" t="s">
        <v>11905</v>
      </c>
      <c r="AQ1032" t="s">
        <v>11904</v>
      </c>
    </row>
    <row r="1033" spans="1:43" x14ac:dyDescent="0.2">
      <c r="A1033" t="s">
        <v>11954</v>
      </c>
      <c r="B1033" t="s">
        <v>11160</v>
      </c>
      <c r="C1033" t="s">
        <v>11161</v>
      </c>
      <c r="D1033" t="s">
        <v>11162</v>
      </c>
      <c r="E1033" t="s">
        <v>11163</v>
      </c>
      <c r="F1033" t="s">
        <v>11162</v>
      </c>
      <c r="G1033" s="1">
        <v>1697</v>
      </c>
      <c r="H1033" s="2">
        <v>1172360.5</v>
      </c>
      <c r="I1033" s="2">
        <v>1527300</v>
      </c>
      <c r="J1033" s="2">
        <v>0</v>
      </c>
      <c r="K1033" s="2">
        <v>42325.04</v>
      </c>
      <c r="L1033" s="2">
        <v>1569625.04</v>
      </c>
      <c r="M1033" s="3">
        <v>90000</v>
      </c>
      <c r="N1033" s="4">
        <v>3.57107E-3</v>
      </c>
      <c r="O1033" s="5" t="s">
        <v>44</v>
      </c>
      <c r="P1033" s="5" t="s">
        <v>44</v>
      </c>
      <c r="Q1033" s="1"/>
      <c r="R1033" s="2"/>
      <c r="S1033" s="6"/>
      <c r="T1033" t="s">
        <v>10902</v>
      </c>
      <c r="U1033" t="s">
        <v>10902</v>
      </c>
      <c r="V1033" t="s">
        <v>11164</v>
      </c>
      <c r="W1033" t="s">
        <v>43</v>
      </c>
      <c r="X1033" t="s">
        <v>44</v>
      </c>
      <c r="Y1033" t="s">
        <v>44</v>
      </c>
      <c r="Z1033" t="s">
        <v>44</v>
      </c>
      <c r="AA1033" t="s">
        <v>10979</v>
      </c>
      <c r="AB1033" t="s">
        <v>44</v>
      </c>
      <c r="AC1033" s="4"/>
      <c r="AD1033" s="4"/>
      <c r="AE1033" s="2">
        <v>0</v>
      </c>
      <c r="AF1033" s="4">
        <v>0</v>
      </c>
      <c r="AG1033" s="2">
        <v>1.44</v>
      </c>
      <c r="AH1033" s="2">
        <v>1569625.04</v>
      </c>
      <c r="AI1033" s="2">
        <v>0</v>
      </c>
      <c r="AJ1033" s="5">
        <v>44673</v>
      </c>
      <c r="AK1033" t="s">
        <v>11955</v>
      </c>
      <c r="AL1033" s="2">
        <v>0</v>
      </c>
      <c r="AM1033" s="2">
        <v>0</v>
      </c>
      <c r="AN1033" s="2">
        <v>0</v>
      </c>
      <c r="AO1033" t="s">
        <v>11165</v>
      </c>
      <c r="AP1033" t="s">
        <v>11166</v>
      </c>
      <c r="AQ1033" t="s">
        <v>11163</v>
      </c>
    </row>
    <row r="1034" spans="1:43" x14ac:dyDescent="0.2">
      <c r="A1034" t="s">
        <v>11954</v>
      </c>
      <c r="B1034" t="s">
        <v>11160</v>
      </c>
      <c r="C1034" t="s">
        <v>11161</v>
      </c>
      <c r="D1034" t="s">
        <v>11654</v>
      </c>
      <c r="E1034" t="s">
        <v>11655</v>
      </c>
      <c r="F1034" t="s">
        <v>11654</v>
      </c>
      <c r="G1034" s="1">
        <v>3747</v>
      </c>
      <c r="H1034" s="2">
        <v>286260.96000000002</v>
      </c>
      <c r="I1034" s="2">
        <v>359299.83</v>
      </c>
      <c r="J1034" s="2">
        <v>0</v>
      </c>
      <c r="K1034" s="2">
        <v>0</v>
      </c>
      <c r="L1034" s="2">
        <v>359299.83</v>
      </c>
      <c r="M1034" s="3">
        <v>9589</v>
      </c>
      <c r="N1034" s="4">
        <v>8.1744999999999995E-4</v>
      </c>
      <c r="O1034" s="5" t="s">
        <v>44</v>
      </c>
      <c r="P1034" s="5" t="s">
        <v>44</v>
      </c>
      <c r="Q1034" s="1"/>
      <c r="R1034" s="2"/>
      <c r="S1034" s="6"/>
      <c r="T1034" t="s">
        <v>10902</v>
      </c>
      <c r="U1034" t="s">
        <v>10902</v>
      </c>
      <c r="V1034" t="s">
        <v>11164</v>
      </c>
      <c r="W1034" t="s">
        <v>43</v>
      </c>
      <c r="X1034" t="s">
        <v>44</v>
      </c>
      <c r="Y1034" t="s">
        <v>44</v>
      </c>
      <c r="Z1034" t="s">
        <v>44</v>
      </c>
      <c r="AA1034" t="s">
        <v>10979</v>
      </c>
      <c r="AB1034" t="s">
        <v>44</v>
      </c>
      <c r="AC1034" s="4"/>
      <c r="AD1034" s="4"/>
      <c r="AE1034" s="2">
        <v>0</v>
      </c>
      <c r="AF1034" s="4">
        <v>0</v>
      </c>
      <c r="AG1034" s="2">
        <v>0.33</v>
      </c>
      <c r="AH1034" s="2">
        <v>359299.83</v>
      </c>
      <c r="AI1034" s="2">
        <v>0</v>
      </c>
      <c r="AJ1034" s="5">
        <v>44673</v>
      </c>
      <c r="AK1034" t="s">
        <v>11955</v>
      </c>
      <c r="AL1034" s="2">
        <v>0</v>
      </c>
      <c r="AM1034" s="2">
        <v>0</v>
      </c>
      <c r="AN1034" s="2">
        <v>0</v>
      </c>
      <c r="AO1034" t="s">
        <v>11054</v>
      </c>
      <c r="AP1034" t="s">
        <v>11656</v>
      </c>
      <c r="AQ1034" t="s">
        <v>11655</v>
      </c>
    </row>
    <row r="1035" spans="1:43" x14ac:dyDescent="0.2">
      <c r="A1035" t="s">
        <v>11954</v>
      </c>
      <c r="B1035" t="s">
        <v>11160</v>
      </c>
      <c r="C1035" t="s">
        <v>11161</v>
      </c>
      <c r="D1035" t="s">
        <v>11176</v>
      </c>
      <c r="E1035" t="s">
        <v>11177</v>
      </c>
      <c r="F1035" t="s">
        <v>11178</v>
      </c>
      <c r="G1035" s="1">
        <v>22728</v>
      </c>
      <c r="H1035" s="2">
        <v>1832050.36</v>
      </c>
      <c r="I1035" s="2">
        <v>2099839.92</v>
      </c>
      <c r="J1035" s="2">
        <v>0</v>
      </c>
      <c r="K1035" s="2">
        <v>0</v>
      </c>
      <c r="L1035" s="2">
        <v>2099839.92</v>
      </c>
      <c r="M1035" s="3">
        <v>9239</v>
      </c>
      <c r="N1035" s="4">
        <v>4.7773599999999996E-3</v>
      </c>
      <c r="O1035" s="5" t="s">
        <v>44</v>
      </c>
      <c r="P1035" s="5" t="s">
        <v>44</v>
      </c>
      <c r="Q1035" s="1"/>
      <c r="R1035" s="2"/>
      <c r="S1035" s="6"/>
      <c r="T1035" t="s">
        <v>10902</v>
      </c>
      <c r="U1035" t="s">
        <v>10902</v>
      </c>
      <c r="V1035" t="s">
        <v>11164</v>
      </c>
      <c r="W1035" t="s">
        <v>43</v>
      </c>
      <c r="X1035" t="s">
        <v>44</v>
      </c>
      <c r="Y1035" t="s">
        <v>44</v>
      </c>
      <c r="Z1035" t="s">
        <v>44</v>
      </c>
      <c r="AA1035" t="s">
        <v>10979</v>
      </c>
      <c r="AB1035" t="s">
        <v>44</v>
      </c>
      <c r="AC1035" s="4"/>
      <c r="AD1035" s="4"/>
      <c r="AE1035" s="2">
        <v>0</v>
      </c>
      <c r="AF1035" s="4">
        <v>0</v>
      </c>
      <c r="AG1035" s="2">
        <v>1.92</v>
      </c>
      <c r="AH1035" s="2">
        <v>2099839.92</v>
      </c>
      <c r="AI1035" s="2">
        <v>0</v>
      </c>
      <c r="AJ1035" s="5">
        <v>44673</v>
      </c>
      <c r="AK1035" t="s">
        <v>11955</v>
      </c>
      <c r="AL1035" s="2">
        <v>0</v>
      </c>
      <c r="AM1035" s="2">
        <v>0</v>
      </c>
      <c r="AN1035" s="2">
        <v>0</v>
      </c>
      <c r="AO1035" t="s">
        <v>11179</v>
      </c>
      <c r="AP1035" t="s">
        <v>11180</v>
      </c>
      <c r="AQ1035" t="s">
        <v>11177</v>
      </c>
    </row>
    <row r="1036" spans="1:43" x14ac:dyDescent="0.2">
      <c r="A1036" t="s">
        <v>11984</v>
      </c>
      <c r="B1036" t="s">
        <v>10900</v>
      </c>
      <c r="C1036" t="s">
        <v>10950</v>
      </c>
      <c r="D1036" t="s">
        <v>11141</v>
      </c>
      <c r="E1036" t="s">
        <v>11142</v>
      </c>
      <c r="F1036" t="s">
        <v>11141</v>
      </c>
      <c r="G1036" s="1">
        <v>1400000</v>
      </c>
      <c r="H1036" s="2">
        <v>1126545.6599999999</v>
      </c>
      <c r="I1036" s="2">
        <v>1150780.96</v>
      </c>
      <c r="J1036" s="2">
        <v>18482.88</v>
      </c>
      <c r="K1036" s="2">
        <v>0</v>
      </c>
      <c r="L1036" s="2">
        <v>1169263.8400000001</v>
      </c>
      <c r="M1036" s="3">
        <v>10.805</v>
      </c>
      <c r="N1036" s="4">
        <v>2.6602000000000002E-3</v>
      </c>
      <c r="O1036" s="5">
        <v>44804</v>
      </c>
      <c r="P1036" s="5">
        <v>54116</v>
      </c>
      <c r="Q1036" s="1">
        <v>8.75</v>
      </c>
      <c r="R1036" s="2">
        <v>9.2200000000000006</v>
      </c>
      <c r="S1036" s="6">
        <v>8.7507641760000006</v>
      </c>
      <c r="T1036" t="s">
        <v>111</v>
      </c>
      <c r="U1036" t="s">
        <v>111</v>
      </c>
      <c r="V1036" t="s">
        <v>10944</v>
      </c>
      <c r="W1036" t="s">
        <v>43</v>
      </c>
      <c r="X1036" t="s">
        <v>10945</v>
      </c>
      <c r="Y1036" t="s">
        <v>44</v>
      </c>
      <c r="Z1036" t="s">
        <v>44</v>
      </c>
      <c r="AA1036" t="s">
        <v>10913</v>
      </c>
      <c r="AB1036" t="s">
        <v>44</v>
      </c>
      <c r="AC1036" s="4">
        <v>11.096870060000001</v>
      </c>
      <c r="AD1036" s="4">
        <v>10.56950999</v>
      </c>
      <c r="AE1036" s="2">
        <v>11.1</v>
      </c>
      <c r="AF1036" s="4">
        <v>10.56950999</v>
      </c>
      <c r="AG1036" s="2">
        <v>3.32</v>
      </c>
      <c r="AH1036" s="2">
        <v>1169263.8400000001</v>
      </c>
      <c r="AI1036" s="2">
        <v>0</v>
      </c>
      <c r="AJ1036" s="5">
        <v>44673</v>
      </c>
      <c r="AK1036" t="s">
        <v>11985</v>
      </c>
      <c r="AL1036" s="2">
        <v>10.8</v>
      </c>
      <c r="AM1036" s="2">
        <v>8.75</v>
      </c>
      <c r="AN1036" s="2">
        <v>8.75</v>
      </c>
      <c r="AO1036" t="s">
        <v>10922</v>
      </c>
      <c r="AP1036" t="s">
        <v>11143</v>
      </c>
      <c r="AQ1036" t="s">
        <v>11142</v>
      </c>
    </row>
    <row r="1037" spans="1:43" x14ac:dyDescent="0.2">
      <c r="A1037" t="s">
        <v>11984</v>
      </c>
      <c r="B1037" t="s">
        <v>10900</v>
      </c>
      <c r="C1037" t="s">
        <v>10950</v>
      </c>
      <c r="D1037" t="s">
        <v>10983</v>
      </c>
      <c r="E1037" t="s">
        <v>10984</v>
      </c>
      <c r="F1037" t="s">
        <v>10983</v>
      </c>
      <c r="G1037" s="1">
        <v>1000000</v>
      </c>
      <c r="H1037" s="2">
        <v>872422.41</v>
      </c>
      <c r="I1037" s="2">
        <v>836132.5</v>
      </c>
      <c r="J1037" s="2">
        <v>18746.59</v>
      </c>
      <c r="K1037" s="2">
        <v>0</v>
      </c>
      <c r="L1037" s="2">
        <v>854879.09</v>
      </c>
      <c r="M1037" s="3">
        <v>10.734999999999999</v>
      </c>
      <c r="N1037" s="4">
        <v>1.94494E-3</v>
      </c>
      <c r="O1037" s="5">
        <v>44774</v>
      </c>
      <c r="P1037" s="5">
        <v>50071</v>
      </c>
      <c r="Q1037" s="1">
        <v>8.5</v>
      </c>
      <c r="R1037" s="2">
        <v>7.91</v>
      </c>
      <c r="S1037" s="6">
        <v>7.5106016819999999</v>
      </c>
      <c r="T1037" t="s">
        <v>111</v>
      </c>
      <c r="U1037" t="s">
        <v>111</v>
      </c>
      <c r="V1037" t="s">
        <v>10944</v>
      </c>
      <c r="W1037" t="s">
        <v>43</v>
      </c>
      <c r="X1037" t="s">
        <v>10945</v>
      </c>
      <c r="Y1037" t="s">
        <v>44</v>
      </c>
      <c r="Z1037" t="s">
        <v>44</v>
      </c>
      <c r="AA1037" t="s">
        <v>10913</v>
      </c>
      <c r="AB1037" t="s">
        <v>44</v>
      </c>
      <c r="AC1037" s="4">
        <v>11.02310056</v>
      </c>
      <c r="AD1037" s="4">
        <v>10.50250368</v>
      </c>
      <c r="AE1037" s="2">
        <v>11.02</v>
      </c>
      <c r="AF1037" s="4">
        <v>10.50250368</v>
      </c>
      <c r="AG1037" s="2">
        <v>2.4300000000000002</v>
      </c>
      <c r="AH1037" s="2">
        <v>854879.09</v>
      </c>
      <c r="AI1037" s="2">
        <v>0</v>
      </c>
      <c r="AJ1037" s="5">
        <v>44673</v>
      </c>
      <c r="AK1037" t="s">
        <v>11985</v>
      </c>
      <c r="AL1037" s="2">
        <v>10.73</v>
      </c>
      <c r="AM1037" s="2">
        <v>8.5</v>
      </c>
      <c r="AN1037" s="2">
        <v>7.51</v>
      </c>
      <c r="AO1037" t="s">
        <v>10922</v>
      </c>
      <c r="AP1037" t="s">
        <v>10985</v>
      </c>
      <c r="AQ1037" t="s">
        <v>10984</v>
      </c>
    </row>
    <row r="1038" spans="1:43" x14ac:dyDescent="0.2">
      <c r="A1038" t="s">
        <v>11984</v>
      </c>
      <c r="B1038" t="s">
        <v>10900</v>
      </c>
      <c r="C1038" t="s">
        <v>10990</v>
      </c>
      <c r="D1038" t="s">
        <v>11065</v>
      </c>
      <c r="E1038" t="s">
        <v>11066</v>
      </c>
      <c r="F1038" t="s">
        <v>11065</v>
      </c>
      <c r="G1038" s="1">
        <v>1400000</v>
      </c>
      <c r="H1038" s="2">
        <v>2021736.96</v>
      </c>
      <c r="I1038" s="2">
        <v>2035560.58</v>
      </c>
      <c r="J1038" s="2">
        <v>10079.02</v>
      </c>
      <c r="K1038" s="2">
        <v>0</v>
      </c>
      <c r="L1038" s="2">
        <v>2045639.6</v>
      </c>
      <c r="M1038" s="3">
        <v>5.66</v>
      </c>
      <c r="N1038" s="4">
        <v>4.6540499999999999E-3</v>
      </c>
      <c r="O1038" s="5">
        <v>44774</v>
      </c>
      <c r="P1038" s="5">
        <v>45688</v>
      </c>
      <c r="Q1038" s="1">
        <v>2</v>
      </c>
      <c r="R1038" s="2">
        <v>2.69</v>
      </c>
      <c r="S1038" s="6">
        <v>2.6158274349999999</v>
      </c>
      <c r="T1038" t="s">
        <v>111</v>
      </c>
      <c r="U1038" t="s">
        <v>111</v>
      </c>
      <c r="V1038" t="s">
        <v>10992</v>
      </c>
      <c r="W1038" t="s">
        <v>43</v>
      </c>
      <c r="X1038" t="s">
        <v>10945</v>
      </c>
      <c r="Y1038" t="s">
        <v>44</v>
      </c>
      <c r="Z1038" t="s">
        <v>44</v>
      </c>
      <c r="AA1038" t="s">
        <v>11067</v>
      </c>
      <c r="AB1038" t="s">
        <v>44</v>
      </c>
      <c r="AC1038" s="4">
        <v>5.7400890000000002</v>
      </c>
      <c r="AD1038" s="4">
        <v>5.5943907700000004</v>
      </c>
      <c r="AE1038" s="2">
        <v>5.74</v>
      </c>
      <c r="AF1038" s="4">
        <v>5.5943907700000004</v>
      </c>
      <c r="AG1038" s="2">
        <v>5.81</v>
      </c>
      <c r="AH1038" s="2">
        <v>2045639.6</v>
      </c>
      <c r="AI1038" s="2">
        <v>0</v>
      </c>
      <c r="AJ1038" s="5">
        <v>44673</v>
      </c>
      <c r="AK1038" t="s">
        <v>11985</v>
      </c>
      <c r="AL1038" s="2">
        <v>5.66</v>
      </c>
      <c r="AM1038" s="2">
        <v>2</v>
      </c>
      <c r="AN1038" s="2">
        <v>2.62</v>
      </c>
      <c r="AO1038" t="s">
        <v>11068</v>
      </c>
      <c r="AP1038" t="s">
        <v>11069</v>
      </c>
      <c r="AQ1038" t="s">
        <v>11066</v>
      </c>
    </row>
    <row r="1039" spans="1:43" x14ac:dyDescent="0.2">
      <c r="A1039" t="s">
        <v>11984</v>
      </c>
      <c r="B1039" t="s">
        <v>45</v>
      </c>
      <c r="C1039" t="s">
        <v>11144</v>
      </c>
      <c r="D1039" t="s">
        <v>11145</v>
      </c>
      <c r="E1039" t="s">
        <v>11146</v>
      </c>
      <c r="F1039" t="s">
        <v>11147</v>
      </c>
      <c r="G1039" s="1">
        <v>2400774.83</v>
      </c>
      <c r="H1039" s="2">
        <v>2400774.83</v>
      </c>
      <c r="I1039" s="2">
        <v>2400774.83</v>
      </c>
      <c r="J1039" s="2">
        <v>6320.5</v>
      </c>
      <c r="K1039" s="2">
        <v>0</v>
      </c>
      <c r="L1039" s="2">
        <v>2407095.33</v>
      </c>
      <c r="M1039" s="3">
        <v>6.88</v>
      </c>
      <c r="N1039" s="4">
        <v>5.4764000000000002E-3</v>
      </c>
      <c r="O1039" s="5" t="s">
        <v>44</v>
      </c>
      <c r="P1039" s="5">
        <v>55153</v>
      </c>
      <c r="Q1039" s="1">
        <v>6.88</v>
      </c>
      <c r="R1039" s="2">
        <v>0.08</v>
      </c>
      <c r="S1039" s="6">
        <v>2.6006750000000002E-3</v>
      </c>
      <c r="T1039" t="s">
        <v>112</v>
      </c>
      <c r="U1039" t="s">
        <v>46</v>
      </c>
      <c r="V1039" t="s">
        <v>11148</v>
      </c>
      <c r="W1039" t="s">
        <v>43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s="4"/>
      <c r="AD1039" s="4"/>
      <c r="AE1039" s="2">
        <v>0</v>
      </c>
      <c r="AF1039" s="4">
        <v>0</v>
      </c>
      <c r="AG1039" s="2">
        <v>6.84</v>
      </c>
      <c r="AH1039" s="2">
        <v>2407095.33</v>
      </c>
      <c r="AI1039" s="2">
        <v>0.01</v>
      </c>
      <c r="AJ1039" s="5">
        <v>44673</v>
      </c>
      <c r="AK1039" t="s">
        <v>11985</v>
      </c>
      <c r="AL1039" s="2">
        <v>0</v>
      </c>
      <c r="AM1039" s="2">
        <v>6.88</v>
      </c>
      <c r="AN1039" s="2">
        <v>0</v>
      </c>
      <c r="AO1039" t="s">
        <v>11146</v>
      </c>
      <c r="AP1039" t="s">
        <v>44</v>
      </c>
      <c r="AQ1039" t="s">
        <v>11146</v>
      </c>
    </row>
    <row r="1040" spans="1:43" x14ac:dyDescent="0.2">
      <c r="A1040" t="s">
        <v>11984</v>
      </c>
      <c r="B1040" t="s">
        <v>45</v>
      </c>
      <c r="C1040" t="s">
        <v>47</v>
      </c>
      <c r="D1040" t="s">
        <v>11981</v>
      </c>
      <c r="E1040" t="s">
        <v>11982</v>
      </c>
      <c r="F1040" t="s">
        <v>11981</v>
      </c>
      <c r="G1040" s="1">
        <v>1291780.19</v>
      </c>
      <c r="H1040" s="2">
        <v>1291780.19</v>
      </c>
      <c r="I1040" s="2">
        <v>1291780.19</v>
      </c>
      <c r="J1040" s="2">
        <v>0</v>
      </c>
      <c r="K1040" s="2">
        <v>0</v>
      </c>
      <c r="L1040" s="2">
        <v>1291780.19</v>
      </c>
      <c r="M1040" s="3"/>
      <c r="N1040" s="4">
        <v>2.9389400000000001E-3</v>
      </c>
      <c r="O1040" s="5" t="s">
        <v>44</v>
      </c>
      <c r="P1040" s="5" t="s">
        <v>44</v>
      </c>
      <c r="Q1040" s="1"/>
      <c r="R1040" s="2">
        <v>0.08</v>
      </c>
      <c r="S1040" s="6"/>
      <c r="T1040" t="s">
        <v>45</v>
      </c>
      <c r="U1040" t="s">
        <v>53</v>
      </c>
      <c r="V1040" t="s">
        <v>44</v>
      </c>
      <c r="W1040" t="s">
        <v>11979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s="4"/>
      <c r="AD1040" s="4"/>
      <c r="AE1040" s="2">
        <v>0</v>
      </c>
      <c r="AF1040" s="4">
        <v>0</v>
      </c>
      <c r="AG1040" s="2">
        <v>3.67</v>
      </c>
      <c r="AH1040" s="2">
        <v>1291780.19</v>
      </c>
      <c r="AI1040" s="2">
        <v>0</v>
      </c>
      <c r="AJ1040" s="5">
        <v>44673</v>
      </c>
      <c r="AK1040" t="s">
        <v>11985</v>
      </c>
      <c r="AL1040" s="2">
        <v>0</v>
      </c>
      <c r="AM1040" s="2">
        <v>0</v>
      </c>
      <c r="AN1040" s="2">
        <v>0</v>
      </c>
      <c r="AO1040" t="s">
        <v>44</v>
      </c>
      <c r="AP1040" t="s">
        <v>44</v>
      </c>
      <c r="AQ1040" t="s">
        <v>11979</v>
      </c>
    </row>
    <row r="1041" spans="1:43" x14ac:dyDescent="0.2">
      <c r="A1041" t="s">
        <v>11984</v>
      </c>
      <c r="B1041" t="s">
        <v>45</v>
      </c>
      <c r="C1041" t="s">
        <v>47</v>
      </c>
      <c r="D1041" t="s">
        <v>51</v>
      </c>
      <c r="E1041" t="s">
        <v>52</v>
      </c>
      <c r="F1041" t="s">
        <v>51</v>
      </c>
      <c r="G1041" s="1">
        <v>10182.75</v>
      </c>
      <c r="H1041" s="2">
        <v>10182.75</v>
      </c>
      <c r="I1041" s="2">
        <v>10182.75</v>
      </c>
      <c r="J1041" s="2">
        <v>0</v>
      </c>
      <c r="K1041" s="2">
        <v>0</v>
      </c>
      <c r="L1041" s="2">
        <v>10182.75</v>
      </c>
      <c r="M1041" s="3"/>
      <c r="N1041" s="4">
        <v>2.317E-5</v>
      </c>
      <c r="O1041" s="5" t="s">
        <v>44</v>
      </c>
      <c r="P1041" s="5" t="s">
        <v>44</v>
      </c>
      <c r="Q1041" s="1"/>
      <c r="R1041" s="2">
        <v>0.08</v>
      </c>
      <c r="S1041" s="6"/>
      <c r="T1041" t="s">
        <v>45</v>
      </c>
      <c r="U1041" t="s">
        <v>53</v>
      </c>
      <c r="V1041" t="s">
        <v>44</v>
      </c>
      <c r="W1041" t="s">
        <v>43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s="4">
        <v>5.1163389600000002</v>
      </c>
      <c r="AD1041" s="4">
        <v>5.0001424999999999</v>
      </c>
      <c r="AE1041" s="2">
        <v>5.12</v>
      </c>
      <c r="AF1041" s="4">
        <v>5.0001424999999999</v>
      </c>
      <c r="AG1041" s="2">
        <v>0.03</v>
      </c>
      <c r="AH1041" s="2">
        <v>10182.75</v>
      </c>
      <c r="AI1041" s="2">
        <v>0</v>
      </c>
      <c r="AJ1041" s="5">
        <v>44673</v>
      </c>
      <c r="AK1041" t="s">
        <v>11985</v>
      </c>
      <c r="AL1041" s="2">
        <v>5.05</v>
      </c>
      <c r="AM1041" s="2">
        <v>0</v>
      </c>
      <c r="AN1041" s="2">
        <v>0</v>
      </c>
      <c r="AO1041" t="s">
        <v>44</v>
      </c>
      <c r="AP1041" t="s">
        <v>44</v>
      </c>
      <c r="AQ1041" t="s">
        <v>43</v>
      </c>
    </row>
    <row r="1042" spans="1:43" x14ac:dyDescent="0.2">
      <c r="A1042" t="s">
        <v>11984</v>
      </c>
      <c r="B1042" t="s">
        <v>45</v>
      </c>
      <c r="C1042" t="s">
        <v>11005</v>
      </c>
      <c r="D1042" t="s">
        <v>11009</v>
      </c>
      <c r="E1042" t="s">
        <v>11010</v>
      </c>
      <c r="F1042" t="s">
        <v>44</v>
      </c>
      <c r="G1042" s="1">
        <v>-13481.14</v>
      </c>
      <c r="H1042" s="2">
        <v>-13481.14</v>
      </c>
      <c r="I1042" s="2">
        <v>-13481.14</v>
      </c>
      <c r="J1042" s="2">
        <v>0</v>
      </c>
      <c r="K1042" s="2"/>
      <c r="L1042" s="2">
        <v>-13481.14</v>
      </c>
      <c r="M1042" s="3"/>
      <c r="N1042" s="4">
        <v>-3.0670000000000003E-5</v>
      </c>
      <c r="O1042" s="5" t="s">
        <v>44</v>
      </c>
      <c r="P1042" s="5">
        <v>73051</v>
      </c>
      <c r="Q1042" s="1">
        <v>0</v>
      </c>
      <c r="R1042" s="2">
        <v>0.08</v>
      </c>
      <c r="S1042" s="6"/>
      <c r="T1042" t="s">
        <v>45</v>
      </c>
      <c r="U1042" t="s">
        <v>44</v>
      </c>
      <c r="V1042" t="s">
        <v>44</v>
      </c>
      <c r="W1042" t="s">
        <v>43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s="4">
        <v>5.1163389600000002</v>
      </c>
      <c r="AD1042" s="4">
        <v>5.0001424999999999</v>
      </c>
      <c r="AE1042" s="2">
        <v>5.12</v>
      </c>
      <c r="AF1042" s="4">
        <v>5.0001424999999999</v>
      </c>
      <c r="AG1042" s="2">
        <v>-0.04</v>
      </c>
      <c r="AH1042" s="2">
        <v>-13481.14</v>
      </c>
      <c r="AI1042" s="2">
        <v>0</v>
      </c>
      <c r="AJ1042" s="5">
        <v>44673</v>
      </c>
      <c r="AK1042" t="s">
        <v>11985</v>
      </c>
      <c r="AL1042" s="2">
        <v>5.05</v>
      </c>
      <c r="AM1042" s="2">
        <v>0</v>
      </c>
      <c r="AN1042" s="2">
        <v>0</v>
      </c>
      <c r="AO1042" t="s">
        <v>44</v>
      </c>
      <c r="AP1042" t="s">
        <v>44</v>
      </c>
      <c r="AQ1042" t="s">
        <v>44</v>
      </c>
    </row>
    <row r="1043" spans="1:43" x14ac:dyDescent="0.2">
      <c r="A1043" t="s">
        <v>11984</v>
      </c>
      <c r="B1043" t="s">
        <v>45</v>
      </c>
      <c r="C1043" t="s">
        <v>11005</v>
      </c>
      <c r="D1043" t="s">
        <v>11149</v>
      </c>
      <c r="E1043" t="s">
        <v>11150</v>
      </c>
      <c r="F1043" t="s">
        <v>44</v>
      </c>
      <c r="G1043" s="1">
        <v>-224509.65</v>
      </c>
      <c r="H1043" s="2">
        <v>-224509.65</v>
      </c>
      <c r="I1043" s="2">
        <v>-224509.65</v>
      </c>
      <c r="J1043" s="2">
        <v>0</v>
      </c>
      <c r="K1043" s="2"/>
      <c r="L1043" s="2">
        <v>-224509.65</v>
      </c>
      <c r="M1043" s="3"/>
      <c r="N1043" s="4">
        <v>-5.1077999999999996E-4</v>
      </c>
      <c r="O1043" s="5" t="s">
        <v>44</v>
      </c>
      <c r="P1043" s="5">
        <v>73051</v>
      </c>
      <c r="Q1043" s="1">
        <v>0</v>
      </c>
      <c r="R1043" s="2">
        <v>0.08</v>
      </c>
      <c r="S1043" s="6"/>
      <c r="T1043" t="s">
        <v>45</v>
      </c>
      <c r="U1043" t="s">
        <v>44</v>
      </c>
      <c r="V1043" t="s">
        <v>44</v>
      </c>
      <c r="W1043" t="s">
        <v>43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s="4">
        <v>5.1163389600000002</v>
      </c>
      <c r="AD1043" s="4">
        <v>5.0001424999999999</v>
      </c>
      <c r="AE1043" s="2">
        <v>5.12</v>
      </c>
      <c r="AF1043" s="4">
        <v>5.0001424999999999</v>
      </c>
      <c r="AG1043" s="2">
        <v>-0.64</v>
      </c>
      <c r="AH1043" s="2">
        <v>-224509.65</v>
      </c>
      <c r="AI1043" s="2">
        <v>0</v>
      </c>
      <c r="AJ1043" s="5">
        <v>44673</v>
      </c>
      <c r="AK1043" t="s">
        <v>11985</v>
      </c>
      <c r="AL1043" s="2">
        <v>5.05</v>
      </c>
      <c r="AM1043" s="2">
        <v>0</v>
      </c>
      <c r="AN1043" s="2">
        <v>0</v>
      </c>
      <c r="AO1043" t="s">
        <v>44</v>
      </c>
      <c r="AP1043" t="s">
        <v>44</v>
      </c>
      <c r="AQ1043" t="s">
        <v>44</v>
      </c>
    </row>
    <row r="1044" spans="1:43" x14ac:dyDescent="0.2">
      <c r="A1044" t="s">
        <v>11984</v>
      </c>
      <c r="B1044" t="s">
        <v>11013</v>
      </c>
      <c r="C1044" t="s">
        <v>11014</v>
      </c>
      <c r="D1044" t="s">
        <v>11021</v>
      </c>
      <c r="E1044" t="s">
        <v>11022</v>
      </c>
      <c r="F1044" t="s">
        <v>11021</v>
      </c>
      <c r="G1044" s="1">
        <v>938346.56299999997</v>
      </c>
      <c r="H1044" s="2">
        <v>965635.85</v>
      </c>
      <c r="I1044" s="2">
        <v>942099.95</v>
      </c>
      <c r="J1044" s="2">
        <v>0</v>
      </c>
      <c r="K1044" s="2">
        <v>0</v>
      </c>
      <c r="L1044" s="2">
        <v>942099.95</v>
      </c>
      <c r="M1044" s="3">
        <v>1.004</v>
      </c>
      <c r="N1044" s="4">
        <v>2.1433799999999999E-3</v>
      </c>
      <c r="O1044" s="5" t="s">
        <v>44</v>
      </c>
      <c r="P1044" s="5" t="s">
        <v>44</v>
      </c>
      <c r="Q1044" s="1"/>
      <c r="R1044" s="2"/>
      <c r="S1044" s="6"/>
      <c r="T1044" t="s">
        <v>10902</v>
      </c>
      <c r="U1044" t="s">
        <v>11003</v>
      </c>
      <c r="V1044" t="s">
        <v>11003</v>
      </c>
      <c r="W1044" t="s">
        <v>43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s="4"/>
      <c r="AD1044" s="4"/>
      <c r="AE1044" s="2">
        <v>0</v>
      </c>
      <c r="AF1044" s="4">
        <v>0</v>
      </c>
      <c r="AG1044" s="2">
        <v>2.68</v>
      </c>
      <c r="AH1044" s="2">
        <v>942099.95</v>
      </c>
      <c r="AI1044" s="2">
        <v>0</v>
      </c>
      <c r="AJ1044" s="5">
        <v>44673</v>
      </c>
      <c r="AK1044" t="s">
        <v>11985</v>
      </c>
      <c r="AL1044" s="2">
        <v>0</v>
      </c>
      <c r="AM1044" s="2">
        <v>0</v>
      </c>
      <c r="AN1044" s="2">
        <v>0</v>
      </c>
      <c r="AO1044" t="s">
        <v>44</v>
      </c>
      <c r="AP1044" t="s">
        <v>11023</v>
      </c>
      <c r="AQ1044" t="s">
        <v>11022</v>
      </c>
    </row>
    <row r="1045" spans="1:43" x14ac:dyDescent="0.2">
      <c r="A1045" t="s">
        <v>11984</v>
      </c>
      <c r="B1045" t="s">
        <v>11013</v>
      </c>
      <c r="C1045" t="s">
        <v>11047</v>
      </c>
      <c r="D1045" t="s">
        <v>11070</v>
      </c>
      <c r="E1045" t="s">
        <v>11071</v>
      </c>
      <c r="F1045" t="s">
        <v>11070</v>
      </c>
      <c r="G1045" s="1">
        <v>396190</v>
      </c>
      <c r="H1045" s="2">
        <v>5447216.3099999996</v>
      </c>
      <c r="I1045" s="2">
        <v>5165525.22</v>
      </c>
      <c r="J1045" s="2">
        <v>0</v>
      </c>
      <c r="K1045" s="2">
        <v>0</v>
      </c>
      <c r="L1045" s="2">
        <v>5165525.22</v>
      </c>
      <c r="M1045" s="3">
        <v>13.038</v>
      </c>
      <c r="N1045" s="4">
        <v>1.175213E-2</v>
      </c>
      <c r="O1045" s="5" t="s">
        <v>44</v>
      </c>
      <c r="P1045" s="5" t="s">
        <v>44</v>
      </c>
      <c r="Q1045" s="1"/>
      <c r="R1045" s="2"/>
      <c r="S1045" s="6"/>
      <c r="T1045" t="s">
        <v>10902</v>
      </c>
      <c r="U1045" t="s">
        <v>11003</v>
      </c>
      <c r="V1045" t="s">
        <v>11003</v>
      </c>
      <c r="W1045" t="s">
        <v>43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s="4"/>
      <c r="AD1045" s="4"/>
      <c r="AE1045" s="2">
        <v>0</v>
      </c>
      <c r="AF1045" s="4">
        <v>0</v>
      </c>
      <c r="AG1045" s="2">
        <v>14.68</v>
      </c>
      <c r="AH1045" s="2">
        <v>5165525.22</v>
      </c>
      <c r="AI1045" s="2">
        <v>0.01</v>
      </c>
      <c r="AJ1045" s="5">
        <v>44673</v>
      </c>
      <c r="AK1045" t="s">
        <v>11985</v>
      </c>
      <c r="AL1045" s="2">
        <v>0</v>
      </c>
      <c r="AM1045" s="2">
        <v>0</v>
      </c>
      <c r="AN1045" s="2">
        <v>0</v>
      </c>
      <c r="AO1045" t="s">
        <v>44</v>
      </c>
      <c r="AP1045" t="s">
        <v>44</v>
      </c>
      <c r="AQ1045" t="s">
        <v>11071</v>
      </c>
    </row>
    <row r="1046" spans="1:43" x14ac:dyDescent="0.2">
      <c r="A1046" t="s">
        <v>11984</v>
      </c>
      <c r="B1046" t="s">
        <v>11013</v>
      </c>
      <c r="C1046" t="s">
        <v>11047</v>
      </c>
      <c r="D1046" t="s">
        <v>11062</v>
      </c>
      <c r="E1046" t="s">
        <v>11063</v>
      </c>
      <c r="F1046" t="s">
        <v>11062</v>
      </c>
      <c r="G1046" s="1">
        <v>34420</v>
      </c>
      <c r="H1046" s="2">
        <v>798482.53</v>
      </c>
      <c r="I1046" s="2">
        <v>829148.95</v>
      </c>
      <c r="J1046" s="2">
        <v>0</v>
      </c>
      <c r="K1046" s="2">
        <v>0</v>
      </c>
      <c r="L1046" s="2">
        <v>829148.95</v>
      </c>
      <c r="M1046" s="3">
        <v>1.5429999999999999</v>
      </c>
      <c r="N1046" s="4">
        <v>1.8864000000000001E-3</v>
      </c>
      <c r="O1046" s="5" t="s">
        <v>44</v>
      </c>
      <c r="P1046" s="5" t="s">
        <v>44</v>
      </c>
      <c r="Q1046" s="1"/>
      <c r="R1046" s="2"/>
      <c r="S1046" s="6"/>
      <c r="T1046" t="s">
        <v>10902</v>
      </c>
      <c r="U1046" t="s">
        <v>11003</v>
      </c>
      <c r="V1046" t="s">
        <v>11003</v>
      </c>
      <c r="W1046" t="s">
        <v>113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s="4"/>
      <c r="AD1046" s="4"/>
      <c r="AE1046" s="2">
        <v>0</v>
      </c>
      <c r="AF1046" s="4">
        <v>0</v>
      </c>
      <c r="AG1046" s="2">
        <v>2.36</v>
      </c>
      <c r="AH1046" s="2">
        <v>829148.95</v>
      </c>
      <c r="AI1046" s="2">
        <v>0</v>
      </c>
      <c r="AJ1046" s="5">
        <v>44673</v>
      </c>
      <c r="AK1046" t="s">
        <v>11985</v>
      </c>
      <c r="AL1046" s="2">
        <v>0</v>
      </c>
      <c r="AM1046" s="2">
        <v>0</v>
      </c>
      <c r="AN1046" s="2">
        <v>0</v>
      </c>
      <c r="AO1046" t="s">
        <v>44</v>
      </c>
      <c r="AP1046" t="s">
        <v>11064</v>
      </c>
      <c r="AQ1046" t="s">
        <v>11063</v>
      </c>
    </row>
    <row r="1047" spans="1:43" x14ac:dyDescent="0.2">
      <c r="A1047" t="s">
        <v>11984</v>
      </c>
      <c r="B1047" t="s">
        <v>11024</v>
      </c>
      <c r="C1047" t="s">
        <v>61</v>
      </c>
      <c r="D1047" t="s">
        <v>11986</v>
      </c>
      <c r="E1047" t="s">
        <v>11987</v>
      </c>
      <c r="F1047" t="s">
        <v>11986</v>
      </c>
      <c r="G1047" s="1">
        <v>29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3">
        <v>82.679169999999999</v>
      </c>
      <c r="N1047" s="4">
        <v>0</v>
      </c>
      <c r="O1047" s="5" t="s">
        <v>44</v>
      </c>
      <c r="P1047" s="5">
        <v>44777</v>
      </c>
      <c r="Q1047" s="1"/>
      <c r="R1047" s="2"/>
      <c r="S1047" s="6"/>
      <c r="T1047" t="s">
        <v>11026</v>
      </c>
      <c r="U1047" t="s">
        <v>11025</v>
      </c>
      <c r="V1047" t="s">
        <v>11072</v>
      </c>
      <c r="W1047" t="s">
        <v>43</v>
      </c>
      <c r="X1047" t="s">
        <v>44</v>
      </c>
      <c r="Y1047" t="s">
        <v>44</v>
      </c>
      <c r="Z1047" t="s">
        <v>44</v>
      </c>
      <c r="AA1047" t="s">
        <v>44</v>
      </c>
      <c r="AB1047" t="s">
        <v>44</v>
      </c>
      <c r="AC1047" s="4"/>
      <c r="AD1047" s="4"/>
      <c r="AE1047" s="2">
        <v>0</v>
      </c>
      <c r="AF1047" s="4">
        <v>0</v>
      </c>
      <c r="AG1047" s="2">
        <v>0</v>
      </c>
      <c r="AH1047" s="2">
        <v>2397695.9300000002</v>
      </c>
      <c r="AI1047" s="2">
        <v>0.01</v>
      </c>
      <c r="AJ1047" s="5">
        <v>44673</v>
      </c>
      <c r="AK1047" t="s">
        <v>11985</v>
      </c>
      <c r="AL1047" s="2">
        <v>0</v>
      </c>
      <c r="AM1047" s="2">
        <v>0</v>
      </c>
      <c r="AN1047" s="2">
        <v>0</v>
      </c>
      <c r="AO1047" t="s">
        <v>44</v>
      </c>
      <c r="AP1047" t="s">
        <v>44</v>
      </c>
      <c r="AQ1047" t="s">
        <v>11987</v>
      </c>
    </row>
    <row r="1048" spans="1:43" x14ac:dyDescent="0.2">
      <c r="A1048" t="s">
        <v>11984</v>
      </c>
      <c r="B1048" t="s">
        <v>11024</v>
      </c>
      <c r="C1048" t="s">
        <v>57</v>
      </c>
      <c r="D1048" t="s">
        <v>11988</v>
      </c>
      <c r="E1048" t="s">
        <v>11988</v>
      </c>
      <c r="F1048" t="s">
        <v>11988</v>
      </c>
      <c r="G1048" s="1">
        <v>889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3">
        <v>674.33</v>
      </c>
      <c r="N1048" s="4">
        <v>0</v>
      </c>
      <c r="O1048" s="5" t="s">
        <v>44</v>
      </c>
      <c r="P1048" s="5">
        <v>44725</v>
      </c>
      <c r="Q1048" s="1"/>
      <c r="R1048" s="2"/>
      <c r="S1048" s="6"/>
      <c r="T1048" t="s">
        <v>11026</v>
      </c>
      <c r="U1048" t="s">
        <v>11025</v>
      </c>
      <c r="V1048" t="s">
        <v>11027</v>
      </c>
      <c r="W1048" t="s">
        <v>43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s="4"/>
      <c r="AD1048" s="4"/>
      <c r="AE1048" s="2">
        <v>0</v>
      </c>
      <c r="AF1048" s="4">
        <v>0</v>
      </c>
      <c r="AG1048" s="2">
        <v>0</v>
      </c>
      <c r="AH1048" s="2">
        <v>599479.37</v>
      </c>
      <c r="AI1048" s="2">
        <v>0</v>
      </c>
      <c r="AJ1048" s="5">
        <v>44673</v>
      </c>
      <c r="AK1048" t="s">
        <v>11985</v>
      </c>
      <c r="AL1048" s="2">
        <v>0</v>
      </c>
      <c r="AM1048" s="2">
        <v>0</v>
      </c>
      <c r="AN1048" s="2">
        <v>0</v>
      </c>
      <c r="AO1048" t="s">
        <v>44</v>
      </c>
      <c r="AP1048" t="s">
        <v>11989</v>
      </c>
      <c r="AQ1048" t="s">
        <v>11988</v>
      </c>
    </row>
    <row r="1049" spans="1:43" x14ac:dyDescent="0.2">
      <c r="A1049" t="s">
        <v>11984</v>
      </c>
      <c r="B1049" t="s">
        <v>11024</v>
      </c>
      <c r="C1049" t="s">
        <v>57</v>
      </c>
      <c r="D1049" t="s">
        <v>11990</v>
      </c>
      <c r="E1049" t="s">
        <v>11990</v>
      </c>
      <c r="F1049" t="s">
        <v>11990</v>
      </c>
      <c r="G1049" s="1">
        <v>5041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3">
        <v>674.74</v>
      </c>
      <c r="N1049" s="4">
        <v>0</v>
      </c>
      <c r="O1049" s="5" t="s">
        <v>44</v>
      </c>
      <c r="P1049" s="5">
        <v>44725</v>
      </c>
      <c r="Q1049" s="1"/>
      <c r="R1049" s="2"/>
      <c r="S1049" s="6"/>
      <c r="T1049" t="s">
        <v>11026</v>
      </c>
      <c r="U1049" t="s">
        <v>11025</v>
      </c>
      <c r="V1049" t="s">
        <v>11027</v>
      </c>
      <c r="W1049" t="s">
        <v>43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s="4"/>
      <c r="AD1049" s="4"/>
      <c r="AE1049" s="2">
        <v>0</v>
      </c>
      <c r="AF1049" s="4">
        <v>0</v>
      </c>
      <c r="AG1049" s="2">
        <v>0</v>
      </c>
      <c r="AH1049" s="2">
        <v>3401364.34</v>
      </c>
      <c r="AI1049" s="2">
        <v>0.01</v>
      </c>
      <c r="AJ1049" s="5">
        <v>44673</v>
      </c>
      <c r="AK1049" t="s">
        <v>11985</v>
      </c>
      <c r="AL1049" s="2">
        <v>0</v>
      </c>
      <c r="AM1049" s="2">
        <v>0</v>
      </c>
      <c r="AN1049" s="2">
        <v>0</v>
      </c>
      <c r="AO1049" t="s">
        <v>44</v>
      </c>
      <c r="AP1049" t="s">
        <v>11991</v>
      </c>
      <c r="AQ1049" t="s">
        <v>11990</v>
      </c>
    </row>
    <row r="1050" spans="1:43" x14ac:dyDescent="0.2">
      <c r="A1050" t="s">
        <v>11984</v>
      </c>
      <c r="B1050" t="s">
        <v>11024</v>
      </c>
      <c r="C1050" t="s">
        <v>57</v>
      </c>
      <c r="D1050" t="s">
        <v>11992</v>
      </c>
      <c r="E1050" t="s">
        <v>11992</v>
      </c>
      <c r="F1050" t="s">
        <v>11992</v>
      </c>
      <c r="G1050" s="1">
        <v>591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3">
        <v>1278.44</v>
      </c>
      <c r="N1050" s="4">
        <v>0</v>
      </c>
      <c r="O1050" s="5" t="s">
        <v>44</v>
      </c>
      <c r="P1050" s="5">
        <v>44725</v>
      </c>
      <c r="Q1050" s="1"/>
      <c r="R1050" s="2"/>
      <c r="S1050" s="6"/>
      <c r="T1050" t="s">
        <v>11026</v>
      </c>
      <c r="U1050" t="s">
        <v>11025</v>
      </c>
      <c r="V1050" t="s">
        <v>11027</v>
      </c>
      <c r="W1050" t="s">
        <v>43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s="4"/>
      <c r="AD1050" s="4"/>
      <c r="AE1050" s="2">
        <v>0</v>
      </c>
      <c r="AF1050" s="4">
        <v>0</v>
      </c>
      <c r="AG1050" s="2">
        <v>0</v>
      </c>
      <c r="AH1050" s="2">
        <v>755558.04</v>
      </c>
      <c r="AI1050" s="2">
        <v>0</v>
      </c>
      <c r="AJ1050" s="5">
        <v>44673</v>
      </c>
      <c r="AK1050" t="s">
        <v>11985</v>
      </c>
      <c r="AL1050" s="2">
        <v>0</v>
      </c>
      <c r="AM1050" s="2">
        <v>0</v>
      </c>
      <c r="AN1050" s="2">
        <v>0</v>
      </c>
      <c r="AO1050" t="s">
        <v>44</v>
      </c>
      <c r="AP1050" t="s">
        <v>11993</v>
      </c>
      <c r="AQ1050" t="s">
        <v>11992</v>
      </c>
    </row>
    <row r="1051" spans="1:43" x14ac:dyDescent="0.2">
      <c r="A1051" t="s">
        <v>11984</v>
      </c>
      <c r="B1051" t="s">
        <v>11024</v>
      </c>
      <c r="C1051" t="s">
        <v>57</v>
      </c>
      <c r="D1051" t="s">
        <v>11994</v>
      </c>
      <c r="E1051" t="s">
        <v>11994</v>
      </c>
      <c r="F1051" t="s">
        <v>11994</v>
      </c>
      <c r="G1051" s="1">
        <v>3349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3">
        <v>1278.44</v>
      </c>
      <c r="N1051" s="4">
        <v>0</v>
      </c>
      <c r="O1051" s="5" t="s">
        <v>44</v>
      </c>
      <c r="P1051" s="5">
        <v>44725</v>
      </c>
      <c r="Q1051" s="1"/>
      <c r="R1051" s="2"/>
      <c r="S1051" s="6"/>
      <c r="T1051" t="s">
        <v>11026</v>
      </c>
      <c r="U1051" t="s">
        <v>11025</v>
      </c>
      <c r="V1051" t="s">
        <v>11027</v>
      </c>
      <c r="W1051" t="s">
        <v>43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s="4"/>
      <c r="AD1051" s="4"/>
      <c r="AE1051" s="2">
        <v>0</v>
      </c>
      <c r="AF1051" s="4">
        <v>0</v>
      </c>
      <c r="AG1051" s="2">
        <v>0</v>
      </c>
      <c r="AH1051" s="2">
        <v>4281495.5599999996</v>
      </c>
      <c r="AI1051" s="2">
        <v>0.01</v>
      </c>
      <c r="AJ1051" s="5">
        <v>44673</v>
      </c>
      <c r="AK1051" t="s">
        <v>11985</v>
      </c>
      <c r="AL1051" s="2">
        <v>0</v>
      </c>
      <c r="AM1051" s="2">
        <v>0</v>
      </c>
      <c r="AN1051" s="2">
        <v>0</v>
      </c>
      <c r="AO1051" t="s">
        <v>44</v>
      </c>
      <c r="AP1051" t="s">
        <v>11995</v>
      </c>
      <c r="AQ1051" t="s">
        <v>11994</v>
      </c>
    </row>
    <row r="1052" spans="1:43" x14ac:dyDescent="0.2">
      <c r="A1052" t="s">
        <v>11984</v>
      </c>
      <c r="B1052" t="s">
        <v>11024</v>
      </c>
      <c r="C1052" t="s">
        <v>57</v>
      </c>
      <c r="D1052" t="s">
        <v>11151</v>
      </c>
      <c r="E1052" t="s">
        <v>11151</v>
      </c>
      <c r="F1052" t="s">
        <v>11151</v>
      </c>
      <c r="G1052" s="1">
        <v>9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3">
        <v>65704</v>
      </c>
      <c r="N1052" s="4">
        <v>0</v>
      </c>
      <c r="O1052" s="5" t="s">
        <v>44</v>
      </c>
      <c r="P1052" s="5">
        <v>44727</v>
      </c>
      <c r="Q1052" s="1"/>
      <c r="R1052" s="2"/>
      <c r="S1052" s="6"/>
      <c r="T1052" t="s">
        <v>11026</v>
      </c>
      <c r="U1052" t="s">
        <v>11025</v>
      </c>
      <c r="V1052" t="s">
        <v>11027</v>
      </c>
      <c r="W1052" t="s">
        <v>43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s="4"/>
      <c r="AD1052" s="4"/>
      <c r="AE1052" s="2">
        <v>0</v>
      </c>
      <c r="AF1052" s="4">
        <v>0</v>
      </c>
      <c r="AG1052" s="2">
        <v>0</v>
      </c>
      <c r="AH1052" s="2">
        <v>5913360</v>
      </c>
      <c r="AI1052" s="2">
        <v>0.01</v>
      </c>
      <c r="AJ1052" s="5">
        <v>44673</v>
      </c>
      <c r="AK1052" t="s">
        <v>11985</v>
      </c>
      <c r="AL1052" s="2">
        <v>0</v>
      </c>
      <c r="AM1052" s="2">
        <v>0</v>
      </c>
      <c r="AN1052" s="2">
        <v>0</v>
      </c>
      <c r="AO1052" t="s">
        <v>44</v>
      </c>
      <c r="AP1052" t="s">
        <v>11152</v>
      </c>
      <c r="AQ1052" t="s">
        <v>11151</v>
      </c>
    </row>
    <row r="1053" spans="1:43" x14ac:dyDescent="0.2">
      <c r="A1053" t="s">
        <v>11984</v>
      </c>
      <c r="B1053" t="s">
        <v>11024</v>
      </c>
      <c r="C1053" t="s">
        <v>57</v>
      </c>
      <c r="D1053" t="s">
        <v>11754</v>
      </c>
      <c r="E1053" t="s">
        <v>11754</v>
      </c>
      <c r="F1053" t="s">
        <v>11754</v>
      </c>
      <c r="G1053" s="1">
        <v>24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3">
        <v>20012</v>
      </c>
      <c r="N1053" s="4">
        <v>0</v>
      </c>
      <c r="O1053" s="5" t="s">
        <v>44</v>
      </c>
      <c r="P1053" s="5">
        <v>44727</v>
      </c>
      <c r="Q1053" s="1"/>
      <c r="R1053" s="2"/>
      <c r="S1053" s="6"/>
      <c r="T1053" t="s">
        <v>11026</v>
      </c>
      <c r="U1053" t="s">
        <v>11025</v>
      </c>
      <c r="V1053" t="s">
        <v>11027</v>
      </c>
      <c r="W1053" t="s">
        <v>43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s="4"/>
      <c r="AD1053" s="4"/>
      <c r="AE1053" s="2">
        <v>0</v>
      </c>
      <c r="AF1053" s="4">
        <v>0</v>
      </c>
      <c r="AG1053" s="2">
        <v>0</v>
      </c>
      <c r="AH1053" s="2">
        <v>4802880</v>
      </c>
      <c r="AI1053" s="2">
        <v>0.01</v>
      </c>
      <c r="AJ1053" s="5">
        <v>44673</v>
      </c>
      <c r="AK1053" t="s">
        <v>11985</v>
      </c>
      <c r="AL1053" s="2">
        <v>0</v>
      </c>
      <c r="AM1053" s="2">
        <v>0</v>
      </c>
      <c r="AN1053" s="2">
        <v>0</v>
      </c>
      <c r="AO1053" t="s">
        <v>44</v>
      </c>
      <c r="AP1053" t="s">
        <v>11755</v>
      </c>
      <c r="AQ1053" t="s">
        <v>11754</v>
      </c>
    </row>
    <row r="1054" spans="1:43" x14ac:dyDescent="0.2">
      <c r="A1054" t="s">
        <v>11984</v>
      </c>
      <c r="B1054" t="s">
        <v>11038</v>
      </c>
      <c r="C1054" t="s">
        <v>11055</v>
      </c>
      <c r="D1054" t="s">
        <v>11996</v>
      </c>
      <c r="E1054" t="s">
        <v>11997</v>
      </c>
      <c r="F1054" t="s">
        <v>11996</v>
      </c>
      <c r="G1054" s="1">
        <v>3000000</v>
      </c>
      <c r="H1054" s="2">
        <v>3001232.53</v>
      </c>
      <c r="I1054" s="2">
        <v>3001374.07</v>
      </c>
      <c r="J1054" s="2">
        <v>17568.66</v>
      </c>
      <c r="K1054" s="2">
        <v>0</v>
      </c>
      <c r="L1054" s="2">
        <v>3018942.73</v>
      </c>
      <c r="M1054" s="3">
        <v>4.4642350000000004</v>
      </c>
      <c r="N1054" s="4">
        <v>6.8684200000000001E-3</v>
      </c>
      <c r="O1054" s="5">
        <v>44722</v>
      </c>
      <c r="P1054" s="5">
        <v>44722</v>
      </c>
      <c r="Q1054" s="1">
        <v>4.8579999999999997</v>
      </c>
      <c r="R1054" s="2">
        <v>0.13</v>
      </c>
      <c r="S1054" s="6">
        <v>0.120577436898</v>
      </c>
      <c r="T1054" t="s">
        <v>111</v>
      </c>
      <c r="U1054" t="s">
        <v>11040</v>
      </c>
      <c r="V1054" t="s">
        <v>11189</v>
      </c>
      <c r="W1054" t="s">
        <v>11979</v>
      </c>
      <c r="X1054" t="s">
        <v>11034</v>
      </c>
      <c r="Y1054" t="s">
        <v>44</v>
      </c>
      <c r="Z1054" t="s">
        <v>44</v>
      </c>
      <c r="AA1054" t="s">
        <v>10979</v>
      </c>
      <c r="AB1054" t="s">
        <v>44</v>
      </c>
      <c r="AC1054" s="4">
        <v>4.5522993999999999</v>
      </c>
      <c r="AD1054" s="4">
        <v>4.4599909499999999</v>
      </c>
      <c r="AE1054" s="2">
        <v>4.55</v>
      </c>
      <c r="AF1054" s="4">
        <v>4.4599909499999999</v>
      </c>
      <c r="AG1054" s="2">
        <v>8.58</v>
      </c>
      <c r="AH1054" s="2">
        <v>3018942.73</v>
      </c>
      <c r="AI1054" s="2">
        <v>0.01</v>
      </c>
      <c r="AJ1054" s="5">
        <v>44673</v>
      </c>
      <c r="AK1054" t="s">
        <v>11985</v>
      </c>
      <c r="AL1054" s="2">
        <v>4.5</v>
      </c>
      <c r="AM1054" s="2">
        <v>4.8600000000000003</v>
      </c>
      <c r="AN1054" s="2">
        <v>0.12</v>
      </c>
      <c r="AO1054" t="s">
        <v>11054</v>
      </c>
      <c r="AP1054" t="s">
        <v>44</v>
      </c>
      <c r="AQ1054" t="s">
        <v>11997</v>
      </c>
    </row>
    <row r="1055" spans="1:43" x14ac:dyDescent="0.2">
      <c r="A1055" t="s">
        <v>11984</v>
      </c>
      <c r="B1055" t="s">
        <v>11038</v>
      </c>
      <c r="C1055" t="s">
        <v>11039</v>
      </c>
      <c r="D1055" t="s">
        <v>11998</v>
      </c>
      <c r="E1055" t="s">
        <v>11999</v>
      </c>
      <c r="F1055" t="s">
        <v>11998</v>
      </c>
      <c r="G1055" s="1">
        <v>1000000</v>
      </c>
      <c r="H1055" s="2">
        <v>1000000</v>
      </c>
      <c r="I1055" s="2">
        <v>998094.81</v>
      </c>
      <c r="J1055" s="2">
        <v>8619.18</v>
      </c>
      <c r="K1055" s="2">
        <v>0</v>
      </c>
      <c r="L1055" s="2">
        <v>1006713.99</v>
      </c>
      <c r="M1055" s="3">
        <v>6.2297079999999996</v>
      </c>
      <c r="N1055" s="4">
        <v>2.2903799999999998E-3</v>
      </c>
      <c r="O1055" s="5">
        <v>44987</v>
      </c>
      <c r="P1055" s="5">
        <v>44987</v>
      </c>
      <c r="Q1055" s="1">
        <v>6.05</v>
      </c>
      <c r="R1055" s="2">
        <v>0.85</v>
      </c>
      <c r="S1055" s="6">
        <v>0.80910696817000005</v>
      </c>
      <c r="T1055" t="s">
        <v>111</v>
      </c>
      <c r="U1055" t="s">
        <v>11040</v>
      </c>
      <c r="V1055" t="s">
        <v>11041</v>
      </c>
      <c r="W1055" t="s">
        <v>11979</v>
      </c>
      <c r="X1055" t="s">
        <v>11034</v>
      </c>
      <c r="Y1055" t="s">
        <v>44</v>
      </c>
      <c r="Z1055" t="s">
        <v>44</v>
      </c>
      <c r="AA1055" t="s">
        <v>11465</v>
      </c>
      <c r="AB1055" t="s">
        <v>44</v>
      </c>
      <c r="AC1055" s="4">
        <v>6.2580068000000004</v>
      </c>
      <c r="AD1055" s="4">
        <v>6.0853756600000004</v>
      </c>
      <c r="AE1055" s="2">
        <v>6.26</v>
      </c>
      <c r="AF1055" s="4">
        <v>6.0853756600000004</v>
      </c>
      <c r="AG1055" s="2">
        <v>2.86</v>
      </c>
      <c r="AH1055" s="2">
        <v>1006713.99</v>
      </c>
      <c r="AI1055" s="2">
        <v>0</v>
      </c>
      <c r="AJ1055" s="5">
        <v>44673</v>
      </c>
      <c r="AK1055" t="s">
        <v>11985</v>
      </c>
      <c r="AL1055" s="2">
        <v>6.16</v>
      </c>
      <c r="AM1055" s="2">
        <v>6.05</v>
      </c>
      <c r="AN1055" s="2">
        <v>0.81</v>
      </c>
      <c r="AO1055" t="s">
        <v>11980</v>
      </c>
      <c r="AP1055" t="s">
        <v>44</v>
      </c>
      <c r="AQ1055" t="s">
        <v>11999</v>
      </c>
    </row>
    <row r="1056" spans="1:43" x14ac:dyDescent="0.2">
      <c r="A1056" t="s">
        <v>11984</v>
      </c>
      <c r="B1056" t="s">
        <v>11038</v>
      </c>
      <c r="C1056" t="s">
        <v>11039</v>
      </c>
      <c r="D1056" t="s">
        <v>12847</v>
      </c>
      <c r="E1056" t="s">
        <v>12848</v>
      </c>
      <c r="F1056" t="s">
        <v>12847</v>
      </c>
      <c r="G1056" s="1">
        <v>6000000</v>
      </c>
      <c r="H1056" s="2">
        <v>6000000</v>
      </c>
      <c r="I1056" s="2">
        <v>6002993.7400000002</v>
      </c>
      <c r="J1056" s="2">
        <v>25446.58</v>
      </c>
      <c r="K1056" s="2">
        <v>0</v>
      </c>
      <c r="L1056" s="2">
        <v>6028440.3200000003</v>
      </c>
      <c r="M1056" s="3">
        <v>6.3638630000000003</v>
      </c>
      <c r="N1056" s="4">
        <v>1.3715349999999999E-2</v>
      </c>
      <c r="O1056" s="5">
        <v>45015</v>
      </c>
      <c r="P1056" s="5">
        <v>45015</v>
      </c>
      <c r="Q1056" s="1">
        <v>6.45</v>
      </c>
      <c r="R1056" s="2">
        <v>0.93</v>
      </c>
      <c r="S1056" s="6">
        <v>0.87693544103999999</v>
      </c>
      <c r="T1056" t="s">
        <v>111</v>
      </c>
      <c r="U1056" t="s">
        <v>11040</v>
      </c>
      <c r="V1056" t="s">
        <v>11041</v>
      </c>
      <c r="W1056" t="s">
        <v>11979</v>
      </c>
      <c r="X1056" t="s">
        <v>11034</v>
      </c>
      <c r="Y1056" t="s">
        <v>44</v>
      </c>
      <c r="Z1056" t="s">
        <v>44</v>
      </c>
      <c r="AA1056" t="s">
        <v>11465</v>
      </c>
      <c r="AB1056" t="s">
        <v>44</v>
      </c>
      <c r="AC1056" s="4">
        <v>6.3780324300000002</v>
      </c>
      <c r="AD1056" s="4">
        <v>6.19884653</v>
      </c>
      <c r="AE1056" s="2">
        <v>6.38</v>
      </c>
      <c r="AF1056" s="4">
        <v>6.19884653</v>
      </c>
      <c r="AG1056" s="2">
        <v>17.13</v>
      </c>
      <c r="AH1056" s="2">
        <v>6028440.3200000003</v>
      </c>
      <c r="AI1056" s="2">
        <v>0.01</v>
      </c>
      <c r="AJ1056" s="5">
        <v>44673</v>
      </c>
      <c r="AK1056" t="s">
        <v>11985</v>
      </c>
      <c r="AL1056" s="2">
        <v>6.28</v>
      </c>
      <c r="AM1056" s="2">
        <v>6.45</v>
      </c>
      <c r="AN1056" s="2">
        <v>0.88</v>
      </c>
      <c r="AO1056" t="s">
        <v>11980</v>
      </c>
      <c r="AP1056" t="s">
        <v>44</v>
      </c>
      <c r="AQ1056" t="s">
        <v>12848</v>
      </c>
    </row>
    <row r="1057" spans="1:43" x14ac:dyDescent="0.2">
      <c r="A1057" t="s">
        <v>11984</v>
      </c>
      <c r="B1057" t="s">
        <v>11038</v>
      </c>
      <c r="C1057" t="s">
        <v>11039</v>
      </c>
      <c r="D1057" t="s">
        <v>12000</v>
      </c>
      <c r="E1057" t="s">
        <v>12001</v>
      </c>
      <c r="F1057" t="s">
        <v>12000</v>
      </c>
      <c r="G1057" s="1">
        <v>2000000</v>
      </c>
      <c r="H1057" s="2">
        <v>2000000</v>
      </c>
      <c r="I1057" s="2">
        <v>1995434.61</v>
      </c>
      <c r="J1057" s="2">
        <v>15516.44</v>
      </c>
      <c r="K1057" s="2">
        <v>0</v>
      </c>
      <c r="L1057" s="2">
        <v>2010951.05</v>
      </c>
      <c r="M1057" s="3">
        <v>6.2523669999999996</v>
      </c>
      <c r="N1057" s="4">
        <v>4.5751300000000002E-3</v>
      </c>
      <c r="O1057" s="5">
        <v>44992</v>
      </c>
      <c r="P1057" s="5">
        <v>44992</v>
      </c>
      <c r="Q1057" s="1">
        <v>6.0250000000000004</v>
      </c>
      <c r="R1057" s="2">
        <v>0.87</v>
      </c>
      <c r="S1057" s="6">
        <v>0.82129657731000005</v>
      </c>
      <c r="T1057" t="s">
        <v>111</v>
      </c>
      <c r="U1057" t="s">
        <v>11040</v>
      </c>
      <c r="V1057" t="s">
        <v>11041</v>
      </c>
      <c r="W1057" t="s">
        <v>11979</v>
      </c>
      <c r="X1057" t="s">
        <v>11034</v>
      </c>
      <c r="Y1057" t="s">
        <v>44</v>
      </c>
      <c r="Z1057" t="s">
        <v>44</v>
      </c>
      <c r="AA1057" t="s">
        <v>11035</v>
      </c>
      <c r="AB1057" t="s">
        <v>44</v>
      </c>
      <c r="AC1057" s="4">
        <v>6.2782160899999999</v>
      </c>
      <c r="AD1057" s="4">
        <v>6.1044895099999996</v>
      </c>
      <c r="AE1057" s="2">
        <v>6.28</v>
      </c>
      <c r="AF1057" s="4">
        <v>6.1044895099999996</v>
      </c>
      <c r="AG1057" s="2">
        <v>5.71</v>
      </c>
      <c r="AH1057" s="2">
        <v>2010951.05</v>
      </c>
      <c r="AI1057" s="2">
        <v>0</v>
      </c>
      <c r="AJ1057" s="5">
        <v>44673</v>
      </c>
      <c r="AK1057" t="s">
        <v>11985</v>
      </c>
      <c r="AL1057" s="2">
        <v>6.18</v>
      </c>
      <c r="AM1057" s="2">
        <v>6.03</v>
      </c>
      <c r="AN1057" s="2">
        <v>0.82</v>
      </c>
      <c r="AO1057" t="s">
        <v>11036</v>
      </c>
      <c r="AP1057" t="s">
        <v>44</v>
      </c>
      <c r="AQ1057" t="s">
        <v>12001</v>
      </c>
    </row>
    <row r="1058" spans="1:43" x14ac:dyDescent="0.2">
      <c r="A1058" t="s">
        <v>11984</v>
      </c>
      <c r="B1058" t="s">
        <v>11038</v>
      </c>
      <c r="C1058" t="s">
        <v>11039</v>
      </c>
      <c r="D1058" t="s">
        <v>12849</v>
      </c>
      <c r="E1058" t="s">
        <v>12850</v>
      </c>
      <c r="F1058" t="s">
        <v>12849</v>
      </c>
      <c r="G1058" s="1">
        <v>1000000</v>
      </c>
      <c r="H1058" s="2">
        <v>1000000</v>
      </c>
      <c r="I1058" s="2">
        <v>1000498.96</v>
      </c>
      <c r="J1058" s="2">
        <v>4241.1000000000004</v>
      </c>
      <c r="K1058" s="2">
        <v>0</v>
      </c>
      <c r="L1058" s="2">
        <v>1004740.06</v>
      </c>
      <c r="M1058" s="3">
        <v>6.3638630000000003</v>
      </c>
      <c r="N1058" s="4">
        <v>2.2858900000000001E-3</v>
      </c>
      <c r="O1058" s="5">
        <v>45015</v>
      </c>
      <c r="P1058" s="5">
        <v>45015</v>
      </c>
      <c r="Q1058" s="1">
        <v>6.45</v>
      </c>
      <c r="R1058" s="2">
        <v>0.93</v>
      </c>
      <c r="S1058" s="6">
        <v>0.87693544103999999</v>
      </c>
      <c r="T1058" t="s">
        <v>111</v>
      </c>
      <c r="U1058" t="s">
        <v>11040</v>
      </c>
      <c r="V1058" t="s">
        <v>11041</v>
      </c>
      <c r="W1058" t="s">
        <v>11979</v>
      </c>
      <c r="X1058" t="s">
        <v>11034</v>
      </c>
      <c r="Y1058" t="s">
        <v>44</v>
      </c>
      <c r="Z1058" t="s">
        <v>44</v>
      </c>
      <c r="AA1058" t="s">
        <v>11035</v>
      </c>
      <c r="AB1058" t="s">
        <v>44</v>
      </c>
      <c r="AC1058" s="4">
        <v>6.3780324300000002</v>
      </c>
      <c r="AD1058" s="4">
        <v>6.19884653</v>
      </c>
      <c r="AE1058" s="2">
        <v>6.38</v>
      </c>
      <c r="AF1058" s="4">
        <v>6.19884653</v>
      </c>
      <c r="AG1058" s="2">
        <v>2.86</v>
      </c>
      <c r="AH1058" s="2">
        <v>1004740.06</v>
      </c>
      <c r="AI1058" s="2">
        <v>0</v>
      </c>
      <c r="AJ1058" s="5">
        <v>44673</v>
      </c>
      <c r="AK1058" t="s">
        <v>11985</v>
      </c>
      <c r="AL1058" s="2">
        <v>6.28</v>
      </c>
      <c r="AM1058" s="2">
        <v>6.45</v>
      </c>
      <c r="AN1058" s="2">
        <v>0.88</v>
      </c>
      <c r="AO1058" t="s">
        <v>11036</v>
      </c>
      <c r="AP1058" t="s">
        <v>44</v>
      </c>
      <c r="AQ1058" t="s">
        <v>12850</v>
      </c>
    </row>
    <row r="1059" spans="1:43" x14ac:dyDescent="0.2">
      <c r="A1059" t="s">
        <v>11984</v>
      </c>
      <c r="B1059" t="s">
        <v>11038</v>
      </c>
      <c r="C1059" t="s">
        <v>11039</v>
      </c>
      <c r="D1059" t="s">
        <v>12851</v>
      </c>
      <c r="E1059" t="s">
        <v>12852</v>
      </c>
      <c r="F1059" t="s">
        <v>12851</v>
      </c>
      <c r="G1059" s="1">
        <v>3000000</v>
      </c>
      <c r="H1059" s="2">
        <v>3000000</v>
      </c>
      <c r="I1059" s="2">
        <v>3001613.35</v>
      </c>
      <c r="J1059" s="2">
        <v>13253.42</v>
      </c>
      <c r="K1059" s="2">
        <v>0</v>
      </c>
      <c r="L1059" s="2">
        <v>3014866.77</v>
      </c>
      <c r="M1059" s="3">
        <v>6.3581700000000003</v>
      </c>
      <c r="N1059" s="4">
        <v>6.8591499999999996E-3</v>
      </c>
      <c r="O1059" s="5">
        <v>45014</v>
      </c>
      <c r="P1059" s="5">
        <v>45014</v>
      </c>
      <c r="Q1059" s="1">
        <v>6.45</v>
      </c>
      <c r="R1059" s="2">
        <v>0.93</v>
      </c>
      <c r="S1059" s="6">
        <v>0.87453611228999995</v>
      </c>
      <c r="T1059" t="s">
        <v>111</v>
      </c>
      <c r="U1059" t="s">
        <v>11040</v>
      </c>
      <c r="V1059" t="s">
        <v>11041</v>
      </c>
      <c r="W1059" t="s">
        <v>11979</v>
      </c>
      <c r="X1059" t="s">
        <v>11034</v>
      </c>
      <c r="Y1059" t="s">
        <v>44</v>
      </c>
      <c r="Z1059" t="s">
        <v>44</v>
      </c>
      <c r="AA1059" t="s">
        <v>11035</v>
      </c>
      <c r="AB1059" t="s">
        <v>44</v>
      </c>
      <c r="AC1059" s="4">
        <v>6.3728597300000001</v>
      </c>
      <c r="AD1059" s="4">
        <v>6.1939587400000002</v>
      </c>
      <c r="AE1059" s="2">
        <v>6.37</v>
      </c>
      <c r="AF1059" s="4">
        <v>6.1939587400000002</v>
      </c>
      <c r="AG1059" s="2">
        <v>8.57</v>
      </c>
      <c r="AH1059" s="2">
        <v>3014866.77</v>
      </c>
      <c r="AI1059" s="2">
        <v>0.01</v>
      </c>
      <c r="AJ1059" s="5">
        <v>44673</v>
      </c>
      <c r="AK1059" t="s">
        <v>11985</v>
      </c>
      <c r="AL1059" s="2">
        <v>6.27</v>
      </c>
      <c r="AM1059" s="2">
        <v>6.45</v>
      </c>
      <c r="AN1059" s="2">
        <v>0.87</v>
      </c>
      <c r="AO1059" t="s">
        <v>11036</v>
      </c>
      <c r="AP1059" t="s">
        <v>44</v>
      </c>
      <c r="AQ1059" t="s">
        <v>12852</v>
      </c>
    </row>
    <row r="1060" spans="1:43" x14ac:dyDescent="0.2">
      <c r="A1060" t="s">
        <v>11984</v>
      </c>
      <c r="B1060" t="s">
        <v>11038</v>
      </c>
      <c r="C1060" t="s">
        <v>11039</v>
      </c>
      <c r="D1060" t="s">
        <v>12002</v>
      </c>
      <c r="E1060" t="s">
        <v>12003</v>
      </c>
      <c r="F1060" t="s">
        <v>12002</v>
      </c>
      <c r="G1060" s="1">
        <v>3000000</v>
      </c>
      <c r="H1060" s="2">
        <v>3000000</v>
      </c>
      <c r="I1060" s="2">
        <v>2989349.31</v>
      </c>
      <c r="J1060" s="2">
        <v>24521.919999999998</v>
      </c>
      <c r="K1060" s="2">
        <v>0</v>
      </c>
      <c r="L1060" s="2">
        <v>3013871.23</v>
      </c>
      <c r="M1060" s="3">
        <v>6.2345059999999997</v>
      </c>
      <c r="N1060" s="4">
        <v>6.8568800000000001E-3</v>
      </c>
      <c r="O1060" s="5">
        <v>44988</v>
      </c>
      <c r="P1060" s="5">
        <v>44988</v>
      </c>
      <c r="Q1060" s="1">
        <v>5.85</v>
      </c>
      <c r="R1060" s="2">
        <v>0.85</v>
      </c>
      <c r="S1060" s="6">
        <v>0.81154546412999995</v>
      </c>
      <c r="T1060" t="s">
        <v>111</v>
      </c>
      <c r="U1060" t="s">
        <v>11040</v>
      </c>
      <c r="V1060" t="s">
        <v>11041</v>
      </c>
      <c r="W1060" t="s">
        <v>11979</v>
      </c>
      <c r="X1060" t="s">
        <v>11034</v>
      </c>
      <c r="Y1060" t="s">
        <v>44</v>
      </c>
      <c r="Z1060" t="s">
        <v>44</v>
      </c>
      <c r="AA1060" t="s">
        <v>10979</v>
      </c>
      <c r="AB1060" t="s">
        <v>44</v>
      </c>
      <c r="AC1060" s="4">
        <v>6.2623197900000003</v>
      </c>
      <c r="AD1060" s="4">
        <v>6.0894551400000001</v>
      </c>
      <c r="AE1060" s="2">
        <v>6.26</v>
      </c>
      <c r="AF1060" s="4">
        <v>6.0894551400000001</v>
      </c>
      <c r="AG1060" s="2">
        <v>8.57</v>
      </c>
      <c r="AH1060" s="2">
        <v>3013871.23</v>
      </c>
      <c r="AI1060" s="2">
        <v>0.01</v>
      </c>
      <c r="AJ1060" s="5">
        <v>44673</v>
      </c>
      <c r="AK1060" t="s">
        <v>11985</v>
      </c>
      <c r="AL1060" s="2">
        <v>6.17</v>
      </c>
      <c r="AM1060" s="2">
        <v>5.85</v>
      </c>
      <c r="AN1060" s="2">
        <v>0.81</v>
      </c>
      <c r="AO1060" t="s">
        <v>11179</v>
      </c>
      <c r="AP1060" t="s">
        <v>44</v>
      </c>
      <c r="AQ1060" t="s">
        <v>12003</v>
      </c>
    </row>
    <row r="1061" spans="1:43" x14ac:dyDescent="0.2">
      <c r="A1061" t="s">
        <v>11984</v>
      </c>
      <c r="B1061" t="s">
        <v>10951</v>
      </c>
      <c r="C1061" t="s">
        <v>10952</v>
      </c>
      <c r="D1061" t="s">
        <v>11028</v>
      </c>
      <c r="E1061" t="s">
        <v>11029</v>
      </c>
      <c r="F1061" t="s">
        <v>11028</v>
      </c>
      <c r="G1061" s="1">
        <v>1772530.0341</v>
      </c>
      <c r="H1061" s="2">
        <v>1771330.97</v>
      </c>
      <c r="I1061" s="2">
        <v>1774834.32</v>
      </c>
      <c r="J1061" s="2">
        <v>0</v>
      </c>
      <c r="K1061" s="2">
        <v>0</v>
      </c>
      <c r="L1061" s="2">
        <v>1774834.32</v>
      </c>
      <c r="M1061" s="3">
        <v>1.0013000000000001</v>
      </c>
      <c r="N1061" s="4">
        <v>4.0379400000000003E-3</v>
      </c>
      <c r="O1061" s="5" t="s">
        <v>44</v>
      </c>
      <c r="P1061" s="5" t="s">
        <v>44</v>
      </c>
      <c r="Q1061" s="1"/>
      <c r="R1061" s="2"/>
      <c r="S1061" s="6"/>
      <c r="T1061" t="s">
        <v>10902</v>
      </c>
      <c r="U1061" t="s">
        <v>10953</v>
      </c>
      <c r="V1061" t="s">
        <v>10954</v>
      </c>
      <c r="W1061" t="s">
        <v>43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s="4"/>
      <c r="AD1061" s="4"/>
      <c r="AE1061" s="2">
        <v>0</v>
      </c>
      <c r="AF1061" s="4">
        <v>0</v>
      </c>
      <c r="AG1061" s="2">
        <v>5.04</v>
      </c>
      <c r="AH1061" s="2">
        <v>1774834.32</v>
      </c>
      <c r="AI1061" s="2">
        <v>0</v>
      </c>
      <c r="AJ1061" s="5">
        <v>44673</v>
      </c>
      <c r="AK1061" t="s">
        <v>11985</v>
      </c>
      <c r="AL1061" s="2">
        <v>0</v>
      </c>
      <c r="AM1061" s="2">
        <v>0</v>
      </c>
      <c r="AN1061" s="2">
        <v>0</v>
      </c>
      <c r="AO1061" t="s">
        <v>44</v>
      </c>
      <c r="AP1061" t="s">
        <v>44</v>
      </c>
      <c r="AQ1061" t="s">
        <v>11029</v>
      </c>
    </row>
    <row r="1062" spans="1:43" x14ac:dyDescent="0.2">
      <c r="A1062" t="s">
        <v>11984</v>
      </c>
      <c r="B1062" t="s">
        <v>11030</v>
      </c>
      <c r="C1062" t="s">
        <v>11030</v>
      </c>
      <c r="D1062" t="s">
        <v>12004</v>
      </c>
      <c r="E1062" t="s">
        <v>11988</v>
      </c>
      <c r="F1062" t="s">
        <v>12004</v>
      </c>
      <c r="G1062" s="1">
        <v>889</v>
      </c>
      <c r="H1062" s="2"/>
      <c r="I1062" s="2">
        <v>0</v>
      </c>
      <c r="J1062" s="2"/>
      <c r="K1062" s="2"/>
      <c r="L1062" s="2">
        <v>0</v>
      </c>
      <c r="M1062" s="3"/>
      <c r="N1062" s="4">
        <v>0</v>
      </c>
      <c r="O1062" s="5" t="s">
        <v>44</v>
      </c>
      <c r="P1062" s="5" t="s">
        <v>44</v>
      </c>
      <c r="Q1062" s="1"/>
      <c r="R1062" s="2"/>
      <c r="S1062" s="6"/>
      <c r="T1062" t="s">
        <v>11031</v>
      </c>
      <c r="U1062" t="s">
        <v>11032</v>
      </c>
      <c r="V1062" t="s">
        <v>45</v>
      </c>
      <c r="W1062" t="s">
        <v>43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s="4"/>
      <c r="AD1062" s="4"/>
      <c r="AE1062" s="2">
        <v>0</v>
      </c>
      <c r="AF1062" s="4">
        <v>0</v>
      </c>
      <c r="AG1062" s="2">
        <v>0</v>
      </c>
      <c r="AH1062" s="2">
        <v>-599479.37</v>
      </c>
      <c r="AI1062" s="2">
        <v>0</v>
      </c>
      <c r="AJ1062" s="5">
        <v>44673</v>
      </c>
      <c r="AK1062" t="s">
        <v>11985</v>
      </c>
      <c r="AL1062" s="2">
        <v>0</v>
      </c>
      <c r="AM1062" s="2">
        <v>0</v>
      </c>
      <c r="AN1062" s="2">
        <v>0</v>
      </c>
      <c r="AO1062" t="s">
        <v>44</v>
      </c>
      <c r="AP1062" t="s">
        <v>44</v>
      </c>
      <c r="AQ1062" t="s">
        <v>11182</v>
      </c>
    </row>
    <row r="1063" spans="1:43" x14ac:dyDescent="0.2">
      <c r="A1063" t="s">
        <v>11984</v>
      </c>
      <c r="B1063" t="s">
        <v>11030</v>
      </c>
      <c r="C1063" t="s">
        <v>11030</v>
      </c>
      <c r="D1063" t="s">
        <v>12005</v>
      </c>
      <c r="E1063" t="s">
        <v>11990</v>
      </c>
      <c r="F1063" t="s">
        <v>12005</v>
      </c>
      <c r="G1063" s="1">
        <v>5041</v>
      </c>
      <c r="H1063" s="2"/>
      <c r="I1063" s="2">
        <v>0</v>
      </c>
      <c r="J1063" s="2"/>
      <c r="K1063" s="2"/>
      <c r="L1063" s="2">
        <v>0</v>
      </c>
      <c r="M1063" s="3"/>
      <c r="N1063" s="4">
        <v>0</v>
      </c>
      <c r="O1063" s="5" t="s">
        <v>44</v>
      </c>
      <c r="P1063" s="5" t="s">
        <v>44</v>
      </c>
      <c r="Q1063" s="1"/>
      <c r="R1063" s="2"/>
      <c r="S1063" s="6"/>
      <c r="T1063" t="s">
        <v>11031</v>
      </c>
      <c r="U1063" t="s">
        <v>11032</v>
      </c>
      <c r="V1063" t="s">
        <v>45</v>
      </c>
      <c r="W1063" t="s">
        <v>43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s="4"/>
      <c r="AD1063" s="4"/>
      <c r="AE1063" s="2">
        <v>0</v>
      </c>
      <c r="AF1063" s="4">
        <v>0</v>
      </c>
      <c r="AG1063" s="2">
        <v>0</v>
      </c>
      <c r="AH1063" s="2">
        <v>-3401364.34</v>
      </c>
      <c r="AI1063" s="2">
        <v>-0.01</v>
      </c>
      <c r="AJ1063" s="5">
        <v>44673</v>
      </c>
      <c r="AK1063" t="s">
        <v>11985</v>
      </c>
      <c r="AL1063" s="2">
        <v>0</v>
      </c>
      <c r="AM1063" s="2">
        <v>0</v>
      </c>
      <c r="AN1063" s="2">
        <v>0</v>
      </c>
      <c r="AO1063" t="s">
        <v>44</v>
      </c>
      <c r="AP1063" t="s">
        <v>44</v>
      </c>
      <c r="AQ1063" t="s">
        <v>11182</v>
      </c>
    </row>
    <row r="1064" spans="1:43" x14ac:dyDescent="0.2">
      <c r="A1064" t="s">
        <v>11984</v>
      </c>
      <c r="B1064" t="s">
        <v>11030</v>
      </c>
      <c r="C1064" t="s">
        <v>11030</v>
      </c>
      <c r="D1064" t="s">
        <v>12006</v>
      </c>
      <c r="E1064" t="s">
        <v>11992</v>
      </c>
      <c r="F1064" t="s">
        <v>12006</v>
      </c>
      <c r="G1064" s="1">
        <v>591</v>
      </c>
      <c r="H1064" s="2"/>
      <c r="I1064" s="2">
        <v>0</v>
      </c>
      <c r="J1064" s="2"/>
      <c r="K1064" s="2"/>
      <c r="L1064" s="2">
        <v>0</v>
      </c>
      <c r="M1064" s="3"/>
      <c r="N1064" s="4">
        <v>0</v>
      </c>
      <c r="O1064" s="5" t="s">
        <v>44</v>
      </c>
      <c r="P1064" s="5" t="s">
        <v>44</v>
      </c>
      <c r="Q1064" s="1"/>
      <c r="R1064" s="2"/>
      <c r="S1064" s="6"/>
      <c r="T1064" t="s">
        <v>11031</v>
      </c>
      <c r="U1064" t="s">
        <v>11032</v>
      </c>
      <c r="V1064" t="s">
        <v>45</v>
      </c>
      <c r="W1064" t="s">
        <v>43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s="4"/>
      <c r="AD1064" s="4"/>
      <c r="AE1064" s="2">
        <v>0</v>
      </c>
      <c r="AF1064" s="4">
        <v>0</v>
      </c>
      <c r="AG1064" s="2">
        <v>0</v>
      </c>
      <c r="AH1064" s="2">
        <v>-755558.04</v>
      </c>
      <c r="AI1064" s="2">
        <v>0</v>
      </c>
      <c r="AJ1064" s="5">
        <v>44673</v>
      </c>
      <c r="AK1064" t="s">
        <v>11985</v>
      </c>
      <c r="AL1064" s="2">
        <v>0</v>
      </c>
      <c r="AM1064" s="2">
        <v>0</v>
      </c>
      <c r="AN1064" s="2">
        <v>0</v>
      </c>
      <c r="AO1064" t="s">
        <v>44</v>
      </c>
      <c r="AP1064" t="s">
        <v>44</v>
      </c>
      <c r="AQ1064" t="s">
        <v>11182</v>
      </c>
    </row>
    <row r="1065" spans="1:43" x14ac:dyDescent="0.2">
      <c r="A1065" t="s">
        <v>11984</v>
      </c>
      <c r="B1065" t="s">
        <v>11030</v>
      </c>
      <c r="C1065" t="s">
        <v>11030</v>
      </c>
      <c r="D1065" t="s">
        <v>12007</v>
      </c>
      <c r="E1065" t="s">
        <v>11994</v>
      </c>
      <c r="F1065" t="s">
        <v>12007</v>
      </c>
      <c r="G1065" s="1">
        <v>3349</v>
      </c>
      <c r="H1065" s="2"/>
      <c r="I1065" s="2">
        <v>0</v>
      </c>
      <c r="J1065" s="2"/>
      <c r="K1065" s="2"/>
      <c r="L1065" s="2">
        <v>0</v>
      </c>
      <c r="M1065" s="3"/>
      <c r="N1065" s="4">
        <v>0</v>
      </c>
      <c r="O1065" s="5" t="s">
        <v>44</v>
      </c>
      <c r="P1065" s="5" t="s">
        <v>44</v>
      </c>
      <c r="Q1065" s="1"/>
      <c r="R1065" s="2"/>
      <c r="S1065" s="6"/>
      <c r="T1065" t="s">
        <v>11031</v>
      </c>
      <c r="U1065" t="s">
        <v>11032</v>
      </c>
      <c r="V1065" t="s">
        <v>45</v>
      </c>
      <c r="W1065" t="s">
        <v>43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s="4"/>
      <c r="AD1065" s="4"/>
      <c r="AE1065" s="2">
        <v>0</v>
      </c>
      <c r="AF1065" s="4">
        <v>0</v>
      </c>
      <c r="AG1065" s="2">
        <v>0</v>
      </c>
      <c r="AH1065" s="2">
        <v>-4281495.5599999996</v>
      </c>
      <c r="AI1065" s="2">
        <v>-0.01</v>
      </c>
      <c r="AJ1065" s="5">
        <v>44673</v>
      </c>
      <c r="AK1065" t="s">
        <v>11985</v>
      </c>
      <c r="AL1065" s="2">
        <v>0</v>
      </c>
      <c r="AM1065" s="2">
        <v>0</v>
      </c>
      <c r="AN1065" s="2">
        <v>0</v>
      </c>
      <c r="AO1065" t="s">
        <v>44</v>
      </c>
      <c r="AP1065" t="s">
        <v>44</v>
      </c>
      <c r="AQ1065" t="s">
        <v>11182</v>
      </c>
    </row>
    <row r="1066" spans="1:43" x14ac:dyDescent="0.2">
      <c r="A1066" t="s">
        <v>11984</v>
      </c>
      <c r="B1066" t="s">
        <v>11030</v>
      </c>
      <c r="C1066" t="s">
        <v>11030</v>
      </c>
      <c r="D1066" t="s">
        <v>11181</v>
      </c>
      <c r="E1066" t="s">
        <v>11151</v>
      </c>
      <c r="F1066" t="s">
        <v>11181</v>
      </c>
      <c r="G1066" s="1">
        <v>9</v>
      </c>
      <c r="H1066" s="2"/>
      <c r="I1066" s="2">
        <v>0</v>
      </c>
      <c r="J1066" s="2"/>
      <c r="K1066" s="2"/>
      <c r="L1066" s="2">
        <v>0</v>
      </c>
      <c r="M1066" s="3"/>
      <c r="N1066" s="4">
        <v>0</v>
      </c>
      <c r="O1066" s="5" t="s">
        <v>44</v>
      </c>
      <c r="P1066" s="5" t="s">
        <v>44</v>
      </c>
      <c r="Q1066" s="1"/>
      <c r="R1066" s="2"/>
      <c r="S1066" s="6"/>
      <c r="T1066" t="s">
        <v>11031</v>
      </c>
      <c r="U1066" t="s">
        <v>11032</v>
      </c>
      <c r="V1066" t="s">
        <v>45</v>
      </c>
      <c r="W1066" t="s">
        <v>43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s="4"/>
      <c r="AD1066" s="4"/>
      <c r="AE1066" s="2">
        <v>0</v>
      </c>
      <c r="AF1066" s="4">
        <v>0</v>
      </c>
      <c r="AG1066" s="2">
        <v>0</v>
      </c>
      <c r="AH1066" s="2">
        <v>-5913360</v>
      </c>
      <c r="AI1066" s="2">
        <v>-0.01</v>
      </c>
      <c r="AJ1066" s="5">
        <v>44673</v>
      </c>
      <c r="AK1066" t="s">
        <v>11985</v>
      </c>
      <c r="AL1066" s="2">
        <v>0</v>
      </c>
      <c r="AM1066" s="2">
        <v>0</v>
      </c>
      <c r="AN1066" s="2">
        <v>0</v>
      </c>
      <c r="AO1066" t="s">
        <v>44</v>
      </c>
      <c r="AP1066" t="s">
        <v>44</v>
      </c>
      <c r="AQ1066" t="s">
        <v>11182</v>
      </c>
    </row>
    <row r="1067" spans="1:43" x14ac:dyDescent="0.2">
      <c r="A1067" t="s">
        <v>11984</v>
      </c>
      <c r="B1067" t="s">
        <v>11030</v>
      </c>
      <c r="C1067" t="s">
        <v>11030</v>
      </c>
      <c r="D1067" t="s">
        <v>11775</v>
      </c>
      <c r="E1067" t="s">
        <v>11754</v>
      </c>
      <c r="F1067" t="s">
        <v>11775</v>
      </c>
      <c r="G1067" s="1">
        <v>24</v>
      </c>
      <c r="H1067" s="2"/>
      <c r="I1067" s="2">
        <v>0</v>
      </c>
      <c r="J1067" s="2"/>
      <c r="K1067" s="2"/>
      <c r="L1067" s="2">
        <v>0</v>
      </c>
      <c r="M1067" s="3"/>
      <c r="N1067" s="4">
        <v>0</v>
      </c>
      <c r="O1067" s="5" t="s">
        <v>44</v>
      </c>
      <c r="P1067" s="5" t="s">
        <v>44</v>
      </c>
      <c r="Q1067" s="1"/>
      <c r="R1067" s="2"/>
      <c r="S1067" s="6"/>
      <c r="T1067" t="s">
        <v>11031</v>
      </c>
      <c r="U1067" t="s">
        <v>11032</v>
      </c>
      <c r="V1067" t="s">
        <v>45</v>
      </c>
      <c r="W1067" t="s">
        <v>43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s="4"/>
      <c r="AD1067" s="4"/>
      <c r="AE1067" s="2">
        <v>0</v>
      </c>
      <c r="AF1067" s="4">
        <v>0</v>
      </c>
      <c r="AG1067" s="2">
        <v>0</v>
      </c>
      <c r="AH1067" s="2">
        <v>-4802880</v>
      </c>
      <c r="AI1067" s="2">
        <v>-0.01</v>
      </c>
      <c r="AJ1067" s="5">
        <v>44673</v>
      </c>
      <c r="AK1067" t="s">
        <v>11985</v>
      </c>
      <c r="AL1067" s="2">
        <v>0</v>
      </c>
      <c r="AM1067" s="2">
        <v>0</v>
      </c>
      <c r="AN1067" s="2">
        <v>0</v>
      </c>
      <c r="AO1067" t="s">
        <v>44</v>
      </c>
      <c r="AP1067" t="s">
        <v>44</v>
      </c>
      <c r="AQ1067" t="s">
        <v>11182</v>
      </c>
    </row>
    <row r="1068" spans="1:43" x14ac:dyDescent="0.2">
      <c r="A1068" t="s">
        <v>11984</v>
      </c>
      <c r="B1068" t="s">
        <v>11030</v>
      </c>
      <c r="C1068" t="s">
        <v>11030</v>
      </c>
      <c r="D1068" t="s">
        <v>12008</v>
      </c>
      <c r="E1068" t="s">
        <v>11987</v>
      </c>
      <c r="F1068" t="s">
        <v>12008</v>
      </c>
      <c r="G1068" s="1">
        <v>29</v>
      </c>
      <c r="H1068" s="2"/>
      <c r="I1068" s="2">
        <v>0</v>
      </c>
      <c r="J1068" s="2"/>
      <c r="K1068" s="2"/>
      <c r="L1068" s="2">
        <v>0</v>
      </c>
      <c r="M1068" s="3"/>
      <c r="N1068" s="4">
        <v>0</v>
      </c>
      <c r="O1068" s="5" t="s">
        <v>44</v>
      </c>
      <c r="P1068" s="5" t="s">
        <v>44</v>
      </c>
      <c r="Q1068" s="1"/>
      <c r="R1068" s="2"/>
      <c r="S1068" s="6"/>
      <c r="T1068" t="s">
        <v>11031</v>
      </c>
      <c r="U1068" t="s">
        <v>11032</v>
      </c>
      <c r="V1068" t="s">
        <v>11073</v>
      </c>
      <c r="W1068" t="s">
        <v>43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s="4"/>
      <c r="AD1068" s="4"/>
      <c r="AE1068" s="2">
        <v>0</v>
      </c>
      <c r="AF1068" s="4">
        <v>0</v>
      </c>
      <c r="AG1068" s="2">
        <v>0</v>
      </c>
      <c r="AH1068" s="2">
        <v>-2397695.9300000002</v>
      </c>
      <c r="AI1068" s="2">
        <v>-0.01</v>
      </c>
      <c r="AJ1068" s="5">
        <v>44673</v>
      </c>
      <c r="AK1068" t="s">
        <v>11985</v>
      </c>
      <c r="AL1068" s="2">
        <v>0</v>
      </c>
      <c r="AM1068" s="2">
        <v>0</v>
      </c>
      <c r="AN1068" s="2">
        <v>0</v>
      </c>
      <c r="AO1068" t="s">
        <v>44</v>
      </c>
      <c r="AP1068" t="s">
        <v>44</v>
      </c>
      <c r="AQ1068" t="s">
        <v>44</v>
      </c>
    </row>
    <row r="1069" spans="1:43" x14ac:dyDescent="0.2">
      <c r="A1069" t="s">
        <v>12009</v>
      </c>
      <c r="B1069" t="s">
        <v>45</v>
      </c>
      <c r="C1069" t="s">
        <v>47</v>
      </c>
      <c r="D1069" t="s">
        <v>11981</v>
      </c>
      <c r="E1069" t="s">
        <v>11982</v>
      </c>
      <c r="F1069" t="s">
        <v>11981</v>
      </c>
      <c r="G1069" s="1">
        <v>29815532.559999999</v>
      </c>
      <c r="H1069" s="2">
        <v>29815532.559999999</v>
      </c>
      <c r="I1069" s="2">
        <v>29815532.559999999</v>
      </c>
      <c r="J1069" s="2">
        <v>0</v>
      </c>
      <c r="K1069" s="2">
        <v>0</v>
      </c>
      <c r="L1069" s="2">
        <v>29815532.559999999</v>
      </c>
      <c r="M1069" s="3"/>
      <c r="N1069" s="4">
        <v>6.7833550000000006E-2</v>
      </c>
      <c r="O1069" s="5" t="s">
        <v>44</v>
      </c>
      <c r="P1069" s="5" t="s">
        <v>44</v>
      </c>
      <c r="Q1069" s="1"/>
      <c r="R1069" s="2">
        <v>0.08</v>
      </c>
      <c r="S1069" s="6"/>
      <c r="T1069" t="s">
        <v>45</v>
      </c>
      <c r="U1069" t="s">
        <v>53</v>
      </c>
      <c r="V1069" t="s">
        <v>44</v>
      </c>
      <c r="W1069" t="s">
        <v>11979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s="4"/>
      <c r="AD1069" s="4"/>
      <c r="AE1069" s="2">
        <v>0</v>
      </c>
      <c r="AF1069" s="4">
        <v>0</v>
      </c>
      <c r="AG1069" s="2">
        <v>3.15</v>
      </c>
      <c r="AH1069" s="2">
        <v>29815532.559999999</v>
      </c>
      <c r="AI1069" s="2">
        <v>7.0000000000000007E-2</v>
      </c>
      <c r="AJ1069" s="5">
        <v>44673</v>
      </c>
      <c r="AK1069" t="s">
        <v>12010</v>
      </c>
      <c r="AL1069" s="2">
        <v>0</v>
      </c>
      <c r="AM1069" s="2">
        <v>0</v>
      </c>
      <c r="AN1069" s="2">
        <v>0</v>
      </c>
      <c r="AO1069" t="s">
        <v>44</v>
      </c>
      <c r="AP1069" t="s">
        <v>44</v>
      </c>
      <c r="AQ1069" t="s">
        <v>11979</v>
      </c>
    </row>
    <row r="1070" spans="1:43" x14ac:dyDescent="0.2">
      <c r="A1070" t="s">
        <v>12009</v>
      </c>
      <c r="B1070" t="s">
        <v>45</v>
      </c>
      <c r="C1070" t="s">
        <v>11005</v>
      </c>
      <c r="D1070" t="s">
        <v>11009</v>
      </c>
      <c r="E1070" t="s">
        <v>11010</v>
      </c>
      <c r="F1070" t="s">
        <v>44</v>
      </c>
      <c r="G1070" s="1">
        <v>-1.54</v>
      </c>
      <c r="H1070" s="2">
        <v>-1.54</v>
      </c>
      <c r="I1070" s="2">
        <v>-1.54</v>
      </c>
      <c r="J1070" s="2">
        <v>0</v>
      </c>
      <c r="K1070" s="2"/>
      <c r="L1070" s="2">
        <v>-1.54</v>
      </c>
      <c r="M1070" s="3"/>
      <c r="N1070" s="4">
        <v>0</v>
      </c>
      <c r="O1070" s="5" t="s">
        <v>44</v>
      </c>
      <c r="P1070" s="5">
        <v>73051</v>
      </c>
      <c r="Q1070" s="1">
        <v>0</v>
      </c>
      <c r="R1070" s="2">
        <v>0.08</v>
      </c>
      <c r="S1070" s="6"/>
      <c r="T1070" t="s">
        <v>45</v>
      </c>
      <c r="U1070" t="s">
        <v>44</v>
      </c>
      <c r="V1070" t="s">
        <v>44</v>
      </c>
      <c r="W1070" t="s">
        <v>43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s="4">
        <v>5.1163389600000002</v>
      </c>
      <c r="AD1070" s="4">
        <v>5.0001424999999999</v>
      </c>
      <c r="AE1070" s="2">
        <v>5.12</v>
      </c>
      <c r="AF1070" s="4">
        <v>5.0001424999999999</v>
      </c>
      <c r="AG1070" s="2">
        <v>0</v>
      </c>
      <c r="AH1070" s="2">
        <v>-1.54</v>
      </c>
      <c r="AI1070" s="2">
        <v>0</v>
      </c>
      <c r="AJ1070" s="5">
        <v>44673</v>
      </c>
      <c r="AK1070" t="s">
        <v>12010</v>
      </c>
      <c r="AL1070" s="2">
        <v>5.05</v>
      </c>
      <c r="AM1070" s="2">
        <v>0</v>
      </c>
      <c r="AN1070" s="2">
        <v>0</v>
      </c>
      <c r="AO1070" t="s">
        <v>44</v>
      </c>
      <c r="AP1070" t="s">
        <v>44</v>
      </c>
      <c r="AQ1070" t="s">
        <v>44</v>
      </c>
    </row>
    <row r="1071" spans="1:43" x14ac:dyDescent="0.2">
      <c r="A1071" t="s">
        <v>12009</v>
      </c>
      <c r="B1071" t="s">
        <v>11013</v>
      </c>
      <c r="C1071" t="s">
        <v>11014</v>
      </c>
      <c r="D1071" t="s">
        <v>12011</v>
      </c>
      <c r="E1071" t="s">
        <v>12012</v>
      </c>
      <c r="F1071" t="s">
        <v>12011</v>
      </c>
      <c r="G1071" s="1">
        <v>915868790.93200004</v>
      </c>
      <c r="H1071" s="2">
        <v>915810611.74000001</v>
      </c>
      <c r="I1071" s="2">
        <v>916509899.09000003</v>
      </c>
      <c r="J1071" s="2">
        <v>0</v>
      </c>
      <c r="K1071" s="2">
        <v>0</v>
      </c>
      <c r="L1071" s="2">
        <v>916509899.09000003</v>
      </c>
      <c r="M1071" s="3">
        <v>1.0006999999999999</v>
      </c>
      <c r="N1071" s="4">
        <v>2.0851587</v>
      </c>
      <c r="O1071" s="5" t="s">
        <v>44</v>
      </c>
      <c r="P1071" s="5" t="s">
        <v>44</v>
      </c>
      <c r="Q1071" s="1"/>
      <c r="R1071" s="2"/>
      <c r="S1071" s="6"/>
      <c r="T1071" t="s">
        <v>10902</v>
      </c>
      <c r="U1071" t="s">
        <v>11003</v>
      </c>
      <c r="V1071" t="s">
        <v>11003</v>
      </c>
      <c r="W1071" t="s">
        <v>11979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s="4"/>
      <c r="AD1071" s="4"/>
      <c r="AE1071" s="2">
        <v>0</v>
      </c>
      <c r="AF1071" s="4">
        <v>0</v>
      </c>
      <c r="AG1071" s="2">
        <v>96.85</v>
      </c>
      <c r="AH1071" s="2">
        <v>916509899.09000003</v>
      </c>
      <c r="AI1071" s="2">
        <v>2.09</v>
      </c>
      <c r="AJ1071" s="5">
        <v>44673</v>
      </c>
      <c r="AK1071" t="s">
        <v>12010</v>
      </c>
      <c r="AL1071" s="2">
        <v>0</v>
      </c>
      <c r="AM1071" s="2">
        <v>0</v>
      </c>
      <c r="AN1071" s="2">
        <v>0</v>
      </c>
      <c r="AO1071" t="s">
        <v>44</v>
      </c>
      <c r="AP1071" t="s">
        <v>44</v>
      </c>
      <c r="AQ1071" t="s">
        <v>12012</v>
      </c>
    </row>
    <row r="1072" spans="1:43" x14ac:dyDescent="0.2">
      <c r="A1072" t="s">
        <v>12013</v>
      </c>
      <c r="B1072" t="s">
        <v>10900</v>
      </c>
      <c r="C1072" t="s">
        <v>11049</v>
      </c>
      <c r="D1072" t="s">
        <v>12014</v>
      </c>
      <c r="E1072" t="s">
        <v>12015</v>
      </c>
      <c r="F1072" t="s">
        <v>12014</v>
      </c>
      <c r="G1072" s="1">
        <v>42500000</v>
      </c>
      <c r="H1072" s="2">
        <v>42500614.68</v>
      </c>
      <c r="I1072" s="2">
        <v>42498440.25</v>
      </c>
      <c r="J1072" s="2">
        <v>455681.5</v>
      </c>
      <c r="K1072" s="2">
        <v>0</v>
      </c>
      <c r="L1072" s="2">
        <v>42954121.75</v>
      </c>
      <c r="M1072" s="3"/>
      <c r="N1072" s="4">
        <v>9.772525E-2</v>
      </c>
      <c r="O1072" s="5">
        <v>44699</v>
      </c>
      <c r="P1072" s="5">
        <v>44791</v>
      </c>
      <c r="Q1072" s="1">
        <v>6.125</v>
      </c>
      <c r="R1072" s="2">
        <v>0.25</v>
      </c>
      <c r="S1072" s="6">
        <v>0.24</v>
      </c>
      <c r="T1072" t="s">
        <v>111</v>
      </c>
      <c r="U1072" t="s">
        <v>111</v>
      </c>
      <c r="V1072" t="s">
        <v>11189</v>
      </c>
      <c r="W1072" t="s">
        <v>11979</v>
      </c>
      <c r="X1072" t="s">
        <v>11034</v>
      </c>
      <c r="Y1072" t="s">
        <v>44</v>
      </c>
      <c r="Z1072" t="s">
        <v>44</v>
      </c>
      <c r="AA1072" t="s">
        <v>11465</v>
      </c>
      <c r="AB1072" t="s">
        <v>44</v>
      </c>
      <c r="AC1072" s="4"/>
      <c r="AD1072" s="4"/>
      <c r="AE1072" s="2">
        <v>0</v>
      </c>
      <c r="AF1072" s="4">
        <v>0</v>
      </c>
      <c r="AG1072" s="2">
        <v>2.38</v>
      </c>
      <c r="AH1072" s="2">
        <v>42954121.75</v>
      </c>
      <c r="AI1072" s="2">
        <v>0.1</v>
      </c>
      <c r="AJ1072" s="5">
        <v>44673</v>
      </c>
      <c r="AK1072" t="s">
        <v>12016</v>
      </c>
      <c r="AL1072" s="2">
        <v>0</v>
      </c>
      <c r="AM1072" s="2">
        <v>6.12</v>
      </c>
      <c r="AN1072" s="2">
        <v>0.24</v>
      </c>
      <c r="AO1072" t="s">
        <v>11980</v>
      </c>
      <c r="AP1072" t="s">
        <v>12017</v>
      </c>
      <c r="AQ1072" t="s">
        <v>12018</v>
      </c>
    </row>
    <row r="1073" spans="1:43" x14ac:dyDescent="0.2">
      <c r="A1073" t="s">
        <v>12013</v>
      </c>
      <c r="B1073" t="s">
        <v>10900</v>
      </c>
      <c r="C1073" t="s">
        <v>11049</v>
      </c>
      <c r="D1073" t="s">
        <v>11916</v>
      </c>
      <c r="E1073" t="s">
        <v>11917</v>
      </c>
      <c r="F1073" t="s">
        <v>11916</v>
      </c>
      <c r="G1073" s="1">
        <v>5800000</v>
      </c>
      <c r="H1073" s="2">
        <v>5790620.2400000002</v>
      </c>
      <c r="I1073" s="2">
        <v>5787278.5300000003</v>
      </c>
      <c r="J1073" s="2">
        <v>28689.18</v>
      </c>
      <c r="K1073" s="2">
        <v>0</v>
      </c>
      <c r="L1073" s="2">
        <v>5815967.71</v>
      </c>
      <c r="M1073" s="3">
        <v>5.6016830000000004</v>
      </c>
      <c r="N1073" s="4">
        <v>1.3231949999999999E-2</v>
      </c>
      <c r="O1073" s="5">
        <v>44732</v>
      </c>
      <c r="P1073" s="5">
        <v>44824</v>
      </c>
      <c r="Q1073" s="1">
        <v>5.6420000000000003</v>
      </c>
      <c r="R1073" s="2">
        <v>0.15</v>
      </c>
      <c r="S1073" s="6">
        <v>0.14281421501899999</v>
      </c>
      <c r="T1073" t="s">
        <v>111</v>
      </c>
      <c r="U1073" t="s">
        <v>111</v>
      </c>
      <c r="V1073" t="s">
        <v>11189</v>
      </c>
      <c r="W1073" t="s">
        <v>43</v>
      </c>
      <c r="X1073" t="s">
        <v>11034</v>
      </c>
      <c r="Y1073" t="s">
        <v>44</v>
      </c>
      <c r="Z1073" t="s">
        <v>44</v>
      </c>
      <c r="AA1073" t="s">
        <v>10979</v>
      </c>
      <c r="AB1073" t="s">
        <v>44</v>
      </c>
      <c r="AC1073" s="4">
        <v>5.6801300100000001</v>
      </c>
      <c r="AD1073" s="4">
        <v>5.5374074699999998</v>
      </c>
      <c r="AE1073" s="2">
        <v>5.68</v>
      </c>
      <c r="AF1073" s="4">
        <v>5.5374074699999998</v>
      </c>
      <c r="AG1073" s="2">
        <v>0.32</v>
      </c>
      <c r="AH1073" s="2">
        <v>5815967.71</v>
      </c>
      <c r="AI1073" s="2">
        <v>0.01</v>
      </c>
      <c r="AJ1073" s="5">
        <v>44673</v>
      </c>
      <c r="AK1073" t="s">
        <v>12016</v>
      </c>
      <c r="AL1073" s="2">
        <v>5.6</v>
      </c>
      <c r="AM1073" s="2">
        <v>5.64</v>
      </c>
      <c r="AN1073" s="2">
        <v>0.14000000000000001</v>
      </c>
      <c r="AO1073" t="s">
        <v>10980</v>
      </c>
      <c r="AP1073" t="s">
        <v>11918</v>
      </c>
      <c r="AQ1073" t="s">
        <v>11917</v>
      </c>
    </row>
    <row r="1074" spans="1:43" x14ac:dyDescent="0.2">
      <c r="A1074" t="s">
        <v>12013</v>
      </c>
      <c r="B1074" t="s">
        <v>10900</v>
      </c>
      <c r="C1074" t="s">
        <v>11049</v>
      </c>
      <c r="D1074" t="s">
        <v>11800</v>
      </c>
      <c r="E1074" t="s">
        <v>11801</v>
      </c>
      <c r="F1074" t="s">
        <v>11800</v>
      </c>
      <c r="G1074" s="1">
        <v>5400000</v>
      </c>
      <c r="H1074" s="2">
        <v>5400000</v>
      </c>
      <c r="I1074" s="2">
        <v>5399836.9199999999</v>
      </c>
      <c r="J1074" s="2">
        <v>89773.15</v>
      </c>
      <c r="K1074" s="2">
        <v>0</v>
      </c>
      <c r="L1074" s="2">
        <v>5489610.0700000003</v>
      </c>
      <c r="M1074" s="3">
        <v>7.4</v>
      </c>
      <c r="N1074" s="4">
        <v>1.2489449999999999E-2</v>
      </c>
      <c r="O1074" s="5">
        <v>44592</v>
      </c>
      <c r="P1074" s="5">
        <v>44773</v>
      </c>
      <c r="Q1074" s="1">
        <v>7.4</v>
      </c>
      <c r="R1074" s="2">
        <v>0.27</v>
      </c>
      <c r="S1074" s="6">
        <v>0.26062797900000001</v>
      </c>
      <c r="T1074" t="s">
        <v>111</v>
      </c>
      <c r="U1074" t="s">
        <v>111</v>
      </c>
      <c r="V1074" t="s">
        <v>114</v>
      </c>
      <c r="W1074" t="s">
        <v>43</v>
      </c>
      <c r="X1074" t="s">
        <v>10988</v>
      </c>
      <c r="Y1074" t="s">
        <v>44</v>
      </c>
      <c r="Z1074" t="s">
        <v>44</v>
      </c>
      <c r="AA1074" t="s">
        <v>10913</v>
      </c>
      <c r="AB1074" t="s">
        <v>44</v>
      </c>
      <c r="AC1074" s="4">
        <v>7.5369000000000002</v>
      </c>
      <c r="AD1074" s="4">
        <v>7.2884304699999998</v>
      </c>
      <c r="AE1074" s="2">
        <v>7.54</v>
      </c>
      <c r="AF1074" s="4">
        <v>7.2884304699999998</v>
      </c>
      <c r="AG1074" s="2">
        <v>0.3</v>
      </c>
      <c r="AH1074" s="2">
        <v>5489610.0700000003</v>
      </c>
      <c r="AI1074" s="2">
        <v>0.01</v>
      </c>
      <c r="AJ1074" s="5">
        <v>44673</v>
      </c>
      <c r="AK1074" t="s">
        <v>12016</v>
      </c>
      <c r="AL1074" s="2">
        <v>7.4</v>
      </c>
      <c r="AM1074" s="2">
        <v>7.4</v>
      </c>
      <c r="AN1074" s="2">
        <v>0.26</v>
      </c>
      <c r="AO1074" t="s">
        <v>10922</v>
      </c>
      <c r="AP1074" t="s">
        <v>11802</v>
      </c>
      <c r="AQ1074" t="s">
        <v>11801</v>
      </c>
    </row>
    <row r="1075" spans="1:43" x14ac:dyDescent="0.2">
      <c r="A1075" t="s">
        <v>12013</v>
      </c>
      <c r="B1075" t="s">
        <v>10900</v>
      </c>
      <c r="C1075" t="s">
        <v>11033</v>
      </c>
      <c r="D1075" t="s">
        <v>12019</v>
      </c>
      <c r="E1075" t="s">
        <v>12020</v>
      </c>
      <c r="F1075" t="s">
        <v>12019</v>
      </c>
      <c r="G1075" s="1">
        <v>42500000</v>
      </c>
      <c r="H1075" s="2">
        <v>41673825.909999996</v>
      </c>
      <c r="I1075" s="2">
        <v>41523813.25</v>
      </c>
      <c r="J1075" s="2">
        <v>836632.88</v>
      </c>
      <c r="K1075" s="2">
        <v>0</v>
      </c>
      <c r="L1075" s="2">
        <v>42360446.130000003</v>
      </c>
      <c r="M1075" s="3"/>
      <c r="N1075" s="4">
        <v>9.6374580000000001E-2</v>
      </c>
      <c r="O1075" s="5">
        <v>44714</v>
      </c>
      <c r="P1075" s="5">
        <v>45262</v>
      </c>
      <c r="Q1075" s="1">
        <v>5.0599999999999996</v>
      </c>
      <c r="R1075" s="2"/>
      <c r="S1075" s="6"/>
      <c r="T1075" t="s">
        <v>111</v>
      </c>
      <c r="U1075" t="s">
        <v>111</v>
      </c>
      <c r="V1075" t="s">
        <v>10944</v>
      </c>
      <c r="W1075" t="s">
        <v>11979</v>
      </c>
      <c r="X1075" t="s">
        <v>44</v>
      </c>
      <c r="Y1075" t="s">
        <v>44</v>
      </c>
      <c r="Z1075" t="s">
        <v>44</v>
      </c>
      <c r="AA1075" t="s">
        <v>11465</v>
      </c>
      <c r="AB1075" t="s">
        <v>44</v>
      </c>
      <c r="AC1075" s="4"/>
      <c r="AD1075" s="4"/>
      <c r="AE1075" s="2">
        <v>0</v>
      </c>
      <c r="AF1075" s="4">
        <v>0</v>
      </c>
      <c r="AG1075" s="2">
        <v>2.34</v>
      </c>
      <c r="AH1075" s="2">
        <v>42360446.130000003</v>
      </c>
      <c r="AI1075" s="2">
        <v>0.1</v>
      </c>
      <c r="AJ1075" s="5">
        <v>44673</v>
      </c>
      <c r="AK1075" t="s">
        <v>12016</v>
      </c>
      <c r="AL1075" s="2">
        <v>0</v>
      </c>
      <c r="AM1075" s="2">
        <v>5.0599999999999996</v>
      </c>
      <c r="AN1075" s="2">
        <v>0</v>
      </c>
      <c r="AO1075" t="s">
        <v>11980</v>
      </c>
      <c r="AP1075" t="s">
        <v>12021</v>
      </c>
      <c r="AQ1075" t="s">
        <v>12020</v>
      </c>
    </row>
    <row r="1076" spans="1:43" x14ac:dyDescent="0.2">
      <c r="A1076" t="s">
        <v>12013</v>
      </c>
      <c r="B1076" t="s">
        <v>10900</v>
      </c>
      <c r="C1076" t="s">
        <v>11033</v>
      </c>
      <c r="D1076" t="s">
        <v>12022</v>
      </c>
      <c r="E1076" t="s">
        <v>12023</v>
      </c>
      <c r="F1076" t="s">
        <v>12022</v>
      </c>
      <c r="G1076" s="1">
        <v>41500000</v>
      </c>
      <c r="H1076" s="2">
        <v>41492628.380000003</v>
      </c>
      <c r="I1076" s="2">
        <v>41490330.5</v>
      </c>
      <c r="J1076" s="2">
        <v>305490.03999999998</v>
      </c>
      <c r="K1076" s="2">
        <v>0</v>
      </c>
      <c r="L1076" s="2">
        <v>41795820.539999999</v>
      </c>
      <c r="M1076" s="3"/>
      <c r="N1076" s="4">
        <v>9.5089989999999999E-2</v>
      </c>
      <c r="O1076" s="5">
        <v>44714</v>
      </c>
      <c r="P1076" s="5">
        <v>45264</v>
      </c>
      <c r="Q1076" s="1">
        <v>5.1669999999999998</v>
      </c>
      <c r="R1076" s="2"/>
      <c r="S1076" s="6"/>
      <c r="T1076" t="s">
        <v>111</v>
      </c>
      <c r="U1076" t="s">
        <v>111</v>
      </c>
      <c r="V1076" t="s">
        <v>11189</v>
      </c>
      <c r="W1076" t="s">
        <v>11979</v>
      </c>
      <c r="X1076" t="s">
        <v>11034</v>
      </c>
      <c r="Y1076" t="s">
        <v>44</v>
      </c>
      <c r="Z1076" t="s">
        <v>44</v>
      </c>
      <c r="AA1076" t="s">
        <v>11465</v>
      </c>
      <c r="AB1076" t="s">
        <v>44</v>
      </c>
      <c r="AC1076" s="4"/>
      <c r="AD1076" s="4"/>
      <c r="AE1076" s="2">
        <v>0</v>
      </c>
      <c r="AF1076" s="4">
        <v>0</v>
      </c>
      <c r="AG1076" s="2">
        <v>2.31</v>
      </c>
      <c r="AH1076" s="2">
        <v>41795820.539999999</v>
      </c>
      <c r="AI1076" s="2">
        <v>0.1</v>
      </c>
      <c r="AJ1076" s="5">
        <v>44673</v>
      </c>
      <c r="AK1076" t="s">
        <v>12016</v>
      </c>
      <c r="AL1076" s="2">
        <v>0</v>
      </c>
      <c r="AM1076" s="2">
        <v>5.17</v>
      </c>
      <c r="AN1076" s="2">
        <v>0</v>
      </c>
      <c r="AO1076" t="s">
        <v>11980</v>
      </c>
      <c r="AP1076" t="s">
        <v>12024</v>
      </c>
      <c r="AQ1076" t="s">
        <v>12023</v>
      </c>
    </row>
    <row r="1077" spans="1:43" x14ac:dyDescent="0.2">
      <c r="A1077" t="s">
        <v>12013</v>
      </c>
      <c r="B1077" t="s">
        <v>10900</v>
      </c>
      <c r="C1077" t="s">
        <v>11033</v>
      </c>
      <c r="D1077" t="s">
        <v>12025</v>
      </c>
      <c r="E1077" t="s">
        <v>12026</v>
      </c>
      <c r="F1077" t="s">
        <v>12025</v>
      </c>
      <c r="G1077" s="1">
        <v>42500000</v>
      </c>
      <c r="H1077" s="2">
        <v>42488559.289999999</v>
      </c>
      <c r="I1077" s="2">
        <v>42497110</v>
      </c>
      <c r="J1077" s="2">
        <v>163954.51999999999</v>
      </c>
      <c r="K1077" s="2">
        <v>0</v>
      </c>
      <c r="L1077" s="2">
        <v>42661064.520000003</v>
      </c>
      <c r="M1077" s="3"/>
      <c r="N1077" s="4">
        <v>9.7058510000000001E-2</v>
      </c>
      <c r="O1077" s="5">
        <v>44742</v>
      </c>
      <c r="P1077" s="5">
        <v>45565</v>
      </c>
      <c r="Q1077" s="1">
        <v>5.867</v>
      </c>
      <c r="R1077" s="2">
        <v>0.12</v>
      </c>
      <c r="S1077" s="6">
        <v>0.11</v>
      </c>
      <c r="T1077" t="s">
        <v>111</v>
      </c>
      <c r="U1077" t="s">
        <v>111</v>
      </c>
      <c r="V1077" t="s">
        <v>11189</v>
      </c>
      <c r="W1077" t="s">
        <v>11979</v>
      </c>
      <c r="X1077" t="s">
        <v>11034</v>
      </c>
      <c r="Y1077" t="s">
        <v>44</v>
      </c>
      <c r="Z1077" t="s">
        <v>44</v>
      </c>
      <c r="AA1077" t="s">
        <v>11465</v>
      </c>
      <c r="AB1077" t="s">
        <v>44</v>
      </c>
      <c r="AC1077" s="4"/>
      <c r="AD1077" s="4"/>
      <c r="AE1077" s="2">
        <v>0</v>
      </c>
      <c r="AF1077" s="4">
        <v>0</v>
      </c>
      <c r="AG1077" s="2">
        <v>2.36</v>
      </c>
      <c r="AH1077" s="2">
        <v>42661064.520000003</v>
      </c>
      <c r="AI1077" s="2">
        <v>0.1</v>
      </c>
      <c r="AJ1077" s="5">
        <v>44673</v>
      </c>
      <c r="AK1077" t="s">
        <v>12016</v>
      </c>
      <c r="AL1077" s="2">
        <v>0</v>
      </c>
      <c r="AM1077" s="2">
        <v>5.87</v>
      </c>
      <c r="AN1077" s="2">
        <v>0.11</v>
      </c>
      <c r="AO1077" t="s">
        <v>11980</v>
      </c>
      <c r="AP1077" t="s">
        <v>12027</v>
      </c>
      <c r="AQ1077" t="s">
        <v>12026</v>
      </c>
    </row>
    <row r="1078" spans="1:43" x14ac:dyDescent="0.2">
      <c r="A1078" t="s">
        <v>12013</v>
      </c>
      <c r="B1078" t="s">
        <v>10900</v>
      </c>
      <c r="C1078" t="s">
        <v>11033</v>
      </c>
      <c r="D1078" t="s">
        <v>12028</v>
      </c>
      <c r="E1078" t="s">
        <v>12029</v>
      </c>
      <c r="F1078" t="s">
        <v>12028</v>
      </c>
      <c r="G1078" s="1">
        <v>136500000</v>
      </c>
      <c r="H1078" s="2">
        <v>137436868.81</v>
      </c>
      <c r="I1078" s="2">
        <v>137431274.38999999</v>
      </c>
      <c r="J1078" s="2">
        <v>944374.32</v>
      </c>
      <c r="K1078" s="2">
        <v>0</v>
      </c>
      <c r="L1078" s="2">
        <v>138375648.71000001</v>
      </c>
      <c r="M1078" s="3">
        <v>6.0053489999999998</v>
      </c>
      <c r="N1078" s="4">
        <v>0.31481949999999997</v>
      </c>
      <c r="O1078" s="5">
        <v>44727</v>
      </c>
      <c r="P1078" s="5">
        <v>45275</v>
      </c>
      <c r="Q1078" s="1">
        <v>6.4749999999999996</v>
      </c>
      <c r="R1078" s="2">
        <v>0.14000000000000001</v>
      </c>
      <c r="S1078" s="6">
        <v>0.119761591268</v>
      </c>
      <c r="T1078" t="s">
        <v>111</v>
      </c>
      <c r="U1078" t="s">
        <v>111</v>
      </c>
      <c r="V1078" t="s">
        <v>114</v>
      </c>
      <c r="W1078" t="s">
        <v>43</v>
      </c>
      <c r="X1078" t="s">
        <v>10988</v>
      </c>
      <c r="Y1078" t="s">
        <v>44</v>
      </c>
      <c r="Z1078" t="s">
        <v>44</v>
      </c>
      <c r="AA1078" t="s">
        <v>10979</v>
      </c>
      <c r="AB1078" t="s">
        <v>44</v>
      </c>
      <c r="AC1078" s="4">
        <v>6.0955099099999996</v>
      </c>
      <c r="AD1078" s="4">
        <v>5.93156558</v>
      </c>
      <c r="AE1078" s="2">
        <v>6.1</v>
      </c>
      <c r="AF1078" s="4">
        <v>5.93156558</v>
      </c>
      <c r="AG1078" s="2">
        <v>7.65</v>
      </c>
      <c r="AH1078" s="2">
        <v>138375648.71000001</v>
      </c>
      <c r="AI1078" s="2">
        <v>0.31</v>
      </c>
      <c r="AJ1078" s="5">
        <v>44673</v>
      </c>
      <c r="AK1078" t="s">
        <v>12016</v>
      </c>
      <c r="AL1078" s="2">
        <v>6.01</v>
      </c>
      <c r="AM1078" s="2">
        <v>6.47</v>
      </c>
      <c r="AN1078" s="2">
        <v>0.12</v>
      </c>
      <c r="AO1078" t="s">
        <v>11983</v>
      </c>
      <c r="AP1078" t="s">
        <v>12030</v>
      </c>
      <c r="AQ1078" t="s">
        <v>12029</v>
      </c>
    </row>
    <row r="1079" spans="1:43" x14ac:dyDescent="0.2">
      <c r="A1079" t="s">
        <v>12013</v>
      </c>
      <c r="B1079" t="s">
        <v>10900</v>
      </c>
      <c r="C1079" t="s">
        <v>11033</v>
      </c>
      <c r="D1079" t="s">
        <v>12031</v>
      </c>
      <c r="E1079" t="s">
        <v>12032</v>
      </c>
      <c r="F1079" t="s">
        <v>12031</v>
      </c>
      <c r="G1079" s="1">
        <v>72800000</v>
      </c>
      <c r="H1079" s="2">
        <v>74712572.980000004</v>
      </c>
      <c r="I1079" s="2">
        <v>74731806.239999995</v>
      </c>
      <c r="J1079" s="2">
        <v>141212.04999999999</v>
      </c>
      <c r="K1079" s="2">
        <v>0</v>
      </c>
      <c r="L1079" s="2">
        <v>74873018.290000007</v>
      </c>
      <c r="M1079" s="3"/>
      <c r="N1079" s="4">
        <v>0.17034418000000001</v>
      </c>
      <c r="O1079" s="5">
        <v>44851</v>
      </c>
      <c r="P1079" s="5">
        <v>45214</v>
      </c>
      <c r="Q1079" s="1">
        <v>8.85</v>
      </c>
      <c r="R1079" s="2">
        <v>3.02</v>
      </c>
      <c r="S1079" s="6">
        <v>2.93</v>
      </c>
      <c r="T1079" t="s">
        <v>111</v>
      </c>
      <c r="U1079" t="s">
        <v>111</v>
      </c>
      <c r="V1079" t="s">
        <v>10944</v>
      </c>
      <c r="W1079" t="s">
        <v>11979</v>
      </c>
      <c r="X1079" t="s">
        <v>44</v>
      </c>
      <c r="Y1079" t="s">
        <v>44</v>
      </c>
      <c r="Z1079" t="s">
        <v>44</v>
      </c>
      <c r="AA1079" t="s">
        <v>10979</v>
      </c>
      <c r="AB1079" t="s">
        <v>44</v>
      </c>
      <c r="AC1079" s="4"/>
      <c r="AD1079" s="4"/>
      <c r="AE1079" s="2">
        <v>0</v>
      </c>
      <c r="AF1079" s="4">
        <v>0</v>
      </c>
      <c r="AG1079" s="2">
        <v>4.1399999999999997</v>
      </c>
      <c r="AH1079" s="2">
        <v>74873018.290000007</v>
      </c>
      <c r="AI1079" s="2">
        <v>0.17</v>
      </c>
      <c r="AJ1079" s="5">
        <v>44673</v>
      </c>
      <c r="AK1079" t="s">
        <v>12016</v>
      </c>
      <c r="AL1079" s="2">
        <v>0</v>
      </c>
      <c r="AM1079" s="2">
        <v>8.85</v>
      </c>
      <c r="AN1079" s="2">
        <v>2.93</v>
      </c>
      <c r="AO1079" t="s">
        <v>11983</v>
      </c>
      <c r="AP1079" t="s">
        <v>12033</v>
      </c>
      <c r="AQ1079" t="s">
        <v>12032</v>
      </c>
    </row>
    <row r="1080" spans="1:43" x14ac:dyDescent="0.2">
      <c r="A1080" t="s">
        <v>12013</v>
      </c>
      <c r="B1080" t="s">
        <v>10900</v>
      </c>
      <c r="C1080" t="s">
        <v>11033</v>
      </c>
      <c r="D1080" t="s">
        <v>12982</v>
      </c>
      <c r="E1080" t="s">
        <v>12983</v>
      </c>
      <c r="F1080" t="s">
        <v>12982</v>
      </c>
      <c r="G1080" s="1">
        <v>21900000</v>
      </c>
      <c r="H1080" s="2">
        <v>21900000</v>
      </c>
      <c r="I1080" s="2">
        <v>22827372.539999999</v>
      </c>
      <c r="J1080" s="2">
        <v>281021.40000000002</v>
      </c>
      <c r="K1080" s="2">
        <v>0</v>
      </c>
      <c r="L1080" s="2">
        <v>23108393.940000001</v>
      </c>
      <c r="M1080" s="3">
        <v>6.0747210000000003</v>
      </c>
      <c r="N1080" s="4">
        <v>5.2574080000000002E-2</v>
      </c>
      <c r="O1080" s="5">
        <v>44706</v>
      </c>
      <c r="P1080" s="5">
        <v>45439</v>
      </c>
      <c r="Q1080" s="1">
        <v>8.2170000000000005</v>
      </c>
      <c r="R1080" s="2">
        <v>0.08</v>
      </c>
      <c r="S1080" s="6">
        <v>9.4979191527000004E-2</v>
      </c>
      <c r="T1080" t="s">
        <v>111</v>
      </c>
      <c r="U1080" t="s">
        <v>111</v>
      </c>
      <c r="V1080" t="s">
        <v>11189</v>
      </c>
      <c r="W1080" t="s">
        <v>43</v>
      </c>
      <c r="X1080" t="s">
        <v>11034</v>
      </c>
      <c r="Y1080" t="s">
        <v>44</v>
      </c>
      <c r="Z1080" t="s">
        <v>44</v>
      </c>
      <c r="AA1080" t="s">
        <v>44</v>
      </c>
      <c r="AB1080" t="s">
        <v>44</v>
      </c>
      <c r="AC1080" s="4">
        <v>6.1669761000000003</v>
      </c>
      <c r="AD1080" s="4">
        <v>5.9992378899999999</v>
      </c>
      <c r="AE1080" s="2">
        <v>6.17</v>
      </c>
      <c r="AF1080" s="4">
        <v>5.9992378899999999</v>
      </c>
      <c r="AG1080" s="2">
        <v>1.28</v>
      </c>
      <c r="AH1080" s="2">
        <v>23108393.940000001</v>
      </c>
      <c r="AI1080" s="2">
        <v>0.05</v>
      </c>
      <c r="AJ1080" s="5">
        <v>44673</v>
      </c>
      <c r="AK1080" t="s">
        <v>12016</v>
      </c>
      <c r="AL1080" s="2">
        <v>6.07</v>
      </c>
      <c r="AM1080" s="2">
        <v>8.2200000000000006</v>
      </c>
      <c r="AN1080" s="2">
        <v>0.09</v>
      </c>
      <c r="AO1080" t="s">
        <v>12984</v>
      </c>
      <c r="AP1080" t="s">
        <v>12985</v>
      </c>
      <c r="AQ1080" t="s">
        <v>12983</v>
      </c>
    </row>
    <row r="1081" spans="1:43" x14ac:dyDescent="0.2">
      <c r="A1081" t="s">
        <v>12013</v>
      </c>
      <c r="B1081" t="s">
        <v>10900</v>
      </c>
      <c r="C1081" t="s">
        <v>11033</v>
      </c>
      <c r="D1081" t="s">
        <v>12034</v>
      </c>
      <c r="E1081" t="s">
        <v>12035</v>
      </c>
      <c r="F1081" t="s">
        <v>12034</v>
      </c>
      <c r="G1081" s="1">
        <v>22700000</v>
      </c>
      <c r="H1081" s="2">
        <v>22694293.129999999</v>
      </c>
      <c r="I1081" s="2">
        <v>22698510.879999999</v>
      </c>
      <c r="J1081" s="2">
        <v>258630.74</v>
      </c>
      <c r="K1081" s="2">
        <v>0</v>
      </c>
      <c r="L1081" s="2">
        <v>22957141.620000001</v>
      </c>
      <c r="M1081" s="3"/>
      <c r="N1081" s="4">
        <v>5.2229970000000001E-2</v>
      </c>
      <c r="O1081" s="5">
        <v>44677</v>
      </c>
      <c r="P1081" s="5">
        <v>45225</v>
      </c>
      <c r="Q1081" s="1">
        <v>4.78</v>
      </c>
      <c r="R1081" s="2"/>
      <c r="S1081" s="6"/>
      <c r="T1081" t="s">
        <v>111</v>
      </c>
      <c r="U1081" t="s">
        <v>111</v>
      </c>
      <c r="V1081" t="s">
        <v>11189</v>
      </c>
      <c r="W1081" t="s">
        <v>11979</v>
      </c>
      <c r="X1081" t="s">
        <v>11034</v>
      </c>
      <c r="Y1081" t="s">
        <v>44</v>
      </c>
      <c r="Z1081" t="s">
        <v>44</v>
      </c>
      <c r="AA1081" t="s">
        <v>10979</v>
      </c>
      <c r="AB1081" t="s">
        <v>44</v>
      </c>
      <c r="AC1081" s="4"/>
      <c r="AD1081" s="4"/>
      <c r="AE1081" s="2">
        <v>0</v>
      </c>
      <c r="AF1081" s="4">
        <v>0</v>
      </c>
      <c r="AG1081" s="2">
        <v>1.27</v>
      </c>
      <c r="AH1081" s="2">
        <v>22957141.620000001</v>
      </c>
      <c r="AI1081" s="2">
        <v>0.05</v>
      </c>
      <c r="AJ1081" s="5">
        <v>44673</v>
      </c>
      <c r="AK1081" t="s">
        <v>12016</v>
      </c>
      <c r="AL1081" s="2">
        <v>0</v>
      </c>
      <c r="AM1081" s="2">
        <v>4.78</v>
      </c>
      <c r="AN1081" s="2">
        <v>0</v>
      </c>
      <c r="AO1081" t="s">
        <v>11179</v>
      </c>
      <c r="AP1081" t="s">
        <v>12036</v>
      </c>
      <c r="AQ1081" t="s">
        <v>12035</v>
      </c>
    </row>
    <row r="1082" spans="1:43" x14ac:dyDescent="0.2">
      <c r="A1082" t="s">
        <v>12013</v>
      </c>
      <c r="B1082" t="s">
        <v>10900</v>
      </c>
      <c r="C1082" t="s">
        <v>11033</v>
      </c>
      <c r="D1082" t="s">
        <v>12037</v>
      </c>
      <c r="E1082" t="s">
        <v>12038</v>
      </c>
      <c r="F1082" t="s">
        <v>12037</v>
      </c>
      <c r="G1082" s="1">
        <v>22700000</v>
      </c>
      <c r="H1082" s="2">
        <v>22698990.620000001</v>
      </c>
      <c r="I1082" s="2">
        <v>22695680.190000001</v>
      </c>
      <c r="J1082" s="2">
        <v>193594.31</v>
      </c>
      <c r="K1082" s="2">
        <v>0</v>
      </c>
      <c r="L1082" s="2">
        <v>22889274.5</v>
      </c>
      <c r="M1082" s="3"/>
      <c r="N1082" s="4">
        <v>5.207556E-2</v>
      </c>
      <c r="O1082" s="5">
        <v>44705</v>
      </c>
      <c r="P1082" s="5">
        <v>45436</v>
      </c>
      <c r="Q1082" s="1">
        <v>5.367</v>
      </c>
      <c r="R1082" s="2"/>
      <c r="S1082" s="6"/>
      <c r="T1082" t="s">
        <v>111</v>
      </c>
      <c r="U1082" t="s">
        <v>111</v>
      </c>
      <c r="V1082" t="s">
        <v>11189</v>
      </c>
      <c r="W1082" t="s">
        <v>11979</v>
      </c>
      <c r="X1082" t="s">
        <v>11034</v>
      </c>
      <c r="Y1082" t="s">
        <v>44</v>
      </c>
      <c r="Z1082" t="s">
        <v>44</v>
      </c>
      <c r="AA1082" t="s">
        <v>10979</v>
      </c>
      <c r="AB1082" t="s">
        <v>44</v>
      </c>
      <c r="AC1082" s="4"/>
      <c r="AD1082" s="4"/>
      <c r="AE1082" s="2">
        <v>0</v>
      </c>
      <c r="AF1082" s="4">
        <v>0</v>
      </c>
      <c r="AG1082" s="2">
        <v>1.27</v>
      </c>
      <c r="AH1082" s="2">
        <v>22889274.5</v>
      </c>
      <c r="AI1082" s="2">
        <v>0.05</v>
      </c>
      <c r="AJ1082" s="5">
        <v>44673</v>
      </c>
      <c r="AK1082" t="s">
        <v>12016</v>
      </c>
      <c r="AL1082" s="2">
        <v>0</v>
      </c>
      <c r="AM1082" s="2">
        <v>5.37</v>
      </c>
      <c r="AN1082" s="2">
        <v>0</v>
      </c>
      <c r="AO1082" t="s">
        <v>11179</v>
      </c>
      <c r="AP1082" t="s">
        <v>12039</v>
      </c>
      <c r="AQ1082" t="s">
        <v>12038</v>
      </c>
    </row>
    <row r="1083" spans="1:43" x14ac:dyDescent="0.2">
      <c r="A1083" t="s">
        <v>12013</v>
      </c>
      <c r="B1083" t="s">
        <v>10900</v>
      </c>
      <c r="C1083" t="s">
        <v>10943</v>
      </c>
      <c r="D1083" t="s">
        <v>11558</v>
      </c>
      <c r="E1083" t="s">
        <v>11559</v>
      </c>
      <c r="F1083" t="s">
        <v>11558</v>
      </c>
      <c r="G1083" s="1">
        <v>21000000</v>
      </c>
      <c r="H1083" s="2">
        <v>21052997.100000001</v>
      </c>
      <c r="I1083" s="2">
        <v>20672469.300000001</v>
      </c>
      <c r="J1083" s="2">
        <v>18767.669999999998</v>
      </c>
      <c r="K1083" s="2">
        <v>0</v>
      </c>
      <c r="L1083" s="2">
        <v>20691236.969999999</v>
      </c>
      <c r="M1083" s="3">
        <v>8.625</v>
      </c>
      <c r="N1083" s="4">
        <v>4.7074789999999998E-2</v>
      </c>
      <c r="O1083" s="5">
        <v>44853</v>
      </c>
      <c r="P1083" s="5">
        <v>46131</v>
      </c>
      <c r="Q1083" s="1">
        <v>8.1549999999999994</v>
      </c>
      <c r="R1083" s="2">
        <v>3.47</v>
      </c>
      <c r="S1083" s="6">
        <v>3.327828963</v>
      </c>
      <c r="T1083" t="s">
        <v>111</v>
      </c>
      <c r="U1083" t="s">
        <v>111</v>
      </c>
      <c r="V1083" t="s">
        <v>10944</v>
      </c>
      <c r="W1083" t="s">
        <v>43</v>
      </c>
      <c r="X1083" t="s">
        <v>44</v>
      </c>
      <c r="Y1083" t="s">
        <v>44</v>
      </c>
      <c r="Z1083" t="s">
        <v>44</v>
      </c>
      <c r="AA1083" t="s">
        <v>10979</v>
      </c>
      <c r="AB1083" t="s">
        <v>44</v>
      </c>
      <c r="AC1083" s="4">
        <v>8.8109765600000003</v>
      </c>
      <c r="AD1083" s="4">
        <v>8.4739831300000006</v>
      </c>
      <c r="AE1083" s="2">
        <v>8.81</v>
      </c>
      <c r="AF1083" s="4">
        <v>8.4739831300000006</v>
      </c>
      <c r="AG1083" s="2">
        <v>1.1399999999999999</v>
      </c>
      <c r="AH1083" s="2">
        <v>20691236.969999999</v>
      </c>
      <c r="AI1083" s="2">
        <v>0.05</v>
      </c>
      <c r="AJ1083" s="5">
        <v>44673</v>
      </c>
      <c r="AK1083" t="s">
        <v>12016</v>
      </c>
      <c r="AL1083" s="2">
        <v>8.6300000000000008</v>
      </c>
      <c r="AM1083" s="2">
        <v>8.15</v>
      </c>
      <c r="AN1083" s="2">
        <v>3.33</v>
      </c>
      <c r="AO1083" t="s">
        <v>11054</v>
      </c>
      <c r="AP1083" t="s">
        <v>11560</v>
      </c>
      <c r="AQ1083" t="s">
        <v>11559</v>
      </c>
    </row>
    <row r="1084" spans="1:43" x14ac:dyDescent="0.2">
      <c r="A1084" t="s">
        <v>12013</v>
      </c>
      <c r="B1084" t="s">
        <v>10900</v>
      </c>
      <c r="C1084" t="s">
        <v>10943</v>
      </c>
      <c r="D1084" t="s">
        <v>12040</v>
      </c>
      <c r="E1084" t="s">
        <v>12041</v>
      </c>
      <c r="F1084" t="s">
        <v>12040</v>
      </c>
      <c r="G1084" s="1">
        <v>45500000</v>
      </c>
      <c r="H1084" s="2">
        <v>45431319.609999999</v>
      </c>
      <c r="I1084" s="2">
        <v>45434974.100000001</v>
      </c>
      <c r="J1084" s="2">
        <v>653999.55000000005</v>
      </c>
      <c r="K1084" s="2">
        <v>0</v>
      </c>
      <c r="L1084" s="2">
        <v>46088973.649999999</v>
      </c>
      <c r="M1084" s="3">
        <v>6.5789140000000002</v>
      </c>
      <c r="N1084" s="4">
        <v>0.10485738</v>
      </c>
      <c r="O1084" s="5">
        <v>44684</v>
      </c>
      <c r="P1084" s="5">
        <v>46235</v>
      </c>
      <c r="Q1084" s="1">
        <v>6.4770000000000003</v>
      </c>
      <c r="R1084" s="2">
        <v>0.02</v>
      </c>
      <c r="S1084" s="6">
        <v>-3.9634504708E-2</v>
      </c>
      <c r="T1084" t="s">
        <v>111</v>
      </c>
      <c r="U1084" t="s">
        <v>111</v>
      </c>
      <c r="V1084" t="s">
        <v>114</v>
      </c>
      <c r="W1084" t="s">
        <v>43</v>
      </c>
      <c r="X1084" t="s">
        <v>10988</v>
      </c>
      <c r="Y1084" t="s">
        <v>44</v>
      </c>
      <c r="Z1084" t="s">
        <v>44</v>
      </c>
      <c r="AA1084" t="s">
        <v>10979</v>
      </c>
      <c r="AB1084" t="s">
        <v>44</v>
      </c>
      <c r="AC1084" s="4">
        <v>6.6871187699999997</v>
      </c>
      <c r="AD1084" s="4">
        <v>6.4905138999999998</v>
      </c>
      <c r="AE1084" s="2">
        <v>6.69</v>
      </c>
      <c r="AF1084" s="4">
        <v>6.4905138999999998</v>
      </c>
      <c r="AG1084" s="2">
        <v>2.5499999999999998</v>
      </c>
      <c r="AH1084" s="2">
        <v>46088973.649999999</v>
      </c>
      <c r="AI1084" s="2">
        <v>0.1</v>
      </c>
      <c r="AJ1084" s="5">
        <v>44673</v>
      </c>
      <c r="AK1084" t="s">
        <v>12016</v>
      </c>
      <c r="AL1084" s="2">
        <v>6.58</v>
      </c>
      <c r="AM1084" s="2">
        <v>6.48</v>
      </c>
      <c r="AN1084" s="2">
        <v>-0.04</v>
      </c>
      <c r="AO1084" t="s">
        <v>11054</v>
      </c>
      <c r="AP1084" t="s">
        <v>12042</v>
      </c>
      <c r="AQ1084" t="s">
        <v>12041</v>
      </c>
    </row>
    <row r="1085" spans="1:43" x14ac:dyDescent="0.2">
      <c r="A1085" t="s">
        <v>12013</v>
      </c>
      <c r="B1085" t="s">
        <v>10900</v>
      </c>
      <c r="C1085" t="s">
        <v>10943</v>
      </c>
      <c r="D1085" t="s">
        <v>11569</v>
      </c>
      <c r="E1085" t="s">
        <v>11570</v>
      </c>
      <c r="F1085" t="s">
        <v>11569</v>
      </c>
      <c r="G1085" s="1">
        <v>52400000</v>
      </c>
      <c r="H1085" s="2">
        <v>52699797.659999996</v>
      </c>
      <c r="I1085" s="2">
        <v>52683165.460000001</v>
      </c>
      <c r="J1085" s="2">
        <v>717501</v>
      </c>
      <c r="K1085" s="2">
        <v>0</v>
      </c>
      <c r="L1085" s="2">
        <v>53400666.460000001</v>
      </c>
      <c r="M1085" s="3">
        <v>8.5241640000000007</v>
      </c>
      <c r="N1085" s="4">
        <v>0.12149227</v>
      </c>
      <c r="O1085" s="5">
        <v>44705</v>
      </c>
      <c r="P1085" s="5">
        <v>46166</v>
      </c>
      <c r="Q1085" s="1">
        <v>8.6170000000000009</v>
      </c>
      <c r="R1085" s="2">
        <v>0.08</v>
      </c>
      <c r="S1085" s="6">
        <v>-9.3404076700000001E-3</v>
      </c>
      <c r="T1085" t="s">
        <v>111</v>
      </c>
      <c r="U1085" t="s">
        <v>111</v>
      </c>
      <c r="V1085" t="s">
        <v>11189</v>
      </c>
      <c r="W1085" t="s">
        <v>43</v>
      </c>
      <c r="X1085" t="s">
        <v>11034</v>
      </c>
      <c r="Y1085" t="s">
        <v>44</v>
      </c>
      <c r="Z1085" t="s">
        <v>44</v>
      </c>
      <c r="AA1085" t="s">
        <v>11035</v>
      </c>
      <c r="AB1085" t="s">
        <v>44</v>
      </c>
      <c r="AC1085" s="4">
        <v>8.7058170199999996</v>
      </c>
      <c r="AD1085" s="4">
        <v>8.3766132899999999</v>
      </c>
      <c r="AE1085" s="2">
        <v>8.7100000000000009</v>
      </c>
      <c r="AF1085" s="4">
        <v>8.3766132899999999</v>
      </c>
      <c r="AG1085" s="2">
        <v>2.95</v>
      </c>
      <c r="AH1085" s="2">
        <v>53400666.460000001</v>
      </c>
      <c r="AI1085" s="2">
        <v>0.12</v>
      </c>
      <c r="AJ1085" s="5">
        <v>44673</v>
      </c>
      <c r="AK1085" t="s">
        <v>12016</v>
      </c>
      <c r="AL1085" s="2">
        <v>8.52</v>
      </c>
      <c r="AM1085" s="2">
        <v>8.6199999999999992</v>
      </c>
      <c r="AN1085" s="2">
        <v>-0.01</v>
      </c>
      <c r="AO1085" t="s">
        <v>11226</v>
      </c>
      <c r="AP1085" t="s">
        <v>11571</v>
      </c>
      <c r="AQ1085" t="s">
        <v>11570</v>
      </c>
    </row>
    <row r="1086" spans="1:43" x14ac:dyDescent="0.2">
      <c r="A1086" t="s">
        <v>12013</v>
      </c>
      <c r="B1086" t="s">
        <v>10900</v>
      </c>
      <c r="C1086" t="s">
        <v>10943</v>
      </c>
      <c r="D1086" t="s">
        <v>11578</v>
      </c>
      <c r="E1086" t="s">
        <v>11579</v>
      </c>
      <c r="F1086" t="s">
        <v>11578</v>
      </c>
      <c r="G1086" s="1">
        <v>8600000</v>
      </c>
      <c r="H1086" s="2">
        <v>8233392.8600000003</v>
      </c>
      <c r="I1086" s="2">
        <v>8028122.3600000003</v>
      </c>
      <c r="J1086" s="2">
        <v>71578.28</v>
      </c>
      <c r="K1086" s="2">
        <v>0</v>
      </c>
      <c r="L1086" s="2">
        <v>8099700.6399999997</v>
      </c>
      <c r="M1086" s="3">
        <v>9.375</v>
      </c>
      <c r="N1086" s="4">
        <v>1.842769E-2</v>
      </c>
      <c r="O1086" s="5">
        <v>44819</v>
      </c>
      <c r="P1086" s="5">
        <v>46827</v>
      </c>
      <c r="Q1086" s="1">
        <v>7.8849999999999998</v>
      </c>
      <c r="R1086" s="2">
        <v>4.74</v>
      </c>
      <c r="S1086" s="6">
        <v>4.5243735450000004</v>
      </c>
      <c r="T1086" t="s">
        <v>111</v>
      </c>
      <c r="U1086" t="s">
        <v>111</v>
      </c>
      <c r="V1086" t="s">
        <v>10944</v>
      </c>
      <c r="W1086" t="s">
        <v>43</v>
      </c>
      <c r="X1086" t="s">
        <v>44</v>
      </c>
      <c r="Y1086" t="s">
        <v>44</v>
      </c>
      <c r="Z1086" t="s">
        <v>44</v>
      </c>
      <c r="AA1086" t="s">
        <v>11441</v>
      </c>
      <c r="AB1086" t="s">
        <v>44</v>
      </c>
      <c r="AC1086" s="4">
        <v>9.5947265599999998</v>
      </c>
      <c r="AD1086" s="4">
        <v>9.1969716100000003</v>
      </c>
      <c r="AE1086" s="2">
        <v>9.59</v>
      </c>
      <c r="AF1086" s="4">
        <v>9.1969716100000003</v>
      </c>
      <c r="AG1086" s="2">
        <v>0.45</v>
      </c>
      <c r="AH1086" s="2">
        <v>8099700.6399999997</v>
      </c>
      <c r="AI1086" s="2">
        <v>0.02</v>
      </c>
      <c r="AJ1086" s="5">
        <v>44673</v>
      </c>
      <c r="AK1086" t="s">
        <v>12016</v>
      </c>
      <c r="AL1086" s="2">
        <v>9.3800000000000008</v>
      </c>
      <c r="AM1086" s="2">
        <v>7.88</v>
      </c>
      <c r="AN1086" s="2">
        <v>4.5199999999999996</v>
      </c>
      <c r="AO1086" t="s">
        <v>11580</v>
      </c>
      <c r="AP1086" t="s">
        <v>11581</v>
      </c>
      <c r="AQ1086" t="s">
        <v>11579</v>
      </c>
    </row>
    <row r="1087" spans="1:43" x14ac:dyDescent="0.2">
      <c r="A1087" t="s">
        <v>12013</v>
      </c>
      <c r="B1087" t="s">
        <v>10900</v>
      </c>
      <c r="C1087" t="s">
        <v>10943</v>
      </c>
      <c r="D1087" t="s">
        <v>11962</v>
      </c>
      <c r="E1087" t="s">
        <v>11963</v>
      </c>
      <c r="F1087" t="s">
        <v>11962</v>
      </c>
      <c r="G1087" s="1">
        <v>29100000</v>
      </c>
      <c r="H1087" s="2">
        <v>29853287.469999999</v>
      </c>
      <c r="I1087" s="2">
        <v>29827068.559999999</v>
      </c>
      <c r="J1087" s="2">
        <v>544608.5</v>
      </c>
      <c r="K1087" s="2">
        <v>0</v>
      </c>
      <c r="L1087" s="2">
        <v>30371677.059999999</v>
      </c>
      <c r="M1087" s="3">
        <v>8.2411139999999996</v>
      </c>
      <c r="N1087" s="4">
        <v>6.9098839999999995E-2</v>
      </c>
      <c r="O1087" s="5">
        <v>44686</v>
      </c>
      <c r="P1087" s="5">
        <v>45874</v>
      </c>
      <c r="Q1087" s="1">
        <v>9.1080000000000005</v>
      </c>
      <c r="R1087" s="2">
        <v>0.03</v>
      </c>
      <c r="S1087" s="6">
        <v>-1.210173591E-2</v>
      </c>
      <c r="T1087" t="s">
        <v>111</v>
      </c>
      <c r="U1087" t="s">
        <v>111</v>
      </c>
      <c r="V1087" t="s">
        <v>11189</v>
      </c>
      <c r="W1087" t="s">
        <v>43</v>
      </c>
      <c r="X1087" t="s">
        <v>11034</v>
      </c>
      <c r="Y1087" t="s">
        <v>44</v>
      </c>
      <c r="Z1087" t="s">
        <v>44</v>
      </c>
      <c r="AA1087" t="s">
        <v>11035</v>
      </c>
      <c r="AB1087" t="s">
        <v>44</v>
      </c>
      <c r="AC1087" s="4">
        <v>8.4109039299999999</v>
      </c>
      <c r="AD1087" s="4">
        <v>8.1030845599999992</v>
      </c>
      <c r="AE1087" s="2">
        <v>8.41</v>
      </c>
      <c r="AF1087" s="4">
        <v>8.1030845599999992</v>
      </c>
      <c r="AG1087" s="2">
        <v>1.68</v>
      </c>
      <c r="AH1087" s="2">
        <v>30371677.059999999</v>
      </c>
      <c r="AI1087" s="2">
        <v>7.0000000000000007E-2</v>
      </c>
      <c r="AJ1087" s="5">
        <v>44673</v>
      </c>
      <c r="AK1087" t="s">
        <v>12016</v>
      </c>
      <c r="AL1087" s="2">
        <v>8.24</v>
      </c>
      <c r="AM1087" s="2">
        <v>9.11</v>
      </c>
      <c r="AN1087" s="2">
        <v>-0.01</v>
      </c>
      <c r="AO1087" t="s">
        <v>11036</v>
      </c>
      <c r="AP1087" t="s">
        <v>11964</v>
      </c>
      <c r="AQ1087" t="s">
        <v>11963</v>
      </c>
    </row>
    <row r="1088" spans="1:43" x14ac:dyDescent="0.2">
      <c r="A1088" t="s">
        <v>12013</v>
      </c>
      <c r="B1088" t="s">
        <v>10900</v>
      </c>
      <c r="C1088" t="s">
        <v>10943</v>
      </c>
      <c r="D1088" t="s">
        <v>11135</v>
      </c>
      <c r="E1088" t="s">
        <v>10946</v>
      </c>
      <c r="F1088" t="s">
        <v>11135</v>
      </c>
      <c r="G1088" s="1">
        <v>29100000</v>
      </c>
      <c r="H1088" s="2">
        <v>32260785.07</v>
      </c>
      <c r="I1088" s="2">
        <v>31615098.449999999</v>
      </c>
      <c r="J1088" s="2">
        <v>1029661.64</v>
      </c>
      <c r="K1088" s="2">
        <v>0</v>
      </c>
      <c r="L1088" s="2">
        <v>32644760.09</v>
      </c>
      <c r="M1088" s="3">
        <v>8.2249999999999996</v>
      </c>
      <c r="N1088" s="4">
        <v>7.4270340000000004E-2</v>
      </c>
      <c r="O1088" s="5">
        <v>44733</v>
      </c>
      <c r="P1088" s="5">
        <v>46377</v>
      </c>
      <c r="Q1088" s="1">
        <v>10.5</v>
      </c>
      <c r="R1088" s="2">
        <v>3.72</v>
      </c>
      <c r="S1088" s="6">
        <v>3.572672968</v>
      </c>
      <c r="T1088" t="s">
        <v>111</v>
      </c>
      <c r="U1088" t="s">
        <v>111</v>
      </c>
      <c r="V1088" t="s">
        <v>10944</v>
      </c>
      <c r="W1088" t="s">
        <v>43</v>
      </c>
      <c r="X1088" t="s">
        <v>10945</v>
      </c>
      <c r="Y1088" t="s">
        <v>44</v>
      </c>
      <c r="Z1088" t="s">
        <v>44</v>
      </c>
      <c r="AA1088" t="s">
        <v>10913</v>
      </c>
      <c r="AB1088" t="s">
        <v>44</v>
      </c>
      <c r="AC1088" s="4">
        <v>8.3941265600000001</v>
      </c>
      <c r="AD1088" s="4">
        <v>8.0875032299999994</v>
      </c>
      <c r="AE1088" s="2">
        <v>8.39</v>
      </c>
      <c r="AF1088" s="4">
        <v>8.0875032299999994</v>
      </c>
      <c r="AG1088" s="2">
        <v>1.81</v>
      </c>
      <c r="AH1088" s="2">
        <v>32644760.09</v>
      </c>
      <c r="AI1088" s="2">
        <v>7.0000000000000007E-2</v>
      </c>
      <c r="AJ1088" s="5">
        <v>44673</v>
      </c>
      <c r="AK1088" t="s">
        <v>12016</v>
      </c>
      <c r="AL1088" s="2">
        <v>8.23</v>
      </c>
      <c r="AM1088" s="2">
        <v>10.5</v>
      </c>
      <c r="AN1088" s="2">
        <v>3.57</v>
      </c>
      <c r="AO1088" t="s">
        <v>10922</v>
      </c>
      <c r="AP1088" t="s">
        <v>11136</v>
      </c>
      <c r="AQ1088" t="s">
        <v>10946</v>
      </c>
    </row>
    <row r="1089" spans="1:43" x14ac:dyDescent="0.2">
      <c r="A1089" t="s">
        <v>12013</v>
      </c>
      <c r="B1089" t="s">
        <v>10900</v>
      </c>
      <c r="C1089" t="s">
        <v>10943</v>
      </c>
      <c r="D1089" t="s">
        <v>12863</v>
      </c>
      <c r="E1089" t="s">
        <v>12864</v>
      </c>
      <c r="F1089" t="s">
        <v>12863</v>
      </c>
      <c r="G1089" s="1">
        <v>11900000</v>
      </c>
      <c r="H1089" s="2">
        <v>11900000</v>
      </c>
      <c r="I1089" s="2">
        <v>11913517.189999999</v>
      </c>
      <c r="J1089" s="2">
        <v>42550.49</v>
      </c>
      <c r="K1089" s="2">
        <v>0</v>
      </c>
      <c r="L1089" s="2">
        <v>11956067.68</v>
      </c>
      <c r="M1089" s="3">
        <v>8.0409749999999995</v>
      </c>
      <c r="N1089" s="4">
        <v>2.7201340000000001E-2</v>
      </c>
      <c r="O1089" s="5">
        <v>44750</v>
      </c>
      <c r="P1089" s="5">
        <v>46485</v>
      </c>
      <c r="Q1089" s="1">
        <v>8.157</v>
      </c>
      <c r="R1089" s="2">
        <v>0.2</v>
      </c>
      <c r="S1089" s="6">
        <v>9.4975697833E-2</v>
      </c>
      <c r="T1089" t="s">
        <v>111</v>
      </c>
      <c r="U1089" t="s">
        <v>111</v>
      </c>
      <c r="V1089" t="s">
        <v>11189</v>
      </c>
      <c r="W1089" t="s">
        <v>43</v>
      </c>
      <c r="X1089" t="s">
        <v>11034</v>
      </c>
      <c r="Y1089" t="s">
        <v>44</v>
      </c>
      <c r="Z1089" t="s">
        <v>44</v>
      </c>
      <c r="AA1089" t="s">
        <v>11035</v>
      </c>
      <c r="AB1089" t="s">
        <v>44</v>
      </c>
      <c r="AC1089" s="4">
        <v>8.2026182599999995</v>
      </c>
      <c r="AD1089" s="4">
        <v>7.9094905600000001</v>
      </c>
      <c r="AE1089" s="2">
        <v>8.1999999999999993</v>
      </c>
      <c r="AF1089" s="4">
        <v>7.9094905600000001</v>
      </c>
      <c r="AG1089" s="2">
        <v>0.66</v>
      </c>
      <c r="AH1089" s="2">
        <v>11956067.68</v>
      </c>
      <c r="AI1089" s="2">
        <v>0.03</v>
      </c>
      <c r="AJ1089" s="5">
        <v>44673</v>
      </c>
      <c r="AK1089" t="s">
        <v>12016</v>
      </c>
      <c r="AL1089" s="2">
        <v>8.0399999999999991</v>
      </c>
      <c r="AM1089" s="2">
        <v>8.16</v>
      </c>
      <c r="AN1089" s="2">
        <v>0.09</v>
      </c>
      <c r="AO1089" t="s">
        <v>11496</v>
      </c>
      <c r="AP1089" t="s">
        <v>12865</v>
      </c>
      <c r="AQ1089" t="s">
        <v>12864</v>
      </c>
    </row>
    <row r="1090" spans="1:43" x14ac:dyDescent="0.2">
      <c r="A1090" t="s">
        <v>12013</v>
      </c>
      <c r="B1090" t="s">
        <v>10900</v>
      </c>
      <c r="C1090" t="s">
        <v>10943</v>
      </c>
      <c r="D1090" t="s">
        <v>12043</v>
      </c>
      <c r="E1090" t="s">
        <v>12044</v>
      </c>
      <c r="F1090" t="s">
        <v>12043</v>
      </c>
      <c r="G1090" s="1">
        <v>45500000</v>
      </c>
      <c r="H1090" s="2">
        <v>45500000</v>
      </c>
      <c r="I1090" s="2">
        <v>45500262.490000002</v>
      </c>
      <c r="J1090" s="2">
        <v>64405.48</v>
      </c>
      <c r="K1090" s="2">
        <v>0</v>
      </c>
      <c r="L1090" s="2">
        <v>45564667.969999999</v>
      </c>
      <c r="M1090" s="3">
        <v>5.9389139999999996</v>
      </c>
      <c r="N1090" s="4">
        <v>0.10366453</v>
      </c>
      <c r="O1090" s="5">
        <v>44684</v>
      </c>
      <c r="P1090" s="5">
        <v>46237</v>
      </c>
      <c r="Q1090" s="1">
        <v>5.8769999999999998</v>
      </c>
      <c r="R1090" s="2">
        <v>0.02</v>
      </c>
      <c r="S1090" s="6">
        <v>-2.2193558112000002E-2</v>
      </c>
      <c r="T1090" t="s">
        <v>111</v>
      </c>
      <c r="U1090" t="s">
        <v>111</v>
      </c>
      <c r="V1090" t="s">
        <v>11189</v>
      </c>
      <c r="W1090" t="s">
        <v>43</v>
      </c>
      <c r="X1090" t="s">
        <v>11034</v>
      </c>
      <c r="Y1090" t="s">
        <v>44</v>
      </c>
      <c r="Z1090" t="s">
        <v>44</v>
      </c>
      <c r="AA1090" t="s">
        <v>11035</v>
      </c>
      <c r="AB1090" t="s">
        <v>44</v>
      </c>
      <c r="AC1090" s="4">
        <v>6.0270902399999997</v>
      </c>
      <c r="AD1090" s="4">
        <v>5.8667388999999996</v>
      </c>
      <c r="AE1090" s="2">
        <v>6.03</v>
      </c>
      <c r="AF1090" s="4">
        <v>5.8667388999999996</v>
      </c>
      <c r="AG1090" s="2">
        <v>2.52</v>
      </c>
      <c r="AH1090" s="2">
        <v>45564667.969999999</v>
      </c>
      <c r="AI1090" s="2">
        <v>0.1</v>
      </c>
      <c r="AJ1090" s="5">
        <v>44673</v>
      </c>
      <c r="AK1090" t="s">
        <v>12016</v>
      </c>
      <c r="AL1090" s="2">
        <v>5.94</v>
      </c>
      <c r="AM1090" s="2">
        <v>5.88</v>
      </c>
      <c r="AN1090" s="2">
        <v>-0.02</v>
      </c>
      <c r="AO1090" t="s">
        <v>11496</v>
      </c>
      <c r="AP1090" t="s">
        <v>12045</v>
      </c>
      <c r="AQ1090" t="s">
        <v>12044</v>
      </c>
    </row>
    <row r="1091" spans="1:43" x14ac:dyDescent="0.2">
      <c r="A1091" t="s">
        <v>12013</v>
      </c>
      <c r="B1091" t="s">
        <v>10900</v>
      </c>
      <c r="C1091" t="s">
        <v>11137</v>
      </c>
      <c r="D1091" t="s">
        <v>11594</v>
      </c>
      <c r="E1091" t="s">
        <v>11595</v>
      </c>
      <c r="F1091" t="s">
        <v>11594</v>
      </c>
      <c r="G1091" s="1">
        <v>80000000</v>
      </c>
      <c r="H1091" s="2">
        <v>74391471.700000003</v>
      </c>
      <c r="I1091" s="2">
        <v>72127248</v>
      </c>
      <c r="J1091" s="2">
        <v>1437808.22</v>
      </c>
      <c r="K1091" s="2">
        <v>0</v>
      </c>
      <c r="L1091" s="2">
        <v>73565056.219999999</v>
      </c>
      <c r="M1091" s="3">
        <v>9.84</v>
      </c>
      <c r="N1091" s="4">
        <v>0.16736841999999999</v>
      </c>
      <c r="O1091" s="5">
        <v>44774</v>
      </c>
      <c r="P1091" s="5">
        <v>47514</v>
      </c>
      <c r="Q1091" s="1">
        <v>8</v>
      </c>
      <c r="R1091" s="2">
        <v>5.71</v>
      </c>
      <c r="S1091" s="6">
        <v>5.4383328750000004</v>
      </c>
      <c r="T1091" t="s">
        <v>111</v>
      </c>
      <c r="U1091" t="s">
        <v>111</v>
      </c>
      <c r="V1091" t="s">
        <v>10944</v>
      </c>
      <c r="W1091" t="s">
        <v>43</v>
      </c>
      <c r="X1091" t="s">
        <v>10945</v>
      </c>
      <c r="Y1091" t="s">
        <v>44</v>
      </c>
      <c r="Z1091" t="s">
        <v>44</v>
      </c>
      <c r="AA1091" t="s">
        <v>10913</v>
      </c>
      <c r="AB1091" t="s">
        <v>44</v>
      </c>
      <c r="AC1091" s="4">
        <v>10.082064000000001</v>
      </c>
      <c r="AD1091" s="4">
        <v>9.6441413499999999</v>
      </c>
      <c r="AE1091" s="2">
        <v>10.08</v>
      </c>
      <c r="AF1091" s="4">
        <v>9.6441413499999999</v>
      </c>
      <c r="AG1091" s="2">
        <v>4.07</v>
      </c>
      <c r="AH1091" s="2">
        <v>73565056.219999999</v>
      </c>
      <c r="AI1091" s="2">
        <v>0.17</v>
      </c>
      <c r="AJ1091" s="5">
        <v>44673</v>
      </c>
      <c r="AK1091" t="s">
        <v>12016</v>
      </c>
      <c r="AL1091" s="2">
        <v>9.84</v>
      </c>
      <c r="AM1091" s="2">
        <v>8</v>
      </c>
      <c r="AN1091" s="2">
        <v>5.44</v>
      </c>
      <c r="AO1091" t="s">
        <v>10922</v>
      </c>
      <c r="AP1091" t="s">
        <v>11596</v>
      </c>
      <c r="AQ1091" t="s">
        <v>11595</v>
      </c>
    </row>
    <row r="1092" spans="1:43" x14ac:dyDescent="0.2">
      <c r="A1092" t="s">
        <v>12013</v>
      </c>
      <c r="B1092" t="s">
        <v>10900</v>
      </c>
      <c r="C1092" t="s">
        <v>10950</v>
      </c>
      <c r="D1092" t="s">
        <v>10983</v>
      </c>
      <c r="E1092" t="s">
        <v>10984</v>
      </c>
      <c r="F1092" t="s">
        <v>10983</v>
      </c>
      <c r="G1092" s="1">
        <v>800000</v>
      </c>
      <c r="H1092" s="2">
        <v>688502.64</v>
      </c>
      <c r="I1092" s="2">
        <v>668906</v>
      </c>
      <c r="J1092" s="2">
        <v>15276.71</v>
      </c>
      <c r="K1092" s="2">
        <v>0</v>
      </c>
      <c r="L1092" s="2">
        <v>684182.71</v>
      </c>
      <c r="M1092" s="3">
        <v>10.734999999999999</v>
      </c>
      <c r="N1092" s="4">
        <v>1.5565900000000001E-3</v>
      </c>
      <c r="O1092" s="5">
        <v>44774</v>
      </c>
      <c r="P1092" s="5">
        <v>50071</v>
      </c>
      <c r="Q1092" s="1">
        <v>8.5</v>
      </c>
      <c r="R1092" s="2">
        <v>7.91</v>
      </c>
      <c r="S1092" s="6">
        <v>7.5106016819999999</v>
      </c>
      <c r="T1092" t="s">
        <v>111</v>
      </c>
      <c r="U1092" t="s">
        <v>111</v>
      </c>
      <c r="V1092" t="s">
        <v>10944</v>
      </c>
      <c r="W1092" t="s">
        <v>43</v>
      </c>
      <c r="X1092" t="s">
        <v>10945</v>
      </c>
      <c r="Y1092" t="s">
        <v>44</v>
      </c>
      <c r="Z1092" t="s">
        <v>44</v>
      </c>
      <c r="AA1092" t="s">
        <v>10913</v>
      </c>
      <c r="AB1092" t="s">
        <v>44</v>
      </c>
      <c r="AC1092" s="4">
        <v>11.02310056</v>
      </c>
      <c r="AD1092" s="4">
        <v>10.50250368</v>
      </c>
      <c r="AE1092" s="2">
        <v>11.02</v>
      </c>
      <c r="AF1092" s="4">
        <v>10.50250368</v>
      </c>
      <c r="AG1092" s="2">
        <v>0.04</v>
      </c>
      <c r="AH1092" s="2">
        <v>684182.71</v>
      </c>
      <c r="AI1092" s="2">
        <v>0</v>
      </c>
      <c r="AJ1092" s="5">
        <v>44673</v>
      </c>
      <c r="AK1092" t="s">
        <v>12016</v>
      </c>
      <c r="AL1092" s="2">
        <v>10.73</v>
      </c>
      <c r="AM1092" s="2">
        <v>8.5</v>
      </c>
      <c r="AN1092" s="2">
        <v>7.51</v>
      </c>
      <c r="AO1092" t="s">
        <v>10922</v>
      </c>
      <c r="AP1092" t="s">
        <v>10985</v>
      </c>
      <c r="AQ1092" t="s">
        <v>10984</v>
      </c>
    </row>
    <row r="1093" spans="1:43" x14ac:dyDescent="0.2">
      <c r="A1093" t="s">
        <v>12013</v>
      </c>
      <c r="B1093" t="s">
        <v>45</v>
      </c>
      <c r="C1093" t="s">
        <v>47</v>
      </c>
      <c r="D1093" t="s">
        <v>11981</v>
      </c>
      <c r="E1093" t="s">
        <v>11982</v>
      </c>
      <c r="F1093" t="s">
        <v>11981</v>
      </c>
      <c r="G1093" s="1">
        <v>88716890.140000001</v>
      </c>
      <c r="H1093" s="2">
        <v>88716890.140000001</v>
      </c>
      <c r="I1093" s="2">
        <v>88716890.140000001</v>
      </c>
      <c r="J1093" s="2">
        <v>0</v>
      </c>
      <c r="K1093" s="2">
        <v>0</v>
      </c>
      <c r="L1093" s="2">
        <v>88716890.140000001</v>
      </c>
      <c r="M1093" s="3"/>
      <c r="N1093" s="4">
        <v>0.20184047999999999</v>
      </c>
      <c r="O1093" s="5" t="s">
        <v>44</v>
      </c>
      <c r="P1093" s="5" t="s">
        <v>44</v>
      </c>
      <c r="Q1093" s="1"/>
      <c r="R1093" s="2">
        <v>0.08</v>
      </c>
      <c r="S1093" s="6"/>
      <c r="T1093" t="s">
        <v>45</v>
      </c>
      <c r="U1093" t="s">
        <v>53</v>
      </c>
      <c r="V1093" t="s">
        <v>44</v>
      </c>
      <c r="W1093" t="s">
        <v>11979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s="4"/>
      <c r="AD1093" s="4"/>
      <c r="AE1093" s="2">
        <v>0</v>
      </c>
      <c r="AF1093" s="4">
        <v>0</v>
      </c>
      <c r="AG1093" s="2">
        <v>4.91</v>
      </c>
      <c r="AH1093" s="2">
        <v>88716890.140000001</v>
      </c>
      <c r="AI1093" s="2">
        <v>0.2</v>
      </c>
      <c r="AJ1093" s="5">
        <v>44673</v>
      </c>
      <c r="AK1093" t="s">
        <v>12016</v>
      </c>
      <c r="AL1093" s="2">
        <v>0</v>
      </c>
      <c r="AM1093" s="2">
        <v>0</v>
      </c>
      <c r="AN1093" s="2">
        <v>0</v>
      </c>
      <c r="AO1093" t="s">
        <v>44</v>
      </c>
      <c r="AP1093" t="s">
        <v>44</v>
      </c>
      <c r="AQ1093" t="s">
        <v>11979</v>
      </c>
    </row>
    <row r="1094" spans="1:43" x14ac:dyDescent="0.2">
      <c r="A1094" t="s">
        <v>12013</v>
      </c>
      <c r="B1094" t="s">
        <v>45</v>
      </c>
      <c r="C1094" t="s">
        <v>11005</v>
      </c>
      <c r="D1094" t="s">
        <v>12265</v>
      </c>
      <c r="E1094" t="s">
        <v>12266</v>
      </c>
      <c r="F1094" t="s">
        <v>12265</v>
      </c>
      <c r="G1094" s="1">
        <v>-0.02</v>
      </c>
      <c r="H1094" s="2">
        <v>-0.02</v>
      </c>
      <c r="I1094" s="2">
        <v>-0.02</v>
      </c>
      <c r="J1094" s="2">
        <v>0</v>
      </c>
      <c r="K1094" s="2"/>
      <c r="L1094" s="2">
        <v>-0.02</v>
      </c>
      <c r="M1094" s="3"/>
      <c r="N1094" s="4">
        <v>0</v>
      </c>
      <c r="O1094" s="5" t="s">
        <v>44</v>
      </c>
      <c r="P1094" s="5">
        <v>73051</v>
      </c>
      <c r="Q1094" s="1">
        <v>0</v>
      </c>
      <c r="R1094" s="2">
        <v>0.08</v>
      </c>
      <c r="S1094" s="6"/>
      <c r="T1094" t="s">
        <v>45</v>
      </c>
      <c r="U1094" t="s">
        <v>11008</v>
      </c>
      <c r="V1094" t="s">
        <v>44</v>
      </c>
      <c r="W1094" t="s">
        <v>43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s="4">
        <v>5.1163389600000002</v>
      </c>
      <c r="AD1094" s="4">
        <v>5.0001424999999999</v>
      </c>
      <c r="AE1094" s="2">
        <v>5.12</v>
      </c>
      <c r="AF1094" s="4">
        <v>5.0001424999999999</v>
      </c>
      <c r="AG1094" s="2">
        <v>0</v>
      </c>
      <c r="AH1094" s="2">
        <v>-0.02</v>
      </c>
      <c r="AI1094" s="2">
        <v>0</v>
      </c>
      <c r="AJ1094" s="5">
        <v>44673</v>
      </c>
      <c r="AK1094" t="s">
        <v>12016</v>
      </c>
      <c r="AL1094" s="2">
        <v>5.05</v>
      </c>
      <c r="AM1094" s="2">
        <v>0</v>
      </c>
      <c r="AN1094" s="2">
        <v>0</v>
      </c>
      <c r="AO1094" t="s">
        <v>44</v>
      </c>
      <c r="AP1094" t="s">
        <v>44</v>
      </c>
      <c r="AQ1094" t="s">
        <v>44</v>
      </c>
    </row>
    <row r="1095" spans="1:43" x14ac:dyDescent="0.2">
      <c r="A1095" t="s">
        <v>12013</v>
      </c>
      <c r="B1095" t="s">
        <v>45</v>
      </c>
      <c r="C1095" t="s">
        <v>11005</v>
      </c>
      <c r="D1095" t="s">
        <v>11009</v>
      </c>
      <c r="E1095" t="s">
        <v>11010</v>
      </c>
      <c r="F1095" t="s">
        <v>44</v>
      </c>
      <c r="G1095" s="1">
        <v>-350773.29</v>
      </c>
      <c r="H1095" s="2">
        <v>-350773.29</v>
      </c>
      <c r="I1095" s="2">
        <v>-350773.29</v>
      </c>
      <c r="J1095" s="2">
        <v>0</v>
      </c>
      <c r="K1095" s="2"/>
      <c r="L1095" s="2">
        <v>-350773.29</v>
      </c>
      <c r="M1095" s="3"/>
      <c r="N1095" s="4">
        <v>-7.9805000000000002E-4</v>
      </c>
      <c r="O1095" s="5" t="s">
        <v>44</v>
      </c>
      <c r="P1095" s="5">
        <v>73051</v>
      </c>
      <c r="Q1095" s="1">
        <v>0</v>
      </c>
      <c r="R1095" s="2">
        <v>0.08</v>
      </c>
      <c r="S1095" s="6"/>
      <c r="T1095" t="s">
        <v>45</v>
      </c>
      <c r="U1095" t="s">
        <v>44</v>
      </c>
      <c r="V1095" t="s">
        <v>44</v>
      </c>
      <c r="W1095" t="s">
        <v>43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s="4">
        <v>5.1163389600000002</v>
      </c>
      <c r="AD1095" s="4">
        <v>5.0001424999999999</v>
      </c>
      <c r="AE1095" s="2">
        <v>5.12</v>
      </c>
      <c r="AF1095" s="4">
        <v>5.0001424999999999</v>
      </c>
      <c r="AG1095" s="2">
        <v>-0.02</v>
      </c>
      <c r="AH1095" s="2">
        <v>-350773.29</v>
      </c>
      <c r="AI1095" s="2">
        <v>0</v>
      </c>
      <c r="AJ1095" s="5">
        <v>44673</v>
      </c>
      <c r="AK1095" t="s">
        <v>12016</v>
      </c>
      <c r="AL1095" s="2">
        <v>5.05</v>
      </c>
      <c r="AM1095" s="2">
        <v>0</v>
      </c>
      <c r="AN1095" s="2">
        <v>0</v>
      </c>
      <c r="AO1095" t="s">
        <v>44</v>
      </c>
      <c r="AP1095" t="s">
        <v>44</v>
      </c>
      <c r="AQ1095" t="s">
        <v>44</v>
      </c>
    </row>
    <row r="1096" spans="1:43" x14ac:dyDescent="0.2">
      <c r="A1096" t="s">
        <v>12013</v>
      </c>
      <c r="B1096" t="s">
        <v>45</v>
      </c>
      <c r="C1096" t="s">
        <v>11005</v>
      </c>
      <c r="D1096" t="s">
        <v>11011</v>
      </c>
      <c r="E1096" t="s">
        <v>11012</v>
      </c>
      <c r="F1096" t="s">
        <v>44</v>
      </c>
      <c r="G1096" s="1">
        <v>-1.8</v>
      </c>
      <c r="H1096" s="2">
        <v>-1.8</v>
      </c>
      <c r="I1096" s="2">
        <v>-1.8</v>
      </c>
      <c r="J1096" s="2">
        <v>0</v>
      </c>
      <c r="K1096" s="2"/>
      <c r="L1096" s="2">
        <v>-1.8</v>
      </c>
      <c r="M1096" s="3"/>
      <c r="N1096" s="4">
        <v>0</v>
      </c>
      <c r="O1096" s="5" t="s">
        <v>44</v>
      </c>
      <c r="P1096" s="5">
        <v>73051</v>
      </c>
      <c r="Q1096" s="1">
        <v>0</v>
      </c>
      <c r="R1096" s="2">
        <v>0.08</v>
      </c>
      <c r="S1096" s="6"/>
      <c r="T1096" t="s">
        <v>45</v>
      </c>
      <c r="U1096" t="s">
        <v>44</v>
      </c>
      <c r="V1096" t="s">
        <v>44</v>
      </c>
      <c r="W1096" t="s">
        <v>43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s="4">
        <v>5.1163389600000002</v>
      </c>
      <c r="AD1096" s="4">
        <v>5.0001424999999999</v>
      </c>
      <c r="AE1096" s="2">
        <v>5.12</v>
      </c>
      <c r="AF1096" s="4">
        <v>5.0001424999999999</v>
      </c>
      <c r="AG1096" s="2">
        <v>0</v>
      </c>
      <c r="AH1096" s="2">
        <v>-1.8</v>
      </c>
      <c r="AI1096" s="2">
        <v>0</v>
      </c>
      <c r="AJ1096" s="5">
        <v>44673</v>
      </c>
      <c r="AK1096" t="s">
        <v>12016</v>
      </c>
      <c r="AL1096" s="2">
        <v>5.05</v>
      </c>
      <c r="AM1096" s="2">
        <v>0</v>
      </c>
      <c r="AN1096" s="2">
        <v>0</v>
      </c>
      <c r="AO1096" t="s">
        <v>44</v>
      </c>
      <c r="AP1096" t="s">
        <v>44</v>
      </c>
      <c r="AQ1096" t="s">
        <v>44</v>
      </c>
    </row>
    <row r="1097" spans="1:43" x14ac:dyDescent="0.2">
      <c r="A1097" t="s">
        <v>12013</v>
      </c>
      <c r="B1097" t="s">
        <v>11013</v>
      </c>
      <c r="C1097" t="s">
        <v>11014</v>
      </c>
      <c r="D1097" t="s">
        <v>12046</v>
      </c>
      <c r="E1097" t="s">
        <v>12047</v>
      </c>
      <c r="F1097" t="s">
        <v>12046</v>
      </c>
      <c r="G1097" s="1">
        <v>240512825.88769999</v>
      </c>
      <c r="H1097" s="2">
        <v>340062812.73000002</v>
      </c>
      <c r="I1097" s="2">
        <v>339892725.54000002</v>
      </c>
      <c r="J1097" s="2">
        <v>0</v>
      </c>
      <c r="K1097" s="2">
        <v>0</v>
      </c>
      <c r="L1097" s="2">
        <v>339892725.54000002</v>
      </c>
      <c r="M1097" s="3">
        <v>1.4132</v>
      </c>
      <c r="N1097" s="4">
        <v>0.77329254999999997</v>
      </c>
      <c r="O1097" s="5" t="s">
        <v>44</v>
      </c>
      <c r="P1097" s="5" t="s">
        <v>44</v>
      </c>
      <c r="Q1097" s="1"/>
      <c r="R1097" s="2"/>
      <c r="S1097" s="6"/>
      <c r="T1097" t="s">
        <v>10902</v>
      </c>
      <c r="U1097" t="s">
        <v>11003</v>
      </c>
      <c r="V1097" t="s">
        <v>11003</v>
      </c>
      <c r="W1097" t="s">
        <v>43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s="4"/>
      <c r="AD1097" s="4"/>
      <c r="AE1097" s="2">
        <v>0</v>
      </c>
      <c r="AF1097" s="4">
        <v>0</v>
      </c>
      <c r="AG1097" s="2">
        <v>18.8</v>
      </c>
      <c r="AH1097" s="2">
        <v>339892725.54000002</v>
      </c>
      <c r="AI1097" s="2">
        <v>0.77</v>
      </c>
      <c r="AJ1097" s="5">
        <v>44673</v>
      </c>
      <c r="AK1097" t="s">
        <v>12016</v>
      </c>
      <c r="AL1097" s="2">
        <v>0</v>
      </c>
      <c r="AM1097" s="2">
        <v>0</v>
      </c>
      <c r="AN1097" s="2">
        <v>0</v>
      </c>
      <c r="AO1097" t="s">
        <v>44</v>
      </c>
      <c r="AP1097" t="s">
        <v>12048</v>
      </c>
      <c r="AQ1097" t="s">
        <v>12047</v>
      </c>
    </row>
    <row r="1098" spans="1:43" x14ac:dyDescent="0.2">
      <c r="A1098" t="s">
        <v>12013</v>
      </c>
      <c r="B1098" t="s">
        <v>11013</v>
      </c>
      <c r="C1098" t="s">
        <v>11047</v>
      </c>
      <c r="D1098" t="s">
        <v>11861</v>
      </c>
      <c r="E1098" t="s">
        <v>11862</v>
      </c>
      <c r="F1098" t="s">
        <v>11861</v>
      </c>
      <c r="G1098" s="1">
        <v>9948010</v>
      </c>
      <c r="H1098" s="2">
        <v>154647480.69</v>
      </c>
      <c r="I1098" s="2">
        <v>156044484.86000001</v>
      </c>
      <c r="J1098" s="2">
        <v>0</v>
      </c>
      <c r="K1098" s="2">
        <v>0</v>
      </c>
      <c r="L1098" s="2">
        <v>156044484.86000001</v>
      </c>
      <c r="M1098" s="3">
        <v>15.686</v>
      </c>
      <c r="N1098" s="4">
        <v>0.355018</v>
      </c>
      <c r="O1098" s="5" t="s">
        <v>44</v>
      </c>
      <c r="P1098" s="5" t="s">
        <v>44</v>
      </c>
      <c r="Q1098" s="1"/>
      <c r="R1098" s="2"/>
      <c r="S1098" s="6"/>
      <c r="T1098" t="s">
        <v>10902</v>
      </c>
      <c r="U1098" t="s">
        <v>11003</v>
      </c>
      <c r="V1098" t="s">
        <v>11003</v>
      </c>
      <c r="W1098" t="s">
        <v>43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s="4"/>
      <c r="AD1098" s="4"/>
      <c r="AE1098" s="2">
        <v>0</v>
      </c>
      <c r="AF1098" s="4">
        <v>0</v>
      </c>
      <c r="AG1098" s="2">
        <v>8.6300000000000008</v>
      </c>
      <c r="AH1098" s="2">
        <v>156044484.86000001</v>
      </c>
      <c r="AI1098" s="2">
        <v>0.36</v>
      </c>
      <c r="AJ1098" s="5">
        <v>44673</v>
      </c>
      <c r="AK1098" t="s">
        <v>12016</v>
      </c>
      <c r="AL1098" s="2">
        <v>0</v>
      </c>
      <c r="AM1098" s="2">
        <v>0</v>
      </c>
      <c r="AN1098" s="2">
        <v>0</v>
      </c>
      <c r="AO1098" t="s">
        <v>44</v>
      </c>
      <c r="AP1098" t="s">
        <v>44</v>
      </c>
      <c r="AQ1098" t="s">
        <v>11862</v>
      </c>
    </row>
    <row r="1099" spans="1:43" x14ac:dyDescent="0.2">
      <c r="A1099" t="s">
        <v>12013</v>
      </c>
      <c r="B1099" t="s">
        <v>11037</v>
      </c>
      <c r="C1099" t="s">
        <v>12853</v>
      </c>
      <c r="D1099" t="s">
        <v>12049</v>
      </c>
      <c r="E1099" t="s">
        <v>12050</v>
      </c>
      <c r="F1099" t="s">
        <v>12051</v>
      </c>
      <c r="G1099" s="1">
        <v>3293390</v>
      </c>
      <c r="H1099" s="2">
        <v>54740730.600000001</v>
      </c>
      <c r="I1099" s="2">
        <v>53748124.799999997</v>
      </c>
      <c r="J1099" s="2">
        <v>0</v>
      </c>
      <c r="K1099" s="2">
        <v>0</v>
      </c>
      <c r="L1099" s="2">
        <v>53748124.799999997</v>
      </c>
      <c r="M1099" s="3">
        <v>1632</v>
      </c>
      <c r="N1099" s="4">
        <v>0.12228277</v>
      </c>
      <c r="O1099" s="5" t="s">
        <v>44</v>
      </c>
      <c r="P1099" s="5" t="s">
        <v>44</v>
      </c>
      <c r="Q1099" s="1"/>
      <c r="R1099" s="2"/>
      <c r="S1099" s="6"/>
      <c r="T1099" t="s">
        <v>10902</v>
      </c>
      <c r="U1099" t="s">
        <v>10902</v>
      </c>
      <c r="V1099" t="s">
        <v>12052</v>
      </c>
      <c r="W1099" t="s">
        <v>43</v>
      </c>
      <c r="X1099" t="s">
        <v>44</v>
      </c>
      <c r="Y1099" t="s">
        <v>44</v>
      </c>
      <c r="Z1099" t="s">
        <v>12853</v>
      </c>
      <c r="AA1099" t="s">
        <v>44</v>
      </c>
      <c r="AB1099" t="s">
        <v>44</v>
      </c>
      <c r="AC1099" s="4"/>
      <c r="AD1099" s="4"/>
      <c r="AE1099" s="2">
        <v>0</v>
      </c>
      <c r="AF1099" s="4">
        <v>0</v>
      </c>
      <c r="AG1099" s="2">
        <v>2.97</v>
      </c>
      <c r="AH1099" s="2">
        <v>53748124.799999997</v>
      </c>
      <c r="AI1099" s="2">
        <v>0.12</v>
      </c>
      <c r="AJ1099" s="5">
        <v>44673</v>
      </c>
      <c r="AK1099" t="s">
        <v>12016</v>
      </c>
      <c r="AL1099" s="2">
        <v>0</v>
      </c>
      <c r="AM1099" s="2">
        <v>0</v>
      </c>
      <c r="AN1099" s="2">
        <v>0</v>
      </c>
      <c r="AO1099" t="s">
        <v>44</v>
      </c>
      <c r="AP1099" t="s">
        <v>12053</v>
      </c>
      <c r="AQ1099" t="s">
        <v>12050</v>
      </c>
    </row>
    <row r="1100" spans="1:43" x14ac:dyDescent="0.2">
      <c r="A1100" t="s">
        <v>12013</v>
      </c>
      <c r="B1100" t="s">
        <v>11037</v>
      </c>
      <c r="C1100" t="s">
        <v>11195</v>
      </c>
      <c r="D1100" t="s">
        <v>11606</v>
      </c>
      <c r="E1100" t="s">
        <v>7660</v>
      </c>
      <c r="F1100" t="s">
        <v>11606</v>
      </c>
      <c r="G1100" s="1">
        <v>2141490</v>
      </c>
      <c r="H1100" s="2">
        <v>18244530.199999999</v>
      </c>
      <c r="I1100" s="2">
        <v>17453143.5</v>
      </c>
      <c r="J1100" s="2">
        <v>0</v>
      </c>
      <c r="K1100" s="2">
        <v>0</v>
      </c>
      <c r="L1100" s="2">
        <v>17453143.5</v>
      </c>
      <c r="M1100" s="3">
        <v>815</v>
      </c>
      <c r="N1100" s="4">
        <v>3.9707779999999998E-2</v>
      </c>
      <c r="O1100" s="5" t="s">
        <v>44</v>
      </c>
      <c r="P1100" s="5" t="s">
        <v>44</v>
      </c>
      <c r="Q1100" s="1"/>
      <c r="R1100" s="2"/>
      <c r="S1100" s="6"/>
      <c r="T1100" t="s">
        <v>10902</v>
      </c>
      <c r="U1100" t="s">
        <v>10902</v>
      </c>
      <c r="V1100" t="s">
        <v>10902</v>
      </c>
      <c r="W1100" t="s">
        <v>43</v>
      </c>
      <c r="X1100" t="s">
        <v>11197</v>
      </c>
      <c r="Y1100" t="s">
        <v>11198</v>
      </c>
      <c r="Z1100" t="s">
        <v>11195</v>
      </c>
      <c r="AA1100" t="s">
        <v>44</v>
      </c>
      <c r="AB1100" t="s">
        <v>44</v>
      </c>
      <c r="AC1100" s="4"/>
      <c r="AD1100" s="4"/>
      <c r="AE1100" s="2">
        <v>0</v>
      </c>
      <c r="AF1100" s="4">
        <v>0</v>
      </c>
      <c r="AG1100" s="2">
        <v>0.97</v>
      </c>
      <c r="AH1100" s="2">
        <v>17453143.5</v>
      </c>
      <c r="AI1100" s="2">
        <v>0.04</v>
      </c>
      <c r="AJ1100" s="5">
        <v>44673</v>
      </c>
      <c r="AK1100" t="s">
        <v>12016</v>
      </c>
      <c r="AL1100" s="2">
        <v>0</v>
      </c>
      <c r="AM1100" s="2">
        <v>0</v>
      </c>
      <c r="AN1100" s="2">
        <v>0</v>
      </c>
      <c r="AO1100" t="s">
        <v>44</v>
      </c>
      <c r="AP1100" t="s">
        <v>11607</v>
      </c>
      <c r="AQ1100" t="s">
        <v>7660</v>
      </c>
    </row>
    <row r="1101" spans="1:43" x14ac:dyDescent="0.2">
      <c r="A1101" t="s">
        <v>12013</v>
      </c>
      <c r="B1101" t="s">
        <v>11608</v>
      </c>
      <c r="C1101" t="s">
        <v>11608</v>
      </c>
      <c r="D1101" t="s">
        <v>12745</v>
      </c>
      <c r="E1101" t="s">
        <v>12746</v>
      </c>
      <c r="F1101" t="s">
        <v>12745</v>
      </c>
      <c r="G1101" s="1">
        <v>304000000</v>
      </c>
      <c r="H1101" s="2">
        <v>0</v>
      </c>
      <c r="I1101" s="2">
        <v>113153.38</v>
      </c>
      <c r="J1101" s="2">
        <v>0</v>
      </c>
      <c r="K1101" s="2">
        <v>0</v>
      </c>
      <c r="L1101" s="2">
        <v>113153.38</v>
      </c>
      <c r="M1101" s="3">
        <v>3.7221999999999998E-2</v>
      </c>
      <c r="N1101" s="4">
        <v>2.5744E-4</v>
      </c>
      <c r="O1101" s="5" t="s">
        <v>44</v>
      </c>
      <c r="P1101" s="5">
        <v>44890</v>
      </c>
      <c r="Q1101" s="1">
        <v>0</v>
      </c>
      <c r="R1101" s="2"/>
      <c r="S1101" s="6">
        <v>0.34246575342500002</v>
      </c>
      <c r="T1101" t="s">
        <v>11412</v>
      </c>
      <c r="U1101" t="s">
        <v>11413</v>
      </c>
      <c r="V1101" t="s">
        <v>9802</v>
      </c>
      <c r="W1101" t="s">
        <v>43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s="4"/>
      <c r="AD1101" s="4"/>
      <c r="AE1101" s="2">
        <v>0</v>
      </c>
      <c r="AF1101" s="4">
        <v>0</v>
      </c>
      <c r="AG1101" s="2">
        <v>0.01</v>
      </c>
      <c r="AH1101" s="2">
        <v>113153.38</v>
      </c>
      <c r="AI1101" s="2">
        <v>0</v>
      </c>
      <c r="AJ1101" s="5">
        <v>44673</v>
      </c>
      <c r="AK1101" t="s">
        <v>12016</v>
      </c>
      <c r="AL1101" s="2">
        <v>0</v>
      </c>
      <c r="AM1101" s="2">
        <v>0</v>
      </c>
      <c r="AN1101" s="2">
        <v>0.34</v>
      </c>
      <c r="AO1101" t="s">
        <v>44</v>
      </c>
      <c r="AP1101" t="s">
        <v>44</v>
      </c>
      <c r="AQ1101" t="s">
        <v>44</v>
      </c>
    </row>
    <row r="1102" spans="1:43" x14ac:dyDescent="0.2">
      <c r="A1102" t="s">
        <v>12013</v>
      </c>
      <c r="B1102" t="s">
        <v>11608</v>
      </c>
      <c r="C1102" t="s">
        <v>11608</v>
      </c>
      <c r="D1102" t="s">
        <v>12747</v>
      </c>
      <c r="E1102" t="s">
        <v>12746</v>
      </c>
      <c r="F1102" t="s">
        <v>12747</v>
      </c>
      <c r="G1102" s="1">
        <v>-304000000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3"/>
      <c r="N1102" s="4">
        <v>0</v>
      </c>
      <c r="O1102" s="5" t="s">
        <v>44</v>
      </c>
      <c r="P1102" s="5">
        <v>44890</v>
      </c>
      <c r="Q1102" s="1">
        <v>0</v>
      </c>
      <c r="R1102" s="2"/>
      <c r="S1102" s="6"/>
      <c r="T1102" t="s">
        <v>11412</v>
      </c>
      <c r="U1102" t="s">
        <v>11413</v>
      </c>
      <c r="V1102" t="s">
        <v>9802</v>
      </c>
      <c r="W1102" t="s">
        <v>43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s="4"/>
      <c r="AD1102" s="4"/>
      <c r="AE1102" s="2">
        <v>0</v>
      </c>
      <c r="AF1102" s="4">
        <v>0</v>
      </c>
      <c r="AG1102" s="2">
        <v>0</v>
      </c>
      <c r="AH1102" s="2">
        <v>0</v>
      </c>
      <c r="AI1102" s="2">
        <v>0</v>
      </c>
      <c r="AJ1102" s="5">
        <v>44673</v>
      </c>
      <c r="AK1102" t="s">
        <v>12016</v>
      </c>
      <c r="AL1102" s="2">
        <v>0</v>
      </c>
      <c r="AM1102" s="2">
        <v>0</v>
      </c>
      <c r="AN1102" s="2">
        <v>0</v>
      </c>
      <c r="AO1102" t="s">
        <v>44</v>
      </c>
      <c r="AP1102" t="s">
        <v>44</v>
      </c>
      <c r="AQ1102" t="s">
        <v>44</v>
      </c>
    </row>
    <row r="1103" spans="1:43" x14ac:dyDescent="0.2">
      <c r="A1103" t="s">
        <v>12013</v>
      </c>
      <c r="B1103" t="s">
        <v>11608</v>
      </c>
      <c r="C1103" t="s">
        <v>11608</v>
      </c>
      <c r="D1103" t="s">
        <v>12748</v>
      </c>
      <c r="E1103" t="s">
        <v>12746</v>
      </c>
      <c r="F1103" t="s">
        <v>12748</v>
      </c>
      <c r="G1103" s="1">
        <v>304000000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3"/>
      <c r="N1103" s="4">
        <v>0</v>
      </c>
      <c r="O1103" s="5" t="s">
        <v>44</v>
      </c>
      <c r="P1103" s="5">
        <v>44890</v>
      </c>
      <c r="Q1103" s="1">
        <v>5.49</v>
      </c>
      <c r="R1103" s="2"/>
      <c r="S1103" s="6"/>
      <c r="T1103" t="s">
        <v>11412</v>
      </c>
      <c r="U1103" t="s">
        <v>11413</v>
      </c>
      <c r="V1103" t="s">
        <v>9802</v>
      </c>
      <c r="W1103" t="s">
        <v>43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s="4"/>
      <c r="AD1103" s="4"/>
      <c r="AE1103" s="2">
        <v>0</v>
      </c>
      <c r="AF1103" s="4">
        <v>0</v>
      </c>
      <c r="AG1103" s="2">
        <v>0</v>
      </c>
      <c r="AH1103" s="2">
        <v>0</v>
      </c>
      <c r="AI1103" s="2">
        <v>0</v>
      </c>
      <c r="AJ1103" s="5">
        <v>44673</v>
      </c>
      <c r="AK1103" t="s">
        <v>12016</v>
      </c>
      <c r="AL1103" s="2">
        <v>0</v>
      </c>
      <c r="AM1103" s="2">
        <v>5.49</v>
      </c>
      <c r="AN1103" s="2">
        <v>0</v>
      </c>
      <c r="AO1103" t="s">
        <v>44</v>
      </c>
      <c r="AP1103" t="s">
        <v>44</v>
      </c>
      <c r="AQ1103" t="s">
        <v>44</v>
      </c>
    </row>
    <row r="1104" spans="1:43" x14ac:dyDescent="0.2">
      <c r="A1104" t="s">
        <v>12013</v>
      </c>
      <c r="B1104" t="s">
        <v>11608</v>
      </c>
      <c r="C1104" t="s">
        <v>11608</v>
      </c>
      <c r="D1104" t="s">
        <v>11609</v>
      </c>
      <c r="E1104" t="s">
        <v>11610</v>
      </c>
      <c r="F1104" t="s">
        <v>11611</v>
      </c>
      <c r="G1104" s="1">
        <v>1056000000</v>
      </c>
      <c r="H1104" s="2">
        <v>0</v>
      </c>
      <c r="I1104" s="2">
        <v>695505.71</v>
      </c>
      <c r="J1104" s="2">
        <v>0</v>
      </c>
      <c r="K1104" s="2">
        <v>0</v>
      </c>
      <c r="L1104" s="2">
        <v>695505.71</v>
      </c>
      <c r="M1104" s="3">
        <v>6.5862000000000004E-2</v>
      </c>
      <c r="N1104" s="4">
        <v>1.5823499999999999E-3</v>
      </c>
      <c r="O1104" s="5" t="s">
        <v>44</v>
      </c>
      <c r="P1104" s="5">
        <v>44914</v>
      </c>
      <c r="Q1104" s="1">
        <v>0</v>
      </c>
      <c r="R1104" s="2"/>
      <c r="S1104" s="6">
        <v>0.40273972602699998</v>
      </c>
      <c r="T1104" t="s">
        <v>11412</v>
      </c>
      <c r="U1104" t="s">
        <v>11413</v>
      </c>
      <c r="V1104" t="s">
        <v>9802</v>
      </c>
      <c r="W1104" t="s">
        <v>43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s="4"/>
      <c r="AD1104" s="4"/>
      <c r="AE1104" s="2">
        <v>0</v>
      </c>
      <c r="AF1104" s="4">
        <v>0</v>
      </c>
      <c r="AG1104" s="2">
        <v>0.04</v>
      </c>
      <c r="AH1104" s="2">
        <v>695505.71</v>
      </c>
      <c r="AI1104" s="2">
        <v>0</v>
      </c>
      <c r="AJ1104" s="5">
        <v>44673</v>
      </c>
      <c r="AK1104" t="s">
        <v>12016</v>
      </c>
      <c r="AL1104" s="2">
        <v>0</v>
      </c>
      <c r="AM1104" s="2">
        <v>0</v>
      </c>
      <c r="AN1104" s="2">
        <v>0.4</v>
      </c>
      <c r="AO1104" t="s">
        <v>44</v>
      </c>
      <c r="AP1104" t="s">
        <v>44</v>
      </c>
      <c r="AQ1104" t="s">
        <v>44</v>
      </c>
    </row>
    <row r="1105" spans="1:43" x14ac:dyDescent="0.2">
      <c r="A1105" t="s">
        <v>12013</v>
      </c>
      <c r="B1105" t="s">
        <v>11608</v>
      </c>
      <c r="C1105" t="s">
        <v>11608</v>
      </c>
      <c r="D1105" t="s">
        <v>11612</v>
      </c>
      <c r="E1105" t="s">
        <v>11610</v>
      </c>
      <c r="F1105" t="s">
        <v>11613</v>
      </c>
      <c r="G1105" s="1">
        <v>-1056000000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3"/>
      <c r="N1105" s="4">
        <v>0</v>
      </c>
      <c r="O1105" s="5" t="s">
        <v>44</v>
      </c>
      <c r="P1105" s="5">
        <v>44914</v>
      </c>
      <c r="Q1105" s="1">
        <v>0</v>
      </c>
      <c r="R1105" s="2"/>
      <c r="S1105" s="6"/>
      <c r="T1105" t="s">
        <v>11412</v>
      </c>
      <c r="U1105" t="s">
        <v>11413</v>
      </c>
      <c r="V1105" t="s">
        <v>9802</v>
      </c>
      <c r="W1105" t="s">
        <v>43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s="4"/>
      <c r="AD1105" s="4"/>
      <c r="AE1105" s="2">
        <v>0</v>
      </c>
      <c r="AF1105" s="4">
        <v>0</v>
      </c>
      <c r="AG1105" s="2">
        <v>0</v>
      </c>
      <c r="AH1105" s="2">
        <v>0</v>
      </c>
      <c r="AI1105" s="2">
        <v>0</v>
      </c>
      <c r="AJ1105" s="5">
        <v>44673</v>
      </c>
      <c r="AK1105" t="s">
        <v>12016</v>
      </c>
      <c r="AL1105" s="2">
        <v>0</v>
      </c>
      <c r="AM1105" s="2">
        <v>0</v>
      </c>
      <c r="AN1105" s="2">
        <v>0</v>
      </c>
      <c r="AO1105" t="s">
        <v>44</v>
      </c>
      <c r="AP1105" t="s">
        <v>44</v>
      </c>
      <c r="AQ1105" t="s">
        <v>44</v>
      </c>
    </row>
    <row r="1106" spans="1:43" x14ac:dyDescent="0.2">
      <c r="A1106" t="s">
        <v>12013</v>
      </c>
      <c r="B1106" t="s">
        <v>11608</v>
      </c>
      <c r="C1106" t="s">
        <v>11608</v>
      </c>
      <c r="D1106" t="s">
        <v>11614</v>
      </c>
      <c r="E1106" t="s">
        <v>11610</v>
      </c>
      <c r="F1106" t="s">
        <v>11615</v>
      </c>
      <c r="G1106" s="1">
        <v>1056000000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3"/>
      <c r="N1106" s="4">
        <v>0</v>
      </c>
      <c r="O1106" s="5" t="s">
        <v>44</v>
      </c>
      <c r="P1106" s="5">
        <v>44914</v>
      </c>
      <c r="Q1106" s="1">
        <v>5.63</v>
      </c>
      <c r="R1106" s="2"/>
      <c r="S1106" s="6"/>
      <c r="T1106" t="s">
        <v>11412</v>
      </c>
      <c r="U1106" t="s">
        <v>11413</v>
      </c>
      <c r="V1106" t="s">
        <v>9802</v>
      </c>
      <c r="W1106" t="s">
        <v>43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s="4"/>
      <c r="AD1106" s="4"/>
      <c r="AE1106" s="2">
        <v>0</v>
      </c>
      <c r="AF1106" s="4">
        <v>0</v>
      </c>
      <c r="AG1106" s="2">
        <v>0</v>
      </c>
      <c r="AH1106" s="2">
        <v>0</v>
      </c>
      <c r="AI1106" s="2">
        <v>0</v>
      </c>
      <c r="AJ1106" s="5">
        <v>44673</v>
      </c>
      <c r="AK1106" t="s">
        <v>12016</v>
      </c>
      <c r="AL1106" s="2">
        <v>0</v>
      </c>
      <c r="AM1106" s="2">
        <v>5.63</v>
      </c>
      <c r="AN1106" s="2">
        <v>0</v>
      </c>
      <c r="AO1106" t="s">
        <v>44</v>
      </c>
      <c r="AP1106" t="s">
        <v>44</v>
      </c>
      <c r="AQ1106" t="s">
        <v>44</v>
      </c>
    </row>
    <row r="1107" spans="1:43" x14ac:dyDescent="0.2">
      <c r="A1107" t="s">
        <v>12013</v>
      </c>
      <c r="B1107" t="s">
        <v>11608</v>
      </c>
      <c r="C1107" t="s">
        <v>11608</v>
      </c>
      <c r="D1107" t="s">
        <v>12749</v>
      </c>
      <c r="E1107" t="s">
        <v>12750</v>
      </c>
      <c r="F1107" t="s">
        <v>12749</v>
      </c>
      <c r="G1107" s="1">
        <v>304000000</v>
      </c>
      <c r="H1107" s="2">
        <v>0</v>
      </c>
      <c r="I1107" s="2">
        <v>105711.84</v>
      </c>
      <c r="J1107" s="2">
        <v>0</v>
      </c>
      <c r="K1107" s="2">
        <v>0</v>
      </c>
      <c r="L1107" s="2">
        <v>105711.84</v>
      </c>
      <c r="M1107" s="3">
        <v>3.4773999999999999E-2</v>
      </c>
      <c r="N1107" s="4">
        <v>2.4051000000000001E-4</v>
      </c>
      <c r="O1107" s="5" t="s">
        <v>44</v>
      </c>
      <c r="P1107" s="5">
        <v>44890</v>
      </c>
      <c r="Q1107" s="1">
        <v>0</v>
      </c>
      <c r="R1107" s="2"/>
      <c r="S1107" s="6">
        <v>0.34246575342500002</v>
      </c>
      <c r="T1107" t="s">
        <v>11412</v>
      </c>
      <c r="U1107" t="s">
        <v>11413</v>
      </c>
      <c r="V1107" t="s">
        <v>9802</v>
      </c>
      <c r="W1107" t="s">
        <v>43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s="4"/>
      <c r="AD1107" s="4"/>
      <c r="AE1107" s="2">
        <v>0</v>
      </c>
      <c r="AF1107" s="4">
        <v>0</v>
      </c>
      <c r="AG1107" s="2">
        <v>0.01</v>
      </c>
      <c r="AH1107" s="2">
        <v>105711.84</v>
      </c>
      <c r="AI1107" s="2">
        <v>0</v>
      </c>
      <c r="AJ1107" s="5">
        <v>44673</v>
      </c>
      <c r="AK1107" t="s">
        <v>12016</v>
      </c>
      <c r="AL1107" s="2">
        <v>0</v>
      </c>
      <c r="AM1107" s="2">
        <v>0</v>
      </c>
      <c r="AN1107" s="2">
        <v>0.34</v>
      </c>
      <c r="AO1107" t="s">
        <v>44</v>
      </c>
      <c r="AP1107" t="s">
        <v>44</v>
      </c>
      <c r="AQ1107" t="s">
        <v>44</v>
      </c>
    </row>
    <row r="1108" spans="1:43" x14ac:dyDescent="0.2">
      <c r="A1108" t="s">
        <v>12013</v>
      </c>
      <c r="B1108" t="s">
        <v>11608</v>
      </c>
      <c r="C1108" t="s">
        <v>11608</v>
      </c>
      <c r="D1108" t="s">
        <v>12751</v>
      </c>
      <c r="E1108" t="s">
        <v>12750</v>
      </c>
      <c r="F1108" t="s">
        <v>12751</v>
      </c>
      <c r="G1108" s="1">
        <v>-304000000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3"/>
      <c r="N1108" s="4">
        <v>0</v>
      </c>
      <c r="O1108" s="5" t="s">
        <v>44</v>
      </c>
      <c r="P1108" s="5">
        <v>44890</v>
      </c>
      <c r="Q1108" s="1">
        <v>0</v>
      </c>
      <c r="R1108" s="2"/>
      <c r="S1108" s="6"/>
      <c r="T1108" t="s">
        <v>11412</v>
      </c>
      <c r="U1108" t="s">
        <v>11413</v>
      </c>
      <c r="V1108" t="s">
        <v>9802</v>
      </c>
      <c r="W1108" t="s">
        <v>43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s="4"/>
      <c r="AD1108" s="4"/>
      <c r="AE1108" s="2">
        <v>0</v>
      </c>
      <c r="AF1108" s="4">
        <v>0</v>
      </c>
      <c r="AG1108" s="2">
        <v>0</v>
      </c>
      <c r="AH1108" s="2">
        <v>0</v>
      </c>
      <c r="AI1108" s="2">
        <v>0</v>
      </c>
      <c r="AJ1108" s="5">
        <v>44673</v>
      </c>
      <c r="AK1108" t="s">
        <v>12016</v>
      </c>
      <c r="AL1108" s="2">
        <v>0</v>
      </c>
      <c r="AM1108" s="2">
        <v>0</v>
      </c>
      <c r="AN1108" s="2">
        <v>0</v>
      </c>
      <c r="AO1108" t="s">
        <v>44</v>
      </c>
      <c r="AP1108" t="s">
        <v>44</v>
      </c>
      <c r="AQ1108" t="s">
        <v>44</v>
      </c>
    </row>
    <row r="1109" spans="1:43" x14ac:dyDescent="0.2">
      <c r="A1109" t="s">
        <v>12013</v>
      </c>
      <c r="B1109" t="s">
        <v>11608</v>
      </c>
      <c r="C1109" t="s">
        <v>11608</v>
      </c>
      <c r="D1109" t="s">
        <v>12752</v>
      </c>
      <c r="E1109" t="s">
        <v>12750</v>
      </c>
      <c r="F1109" t="s">
        <v>12752</v>
      </c>
      <c r="G1109" s="1">
        <v>304000000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3"/>
      <c r="N1109" s="4">
        <v>0</v>
      </c>
      <c r="O1109" s="5" t="s">
        <v>44</v>
      </c>
      <c r="P1109" s="5">
        <v>44890</v>
      </c>
      <c r="Q1109" s="1">
        <v>5.48</v>
      </c>
      <c r="R1109" s="2"/>
      <c r="S1109" s="6"/>
      <c r="T1109" t="s">
        <v>11412</v>
      </c>
      <c r="U1109" t="s">
        <v>11413</v>
      </c>
      <c r="V1109" t="s">
        <v>9802</v>
      </c>
      <c r="W1109" t="s">
        <v>43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s="4"/>
      <c r="AD1109" s="4"/>
      <c r="AE1109" s="2">
        <v>0</v>
      </c>
      <c r="AF1109" s="4">
        <v>0</v>
      </c>
      <c r="AG1109" s="2">
        <v>0</v>
      </c>
      <c r="AH1109" s="2">
        <v>0</v>
      </c>
      <c r="AI1109" s="2">
        <v>0</v>
      </c>
      <c r="AJ1109" s="5">
        <v>44673</v>
      </c>
      <c r="AK1109" t="s">
        <v>12016</v>
      </c>
      <c r="AL1109" s="2">
        <v>0</v>
      </c>
      <c r="AM1109" s="2">
        <v>5.48</v>
      </c>
      <c r="AN1109" s="2">
        <v>0</v>
      </c>
      <c r="AO1109" t="s">
        <v>44</v>
      </c>
      <c r="AP1109" t="s">
        <v>44</v>
      </c>
      <c r="AQ1109" t="s">
        <v>44</v>
      </c>
    </row>
    <row r="1110" spans="1:43" x14ac:dyDescent="0.2">
      <c r="A1110" t="s">
        <v>12013</v>
      </c>
      <c r="B1110" t="s">
        <v>11038</v>
      </c>
      <c r="C1110" t="s">
        <v>11039</v>
      </c>
      <c r="D1110" t="s">
        <v>12054</v>
      </c>
      <c r="E1110" t="s">
        <v>12055</v>
      </c>
      <c r="F1110" t="s">
        <v>12054</v>
      </c>
      <c r="G1110" s="1">
        <v>9000000</v>
      </c>
      <c r="H1110" s="2">
        <v>9007447.8100000005</v>
      </c>
      <c r="I1110" s="2">
        <v>9002384.2300000004</v>
      </c>
      <c r="J1110" s="2">
        <v>173941.64</v>
      </c>
      <c r="K1110" s="2">
        <v>0</v>
      </c>
      <c r="L1110" s="2">
        <v>9176325.8699999992</v>
      </c>
      <c r="M1110" s="3">
        <v>5.6768450000000001</v>
      </c>
      <c r="N1110" s="4">
        <v>2.0877130000000001E-2</v>
      </c>
      <c r="O1110" s="5">
        <v>44917</v>
      </c>
      <c r="P1110" s="5">
        <v>44917</v>
      </c>
      <c r="Q1110" s="1">
        <v>5.83</v>
      </c>
      <c r="R1110" s="2">
        <v>0.66</v>
      </c>
      <c r="S1110" s="6">
        <v>0.63641924095000002</v>
      </c>
      <c r="T1110" t="s">
        <v>111</v>
      </c>
      <c r="U1110" t="s">
        <v>11040</v>
      </c>
      <c r="V1110" t="s">
        <v>11041</v>
      </c>
      <c r="W1110" t="s">
        <v>11979</v>
      </c>
      <c r="X1110" t="s">
        <v>11034</v>
      </c>
      <c r="Y1110" t="s">
        <v>44</v>
      </c>
      <c r="Z1110" t="s">
        <v>44</v>
      </c>
      <c r="AA1110" t="s">
        <v>11465</v>
      </c>
      <c r="AB1110" t="s">
        <v>44</v>
      </c>
      <c r="AC1110" s="4">
        <v>5.7312587800000001</v>
      </c>
      <c r="AD1110" s="4">
        <v>5.58600064</v>
      </c>
      <c r="AE1110" s="2">
        <v>5.73</v>
      </c>
      <c r="AF1110" s="4">
        <v>5.58600064</v>
      </c>
      <c r="AG1110" s="2">
        <v>0.51</v>
      </c>
      <c r="AH1110" s="2">
        <v>9176325.8699999992</v>
      </c>
      <c r="AI1110" s="2">
        <v>0.02</v>
      </c>
      <c r="AJ1110" s="5">
        <v>44673</v>
      </c>
      <c r="AK1110" t="s">
        <v>12016</v>
      </c>
      <c r="AL1110" s="2">
        <v>5.65</v>
      </c>
      <c r="AM1110" s="2">
        <v>5.83</v>
      </c>
      <c r="AN1110" s="2">
        <v>0.64</v>
      </c>
      <c r="AO1110" t="s">
        <v>11980</v>
      </c>
      <c r="AP1110" t="s">
        <v>44</v>
      </c>
      <c r="AQ1110" t="s">
        <v>12055</v>
      </c>
    </row>
    <row r="1111" spans="1:43" x14ac:dyDescent="0.2">
      <c r="A1111" t="s">
        <v>12013</v>
      </c>
      <c r="B1111" t="s">
        <v>11038</v>
      </c>
      <c r="C1111" t="s">
        <v>11039</v>
      </c>
      <c r="D1111" t="s">
        <v>12056</v>
      </c>
      <c r="E1111" t="s">
        <v>12057</v>
      </c>
      <c r="F1111" t="s">
        <v>12056</v>
      </c>
      <c r="G1111" s="1">
        <v>20000000</v>
      </c>
      <c r="H1111" s="2">
        <v>19965774.02</v>
      </c>
      <c r="I1111" s="2">
        <v>19957955.620000001</v>
      </c>
      <c r="J1111" s="2">
        <v>237205.48</v>
      </c>
      <c r="K1111" s="2">
        <v>0</v>
      </c>
      <c r="L1111" s="2">
        <v>20195161.100000001</v>
      </c>
      <c r="M1111" s="3">
        <v>6.0544840000000004</v>
      </c>
      <c r="N1111" s="4">
        <v>4.5946170000000001E-2</v>
      </c>
      <c r="O1111" s="5">
        <v>44965</v>
      </c>
      <c r="P1111" s="5">
        <v>44965</v>
      </c>
      <c r="Q1111" s="1">
        <v>5.85</v>
      </c>
      <c r="R1111" s="2">
        <v>0.79</v>
      </c>
      <c r="S1111" s="6">
        <v>0.75556057299000001</v>
      </c>
      <c r="T1111" t="s">
        <v>111</v>
      </c>
      <c r="U1111" t="s">
        <v>11040</v>
      </c>
      <c r="V1111" t="s">
        <v>11041</v>
      </c>
      <c r="W1111" t="s">
        <v>11979</v>
      </c>
      <c r="X1111" t="s">
        <v>11034</v>
      </c>
      <c r="Y1111" t="s">
        <v>44</v>
      </c>
      <c r="Z1111" t="s">
        <v>44</v>
      </c>
      <c r="AA1111" t="s">
        <v>11465</v>
      </c>
      <c r="AB1111" t="s">
        <v>44</v>
      </c>
      <c r="AC1111" s="4">
        <v>6.0922073000000001</v>
      </c>
      <c r="AD1111" s="4">
        <v>5.9284372799999998</v>
      </c>
      <c r="AE1111" s="2">
        <v>6.09</v>
      </c>
      <c r="AF1111" s="4">
        <v>5.9284372799999998</v>
      </c>
      <c r="AG1111" s="2">
        <v>1.1200000000000001</v>
      </c>
      <c r="AH1111" s="2">
        <v>20195161.100000001</v>
      </c>
      <c r="AI1111" s="2">
        <v>0.05</v>
      </c>
      <c r="AJ1111" s="5">
        <v>44673</v>
      </c>
      <c r="AK1111" t="s">
        <v>12016</v>
      </c>
      <c r="AL1111" s="2">
        <v>6</v>
      </c>
      <c r="AM1111" s="2">
        <v>5.85</v>
      </c>
      <c r="AN1111" s="2">
        <v>0.76</v>
      </c>
      <c r="AO1111" t="s">
        <v>11980</v>
      </c>
      <c r="AP1111" t="s">
        <v>44</v>
      </c>
      <c r="AQ1111" t="s">
        <v>12057</v>
      </c>
    </row>
    <row r="1112" spans="1:43" x14ac:dyDescent="0.2">
      <c r="A1112" t="s">
        <v>12013</v>
      </c>
      <c r="B1112" t="s">
        <v>11038</v>
      </c>
      <c r="C1112" t="s">
        <v>11039</v>
      </c>
      <c r="D1112" t="s">
        <v>12058</v>
      </c>
      <c r="E1112" t="s">
        <v>12059</v>
      </c>
      <c r="F1112" t="s">
        <v>12058</v>
      </c>
      <c r="G1112" s="1">
        <v>70000000</v>
      </c>
      <c r="H1112" s="2">
        <v>70000000</v>
      </c>
      <c r="I1112" s="2">
        <v>69897257.799999997</v>
      </c>
      <c r="J1112" s="2">
        <v>620027.4</v>
      </c>
      <c r="K1112" s="2">
        <v>0</v>
      </c>
      <c r="L1112" s="2">
        <v>70517285.200000003</v>
      </c>
      <c r="M1112" s="3">
        <v>6.2247349999999999</v>
      </c>
      <c r="N1112" s="4">
        <v>0.16043441999999999</v>
      </c>
      <c r="O1112" s="5">
        <v>44986</v>
      </c>
      <c r="P1112" s="5">
        <v>44986</v>
      </c>
      <c r="Q1112" s="1">
        <v>6.1</v>
      </c>
      <c r="R1112" s="2">
        <v>0.85</v>
      </c>
      <c r="S1112" s="6">
        <v>0.80666843345000006</v>
      </c>
      <c r="T1112" t="s">
        <v>111</v>
      </c>
      <c r="U1112" t="s">
        <v>11040</v>
      </c>
      <c r="V1112" t="s">
        <v>11041</v>
      </c>
      <c r="W1112" t="s">
        <v>11979</v>
      </c>
      <c r="X1112" t="s">
        <v>11034</v>
      </c>
      <c r="Y1112" t="s">
        <v>44</v>
      </c>
      <c r="Z1112" t="s">
        <v>44</v>
      </c>
      <c r="AA1112" t="s">
        <v>11465</v>
      </c>
      <c r="AB1112" t="s">
        <v>44</v>
      </c>
      <c r="AC1112" s="4">
        <v>6.2535150599999998</v>
      </c>
      <c r="AD1112" s="4">
        <v>6.0811269299999999</v>
      </c>
      <c r="AE1112" s="2">
        <v>6.25</v>
      </c>
      <c r="AF1112" s="4">
        <v>6.0811269299999999</v>
      </c>
      <c r="AG1112" s="2">
        <v>3.9</v>
      </c>
      <c r="AH1112" s="2">
        <v>70517285.200000003</v>
      </c>
      <c r="AI1112" s="2">
        <v>0.16</v>
      </c>
      <c r="AJ1112" s="5">
        <v>44673</v>
      </c>
      <c r="AK1112" t="s">
        <v>12016</v>
      </c>
      <c r="AL1112" s="2">
        <v>6.16</v>
      </c>
      <c r="AM1112" s="2">
        <v>6.1</v>
      </c>
      <c r="AN1112" s="2">
        <v>0.81</v>
      </c>
      <c r="AO1112" t="s">
        <v>11980</v>
      </c>
      <c r="AP1112" t="s">
        <v>44</v>
      </c>
      <c r="AQ1112" t="s">
        <v>12059</v>
      </c>
    </row>
    <row r="1113" spans="1:43" x14ac:dyDescent="0.2">
      <c r="A1113" t="s">
        <v>12013</v>
      </c>
      <c r="B1113" t="s">
        <v>11038</v>
      </c>
      <c r="C1113" t="s">
        <v>11039</v>
      </c>
      <c r="D1113" t="s">
        <v>12060</v>
      </c>
      <c r="E1113" t="s">
        <v>12061</v>
      </c>
      <c r="F1113" t="s">
        <v>12060</v>
      </c>
      <c r="G1113" s="1">
        <v>17000000</v>
      </c>
      <c r="H1113" s="2">
        <v>16993156.530000001</v>
      </c>
      <c r="I1113" s="2">
        <v>16994085.68</v>
      </c>
      <c r="J1113" s="2">
        <v>170881.21</v>
      </c>
      <c r="K1113" s="2">
        <v>0</v>
      </c>
      <c r="L1113" s="2">
        <v>17164966.890000001</v>
      </c>
      <c r="M1113" s="3">
        <v>5.0660429999999996</v>
      </c>
      <c r="N1113" s="4">
        <v>3.9052150000000001E-2</v>
      </c>
      <c r="O1113" s="5">
        <v>44690</v>
      </c>
      <c r="P1113" s="5">
        <v>44965</v>
      </c>
      <c r="Q1113" s="1">
        <v>4.9580000000000002</v>
      </c>
      <c r="R1113" s="2">
        <v>0.04</v>
      </c>
      <c r="S1113" s="6">
        <v>3.2043141348000001E-2</v>
      </c>
      <c r="T1113" t="s">
        <v>111</v>
      </c>
      <c r="U1113" t="s">
        <v>11040</v>
      </c>
      <c r="V1113" t="s">
        <v>11189</v>
      </c>
      <c r="W1113" t="s">
        <v>11979</v>
      </c>
      <c r="X1113" t="s">
        <v>11034</v>
      </c>
      <c r="Y1113" t="s">
        <v>44</v>
      </c>
      <c r="Z1113" t="s">
        <v>44</v>
      </c>
      <c r="AA1113" t="s">
        <v>10979</v>
      </c>
      <c r="AB1113" t="s">
        <v>44</v>
      </c>
      <c r="AC1113" s="4">
        <v>5.1913909199999999</v>
      </c>
      <c r="AD1113" s="4">
        <v>5.0718154999999996</v>
      </c>
      <c r="AE1113" s="2">
        <v>5.19</v>
      </c>
      <c r="AF1113" s="4">
        <v>5.0718154999999996</v>
      </c>
      <c r="AG1113" s="2">
        <v>0.95</v>
      </c>
      <c r="AH1113" s="2">
        <v>17164966.890000001</v>
      </c>
      <c r="AI1113" s="2">
        <v>0.04</v>
      </c>
      <c r="AJ1113" s="5">
        <v>44673</v>
      </c>
      <c r="AK1113" t="s">
        <v>12016</v>
      </c>
      <c r="AL1113" s="2">
        <v>5.13</v>
      </c>
      <c r="AM1113" s="2">
        <v>4.96</v>
      </c>
      <c r="AN1113" s="2">
        <v>0.03</v>
      </c>
      <c r="AO1113" t="s">
        <v>11054</v>
      </c>
      <c r="AP1113" t="s">
        <v>44</v>
      </c>
      <c r="AQ1113" t="s">
        <v>12061</v>
      </c>
    </row>
    <row r="1114" spans="1:43" x14ac:dyDescent="0.2">
      <c r="A1114" t="s">
        <v>12013</v>
      </c>
      <c r="B1114" t="s">
        <v>11038</v>
      </c>
      <c r="C1114" t="s">
        <v>11039</v>
      </c>
      <c r="D1114" t="s">
        <v>12062</v>
      </c>
      <c r="E1114" t="s">
        <v>12063</v>
      </c>
      <c r="F1114" t="s">
        <v>12062</v>
      </c>
      <c r="G1114" s="1">
        <v>25000000</v>
      </c>
      <c r="H1114" s="2">
        <v>24944756.82</v>
      </c>
      <c r="I1114" s="2">
        <v>24941262.73</v>
      </c>
      <c r="J1114" s="2">
        <v>311130.14</v>
      </c>
      <c r="K1114" s="2">
        <v>0</v>
      </c>
      <c r="L1114" s="2">
        <v>25252392.870000001</v>
      </c>
      <c r="M1114" s="3">
        <v>5.990659</v>
      </c>
      <c r="N1114" s="4">
        <v>5.7451910000000002E-2</v>
      </c>
      <c r="O1114" s="5">
        <v>44959</v>
      </c>
      <c r="P1114" s="5">
        <v>44959</v>
      </c>
      <c r="Q1114" s="1">
        <v>5.75</v>
      </c>
      <c r="R1114" s="2">
        <v>0.78</v>
      </c>
      <c r="S1114" s="6">
        <v>0.74092776303999996</v>
      </c>
      <c r="T1114" t="s">
        <v>111</v>
      </c>
      <c r="U1114" t="s">
        <v>11040</v>
      </c>
      <c r="V1114" t="s">
        <v>11041</v>
      </c>
      <c r="W1114" t="s">
        <v>11979</v>
      </c>
      <c r="X1114" t="s">
        <v>11034</v>
      </c>
      <c r="Y1114" t="s">
        <v>44</v>
      </c>
      <c r="Z1114" t="s">
        <v>44</v>
      </c>
      <c r="AA1114" t="s">
        <v>11035</v>
      </c>
      <c r="AB1114" t="s">
        <v>44</v>
      </c>
      <c r="AC1114" s="4">
        <v>6.0305365999999996</v>
      </c>
      <c r="AD1114" s="4">
        <v>5.8700051999999996</v>
      </c>
      <c r="AE1114" s="2">
        <v>6.03</v>
      </c>
      <c r="AF1114" s="4">
        <v>5.8700051999999996</v>
      </c>
      <c r="AG1114" s="2">
        <v>1.4</v>
      </c>
      <c r="AH1114" s="2">
        <v>25252392.870000001</v>
      </c>
      <c r="AI1114" s="2">
        <v>0.06</v>
      </c>
      <c r="AJ1114" s="5">
        <v>44673</v>
      </c>
      <c r="AK1114" t="s">
        <v>12016</v>
      </c>
      <c r="AL1114" s="2">
        <v>5.94</v>
      </c>
      <c r="AM1114" s="2">
        <v>5.75</v>
      </c>
      <c r="AN1114" s="2">
        <v>0.74</v>
      </c>
      <c r="AO1114" t="s">
        <v>11036</v>
      </c>
      <c r="AP1114" t="s">
        <v>44</v>
      </c>
      <c r="AQ1114" t="s">
        <v>12063</v>
      </c>
    </row>
    <row r="1115" spans="1:43" x14ac:dyDescent="0.2">
      <c r="A1115" t="s">
        <v>12013</v>
      </c>
      <c r="B1115" t="s">
        <v>11038</v>
      </c>
      <c r="C1115" t="s">
        <v>11039</v>
      </c>
      <c r="D1115" t="s">
        <v>12064</v>
      </c>
      <c r="E1115" t="s">
        <v>12065</v>
      </c>
      <c r="F1115" t="s">
        <v>12064</v>
      </c>
      <c r="G1115" s="1">
        <v>63000000</v>
      </c>
      <c r="H1115" s="2">
        <v>62998748.990000002</v>
      </c>
      <c r="I1115" s="2">
        <v>62958586.170000002</v>
      </c>
      <c r="J1115" s="2">
        <v>1021117.81</v>
      </c>
      <c r="K1115" s="2">
        <v>0</v>
      </c>
      <c r="L1115" s="2">
        <v>63979703.979999997</v>
      </c>
      <c r="M1115" s="3">
        <v>5.799893</v>
      </c>
      <c r="N1115" s="4">
        <v>0.14556071000000001</v>
      </c>
      <c r="O1115" s="5">
        <v>44937</v>
      </c>
      <c r="P1115" s="5">
        <v>44937</v>
      </c>
      <c r="Q1115" s="1">
        <v>5.8</v>
      </c>
      <c r="R1115" s="2">
        <v>0.72</v>
      </c>
      <c r="S1115" s="6">
        <v>0.68659326611000004</v>
      </c>
      <c r="T1115" t="s">
        <v>111</v>
      </c>
      <c r="U1115" t="s">
        <v>11040</v>
      </c>
      <c r="V1115" t="s">
        <v>11041</v>
      </c>
      <c r="W1115" t="s">
        <v>11979</v>
      </c>
      <c r="X1115" t="s">
        <v>11034</v>
      </c>
      <c r="Y1115" t="s">
        <v>44</v>
      </c>
      <c r="Z1115" t="s">
        <v>44</v>
      </c>
      <c r="AA1115" t="s">
        <v>10979</v>
      </c>
      <c r="AB1115" t="s">
        <v>44</v>
      </c>
      <c r="AC1115" s="4">
        <v>5.8474250899999998</v>
      </c>
      <c r="AD1115" s="4">
        <v>5.6963259500000003</v>
      </c>
      <c r="AE1115" s="2">
        <v>5.85</v>
      </c>
      <c r="AF1115" s="4">
        <v>5.6963259500000003</v>
      </c>
      <c r="AG1115" s="2">
        <v>3.54</v>
      </c>
      <c r="AH1115" s="2">
        <v>63979703.979999997</v>
      </c>
      <c r="AI1115" s="2">
        <v>0.15</v>
      </c>
      <c r="AJ1115" s="5">
        <v>44673</v>
      </c>
      <c r="AK1115" t="s">
        <v>12016</v>
      </c>
      <c r="AL1115" s="2">
        <v>5.76</v>
      </c>
      <c r="AM1115" s="2">
        <v>5.8</v>
      </c>
      <c r="AN1115" s="2">
        <v>0.69</v>
      </c>
      <c r="AO1115" t="s">
        <v>11179</v>
      </c>
      <c r="AP1115" t="s">
        <v>44</v>
      </c>
      <c r="AQ1115" t="s">
        <v>12065</v>
      </c>
    </row>
    <row r="1116" spans="1:43" x14ac:dyDescent="0.2">
      <c r="A1116" t="s">
        <v>12013</v>
      </c>
      <c r="B1116" t="s">
        <v>11038</v>
      </c>
      <c r="C1116" t="s">
        <v>11039</v>
      </c>
      <c r="D1116" t="s">
        <v>12066</v>
      </c>
      <c r="E1116" t="s">
        <v>12067</v>
      </c>
      <c r="F1116" t="s">
        <v>12066</v>
      </c>
      <c r="G1116" s="1">
        <v>45500000</v>
      </c>
      <c r="H1116" s="2">
        <v>45500000</v>
      </c>
      <c r="I1116" s="2">
        <v>45497515.039999999</v>
      </c>
      <c r="J1116" s="2">
        <v>432825.92</v>
      </c>
      <c r="K1116" s="2">
        <v>0</v>
      </c>
      <c r="L1116" s="2">
        <v>45930340.960000001</v>
      </c>
      <c r="M1116" s="3">
        <v>5.7743729999999998</v>
      </c>
      <c r="N1116" s="4">
        <v>0.10449646999999999</v>
      </c>
      <c r="O1116" s="5">
        <v>44700</v>
      </c>
      <c r="P1116" s="5">
        <v>44884</v>
      </c>
      <c r="Q1116" s="1">
        <v>5.6920000000000002</v>
      </c>
      <c r="R1116" s="2">
        <v>7.0000000000000007E-2</v>
      </c>
      <c r="S1116" s="6">
        <v>5.6926338370000003E-2</v>
      </c>
      <c r="T1116" t="s">
        <v>111</v>
      </c>
      <c r="U1116" t="s">
        <v>11040</v>
      </c>
      <c r="V1116" t="s">
        <v>114</v>
      </c>
      <c r="W1116" t="s">
        <v>43</v>
      </c>
      <c r="X1116" t="s">
        <v>10988</v>
      </c>
      <c r="Y1116" t="s">
        <v>44</v>
      </c>
      <c r="Z1116" t="s">
        <v>44</v>
      </c>
      <c r="AA1116" t="s">
        <v>10979</v>
      </c>
      <c r="AB1116" t="s">
        <v>44</v>
      </c>
      <c r="AC1116" s="4">
        <v>5.9327623100000002</v>
      </c>
      <c r="AD1116" s="4">
        <v>5.7773016000000004</v>
      </c>
      <c r="AE1116" s="2">
        <v>5.93</v>
      </c>
      <c r="AF1116" s="4">
        <v>5.7773016000000004</v>
      </c>
      <c r="AG1116" s="2">
        <v>2.54</v>
      </c>
      <c r="AH1116" s="2">
        <v>45930340.960000001</v>
      </c>
      <c r="AI1116" s="2">
        <v>0.1</v>
      </c>
      <c r="AJ1116" s="5">
        <v>44673</v>
      </c>
      <c r="AK1116" t="s">
        <v>12016</v>
      </c>
      <c r="AL1116" s="2">
        <v>5.85</v>
      </c>
      <c r="AM1116" s="2">
        <v>5.69</v>
      </c>
      <c r="AN1116" s="2">
        <v>0.06</v>
      </c>
      <c r="AO1116" t="s">
        <v>11983</v>
      </c>
      <c r="AP1116" t="s">
        <v>12068</v>
      </c>
      <c r="AQ1116" t="s">
        <v>12067</v>
      </c>
    </row>
    <row r="1117" spans="1:43" x14ac:dyDescent="0.2">
      <c r="A1117" t="s">
        <v>12013</v>
      </c>
      <c r="B1117" t="s">
        <v>11038</v>
      </c>
      <c r="C1117" t="s">
        <v>11039</v>
      </c>
      <c r="D1117" t="s">
        <v>12069</v>
      </c>
      <c r="E1117" t="s">
        <v>12070</v>
      </c>
      <c r="F1117" t="s">
        <v>12069</v>
      </c>
      <c r="G1117" s="1">
        <v>17000000</v>
      </c>
      <c r="H1117" s="2">
        <v>16993156.530000001</v>
      </c>
      <c r="I1117" s="2">
        <v>16994085.68</v>
      </c>
      <c r="J1117" s="2">
        <v>170881.21</v>
      </c>
      <c r="K1117" s="2">
        <v>0</v>
      </c>
      <c r="L1117" s="2">
        <v>17164966.890000001</v>
      </c>
      <c r="M1117" s="3">
        <v>5.0660429999999996</v>
      </c>
      <c r="N1117" s="4">
        <v>3.9052150000000001E-2</v>
      </c>
      <c r="O1117" s="5">
        <v>44690</v>
      </c>
      <c r="P1117" s="5">
        <v>44965</v>
      </c>
      <c r="Q1117" s="1">
        <v>4.9580000000000002</v>
      </c>
      <c r="R1117" s="2">
        <v>0.04</v>
      </c>
      <c r="S1117" s="6">
        <v>3.2043141348000001E-2</v>
      </c>
      <c r="T1117" t="s">
        <v>111</v>
      </c>
      <c r="U1117" t="s">
        <v>11040</v>
      </c>
      <c r="V1117" t="s">
        <v>11189</v>
      </c>
      <c r="W1117" t="s">
        <v>11979</v>
      </c>
      <c r="X1117" t="s">
        <v>11034</v>
      </c>
      <c r="Y1117" t="s">
        <v>44</v>
      </c>
      <c r="Z1117" t="s">
        <v>44</v>
      </c>
      <c r="AA1117" t="s">
        <v>10979</v>
      </c>
      <c r="AB1117" t="s">
        <v>44</v>
      </c>
      <c r="AC1117" s="4">
        <v>5.1913909199999999</v>
      </c>
      <c r="AD1117" s="4">
        <v>5.0718154999999996</v>
      </c>
      <c r="AE1117" s="2">
        <v>5.19</v>
      </c>
      <c r="AF1117" s="4">
        <v>5.0718154999999996</v>
      </c>
      <c r="AG1117" s="2">
        <v>0.95</v>
      </c>
      <c r="AH1117" s="2">
        <v>17164966.890000001</v>
      </c>
      <c r="AI1117" s="2">
        <v>0.04</v>
      </c>
      <c r="AJ1117" s="5">
        <v>44673</v>
      </c>
      <c r="AK1117" t="s">
        <v>12016</v>
      </c>
      <c r="AL1117" s="2">
        <v>5.13</v>
      </c>
      <c r="AM1117" s="2">
        <v>4.96</v>
      </c>
      <c r="AN1117" s="2">
        <v>0.03</v>
      </c>
      <c r="AO1117" t="s">
        <v>11179</v>
      </c>
      <c r="AP1117" t="s">
        <v>44</v>
      </c>
      <c r="AQ1117" t="s">
        <v>12070</v>
      </c>
    </row>
    <row r="1118" spans="1:43" x14ac:dyDescent="0.2">
      <c r="A1118" t="s">
        <v>12013</v>
      </c>
      <c r="B1118" t="s">
        <v>11038</v>
      </c>
      <c r="C1118" t="s">
        <v>11222</v>
      </c>
      <c r="D1118" t="s">
        <v>11891</v>
      </c>
      <c r="E1118" t="s">
        <v>11892</v>
      </c>
      <c r="F1118" t="s">
        <v>11891</v>
      </c>
      <c r="G1118" s="1">
        <v>34600000</v>
      </c>
      <c r="H1118" s="2">
        <v>34653931.68</v>
      </c>
      <c r="I1118" s="2">
        <v>34652154.170000002</v>
      </c>
      <c r="J1118" s="2">
        <v>296683.15000000002</v>
      </c>
      <c r="K1118" s="2">
        <v>0</v>
      </c>
      <c r="L1118" s="2">
        <v>34948837.32</v>
      </c>
      <c r="M1118" s="3">
        <v>7.9353490000000004</v>
      </c>
      <c r="N1118" s="4">
        <v>7.9512369999999999E-2</v>
      </c>
      <c r="O1118" s="5">
        <v>44727</v>
      </c>
      <c r="P1118" s="5">
        <v>45642</v>
      </c>
      <c r="Q1118" s="1">
        <v>8.0250000000000004</v>
      </c>
      <c r="R1118" s="2">
        <v>0.14000000000000001</v>
      </c>
      <c r="S1118" s="6">
        <v>7.6335008319000003E-2</v>
      </c>
      <c r="T1118" t="s">
        <v>111</v>
      </c>
      <c r="U1118" t="s">
        <v>11040</v>
      </c>
      <c r="V1118" t="s">
        <v>114</v>
      </c>
      <c r="W1118" t="s">
        <v>43</v>
      </c>
      <c r="X1118" t="s">
        <v>10988</v>
      </c>
      <c r="Y1118" t="s">
        <v>44</v>
      </c>
      <c r="Z1118" t="s">
        <v>44</v>
      </c>
      <c r="AA1118" t="s">
        <v>44</v>
      </c>
      <c r="AB1118" t="s">
        <v>44</v>
      </c>
      <c r="AC1118" s="4">
        <v>8.2114278699999996</v>
      </c>
      <c r="AD1118" s="4">
        <v>7.9176856799999999</v>
      </c>
      <c r="AE1118" s="2">
        <v>8.2100000000000009</v>
      </c>
      <c r="AF1118" s="4">
        <v>7.9176856799999999</v>
      </c>
      <c r="AG1118" s="2">
        <v>1.93</v>
      </c>
      <c r="AH1118" s="2">
        <v>34948837.32</v>
      </c>
      <c r="AI1118" s="2">
        <v>0.08</v>
      </c>
      <c r="AJ1118" s="5">
        <v>44673</v>
      </c>
      <c r="AK1118" t="s">
        <v>12016</v>
      </c>
      <c r="AL1118" s="2">
        <v>8.0500000000000007</v>
      </c>
      <c r="AM1118" s="2">
        <v>8.0299999999999994</v>
      </c>
      <c r="AN1118" s="2">
        <v>0.08</v>
      </c>
      <c r="AO1118" t="s">
        <v>11871</v>
      </c>
      <c r="AP1118" t="s">
        <v>11893</v>
      </c>
      <c r="AQ1118" t="s">
        <v>11892</v>
      </c>
    </row>
    <row r="1119" spans="1:43" x14ac:dyDescent="0.2">
      <c r="A1119" t="s">
        <v>12013</v>
      </c>
      <c r="B1119" t="s">
        <v>11160</v>
      </c>
      <c r="C1119" t="s">
        <v>11161</v>
      </c>
      <c r="D1119" t="s">
        <v>11162</v>
      </c>
      <c r="E1119" t="s">
        <v>11163</v>
      </c>
      <c r="F1119" t="s">
        <v>11162</v>
      </c>
      <c r="G1119" s="1">
        <v>53800</v>
      </c>
      <c r="H1119" s="2">
        <v>45850462</v>
      </c>
      <c r="I1119" s="2">
        <v>48420000</v>
      </c>
      <c r="J1119" s="2">
        <v>0</v>
      </c>
      <c r="K1119" s="2">
        <v>1073464.77</v>
      </c>
      <c r="L1119" s="2">
        <v>49493464.770000003</v>
      </c>
      <c r="M1119" s="3">
        <v>90000</v>
      </c>
      <c r="N1119" s="4">
        <v>0.11260296</v>
      </c>
      <c r="O1119" s="5" t="s">
        <v>44</v>
      </c>
      <c r="P1119" s="5" t="s">
        <v>44</v>
      </c>
      <c r="Q1119" s="1"/>
      <c r="R1119" s="2"/>
      <c r="S1119" s="6"/>
      <c r="T1119" t="s">
        <v>10902</v>
      </c>
      <c r="U1119" t="s">
        <v>10902</v>
      </c>
      <c r="V1119" t="s">
        <v>11164</v>
      </c>
      <c r="W1119" t="s">
        <v>43</v>
      </c>
      <c r="X1119" t="s">
        <v>44</v>
      </c>
      <c r="Y1119" t="s">
        <v>44</v>
      </c>
      <c r="Z1119" t="s">
        <v>44</v>
      </c>
      <c r="AA1119" t="s">
        <v>10979</v>
      </c>
      <c r="AB1119" t="s">
        <v>44</v>
      </c>
      <c r="AC1119" s="4"/>
      <c r="AD1119" s="4"/>
      <c r="AE1119" s="2">
        <v>0</v>
      </c>
      <c r="AF1119" s="4">
        <v>0</v>
      </c>
      <c r="AG1119" s="2">
        <v>2.74</v>
      </c>
      <c r="AH1119" s="2">
        <v>49493464.770000003</v>
      </c>
      <c r="AI1119" s="2">
        <v>0.11</v>
      </c>
      <c r="AJ1119" s="5">
        <v>44673</v>
      </c>
      <c r="AK1119" t="s">
        <v>12016</v>
      </c>
      <c r="AL1119" s="2">
        <v>0</v>
      </c>
      <c r="AM1119" s="2">
        <v>0</v>
      </c>
      <c r="AN1119" s="2">
        <v>0</v>
      </c>
      <c r="AO1119" t="s">
        <v>11165</v>
      </c>
      <c r="AP1119" t="s">
        <v>11166</v>
      </c>
      <c r="AQ1119" t="s">
        <v>11163</v>
      </c>
    </row>
    <row r="1120" spans="1:43" x14ac:dyDescent="0.2">
      <c r="A1120" t="s">
        <v>12013</v>
      </c>
      <c r="B1120" t="s">
        <v>11160</v>
      </c>
      <c r="C1120" t="s">
        <v>11161</v>
      </c>
      <c r="D1120" t="s">
        <v>11654</v>
      </c>
      <c r="E1120" t="s">
        <v>11655</v>
      </c>
      <c r="F1120" t="s">
        <v>11654</v>
      </c>
      <c r="G1120" s="1">
        <v>117440</v>
      </c>
      <c r="H1120" s="2">
        <v>10422262.4</v>
      </c>
      <c r="I1120" s="2">
        <v>11261321.6</v>
      </c>
      <c r="J1120" s="2">
        <v>0</v>
      </c>
      <c r="K1120" s="2">
        <v>0</v>
      </c>
      <c r="L1120" s="2">
        <v>11261321.6</v>
      </c>
      <c r="M1120" s="3">
        <v>9589</v>
      </c>
      <c r="N1120" s="4">
        <v>2.562072E-2</v>
      </c>
      <c r="O1120" s="5" t="s">
        <v>44</v>
      </c>
      <c r="P1120" s="5" t="s">
        <v>44</v>
      </c>
      <c r="Q1120" s="1"/>
      <c r="R1120" s="2"/>
      <c r="S1120" s="6"/>
      <c r="T1120" t="s">
        <v>10902</v>
      </c>
      <c r="U1120" t="s">
        <v>10902</v>
      </c>
      <c r="V1120" t="s">
        <v>11164</v>
      </c>
      <c r="W1120" t="s">
        <v>43</v>
      </c>
      <c r="X1120" t="s">
        <v>44</v>
      </c>
      <c r="Y1120" t="s">
        <v>44</v>
      </c>
      <c r="Z1120" t="s">
        <v>44</v>
      </c>
      <c r="AA1120" t="s">
        <v>10979</v>
      </c>
      <c r="AB1120" t="s">
        <v>44</v>
      </c>
      <c r="AC1120" s="4"/>
      <c r="AD1120" s="4"/>
      <c r="AE1120" s="2">
        <v>0</v>
      </c>
      <c r="AF1120" s="4">
        <v>0</v>
      </c>
      <c r="AG1120" s="2">
        <v>0.62</v>
      </c>
      <c r="AH1120" s="2">
        <v>11261321.6</v>
      </c>
      <c r="AI1120" s="2">
        <v>0.03</v>
      </c>
      <c r="AJ1120" s="5">
        <v>44673</v>
      </c>
      <c r="AK1120" t="s">
        <v>12016</v>
      </c>
      <c r="AL1120" s="2">
        <v>0</v>
      </c>
      <c r="AM1120" s="2">
        <v>0</v>
      </c>
      <c r="AN1120" s="2">
        <v>0</v>
      </c>
      <c r="AO1120" t="s">
        <v>11054</v>
      </c>
      <c r="AP1120" t="s">
        <v>11656</v>
      </c>
      <c r="AQ1120" t="s">
        <v>11655</v>
      </c>
    </row>
    <row r="1121" spans="1:43" x14ac:dyDescent="0.2">
      <c r="A1121" t="s">
        <v>12013</v>
      </c>
      <c r="B1121" t="s">
        <v>11160</v>
      </c>
      <c r="C1121" t="s">
        <v>11161</v>
      </c>
      <c r="D1121" t="s">
        <v>11176</v>
      </c>
      <c r="E1121" t="s">
        <v>11177</v>
      </c>
      <c r="F1121" t="s">
        <v>11178</v>
      </c>
      <c r="G1121" s="1">
        <v>143710</v>
      </c>
      <c r="H1121" s="2">
        <v>13046664.699999999</v>
      </c>
      <c r="I1121" s="2">
        <v>13277366.9</v>
      </c>
      <c r="J1121" s="2">
        <v>0</v>
      </c>
      <c r="K1121" s="2">
        <v>0</v>
      </c>
      <c r="L1121" s="2">
        <v>13277366.9</v>
      </c>
      <c r="M1121" s="3">
        <v>9239</v>
      </c>
      <c r="N1121" s="4">
        <v>3.0207439999999999E-2</v>
      </c>
      <c r="O1121" s="5" t="s">
        <v>44</v>
      </c>
      <c r="P1121" s="5" t="s">
        <v>44</v>
      </c>
      <c r="Q1121" s="1"/>
      <c r="R1121" s="2"/>
      <c r="S1121" s="6"/>
      <c r="T1121" t="s">
        <v>10902</v>
      </c>
      <c r="U1121" t="s">
        <v>10902</v>
      </c>
      <c r="V1121" t="s">
        <v>11164</v>
      </c>
      <c r="W1121" t="s">
        <v>43</v>
      </c>
      <c r="X1121" t="s">
        <v>44</v>
      </c>
      <c r="Y1121" t="s">
        <v>44</v>
      </c>
      <c r="Z1121" t="s">
        <v>44</v>
      </c>
      <c r="AA1121" t="s">
        <v>10979</v>
      </c>
      <c r="AB1121" t="s">
        <v>44</v>
      </c>
      <c r="AC1121" s="4"/>
      <c r="AD1121" s="4"/>
      <c r="AE1121" s="2">
        <v>0</v>
      </c>
      <c r="AF1121" s="4">
        <v>0</v>
      </c>
      <c r="AG1121" s="2">
        <v>0.73</v>
      </c>
      <c r="AH1121" s="2">
        <v>13277366.9</v>
      </c>
      <c r="AI1121" s="2">
        <v>0.03</v>
      </c>
      <c r="AJ1121" s="5">
        <v>44673</v>
      </c>
      <c r="AK1121" t="s">
        <v>12016</v>
      </c>
      <c r="AL1121" s="2">
        <v>0</v>
      </c>
      <c r="AM1121" s="2">
        <v>0</v>
      </c>
      <c r="AN1121" s="2">
        <v>0</v>
      </c>
      <c r="AO1121" t="s">
        <v>11179</v>
      </c>
      <c r="AP1121" t="s">
        <v>11180</v>
      </c>
      <c r="AQ1121" t="s">
        <v>11177</v>
      </c>
    </row>
    <row r="1122" spans="1:43" x14ac:dyDescent="0.2">
      <c r="A1122" t="s">
        <v>12997</v>
      </c>
      <c r="B1122" t="s">
        <v>10900</v>
      </c>
      <c r="C1122" t="s">
        <v>11049</v>
      </c>
      <c r="D1122" t="s">
        <v>12367</v>
      </c>
      <c r="E1122" t="s">
        <v>12368</v>
      </c>
      <c r="F1122" t="s">
        <v>12367</v>
      </c>
      <c r="G1122" s="1">
        <v>2000000</v>
      </c>
      <c r="H1122" s="2">
        <v>2006081.72</v>
      </c>
      <c r="I1122" s="2">
        <v>2004849.4</v>
      </c>
      <c r="J1122" s="2">
        <v>84291.78</v>
      </c>
      <c r="K1122" s="2">
        <v>0</v>
      </c>
      <c r="L1122" s="2">
        <v>2089141.18</v>
      </c>
      <c r="M1122" s="3">
        <v>5.53</v>
      </c>
      <c r="N1122" s="4">
        <v>4.7530200000000002E-3</v>
      </c>
      <c r="O1122" s="5">
        <v>44697</v>
      </c>
      <c r="P1122" s="5">
        <v>44697</v>
      </c>
      <c r="Q1122" s="1">
        <v>9.6750000000000007</v>
      </c>
      <c r="R1122" s="2">
        <v>0.05</v>
      </c>
      <c r="S1122" s="6">
        <v>5.1905378000000002E-2</v>
      </c>
      <c r="T1122" t="s">
        <v>111</v>
      </c>
      <c r="U1122" t="s">
        <v>111</v>
      </c>
      <c r="V1122" t="s">
        <v>10944</v>
      </c>
      <c r="W1122" t="s">
        <v>43</v>
      </c>
      <c r="X1122" t="s">
        <v>10988</v>
      </c>
      <c r="Y1122" t="s">
        <v>44</v>
      </c>
      <c r="Z1122" t="s">
        <v>44</v>
      </c>
      <c r="AA1122" t="s">
        <v>10979</v>
      </c>
      <c r="AB1122" t="s">
        <v>44</v>
      </c>
      <c r="AC1122" s="4">
        <v>5.6064522500000002</v>
      </c>
      <c r="AD1122" s="4">
        <v>5.4673456700000003</v>
      </c>
      <c r="AE1122" s="2">
        <v>5.61</v>
      </c>
      <c r="AF1122" s="4">
        <v>5.4673456700000003</v>
      </c>
      <c r="AG1122" s="2">
        <v>0.52</v>
      </c>
      <c r="AH1122" s="2">
        <v>2089141.18</v>
      </c>
      <c r="AI1122" s="2">
        <v>0</v>
      </c>
      <c r="AJ1122" s="5">
        <v>44673</v>
      </c>
      <c r="AK1122" t="s">
        <v>13006</v>
      </c>
      <c r="AL1122" s="2">
        <v>5.53</v>
      </c>
      <c r="AM1122" s="2">
        <v>9.68</v>
      </c>
      <c r="AN1122" s="2">
        <v>0.05</v>
      </c>
      <c r="AO1122" t="s">
        <v>11165</v>
      </c>
      <c r="AP1122" t="s">
        <v>12370</v>
      </c>
      <c r="AQ1122" t="s">
        <v>12368</v>
      </c>
    </row>
    <row r="1123" spans="1:43" x14ac:dyDescent="0.2">
      <c r="A1123" t="s">
        <v>12997</v>
      </c>
      <c r="B1123" t="s">
        <v>10900</v>
      </c>
      <c r="C1123" t="s">
        <v>11049</v>
      </c>
      <c r="D1123" t="s">
        <v>11435</v>
      </c>
      <c r="E1123" t="s">
        <v>11436</v>
      </c>
      <c r="F1123" t="s">
        <v>11435</v>
      </c>
      <c r="G1123" s="1">
        <v>3900000</v>
      </c>
      <c r="H1123" s="2">
        <v>3900000</v>
      </c>
      <c r="I1123" s="2">
        <v>3888256</v>
      </c>
      <c r="J1123" s="2">
        <v>25940.34</v>
      </c>
      <c r="K1123" s="2">
        <v>0</v>
      </c>
      <c r="L1123" s="2">
        <v>3914196.34</v>
      </c>
      <c r="M1123" s="3">
        <v>6.6753489999999998</v>
      </c>
      <c r="N1123" s="4">
        <v>8.9052200000000001E-3</v>
      </c>
      <c r="O1123" s="5">
        <v>44727</v>
      </c>
      <c r="P1123" s="5">
        <v>44970</v>
      </c>
      <c r="Q1123" s="1">
        <v>6.2249999999999996</v>
      </c>
      <c r="R1123" s="2">
        <v>0.14000000000000001</v>
      </c>
      <c r="S1123" s="6">
        <v>0.118472349487</v>
      </c>
      <c r="T1123" t="s">
        <v>111</v>
      </c>
      <c r="U1123" t="s">
        <v>111</v>
      </c>
      <c r="V1123" t="s">
        <v>114</v>
      </c>
      <c r="W1123" t="s">
        <v>43</v>
      </c>
      <c r="X1123" t="s">
        <v>10988</v>
      </c>
      <c r="Y1123" t="s">
        <v>44</v>
      </c>
      <c r="Z1123" t="s">
        <v>44</v>
      </c>
      <c r="AA1123" t="s">
        <v>11035</v>
      </c>
      <c r="AB1123" t="s">
        <v>44</v>
      </c>
      <c r="AC1123" s="4">
        <v>6.78675008</v>
      </c>
      <c r="AD1123" s="4">
        <v>6.5843653</v>
      </c>
      <c r="AE1123" s="2">
        <v>6.79</v>
      </c>
      <c r="AF1123" s="4">
        <v>6.5843653</v>
      </c>
      <c r="AG1123" s="2">
        <v>0.97</v>
      </c>
      <c r="AH1123" s="2">
        <v>3914196.34</v>
      </c>
      <c r="AI1123" s="2">
        <v>0.01</v>
      </c>
      <c r="AJ1123" s="5">
        <v>44673</v>
      </c>
      <c r="AK1123" t="s">
        <v>13006</v>
      </c>
      <c r="AL1123" s="2">
        <v>6.68</v>
      </c>
      <c r="AM1123" s="2">
        <v>6.22</v>
      </c>
      <c r="AN1123" s="2">
        <v>0.12</v>
      </c>
      <c r="AO1123" t="s">
        <v>11437</v>
      </c>
      <c r="AP1123" t="s">
        <v>11438</v>
      </c>
      <c r="AQ1123" t="s">
        <v>11436</v>
      </c>
    </row>
    <row r="1124" spans="1:43" x14ac:dyDescent="0.2">
      <c r="A1124" t="s">
        <v>12997</v>
      </c>
      <c r="B1124" t="s">
        <v>10900</v>
      </c>
      <c r="C1124" t="s">
        <v>11049</v>
      </c>
      <c r="D1124" t="s">
        <v>13007</v>
      </c>
      <c r="E1124" t="s">
        <v>13008</v>
      </c>
      <c r="F1124" t="s">
        <v>13007</v>
      </c>
      <c r="G1124" s="1">
        <v>7100000</v>
      </c>
      <c r="H1124" s="2">
        <v>7094299.2199999997</v>
      </c>
      <c r="I1124" s="2">
        <v>7112415.1500000004</v>
      </c>
      <c r="J1124" s="2">
        <v>64098.8</v>
      </c>
      <c r="K1124" s="2">
        <v>0</v>
      </c>
      <c r="L1124" s="2">
        <v>7176513.9500000002</v>
      </c>
      <c r="M1124" s="3">
        <v>5.1643730000000003</v>
      </c>
      <c r="N1124" s="4">
        <v>1.6327339999999999E-2</v>
      </c>
      <c r="O1124" s="5">
        <v>44700</v>
      </c>
      <c r="P1124" s="5">
        <v>44884</v>
      </c>
      <c r="Q1124" s="1">
        <v>5.4020000000000001</v>
      </c>
      <c r="R1124" s="2">
        <v>7.0000000000000007E-2</v>
      </c>
      <c r="S1124" s="6">
        <v>5.9959350181000001E-2</v>
      </c>
      <c r="T1124" t="s">
        <v>111</v>
      </c>
      <c r="U1124" t="s">
        <v>111</v>
      </c>
      <c r="V1124" t="s">
        <v>11189</v>
      </c>
      <c r="W1124" t="s">
        <v>43</v>
      </c>
      <c r="X1124" t="s">
        <v>11034</v>
      </c>
      <c r="Y1124" t="s">
        <v>44</v>
      </c>
      <c r="Z1124" t="s">
        <v>44</v>
      </c>
      <c r="AA1124" t="s">
        <v>11441</v>
      </c>
      <c r="AB1124" t="s">
        <v>44</v>
      </c>
      <c r="AC1124" s="4">
        <v>5.2310503300000004</v>
      </c>
      <c r="AD1124" s="4">
        <v>5.1096704500000003</v>
      </c>
      <c r="AE1124" s="2">
        <v>5.23</v>
      </c>
      <c r="AF1124" s="4">
        <v>5.1096704500000003</v>
      </c>
      <c r="AG1124" s="2">
        <v>1.77</v>
      </c>
      <c r="AH1124" s="2">
        <v>7176513.9500000002</v>
      </c>
      <c r="AI1124" s="2">
        <v>0.02</v>
      </c>
      <c r="AJ1124" s="5">
        <v>44673</v>
      </c>
      <c r="AK1124" t="s">
        <v>13006</v>
      </c>
      <c r="AL1124" s="2">
        <v>5.16</v>
      </c>
      <c r="AM1124" s="2">
        <v>5.4</v>
      </c>
      <c r="AN1124" s="2">
        <v>0.06</v>
      </c>
      <c r="AO1124" t="s">
        <v>11455</v>
      </c>
      <c r="AP1124" t="s">
        <v>13009</v>
      </c>
      <c r="AQ1124" t="s">
        <v>13008</v>
      </c>
    </row>
    <row r="1125" spans="1:43" x14ac:dyDescent="0.2">
      <c r="A1125" t="s">
        <v>12997</v>
      </c>
      <c r="B1125" t="s">
        <v>10900</v>
      </c>
      <c r="C1125" t="s">
        <v>11049</v>
      </c>
      <c r="D1125" t="s">
        <v>11457</v>
      </c>
      <c r="E1125" t="s">
        <v>11458</v>
      </c>
      <c r="F1125" t="s">
        <v>11457</v>
      </c>
      <c r="G1125" s="1">
        <v>2700000</v>
      </c>
      <c r="H1125" s="2">
        <v>2700006.33</v>
      </c>
      <c r="I1125" s="2">
        <v>2700010.03</v>
      </c>
      <c r="J1125" s="2">
        <v>32500.31</v>
      </c>
      <c r="K1125" s="2">
        <v>0</v>
      </c>
      <c r="L1125" s="2">
        <v>2732510.34</v>
      </c>
      <c r="M1125" s="3">
        <v>5.4289139999999998</v>
      </c>
      <c r="N1125" s="4">
        <v>6.21676E-3</v>
      </c>
      <c r="O1125" s="5">
        <v>44684</v>
      </c>
      <c r="P1125" s="5">
        <v>44957</v>
      </c>
      <c r="Q1125" s="1">
        <v>5.3579999999999997</v>
      </c>
      <c r="R1125" s="2">
        <v>0.02</v>
      </c>
      <c r="S1125" s="6">
        <v>1.4426938812E-2</v>
      </c>
      <c r="T1125" t="s">
        <v>111</v>
      </c>
      <c r="U1125" t="s">
        <v>111</v>
      </c>
      <c r="V1125" t="s">
        <v>11189</v>
      </c>
      <c r="W1125" t="s">
        <v>43</v>
      </c>
      <c r="X1125" t="s">
        <v>11034</v>
      </c>
      <c r="Y1125" t="s">
        <v>44</v>
      </c>
      <c r="Z1125" t="s">
        <v>44</v>
      </c>
      <c r="AA1125" t="s">
        <v>10979</v>
      </c>
      <c r="AB1125" t="s">
        <v>44</v>
      </c>
      <c r="AC1125" s="4">
        <v>5.5025962599999998</v>
      </c>
      <c r="AD1125" s="4">
        <v>5.3685105899999996</v>
      </c>
      <c r="AE1125" s="2">
        <v>5.5</v>
      </c>
      <c r="AF1125" s="4">
        <v>5.3685105899999996</v>
      </c>
      <c r="AG1125" s="2">
        <v>0.68</v>
      </c>
      <c r="AH1125" s="2">
        <v>2732510.34</v>
      </c>
      <c r="AI1125" s="2">
        <v>0.01</v>
      </c>
      <c r="AJ1125" s="5">
        <v>44673</v>
      </c>
      <c r="AK1125" t="s">
        <v>13006</v>
      </c>
      <c r="AL1125" s="2">
        <v>5.43</v>
      </c>
      <c r="AM1125" s="2">
        <v>5.36</v>
      </c>
      <c r="AN1125" s="2">
        <v>0.01</v>
      </c>
      <c r="AO1125" t="s">
        <v>11048</v>
      </c>
      <c r="AP1125" t="s">
        <v>11459</v>
      </c>
      <c r="AQ1125" t="s">
        <v>11458</v>
      </c>
    </row>
    <row r="1126" spans="1:43" x14ac:dyDescent="0.2">
      <c r="A1126" t="s">
        <v>12997</v>
      </c>
      <c r="B1126" t="s">
        <v>10900</v>
      </c>
      <c r="C1126" t="s">
        <v>11049</v>
      </c>
      <c r="D1126" t="s">
        <v>11785</v>
      </c>
      <c r="E1126" t="s">
        <v>11786</v>
      </c>
      <c r="F1126" t="s">
        <v>11785</v>
      </c>
      <c r="G1126" s="1">
        <v>21300000</v>
      </c>
      <c r="H1126" s="2">
        <v>21465723.309999999</v>
      </c>
      <c r="I1126" s="2">
        <v>21517549.469999999</v>
      </c>
      <c r="J1126" s="2">
        <v>138971.70000000001</v>
      </c>
      <c r="K1126" s="2">
        <v>0</v>
      </c>
      <c r="L1126" s="2">
        <v>21656521.170000002</v>
      </c>
      <c r="M1126" s="3">
        <v>4.8216830000000002</v>
      </c>
      <c r="N1126" s="4">
        <v>4.9270920000000003E-2</v>
      </c>
      <c r="O1126" s="5">
        <v>44732</v>
      </c>
      <c r="P1126" s="5">
        <v>44824</v>
      </c>
      <c r="Q1126" s="1">
        <v>7.4420000000000002</v>
      </c>
      <c r="R1126" s="2">
        <v>0.15</v>
      </c>
      <c r="S1126" s="6">
        <v>0.146783072519</v>
      </c>
      <c r="T1126" t="s">
        <v>111</v>
      </c>
      <c r="U1126" t="s">
        <v>111</v>
      </c>
      <c r="V1126" t="s">
        <v>11189</v>
      </c>
      <c r="W1126" t="s">
        <v>43</v>
      </c>
      <c r="X1126" t="s">
        <v>11034</v>
      </c>
      <c r="Y1126" t="s">
        <v>44</v>
      </c>
      <c r="Z1126" t="s">
        <v>44</v>
      </c>
      <c r="AA1126" t="s">
        <v>10979</v>
      </c>
      <c r="AB1126" t="s">
        <v>11441</v>
      </c>
      <c r="AC1126" s="4">
        <v>4.87980444</v>
      </c>
      <c r="AD1126" s="4">
        <v>4.7739498600000001</v>
      </c>
      <c r="AE1126" s="2">
        <v>4.88</v>
      </c>
      <c r="AF1126" s="4">
        <v>4.7739498600000001</v>
      </c>
      <c r="AG1126" s="2">
        <v>5.35</v>
      </c>
      <c r="AH1126" s="2">
        <v>21656521.170000002</v>
      </c>
      <c r="AI1126" s="2">
        <v>0.05</v>
      </c>
      <c r="AJ1126" s="5">
        <v>44673</v>
      </c>
      <c r="AK1126" t="s">
        <v>13006</v>
      </c>
      <c r="AL1126" s="2">
        <v>4.82</v>
      </c>
      <c r="AM1126" s="2">
        <v>7.44</v>
      </c>
      <c r="AN1126" s="2">
        <v>0.15</v>
      </c>
      <c r="AO1126" t="s">
        <v>11054</v>
      </c>
      <c r="AP1126" t="s">
        <v>11787</v>
      </c>
      <c r="AQ1126" t="s">
        <v>11786</v>
      </c>
    </row>
    <row r="1127" spans="1:43" x14ac:dyDescent="0.2">
      <c r="A1127" t="s">
        <v>12997</v>
      </c>
      <c r="B1127" t="s">
        <v>10900</v>
      </c>
      <c r="C1127" t="s">
        <v>11049</v>
      </c>
      <c r="D1127" t="s">
        <v>11460</v>
      </c>
      <c r="E1127" t="s">
        <v>11461</v>
      </c>
      <c r="F1127" t="s">
        <v>11460</v>
      </c>
      <c r="G1127" s="1">
        <v>5000000</v>
      </c>
      <c r="H1127" s="2">
        <v>5000000</v>
      </c>
      <c r="I1127" s="2">
        <v>5000000</v>
      </c>
      <c r="J1127" s="2">
        <v>68048.77</v>
      </c>
      <c r="K1127" s="2">
        <v>0</v>
      </c>
      <c r="L1127" s="2">
        <v>5068048.7699999996</v>
      </c>
      <c r="M1127" s="3">
        <v>4.2116369999999996</v>
      </c>
      <c r="N1127" s="4">
        <v>1.153036E-2</v>
      </c>
      <c r="O1127" s="5">
        <v>44680</v>
      </c>
      <c r="P1127" s="5">
        <v>44865</v>
      </c>
      <c r="Q1127" s="1">
        <v>6.0579999999999998</v>
      </c>
      <c r="R1127" s="2">
        <v>7.0000000000000007E-2</v>
      </c>
      <c r="S1127" s="6">
        <v>7.3291687867999999E-2</v>
      </c>
      <c r="T1127" t="s">
        <v>111</v>
      </c>
      <c r="U1127" t="s">
        <v>111</v>
      </c>
      <c r="V1127" t="s">
        <v>114</v>
      </c>
      <c r="W1127" t="s">
        <v>43</v>
      </c>
      <c r="X1127" t="s">
        <v>10988</v>
      </c>
      <c r="Y1127" t="s">
        <v>44</v>
      </c>
      <c r="Z1127" t="s">
        <v>44</v>
      </c>
      <c r="AA1127" t="s">
        <v>11035</v>
      </c>
      <c r="AB1127" t="s">
        <v>44</v>
      </c>
      <c r="AC1127" s="4">
        <v>4.2559817600000001</v>
      </c>
      <c r="AD1127" s="4">
        <v>4.1751516899999999</v>
      </c>
      <c r="AE1127" s="2">
        <v>4.26</v>
      </c>
      <c r="AF1127" s="4">
        <v>4.1751516899999999</v>
      </c>
      <c r="AG1127" s="2">
        <v>1.25</v>
      </c>
      <c r="AH1127" s="2">
        <v>5068048.7699999996</v>
      </c>
      <c r="AI1127" s="2">
        <v>0.01</v>
      </c>
      <c r="AJ1127" s="5">
        <v>44673</v>
      </c>
      <c r="AK1127" t="s">
        <v>13006</v>
      </c>
      <c r="AL1127" s="2">
        <v>4.21</v>
      </c>
      <c r="AM1127" s="2">
        <v>6.06</v>
      </c>
      <c r="AN1127" s="2">
        <v>7.0000000000000007E-2</v>
      </c>
      <c r="AO1127" t="s">
        <v>11437</v>
      </c>
      <c r="AP1127" t="s">
        <v>11462</v>
      </c>
      <c r="AQ1127" t="s">
        <v>11461</v>
      </c>
    </row>
    <row r="1128" spans="1:43" x14ac:dyDescent="0.2">
      <c r="A1128" t="s">
        <v>12997</v>
      </c>
      <c r="B1128" t="s">
        <v>10900</v>
      </c>
      <c r="C1128" t="s">
        <v>11049</v>
      </c>
      <c r="D1128" t="s">
        <v>11956</v>
      </c>
      <c r="E1128" t="s">
        <v>11957</v>
      </c>
      <c r="F1128" t="s">
        <v>11956</v>
      </c>
      <c r="G1128" s="1">
        <v>7600000</v>
      </c>
      <c r="H1128" s="2">
        <v>7600000</v>
      </c>
      <c r="I1128" s="2">
        <v>7617555.4800000004</v>
      </c>
      <c r="J1128" s="2">
        <v>81151.13</v>
      </c>
      <c r="K1128" s="2">
        <v>0</v>
      </c>
      <c r="L1128" s="2">
        <v>7698706.6100000003</v>
      </c>
      <c r="M1128" s="3">
        <v>5.1338650000000001</v>
      </c>
      <c r="N1128" s="4">
        <v>1.7515389999999999E-2</v>
      </c>
      <c r="O1128" s="5">
        <v>44697</v>
      </c>
      <c r="P1128" s="5">
        <v>44788</v>
      </c>
      <c r="Q1128" s="1">
        <v>5.8170000000000002</v>
      </c>
      <c r="R1128" s="2">
        <v>0.06</v>
      </c>
      <c r="S1128" s="6">
        <v>5.3630172561E-2</v>
      </c>
      <c r="T1128" t="s">
        <v>111</v>
      </c>
      <c r="U1128" t="s">
        <v>111</v>
      </c>
      <c r="V1128" t="s">
        <v>11189</v>
      </c>
      <c r="W1128" t="s">
        <v>43</v>
      </c>
      <c r="X1128" t="s">
        <v>11034</v>
      </c>
      <c r="Y1128" t="s">
        <v>44</v>
      </c>
      <c r="Z1128" t="s">
        <v>44</v>
      </c>
      <c r="AA1128" t="s">
        <v>11225</v>
      </c>
      <c r="AB1128" t="s">
        <v>44</v>
      </c>
      <c r="AC1128" s="4">
        <v>5.1997564000000001</v>
      </c>
      <c r="AD1128" s="4">
        <v>5.0798014499999997</v>
      </c>
      <c r="AE1128" s="2">
        <v>5.2</v>
      </c>
      <c r="AF1128" s="4">
        <v>5.0798014499999997</v>
      </c>
      <c r="AG1128" s="2">
        <v>1.9</v>
      </c>
      <c r="AH1128" s="2">
        <v>7698706.6100000003</v>
      </c>
      <c r="AI1128" s="2">
        <v>0.02</v>
      </c>
      <c r="AJ1128" s="5">
        <v>44673</v>
      </c>
      <c r="AK1128" t="s">
        <v>13006</v>
      </c>
      <c r="AL1128" s="2">
        <v>5.13</v>
      </c>
      <c r="AM1128" s="2">
        <v>5.82</v>
      </c>
      <c r="AN1128" s="2">
        <v>0.05</v>
      </c>
      <c r="AO1128" t="s">
        <v>11817</v>
      </c>
      <c r="AP1128" t="s">
        <v>11958</v>
      </c>
      <c r="AQ1128" t="s">
        <v>11957</v>
      </c>
    </row>
    <row r="1129" spans="1:43" x14ac:dyDescent="0.2">
      <c r="A1129" t="s">
        <v>12997</v>
      </c>
      <c r="B1129" t="s">
        <v>10900</v>
      </c>
      <c r="C1129" t="s">
        <v>11049</v>
      </c>
      <c r="D1129" t="s">
        <v>12371</v>
      </c>
      <c r="E1129" t="s">
        <v>12372</v>
      </c>
      <c r="F1129" t="s">
        <v>12371</v>
      </c>
      <c r="G1129" s="1">
        <v>15200000</v>
      </c>
      <c r="H1129" s="2">
        <v>15202336.23</v>
      </c>
      <c r="I1129" s="2">
        <v>15221059.33</v>
      </c>
      <c r="J1129" s="2">
        <v>83834.039999999994</v>
      </c>
      <c r="K1129" s="2">
        <v>0</v>
      </c>
      <c r="L1129" s="2">
        <v>15304893.369999999</v>
      </c>
      <c r="M1129" s="3">
        <v>5.3216830000000002</v>
      </c>
      <c r="N1129" s="4">
        <v>3.4820280000000002E-2</v>
      </c>
      <c r="O1129" s="5">
        <v>44732</v>
      </c>
      <c r="P1129" s="5">
        <v>44913</v>
      </c>
      <c r="Q1129" s="1">
        <v>5.5919999999999996</v>
      </c>
      <c r="R1129" s="2">
        <v>0.15</v>
      </c>
      <c r="S1129" s="6">
        <v>0.14229649479199999</v>
      </c>
      <c r="T1129" t="s">
        <v>111</v>
      </c>
      <c r="U1129" t="s">
        <v>111</v>
      </c>
      <c r="V1129" t="s">
        <v>11189</v>
      </c>
      <c r="W1129" t="s">
        <v>43</v>
      </c>
      <c r="X1129" t="s">
        <v>11034</v>
      </c>
      <c r="Y1129" t="s">
        <v>44</v>
      </c>
      <c r="Z1129" t="s">
        <v>44</v>
      </c>
      <c r="AA1129" t="s">
        <v>10979</v>
      </c>
      <c r="AB1129" t="s">
        <v>44</v>
      </c>
      <c r="AC1129" s="4">
        <v>5.39248365</v>
      </c>
      <c r="AD1129" s="4">
        <v>5.2636239099999997</v>
      </c>
      <c r="AE1129" s="2">
        <v>5.39</v>
      </c>
      <c r="AF1129" s="4">
        <v>5.2636239099999997</v>
      </c>
      <c r="AG1129" s="2">
        <v>3.78</v>
      </c>
      <c r="AH1129" s="2">
        <v>15304893.369999999</v>
      </c>
      <c r="AI1129" s="2">
        <v>0.03</v>
      </c>
      <c r="AJ1129" s="5">
        <v>44673</v>
      </c>
      <c r="AK1129" t="s">
        <v>13006</v>
      </c>
      <c r="AL1129" s="2">
        <v>5.32</v>
      </c>
      <c r="AM1129" s="2">
        <v>5.59</v>
      </c>
      <c r="AN1129" s="2">
        <v>0.14000000000000001</v>
      </c>
      <c r="AO1129" t="s">
        <v>11824</v>
      </c>
      <c r="AP1129" t="s">
        <v>12373</v>
      </c>
      <c r="AQ1129" t="s">
        <v>12372</v>
      </c>
    </row>
    <row r="1130" spans="1:43" x14ac:dyDescent="0.2">
      <c r="A1130" t="s">
        <v>12997</v>
      </c>
      <c r="B1130" t="s">
        <v>10900</v>
      </c>
      <c r="C1130" t="s">
        <v>11049</v>
      </c>
      <c r="D1130" t="s">
        <v>11463</v>
      </c>
      <c r="E1130" t="s">
        <v>11464</v>
      </c>
      <c r="F1130" t="s">
        <v>11463</v>
      </c>
      <c r="G1130" s="1">
        <v>600000</v>
      </c>
      <c r="H1130" s="2">
        <v>600346.73</v>
      </c>
      <c r="I1130" s="2">
        <v>602384.22</v>
      </c>
      <c r="J1130" s="2">
        <v>4309.22</v>
      </c>
      <c r="K1130" s="2">
        <v>0</v>
      </c>
      <c r="L1130" s="2">
        <v>606693.43999999994</v>
      </c>
      <c r="M1130" s="3">
        <v>5.5214679999999996</v>
      </c>
      <c r="N1130" s="4">
        <v>1.3802899999999999E-3</v>
      </c>
      <c r="O1130" s="5">
        <v>44733</v>
      </c>
      <c r="P1130" s="5">
        <v>44733</v>
      </c>
      <c r="Q1130" s="1">
        <v>8.1920000000000002</v>
      </c>
      <c r="R1130" s="2">
        <v>0.16</v>
      </c>
      <c r="S1130" s="6">
        <v>0.14786153473499999</v>
      </c>
      <c r="T1130" t="s">
        <v>111</v>
      </c>
      <c r="U1130" t="s">
        <v>111</v>
      </c>
      <c r="V1130" t="s">
        <v>11189</v>
      </c>
      <c r="W1130" t="s">
        <v>43</v>
      </c>
      <c r="X1130" t="s">
        <v>11034</v>
      </c>
      <c r="Y1130" t="s">
        <v>44</v>
      </c>
      <c r="Z1130" t="s">
        <v>44</v>
      </c>
      <c r="AA1130" t="s">
        <v>11035</v>
      </c>
      <c r="AB1130" t="s">
        <v>11465</v>
      </c>
      <c r="AC1130" s="4">
        <v>5.5976845400000004</v>
      </c>
      <c r="AD1130" s="4">
        <v>5.4590052800000004</v>
      </c>
      <c r="AE1130" s="2">
        <v>5.6</v>
      </c>
      <c r="AF1130" s="4">
        <v>5.4590052800000004</v>
      </c>
      <c r="AG1130" s="2">
        <v>0.15</v>
      </c>
      <c r="AH1130" s="2">
        <v>606693.43999999994</v>
      </c>
      <c r="AI1130" s="2">
        <v>0</v>
      </c>
      <c r="AJ1130" s="5">
        <v>44673</v>
      </c>
      <c r="AK1130" t="s">
        <v>13006</v>
      </c>
      <c r="AL1130" s="2">
        <v>5.52</v>
      </c>
      <c r="AM1130" s="2">
        <v>8.19</v>
      </c>
      <c r="AN1130" s="2">
        <v>0.15</v>
      </c>
      <c r="AO1130" t="s">
        <v>11053</v>
      </c>
      <c r="AP1130" t="s">
        <v>11466</v>
      </c>
      <c r="AQ1130" t="s">
        <v>11464</v>
      </c>
    </row>
    <row r="1131" spans="1:43" x14ac:dyDescent="0.2">
      <c r="A1131" t="s">
        <v>12997</v>
      </c>
      <c r="B1131" t="s">
        <v>10900</v>
      </c>
      <c r="C1131" t="s">
        <v>11049</v>
      </c>
      <c r="D1131" t="s">
        <v>11471</v>
      </c>
      <c r="E1131" t="s">
        <v>11472</v>
      </c>
      <c r="F1131" t="s">
        <v>11471</v>
      </c>
      <c r="G1131" s="1">
        <v>15500000</v>
      </c>
      <c r="H1131" s="2">
        <v>15499481.66</v>
      </c>
      <c r="I1131" s="2">
        <v>15498832.85</v>
      </c>
      <c r="J1131" s="2">
        <v>386523.29</v>
      </c>
      <c r="K1131" s="2">
        <v>0</v>
      </c>
      <c r="L1131" s="2">
        <v>15885356.140000001</v>
      </c>
      <c r="M1131" s="3">
        <v>7.4</v>
      </c>
      <c r="N1131" s="4">
        <v>3.6140899999999997E-2</v>
      </c>
      <c r="O1131" s="5">
        <v>44733</v>
      </c>
      <c r="P1131" s="5">
        <v>44916</v>
      </c>
      <c r="Q1131" s="1">
        <v>7.4</v>
      </c>
      <c r="R1131" s="2">
        <v>0.64</v>
      </c>
      <c r="S1131" s="6">
        <v>0.61596285799999995</v>
      </c>
      <c r="T1131" t="s">
        <v>111</v>
      </c>
      <c r="U1131" t="s">
        <v>111</v>
      </c>
      <c r="V1131" t="s">
        <v>114</v>
      </c>
      <c r="W1131" t="s">
        <v>43</v>
      </c>
      <c r="X1131" t="s">
        <v>10988</v>
      </c>
      <c r="Y1131" t="s">
        <v>44</v>
      </c>
      <c r="Z1131" t="s">
        <v>44</v>
      </c>
      <c r="AA1131" t="s">
        <v>10913</v>
      </c>
      <c r="AB1131" t="s">
        <v>44</v>
      </c>
      <c r="AC1131" s="4">
        <v>7.5369000000000002</v>
      </c>
      <c r="AD1131" s="4">
        <v>7.2884304699999998</v>
      </c>
      <c r="AE1131" s="2">
        <v>7.54</v>
      </c>
      <c r="AF1131" s="4">
        <v>7.2884304699999998</v>
      </c>
      <c r="AG1131" s="2">
        <v>3.93</v>
      </c>
      <c r="AH1131" s="2">
        <v>15885356.140000001</v>
      </c>
      <c r="AI1131" s="2">
        <v>0.04</v>
      </c>
      <c r="AJ1131" s="5">
        <v>44673</v>
      </c>
      <c r="AK1131" t="s">
        <v>13006</v>
      </c>
      <c r="AL1131" s="2">
        <v>7.4</v>
      </c>
      <c r="AM1131" s="2">
        <v>7.4</v>
      </c>
      <c r="AN1131" s="2">
        <v>0.62</v>
      </c>
      <c r="AO1131" t="s">
        <v>10922</v>
      </c>
      <c r="AP1131" t="s">
        <v>11473</v>
      </c>
      <c r="AQ1131" t="s">
        <v>11472</v>
      </c>
    </row>
    <row r="1132" spans="1:43" x14ac:dyDescent="0.2">
      <c r="A1132" t="s">
        <v>12997</v>
      </c>
      <c r="B1132" t="s">
        <v>10900</v>
      </c>
      <c r="C1132" t="s">
        <v>11049</v>
      </c>
      <c r="D1132" t="s">
        <v>11474</v>
      </c>
      <c r="E1132" t="s">
        <v>11475</v>
      </c>
      <c r="F1132" t="s">
        <v>11474</v>
      </c>
      <c r="G1132" s="1">
        <v>12800000</v>
      </c>
      <c r="H1132" s="2">
        <v>12798622.17</v>
      </c>
      <c r="I1132" s="2">
        <v>12799715.84</v>
      </c>
      <c r="J1132" s="2">
        <v>207907.07</v>
      </c>
      <c r="K1132" s="2">
        <v>0</v>
      </c>
      <c r="L1132" s="2">
        <v>13007622.91</v>
      </c>
      <c r="M1132" s="3">
        <v>7.23</v>
      </c>
      <c r="N1132" s="4">
        <v>2.959374E-2</v>
      </c>
      <c r="O1132" s="5">
        <v>44773</v>
      </c>
      <c r="P1132" s="5">
        <v>44773</v>
      </c>
      <c r="Q1132" s="1">
        <v>7.23</v>
      </c>
      <c r="R1132" s="2">
        <v>0.27</v>
      </c>
      <c r="S1132" s="6">
        <v>0.26074350600000001</v>
      </c>
      <c r="T1132" t="s">
        <v>111</v>
      </c>
      <c r="U1132" t="s">
        <v>111</v>
      </c>
      <c r="V1132" t="s">
        <v>10944</v>
      </c>
      <c r="W1132" t="s">
        <v>43</v>
      </c>
      <c r="X1132" t="s">
        <v>44</v>
      </c>
      <c r="Y1132" t="s">
        <v>44</v>
      </c>
      <c r="Z1132" t="s">
        <v>44</v>
      </c>
      <c r="AA1132" t="s">
        <v>10913</v>
      </c>
      <c r="AB1132" t="s">
        <v>44</v>
      </c>
      <c r="AC1132" s="4">
        <v>7.36068225</v>
      </c>
      <c r="AD1132" s="4">
        <v>7.1234440000000001</v>
      </c>
      <c r="AE1132" s="2">
        <v>7.36</v>
      </c>
      <c r="AF1132" s="4">
        <v>7.1234440000000001</v>
      </c>
      <c r="AG1132" s="2">
        <v>3.21</v>
      </c>
      <c r="AH1132" s="2">
        <v>13007622.91</v>
      </c>
      <c r="AI1132" s="2">
        <v>0.03</v>
      </c>
      <c r="AJ1132" s="5">
        <v>44673</v>
      </c>
      <c r="AK1132" t="s">
        <v>13006</v>
      </c>
      <c r="AL1132" s="2">
        <v>7.23</v>
      </c>
      <c r="AM1132" s="2">
        <v>7.23</v>
      </c>
      <c r="AN1132" s="2">
        <v>0.26</v>
      </c>
      <c r="AO1132" t="s">
        <v>10922</v>
      </c>
      <c r="AP1132" t="s">
        <v>11476</v>
      </c>
      <c r="AQ1132" t="s">
        <v>11475</v>
      </c>
    </row>
    <row r="1133" spans="1:43" x14ac:dyDescent="0.2">
      <c r="A1133" t="s">
        <v>12997</v>
      </c>
      <c r="B1133" t="s">
        <v>10900</v>
      </c>
      <c r="C1133" t="s">
        <v>11049</v>
      </c>
      <c r="D1133" t="s">
        <v>12269</v>
      </c>
      <c r="E1133" t="s">
        <v>12270</v>
      </c>
      <c r="F1133" t="s">
        <v>12269</v>
      </c>
      <c r="G1133" s="1">
        <v>11500000</v>
      </c>
      <c r="H1133" s="2">
        <v>11500000</v>
      </c>
      <c r="I1133" s="2">
        <v>11533420.15</v>
      </c>
      <c r="J1133" s="2">
        <v>137117.81</v>
      </c>
      <c r="K1133" s="2">
        <v>0</v>
      </c>
      <c r="L1133" s="2">
        <v>11670537.960000001</v>
      </c>
      <c r="M1133" s="3">
        <v>6.43</v>
      </c>
      <c r="N1133" s="4">
        <v>2.6551729999999999E-2</v>
      </c>
      <c r="O1133" s="5">
        <v>44795</v>
      </c>
      <c r="P1133" s="5">
        <v>44978</v>
      </c>
      <c r="Q1133" s="1">
        <v>6.8</v>
      </c>
      <c r="R1133" s="2">
        <v>0.81</v>
      </c>
      <c r="S1133" s="6">
        <v>0.78433783400000001</v>
      </c>
      <c r="T1133" t="s">
        <v>111</v>
      </c>
      <c r="U1133" t="s">
        <v>111</v>
      </c>
      <c r="V1133" t="s">
        <v>114</v>
      </c>
      <c r="W1133" t="s">
        <v>43</v>
      </c>
      <c r="X1133" t="s">
        <v>44</v>
      </c>
      <c r="Y1133" t="s">
        <v>44</v>
      </c>
      <c r="Z1133" t="s">
        <v>44</v>
      </c>
      <c r="AA1133" t="s">
        <v>10979</v>
      </c>
      <c r="AB1133" t="s">
        <v>44</v>
      </c>
      <c r="AC1133" s="4">
        <v>6.5333622499999997</v>
      </c>
      <c r="AD1133" s="4">
        <v>6.3455195</v>
      </c>
      <c r="AE1133" s="2">
        <v>6.53</v>
      </c>
      <c r="AF1133" s="4">
        <v>6.3455195</v>
      </c>
      <c r="AG1133" s="2">
        <v>2.88</v>
      </c>
      <c r="AH1133" s="2">
        <v>11670537.960000001</v>
      </c>
      <c r="AI1133" s="2">
        <v>0.03</v>
      </c>
      <c r="AJ1133" s="5">
        <v>44673</v>
      </c>
      <c r="AK1133" t="s">
        <v>13006</v>
      </c>
      <c r="AL1133" s="2">
        <v>6.43</v>
      </c>
      <c r="AM1133" s="2">
        <v>6.8</v>
      </c>
      <c r="AN1133" s="2">
        <v>0.78</v>
      </c>
      <c r="AO1133" t="s">
        <v>10982</v>
      </c>
      <c r="AP1133" t="s">
        <v>12271</v>
      </c>
      <c r="AQ1133" t="s">
        <v>12270</v>
      </c>
    </row>
    <row r="1134" spans="1:43" x14ac:dyDescent="0.2">
      <c r="A1134" t="s">
        <v>12997</v>
      </c>
      <c r="B1134" t="s">
        <v>10900</v>
      </c>
      <c r="C1134" t="s">
        <v>11049</v>
      </c>
      <c r="D1134" t="s">
        <v>11913</v>
      </c>
      <c r="E1134" t="s">
        <v>11914</v>
      </c>
      <c r="F1134" t="s">
        <v>11913</v>
      </c>
      <c r="G1134" s="1">
        <v>15000000</v>
      </c>
      <c r="H1134" s="2">
        <v>15059057.470000001</v>
      </c>
      <c r="I1134" s="2">
        <v>15078418.970000001</v>
      </c>
      <c r="J1134" s="2">
        <v>215501.92</v>
      </c>
      <c r="K1134" s="2">
        <v>0</v>
      </c>
      <c r="L1134" s="2">
        <v>15293920.890000001</v>
      </c>
      <c r="M1134" s="3">
        <v>5.3153990000000002</v>
      </c>
      <c r="N1134" s="4">
        <v>3.4795319999999998E-2</v>
      </c>
      <c r="O1134" s="5">
        <v>44676</v>
      </c>
      <c r="P1134" s="5">
        <v>44858</v>
      </c>
      <c r="Q1134" s="1">
        <v>5.8920000000000003</v>
      </c>
      <c r="R1134" s="2">
        <v>0.25</v>
      </c>
      <c r="S1134" s="6">
        <v>-1.386882034E-3</v>
      </c>
      <c r="T1134" t="s">
        <v>111</v>
      </c>
      <c r="U1134" t="s">
        <v>111</v>
      </c>
      <c r="V1134" t="s">
        <v>11189</v>
      </c>
      <c r="W1134" t="s">
        <v>43</v>
      </c>
      <c r="X1134" t="s">
        <v>11034</v>
      </c>
      <c r="Y1134" t="s">
        <v>44</v>
      </c>
      <c r="Z1134" t="s">
        <v>44</v>
      </c>
      <c r="AA1134" t="s">
        <v>44</v>
      </c>
      <c r="AB1134" t="s">
        <v>44</v>
      </c>
      <c r="AC1134" s="4">
        <v>5.3860322900000002</v>
      </c>
      <c r="AD1134" s="4">
        <v>5.2574756100000002</v>
      </c>
      <c r="AE1134" s="2">
        <v>5.39</v>
      </c>
      <c r="AF1134" s="4">
        <v>5.2574756100000002</v>
      </c>
      <c r="AG1134" s="2">
        <v>3.78</v>
      </c>
      <c r="AH1134" s="2">
        <v>15293920.890000001</v>
      </c>
      <c r="AI1134" s="2">
        <v>0.03</v>
      </c>
      <c r="AJ1134" s="5">
        <v>44673</v>
      </c>
      <c r="AK1134" t="s">
        <v>13006</v>
      </c>
      <c r="AL1134" s="2">
        <v>5.32</v>
      </c>
      <c r="AM1134" s="2">
        <v>5.89</v>
      </c>
      <c r="AN1134" s="2">
        <v>0</v>
      </c>
      <c r="AO1134" t="s">
        <v>11527</v>
      </c>
      <c r="AP1134" t="s">
        <v>11915</v>
      </c>
      <c r="AQ1134" t="s">
        <v>11914</v>
      </c>
    </row>
    <row r="1135" spans="1:43" x14ac:dyDescent="0.2">
      <c r="A1135" t="s">
        <v>12997</v>
      </c>
      <c r="B1135" t="s">
        <v>10900</v>
      </c>
      <c r="C1135" t="s">
        <v>11049</v>
      </c>
      <c r="D1135" t="s">
        <v>11916</v>
      </c>
      <c r="E1135" t="s">
        <v>11917</v>
      </c>
      <c r="F1135" t="s">
        <v>11916</v>
      </c>
      <c r="G1135" s="1">
        <v>285120</v>
      </c>
      <c r="H1135" s="2">
        <v>285120</v>
      </c>
      <c r="I1135" s="2">
        <v>284494.63</v>
      </c>
      <c r="J1135" s="2">
        <v>1410.32</v>
      </c>
      <c r="K1135" s="2">
        <v>0</v>
      </c>
      <c r="L1135" s="2">
        <v>285904.95</v>
      </c>
      <c r="M1135" s="3">
        <v>5.6016830000000004</v>
      </c>
      <c r="N1135" s="4">
        <v>6.5045999999999995E-4</v>
      </c>
      <c r="O1135" s="5">
        <v>44732</v>
      </c>
      <c r="P1135" s="5">
        <v>44824</v>
      </c>
      <c r="Q1135" s="1">
        <v>5.6420000000000003</v>
      </c>
      <c r="R1135" s="2">
        <v>0.15</v>
      </c>
      <c r="S1135" s="6">
        <v>0.14281421501899999</v>
      </c>
      <c r="T1135" t="s">
        <v>111</v>
      </c>
      <c r="U1135" t="s">
        <v>111</v>
      </c>
      <c r="V1135" t="s">
        <v>11189</v>
      </c>
      <c r="W1135" t="s">
        <v>43</v>
      </c>
      <c r="X1135" t="s">
        <v>11034</v>
      </c>
      <c r="Y1135" t="s">
        <v>44</v>
      </c>
      <c r="Z1135" t="s">
        <v>44</v>
      </c>
      <c r="AA1135" t="s">
        <v>10979</v>
      </c>
      <c r="AB1135" t="s">
        <v>44</v>
      </c>
      <c r="AC1135" s="4">
        <v>5.6801300100000001</v>
      </c>
      <c r="AD1135" s="4">
        <v>5.5374074699999998</v>
      </c>
      <c r="AE1135" s="2">
        <v>5.68</v>
      </c>
      <c r="AF1135" s="4">
        <v>5.5374074699999998</v>
      </c>
      <c r="AG1135" s="2">
        <v>7.0000000000000007E-2</v>
      </c>
      <c r="AH1135" s="2">
        <v>285904.95</v>
      </c>
      <c r="AI1135" s="2">
        <v>0</v>
      </c>
      <c r="AJ1135" s="5">
        <v>44673</v>
      </c>
      <c r="AK1135" t="s">
        <v>13006</v>
      </c>
      <c r="AL1135" s="2">
        <v>5.6</v>
      </c>
      <c r="AM1135" s="2">
        <v>5.64</v>
      </c>
      <c r="AN1135" s="2">
        <v>0.14000000000000001</v>
      </c>
      <c r="AO1135" t="s">
        <v>10980</v>
      </c>
      <c r="AP1135" t="s">
        <v>11918</v>
      </c>
      <c r="AQ1135" t="s">
        <v>11917</v>
      </c>
    </row>
    <row r="1136" spans="1:43" x14ac:dyDescent="0.2">
      <c r="A1136" t="s">
        <v>12997</v>
      </c>
      <c r="B1136" t="s">
        <v>10900</v>
      </c>
      <c r="C1136" t="s">
        <v>11049</v>
      </c>
      <c r="D1136" t="s">
        <v>11484</v>
      </c>
      <c r="E1136" t="s">
        <v>11485</v>
      </c>
      <c r="F1136" t="s">
        <v>11484</v>
      </c>
      <c r="G1136" s="1">
        <v>1300000</v>
      </c>
      <c r="H1136" s="2">
        <v>1299779.3600000001</v>
      </c>
      <c r="I1136" s="2">
        <v>1304483.6499999999</v>
      </c>
      <c r="J1136" s="2">
        <v>2273.4</v>
      </c>
      <c r="K1136" s="2">
        <v>0</v>
      </c>
      <c r="L1136" s="2">
        <v>1306757.05</v>
      </c>
      <c r="M1136" s="3">
        <v>4.7031479999999997</v>
      </c>
      <c r="N1136" s="4">
        <v>2.9730099999999999E-3</v>
      </c>
      <c r="O1136" s="5">
        <v>44755</v>
      </c>
      <c r="P1136" s="5">
        <v>44755</v>
      </c>
      <c r="Q1136" s="1">
        <v>6.383</v>
      </c>
      <c r="R1136" s="2">
        <v>0.22</v>
      </c>
      <c r="S1136" s="6">
        <v>0.20657671253000001</v>
      </c>
      <c r="T1136" t="s">
        <v>111</v>
      </c>
      <c r="U1136" t="s">
        <v>111</v>
      </c>
      <c r="V1136" t="s">
        <v>11189</v>
      </c>
      <c r="W1136" t="s">
        <v>43</v>
      </c>
      <c r="X1136" t="s">
        <v>11034</v>
      </c>
      <c r="Y1136" t="s">
        <v>44</v>
      </c>
      <c r="Z1136" t="s">
        <v>44</v>
      </c>
      <c r="AA1136" t="s">
        <v>11035</v>
      </c>
      <c r="AB1136" t="s">
        <v>44</v>
      </c>
      <c r="AC1136" s="4">
        <v>4.7584475099999999</v>
      </c>
      <c r="AD1136" s="4">
        <v>4.6577173900000002</v>
      </c>
      <c r="AE1136" s="2">
        <v>4.76</v>
      </c>
      <c r="AF1136" s="4">
        <v>4.6577173900000002</v>
      </c>
      <c r="AG1136" s="2">
        <v>0.32</v>
      </c>
      <c r="AH1136" s="2">
        <v>1306757.05</v>
      </c>
      <c r="AI1136" s="2">
        <v>0</v>
      </c>
      <c r="AJ1136" s="5">
        <v>44673</v>
      </c>
      <c r="AK1136" t="s">
        <v>13006</v>
      </c>
      <c r="AL1136" s="2">
        <v>4.7</v>
      </c>
      <c r="AM1136" s="2">
        <v>6.38</v>
      </c>
      <c r="AN1136" s="2">
        <v>0.21</v>
      </c>
      <c r="AO1136" t="s">
        <v>11437</v>
      </c>
      <c r="AP1136" t="s">
        <v>11486</v>
      </c>
      <c r="AQ1136" t="s">
        <v>11485</v>
      </c>
    </row>
    <row r="1137" spans="1:43" x14ac:dyDescent="0.2">
      <c r="A1137" t="s">
        <v>12997</v>
      </c>
      <c r="B1137" t="s">
        <v>10900</v>
      </c>
      <c r="C1137" t="s">
        <v>11049</v>
      </c>
      <c r="D1137" t="s">
        <v>11797</v>
      </c>
      <c r="E1137" t="s">
        <v>11798</v>
      </c>
      <c r="F1137" t="s">
        <v>11797</v>
      </c>
      <c r="G1137" s="1">
        <v>5800000</v>
      </c>
      <c r="H1137" s="2">
        <v>5889277.54</v>
      </c>
      <c r="I1137" s="2">
        <v>5896955.6399999997</v>
      </c>
      <c r="J1137" s="2">
        <v>35879.120000000003</v>
      </c>
      <c r="K1137" s="2">
        <v>0</v>
      </c>
      <c r="L1137" s="2">
        <v>5932834.7599999998</v>
      </c>
      <c r="M1137" s="3">
        <v>5.7687520000000001</v>
      </c>
      <c r="N1137" s="4">
        <v>1.3497840000000001E-2</v>
      </c>
      <c r="O1137" s="5">
        <v>44742</v>
      </c>
      <c r="P1137" s="5">
        <v>44834</v>
      </c>
      <c r="Q1137" s="1">
        <v>9.8170000000000002</v>
      </c>
      <c r="R1137" s="2">
        <v>0.18</v>
      </c>
      <c r="S1137" s="6">
        <v>0.17046604942900001</v>
      </c>
      <c r="T1137" t="s">
        <v>111</v>
      </c>
      <c r="U1137" t="s">
        <v>111</v>
      </c>
      <c r="V1137" t="s">
        <v>11189</v>
      </c>
      <c r="W1137" t="s">
        <v>43</v>
      </c>
      <c r="X1137" t="s">
        <v>11034</v>
      </c>
      <c r="Y1137" t="s">
        <v>44</v>
      </c>
      <c r="Z1137" t="s">
        <v>44</v>
      </c>
      <c r="AA1137" t="s">
        <v>11035</v>
      </c>
      <c r="AB1137" t="s">
        <v>2680</v>
      </c>
      <c r="AC1137" s="4">
        <v>5.8519482600000003</v>
      </c>
      <c r="AD1137" s="4">
        <v>5.7006194399999996</v>
      </c>
      <c r="AE1137" s="2">
        <v>5.85</v>
      </c>
      <c r="AF1137" s="4">
        <v>5.7006194399999996</v>
      </c>
      <c r="AG1137" s="2">
        <v>1.47</v>
      </c>
      <c r="AH1137" s="2">
        <v>5932834.7599999998</v>
      </c>
      <c r="AI1137" s="2">
        <v>0.01</v>
      </c>
      <c r="AJ1137" s="5">
        <v>44673</v>
      </c>
      <c r="AK1137" t="s">
        <v>13006</v>
      </c>
      <c r="AL1137" s="2">
        <v>5.77</v>
      </c>
      <c r="AM1137" s="2">
        <v>9.82</v>
      </c>
      <c r="AN1137" s="2">
        <v>0.17</v>
      </c>
      <c r="AO1137" t="s">
        <v>11496</v>
      </c>
      <c r="AP1137" t="s">
        <v>11799</v>
      </c>
      <c r="AQ1137" t="s">
        <v>11798</v>
      </c>
    </row>
    <row r="1138" spans="1:43" x14ac:dyDescent="0.2">
      <c r="A1138" t="s">
        <v>12997</v>
      </c>
      <c r="B1138" t="s">
        <v>10900</v>
      </c>
      <c r="C1138" t="s">
        <v>11049</v>
      </c>
      <c r="D1138" t="s">
        <v>12381</v>
      </c>
      <c r="E1138" t="s">
        <v>12382</v>
      </c>
      <c r="F1138" t="s">
        <v>12381</v>
      </c>
      <c r="G1138" s="1">
        <v>600000</v>
      </c>
      <c r="H1138" s="2">
        <v>603539.63</v>
      </c>
      <c r="I1138" s="2">
        <v>603268.56000000006</v>
      </c>
      <c r="J1138" s="2">
        <v>19420.27</v>
      </c>
      <c r="K1138" s="2">
        <v>0</v>
      </c>
      <c r="L1138" s="2">
        <v>622688.82999999996</v>
      </c>
      <c r="M1138" s="3">
        <v>4.72</v>
      </c>
      <c r="N1138" s="4">
        <v>1.41668E-3</v>
      </c>
      <c r="O1138" s="5">
        <v>44724</v>
      </c>
      <c r="P1138" s="5">
        <v>44724</v>
      </c>
      <c r="Q1138" s="1">
        <v>8.9499999999999993</v>
      </c>
      <c r="R1138" s="2">
        <v>0.13</v>
      </c>
      <c r="S1138" s="6">
        <v>0.13069560599999999</v>
      </c>
      <c r="T1138" t="s">
        <v>111</v>
      </c>
      <c r="U1138" t="s">
        <v>111</v>
      </c>
      <c r="V1138" t="s">
        <v>10944</v>
      </c>
      <c r="W1138" t="s">
        <v>43</v>
      </c>
      <c r="X1138" t="s">
        <v>11034</v>
      </c>
      <c r="Y1138" t="s">
        <v>44</v>
      </c>
      <c r="Z1138" t="s">
        <v>44</v>
      </c>
      <c r="AA1138" t="s">
        <v>10979</v>
      </c>
      <c r="AB1138" t="s">
        <v>44</v>
      </c>
      <c r="AC1138" s="4">
        <v>4.7756959999999999</v>
      </c>
      <c r="AD1138" s="4">
        <v>4.6742450599999996</v>
      </c>
      <c r="AE1138" s="2">
        <v>4.78</v>
      </c>
      <c r="AF1138" s="4">
        <v>4.6742450599999996</v>
      </c>
      <c r="AG1138" s="2">
        <v>0.15</v>
      </c>
      <c r="AH1138" s="2">
        <v>622688.82999999996</v>
      </c>
      <c r="AI1138" s="2">
        <v>0</v>
      </c>
      <c r="AJ1138" s="5">
        <v>44673</v>
      </c>
      <c r="AK1138" t="s">
        <v>13006</v>
      </c>
      <c r="AL1138" s="2">
        <v>4.72</v>
      </c>
      <c r="AM1138" s="2">
        <v>8.9499999999999993</v>
      </c>
      <c r="AN1138" s="2">
        <v>0.13</v>
      </c>
      <c r="AO1138" t="s">
        <v>11179</v>
      </c>
      <c r="AP1138" t="s">
        <v>12383</v>
      </c>
      <c r="AQ1138" t="s">
        <v>12382</v>
      </c>
    </row>
    <row r="1139" spans="1:43" x14ac:dyDescent="0.2">
      <c r="A1139" t="s">
        <v>12997</v>
      </c>
      <c r="B1139" t="s">
        <v>10900</v>
      </c>
      <c r="C1139" t="s">
        <v>11049</v>
      </c>
      <c r="D1139" t="s">
        <v>12384</v>
      </c>
      <c r="E1139" t="s">
        <v>12385</v>
      </c>
      <c r="F1139" t="s">
        <v>12384</v>
      </c>
      <c r="G1139" s="1">
        <v>700000</v>
      </c>
      <c r="H1139" s="2">
        <v>719882.34</v>
      </c>
      <c r="I1139" s="2">
        <v>715616.72</v>
      </c>
      <c r="J1139" s="2">
        <v>31006.36</v>
      </c>
      <c r="K1139" s="2">
        <v>0</v>
      </c>
      <c r="L1139" s="2">
        <v>746623.08</v>
      </c>
      <c r="M1139" s="3">
        <v>5.835</v>
      </c>
      <c r="N1139" s="4">
        <v>1.6986499999999999E-3</v>
      </c>
      <c r="O1139" s="5">
        <v>44693</v>
      </c>
      <c r="P1139" s="5">
        <v>44877</v>
      </c>
      <c r="Q1139" s="1">
        <v>9.98</v>
      </c>
      <c r="R1139" s="2">
        <v>0.52</v>
      </c>
      <c r="S1139" s="6">
        <v>0.50880014200000001</v>
      </c>
      <c r="T1139" t="s">
        <v>111</v>
      </c>
      <c r="U1139" t="s">
        <v>111</v>
      </c>
      <c r="V1139" t="s">
        <v>10944</v>
      </c>
      <c r="W1139" t="s">
        <v>43</v>
      </c>
      <c r="X1139" t="s">
        <v>44</v>
      </c>
      <c r="Y1139" t="s">
        <v>44</v>
      </c>
      <c r="Z1139" t="s">
        <v>44</v>
      </c>
      <c r="AA1139" t="s">
        <v>10979</v>
      </c>
      <c r="AB1139" t="s">
        <v>44</v>
      </c>
      <c r="AC1139" s="4">
        <v>5.9201180600000001</v>
      </c>
      <c r="AD1139" s="4">
        <v>5.7653073700000004</v>
      </c>
      <c r="AE1139" s="2">
        <v>5.92</v>
      </c>
      <c r="AF1139" s="4">
        <v>5.7653073700000004</v>
      </c>
      <c r="AG1139" s="2">
        <v>0.18</v>
      </c>
      <c r="AH1139" s="2">
        <v>746623.08</v>
      </c>
      <c r="AI1139" s="2">
        <v>0</v>
      </c>
      <c r="AJ1139" s="5">
        <v>44673</v>
      </c>
      <c r="AK1139" t="s">
        <v>13006</v>
      </c>
      <c r="AL1139" s="2">
        <v>5.83</v>
      </c>
      <c r="AM1139" s="2">
        <v>9.98</v>
      </c>
      <c r="AN1139" s="2">
        <v>0.51</v>
      </c>
      <c r="AO1139" t="s">
        <v>11179</v>
      </c>
      <c r="AP1139" t="s">
        <v>12386</v>
      </c>
      <c r="AQ1139" t="s">
        <v>12385</v>
      </c>
    </row>
    <row r="1140" spans="1:43" x14ac:dyDescent="0.2">
      <c r="A1140" t="s">
        <v>12997</v>
      </c>
      <c r="B1140" t="s">
        <v>10900</v>
      </c>
      <c r="C1140" t="s">
        <v>11049</v>
      </c>
      <c r="D1140" t="s">
        <v>12735</v>
      </c>
      <c r="E1140" t="s">
        <v>12387</v>
      </c>
      <c r="F1140" t="s">
        <v>12735</v>
      </c>
      <c r="G1140" s="1">
        <v>1000000</v>
      </c>
      <c r="H1140" s="2">
        <v>1000163.77</v>
      </c>
      <c r="I1140" s="2">
        <v>1000027.59</v>
      </c>
      <c r="J1140" s="2">
        <v>5663.34</v>
      </c>
      <c r="K1140" s="2">
        <v>0</v>
      </c>
      <c r="L1140" s="2">
        <v>1005690.93</v>
      </c>
      <c r="M1140" s="3">
        <v>5.6316829999999998</v>
      </c>
      <c r="N1140" s="4">
        <v>2.2880600000000002E-3</v>
      </c>
      <c r="O1140" s="5">
        <v>44732</v>
      </c>
      <c r="P1140" s="5">
        <v>44732</v>
      </c>
      <c r="Q1140" s="1">
        <v>5.742</v>
      </c>
      <c r="R1140" s="2">
        <v>0.15</v>
      </c>
      <c r="S1140" s="6">
        <v>0.145110319568</v>
      </c>
      <c r="T1140" t="s">
        <v>111</v>
      </c>
      <c r="U1140" t="s">
        <v>111</v>
      </c>
      <c r="V1140" t="s">
        <v>11189</v>
      </c>
      <c r="W1140" t="s">
        <v>43</v>
      </c>
      <c r="X1140" t="s">
        <v>11034</v>
      </c>
      <c r="Y1140" t="s">
        <v>44</v>
      </c>
      <c r="Z1140" t="s">
        <v>44</v>
      </c>
      <c r="AA1140" t="s">
        <v>44</v>
      </c>
      <c r="AB1140" t="s">
        <v>44</v>
      </c>
      <c r="AC1140" s="4">
        <v>5.7109725100000004</v>
      </c>
      <c r="AD1140" s="4">
        <v>5.5667229999999996</v>
      </c>
      <c r="AE1140" s="2">
        <v>5.71</v>
      </c>
      <c r="AF1140" s="4">
        <v>5.5667229999999996</v>
      </c>
      <c r="AG1140" s="2">
        <v>0.25</v>
      </c>
      <c r="AH1140" s="2">
        <v>1005690.93</v>
      </c>
      <c r="AI1140" s="2">
        <v>0</v>
      </c>
      <c r="AJ1140" s="5">
        <v>44673</v>
      </c>
      <c r="AK1140" t="s">
        <v>13006</v>
      </c>
      <c r="AL1140" s="2">
        <v>5.63</v>
      </c>
      <c r="AM1140" s="2">
        <v>5.74</v>
      </c>
      <c r="AN1140" s="2">
        <v>0.15</v>
      </c>
      <c r="AO1140" t="s">
        <v>12388</v>
      </c>
      <c r="AP1140" t="s">
        <v>12389</v>
      </c>
      <c r="AQ1140" t="s">
        <v>12387</v>
      </c>
    </row>
    <row r="1141" spans="1:43" x14ac:dyDescent="0.2">
      <c r="A1141" t="s">
        <v>12997</v>
      </c>
      <c r="B1141" t="s">
        <v>10900</v>
      </c>
      <c r="C1141" t="s">
        <v>11033</v>
      </c>
      <c r="D1141" t="s">
        <v>11803</v>
      </c>
      <c r="E1141" t="s">
        <v>11804</v>
      </c>
      <c r="F1141" t="s">
        <v>11803</v>
      </c>
      <c r="G1141" s="1">
        <v>600000</v>
      </c>
      <c r="H1141" s="2">
        <v>605951.82999999996</v>
      </c>
      <c r="I1141" s="2">
        <v>607136.37</v>
      </c>
      <c r="J1141" s="2">
        <v>5918.1</v>
      </c>
      <c r="K1141" s="2">
        <v>0</v>
      </c>
      <c r="L1141" s="2">
        <v>613054.47</v>
      </c>
      <c r="M1141" s="3">
        <v>5.9316740000000001</v>
      </c>
      <c r="N1141" s="4">
        <v>1.3947600000000001E-3</v>
      </c>
      <c r="O1141" s="5">
        <v>44711</v>
      </c>
      <c r="P1141" s="5">
        <v>45259</v>
      </c>
      <c r="Q1141" s="1">
        <v>6.6669999999999998</v>
      </c>
      <c r="R1141" s="2">
        <v>0.1</v>
      </c>
      <c r="S1141" s="6">
        <v>8.3360787894999996E-2</v>
      </c>
      <c r="T1141" t="s">
        <v>111</v>
      </c>
      <c r="U1141" t="s">
        <v>111</v>
      </c>
      <c r="V1141" t="s">
        <v>11189</v>
      </c>
      <c r="W1141" t="s">
        <v>43</v>
      </c>
      <c r="X1141" t="s">
        <v>11034</v>
      </c>
      <c r="Y1141" t="s">
        <v>44</v>
      </c>
      <c r="Z1141" t="s">
        <v>44</v>
      </c>
      <c r="AA1141" t="s">
        <v>10979</v>
      </c>
      <c r="AB1141" t="s">
        <v>44</v>
      </c>
      <c r="AC1141" s="4">
        <v>6.0196354200000002</v>
      </c>
      <c r="AD1141" s="4">
        <v>5.8596732400000002</v>
      </c>
      <c r="AE1141" s="2">
        <v>6.02</v>
      </c>
      <c r="AF1141" s="4">
        <v>5.8596732400000002</v>
      </c>
      <c r="AG1141" s="2">
        <v>0.15</v>
      </c>
      <c r="AH1141" s="2">
        <v>613054.47</v>
      </c>
      <c r="AI1141" s="2">
        <v>0</v>
      </c>
      <c r="AJ1141" s="5">
        <v>44673</v>
      </c>
      <c r="AK1141" t="s">
        <v>13006</v>
      </c>
      <c r="AL1141" s="2">
        <v>5.93</v>
      </c>
      <c r="AM1141" s="2">
        <v>6.67</v>
      </c>
      <c r="AN1141" s="2">
        <v>0.08</v>
      </c>
      <c r="AO1141" t="s">
        <v>11165</v>
      </c>
      <c r="AP1141" t="s">
        <v>11805</v>
      </c>
      <c r="AQ1141" t="s">
        <v>11804</v>
      </c>
    </row>
    <row r="1142" spans="1:43" x14ac:dyDescent="0.2">
      <c r="A1142" t="s">
        <v>12997</v>
      </c>
      <c r="B1142" t="s">
        <v>10900</v>
      </c>
      <c r="C1142" t="s">
        <v>11033</v>
      </c>
      <c r="D1142" t="s">
        <v>11806</v>
      </c>
      <c r="E1142" t="s">
        <v>11807</v>
      </c>
      <c r="F1142" t="s">
        <v>11806</v>
      </c>
      <c r="G1142" s="1">
        <v>3500000</v>
      </c>
      <c r="H1142" s="2">
        <v>3538852.59</v>
      </c>
      <c r="I1142" s="2">
        <v>3541360.13</v>
      </c>
      <c r="J1142" s="2">
        <v>7805.1</v>
      </c>
      <c r="K1142" s="2">
        <v>0</v>
      </c>
      <c r="L1142" s="2">
        <v>3549165.23</v>
      </c>
      <c r="M1142" s="3">
        <v>6.0434890000000001</v>
      </c>
      <c r="N1142" s="4">
        <v>8.0747300000000004E-3</v>
      </c>
      <c r="O1142" s="5">
        <v>44753</v>
      </c>
      <c r="P1142" s="5">
        <v>45393</v>
      </c>
      <c r="Q1142" s="1">
        <v>6.7830000000000004</v>
      </c>
      <c r="R1142" s="2">
        <v>0.21</v>
      </c>
      <c r="S1142" s="6">
        <v>0.19079709986500001</v>
      </c>
      <c r="T1142" t="s">
        <v>111</v>
      </c>
      <c r="U1142" t="s">
        <v>111</v>
      </c>
      <c r="V1142" t="s">
        <v>11189</v>
      </c>
      <c r="W1142" t="s">
        <v>43</v>
      </c>
      <c r="X1142" t="s">
        <v>11034</v>
      </c>
      <c r="Y1142" t="s">
        <v>44</v>
      </c>
      <c r="Z1142" t="s">
        <v>44</v>
      </c>
      <c r="AA1142" t="s">
        <v>10979</v>
      </c>
      <c r="AB1142" t="s">
        <v>44</v>
      </c>
      <c r="AC1142" s="4">
        <v>6.1347979300000004</v>
      </c>
      <c r="AD1142" s="4">
        <v>5.9687731099999999</v>
      </c>
      <c r="AE1142" s="2">
        <v>6.13</v>
      </c>
      <c r="AF1142" s="4">
        <v>5.9687731099999999</v>
      </c>
      <c r="AG1142" s="2">
        <v>0.88</v>
      </c>
      <c r="AH1142" s="2">
        <v>3549165.23</v>
      </c>
      <c r="AI1142" s="2">
        <v>0.01</v>
      </c>
      <c r="AJ1142" s="5">
        <v>44673</v>
      </c>
      <c r="AK1142" t="s">
        <v>13006</v>
      </c>
      <c r="AL1142" s="2">
        <v>6.04</v>
      </c>
      <c r="AM1142" s="2">
        <v>6.78</v>
      </c>
      <c r="AN1142" s="2">
        <v>0.19</v>
      </c>
      <c r="AO1142" t="s">
        <v>11165</v>
      </c>
      <c r="AP1142" t="s">
        <v>11808</v>
      </c>
      <c r="AQ1142" t="s">
        <v>11807</v>
      </c>
    </row>
    <row r="1143" spans="1:43" x14ac:dyDescent="0.2">
      <c r="A1143" t="s">
        <v>12997</v>
      </c>
      <c r="B1143" t="s">
        <v>10900</v>
      </c>
      <c r="C1143" t="s">
        <v>11033</v>
      </c>
      <c r="D1143" t="s">
        <v>11501</v>
      </c>
      <c r="E1143" t="s">
        <v>11502</v>
      </c>
      <c r="F1143" t="s">
        <v>11501</v>
      </c>
      <c r="G1143" s="1">
        <v>15200000</v>
      </c>
      <c r="H1143" s="2">
        <v>15225365.210000001</v>
      </c>
      <c r="I1143" s="2">
        <v>15230423.27</v>
      </c>
      <c r="J1143" s="2">
        <v>54640.04</v>
      </c>
      <c r="K1143" s="2">
        <v>0</v>
      </c>
      <c r="L1143" s="2">
        <v>15285063.310000001</v>
      </c>
      <c r="M1143" s="3">
        <v>5.2487519999999996</v>
      </c>
      <c r="N1143" s="4">
        <v>3.4775159999999999E-2</v>
      </c>
      <c r="O1143" s="5">
        <v>44742</v>
      </c>
      <c r="P1143" s="5">
        <v>45383</v>
      </c>
      <c r="Q1143" s="1">
        <v>5.4669999999999996</v>
      </c>
      <c r="R1143" s="2">
        <v>0.18</v>
      </c>
      <c r="S1143" s="6">
        <v>0.16209118744199999</v>
      </c>
      <c r="T1143" t="s">
        <v>111</v>
      </c>
      <c r="U1143" t="s">
        <v>111</v>
      </c>
      <c r="V1143" t="s">
        <v>11189</v>
      </c>
      <c r="W1143" t="s">
        <v>43</v>
      </c>
      <c r="X1143" t="s">
        <v>11034</v>
      </c>
      <c r="Y1143" t="s">
        <v>44</v>
      </c>
      <c r="Z1143" t="s">
        <v>44</v>
      </c>
      <c r="AA1143" t="s">
        <v>10979</v>
      </c>
      <c r="AB1143" t="s">
        <v>44</v>
      </c>
      <c r="AC1143" s="4">
        <v>5.3176255100000001</v>
      </c>
      <c r="AD1143" s="4">
        <v>5.1922611500000002</v>
      </c>
      <c r="AE1143" s="2">
        <v>5.32</v>
      </c>
      <c r="AF1143" s="4">
        <v>5.1922611500000002</v>
      </c>
      <c r="AG1143" s="2">
        <v>3.78</v>
      </c>
      <c r="AH1143" s="2">
        <v>15285063.310000001</v>
      </c>
      <c r="AI1143" s="2">
        <v>0.03</v>
      </c>
      <c r="AJ1143" s="5">
        <v>44673</v>
      </c>
      <c r="AK1143" t="s">
        <v>13006</v>
      </c>
      <c r="AL1143" s="2">
        <v>5.25</v>
      </c>
      <c r="AM1143" s="2">
        <v>5.47</v>
      </c>
      <c r="AN1143" s="2">
        <v>0.16</v>
      </c>
      <c r="AO1143" t="s">
        <v>11165</v>
      </c>
      <c r="AP1143" t="s">
        <v>11503</v>
      </c>
      <c r="AQ1143" t="s">
        <v>11502</v>
      </c>
    </row>
    <row r="1144" spans="1:43" x14ac:dyDescent="0.2">
      <c r="A1144" t="s">
        <v>12997</v>
      </c>
      <c r="B1144" t="s">
        <v>10900</v>
      </c>
      <c r="C1144" t="s">
        <v>11033</v>
      </c>
      <c r="D1144" t="s">
        <v>12885</v>
      </c>
      <c r="E1144" t="s">
        <v>12886</v>
      </c>
      <c r="F1144" t="s">
        <v>12885</v>
      </c>
      <c r="G1144" s="1">
        <v>4000000</v>
      </c>
      <c r="H1144" s="2">
        <v>4180228.17</v>
      </c>
      <c r="I1144" s="2">
        <v>4176570.14</v>
      </c>
      <c r="J1144" s="2">
        <v>51585.53</v>
      </c>
      <c r="K1144" s="2">
        <v>0</v>
      </c>
      <c r="L1144" s="2">
        <v>4228155.67</v>
      </c>
      <c r="M1144" s="3">
        <v>6.8666739999999997</v>
      </c>
      <c r="N1144" s="4">
        <v>9.6195099999999995E-3</v>
      </c>
      <c r="O1144" s="5">
        <v>44711</v>
      </c>
      <c r="P1144" s="5">
        <v>45624</v>
      </c>
      <c r="Q1144" s="1">
        <v>8.7170000000000005</v>
      </c>
      <c r="R1144" s="2">
        <v>0.1</v>
      </c>
      <c r="S1144" s="6">
        <v>0.100905587016</v>
      </c>
      <c r="T1144" t="s">
        <v>111</v>
      </c>
      <c r="U1144" t="s">
        <v>111</v>
      </c>
      <c r="V1144" t="s">
        <v>11189</v>
      </c>
      <c r="W1144" t="s">
        <v>43</v>
      </c>
      <c r="X1144" t="s">
        <v>11034</v>
      </c>
      <c r="Y1144" t="s">
        <v>44</v>
      </c>
      <c r="Z1144" t="s">
        <v>44</v>
      </c>
      <c r="AA1144" t="s">
        <v>10979</v>
      </c>
      <c r="AB1144" t="s">
        <v>44</v>
      </c>
      <c r="AC1144" s="4">
        <v>6.9845515499999999</v>
      </c>
      <c r="AD1144" s="4">
        <v>6.7704540700000004</v>
      </c>
      <c r="AE1144" s="2">
        <v>6.98</v>
      </c>
      <c r="AF1144" s="4">
        <v>6.7704540700000004</v>
      </c>
      <c r="AG1144" s="2">
        <v>1.04</v>
      </c>
      <c r="AH1144" s="2">
        <v>4228155.67</v>
      </c>
      <c r="AI1144" s="2">
        <v>0.01</v>
      </c>
      <c r="AJ1144" s="5">
        <v>44673</v>
      </c>
      <c r="AK1144" t="s">
        <v>13006</v>
      </c>
      <c r="AL1144" s="2">
        <v>6.87</v>
      </c>
      <c r="AM1144" s="2">
        <v>8.7200000000000006</v>
      </c>
      <c r="AN1144" s="2">
        <v>0.1</v>
      </c>
      <c r="AO1144" t="s">
        <v>11165</v>
      </c>
      <c r="AP1144" t="s">
        <v>12887</v>
      </c>
      <c r="AQ1144" t="s">
        <v>12886</v>
      </c>
    </row>
    <row r="1145" spans="1:43" x14ac:dyDescent="0.2">
      <c r="A1145" t="s">
        <v>12997</v>
      </c>
      <c r="B1145" t="s">
        <v>10900</v>
      </c>
      <c r="C1145" t="s">
        <v>11033</v>
      </c>
      <c r="D1145" t="s">
        <v>11518</v>
      </c>
      <c r="E1145" t="s">
        <v>11519</v>
      </c>
      <c r="F1145" t="s">
        <v>11518</v>
      </c>
      <c r="G1145" s="1">
        <v>8100000</v>
      </c>
      <c r="H1145" s="2">
        <v>8101311.8600000003</v>
      </c>
      <c r="I1145" s="2">
        <v>8125700.4100000001</v>
      </c>
      <c r="J1145" s="2">
        <v>84497.87</v>
      </c>
      <c r="K1145" s="2">
        <v>0</v>
      </c>
      <c r="L1145" s="2">
        <v>8210198.2800000003</v>
      </c>
      <c r="M1145" s="3">
        <v>6.0730570000000004</v>
      </c>
      <c r="N1145" s="4">
        <v>1.8679089999999999E-2</v>
      </c>
      <c r="O1145" s="5">
        <v>44704</v>
      </c>
      <c r="P1145" s="5">
        <v>45159</v>
      </c>
      <c r="Q1145" s="1">
        <v>6.242</v>
      </c>
      <c r="R1145" s="2">
        <v>0.08</v>
      </c>
      <c r="S1145" s="6">
        <v>5.9720457003999999E-2</v>
      </c>
      <c r="T1145" t="s">
        <v>111</v>
      </c>
      <c r="U1145" t="s">
        <v>111</v>
      </c>
      <c r="V1145" t="s">
        <v>11189</v>
      </c>
      <c r="W1145" t="s">
        <v>43</v>
      </c>
      <c r="X1145" t="s">
        <v>11034</v>
      </c>
      <c r="Y1145" t="s">
        <v>44</v>
      </c>
      <c r="Z1145" t="s">
        <v>44</v>
      </c>
      <c r="AA1145" t="s">
        <v>11441</v>
      </c>
      <c r="AB1145" t="s">
        <v>44</v>
      </c>
      <c r="AC1145" s="4">
        <v>6.1652619800000004</v>
      </c>
      <c r="AD1145" s="4">
        <v>5.9976152599999999</v>
      </c>
      <c r="AE1145" s="2">
        <v>6.17</v>
      </c>
      <c r="AF1145" s="4">
        <v>5.9976152599999999</v>
      </c>
      <c r="AG1145" s="2">
        <v>2.0299999999999998</v>
      </c>
      <c r="AH1145" s="2">
        <v>8210198.2800000003</v>
      </c>
      <c r="AI1145" s="2">
        <v>0.02</v>
      </c>
      <c r="AJ1145" s="5">
        <v>44673</v>
      </c>
      <c r="AK1145" t="s">
        <v>13006</v>
      </c>
      <c r="AL1145" s="2">
        <v>6.07</v>
      </c>
      <c r="AM1145" s="2">
        <v>6.24</v>
      </c>
      <c r="AN1145" s="2">
        <v>0.06</v>
      </c>
      <c r="AO1145" t="s">
        <v>11520</v>
      </c>
      <c r="AP1145" t="s">
        <v>11521</v>
      </c>
      <c r="AQ1145" t="s">
        <v>11519</v>
      </c>
    </row>
    <row r="1146" spans="1:43" x14ac:dyDescent="0.2">
      <c r="A1146" t="s">
        <v>12997</v>
      </c>
      <c r="B1146" t="s">
        <v>10900</v>
      </c>
      <c r="C1146" t="s">
        <v>11033</v>
      </c>
      <c r="D1146" t="s">
        <v>11815</v>
      </c>
      <c r="E1146" t="s">
        <v>11816</v>
      </c>
      <c r="F1146" t="s">
        <v>11815</v>
      </c>
      <c r="G1146" s="1">
        <v>2400000</v>
      </c>
      <c r="H1146" s="2">
        <v>2400000</v>
      </c>
      <c r="I1146" s="2">
        <v>2399872.34</v>
      </c>
      <c r="J1146" s="2">
        <v>26728.04</v>
      </c>
      <c r="K1146" s="2">
        <v>0</v>
      </c>
      <c r="L1146" s="2">
        <v>2426600.38</v>
      </c>
      <c r="M1146" s="3">
        <v>6.1638650000000004</v>
      </c>
      <c r="N1146" s="4">
        <v>5.5207800000000003E-3</v>
      </c>
      <c r="O1146" s="5">
        <v>44697</v>
      </c>
      <c r="P1146" s="5">
        <v>45519</v>
      </c>
      <c r="Q1146" s="1">
        <v>6.0670000000000002</v>
      </c>
      <c r="R1146" s="2">
        <v>0.06</v>
      </c>
      <c r="S1146" s="6">
        <v>2.7386669091000002E-2</v>
      </c>
      <c r="T1146" t="s">
        <v>111</v>
      </c>
      <c r="U1146" t="s">
        <v>111</v>
      </c>
      <c r="V1146" t="s">
        <v>11189</v>
      </c>
      <c r="W1146" t="s">
        <v>43</v>
      </c>
      <c r="X1146" t="s">
        <v>11034</v>
      </c>
      <c r="Y1146" t="s">
        <v>44</v>
      </c>
      <c r="Z1146" t="s">
        <v>44</v>
      </c>
      <c r="AA1146" t="s">
        <v>11225</v>
      </c>
      <c r="AB1146" t="s">
        <v>44</v>
      </c>
      <c r="AC1146" s="4">
        <v>6.2588480500000001</v>
      </c>
      <c r="AD1146" s="4">
        <v>6.0861713799999997</v>
      </c>
      <c r="AE1146" s="2">
        <v>6.26</v>
      </c>
      <c r="AF1146" s="4">
        <v>6.0861713799999997</v>
      </c>
      <c r="AG1146" s="2">
        <v>0.6</v>
      </c>
      <c r="AH1146" s="2">
        <v>2426600.38</v>
      </c>
      <c r="AI1146" s="2">
        <v>0.01</v>
      </c>
      <c r="AJ1146" s="5">
        <v>44673</v>
      </c>
      <c r="AK1146" t="s">
        <v>13006</v>
      </c>
      <c r="AL1146" s="2">
        <v>6.16</v>
      </c>
      <c r="AM1146" s="2">
        <v>6.07</v>
      </c>
      <c r="AN1146" s="2">
        <v>0.03</v>
      </c>
      <c r="AO1146" t="s">
        <v>11817</v>
      </c>
      <c r="AP1146" t="s">
        <v>11818</v>
      </c>
      <c r="AQ1146" t="s">
        <v>11816</v>
      </c>
    </row>
    <row r="1147" spans="1:43" x14ac:dyDescent="0.2">
      <c r="A1147" t="s">
        <v>12997</v>
      </c>
      <c r="B1147" t="s">
        <v>10900</v>
      </c>
      <c r="C1147" t="s">
        <v>11033</v>
      </c>
      <c r="D1147" t="s">
        <v>12841</v>
      </c>
      <c r="E1147" t="s">
        <v>12842</v>
      </c>
      <c r="F1147" t="s">
        <v>12841</v>
      </c>
      <c r="G1147" s="1">
        <v>10600000</v>
      </c>
      <c r="H1147" s="2">
        <v>10600000</v>
      </c>
      <c r="I1147" s="2">
        <v>10600274.99</v>
      </c>
      <c r="J1147" s="2">
        <v>42460.41</v>
      </c>
      <c r="K1147" s="2">
        <v>0</v>
      </c>
      <c r="L1147" s="2">
        <v>10642735.4</v>
      </c>
      <c r="M1147" s="3">
        <v>5.8547310000000001</v>
      </c>
      <c r="N1147" s="4">
        <v>2.4213370000000001E-2</v>
      </c>
      <c r="O1147" s="5">
        <v>44679</v>
      </c>
      <c r="P1147" s="5">
        <v>45044</v>
      </c>
      <c r="Q1147" s="1">
        <v>6.0919999999999996</v>
      </c>
      <c r="R1147" s="2">
        <v>0.01</v>
      </c>
      <c r="S1147" s="6">
        <v>-3.847892072E-3</v>
      </c>
      <c r="T1147" t="s">
        <v>111</v>
      </c>
      <c r="U1147" t="s">
        <v>111</v>
      </c>
      <c r="V1147" t="s">
        <v>114</v>
      </c>
      <c r="W1147" t="s">
        <v>43</v>
      </c>
      <c r="X1147" t="s">
        <v>44</v>
      </c>
      <c r="Y1147" t="s">
        <v>44</v>
      </c>
      <c r="Z1147" t="s">
        <v>44</v>
      </c>
      <c r="AA1147" t="s">
        <v>10979</v>
      </c>
      <c r="AB1147" t="s">
        <v>44</v>
      </c>
      <c r="AC1147" s="4">
        <v>5.9404258900000002</v>
      </c>
      <c r="AD1147" s="4">
        <v>5.7845705699999996</v>
      </c>
      <c r="AE1147" s="2">
        <v>5.94</v>
      </c>
      <c r="AF1147" s="4">
        <v>5.7845705699999996</v>
      </c>
      <c r="AG1147" s="2">
        <v>2.63</v>
      </c>
      <c r="AH1147" s="2">
        <v>10642735.4</v>
      </c>
      <c r="AI1147" s="2">
        <v>0.02</v>
      </c>
      <c r="AJ1147" s="5">
        <v>44673</v>
      </c>
      <c r="AK1147" t="s">
        <v>13006</v>
      </c>
      <c r="AL1147" s="2">
        <v>5.85</v>
      </c>
      <c r="AM1147" s="2">
        <v>6.09</v>
      </c>
      <c r="AN1147" s="2">
        <v>0</v>
      </c>
      <c r="AO1147" t="s">
        <v>11165</v>
      </c>
      <c r="AP1147" t="s">
        <v>12843</v>
      </c>
      <c r="AQ1147" t="s">
        <v>12842</v>
      </c>
    </row>
    <row r="1148" spans="1:43" x14ac:dyDescent="0.2">
      <c r="A1148" t="s">
        <v>12997</v>
      </c>
      <c r="B1148" t="s">
        <v>10900</v>
      </c>
      <c r="C1148" t="s">
        <v>11033</v>
      </c>
      <c r="D1148" t="s">
        <v>12968</v>
      </c>
      <c r="E1148" t="s">
        <v>12969</v>
      </c>
      <c r="F1148" t="s">
        <v>12968</v>
      </c>
      <c r="G1148" s="1">
        <v>5600000</v>
      </c>
      <c r="H1148" s="2">
        <v>5600000</v>
      </c>
      <c r="I1148" s="2">
        <v>5600128.8399999999</v>
      </c>
      <c r="J1148" s="2">
        <v>9928.57</v>
      </c>
      <c r="K1148" s="2">
        <v>0</v>
      </c>
      <c r="L1148" s="2">
        <v>5610057.4100000001</v>
      </c>
      <c r="M1148" s="3">
        <v>5.7981850000000001</v>
      </c>
      <c r="N1148" s="4">
        <v>1.2763480000000001E-2</v>
      </c>
      <c r="O1148" s="5">
        <v>44754</v>
      </c>
      <c r="P1148" s="5">
        <v>45759</v>
      </c>
      <c r="Q1148" s="1">
        <v>5.883</v>
      </c>
      <c r="R1148" s="2">
        <v>0.21</v>
      </c>
      <c r="S1148" s="6">
        <v>0.17647470644900001</v>
      </c>
      <c r="T1148" t="s">
        <v>111</v>
      </c>
      <c r="U1148" t="s">
        <v>111</v>
      </c>
      <c r="V1148" t="s">
        <v>11189</v>
      </c>
      <c r="W1148" t="s">
        <v>43</v>
      </c>
      <c r="X1148" t="s">
        <v>11034</v>
      </c>
      <c r="Y1148" t="s">
        <v>44</v>
      </c>
      <c r="Z1148" t="s">
        <v>44</v>
      </c>
      <c r="AA1148" t="s">
        <v>44</v>
      </c>
      <c r="AB1148" t="s">
        <v>44</v>
      </c>
      <c r="AC1148" s="4">
        <v>5.8822328199999996</v>
      </c>
      <c r="AD1148" s="4">
        <v>5.7293618799999999</v>
      </c>
      <c r="AE1148" s="2">
        <v>5.88</v>
      </c>
      <c r="AF1148" s="4">
        <v>5.7293618799999999</v>
      </c>
      <c r="AG1148" s="2">
        <v>1.39</v>
      </c>
      <c r="AH1148" s="2">
        <v>5610057.4100000001</v>
      </c>
      <c r="AI1148" s="2">
        <v>0.01</v>
      </c>
      <c r="AJ1148" s="5">
        <v>44673</v>
      </c>
      <c r="AK1148" t="s">
        <v>13006</v>
      </c>
      <c r="AL1148" s="2">
        <v>5.8</v>
      </c>
      <c r="AM1148" s="2">
        <v>5.88</v>
      </c>
      <c r="AN1148" s="2">
        <v>0.18</v>
      </c>
      <c r="AO1148" t="s">
        <v>11527</v>
      </c>
      <c r="AP1148" t="s">
        <v>12970</v>
      </c>
      <c r="AQ1148" t="s">
        <v>12969</v>
      </c>
    </row>
    <row r="1149" spans="1:43" x14ac:dyDescent="0.2">
      <c r="A1149" t="s">
        <v>12997</v>
      </c>
      <c r="B1149" t="s">
        <v>10900</v>
      </c>
      <c r="C1149" t="s">
        <v>11033</v>
      </c>
      <c r="D1149" t="s">
        <v>12390</v>
      </c>
      <c r="E1149" t="s">
        <v>12391</v>
      </c>
      <c r="F1149" t="s">
        <v>12390</v>
      </c>
      <c r="G1149" s="1">
        <v>7300000</v>
      </c>
      <c r="H1149" s="2">
        <v>7300000</v>
      </c>
      <c r="I1149" s="2">
        <v>7308774.3799999999</v>
      </c>
      <c r="J1149" s="2">
        <v>107551.2</v>
      </c>
      <c r="K1149" s="2">
        <v>0</v>
      </c>
      <c r="L1149" s="2">
        <v>7416325.5800000001</v>
      </c>
      <c r="M1149" s="3">
        <v>6.4902220000000002</v>
      </c>
      <c r="N1149" s="4">
        <v>1.6872939999999999E-2</v>
      </c>
      <c r="O1149" s="5">
        <v>44680</v>
      </c>
      <c r="P1149" s="5">
        <v>45136</v>
      </c>
      <c r="Q1149" s="1">
        <v>6.5579999999999998</v>
      </c>
      <c r="R1149" s="2">
        <v>0.01</v>
      </c>
      <c r="S1149" s="6">
        <v>-8.1043672139999995E-3</v>
      </c>
      <c r="T1149" t="s">
        <v>111</v>
      </c>
      <c r="U1149" t="s">
        <v>111</v>
      </c>
      <c r="V1149" t="s">
        <v>11189</v>
      </c>
      <c r="W1149" t="s">
        <v>43</v>
      </c>
      <c r="X1149" t="s">
        <v>11034</v>
      </c>
      <c r="Y1149" t="s">
        <v>44</v>
      </c>
      <c r="Z1149" t="s">
        <v>44</v>
      </c>
      <c r="AA1149" t="s">
        <v>11035</v>
      </c>
      <c r="AB1149" t="s">
        <v>44</v>
      </c>
      <c r="AC1149" s="4">
        <v>6.5955293700000004</v>
      </c>
      <c r="AD1149" s="4">
        <v>6.4041669900000002</v>
      </c>
      <c r="AE1149" s="2">
        <v>6.6</v>
      </c>
      <c r="AF1149" s="4">
        <v>6.4041669900000002</v>
      </c>
      <c r="AG1149" s="2">
        <v>1.83</v>
      </c>
      <c r="AH1149" s="2">
        <v>7416325.5800000001</v>
      </c>
      <c r="AI1149" s="2">
        <v>0.02</v>
      </c>
      <c r="AJ1149" s="5">
        <v>44673</v>
      </c>
      <c r="AK1149" t="s">
        <v>13006</v>
      </c>
      <c r="AL1149" s="2">
        <v>6.49</v>
      </c>
      <c r="AM1149" s="2">
        <v>6.56</v>
      </c>
      <c r="AN1149" s="2">
        <v>-0.01</v>
      </c>
      <c r="AO1149" t="s">
        <v>11437</v>
      </c>
      <c r="AP1149" t="s">
        <v>12392</v>
      </c>
      <c r="AQ1149" t="s">
        <v>12391</v>
      </c>
    </row>
    <row r="1150" spans="1:43" x14ac:dyDescent="0.2">
      <c r="A1150" t="s">
        <v>12997</v>
      </c>
      <c r="B1150" t="s">
        <v>10900</v>
      </c>
      <c r="C1150" t="s">
        <v>11033</v>
      </c>
      <c r="D1150" t="s">
        <v>11832</v>
      </c>
      <c r="E1150" t="s">
        <v>11833</v>
      </c>
      <c r="F1150" t="s">
        <v>11832</v>
      </c>
      <c r="G1150" s="1">
        <v>2900000</v>
      </c>
      <c r="H1150" s="2">
        <v>2900000</v>
      </c>
      <c r="I1150" s="2">
        <v>2901139.36</v>
      </c>
      <c r="J1150" s="2">
        <v>1742.54</v>
      </c>
      <c r="K1150" s="2">
        <v>0</v>
      </c>
      <c r="L1150" s="2">
        <v>2902881.9</v>
      </c>
      <c r="M1150" s="3">
        <v>5.3938800000000002</v>
      </c>
      <c r="N1150" s="4">
        <v>6.60437E-3</v>
      </c>
      <c r="O1150" s="5">
        <v>44757</v>
      </c>
      <c r="P1150" s="5">
        <v>45397</v>
      </c>
      <c r="Q1150" s="1">
        <v>5.4829999999999997</v>
      </c>
      <c r="R1150" s="2">
        <v>0.22</v>
      </c>
      <c r="S1150" s="6">
        <v>0.19846818724099999</v>
      </c>
      <c r="T1150" t="s">
        <v>111</v>
      </c>
      <c r="U1150" t="s">
        <v>111</v>
      </c>
      <c r="V1150" t="s">
        <v>11189</v>
      </c>
      <c r="W1150" t="s">
        <v>43</v>
      </c>
      <c r="X1150" t="s">
        <v>11034</v>
      </c>
      <c r="Y1150" t="s">
        <v>44</v>
      </c>
      <c r="Z1150" t="s">
        <v>44</v>
      </c>
      <c r="AA1150" t="s">
        <v>11035</v>
      </c>
      <c r="AB1150" t="s">
        <v>44</v>
      </c>
      <c r="AC1150" s="4">
        <v>5.4666152800000001</v>
      </c>
      <c r="AD1150" s="4">
        <v>5.3342482999999996</v>
      </c>
      <c r="AE1150" s="2">
        <v>5.47</v>
      </c>
      <c r="AF1150" s="4">
        <v>5.3342482999999996</v>
      </c>
      <c r="AG1150" s="2">
        <v>0.72</v>
      </c>
      <c r="AH1150" s="2">
        <v>2902881.9</v>
      </c>
      <c r="AI1150" s="2">
        <v>0.01</v>
      </c>
      <c r="AJ1150" s="5">
        <v>44673</v>
      </c>
      <c r="AK1150" t="s">
        <v>13006</v>
      </c>
      <c r="AL1150" s="2">
        <v>5.39</v>
      </c>
      <c r="AM1150" s="2">
        <v>5.48</v>
      </c>
      <c r="AN1150" s="2">
        <v>0.2</v>
      </c>
      <c r="AO1150" t="s">
        <v>11036</v>
      </c>
      <c r="AP1150" t="s">
        <v>11834</v>
      </c>
      <c r="AQ1150" t="s">
        <v>11833</v>
      </c>
    </row>
    <row r="1151" spans="1:43" x14ac:dyDescent="0.2">
      <c r="A1151" t="s">
        <v>12997</v>
      </c>
      <c r="B1151" t="s">
        <v>10900</v>
      </c>
      <c r="C1151" t="s">
        <v>11033</v>
      </c>
      <c r="D1151" t="s">
        <v>13010</v>
      </c>
      <c r="E1151" t="s">
        <v>13011</v>
      </c>
      <c r="F1151" t="s">
        <v>13010</v>
      </c>
      <c r="G1151" s="1">
        <v>6300000</v>
      </c>
      <c r="H1151" s="2">
        <v>6361354.9800000004</v>
      </c>
      <c r="I1151" s="2">
        <v>6378932.3499999996</v>
      </c>
      <c r="J1151" s="2">
        <v>76639.759999999995</v>
      </c>
      <c r="K1151" s="2">
        <v>0</v>
      </c>
      <c r="L1151" s="2">
        <v>6455572.1100000003</v>
      </c>
      <c r="M1151" s="3">
        <v>4.9825840000000001</v>
      </c>
      <c r="N1151" s="4">
        <v>1.468712E-2</v>
      </c>
      <c r="O1151" s="5">
        <v>44691</v>
      </c>
      <c r="P1151" s="5">
        <v>45056</v>
      </c>
      <c r="Q1151" s="1">
        <v>6.1669999999999998</v>
      </c>
      <c r="R1151" s="2">
        <v>0.04</v>
      </c>
      <c r="S1151" s="6">
        <v>4.0996640963E-2</v>
      </c>
      <c r="T1151" t="s">
        <v>111</v>
      </c>
      <c r="U1151" t="s">
        <v>111</v>
      </c>
      <c r="V1151" t="s">
        <v>11189</v>
      </c>
      <c r="W1151" t="s">
        <v>43</v>
      </c>
      <c r="X1151" t="s">
        <v>11034</v>
      </c>
      <c r="Y1151" t="s">
        <v>44</v>
      </c>
      <c r="Z1151" t="s">
        <v>44</v>
      </c>
      <c r="AA1151" t="s">
        <v>11035</v>
      </c>
      <c r="AB1151" t="s">
        <v>44</v>
      </c>
      <c r="AC1151" s="4">
        <v>5.0446493400000003</v>
      </c>
      <c r="AD1151" s="4">
        <v>4.9316366499999997</v>
      </c>
      <c r="AE1151" s="2">
        <v>5.04</v>
      </c>
      <c r="AF1151" s="4">
        <v>4.9316366499999997</v>
      </c>
      <c r="AG1151" s="2">
        <v>1.6</v>
      </c>
      <c r="AH1151" s="2">
        <v>6455572.1100000003</v>
      </c>
      <c r="AI1151" s="2">
        <v>0.01</v>
      </c>
      <c r="AJ1151" s="5">
        <v>44673</v>
      </c>
      <c r="AK1151" t="s">
        <v>13006</v>
      </c>
      <c r="AL1151" s="2">
        <v>4.9800000000000004</v>
      </c>
      <c r="AM1151" s="2">
        <v>6.17</v>
      </c>
      <c r="AN1151" s="2">
        <v>0.04</v>
      </c>
      <c r="AO1151" t="s">
        <v>11036</v>
      </c>
      <c r="AP1151" t="s">
        <v>13012</v>
      </c>
      <c r="AQ1151" t="s">
        <v>13011</v>
      </c>
    </row>
    <row r="1152" spans="1:43" x14ac:dyDescent="0.2">
      <c r="A1152" t="s">
        <v>12997</v>
      </c>
      <c r="B1152" t="s">
        <v>10900</v>
      </c>
      <c r="C1152" t="s">
        <v>11033</v>
      </c>
      <c r="D1152" t="s">
        <v>12393</v>
      </c>
      <c r="E1152" t="s">
        <v>12394</v>
      </c>
      <c r="F1152" t="s">
        <v>12393</v>
      </c>
      <c r="G1152" s="1">
        <v>1200000</v>
      </c>
      <c r="H1152" s="2">
        <v>1267617.3400000001</v>
      </c>
      <c r="I1152" s="2">
        <v>1246889.8799999999</v>
      </c>
      <c r="J1152" s="2">
        <v>57584.22</v>
      </c>
      <c r="K1152" s="2">
        <v>0</v>
      </c>
      <c r="L1152" s="2">
        <v>1304474.1000000001</v>
      </c>
      <c r="M1152" s="3">
        <v>6.7649999999999997</v>
      </c>
      <c r="N1152" s="4">
        <v>2.9678199999999999E-3</v>
      </c>
      <c r="O1152" s="5">
        <v>44691</v>
      </c>
      <c r="P1152" s="5">
        <v>45056</v>
      </c>
      <c r="Q1152" s="1">
        <v>10.68</v>
      </c>
      <c r="R1152" s="2">
        <v>0.97</v>
      </c>
      <c r="S1152" s="6">
        <v>0.93709763599999996</v>
      </c>
      <c r="T1152" t="s">
        <v>111</v>
      </c>
      <c r="U1152" t="s">
        <v>111</v>
      </c>
      <c r="V1152" t="s">
        <v>10944</v>
      </c>
      <c r="W1152" t="s">
        <v>43</v>
      </c>
      <c r="X1152" t="s">
        <v>44</v>
      </c>
      <c r="Y1152" t="s">
        <v>44</v>
      </c>
      <c r="Z1152" t="s">
        <v>44</v>
      </c>
      <c r="AA1152" t="s">
        <v>11035</v>
      </c>
      <c r="AB1152" t="s">
        <v>44</v>
      </c>
      <c r="AC1152" s="4">
        <v>6.8794130600000001</v>
      </c>
      <c r="AD1152" s="4">
        <v>6.6715806000000004</v>
      </c>
      <c r="AE1152" s="2">
        <v>6.88</v>
      </c>
      <c r="AF1152" s="4">
        <v>6.6715806000000004</v>
      </c>
      <c r="AG1152" s="2">
        <v>0.32</v>
      </c>
      <c r="AH1152" s="2">
        <v>1304474.1000000001</v>
      </c>
      <c r="AI1152" s="2">
        <v>0</v>
      </c>
      <c r="AJ1152" s="5">
        <v>44673</v>
      </c>
      <c r="AK1152" t="s">
        <v>13006</v>
      </c>
      <c r="AL1152" s="2">
        <v>6.76</v>
      </c>
      <c r="AM1152" s="2">
        <v>10.68</v>
      </c>
      <c r="AN1152" s="2">
        <v>0.94</v>
      </c>
      <c r="AO1152" t="s">
        <v>11036</v>
      </c>
      <c r="AP1152" t="s">
        <v>12395</v>
      </c>
      <c r="AQ1152" t="s">
        <v>12394</v>
      </c>
    </row>
    <row r="1153" spans="1:43" x14ac:dyDescent="0.2">
      <c r="A1153" t="s">
        <v>12997</v>
      </c>
      <c r="B1153" t="s">
        <v>10900</v>
      </c>
      <c r="C1153" t="s">
        <v>11033</v>
      </c>
      <c r="D1153" t="s">
        <v>11192</v>
      </c>
      <c r="E1153" t="s">
        <v>11193</v>
      </c>
      <c r="F1153" t="s">
        <v>11192</v>
      </c>
      <c r="G1153" s="1">
        <v>850000</v>
      </c>
      <c r="H1153" s="2">
        <v>879891.45</v>
      </c>
      <c r="I1153" s="2">
        <v>883368.08</v>
      </c>
      <c r="J1153" s="2">
        <v>4695.75</v>
      </c>
      <c r="K1153" s="2">
        <v>0</v>
      </c>
      <c r="L1153" s="2">
        <v>888063.83</v>
      </c>
      <c r="M1153" s="3">
        <v>6.4487519999999998</v>
      </c>
      <c r="N1153" s="4">
        <v>2.0204400000000001E-3</v>
      </c>
      <c r="O1153" s="5">
        <v>44742</v>
      </c>
      <c r="P1153" s="5">
        <v>45379</v>
      </c>
      <c r="Q1153" s="1">
        <v>8.7669999999999995</v>
      </c>
      <c r="R1153" s="2">
        <v>0.18</v>
      </c>
      <c r="S1153" s="6">
        <v>0.176703783398</v>
      </c>
      <c r="T1153" t="s">
        <v>111</v>
      </c>
      <c r="U1153" t="s">
        <v>111</v>
      </c>
      <c r="V1153" t="s">
        <v>11189</v>
      </c>
      <c r="W1153" t="s">
        <v>43</v>
      </c>
      <c r="X1153" t="s">
        <v>11034</v>
      </c>
      <c r="Y1153" t="s">
        <v>44</v>
      </c>
      <c r="Z1153" t="s">
        <v>44</v>
      </c>
      <c r="AA1153" t="s">
        <v>10979</v>
      </c>
      <c r="AB1153" t="s">
        <v>44</v>
      </c>
      <c r="AC1153" s="4">
        <v>6.5527180200000004</v>
      </c>
      <c r="AD1153" s="4">
        <v>6.3637827900000001</v>
      </c>
      <c r="AE1153" s="2">
        <v>6.55</v>
      </c>
      <c r="AF1153" s="4">
        <v>6.3637827900000001</v>
      </c>
      <c r="AG1153" s="2">
        <v>0.22</v>
      </c>
      <c r="AH1153" s="2">
        <v>888063.83</v>
      </c>
      <c r="AI1153" s="2">
        <v>0</v>
      </c>
      <c r="AJ1153" s="5">
        <v>44673</v>
      </c>
      <c r="AK1153" t="s">
        <v>13006</v>
      </c>
      <c r="AL1153" s="2">
        <v>6.45</v>
      </c>
      <c r="AM1153" s="2">
        <v>8.77</v>
      </c>
      <c r="AN1153" s="2">
        <v>0.18</v>
      </c>
      <c r="AO1153" t="s">
        <v>11179</v>
      </c>
      <c r="AP1153" t="s">
        <v>11194</v>
      </c>
      <c r="AQ1153" t="s">
        <v>11193</v>
      </c>
    </row>
    <row r="1154" spans="1:43" x14ac:dyDescent="0.2">
      <c r="A1154" t="s">
        <v>12997</v>
      </c>
      <c r="B1154" t="s">
        <v>10900</v>
      </c>
      <c r="C1154" t="s">
        <v>11033</v>
      </c>
      <c r="D1154" t="s">
        <v>11843</v>
      </c>
      <c r="E1154" t="s">
        <v>11844</v>
      </c>
      <c r="F1154" t="s">
        <v>11843</v>
      </c>
      <c r="G1154" s="1">
        <v>5500000</v>
      </c>
      <c r="H1154" s="2">
        <v>5519808.5099999998</v>
      </c>
      <c r="I1154" s="2">
        <v>5475187.4400000004</v>
      </c>
      <c r="J1154" s="2">
        <v>4088.38</v>
      </c>
      <c r="K1154" s="2">
        <v>0</v>
      </c>
      <c r="L1154" s="2">
        <v>5479275.8200000003</v>
      </c>
      <c r="M1154" s="3">
        <v>6.9820180000000001</v>
      </c>
      <c r="N1154" s="4">
        <v>1.246594E-2</v>
      </c>
      <c r="O1154" s="5">
        <v>44760</v>
      </c>
      <c r="P1154" s="5">
        <v>45398</v>
      </c>
      <c r="Q1154" s="1">
        <v>6.7830000000000004</v>
      </c>
      <c r="R1154" s="2">
        <v>0.23</v>
      </c>
      <c r="S1154" s="6">
        <v>0.182016060841</v>
      </c>
      <c r="T1154" t="s">
        <v>111</v>
      </c>
      <c r="U1154" t="s">
        <v>111</v>
      </c>
      <c r="V1154" t="s">
        <v>11189</v>
      </c>
      <c r="W1154" t="s">
        <v>43</v>
      </c>
      <c r="X1154" t="s">
        <v>11034</v>
      </c>
      <c r="Y1154" t="s">
        <v>44</v>
      </c>
      <c r="Z1154" t="s">
        <v>44</v>
      </c>
      <c r="AA1154" t="s">
        <v>10979</v>
      </c>
      <c r="AB1154" t="s">
        <v>44</v>
      </c>
      <c r="AC1154" s="4">
        <v>7.1038890300000004</v>
      </c>
      <c r="AD1154" s="4">
        <v>6.8825725699999998</v>
      </c>
      <c r="AE1154" s="2">
        <v>7.1</v>
      </c>
      <c r="AF1154" s="4">
        <v>6.8825725699999998</v>
      </c>
      <c r="AG1154" s="2">
        <v>1.35</v>
      </c>
      <c r="AH1154" s="2">
        <v>5479275.8200000003</v>
      </c>
      <c r="AI1154" s="2">
        <v>0.01</v>
      </c>
      <c r="AJ1154" s="5">
        <v>44673</v>
      </c>
      <c r="AK1154" t="s">
        <v>13006</v>
      </c>
      <c r="AL1154" s="2">
        <v>6.98</v>
      </c>
      <c r="AM1154" s="2">
        <v>6.78</v>
      </c>
      <c r="AN1154" s="2">
        <v>0.18</v>
      </c>
      <c r="AO1154" t="s">
        <v>11179</v>
      </c>
      <c r="AP1154" t="s">
        <v>11845</v>
      </c>
      <c r="AQ1154" t="s">
        <v>11844</v>
      </c>
    </row>
    <row r="1155" spans="1:43" x14ac:dyDescent="0.2">
      <c r="A1155" t="s">
        <v>12997</v>
      </c>
      <c r="B1155" t="s">
        <v>45</v>
      </c>
      <c r="C1155" t="s">
        <v>11000</v>
      </c>
      <c r="D1155" t="s">
        <v>11421</v>
      </c>
      <c r="E1155" t="s">
        <v>11422</v>
      </c>
      <c r="F1155" t="s">
        <v>11421</v>
      </c>
      <c r="G1155" s="1">
        <v>7000000</v>
      </c>
      <c r="H1155" s="2">
        <v>7000000</v>
      </c>
      <c r="I1155" s="2">
        <v>7000000</v>
      </c>
      <c r="J1155" s="2">
        <v>47293.15</v>
      </c>
      <c r="K1155" s="2">
        <v>0</v>
      </c>
      <c r="L1155" s="2">
        <v>7047293.1500000004</v>
      </c>
      <c r="M1155" s="3">
        <v>4.2</v>
      </c>
      <c r="N1155" s="4">
        <v>1.6033349999999998E-2</v>
      </c>
      <c r="O1155" s="5" t="s">
        <v>44</v>
      </c>
      <c r="P1155" s="5">
        <v>55153</v>
      </c>
      <c r="Q1155" s="1">
        <v>4.2</v>
      </c>
      <c r="R1155" s="2">
        <v>0.08</v>
      </c>
      <c r="S1155" s="6">
        <v>2.5947269999999998E-3</v>
      </c>
      <c r="T1155" t="s">
        <v>112</v>
      </c>
      <c r="U1155" t="s">
        <v>46</v>
      </c>
      <c r="V1155" t="s">
        <v>11270</v>
      </c>
      <c r="W1155" t="s">
        <v>43</v>
      </c>
      <c r="X1155" t="s">
        <v>44</v>
      </c>
      <c r="Y1155" t="s">
        <v>44</v>
      </c>
      <c r="Z1155" t="s">
        <v>44</v>
      </c>
      <c r="AA1155" t="s">
        <v>10913</v>
      </c>
      <c r="AB1155" t="s">
        <v>44</v>
      </c>
      <c r="AC1155" s="4">
        <v>4.2819052299999996</v>
      </c>
      <c r="AD1155" s="4">
        <v>4.20010057</v>
      </c>
      <c r="AE1155" s="2">
        <v>4.28</v>
      </c>
      <c r="AF1155" s="4">
        <v>4.20010057</v>
      </c>
      <c r="AG1155" s="2">
        <v>1.74</v>
      </c>
      <c r="AH1155" s="2">
        <v>7047293.1500000004</v>
      </c>
      <c r="AI1155" s="2">
        <v>0.02</v>
      </c>
      <c r="AJ1155" s="5">
        <v>44673</v>
      </c>
      <c r="AK1155" t="s">
        <v>13006</v>
      </c>
      <c r="AL1155" s="2">
        <v>4.24</v>
      </c>
      <c r="AM1155" s="2">
        <v>4.2</v>
      </c>
      <c r="AN1155" s="2">
        <v>0</v>
      </c>
      <c r="AO1155" t="s">
        <v>11423</v>
      </c>
      <c r="AP1155" t="s">
        <v>44</v>
      </c>
      <c r="AQ1155" t="s">
        <v>11422</v>
      </c>
    </row>
    <row r="1156" spans="1:43" x14ac:dyDescent="0.2">
      <c r="A1156" t="s">
        <v>12997</v>
      </c>
      <c r="B1156" t="s">
        <v>45</v>
      </c>
      <c r="C1156" t="s">
        <v>11000</v>
      </c>
      <c r="D1156" t="s">
        <v>11424</v>
      </c>
      <c r="E1156" t="s">
        <v>11425</v>
      </c>
      <c r="F1156" t="s">
        <v>11424</v>
      </c>
      <c r="G1156" s="1">
        <v>3000000</v>
      </c>
      <c r="H1156" s="2">
        <v>3000000</v>
      </c>
      <c r="I1156" s="2">
        <v>3000000</v>
      </c>
      <c r="J1156" s="2">
        <v>7594.52</v>
      </c>
      <c r="K1156" s="2">
        <v>0</v>
      </c>
      <c r="L1156" s="2">
        <v>3007594.52</v>
      </c>
      <c r="M1156" s="3">
        <v>4.2</v>
      </c>
      <c r="N1156" s="4">
        <v>6.8425999999999999E-3</v>
      </c>
      <c r="O1156" s="5" t="s">
        <v>44</v>
      </c>
      <c r="P1156" s="5">
        <v>55153</v>
      </c>
      <c r="Q1156" s="1">
        <v>4.2</v>
      </c>
      <c r="R1156" s="2">
        <v>0.08</v>
      </c>
      <c r="S1156" s="6">
        <v>2.5986049999999999E-3</v>
      </c>
      <c r="T1156" t="s">
        <v>112</v>
      </c>
      <c r="U1156" t="s">
        <v>46</v>
      </c>
      <c r="V1156" t="s">
        <v>11270</v>
      </c>
      <c r="W1156" t="s">
        <v>43</v>
      </c>
      <c r="X1156" t="s">
        <v>44</v>
      </c>
      <c r="Y1156" t="s">
        <v>44</v>
      </c>
      <c r="Z1156" t="s">
        <v>44</v>
      </c>
      <c r="AA1156" t="s">
        <v>11035</v>
      </c>
      <c r="AB1156" t="s">
        <v>44</v>
      </c>
      <c r="AC1156" s="4">
        <v>4.2819052299999996</v>
      </c>
      <c r="AD1156" s="4">
        <v>4.20010057</v>
      </c>
      <c r="AE1156" s="2">
        <v>4.28</v>
      </c>
      <c r="AF1156" s="4">
        <v>4.20010057</v>
      </c>
      <c r="AG1156" s="2">
        <v>0.74</v>
      </c>
      <c r="AH1156" s="2">
        <v>3007594.52</v>
      </c>
      <c r="AI1156" s="2">
        <v>0.01</v>
      </c>
      <c r="AJ1156" s="5">
        <v>44673</v>
      </c>
      <c r="AK1156" t="s">
        <v>13006</v>
      </c>
      <c r="AL1156" s="2">
        <v>4.24</v>
      </c>
      <c r="AM1156" s="2">
        <v>4.2</v>
      </c>
      <c r="AN1156" s="2">
        <v>0</v>
      </c>
      <c r="AO1156" t="s">
        <v>11053</v>
      </c>
      <c r="AP1156" t="s">
        <v>44</v>
      </c>
      <c r="AQ1156" t="s">
        <v>11425</v>
      </c>
    </row>
    <row r="1157" spans="1:43" x14ac:dyDescent="0.2">
      <c r="A1157" t="s">
        <v>12997</v>
      </c>
      <c r="B1157" t="s">
        <v>45</v>
      </c>
      <c r="C1157" t="s">
        <v>47</v>
      </c>
      <c r="D1157" t="s">
        <v>51</v>
      </c>
      <c r="E1157" t="s">
        <v>52</v>
      </c>
      <c r="F1157" t="s">
        <v>51</v>
      </c>
      <c r="G1157" s="1">
        <v>836274.95</v>
      </c>
      <c r="H1157" s="2">
        <v>836274.95</v>
      </c>
      <c r="I1157" s="2">
        <v>836274.95</v>
      </c>
      <c r="J1157" s="2">
        <v>0</v>
      </c>
      <c r="K1157" s="2">
        <v>0</v>
      </c>
      <c r="L1157" s="2">
        <v>836274.95</v>
      </c>
      <c r="M1157" s="3"/>
      <c r="N1157" s="4">
        <v>1.90262E-3</v>
      </c>
      <c r="O1157" s="5" t="s">
        <v>44</v>
      </c>
      <c r="P1157" s="5" t="s">
        <v>44</v>
      </c>
      <c r="Q1157" s="1"/>
      <c r="R1157" s="2">
        <v>0.08</v>
      </c>
      <c r="S1157" s="6"/>
      <c r="T1157" t="s">
        <v>45</v>
      </c>
      <c r="U1157" t="s">
        <v>53</v>
      </c>
      <c r="V1157" t="s">
        <v>44</v>
      </c>
      <c r="W1157" t="s">
        <v>43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s="4">
        <v>5.1163389600000002</v>
      </c>
      <c r="AD1157" s="4">
        <v>5.0001424999999999</v>
      </c>
      <c r="AE1157" s="2">
        <v>5.12</v>
      </c>
      <c r="AF1157" s="4">
        <v>5.0001424999999999</v>
      </c>
      <c r="AG1157" s="2">
        <v>0.21</v>
      </c>
      <c r="AH1157" s="2">
        <v>836274.95</v>
      </c>
      <c r="AI1157" s="2">
        <v>0</v>
      </c>
      <c r="AJ1157" s="5">
        <v>44673</v>
      </c>
      <c r="AK1157" t="s">
        <v>13006</v>
      </c>
      <c r="AL1157" s="2">
        <v>5.05</v>
      </c>
      <c r="AM1157" s="2">
        <v>0</v>
      </c>
      <c r="AN1157" s="2">
        <v>0</v>
      </c>
      <c r="AO1157" t="s">
        <v>44</v>
      </c>
      <c r="AP1157" t="s">
        <v>44</v>
      </c>
      <c r="AQ1157" t="s">
        <v>43</v>
      </c>
    </row>
    <row r="1158" spans="1:43" x14ac:dyDescent="0.2">
      <c r="A1158" t="s">
        <v>12997</v>
      </c>
      <c r="B1158" t="s">
        <v>45</v>
      </c>
      <c r="C1158" t="s">
        <v>11005</v>
      </c>
      <c r="D1158" t="s">
        <v>11009</v>
      </c>
      <c r="E1158" t="s">
        <v>11010</v>
      </c>
      <c r="F1158" t="s">
        <v>44</v>
      </c>
      <c r="G1158" s="1">
        <v>-67744.55</v>
      </c>
      <c r="H1158" s="2">
        <v>-67744.55</v>
      </c>
      <c r="I1158" s="2">
        <v>-67744.55</v>
      </c>
      <c r="J1158" s="2">
        <v>0</v>
      </c>
      <c r="K1158" s="2"/>
      <c r="L1158" s="2">
        <v>-67744.55</v>
      </c>
      <c r="M1158" s="3"/>
      <c r="N1158" s="4">
        <v>-1.5412999999999999E-4</v>
      </c>
      <c r="O1158" s="5" t="s">
        <v>44</v>
      </c>
      <c r="P1158" s="5">
        <v>73051</v>
      </c>
      <c r="Q1158" s="1">
        <v>0</v>
      </c>
      <c r="R1158" s="2">
        <v>0.08</v>
      </c>
      <c r="S1158" s="6"/>
      <c r="T1158" t="s">
        <v>45</v>
      </c>
      <c r="U1158" t="s">
        <v>44</v>
      </c>
      <c r="V1158" t="s">
        <v>44</v>
      </c>
      <c r="W1158" t="s">
        <v>43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s="4">
        <v>5.1163389600000002</v>
      </c>
      <c r="AD1158" s="4">
        <v>5.0001424999999999</v>
      </c>
      <c r="AE1158" s="2">
        <v>5.12</v>
      </c>
      <c r="AF1158" s="4">
        <v>5.0001424999999999</v>
      </c>
      <c r="AG1158" s="2">
        <v>-0.02</v>
      </c>
      <c r="AH1158" s="2">
        <v>-67744.55</v>
      </c>
      <c r="AI1158" s="2">
        <v>0</v>
      </c>
      <c r="AJ1158" s="5">
        <v>44673</v>
      </c>
      <c r="AK1158" t="s">
        <v>13006</v>
      </c>
      <c r="AL1158" s="2">
        <v>5.05</v>
      </c>
      <c r="AM1158" s="2">
        <v>0</v>
      </c>
      <c r="AN1158" s="2">
        <v>0</v>
      </c>
      <c r="AO1158" t="s">
        <v>44</v>
      </c>
      <c r="AP1158" t="s">
        <v>44</v>
      </c>
      <c r="AQ1158" t="s">
        <v>44</v>
      </c>
    </row>
    <row r="1159" spans="1:43" x14ac:dyDescent="0.2">
      <c r="A1159" t="s">
        <v>12997</v>
      </c>
      <c r="B1159" t="s">
        <v>11608</v>
      </c>
      <c r="C1159" t="s">
        <v>11608</v>
      </c>
      <c r="D1159" t="s">
        <v>12396</v>
      </c>
      <c r="E1159" t="s">
        <v>12397</v>
      </c>
      <c r="F1159" t="s">
        <v>12396</v>
      </c>
      <c r="G1159" s="1">
        <v>158000000</v>
      </c>
      <c r="H1159" s="2">
        <v>0</v>
      </c>
      <c r="I1159" s="2">
        <v>113911.02</v>
      </c>
      <c r="J1159" s="2">
        <v>0</v>
      </c>
      <c r="K1159" s="2">
        <v>0</v>
      </c>
      <c r="L1159" s="2">
        <v>113911.02</v>
      </c>
      <c r="M1159" s="3">
        <v>7.2095999999999993E-2</v>
      </c>
      <c r="N1159" s="4">
        <v>2.5915999999999998E-4</v>
      </c>
      <c r="O1159" s="5" t="s">
        <v>44</v>
      </c>
      <c r="P1159" s="5">
        <v>44910</v>
      </c>
      <c r="Q1159" s="1">
        <v>0</v>
      </c>
      <c r="R1159" s="2"/>
      <c r="S1159" s="6">
        <v>0.4</v>
      </c>
      <c r="T1159" t="s">
        <v>11412</v>
      </c>
      <c r="U1159" t="s">
        <v>11413</v>
      </c>
      <c r="V1159" t="s">
        <v>9802</v>
      </c>
      <c r="W1159" t="s">
        <v>43</v>
      </c>
      <c r="X1159" t="s">
        <v>44</v>
      </c>
      <c r="Y1159" t="s">
        <v>44</v>
      </c>
      <c r="Z1159" t="s">
        <v>44</v>
      </c>
      <c r="AA1159" t="s">
        <v>11035</v>
      </c>
      <c r="AB1159" t="s">
        <v>44</v>
      </c>
      <c r="AC1159" s="4"/>
      <c r="AD1159" s="4"/>
      <c r="AE1159" s="2">
        <v>0</v>
      </c>
      <c r="AF1159" s="4">
        <v>0</v>
      </c>
      <c r="AG1159" s="2">
        <v>0.03</v>
      </c>
      <c r="AH1159" s="2">
        <v>113911.02</v>
      </c>
      <c r="AI1159" s="2">
        <v>0</v>
      </c>
      <c r="AJ1159" s="5">
        <v>44673</v>
      </c>
      <c r="AK1159" t="s">
        <v>13006</v>
      </c>
      <c r="AL1159" s="2">
        <v>0</v>
      </c>
      <c r="AM1159" s="2">
        <v>0</v>
      </c>
      <c r="AN1159" s="2">
        <v>0.4</v>
      </c>
      <c r="AO1159" t="s">
        <v>11036</v>
      </c>
      <c r="AP1159" t="s">
        <v>44</v>
      </c>
      <c r="AQ1159" t="s">
        <v>44</v>
      </c>
    </row>
    <row r="1160" spans="1:43" x14ac:dyDescent="0.2">
      <c r="A1160" t="s">
        <v>12997</v>
      </c>
      <c r="B1160" t="s">
        <v>11608</v>
      </c>
      <c r="C1160" t="s">
        <v>11608</v>
      </c>
      <c r="D1160" t="s">
        <v>12398</v>
      </c>
      <c r="E1160" t="s">
        <v>12397</v>
      </c>
      <c r="F1160" t="s">
        <v>12398</v>
      </c>
      <c r="G1160" s="1">
        <v>-158000000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3"/>
      <c r="N1160" s="4">
        <v>0</v>
      </c>
      <c r="O1160" s="5" t="s">
        <v>44</v>
      </c>
      <c r="P1160" s="5">
        <v>44910</v>
      </c>
      <c r="Q1160" s="1">
        <v>0</v>
      </c>
      <c r="R1160" s="2"/>
      <c r="S1160" s="6"/>
      <c r="T1160" t="s">
        <v>11412</v>
      </c>
      <c r="U1160" t="s">
        <v>11413</v>
      </c>
      <c r="V1160" t="s">
        <v>9802</v>
      </c>
      <c r="W1160" t="s">
        <v>43</v>
      </c>
      <c r="X1160" t="s">
        <v>44</v>
      </c>
      <c r="Y1160" t="s">
        <v>44</v>
      </c>
      <c r="Z1160" t="s">
        <v>44</v>
      </c>
      <c r="AA1160" t="s">
        <v>11035</v>
      </c>
      <c r="AB1160" t="s">
        <v>44</v>
      </c>
      <c r="AC1160" s="4"/>
      <c r="AD1160" s="4"/>
      <c r="AE1160" s="2">
        <v>0</v>
      </c>
      <c r="AF1160" s="4">
        <v>0</v>
      </c>
      <c r="AG1160" s="2">
        <v>0</v>
      </c>
      <c r="AH1160" s="2">
        <v>0</v>
      </c>
      <c r="AI1160" s="2">
        <v>0</v>
      </c>
      <c r="AJ1160" s="5">
        <v>44673</v>
      </c>
      <c r="AK1160" t="s">
        <v>13006</v>
      </c>
      <c r="AL1160" s="2">
        <v>0</v>
      </c>
      <c r="AM1160" s="2">
        <v>0</v>
      </c>
      <c r="AN1160" s="2">
        <v>0</v>
      </c>
      <c r="AO1160" t="s">
        <v>11036</v>
      </c>
      <c r="AP1160" t="s">
        <v>44</v>
      </c>
      <c r="AQ1160" t="s">
        <v>44</v>
      </c>
    </row>
    <row r="1161" spans="1:43" x14ac:dyDescent="0.2">
      <c r="A1161" t="s">
        <v>12997</v>
      </c>
      <c r="B1161" t="s">
        <v>11608</v>
      </c>
      <c r="C1161" t="s">
        <v>11608</v>
      </c>
      <c r="D1161" t="s">
        <v>12399</v>
      </c>
      <c r="E1161" t="s">
        <v>12397</v>
      </c>
      <c r="F1161" t="s">
        <v>12399</v>
      </c>
      <c r="G1161" s="1">
        <v>158000000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3"/>
      <c r="N1161" s="4">
        <v>0</v>
      </c>
      <c r="O1161" s="5" t="s">
        <v>44</v>
      </c>
      <c r="P1161" s="5">
        <v>44910</v>
      </c>
      <c r="Q1161" s="1">
        <v>5.68</v>
      </c>
      <c r="R1161" s="2"/>
      <c r="S1161" s="6"/>
      <c r="T1161" t="s">
        <v>11412</v>
      </c>
      <c r="U1161" t="s">
        <v>11413</v>
      </c>
      <c r="V1161" t="s">
        <v>9802</v>
      </c>
      <c r="W1161" t="s">
        <v>43</v>
      </c>
      <c r="X1161" t="s">
        <v>44</v>
      </c>
      <c r="Y1161" t="s">
        <v>44</v>
      </c>
      <c r="Z1161" t="s">
        <v>44</v>
      </c>
      <c r="AA1161" t="s">
        <v>11035</v>
      </c>
      <c r="AB1161" t="s">
        <v>44</v>
      </c>
      <c r="AC1161" s="4"/>
      <c r="AD1161" s="4"/>
      <c r="AE1161" s="2">
        <v>0</v>
      </c>
      <c r="AF1161" s="4">
        <v>0</v>
      </c>
      <c r="AG1161" s="2">
        <v>0</v>
      </c>
      <c r="AH1161" s="2">
        <v>0</v>
      </c>
      <c r="AI1161" s="2">
        <v>0</v>
      </c>
      <c r="AJ1161" s="5">
        <v>44673</v>
      </c>
      <c r="AK1161" t="s">
        <v>13006</v>
      </c>
      <c r="AL1161" s="2">
        <v>0</v>
      </c>
      <c r="AM1161" s="2">
        <v>5.68</v>
      </c>
      <c r="AN1161" s="2">
        <v>0</v>
      </c>
      <c r="AO1161" t="s">
        <v>11036</v>
      </c>
      <c r="AP1161" t="s">
        <v>44</v>
      </c>
      <c r="AQ1161" t="s">
        <v>44</v>
      </c>
    </row>
    <row r="1162" spans="1:43" x14ac:dyDescent="0.2">
      <c r="A1162" t="s">
        <v>12997</v>
      </c>
      <c r="B1162" t="s">
        <v>11038</v>
      </c>
      <c r="C1162" t="s">
        <v>11870</v>
      </c>
      <c r="D1162" t="s">
        <v>11056</v>
      </c>
      <c r="E1162" t="s">
        <v>11057</v>
      </c>
      <c r="F1162" t="s">
        <v>11056</v>
      </c>
      <c r="G1162" s="1">
        <v>5702400</v>
      </c>
      <c r="H1162" s="2">
        <v>5701038.1799999997</v>
      </c>
      <c r="I1162" s="2">
        <v>5702400</v>
      </c>
      <c r="J1162" s="2">
        <v>146985.06</v>
      </c>
      <c r="K1162" s="2">
        <v>0</v>
      </c>
      <c r="L1162" s="2">
        <v>5849385.0599999996</v>
      </c>
      <c r="M1162" s="3"/>
      <c r="N1162" s="4">
        <v>1.3307980000000001E-2</v>
      </c>
      <c r="O1162" s="5">
        <v>44692</v>
      </c>
      <c r="P1162" s="5">
        <v>44692</v>
      </c>
      <c r="Q1162" s="1">
        <v>13.067</v>
      </c>
      <c r="R1162" s="2"/>
      <c r="S1162" s="6"/>
      <c r="T1162" t="s">
        <v>111</v>
      </c>
      <c r="U1162" t="s">
        <v>11040</v>
      </c>
      <c r="V1162" t="s">
        <v>115</v>
      </c>
      <c r="W1162" t="s">
        <v>43</v>
      </c>
      <c r="X1162" t="s">
        <v>44</v>
      </c>
      <c r="Y1162" t="s">
        <v>44</v>
      </c>
      <c r="Z1162" t="s">
        <v>44</v>
      </c>
      <c r="AA1162" t="s">
        <v>10979</v>
      </c>
      <c r="AB1162" t="s">
        <v>44</v>
      </c>
      <c r="AC1162" s="4"/>
      <c r="AD1162" s="4"/>
      <c r="AE1162" s="2">
        <v>0</v>
      </c>
      <c r="AF1162" s="4">
        <v>0</v>
      </c>
      <c r="AG1162" s="2">
        <v>1.45</v>
      </c>
      <c r="AH1162" s="2">
        <v>5849385.0599999996</v>
      </c>
      <c r="AI1162" s="2">
        <v>0.01</v>
      </c>
      <c r="AJ1162" s="5">
        <v>44673</v>
      </c>
      <c r="AK1162" t="s">
        <v>13006</v>
      </c>
      <c r="AL1162" s="2">
        <v>0</v>
      </c>
      <c r="AM1162" s="2">
        <v>13.07</v>
      </c>
      <c r="AN1162" s="2">
        <v>0</v>
      </c>
      <c r="AO1162" t="s">
        <v>10980</v>
      </c>
      <c r="AP1162" t="s">
        <v>11058</v>
      </c>
      <c r="AQ1162" t="s">
        <v>11057</v>
      </c>
    </row>
    <row r="1163" spans="1:43" x14ac:dyDescent="0.2">
      <c r="A1163" t="s">
        <v>12997</v>
      </c>
      <c r="B1163" t="s">
        <v>11038</v>
      </c>
      <c r="C1163" t="s">
        <v>11870</v>
      </c>
      <c r="D1163" t="s">
        <v>12400</v>
      </c>
      <c r="E1163" t="s">
        <v>12401</v>
      </c>
      <c r="F1163" t="s">
        <v>12400</v>
      </c>
      <c r="G1163" s="1">
        <v>4000000</v>
      </c>
      <c r="H1163" s="2">
        <v>4000000</v>
      </c>
      <c r="I1163" s="2">
        <v>4000000</v>
      </c>
      <c r="J1163" s="2">
        <v>39249.97</v>
      </c>
      <c r="K1163" s="2">
        <v>0</v>
      </c>
      <c r="L1163" s="2">
        <v>4039249.97</v>
      </c>
      <c r="M1163" s="3"/>
      <c r="N1163" s="4">
        <v>9.1897300000000001E-3</v>
      </c>
      <c r="O1163" s="5">
        <v>44697</v>
      </c>
      <c r="P1163" s="5">
        <v>44697</v>
      </c>
      <c r="Q1163" s="1">
        <v>5.2670000000000003</v>
      </c>
      <c r="R1163" s="2"/>
      <c r="S1163" s="6"/>
      <c r="T1163" t="s">
        <v>111</v>
      </c>
      <c r="U1163" t="s">
        <v>11040</v>
      </c>
      <c r="V1163" t="s">
        <v>115</v>
      </c>
      <c r="W1163" t="s">
        <v>43</v>
      </c>
      <c r="X1163" t="s">
        <v>44</v>
      </c>
      <c r="Y1163" t="s">
        <v>44</v>
      </c>
      <c r="Z1163" t="s">
        <v>44</v>
      </c>
      <c r="AA1163" t="s">
        <v>11035</v>
      </c>
      <c r="AB1163" t="s">
        <v>44</v>
      </c>
      <c r="AC1163" s="4"/>
      <c r="AD1163" s="4"/>
      <c r="AE1163" s="2">
        <v>0</v>
      </c>
      <c r="AF1163" s="4">
        <v>0</v>
      </c>
      <c r="AG1163" s="2">
        <v>1</v>
      </c>
      <c r="AH1163" s="2">
        <v>4039249.97</v>
      </c>
      <c r="AI1163" s="2">
        <v>0.01</v>
      </c>
      <c r="AJ1163" s="5">
        <v>44673</v>
      </c>
      <c r="AK1163" t="s">
        <v>13006</v>
      </c>
      <c r="AL1163" s="2">
        <v>0</v>
      </c>
      <c r="AM1163" s="2">
        <v>5.27</v>
      </c>
      <c r="AN1163" s="2">
        <v>0</v>
      </c>
      <c r="AO1163" t="s">
        <v>11036</v>
      </c>
      <c r="AP1163" t="s">
        <v>44</v>
      </c>
      <c r="AQ1163" t="s">
        <v>12401</v>
      </c>
    </row>
    <row r="1164" spans="1:43" x14ac:dyDescent="0.2">
      <c r="A1164" t="s">
        <v>12997</v>
      </c>
      <c r="B1164" t="s">
        <v>11038</v>
      </c>
      <c r="C1164" t="s">
        <v>11870</v>
      </c>
      <c r="D1164" t="s">
        <v>11616</v>
      </c>
      <c r="E1164" t="s">
        <v>11617</v>
      </c>
      <c r="F1164" t="s">
        <v>11616</v>
      </c>
      <c r="G1164" s="1">
        <v>5300000</v>
      </c>
      <c r="H1164" s="2">
        <v>5300000</v>
      </c>
      <c r="I1164" s="2">
        <v>5302228.07</v>
      </c>
      <c r="J1164" s="2">
        <v>64214.8</v>
      </c>
      <c r="K1164" s="2">
        <v>0</v>
      </c>
      <c r="L1164" s="2">
        <v>5366442.87</v>
      </c>
      <c r="M1164" s="3">
        <v>4.9760429999999998</v>
      </c>
      <c r="N1164" s="4">
        <v>1.220924E-2</v>
      </c>
      <c r="O1164" s="5">
        <v>44690</v>
      </c>
      <c r="P1164" s="5">
        <v>44690</v>
      </c>
      <c r="Q1164" s="1">
        <v>6.0579999999999998</v>
      </c>
      <c r="R1164" s="2">
        <v>0.04</v>
      </c>
      <c r="S1164" s="6">
        <v>3.6514757501999999E-2</v>
      </c>
      <c r="T1164" t="s">
        <v>111</v>
      </c>
      <c r="U1164" t="s">
        <v>11040</v>
      </c>
      <c r="V1164" t="s">
        <v>114</v>
      </c>
      <c r="W1164" t="s">
        <v>43</v>
      </c>
      <c r="X1164" t="s">
        <v>10988</v>
      </c>
      <c r="Y1164" t="s">
        <v>44</v>
      </c>
      <c r="Z1164" t="s">
        <v>44</v>
      </c>
      <c r="AA1164" t="s">
        <v>10979</v>
      </c>
      <c r="AB1164" t="s">
        <v>44</v>
      </c>
      <c r="AC1164" s="4">
        <v>5.09694307</v>
      </c>
      <c r="AD1164" s="4">
        <v>4.9816122199999997</v>
      </c>
      <c r="AE1164" s="2">
        <v>5.0999999999999996</v>
      </c>
      <c r="AF1164" s="4">
        <v>4.9816122199999997</v>
      </c>
      <c r="AG1164" s="2">
        <v>1.33</v>
      </c>
      <c r="AH1164" s="2">
        <v>5366442.87</v>
      </c>
      <c r="AI1164" s="2">
        <v>0.01</v>
      </c>
      <c r="AJ1164" s="5">
        <v>44673</v>
      </c>
      <c r="AK1164" t="s">
        <v>13006</v>
      </c>
      <c r="AL1164" s="2">
        <v>5.03</v>
      </c>
      <c r="AM1164" s="2">
        <v>6.06</v>
      </c>
      <c r="AN1164" s="2">
        <v>0.04</v>
      </c>
      <c r="AO1164" t="s">
        <v>11618</v>
      </c>
      <c r="AP1164" t="s">
        <v>11619</v>
      </c>
      <c r="AQ1164" t="s">
        <v>11617</v>
      </c>
    </row>
    <row r="1165" spans="1:43" x14ac:dyDescent="0.2">
      <c r="A1165" t="s">
        <v>12997</v>
      </c>
      <c r="B1165" t="s">
        <v>11038</v>
      </c>
      <c r="C1165" t="s">
        <v>11055</v>
      </c>
      <c r="D1165" t="s">
        <v>13013</v>
      </c>
      <c r="E1165" t="s">
        <v>13014</v>
      </c>
      <c r="F1165" t="s">
        <v>13013</v>
      </c>
      <c r="G1165" s="1">
        <v>9000000</v>
      </c>
      <c r="H1165" s="2">
        <v>9000000</v>
      </c>
      <c r="I1165" s="2">
        <v>9001533.0099999998</v>
      </c>
      <c r="J1165" s="2">
        <v>61808.55</v>
      </c>
      <c r="K1165" s="2">
        <v>0</v>
      </c>
      <c r="L1165" s="2">
        <v>9063341.5600000005</v>
      </c>
      <c r="M1165" s="3">
        <v>4.4365959999999998</v>
      </c>
      <c r="N1165" s="4">
        <v>2.0620079999999999E-2</v>
      </c>
      <c r="O1165" s="5">
        <v>44711</v>
      </c>
      <c r="P1165" s="5">
        <v>44711</v>
      </c>
      <c r="Q1165" s="1">
        <v>4.6420000000000003</v>
      </c>
      <c r="R1165" s="2">
        <v>0.1</v>
      </c>
      <c r="S1165" s="6">
        <v>9.1771161660999995E-2</v>
      </c>
      <c r="T1165" t="s">
        <v>111</v>
      </c>
      <c r="U1165" t="s">
        <v>11040</v>
      </c>
      <c r="V1165" t="s">
        <v>11189</v>
      </c>
      <c r="W1165" t="s">
        <v>43</v>
      </c>
      <c r="X1165" t="s">
        <v>11034</v>
      </c>
      <c r="Y1165" t="s">
        <v>44</v>
      </c>
      <c r="Z1165" t="s">
        <v>44</v>
      </c>
      <c r="AA1165" t="s">
        <v>10979</v>
      </c>
      <c r="AB1165" t="s">
        <v>44</v>
      </c>
      <c r="AC1165" s="4">
        <v>4.5266481599999997</v>
      </c>
      <c r="AD1165" s="4">
        <v>4.4353626300000002</v>
      </c>
      <c r="AE1165" s="2">
        <v>4.53</v>
      </c>
      <c r="AF1165" s="4">
        <v>4.4353626300000002</v>
      </c>
      <c r="AG1165" s="2">
        <v>2.2400000000000002</v>
      </c>
      <c r="AH1165" s="2">
        <v>9063341.5600000005</v>
      </c>
      <c r="AI1165" s="2">
        <v>0.02</v>
      </c>
      <c r="AJ1165" s="5">
        <v>44673</v>
      </c>
      <c r="AK1165" t="s">
        <v>13006</v>
      </c>
      <c r="AL1165" s="2">
        <v>4.4800000000000004</v>
      </c>
      <c r="AM1165" s="2">
        <v>4.6399999999999997</v>
      </c>
      <c r="AN1165" s="2">
        <v>0.09</v>
      </c>
      <c r="AO1165" t="s">
        <v>11165</v>
      </c>
      <c r="AP1165" t="s">
        <v>13015</v>
      </c>
      <c r="AQ1165" t="s">
        <v>13014</v>
      </c>
    </row>
    <row r="1166" spans="1:43" x14ac:dyDescent="0.2">
      <c r="A1166" t="s">
        <v>12997</v>
      </c>
      <c r="B1166" t="s">
        <v>11038</v>
      </c>
      <c r="C1166" t="s">
        <v>11055</v>
      </c>
      <c r="D1166" t="s">
        <v>12220</v>
      </c>
      <c r="E1166" t="s">
        <v>12221</v>
      </c>
      <c r="F1166" t="s">
        <v>12220</v>
      </c>
      <c r="G1166" s="1">
        <v>3000000</v>
      </c>
      <c r="H1166" s="2">
        <v>3000000</v>
      </c>
      <c r="I1166" s="2">
        <v>3002488.91</v>
      </c>
      <c r="J1166" s="2">
        <v>22078.11</v>
      </c>
      <c r="K1166" s="2">
        <v>0</v>
      </c>
      <c r="L1166" s="2">
        <v>3024567.02</v>
      </c>
      <c r="M1166" s="3">
        <v>4.4355760000000002</v>
      </c>
      <c r="N1166" s="4">
        <v>6.8812200000000004E-3</v>
      </c>
      <c r="O1166" s="5">
        <v>44714</v>
      </c>
      <c r="P1166" s="5">
        <v>44714</v>
      </c>
      <c r="Q1166" s="1">
        <v>5.2670000000000003</v>
      </c>
      <c r="R1166" s="2">
        <v>0.1</v>
      </c>
      <c r="S1166" s="6">
        <v>9.9637528276000004E-2</v>
      </c>
      <c r="T1166" t="s">
        <v>111</v>
      </c>
      <c r="U1166" t="s">
        <v>11040</v>
      </c>
      <c r="V1166" t="s">
        <v>11189</v>
      </c>
      <c r="W1166" t="s">
        <v>43</v>
      </c>
      <c r="X1166" t="s">
        <v>11034</v>
      </c>
      <c r="Y1166" t="s">
        <v>44</v>
      </c>
      <c r="Z1166" t="s">
        <v>44</v>
      </c>
      <c r="AA1166" t="s">
        <v>11035</v>
      </c>
      <c r="AB1166" t="s">
        <v>44</v>
      </c>
      <c r="AC1166" s="4">
        <v>4.5247458800000002</v>
      </c>
      <c r="AD1166" s="4">
        <v>4.4335359900000002</v>
      </c>
      <c r="AE1166" s="2">
        <v>4.5199999999999996</v>
      </c>
      <c r="AF1166" s="4">
        <v>4.4335359900000002</v>
      </c>
      <c r="AG1166" s="2">
        <v>0.75</v>
      </c>
      <c r="AH1166" s="2">
        <v>3024567.02</v>
      </c>
      <c r="AI1166" s="2">
        <v>0.01</v>
      </c>
      <c r="AJ1166" s="5">
        <v>44673</v>
      </c>
      <c r="AK1166" t="s">
        <v>13006</v>
      </c>
      <c r="AL1166" s="2">
        <v>4.47</v>
      </c>
      <c r="AM1166" s="2">
        <v>5.27</v>
      </c>
      <c r="AN1166" s="2">
        <v>0.1</v>
      </c>
      <c r="AO1166" t="s">
        <v>12222</v>
      </c>
      <c r="AP1166" t="s">
        <v>12223</v>
      </c>
      <c r="AQ1166" t="s">
        <v>12221</v>
      </c>
    </row>
    <row r="1167" spans="1:43" x14ac:dyDescent="0.2">
      <c r="A1167" t="s">
        <v>12997</v>
      </c>
      <c r="B1167" t="s">
        <v>11038</v>
      </c>
      <c r="C1167" t="s">
        <v>11055</v>
      </c>
      <c r="D1167" t="s">
        <v>11872</v>
      </c>
      <c r="E1167" t="s">
        <v>11873</v>
      </c>
      <c r="F1167" t="s">
        <v>11872</v>
      </c>
      <c r="G1167" s="1">
        <v>5600000</v>
      </c>
      <c r="H1167" s="2">
        <v>5600205.6100000003</v>
      </c>
      <c r="I1167" s="2">
        <v>5603471.3399999999</v>
      </c>
      <c r="J1167" s="2">
        <v>48193.45</v>
      </c>
      <c r="K1167" s="2">
        <v>0</v>
      </c>
      <c r="L1167" s="2">
        <v>5651664.79</v>
      </c>
      <c r="M1167" s="3">
        <v>5.1502819999999998</v>
      </c>
      <c r="N1167" s="4">
        <v>1.285815E-2</v>
      </c>
      <c r="O1167" s="5">
        <v>44712</v>
      </c>
      <c r="P1167" s="5">
        <v>44712</v>
      </c>
      <c r="Q1167" s="1">
        <v>5.8170000000000002</v>
      </c>
      <c r="R1167" s="2">
        <v>0.1</v>
      </c>
      <c r="S1167" s="6">
        <v>9.3730576011000002E-2</v>
      </c>
      <c r="T1167" t="s">
        <v>111</v>
      </c>
      <c r="U1167" t="s">
        <v>11040</v>
      </c>
      <c r="V1167" t="s">
        <v>114</v>
      </c>
      <c r="W1167" t="s">
        <v>43</v>
      </c>
      <c r="X1167" t="s">
        <v>10988</v>
      </c>
      <c r="Y1167" t="s">
        <v>44</v>
      </c>
      <c r="Z1167" t="s">
        <v>44</v>
      </c>
      <c r="AA1167" t="s">
        <v>10979</v>
      </c>
      <c r="AB1167" t="s">
        <v>44</v>
      </c>
      <c r="AC1167" s="4">
        <v>5.2714900699999996</v>
      </c>
      <c r="AD1167" s="4">
        <v>5.1482567699999997</v>
      </c>
      <c r="AE1167" s="2">
        <v>5.27</v>
      </c>
      <c r="AF1167" s="4">
        <v>5.1482567699999997</v>
      </c>
      <c r="AG1167" s="2">
        <v>1.4</v>
      </c>
      <c r="AH1167" s="2">
        <v>5651664.79</v>
      </c>
      <c r="AI1167" s="2">
        <v>0.01</v>
      </c>
      <c r="AJ1167" s="5">
        <v>44673</v>
      </c>
      <c r="AK1167" t="s">
        <v>13006</v>
      </c>
      <c r="AL1167" s="2">
        <v>5.2</v>
      </c>
      <c r="AM1167" s="2">
        <v>5.82</v>
      </c>
      <c r="AN1167" s="2">
        <v>0.09</v>
      </c>
      <c r="AO1167" t="s">
        <v>11048</v>
      </c>
      <c r="AP1167" t="s">
        <v>11874</v>
      </c>
      <c r="AQ1167" t="s">
        <v>11873</v>
      </c>
    </row>
    <row r="1168" spans="1:43" x14ac:dyDescent="0.2">
      <c r="A1168" t="s">
        <v>12997</v>
      </c>
      <c r="B1168" t="s">
        <v>11038</v>
      </c>
      <c r="C1168" t="s">
        <v>11052</v>
      </c>
      <c r="D1168" t="s">
        <v>12402</v>
      </c>
      <c r="E1168" t="s">
        <v>12403</v>
      </c>
      <c r="F1168" t="s">
        <v>12402</v>
      </c>
      <c r="G1168" s="1">
        <v>8100000</v>
      </c>
      <c r="H1168" s="2">
        <v>8100000</v>
      </c>
      <c r="I1168" s="2">
        <v>8112745.5800000001</v>
      </c>
      <c r="J1168" s="2">
        <v>103874.18</v>
      </c>
      <c r="K1168" s="2">
        <v>0</v>
      </c>
      <c r="L1168" s="2">
        <v>8216619.7599999998</v>
      </c>
      <c r="M1168" s="3">
        <v>5.3989140000000004</v>
      </c>
      <c r="N1168" s="4">
        <v>1.8693689999999999E-2</v>
      </c>
      <c r="O1168" s="5">
        <v>44684</v>
      </c>
      <c r="P1168" s="5">
        <v>44776</v>
      </c>
      <c r="Q1168" s="1">
        <v>5.9249999999999998</v>
      </c>
      <c r="R1168" s="2">
        <v>0.02</v>
      </c>
      <c r="S1168" s="6">
        <v>1.8996198525000001E-2</v>
      </c>
      <c r="T1168" t="s">
        <v>111</v>
      </c>
      <c r="U1168" t="s">
        <v>11040</v>
      </c>
      <c r="V1168" t="s">
        <v>11189</v>
      </c>
      <c r="W1168" t="s">
        <v>43</v>
      </c>
      <c r="X1168" t="s">
        <v>11034</v>
      </c>
      <c r="Y1168" t="s">
        <v>44</v>
      </c>
      <c r="Z1168" t="s">
        <v>44</v>
      </c>
      <c r="AA1168" t="s">
        <v>11441</v>
      </c>
      <c r="AB1168" t="s">
        <v>44</v>
      </c>
      <c r="AC1168" s="4">
        <v>5.5439446300000004</v>
      </c>
      <c r="AD1168" s="4">
        <v>5.4078706499999996</v>
      </c>
      <c r="AE1168" s="2">
        <v>5.54</v>
      </c>
      <c r="AF1168" s="4">
        <v>5.4078706499999996</v>
      </c>
      <c r="AG1168" s="2">
        <v>2.0299999999999998</v>
      </c>
      <c r="AH1168" s="2">
        <v>8216619.7599999998</v>
      </c>
      <c r="AI1168" s="2">
        <v>0.02</v>
      </c>
      <c r="AJ1168" s="5">
        <v>44673</v>
      </c>
      <c r="AK1168" t="s">
        <v>13006</v>
      </c>
      <c r="AL1168" s="2">
        <v>5.47</v>
      </c>
      <c r="AM1168" s="2">
        <v>5.92</v>
      </c>
      <c r="AN1168" s="2">
        <v>0.02</v>
      </c>
      <c r="AO1168" t="s">
        <v>11455</v>
      </c>
      <c r="AP1168" t="s">
        <v>12404</v>
      </c>
      <c r="AQ1168" t="s">
        <v>12403</v>
      </c>
    </row>
    <row r="1169" spans="1:43" x14ac:dyDescent="0.2">
      <c r="A1169" t="s">
        <v>12997</v>
      </c>
      <c r="B1169" t="s">
        <v>11038</v>
      </c>
      <c r="C1169" t="s">
        <v>11052</v>
      </c>
      <c r="D1169" t="s">
        <v>12205</v>
      </c>
      <c r="E1169" t="s">
        <v>12206</v>
      </c>
      <c r="F1169" t="s">
        <v>12205</v>
      </c>
      <c r="G1169" s="1">
        <v>9960000</v>
      </c>
      <c r="H1169" s="2">
        <v>9822615.25</v>
      </c>
      <c r="I1169" s="2">
        <v>9822615.25</v>
      </c>
      <c r="J1169" s="2">
        <v>0</v>
      </c>
      <c r="K1169" s="2">
        <v>0</v>
      </c>
      <c r="L1169" s="2">
        <v>9822615.25</v>
      </c>
      <c r="M1169" s="3">
        <v>5.1150019999999996</v>
      </c>
      <c r="N1169" s="4">
        <v>2.2347510000000001E-2</v>
      </c>
      <c r="O1169" s="5" t="s">
        <v>44</v>
      </c>
      <c r="P1169" s="5">
        <v>44776</v>
      </c>
      <c r="Q1169" s="1">
        <v>0</v>
      </c>
      <c r="R1169" s="2">
        <v>0.27</v>
      </c>
      <c r="S1169" s="6">
        <v>0.27018629171000003</v>
      </c>
      <c r="T1169" t="s">
        <v>112</v>
      </c>
      <c r="U1169" t="s">
        <v>11040</v>
      </c>
      <c r="V1169" t="s">
        <v>11238</v>
      </c>
      <c r="W1169" t="s">
        <v>43</v>
      </c>
      <c r="X1169" t="s">
        <v>44</v>
      </c>
      <c r="Y1169" t="s">
        <v>44</v>
      </c>
      <c r="Z1169" t="s">
        <v>44</v>
      </c>
      <c r="AA1169" t="s">
        <v>10913</v>
      </c>
      <c r="AB1169" t="s">
        <v>44</v>
      </c>
      <c r="AC1169" s="4">
        <v>5.2107122600000002</v>
      </c>
      <c r="AD1169" s="4">
        <v>5.0902593700000001</v>
      </c>
      <c r="AE1169" s="2">
        <v>5.21</v>
      </c>
      <c r="AF1169" s="4">
        <v>5.0902593700000001</v>
      </c>
      <c r="AG1169" s="2">
        <v>2.4300000000000002</v>
      </c>
      <c r="AH1169" s="2">
        <v>9822615.25</v>
      </c>
      <c r="AI1169" s="2">
        <v>0.02</v>
      </c>
      <c r="AJ1169" s="5">
        <v>44673</v>
      </c>
      <c r="AK1169" t="s">
        <v>13006</v>
      </c>
      <c r="AL1169" s="2">
        <v>5.14</v>
      </c>
      <c r="AM1169" s="2">
        <v>0</v>
      </c>
      <c r="AN1169" s="2">
        <v>0.27</v>
      </c>
      <c r="AO1169" t="s">
        <v>10922</v>
      </c>
      <c r="AP1169" t="s">
        <v>12207</v>
      </c>
      <c r="AQ1169" t="s">
        <v>12206</v>
      </c>
    </row>
    <row r="1170" spans="1:43" x14ac:dyDescent="0.2">
      <c r="A1170" t="s">
        <v>12997</v>
      </c>
      <c r="B1170" t="s">
        <v>11038</v>
      </c>
      <c r="C1170" t="s">
        <v>11052</v>
      </c>
      <c r="D1170" t="s">
        <v>12189</v>
      </c>
      <c r="E1170" t="s">
        <v>12190</v>
      </c>
      <c r="F1170" t="s">
        <v>12189</v>
      </c>
      <c r="G1170" s="1">
        <v>11700000</v>
      </c>
      <c r="H1170" s="2">
        <v>11398663.07</v>
      </c>
      <c r="I1170" s="2">
        <v>11398663.07</v>
      </c>
      <c r="J1170" s="2">
        <v>0</v>
      </c>
      <c r="K1170" s="2">
        <v>0</v>
      </c>
      <c r="L1170" s="2">
        <v>11398663.07</v>
      </c>
      <c r="M1170" s="3">
        <v>5.1450009999999997</v>
      </c>
      <c r="N1170" s="4">
        <v>2.5933189999999998E-2</v>
      </c>
      <c r="O1170" s="5" t="s">
        <v>44</v>
      </c>
      <c r="P1170" s="5">
        <v>44846</v>
      </c>
      <c r="Q1170" s="1">
        <v>0</v>
      </c>
      <c r="R1170" s="2">
        <v>0.47</v>
      </c>
      <c r="S1170" s="6">
        <v>0.45485375498000002</v>
      </c>
      <c r="T1170" t="s">
        <v>112</v>
      </c>
      <c r="U1170" t="s">
        <v>11040</v>
      </c>
      <c r="V1170" t="s">
        <v>11238</v>
      </c>
      <c r="W1170" t="s">
        <v>43</v>
      </c>
      <c r="X1170" t="s">
        <v>44</v>
      </c>
      <c r="Y1170" t="s">
        <v>44</v>
      </c>
      <c r="Z1170" t="s">
        <v>44</v>
      </c>
      <c r="AA1170" t="s">
        <v>10913</v>
      </c>
      <c r="AB1170" t="s">
        <v>44</v>
      </c>
      <c r="AC1170" s="4">
        <v>5.2157943299999996</v>
      </c>
      <c r="AD1170" s="4">
        <v>5.0951101300000001</v>
      </c>
      <c r="AE1170" s="2">
        <v>5.22</v>
      </c>
      <c r="AF1170" s="4">
        <v>5.0951101300000001</v>
      </c>
      <c r="AG1170" s="2">
        <v>2.82</v>
      </c>
      <c r="AH1170" s="2">
        <v>11398663.07</v>
      </c>
      <c r="AI1170" s="2">
        <v>0.03</v>
      </c>
      <c r="AJ1170" s="5">
        <v>44673</v>
      </c>
      <c r="AK1170" t="s">
        <v>13006</v>
      </c>
      <c r="AL1170" s="2">
        <v>5.15</v>
      </c>
      <c r="AM1170" s="2">
        <v>0</v>
      </c>
      <c r="AN1170" s="2">
        <v>0.45</v>
      </c>
      <c r="AO1170" t="s">
        <v>10922</v>
      </c>
      <c r="AP1170" t="s">
        <v>12191</v>
      </c>
      <c r="AQ1170" t="s">
        <v>12190</v>
      </c>
    </row>
    <row r="1171" spans="1:43" x14ac:dyDescent="0.2">
      <c r="A1171" t="s">
        <v>12997</v>
      </c>
      <c r="B1171" t="s">
        <v>11038</v>
      </c>
      <c r="C1171" t="s">
        <v>11052</v>
      </c>
      <c r="D1171" t="s">
        <v>11875</v>
      </c>
      <c r="E1171" t="s">
        <v>11876</v>
      </c>
      <c r="F1171" t="s">
        <v>11875</v>
      </c>
      <c r="G1171" s="1">
        <v>4900000</v>
      </c>
      <c r="H1171" s="2">
        <v>4900000</v>
      </c>
      <c r="I1171" s="2">
        <v>4902769.9800000004</v>
      </c>
      <c r="J1171" s="2">
        <v>66693.429999999993</v>
      </c>
      <c r="K1171" s="2">
        <v>0</v>
      </c>
      <c r="L1171" s="2">
        <v>4969463.41</v>
      </c>
      <c r="M1171" s="3">
        <v>5.8453989999999996</v>
      </c>
      <c r="N1171" s="4">
        <v>1.130606E-2</v>
      </c>
      <c r="O1171" s="5">
        <v>44676</v>
      </c>
      <c r="P1171" s="5">
        <v>44765</v>
      </c>
      <c r="Q1171" s="1">
        <v>5.5819999999999999</v>
      </c>
      <c r="R1171" s="2">
        <v>0.25</v>
      </c>
      <c r="S1171" s="6">
        <v>-2.4241619880000002E-3</v>
      </c>
      <c r="T1171" t="s">
        <v>111</v>
      </c>
      <c r="U1171" t="s">
        <v>11040</v>
      </c>
      <c r="V1171" t="s">
        <v>114</v>
      </c>
      <c r="W1171" t="s">
        <v>43</v>
      </c>
      <c r="X1171" t="s">
        <v>10988</v>
      </c>
      <c r="Y1171" t="s">
        <v>44</v>
      </c>
      <c r="Z1171" t="s">
        <v>44</v>
      </c>
      <c r="AA1171" t="s">
        <v>10979</v>
      </c>
      <c r="AB1171" t="s">
        <v>44</v>
      </c>
      <c r="AC1171" s="4">
        <v>5.9749057099999998</v>
      </c>
      <c r="AD1171" s="4">
        <v>5.8172689999999996</v>
      </c>
      <c r="AE1171" s="2">
        <v>5.97</v>
      </c>
      <c r="AF1171" s="4">
        <v>5.8172689999999996</v>
      </c>
      <c r="AG1171" s="2">
        <v>1.23</v>
      </c>
      <c r="AH1171" s="2">
        <v>4969463.41</v>
      </c>
      <c r="AI1171" s="2">
        <v>0.01</v>
      </c>
      <c r="AJ1171" s="5">
        <v>44673</v>
      </c>
      <c r="AK1171" t="s">
        <v>13006</v>
      </c>
      <c r="AL1171" s="2">
        <v>5.89</v>
      </c>
      <c r="AM1171" s="2">
        <v>5.58</v>
      </c>
      <c r="AN1171" s="2">
        <v>0</v>
      </c>
      <c r="AO1171" t="s">
        <v>11048</v>
      </c>
      <c r="AP1171" t="s">
        <v>11877</v>
      </c>
      <c r="AQ1171" t="s">
        <v>11876</v>
      </c>
    </row>
    <row r="1172" spans="1:43" x14ac:dyDescent="0.2">
      <c r="A1172" t="s">
        <v>12997</v>
      </c>
      <c r="B1172" t="s">
        <v>11038</v>
      </c>
      <c r="C1172" t="s">
        <v>11039</v>
      </c>
      <c r="D1172" t="s">
        <v>12986</v>
      </c>
      <c r="E1172" t="s">
        <v>12987</v>
      </c>
      <c r="F1172" t="s">
        <v>12986</v>
      </c>
      <c r="G1172" s="1">
        <v>4000000</v>
      </c>
      <c r="H1172" s="2">
        <v>4000000</v>
      </c>
      <c r="I1172" s="2">
        <v>4002071.45</v>
      </c>
      <c r="J1172" s="2">
        <v>5210.63</v>
      </c>
      <c r="K1172" s="2">
        <v>0</v>
      </c>
      <c r="L1172" s="2">
        <v>4007282.08</v>
      </c>
      <c r="M1172" s="3">
        <v>5.1642010000000003</v>
      </c>
      <c r="N1172" s="4">
        <v>9.1170000000000001E-3</v>
      </c>
      <c r="O1172" s="5">
        <v>44756</v>
      </c>
      <c r="P1172" s="5">
        <v>45030</v>
      </c>
      <c r="Q1172" s="1">
        <v>5.2830000000000004</v>
      </c>
      <c r="R1172" s="2">
        <v>0.22</v>
      </c>
      <c r="S1172" s="6">
        <v>0.204057278988</v>
      </c>
      <c r="T1172" t="s">
        <v>111</v>
      </c>
      <c r="U1172" t="s">
        <v>11040</v>
      </c>
      <c r="V1172" t="s">
        <v>11189</v>
      </c>
      <c r="W1172" t="s">
        <v>43</v>
      </c>
      <c r="X1172" t="s">
        <v>11034</v>
      </c>
      <c r="Y1172" t="s">
        <v>44</v>
      </c>
      <c r="Z1172" t="s">
        <v>44</v>
      </c>
      <c r="AA1172" t="s">
        <v>10979</v>
      </c>
      <c r="AB1172" t="s">
        <v>44</v>
      </c>
      <c r="AC1172" s="4">
        <v>5.2693311999999999</v>
      </c>
      <c r="AD1172" s="4">
        <v>5.1461971799999997</v>
      </c>
      <c r="AE1172" s="2">
        <v>5.27</v>
      </c>
      <c r="AF1172" s="4">
        <v>5.1461971799999997</v>
      </c>
      <c r="AG1172" s="2">
        <v>0.99</v>
      </c>
      <c r="AH1172" s="2">
        <v>4007282.08</v>
      </c>
      <c r="AI1172" s="2">
        <v>0.01</v>
      </c>
      <c r="AJ1172" s="5">
        <v>44673</v>
      </c>
      <c r="AK1172" t="s">
        <v>13006</v>
      </c>
      <c r="AL1172" s="2">
        <v>5.2</v>
      </c>
      <c r="AM1172" s="2">
        <v>5.28</v>
      </c>
      <c r="AN1172" s="2">
        <v>0.2</v>
      </c>
      <c r="AO1172" t="s">
        <v>11165</v>
      </c>
      <c r="AP1172" t="s">
        <v>12988</v>
      </c>
      <c r="AQ1172" t="s">
        <v>12987</v>
      </c>
    </row>
    <row r="1173" spans="1:43" x14ac:dyDescent="0.2">
      <c r="A1173" t="s">
        <v>12997</v>
      </c>
      <c r="B1173" t="s">
        <v>11038</v>
      </c>
      <c r="C1173" t="s">
        <v>11039</v>
      </c>
      <c r="D1173" t="s">
        <v>13016</v>
      </c>
      <c r="E1173" t="s">
        <v>13017</v>
      </c>
      <c r="F1173" t="s">
        <v>13016</v>
      </c>
      <c r="G1173" s="1">
        <v>10000000</v>
      </c>
      <c r="H1173" s="2">
        <v>10000000</v>
      </c>
      <c r="I1173" s="2">
        <v>10007778.27</v>
      </c>
      <c r="J1173" s="2">
        <v>77054.789999999994</v>
      </c>
      <c r="K1173" s="2">
        <v>0</v>
      </c>
      <c r="L1173" s="2">
        <v>10084833.060000001</v>
      </c>
      <c r="M1173" s="3">
        <v>6.1068239999999996</v>
      </c>
      <c r="N1173" s="4">
        <v>2.2944079999999999E-2</v>
      </c>
      <c r="O1173" s="5">
        <v>44994</v>
      </c>
      <c r="P1173" s="5">
        <v>44994</v>
      </c>
      <c r="Q1173" s="1">
        <v>6.25</v>
      </c>
      <c r="R1173" s="2">
        <v>0.87</v>
      </c>
      <c r="S1173" s="6">
        <v>0.82722087491999996</v>
      </c>
      <c r="T1173" t="s">
        <v>111</v>
      </c>
      <c r="U1173" t="s">
        <v>11040</v>
      </c>
      <c r="V1173" t="s">
        <v>11041</v>
      </c>
      <c r="W1173" t="s">
        <v>43</v>
      </c>
      <c r="X1173" t="s">
        <v>11034</v>
      </c>
      <c r="Y1173" t="s">
        <v>44</v>
      </c>
      <c r="Z1173" t="s">
        <v>44</v>
      </c>
      <c r="AA1173" t="s">
        <v>10979</v>
      </c>
      <c r="AB1173" t="s">
        <v>44</v>
      </c>
      <c r="AC1173" s="4">
        <v>6.1304802199999999</v>
      </c>
      <c r="AD1173" s="4">
        <v>5.9646846599999996</v>
      </c>
      <c r="AE1173" s="2">
        <v>6.13</v>
      </c>
      <c r="AF1173" s="4">
        <v>5.9646846599999996</v>
      </c>
      <c r="AG1173" s="2">
        <v>2.4900000000000002</v>
      </c>
      <c r="AH1173" s="2">
        <v>10084833.060000001</v>
      </c>
      <c r="AI1173" s="2">
        <v>0.02</v>
      </c>
      <c r="AJ1173" s="5">
        <v>44673</v>
      </c>
      <c r="AK1173" t="s">
        <v>13006</v>
      </c>
      <c r="AL1173" s="2">
        <v>6.04</v>
      </c>
      <c r="AM1173" s="2">
        <v>6.25</v>
      </c>
      <c r="AN1173" s="2">
        <v>0.83</v>
      </c>
      <c r="AO1173" t="s">
        <v>11054</v>
      </c>
      <c r="AP1173" t="s">
        <v>13018</v>
      </c>
      <c r="AQ1173" t="s">
        <v>13017</v>
      </c>
    </row>
    <row r="1174" spans="1:43" x14ac:dyDescent="0.2">
      <c r="A1174" t="s">
        <v>12997</v>
      </c>
      <c r="B1174" t="s">
        <v>11038</v>
      </c>
      <c r="C1174" t="s">
        <v>11039</v>
      </c>
      <c r="D1174" t="s">
        <v>11390</v>
      </c>
      <c r="E1174" t="s">
        <v>11391</v>
      </c>
      <c r="F1174" t="s">
        <v>11390</v>
      </c>
      <c r="G1174" s="1">
        <v>8000000</v>
      </c>
      <c r="H1174" s="2">
        <v>7723086.0999999996</v>
      </c>
      <c r="I1174" s="2">
        <v>7723086.0999999996</v>
      </c>
      <c r="J1174" s="2">
        <v>0</v>
      </c>
      <c r="K1174" s="2">
        <v>0</v>
      </c>
      <c r="L1174" s="2">
        <v>7723086.0999999996</v>
      </c>
      <c r="M1174" s="3">
        <v>5.7867119999999996</v>
      </c>
      <c r="N1174" s="4">
        <v>1.7570849999999999E-2</v>
      </c>
      <c r="O1174" s="5" t="s">
        <v>44</v>
      </c>
      <c r="P1174" s="5">
        <v>44902</v>
      </c>
      <c r="Q1174" s="1">
        <v>0</v>
      </c>
      <c r="R1174" s="2">
        <v>0.62</v>
      </c>
      <c r="S1174" s="6">
        <v>0.59776029928999996</v>
      </c>
      <c r="T1174" t="s">
        <v>112</v>
      </c>
      <c r="U1174" t="s">
        <v>11040</v>
      </c>
      <c r="V1174" t="s">
        <v>11238</v>
      </c>
      <c r="W1174" t="s">
        <v>43</v>
      </c>
      <c r="X1174" t="s">
        <v>44</v>
      </c>
      <c r="Y1174" t="s">
        <v>44</v>
      </c>
      <c r="Z1174" t="s">
        <v>44</v>
      </c>
      <c r="AA1174" t="s">
        <v>10913</v>
      </c>
      <c r="AB1174" t="s">
        <v>44</v>
      </c>
      <c r="AC1174" s="4">
        <v>5.8501835199999999</v>
      </c>
      <c r="AD1174" s="4">
        <v>5.6989443299999998</v>
      </c>
      <c r="AE1174" s="2">
        <v>5.85</v>
      </c>
      <c r="AF1174" s="4">
        <v>5.6989443299999998</v>
      </c>
      <c r="AG1174" s="2">
        <v>1.91</v>
      </c>
      <c r="AH1174" s="2">
        <v>7723086.0999999996</v>
      </c>
      <c r="AI1174" s="2">
        <v>0.02</v>
      </c>
      <c r="AJ1174" s="5">
        <v>44673</v>
      </c>
      <c r="AK1174" t="s">
        <v>13006</v>
      </c>
      <c r="AL1174" s="2">
        <v>5.77</v>
      </c>
      <c r="AM1174" s="2">
        <v>0</v>
      </c>
      <c r="AN1174" s="2">
        <v>0.6</v>
      </c>
      <c r="AO1174" t="s">
        <v>10922</v>
      </c>
      <c r="AP1174" t="s">
        <v>11392</v>
      </c>
      <c r="AQ1174" t="s">
        <v>11391</v>
      </c>
    </row>
    <row r="1175" spans="1:43" x14ac:dyDescent="0.2">
      <c r="A1175" t="s">
        <v>12997</v>
      </c>
      <c r="B1175" t="s">
        <v>11038</v>
      </c>
      <c r="C1175" t="s">
        <v>11039</v>
      </c>
      <c r="D1175" t="s">
        <v>11930</v>
      </c>
      <c r="E1175" t="s">
        <v>11931</v>
      </c>
      <c r="F1175" t="s">
        <v>11930</v>
      </c>
      <c r="G1175" s="1">
        <v>4800000</v>
      </c>
      <c r="H1175" s="2">
        <v>4800000</v>
      </c>
      <c r="I1175" s="2">
        <v>4811694.1900000004</v>
      </c>
      <c r="J1175" s="2">
        <v>71301.440000000002</v>
      </c>
      <c r="K1175" s="2">
        <v>0</v>
      </c>
      <c r="L1175" s="2">
        <v>4882995.63</v>
      </c>
      <c r="M1175" s="3">
        <v>6.0853989999999998</v>
      </c>
      <c r="N1175" s="4">
        <v>1.1109340000000001E-2</v>
      </c>
      <c r="O1175" s="5">
        <v>44676</v>
      </c>
      <c r="P1175" s="5">
        <v>44858</v>
      </c>
      <c r="Q1175" s="1">
        <v>6.0919999999999996</v>
      </c>
      <c r="R1175" s="2">
        <v>0.25</v>
      </c>
      <c r="S1175" s="6">
        <v>-5.0177142469999998E-3</v>
      </c>
      <c r="T1175" t="s">
        <v>111</v>
      </c>
      <c r="U1175" t="s">
        <v>11040</v>
      </c>
      <c r="V1175" t="s">
        <v>114</v>
      </c>
      <c r="W1175" t="s">
        <v>43</v>
      </c>
      <c r="X1175" t="s">
        <v>10988</v>
      </c>
      <c r="Y1175" t="s">
        <v>44</v>
      </c>
      <c r="Z1175" t="s">
        <v>44</v>
      </c>
      <c r="AA1175" t="s">
        <v>10979</v>
      </c>
      <c r="AB1175" t="s">
        <v>44</v>
      </c>
      <c r="AC1175" s="4">
        <v>6.2258147800000003</v>
      </c>
      <c r="AD1175" s="4">
        <v>6.0549217000000004</v>
      </c>
      <c r="AE1175" s="2">
        <v>6.23</v>
      </c>
      <c r="AF1175" s="4">
        <v>6.0549217000000004</v>
      </c>
      <c r="AG1175" s="2">
        <v>1.21</v>
      </c>
      <c r="AH1175" s="2">
        <v>4882995.63</v>
      </c>
      <c r="AI1175" s="2">
        <v>0.01</v>
      </c>
      <c r="AJ1175" s="5">
        <v>44673</v>
      </c>
      <c r="AK1175" t="s">
        <v>13006</v>
      </c>
      <c r="AL1175" s="2">
        <v>6.13</v>
      </c>
      <c r="AM1175" s="2">
        <v>6.09</v>
      </c>
      <c r="AN1175" s="2">
        <v>-0.01</v>
      </c>
      <c r="AO1175" t="s">
        <v>11048</v>
      </c>
      <c r="AP1175" t="s">
        <v>11932</v>
      </c>
      <c r="AQ1175" t="s">
        <v>11931</v>
      </c>
    </row>
    <row r="1176" spans="1:43" x14ac:dyDescent="0.2">
      <c r="A1176" t="s">
        <v>12997</v>
      </c>
      <c r="B1176" t="s">
        <v>11038</v>
      </c>
      <c r="C1176" t="s">
        <v>11039</v>
      </c>
      <c r="D1176" t="s">
        <v>12671</v>
      </c>
      <c r="E1176" t="s">
        <v>12672</v>
      </c>
      <c r="F1176" t="s">
        <v>12671</v>
      </c>
      <c r="G1176" s="1">
        <v>6000000</v>
      </c>
      <c r="H1176" s="2">
        <v>6000000</v>
      </c>
      <c r="I1176" s="2">
        <v>5988638.8399999999</v>
      </c>
      <c r="J1176" s="2">
        <v>70582.19</v>
      </c>
      <c r="K1176" s="2">
        <v>0</v>
      </c>
      <c r="L1176" s="2">
        <v>6059221.0300000003</v>
      </c>
      <c r="M1176" s="3">
        <v>5.9048439999999998</v>
      </c>
      <c r="N1176" s="4">
        <v>1.378538E-2</v>
      </c>
      <c r="O1176" s="5">
        <v>44964</v>
      </c>
      <c r="P1176" s="5">
        <v>44964</v>
      </c>
      <c r="Q1176" s="1">
        <v>5.7249999999999996</v>
      </c>
      <c r="R1176" s="2">
        <v>0.79</v>
      </c>
      <c r="S1176" s="6">
        <v>0.75391495755000004</v>
      </c>
      <c r="T1176" t="s">
        <v>111</v>
      </c>
      <c r="U1176" t="s">
        <v>11040</v>
      </c>
      <c r="V1176" t="s">
        <v>11041</v>
      </c>
      <c r="W1176" t="s">
        <v>43</v>
      </c>
      <c r="X1176" t="s">
        <v>11034</v>
      </c>
      <c r="Y1176" t="s">
        <v>44</v>
      </c>
      <c r="Z1176" t="s">
        <v>44</v>
      </c>
      <c r="AA1176" t="s">
        <v>10979</v>
      </c>
      <c r="AB1176" t="s">
        <v>44</v>
      </c>
      <c r="AC1176" s="4">
        <v>5.9412114300000001</v>
      </c>
      <c r="AD1176" s="4">
        <v>5.7853156300000004</v>
      </c>
      <c r="AE1176" s="2">
        <v>5.94</v>
      </c>
      <c r="AF1176" s="4">
        <v>5.7853156300000004</v>
      </c>
      <c r="AG1176" s="2">
        <v>1.5</v>
      </c>
      <c r="AH1176" s="2">
        <v>6059221.0300000003</v>
      </c>
      <c r="AI1176" s="2">
        <v>0.01</v>
      </c>
      <c r="AJ1176" s="5">
        <v>44673</v>
      </c>
      <c r="AK1176" t="s">
        <v>13006</v>
      </c>
      <c r="AL1176" s="2">
        <v>5.86</v>
      </c>
      <c r="AM1176" s="2">
        <v>5.72</v>
      </c>
      <c r="AN1176" s="2">
        <v>0.75</v>
      </c>
      <c r="AO1176" t="s">
        <v>11179</v>
      </c>
      <c r="AP1176" t="s">
        <v>12673</v>
      </c>
      <c r="AQ1176" t="s">
        <v>12672</v>
      </c>
    </row>
    <row r="1177" spans="1:43" x14ac:dyDescent="0.2">
      <c r="A1177" t="s">
        <v>12997</v>
      </c>
      <c r="B1177" t="s">
        <v>11038</v>
      </c>
      <c r="C1177" t="s">
        <v>11039</v>
      </c>
      <c r="D1177" t="s">
        <v>11884</v>
      </c>
      <c r="E1177" t="s">
        <v>11885</v>
      </c>
      <c r="F1177" t="s">
        <v>11884</v>
      </c>
      <c r="G1177" s="1">
        <v>3200000</v>
      </c>
      <c r="H1177" s="2">
        <v>3200000</v>
      </c>
      <c r="I1177" s="2">
        <v>3203201.82</v>
      </c>
      <c r="J1177" s="2">
        <v>42536.33</v>
      </c>
      <c r="K1177" s="2">
        <v>0</v>
      </c>
      <c r="L1177" s="2">
        <v>3245738.15</v>
      </c>
      <c r="M1177" s="3">
        <v>5.529731</v>
      </c>
      <c r="N1177" s="4">
        <v>7.3844000000000002E-3</v>
      </c>
      <c r="O1177" s="5">
        <v>44679</v>
      </c>
      <c r="P1177" s="5">
        <v>44862</v>
      </c>
      <c r="Q1177" s="1">
        <v>5.7080000000000002</v>
      </c>
      <c r="R1177" s="2">
        <v>0.01</v>
      </c>
      <c r="S1177" s="6">
        <v>3.323205444E-3</v>
      </c>
      <c r="T1177" t="s">
        <v>111</v>
      </c>
      <c r="U1177" t="s">
        <v>11040</v>
      </c>
      <c r="V1177" t="s">
        <v>114</v>
      </c>
      <c r="W1177" t="s">
        <v>43</v>
      </c>
      <c r="X1177" t="s">
        <v>10988</v>
      </c>
      <c r="Y1177" t="s">
        <v>44</v>
      </c>
      <c r="Z1177" t="s">
        <v>44</v>
      </c>
      <c r="AA1177" t="s">
        <v>11465</v>
      </c>
      <c r="AB1177" t="s">
        <v>44</v>
      </c>
      <c r="AC1177" s="4">
        <v>5.6841506900000001</v>
      </c>
      <c r="AD1177" s="4">
        <v>5.5412295399999998</v>
      </c>
      <c r="AE1177" s="2">
        <v>5.68</v>
      </c>
      <c r="AF1177" s="4">
        <v>5.5412295399999998</v>
      </c>
      <c r="AG1177" s="2">
        <v>0.8</v>
      </c>
      <c r="AH1177" s="2">
        <v>3245738.15</v>
      </c>
      <c r="AI1177" s="2">
        <v>0.01</v>
      </c>
      <c r="AJ1177" s="5">
        <v>44673</v>
      </c>
      <c r="AK1177" t="s">
        <v>13006</v>
      </c>
      <c r="AL1177" s="2">
        <v>5.61</v>
      </c>
      <c r="AM1177" s="2">
        <v>5.71</v>
      </c>
      <c r="AN1177" s="2">
        <v>0</v>
      </c>
      <c r="AO1177" t="s">
        <v>11886</v>
      </c>
      <c r="AP1177" t="s">
        <v>11887</v>
      </c>
      <c r="AQ1177" t="s">
        <v>11885</v>
      </c>
    </row>
    <row r="1178" spans="1:43" x14ac:dyDescent="0.2">
      <c r="A1178" t="s">
        <v>12997</v>
      </c>
      <c r="B1178" t="s">
        <v>11038</v>
      </c>
      <c r="C1178" t="s">
        <v>11039</v>
      </c>
      <c r="D1178" t="s">
        <v>12588</v>
      </c>
      <c r="E1178" t="s">
        <v>12589</v>
      </c>
      <c r="F1178" t="s">
        <v>12588</v>
      </c>
      <c r="G1178" s="1">
        <v>21000000</v>
      </c>
      <c r="H1178" s="2">
        <v>21000000</v>
      </c>
      <c r="I1178" s="2">
        <v>20965917.960000001</v>
      </c>
      <c r="J1178" s="2">
        <v>357460.27</v>
      </c>
      <c r="K1178" s="2">
        <v>0</v>
      </c>
      <c r="L1178" s="2">
        <v>21323378.23</v>
      </c>
      <c r="M1178" s="3">
        <v>5.599996</v>
      </c>
      <c r="N1178" s="4">
        <v>4.8512979999999997E-2</v>
      </c>
      <c r="O1178" s="5">
        <v>44925</v>
      </c>
      <c r="P1178" s="5">
        <v>44925</v>
      </c>
      <c r="Q1178" s="1">
        <v>5.45</v>
      </c>
      <c r="R1178" s="2">
        <v>0.68</v>
      </c>
      <c r="S1178" s="6">
        <v>0.65708918935000005</v>
      </c>
      <c r="T1178" t="s">
        <v>111</v>
      </c>
      <c r="U1178" t="s">
        <v>11040</v>
      </c>
      <c r="V1178" t="s">
        <v>11041</v>
      </c>
      <c r="W1178" t="s">
        <v>43</v>
      </c>
      <c r="X1178" t="s">
        <v>11034</v>
      </c>
      <c r="Y1178" t="s">
        <v>44</v>
      </c>
      <c r="Z1178" t="s">
        <v>44</v>
      </c>
      <c r="AA1178" t="s">
        <v>10979</v>
      </c>
      <c r="AB1178" t="s">
        <v>44</v>
      </c>
      <c r="AC1178" s="4">
        <v>5.6494946600000002</v>
      </c>
      <c r="AD1178" s="4">
        <v>5.5082810899999997</v>
      </c>
      <c r="AE1178" s="2">
        <v>5.65</v>
      </c>
      <c r="AF1178" s="4">
        <v>5.5082810899999997</v>
      </c>
      <c r="AG1178" s="2">
        <v>5.27</v>
      </c>
      <c r="AH1178" s="2">
        <v>21323378.23</v>
      </c>
      <c r="AI1178" s="2">
        <v>0.05</v>
      </c>
      <c r="AJ1178" s="5">
        <v>44673</v>
      </c>
      <c r="AK1178" t="s">
        <v>13006</v>
      </c>
      <c r="AL1178" s="2">
        <v>5.57</v>
      </c>
      <c r="AM1178" s="2">
        <v>5.45</v>
      </c>
      <c r="AN1178" s="2">
        <v>0.66</v>
      </c>
      <c r="AO1178" t="s">
        <v>11179</v>
      </c>
      <c r="AP1178" t="s">
        <v>12590</v>
      </c>
      <c r="AQ1178" t="s">
        <v>12589</v>
      </c>
    </row>
    <row r="1179" spans="1:43" x14ac:dyDescent="0.2">
      <c r="A1179" t="s">
        <v>12997</v>
      </c>
      <c r="B1179" t="s">
        <v>11038</v>
      </c>
      <c r="C1179" t="s">
        <v>11222</v>
      </c>
      <c r="D1179" t="s">
        <v>12414</v>
      </c>
      <c r="E1179" t="s">
        <v>12415</v>
      </c>
      <c r="F1179" t="s">
        <v>12414</v>
      </c>
      <c r="G1179" s="1">
        <v>7000000</v>
      </c>
      <c r="H1179" s="2">
        <v>7049920.4400000004</v>
      </c>
      <c r="I1179" s="2">
        <v>6894088.5700000003</v>
      </c>
      <c r="J1179" s="2">
        <v>108221.92</v>
      </c>
      <c r="K1179" s="2">
        <v>0</v>
      </c>
      <c r="L1179" s="2">
        <v>7002310.4900000002</v>
      </c>
      <c r="M1179" s="3">
        <v>6.4641299999999999</v>
      </c>
      <c r="N1179" s="4">
        <v>1.5931009999999999E-2</v>
      </c>
      <c r="O1179" s="5">
        <v>44746</v>
      </c>
      <c r="P1179" s="5">
        <v>45110</v>
      </c>
      <c r="Q1179" s="1">
        <v>5.13</v>
      </c>
      <c r="R1179" s="2">
        <v>1.1499999999999999</v>
      </c>
      <c r="S1179" s="6">
        <v>1.1156024281500001</v>
      </c>
      <c r="T1179" t="s">
        <v>111</v>
      </c>
      <c r="U1179" t="s">
        <v>11040</v>
      </c>
      <c r="V1179" t="s">
        <v>11041</v>
      </c>
      <c r="W1179" t="s">
        <v>43</v>
      </c>
      <c r="X1179" t="s">
        <v>44</v>
      </c>
      <c r="Y1179" t="s">
        <v>44</v>
      </c>
      <c r="Z1179" t="s">
        <v>44</v>
      </c>
      <c r="AA1179" t="s">
        <v>10979</v>
      </c>
      <c r="AB1179" t="s">
        <v>44</v>
      </c>
      <c r="AC1179" s="4">
        <v>6.5685925300000001</v>
      </c>
      <c r="AD1179" s="4">
        <v>6.3787590500000002</v>
      </c>
      <c r="AE1179" s="2">
        <v>6.57</v>
      </c>
      <c r="AF1179" s="4">
        <v>6.3787590500000002</v>
      </c>
      <c r="AG1179" s="2">
        <v>1.73</v>
      </c>
      <c r="AH1179" s="2">
        <v>7002310.4900000002</v>
      </c>
      <c r="AI1179" s="2">
        <v>0.02</v>
      </c>
      <c r="AJ1179" s="5">
        <v>44673</v>
      </c>
      <c r="AK1179" t="s">
        <v>13006</v>
      </c>
      <c r="AL1179" s="2">
        <v>6.46</v>
      </c>
      <c r="AM1179" s="2">
        <v>5.13</v>
      </c>
      <c r="AN1179" s="2">
        <v>1.1200000000000001</v>
      </c>
      <c r="AO1179" t="s">
        <v>11165</v>
      </c>
      <c r="AP1179" t="s">
        <v>12416</v>
      </c>
      <c r="AQ1179" t="s">
        <v>12415</v>
      </c>
    </row>
    <row r="1180" spans="1:43" x14ac:dyDescent="0.2">
      <c r="A1180" t="s">
        <v>12997</v>
      </c>
      <c r="B1180" t="s">
        <v>11038</v>
      </c>
      <c r="C1180" t="s">
        <v>11222</v>
      </c>
      <c r="D1180" t="s">
        <v>12626</v>
      </c>
      <c r="E1180" t="s">
        <v>12627</v>
      </c>
      <c r="F1180" t="s">
        <v>12626</v>
      </c>
      <c r="G1180" s="1">
        <v>5000000</v>
      </c>
      <c r="H1180" s="2">
        <v>5000000</v>
      </c>
      <c r="I1180" s="2">
        <v>4910205.5999999996</v>
      </c>
      <c r="J1180" s="2">
        <v>37232.879999999997</v>
      </c>
      <c r="K1180" s="2">
        <v>0</v>
      </c>
      <c r="L1180" s="2">
        <v>4947438.4800000004</v>
      </c>
      <c r="M1180" s="3">
        <v>7.0709489999999997</v>
      </c>
      <c r="N1180" s="4">
        <v>1.1255960000000001E-2</v>
      </c>
      <c r="O1180" s="5">
        <v>44813</v>
      </c>
      <c r="P1180" s="5">
        <v>45362</v>
      </c>
      <c r="Q1180" s="1">
        <v>6.04</v>
      </c>
      <c r="R1180" s="2">
        <v>1.79</v>
      </c>
      <c r="S1180" s="6">
        <v>1.7303939900900001</v>
      </c>
      <c r="T1180" t="s">
        <v>111</v>
      </c>
      <c r="U1180" t="s">
        <v>11040</v>
      </c>
      <c r="V1180" t="s">
        <v>11041</v>
      </c>
      <c r="W1180" t="s">
        <v>43</v>
      </c>
      <c r="X1180" t="s">
        <v>44</v>
      </c>
      <c r="Y1180" t="s">
        <v>44</v>
      </c>
      <c r="Z1180" t="s">
        <v>44</v>
      </c>
      <c r="AA1180" t="s">
        <v>10979</v>
      </c>
      <c r="AB1180" t="s">
        <v>44</v>
      </c>
      <c r="AC1180" s="4">
        <v>7.1959444499999998</v>
      </c>
      <c r="AD1180" s="4">
        <v>6.9689811400000004</v>
      </c>
      <c r="AE1180" s="2">
        <v>7.2</v>
      </c>
      <c r="AF1180" s="4">
        <v>6.9689811400000004</v>
      </c>
      <c r="AG1180" s="2">
        <v>1.22</v>
      </c>
      <c r="AH1180" s="2">
        <v>4947438.4800000004</v>
      </c>
      <c r="AI1180" s="2">
        <v>0.01</v>
      </c>
      <c r="AJ1180" s="5">
        <v>44673</v>
      </c>
      <c r="AK1180" t="s">
        <v>13006</v>
      </c>
      <c r="AL1180" s="2">
        <v>7.07</v>
      </c>
      <c r="AM1180" s="2">
        <v>6.04</v>
      </c>
      <c r="AN1180" s="2">
        <v>1.73</v>
      </c>
      <c r="AO1180" t="s">
        <v>11165</v>
      </c>
      <c r="AP1180" t="s">
        <v>12628</v>
      </c>
      <c r="AQ1180" t="s">
        <v>12627</v>
      </c>
    </row>
    <row r="1181" spans="1:43" x14ac:dyDescent="0.2">
      <c r="A1181" t="s">
        <v>12997</v>
      </c>
      <c r="B1181" t="s">
        <v>11038</v>
      </c>
      <c r="C1181" t="s">
        <v>11222</v>
      </c>
      <c r="D1181" t="s">
        <v>12677</v>
      </c>
      <c r="E1181" t="s">
        <v>12678</v>
      </c>
      <c r="F1181" t="s">
        <v>12677</v>
      </c>
      <c r="G1181" s="1">
        <v>4000000</v>
      </c>
      <c r="H1181" s="2">
        <v>4000000</v>
      </c>
      <c r="I1181" s="2">
        <v>3889528.62</v>
      </c>
      <c r="J1181" s="2">
        <v>26608.22</v>
      </c>
      <c r="K1181" s="2">
        <v>0</v>
      </c>
      <c r="L1181" s="2">
        <v>3916136.84</v>
      </c>
      <c r="M1181" s="3">
        <v>7.3468239999999998</v>
      </c>
      <c r="N1181" s="4">
        <v>8.90963E-3</v>
      </c>
      <c r="O1181" s="5">
        <v>44817</v>
      </c>
      <c r="P1181" s="5">
        <v>45548</v>
      </c>
      <c r="Q1181" s="1">
        <v>6.07</v>
      </c>
      <c r="R1181" s="2">
        <v>2.2400000000000002</v>
      </c>
      <c r="S1181" s="6">
        <v>2.1636362157</v>
      </c>
      <c r="T1181" t="s">
        <v>111</v>
      </c>
      <c r="U1181" t="s">
        <v>11040</v>
      </c>
      <c r="V1181" t="s">
        <v>11041</v>
      </c>
      <c r="W1181" t="s">
        <v>43</v>
      </c>
      <c r="X1181" t="s">
        <v>44</v>
      </c>
      <c r="Y1181" t="s">
        <v>44</v>
      </c>
      <c r="Z1181" t="s">
        <v>44</v>
      </c>
      <c r="AA1181" t="s">
        <v>10979</v>
      </c>
      <c r="AB1181" t="s">
        <v>44</v>
      </c>
      <c r="AC1181" s="4">
        <v>7.4817640000000001</v>
      </c>
      <c r="AD1181" s="4">
        <v>7.2368352299999996</v>
      </c>
      <c r="AE1181" s="2">
        <v>7.48</v>
      </c>
      <c r="AF1181" s="4">
        <v>7.2368352299999996</v>
      </c>
      <c r="AG1181" s="2">
        <v>0.97</v>
      </c>
      <c r="AH1181" s="2">
        <v>3916136.84</v>
      </c>
      <c r="AI1181" s="2">
        <v>0.01</v>
      </c>
      <c r="AJ1181" s="5">
        <v>44673</v>
      </c>
      <c r="AK1181" t="s">
        <v>13006</v>
      </c>
      <c r="AL1181" s="2">
        <v>7.35</v>
      </c>
      <c r="AM1181" s="2">
        <v>6.07</v>
      </c>
      <c r="AN1181" s="2">
        <v>2.16</v>
      </c>
      <c r="AO1181" t="s">
        <v>11054</v>
      </c>
      <c r="AP1181" t="s">
        <v>12679</v>
      </c>
      <c r="AQ1181" t="s">
        <v>12678</v>
      </c>
    </row>
    <row r="1182" spans="1:43" x14ac:dyDescent="0.2">
      <c r="A1182" t="s">
        <v>12997</v>
      </c>
      <c r="B1182" t="s">
        <v>11038</v>
      </c>
      <c r="C1182" t="s">
        <v>11222</v>
      </c>
      <c r="D1182" t="s">
        <v>11888</v>
      </c>
      <c r="E1182" t="s">
        <v>11889</v>
      </c>
      <c r="F1182" t="s">
        <v>11888</v>
      </c>
      <c r="G1182" s="1">
        <v>4400000</v>
      </c>
      <c r="H1182" s="2">
        <v>4406257.79</v>
      </c>
      <c r="I1182" s="2">
        <v>4414977.75</v>
      </c>
      <c r="J1182" s="2">
        <v>33524.26</v>
      </c>
      <c r="K1182" s="2">
        <v>0</v>
      </c>
      <c r="L1182" s="2">
        <v>4448502.01</v>
      </c>
      <c r="M1182" s="3">
        <v>5.6397240000000002</v>
      </c>
      <c r="N1182" s="4">
        <v>1.0120820000000001E-2</v>
      </c>
      <c r="O1182" s="5">
        <v>44718</v>
      </c>
      <c r="P1182" s="5">
        <v>45083</v>
      </c>
      <c r="Q1182" s="1">
        <v>5.9169999999999998</v>
      </c>
      <c r="R1182" s="2">
        <v>0.12</v>
      </c>
      <c r="S1182" s="6">
        <v>0.10153073584699999</v>
      </c>
      <c r="T1182" t="s">
        <v>111</v>
      </c>
      <c r="U1182" t="s">
        <v>11040</v>
      </c>
      <c r="V1182" t="s">
        <v>114</v>
      </c>
      <c r="W1182" t="s">
        <v>43</v>
      </c>
      <c r="X1182" t="s">
        <v>10988</v>
      </c>
      <c r="Y1182" t="s">
        <v>44</v>
      </c>
      <c r="Z1182" t="s">
        <v>44</v>
      </c>
      <c r="AA1182" t="s">
        <v>10913</v>
      </c>
      <c r="AB1182" t="s">
        <v>44</v>
      </c>
      <c r="AC1182" s="4">
        <v>5.7825122599999998</v>
      </c>
      <c r="AD1182" s="4">
        <v>5.63469072</v>
      </c>
      <c r="AE1182" s="2">
        <v>5.78</v>
      </c>
      <c r="AF1182" s="4">
        <v>5.63469072</v>
      </c>
      <c r="AG1182" s="2">
        <v>1.1000000000000001</v>
      </c>
      <c r="AH1182" s="2">
        <v>4448502.01</v>
      </c>
      <c r="AI1182" s="2">
        <v>0.01</v>
      </c>
      <c r="AJ1182" s="5">
        <v>44673</v>
      </c>
      <c r="AK1182" t="s">
        <v>13006</v>
      </c>
      <c r="AL1182" s="2">
        <v>5.7</v>
      </c>
      <c r="AM1182" s="2">
        <v>5.92</v>
      </c>
      <c r="AN1182" s="2">
        <v>0.1</v>
      </c>
      <c r="AO1182" t="s">
        <v>11563</v>
      </c>
      <c r="AP1182" t="s">
        <v>11890</v>
      </c>
      <c r="AQ1182" t="s">
        <v>11889</v>
      </c>
    </row>
    <row r="1183" spans="1:43" x14ac:dyDescent="0.2">
      <c r="A1183" t="s">
        <v>12997</v>
      </c>
      <c r="B1183" t="s">
        <v>11038</v>
      </c>
      <c r="C1183" t="s">
        <v>11222</v>
      </c>
      <c r="D1183" t="s">
        <v>12680</v>
      </c>
      <c r="E1183" t="s">
        <v>12681</v>
      </c>
      <c r="F1183" t="s">
        <v>12680</v>
      </c>
      <c r="G1183" s="1">
        <v>4000000</v>
      </c>
      <c r="H1183" s="2">
        <v>4000000</v>
      </c>
      <c r="I1183" s="2">
        <v>3925410.87</v>
      </c>
      <c r="J1183" s="2">
        <v>28931.51</v>
      </c>
      <c r="K1183" s="2">
        <v>0</v>
      </c>
      <c r="L1183" s="2">
        <v>3954342.38</v>
      </c>
      <c r="M1183" s="3">
        <v>7.0709569999999999</v>
      </c>
      <c r="N1183" s="4">
        <v>8.9965500000000007E-3</v>
      </c>
      <c r="O1183" s="5">
        <v>44816</v>
      </c>
      <c r="P1183" s="5">
        <v>45362</v>
      </c>
      <c r="Q1183" s="1">
        <v>6</v>
      </c>
      <c r="R1183" s="2">
        <v>1.79</v>
      </c>
      <c r="S1183" s="6">
        <v>1.73112911671</v>
      </c>
      <c r="T1183" t="s">
        <v>111</v>
      </c>
      <c r="U1183" t="s">
        <v>11040</v>
      </c>
      <c r="V1183" t="s">
        <v>11041</v>
      </c>
      <c r="W1183" t="s">
        <v>43</v>
      </c>
      <c r="X1183" t="s">
        <v>44</v>
      </c>
      <c r="Y1183" t="s">
        <v>44</v>
      </c>
      <c r="Z1183" t="s">
        <v>44</v>
      </c>
      <c r="AA1183" t="s">
        <v>11035</v>
      </c>
      <c r="AB1183" t="s">
        <v>44</v>
      </c>
      <c r="AC1183" s="4">
        <v>7.1959530999999997</v>
      </c>
      <c r="AD1183" s="4">
        <v>6.9689892599999999</v>
      </c>
      <c r="AE1183" s="2">
        <v>7.2</v>
      </c>
      <c r="AF1183" s="4">
        <v>6.9689892599999999</v>
      </c>
      <c r="AG1183" s="2">
        <v>0.98</v>
      </c>
      <c r="AH1183" s="2">
        <v>3954342.38</v>
      </c>
      <c r="AI1183" s="2">
        <v>0.01</v>
      </c>
      <c r="AJ1183" s="5">
        <v>44673</v>
      </c>
      <c r="AK1183" t="s">
        <v>13006</v>
      </c>
      <c r="AL1183" s="2">
        <v>7.07</v>
      </c>
      <c r="AM1183" s="2">
        <v>6</v>
      </c>
      <c r="AN1183" s="2">
        <v>1.73</v>
      </c>
      <c r="AO1183" t="s">
        <v>11036</v>
      </c>
      <c r="AP1183" t="s">
        <v>12682</v>
      </c>
      <c r="AQ1183" t="s">
        <v>12681</v>
      </c>
    </row>
    <row r="1184" spans="1:43" x14ac:dyDescent="0.2">
      <c r="A1184" t="s">
        <v>12997</v>
      </c>
      <c r="B1184" t="s">
        <v>11038</v>
      </c>
      <c r="C1184" t="s">
        <v>11222</v>
      </c>
      <c r="D1184" t="s">
        <v>12683</v>
      </c>
      <c r="E1184" t="s">
        <v>12684</v>
      </c>
      <c r="F1184" t="s">
        <v>12683</v>
      </c>
      <c r="G1184" s="1">
        <v>4000000</v>
      </c>
      <c r="H1184" s="2">
        <v>4000000</v>
      </c>
      <c r="I1184" s="2">
        <v>3881569.59</v>
      </c>
      <c r="J1184" s="2">
        <v>50090.96</v>
      </c>
      <c r="K1184" s="2">
        <v>0</v>
      </c>
      <c r="L1184" s="2">
        <v>3931660.55</v>
      </c>
      <c r="M1184" s="3">
        <v>7.2904710000000001</v>
      </c>
      <c r="N1184" s="4">
        <v>8.9449500000000001E-3</v>
      </c>
      <c r="O1184" s="5">
        <v>44777</v>
      </c>
      <c r="P1184" s="5">
        <v>45506</v>
      </c>
      <c r="Q1184" s="1">
        <v>5.86</v>
      </c>
      <c r="R1184" s="2">
        <v>2.13</v>
      </c>
      <c r="S1184" s="6">
        <v>2.05870973064</v>
      </c>
      <c r="T1184" t="s">
        <v>111</v>
      </c>
      <c r="U1184" t="s">
        <v>11040</v>
      </c>
      <c r="V1184" t="s">
        <v>11041</v>
      </c>
      <c r="W1184" t="s">
        <v>43</v>
      </c>
      <c r="X1184" t="s">
        <v>44</v>
      </c>
      <c r="Y1184" t="s">
        <v>44</v>
      </c>
      <c r="Z1184" t="s">
        <v>44</v>
      </c>
      <c r="AA1184" t="s">
        <v>11035</v>
      </c>
      <c r="AB1184" t="s">
        <v>44</v>
      </c>
      <c r="AC1184" s="4">
        <v>7.4233486400000004</v>
      </c>
      <c r="AD1184" s="4">
        <v>7.1821447599999999</v>
      </c>
      <c r="AE1184" s="2">
        <v>7.42</v>
      </c>
      <c r="AF1184" s="4">
        <v>7.1821447599999999</v>
      </c>
      <c r="AG1184" s="2">
        <v>0.97</v>
      </c>
      <c r="AH1184" s="2">
        <v>3931660.55</v>
      </c>
      <c r="AI1184" s="2">
        <v>0.01</v>
      </c>
      <c r="AJ1184" s="5">
        <v>44673</v>
      </c>
      <c r="AK1184" t="s">
        <v>13006</v>
      </c>
      <c r="AL1184" s="2">
        <v>7.29</v>
      </c>
      <c r="AM1184" s="2">
        <v>5.86</v>
      </c>
      <c r="AN1184" s="2">
        <v>2.06</v>
      </c>
      <c r="AO1184" t="s">
        <v>11036</v>
      </c>
      <c r="AP1184" t="s">
        <v>12685</v>
      </c>
      <c r="AQ1184" t="s">
        <v>12684</v>
      </c>
    </row>
    <row r="1185" spans="1:43" x14ac:dyDescent="0.2">
      <c r="A1185" t="s">
        <v>12997</v>
      </c>
      <c r="B1185" t="s">
        <v>11038</v>
      </c>
      <c r="C1185" t="s">
        <v>11222</v>
      </c>
      <c r="D1185" t="s">
        <v>12300</v>
      </c>
      <c r="E1185" t="s">
        <v>12301</v>
      </c>
      <c r="F1185" t="s">
        <v>12300</v>
      </c>
      <c r="G1185" s="1">
        <v>14000000</v>
      </c>
      <c r="H1185" s="2">
        <v>14000000</v>
      </c>
      <c r="I1185" s="2">
        <v>13608917.609999999</v>
      </c>
      <c r="J1185" s="2">
        <v>186196.16</v>
      </c>
      <c r="K1185" s="2">
        <v>0</v>
      </c>
      <c r="L1185" s="2">
        <v>13795113.77</v>
      </c>
      <c r="M1185" s="3">
        <v>7.2799759999999996</v>
      </c>
      <c r="N1185" s="4">
        <v>3.1385370000000003E-2</v>
      </c>
      <c r="O1185" s="5">
        <v>44771</v>
      </c>
      <c r="P1185" s="5">
        <v>45499</v>
      </c>
      <c r="Q1185" s="1">
        <v>5.92</v>
      </c>
      <c r="R1185" s="2">
        <v>2.11</v>
      </c>
      <c r="S1185" s="6">
        <v>2.0400044886500002</v>
      </c>
      <c r="T1185" t="s">
        <v>111</v>
      </c>
      <c r="U1185" t="s">
        <v>11040</v>
      </c>
      <c r="V1185" t="s">
        <v>11041</v>
      </c>
      <c r="W1185" t="s">
        <v>43</v>
      </c>
      <c r="X1185" t="s">
        <v>11034</v>
      </c>
      <c r="Y1185" t="s">
        <v>44</v>
      </c>
      <c r="Z1185" t="s">
        <v>44</v>
      </c>
      <c r="AA1185" t="s">
        <v>11035</v>
      </c>
      <c r="AB1185" t="s">
        <v>44</v>
      </c>
      <c r="AC1185" s="4">
        <v>7.4124711999999997</v>
      </c>
      <c r="AD1185" s="4">
        <v>7.1719579199999997</v>
      </c>
      <c r="AE1185" s="2">
        <v>7.41</v>
      </c>
      <c r="AF1185" s="4">
        <v>7.1719579199999997</v>
      </c>
      <c r="AG1185" s="2">
        <v>3.41</v>
      </c>
      <c r="AH1185" s="2">
        <v>13795113.77</v>
      </c>
      <c r="AI1185" s="2">
        <v>0.03</v>
      </c>
      <c r="AJ1185" s="5">
        <v>44673</v>
      </c>
      <c r="AK1185" t="s">
        <v>13006</v>
      </c>
      <c r="AL1185" s="2">
        <v>7.28</v>
      </c>
      <c r="AM1185" s="2">
        <v>5.92</v>
      </c>
      <c r="AN1185" s="2">
        <v>2.04</v>
      </c>
      <c r="AO1185" t="s">
        <v>11036</v>
      </c>
      <c r="AP1185" t="s">
        <v>12302</v>
      </c>
      <c r="AQ1185" t="s">
        <v>12301</v>
      </c>
    </row>
    <row r="1186" spans="1:43" x14ac:dyDescent="0.2">
      <c r="A1186" t="s">
        <v>12997</v>
      </c>
      <c r="B1186" t="s">
        <v>11038</v>
      </c>
      <c r="C1186" t="s">
        <v>11222</v>
      </c>
      <c r="D1186" t="s">
        <v>12417</v>
      </c>
      <c r="E1186" t="s">
        <v>12418</v>
      </c>
      <c r="F1186" t="s">
        <v>12417</v>
      </c>
      <c r="G1186" s="1">
        <v>15000000</v>
      </c>
      <c r="H1186" s="2">
        <v>15000000</v>
      </c>
      <c r="I1186" s="2">
        <v>14565504.34</v>
      </c>
      <c r="J1186" s="2">
        <v>108493.15</v>
      </c>
      <c r="K1186" s="2">
        <v>0</v>
      </c>
      <c r="L1186" s="2">
        <v>14673997.49</v>
      </c>
      <c r="M1186" s="3">
        <v>7.3431670000000002</v>
      </c>
      <c r="N1186" s="4">
        <v>3.3384919999999998E-2</v>
      </c>
      <c r="O1186" s="5">
        <v>44816</v>
      </c>
      <c r="P1186" s="5">
        <v>45545</v>
      </c>
      <c r="Q1186" s="1">
        <v>6</v>
      </c>
      <c r="R1186" s="2">
        <v>2.2400000000000002</v>
      </c>
      <c r="S1186" s="6">
        <v>2.1568737250600001</v>
      </c>
      <c r="T1186" t="s">
        <v>111</v>
      </c>
      <c r="U1186" t="s">
        <v>11040</v>
      </c>
      <c r="V1186" t="s">
        <v>11041</v>
      </c>
      <c r="W1186" t="s">
        <v>43</v>
      </c>
      <c r="X1186" t="s">
        <v>44</v>
      </c>
      <c r="Y1186" t="s">
        <v>44</v>
      </c>
      <c r="Z1186" t="s">
        <v>44</v>
      </c>
      <c r="AA1186" t="s">
        <v>11035</v>
      </c>
      <c r="AB1186" t="s">
        <v>44</v>
      </c>
      <c r="AC1186" s="4">
        <v>7.4779723000000002</v>
      </c>
      <c r="AD1186" s="4">
        <v>7.2332861399999997</v>
      </c>
      <c r="AE1186" s="2">
        <v>7.48</v>
      </c>
      <c r="AF1186" s="4">
        <v>7.2332861399999997</v>
      </c>
      <c r="AG1186" s="2">
        <v>3.63</v>
      </c>
      <c r="AH1186" s="2">
        <v>14673997.49</v>
      </c>
      <c r="AI1186" s="2">
        <v>0.03</v>
      </c>
      <c r="AJ1186" s="5">
        <v>44673</v>
      </c>
      <c r="AK1186" t="s">
        <v>13006</v>
      </c>
      <c r="AL1186" s="2">
        <v>7.34</v>
      </c>
      <c r="AM1186" s="2">
        <v>6</v>
      </c>
      <c r="AN1186" s="2">
        <v>2.16</v>
      </c>
      <c r="AO1186" t="s">
        <v>11036</v>
      </c>
      <c r="AP1186" t="s">
        <v>12419</v>
      </c>
      <c r="AQ1186" t="s">
        <v>12418</v>
      </c>
    </row>
    <row r="1187" spans="1:43" x14ac:dyDescent="0.2">
      <c r="A1187" t="s">
        <v>12997</v>
      </c>
      <c r="B1187" t="s">
        <v>11038</v>
      </c>
      <c r="C1187" t="s">
        <v>11222</v>
      </c>
      <c r="D1187" t="s">
        <v>12303</v>
      </c>
      <c r="E1187" t="s">
        <v>12304</v>
      </c>
      <c r="F1187" t="s">
        <v>12303</v>
      </c>
      <c r="G1187" s="1">
        <v>7000000</v>
      </c>
      <c r="H1187" s="2">
        <v>7000000</v>
      </c>
      <c r="I1187" s="2">
        <v>6830205.1900000004</v>
      </c>
      <c r="J1187" s="2">
        <v>107274.52</v>
      </c>
      <c r="K1187" s="2">
        <v>0</v>
      </c>
      <c r="L1187" s="2">
        <v>6937479.71</v>
      </c>
      <c r="M1187" s="3">
        <v>7.2687010000000001</v>
      </c>
      <c r="N1187" s="4">
        <v>1.5783510000000001E-2</v>
      </c>
      <c r="O1187" s="5">
        <v>44763</v>
      </c>
      <c r="P1187" s="5">
        <v>45492</v>
      </c>
      <c r="Q1187" s="1">
        <v>6.08</v>
      </c>
      <c r="R1187" s="2">
        <v>2.09</v>
      </c>
      <c r="S1187" s="6">
        <v>2.0175874409699999</v>
      </c>
      <c r="T1187" t="s">
        <v>111</v>
      </c>
      <c r="U1187" t="s">
        <v>11040</v>
      </c>
      <c r="V1187" t="s">
        <v>11041</v>
      </c>
      <c r="W1187" t="s">
        <v>43</v>
      </c>
      <c r="X1187" t="s">
        <v>11034</v>
      </c>
      <c r="Y1187" t="s">
        <v>44</v>
      </c>
      <c r="Z1187" t="s">
        <v>44</v>
      </c>
      <c r="AA1187" t="s">
        <v>11035</v>
      </c>
      <c r="AB1187" t="s">
        <v>44</v>
      </c>
      <c r="AC1187" s="4">
        <v>7.40078573</v>
      </c>
      <c r="AD1187" s="4">
        <v>7.1610132799999997</v>
      </c>
      <c r="AE1187" s="2">
        <v>7.4</v>
      </c>
      <c r="AF1187" s="4">
        <v>7.1610132799999997</v>
      </c>
      <c r="AG1187" s="2">
        <v>1.71</v>
      </c>
      <c r="AH1187" s="2">
        <v>6937479.71</v>
      </c>
      <c r="AI1187" s="2">
        <v>0.02</v>
      </c>
      <c r="AJ1187" s="5">
        <v>44673</v>
      </c>
      <c r="AK1187" t="s">
        <v>13006</v>
      </c>
      <c r="AL1187" s="2">
        <v>7.27</v>
      </c>
      <c r="AM1187" s="2">
        <v>6.08</v>
      </c>
      <c r="AN1187" s="2">
        <v>2.02</v>
      </c>
      <c r="AO1187" t="s">
        <v>11036</v>
      </c>
      <c r="AP1187" t="s">
        <v>12305</v>
      </c>
      <c r="AQ1187" t="s">
        <v>12304</v>
      </c>
    </row>
    <row r="1188" spans="1:43" x14ac:dyDescent="0.2">
      <c r="A1188" t="s">
        <v>12997</v>
      </c>
      <c r="B1188" t="s">
        <v>11038</v>
      </c>
      <c r="C1188" t="s">
        <v>11222</v>
      </c>
      <c r="D1188" t="s">
        <v>11648</v>
      </c>
      <c r="E1188" t="s">
        <v>11649</v>
      </c>
      <c r="F1188" t="s">
        <v>11648</v>
      </c>
      <c r="G1188" s="1">
        <v>2100000</v>
      </c>
      <c r="H1188" s="2">
        <v>2100262.4</v>
      </c>
      <c r="I1188" s="2">
        <v>2106090.52</v>
      </c>
      <c r="J1188" s="2">
        <v>19159.939999999999</v>
      </c>
      <c r="K1188" s="2">
        <v>0</v>
      </c>
      <c r="L1188" s="2">
        <v>2125250.46</v>
      </c>
      <c r="M1188" s="3">
        <v>6.0302819999999997</v>
      </c>
      <c r="N1188" s="4">
        <v>4.8351699999999997E-3</v>
      </c>
      <c r="O1188" s="5">
        <v>44712</v>
      </c>
      <c r="P1188" s="5">
        <v>45260</v>
      </c>
      <c r="Q1188" s="1">
        <v>6.1669999999999998</v>
      </c>
      <c r="R1188" s="2">
        <v>0.1</v>
      </c>
      <c r="S1188" s="6">
        <v>7.8177650525999995E-2</v>
      </c>
      <c r="T1188" t="s">
        <v>111</v>
      </c>
      <c r="U1188" t="s">
        <v>11040</v>
      </c>
      <c r="V1188" t="s">
        <v>114</v>
      </c>
      <c r="W1188" t="s">
        <v>43</v>
      </c>
      <c r="X1188" t="s">
        <v>10988</v>
      </c>
      <c r="Y1188" t="s">
        <v>44</v>
      </c>
      <c r="Z1188" t="s">
        <v>44</v>
      </c>
      <c r="AA1188" t="s">
        <v>10979</v>
      </c>
      <c r="AB1188" t="s">
        <v>44</v>
      </c>
      <c r="AC1188" s="4">
        <v>6.1968427300000002</v>
      </c>
      <c r="AD1188" s="4">
        <v>6.0275066400000004</v>
      </c>
      <c r="AE1188" s="2">
        <v>6.2</v>
      </c>
      <c r="AF1188" s="4">
        <v>6.0275066400000004</v>
      </c>
      <c r="AG1188" s="2">
        <v>0.53</v>
      </c>
      <c r="AH1188" s="2">
        <v>2125250.46</v>
      </c>
      <c r="AI1188" s="2">
        <v>0</v>
      </c>
      <c r="AJ1188" s="5">
        <v>44673</v>
      </c>
      <c r="AK1188" t="s">
        <v>13006</v>
      </c>
      <c r="AL1188" s="2">
        <v>6.1</v>
      </c>
      <c r="AM1188" s="2">
        <v>6.17</v>
      </c>
      <c r="AN1188" s="2">
        <v>0.08</v>
      </c>
      <c r="AO1188" t="s">
        <v>11048</v>
      </c>
      <c r="AP1188" t="s">
        <v>11650</v>
      </c>
      <c r="AQ1188" t="s">
        <v>11649</v>
      </c>
    </row>
    <row r="1189" spans="1:43" x14ac:dyDescent="0.2">
      <c r="A1189" t="s">
        <v>12997</v>
      </c>
      <c r="B1189" t="s">
        <v>11038</v>
      </c>
      <c r="C1189" t="s">
        <v>11222</v>
      </c>
      <c r="D1189" t="s">
        <v>11939</v>
      </c>
      <c r="E1189" t="s">
        <v>11940</v>
      </c>
      <c r="F1189" t="s">
        <v>11939</v>
      </c>
      <c r="G1189" s="1">
        <v>300000</v>
      </c>
      <c r="H1189" s="2">
        <v>301371.40000000002</v>
      </c>
      <c r="I1189" s="2">
        <v>301349.43</v>
      </c>
      <c r="J1189" s="2">
        <v>4492.92</v>
      </c>
      <c r="K1189" s="2">
        <v>0</v>
      </c>
      <c r="L1189" s="2">
        <v>305842.34999999998</v>
      </c>
      <c r="M1189" s="3">
        <v>6.1653989999999999</v>
      </c>
      <c r="N1189" s="4">
        <v>6.9581999999999999E-4</v>
      </c>
      <c r="O1189" s="5">
        <v>44676</v>
      </c>
      <c r="P1189" s="5">
        <v>45040</v>
      </c>
      <c r="Q1189" s="1">
        <v>6.1420000000000003</v>
      </c>
      <c r="R1189" s="2">
        <v>0.25</v>
      </c>
      <c r="S1189" s="6">
        <v>-9.3753711189999995E-3</v>
      </c>
      <c r="T1189" t="s">
        <v>111</v>
      </c>
      <c r="U1189" t="s">
        <v>11040</v>
      </c>
      <c r="V1189" t="s">
        <v>114</v>
      </c>
      <c r="W1189" t="s">
        <v>43</v>
      </c>
      <c r="X1189" t="s">
        <v>10988</v>
      </c>
      <c r="Y1189" t="s">
        <v>44</v>
      </c>
      <c r="Z1189" t="s">
        <v>44</v>
      </c>
      <c r="AA1189" t="s">
        <v>10979</v>
      </c>
      <c r="AB1189" t="s">
        <v>44</v>
      </c>
      <c r="AC1189" s="4">
        <v>6.3095501499999997</v>
      </c>
      <c r="AD1189" s="4">
        <v>6.1341185500000002</v>
      </c>
      <c r="AE1189" s="2">
        <v>6.31</v>
      </c>
      <c r="AF1189" s="4">
        <v>6.1341185500000002</v>
      </c>
      <c r="AG1189" s="2">
        <v>0.08</v>
      </c>
      <c r="AH1189" s="2">
        <v>305842.34999999998</v>
      </c>
      <c r="AI1189" s="2">
        <v>0</v>
      </c>
      <c r="AJ1189" s="5">
        <v>44673</v>
      </c>
      <c r="AK1189" t="s">
        <v>13006</v>
      </c>
      <c r="AL1189" s="2">
        <v>6.21</v>
      </c>
      <c r="AM1189" s="2">
        <v>6.14</v>
      </c>
      <c r="AN1189" s="2">
        <v>-0.01</v>
      </c>
      <c r="AO1189" t="s">
        <v>11618</v>
      </c>
      <c r="AP1189" t="s">
        <v>11941</v>
      </c>
      <c r="AQ1189" t="s">
        <v>11940</v>
      </c>
    </row>
    <row r="1190" spans="1:43" x14ac:dyDescent="0.2">
      <c r="A1190" t="s">
        <v>12071</v>
      </c>
      <c r="B1190" t="s">
        <v>45</v>
      </c>
      <c r="C1190" t="s">
        <v>11000</v>
      </c>
      <c r="D1190" t="s">
        <v>12072</v>
      </c>
      <c r="E1190" t="s">
        <v>12073</v>
      </c>
      <c r="F1190" t="s">
        <v>12072</v>
      </c>
      <c r="G1190" s="1">
        <v>9648.1200000000008</v>
      </c>
      <c r="H1190" s="2">
        <v>148481.51</v>
      </c>
      <c r="I1190" s="2">
        <v>162289.66</v>
      </c>
      <c r="J1190" s="2">
        <v>0</v>
      </c>
      <c r="K1190" s="2">
        <v>0</v>
      </c>
      <c r="L1190" s="2">
        <v>162289.66</v>
      </c>
      <c r="M1190" s="3">
        <v>0</v>
      </c>
      <c r="N1190" s="4">
        <v>3.6923000000000001E-4</v>
      </c>
      <c r="O1190" s="5" t="s">
        <v>44</v>
      </c>
      <c r="P1190" s="5">
        <v>55153</v>
      </c>
      <c r="Q1190" s="1">
        <v>0</v>
      </c>
      <c r="R1190" s="2">
        <v>0.08</v>
      </c>
      <c r="S1190" s="6"/>
      <c r="T1190" t="s">
        <v>112</v>
      </c>
      <c r="U1190" t="s">
        <v>46</v>
      </c>
      <c r="V1190" t="s">
        <v>46</v>
      </c>
      <c r="W1190" t="s">
        <v>528</v>
      </c>
      <c r="X1190" t="s">
        <v>44</v>
      </c>
      <c r="Y1190" t="s">
        <v>44</v>
      </c>
      <c r="Z1190" t="s">
        <v>44</v>
      </c>
      <c r="AA1190" t="s">
        <v>10913</v>
      </c>
      <c r="AB1190" t="s">
        <v>44</v>
      </c>
      <c r="AC1190" s="4"/>
      <c r="AD1190" s="4"/>
      <c r="AE1190" s="2">
        <v>0</v>
      </c>
      <c r="AF1190" s="4">
        <v>0</v>
      </c>
      <c r="AG1190" s="2">
        <v>0.11</v>
      </c>
      <c r="AH1190" s="2">
        <v>162289.66</v>
      </c>
      <c r="AI1190" s="2">
        <v>0</v>
      </c>
      <c r="AJ1190" s="5">
        <v>44673</v>
      </c>
      <c r="AK1190" t="s">
        <v>12074</v>
      </c>
      <c r="AL1190" s="2">
        <v>0</v>
      </c>
      <c r="AM1190" s="2">
        <v>0</v>
      </c>
      <c r="AN1190" s="2">
        <v>0</v>
      </c>
      <c r="AO1190" t="s">
        <v>11074</v>
      </c>
      <c r="AP1190" t="s">
        <v>44</v>
      </c>
      <c r="AQ1190" t="s">
        <v>12073</v>
      </c>
    </row>
    <row r="1191" spans="1:43" x14ac:dyDescent="0.2">
      <c r="A1191" t="s">
        <v>12071</v>
      </c>
      <c r="B1191" t="s">
        <v>45</v>
      </c>
      <c r="C1191" t="s">
        <v>11000</v>
      </c>
      <c r="D1191" t="s">
        <v>11075</v>
      </c>
      <c r="E1191" t="s">
        <v>11076</v>
      </c>
      <c r="F1191" t="s">
        <v>11075</v>
      </c>
      <c r="G1191" s="1">
        <v>541555.82999999996</v>
      </c>
      <c r="H1191" s="2">
        <v>8359621.4100000001</v>
      </c>
      <c r="I1191" s="2">
        <v>8455864.3100000005</v>
      </c>
      <c r="J1191" s="2">
        <v>0</v>
      </c>
      <c r="K1191" s="2">
        <v>0</v>
      </c>
      <c r="L1191" s="2">
        <v>8455864.3100000005</v>
      </c>
      <c r="M1191" s="3">
        <v>0</v>
      </c>
      <c r="N1191" s="4">
        <v>1.9238000000000002E-2</v>
      </c>
      <c r="O1191" s="5" t="s">
        <v>44</v>
      </c>
      <c r="P1191" s="5">
        <v>47848</v>
      </c>
      <c r="Q1191" s="1">
        <v>0</v>
      </c>
      <c r="R1191" s="2">
        <v>0.08</v>
      </c>
      <c r="S1191" s="6"/>
      <c r="T1191" t="s">
        <v>112</v>
      </c>
      <c r="U1191" t="s">
        <v>46</v>
      </c>
      <c r="V1191" t="s">
        <v>46</v>
      </c>
      <c r="W1191" t="s">
        <v>113</v>
      </c>
      <c r="X1191" t="s">
        <v>44</v>
      </c>
      <c r="Y1191" t="s">
        <v>44</v>
      </c>
      <c r="Z1191" t="s">
        <v>44</v>
      </c>
      <c r="AA1191" t="s">
        <v>10913</v>
      </c>
      <c r="AB1191" t="s">
        <v>44</v>
      </c>
      <c r="AC1191" s="4"/>
      <c r="AD1191" s="4"/>
      <c r="AE1191" s="2">
        <v>0</v>
      </c>
      <c r="AF1191" s="4">
        <v>0</v>
      </c>
      <c r="AG1191" s="2">
        <v>5.49</v>
      </c>
      <c r="AH1191" s="2">
        <v>8455864.3100000005</v>
      </c>
      <c r="AI1191" s="2">
        <v>0.02</v>
      </c>
      <c r="AJ1191" s="5">
        <v>44673</v>
      </c>
      <c r="AK1191" t="s">
        <v>12074</v>
      </c>
      <c r="AL1191" s="2">
        <v>0</v>
      </c>
      <c r="AM1191" s="2">
        <v>0</v>
      </c>
      <c r="AN1191" s="2">
        <v>0</v>
      </c>
      <c r="AO1191" t="s">
        <v>11074</v>
      </c>
      <c r="AP1191" t="s">
        <v>44</v>
      </c>
      <c r="AQ1191" t="s">
        <v>11076</v>
      </c>
    </row>
    <row r="1192" spans="1:43" x14ac:dyDescent="0.2">
      <c r="A1192" t="s">
        <v>12071</v>
      </c>
      <c r="B1192" t="s">
        <v>45</v>
      </c>
      <c r="C1192" t="s">
        <v>11144</v>
      </c>
      <c r="D1192" t="s">
        <v>11145</v>
      </c>
      <c r="E1192" t="s">
        <v>11146</v>
      </c>
      <c r="F1192" t="s">
        <v>11147</v>
      </c>
      <c r="G1192" s="1">
        <v>152980556.37</v>
      </c>
      <c r="H1192" s="2">
        <v>152980556.37</v>
      </c>
      <c r="I1192" s="2">
        <v>152980556.37</v>
      </c>
      <c r="J1192" s="2">
        <v>411195.48</v>
      </c>
      <c r="K1192" s="2">
        <v>0</v>
      </c>
      <c r="L1192" s="2">
        <v>153391751.84999999</v>
      </c>
      <c r="M1192" s="3">
        <v>6.88</v>
      </c>
      <c r="N1192" s="4">
        <v>0.34898275000000001</v>
      </c>
      <c r="O1192" s="5" t="s">
        <v>44</v>
      </c>
      <c r="P1192" s="5">
        <v>55153</v>
      </c>
      <c r="Q1192" s="1">
        <v>6.88</v>
      </c>
      <c r="R1192" s="2">
        <v>0.08</v>
      </c>
      <c r="S1192" s="6">
        <v>2.6006750000000002E-3</v>
      </c>
      <c r="T1192" t="s">
        <v>112</v>
      </c>
      <c r="U1192" t="s">
        <v>46</v>
      </c>
      <c r="V1192" t="s">
        <v>11148</v>
      </c>
      <c r="W1192" t="s">
        <v>43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s="4"/>
      <c r="AD1192" s="4"/>
      <c r="AE1192" s="2">
        <v>0</v>
      </c>
      <c r="AF1192" s="4">
        <v>0</v>
      </c>
      <c r="AG1192" s="2">
        <v>99.61</v>
      </c>
      <c r="AH1192" s="2">
        <v>153391751.84999999</v>
      </c>
      <c r="AI1192" s="2">
        <v>0.35</v>
      </c>
      <c r="AJ1192" s="5">
        <v>44673</v>
      </c>
      <c r="AK1192" t="s">
        <v>12074</v>
      </c>
      <c r="AL1192" s="2">
        <v>0</v>
      </c>
      <c r="AM1192" s="2">
        <v>6.88</v>
      </c>
      <c r="AN1192" s="2">
        <v>0</v>
      </c>
      <c r="AO1192" t="s">
        <v>11146</v>
      </c>
      <c r="AP1192" t="s">
        <v>44</v>
      </c>
      <c r="AQ1192" t="s">
        <v>11146</v>
      </c>
    </row>
    <row r="1193" spans="1:43" x14ac:dyDescent="0.2">
      <c r="A1193" t="s">
        <v>12071</v>
      </c>
      <c r="B1193" t="s">
        <v>45</v>
      </c>
      <c r="C1193" t="s">
        <v>47</v>
      </c>
      <c r="D1193" t="s">
        <v>11077</v>
      </c>
      <c r="E1193" t="s">
        <v>11078</v>
      </c>
      <c r="F1193" t="s">
        <v>11077</v>
      </c>
      <c r="G1193" s="1">
        <v>813.18</v>
      </c>
      <c r="H1193" s="2">
        <v>15807.46</v>
      </c>
      <c r="I1193" s="2">
        <v>16296.19</v>
      </c>
      <c r="J1193" s="2">
        <v>0</v>
      </c>
      <c r="K1193" s="2">
        <v>0</v>
      </c>
      <c r="L1193" s="2">
        <v>16296.19</v>
      </c>
      <c r="M1193" s="3"/>
      <c r="N1193" s="4">
        <v>3.7079999999999997E-5</v>
      </c>
      <c r="O1193" s="5" t="s">
        <v>44</v>
      </c>
      <c r="P1193" s="5" t="s">
        <v>44</v>
      </c>
      <c r="Q1193" s="1"/>
      <c r="R1193" s="2">
        <v>0.08</v>
      </c>
      <c r="S1193" s="6"/>
      <c r="T1193" t="s">
        <v>45</v>
      </c>
      <c r="U1193" t="s">
        <v>53</v>
      </c>
      <c r="V1193" t="s">
        <v>44</v>
      </c>
      <c r="W1193" t="s">
        <v>481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s="4"/>
      <c r="AD1193" s="4"/>
      <c r="AE1193" s="2">
        <v>0</v>
      </c>
      <c r="AF1193" s="4">
        <v>0</v>
      </c>
      <c r="AG1193" s="2">
        <v>0.01</v>
      </c>
      <c r="AH1193" s="2">
        <v>16296.19</v>
      </c>
      <c r="AI1193" s="2">
        <v>0</v>
      </c>
      <c r="AJ1193" s="5">
        <v>44673</v>
      </c>
      <c r="AK1193" t="s">
        <v>12074</v>
      </c>
      <c r="AL1193" s="2">
        <v>0</v>
      </c>
      <c r="AM1193" s="2">
        <v>0</v>
      </c>
      <c r="AN1193" s="2">
        <v>0</v>
      </c>
      <c r="AO1193" t="s">
        <v>44</v>
      </c>
      <c r="AP1193" t="s">
        <v>44</v>
      </c>
      <c r="AQ1193" t="s">
        <v>481</v>
      </c>
    </row>
    <row r="1194" spans="1:43" x14ac:dyDescent="0.2">
      <c r="A1194" t="s">
        <v>12071</v>
      </c>
      <c r="B1194" t="s">
        <v>45</v>
      </c>
      <c r="C1194" t="s">
        <v>47</v>
      </c>
      <c r="D1194" t="s">
        <v>11257</v>
      </c>
      <c r="E1194" t="s">
        <v>11258</v>
      </c>
      <c r="F1194" t="s">
        <v>11257</v>
      </c>
      <c r="G1194" s="1">
        <v>4482.0600000000004</v>
      </c>
      <c r="H1194" s="2">
        <v>75840.11</v>
      </c>
      <c r="I1194" s="2">
        <v>75392.09</v>
      </c>
      <c r="J1194" s="2">
        <v>0</v>
      </c>
      <c r="K1194" s="2">
        <v>0</v>
      </c>
      <c r="L1194" s="2">
        <v>75392.09</v>
      </c>
      <c r="M1194" s="3"/>
      <c r="N1194" s="4">
        <v>1.7153000000000001E-4</v>
      </c>
      <c r="O1194" s="5" t="s">
        <v>44</v>
      </c>
      <c r="P1194" s="5" t="s">
        <v>44</v>
      </c>
      <c r="Q1194" s="1"/>
      <c r="R1194" s="2">
        <v>0.08</v>
      </c>
      <c r="S1194" s="6"/>
      <c r="T1194" t="s">
        <v>45</v>
      </c>
      <c r="U1194" t="s">
        <v>53</v>
      </c>
      <c r="V1194" t="s">
        <v>44</v>
      </c>
      <c r="W1194" t="s">
        <v>528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s="4"/>
      <c r="AD1194" s="4"/>
      <c r="AE1194" s="2">
        <v>0</v>
      </c>
      <c r="AF1194" s="4">
        <v>0</v>
      </c>
      <c r="AG1194" s="2">
        <v>0.05</v>
      </c>
      <c r="AH1194" s="2">
        <v>75392.09</v>
      </c>
      <c r="AI1194" s="2">
        <v>0</v>
      </c>
      <c r="AJ1194" s="5">
        <v>44673</v>
      </c>
      <c r="AK1194" t="s">
        <v>12074</v>
      </c>
      <c r="AL1194" s="2">
        <v>0</v>
      </c>
      <c r="AM1194" s="2">
        <v>0</v>
      </c>
      <c r="AN1194" s="2">
        <v>0</v>
      </c>
      <c r="AO1194" t="s">
        <v>44</v>
      </c>
      <c r="AP1194" t="s">
        <v>44</v>
      </c>
      <c r="AQ1194" t="s">
        <v>528</v>
      </c>
    </row>
    <row r="1195" spans="1:43" x14ac:dyDescent="0.2">
      <c r="A1195" t="s">
        <v>12071</v>
      </c>
      <c r="B1195" t="s">
        <v>45</v>
      </c>
      <c r="C1195" t="s">
        <v>47</v>
      </c>
      <c r="D1195" t="s">
        <v>51</v>
      </c>
      <c r="E1195" t="s">
        <v>52</v>
      </c>
      <c r="F1195" t="s">
        <v>51</v>
      </c>
      <c r="G1195" s="1">
        <v>1072027.69</v>
      </c>
      <c r="H1195" s="2">
        <v>1072027.7</v>
      </c>
      <c r="I1195" s="2">
        <v>1072027.69</v>
      </c>
      <c r="J1195" s="2">
        <v>0</v>
      </c>
      <c r="K1195" s="2">
        <v>0</v>
      </c>
      <c r="L1195" s="2">
        <v>1072027.69</v>
      </c>
      <c r="M1195" s="3"/>
      <c r="N1195" s="4">
        <v>2.4389799999999999E-3</v>
      </c>
      <c r="O1195" s="5" t="s">
        <v>44</v>
      </c>
      <c r="P1195" s="5" t="s">
        <v>44</v>
      </c>
      <c r="Q1195" s="1"/>
      <c r="R1195" s="2">
        <v>0.08</v>
      </c>
      <c r="S1195" s="6"/>
      <c r="T1195" t="s">
        <v>45</v>
      </c>
      <c r="U1195" t="s">
        <v>53</v>
      </c>
      <c r="V1195" t="s">
        <v>44</v>
      </c>
      <c r="W1195" t="s">
        <v>43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s="4">
        <v>5.1163389600000002</v>
      </c>
      <c r="AD1195" s="4">
        <v>5.0001424999999999</v>
      </c>
      <c r="AE1195" s="2">
        <v>5.12</v>
      </c>
      <c r="AF1195" s="4">
        <v>5.0001424999999999</v>
      </c>
      <c r="AG1195" s="2">
        <v>0.7</v>
      </c>
      <c r="AH1195" s="2">
        <v>1072027.69</v>
      </c>
      <c r="AI1195" s="2">
        <v>0</v>
      </c>
      <c r="AJ1195" s="5">
        <v>44673</v>
      </c>
      <c r="AK1195" t="s">
        <v>12074</v>
      </c>
      <c r="AL1195" s="2">
        <v>5.05</v>
      </c>
      <c r="AM1195" s="2">
        <v>0</v>
      </c>
      <c r="AN1195" s="2">
        <v>0</v>
      </c>
      <c r="AO1195" t="s">
        <v>44</v>
      </c>
      <c r="AP1195" t="s">
        <v>44</v>
      </c>
      <c r="AQ1195" t="s">
        <v>43</v>
      </c>
    </row>
    <row r="1196" spans="1:43" x14ac:dyDescent="0.2">
      <c r="A1196" t="s">
        <v>12071</v>
      </c>
      <c r="B1196" t="s">
        <v>45</v>
      </c>
      <c r="C1196" t="s">
        <v>47</v>
      </c>
      <c r="D1196" t="s">
        <v>11045</v>
      </c>
      <c r="E1196" t="s">
        <v>11046</v>
      </c>
      <c r="F1196" t="s">
        <v>11045</v>
      </c>
      <c r="G1196" s="1">
        <v>1049927.67</v>
      </c>
      <c r="H1196" s="2">
        <v>16380220.470000001</v>
      </c>
      <c r="I1196" s="2">
        <v>16393593.1</v>
      </c>
      <c r="J1196" s="2">
        <v>0</v>
      </c>
      <c r="K1196" s="2">
        <v>0</v>
      </c>
      <c r="L1196" s="2">
        <v>16393593.1</v>
      </c>
      <c r="M1196" s="3">
        <v>1</v>
      </c>
      <c r="N1196" s="4">
        <v>3.7297190000000001E-2</v>
      </c>
      <c r="O1196" s="5" t="s">
        <v>44</v>
      </c>
      <c r="P1196" s="5" t="s">
        <v>44</v>
      </c>
      <c r="Q1196" s="1"/>
      <c r="R1196" s="2">
        <v>0.08</v>
      </c>
      <c r="S1196" s="6"/>
      <c r="T1196" t="s">
        <v>45</v>
      </c>
      <c r="U1196" t="s">
        <v>53</v>
      </c>
      <c r="V1196" t="s">
        <v>44</v>
      </c>
      <c r="W1196" t="s">
        <v>113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s="4"/>
      <c r="AD1196" s="4"/>
      <c r="AE1196" s="2">
        <v>0</v>
      </c>
      <c r="AF1196" s="4">
        <v>0</v>
      </c>
      <c r="AG1196" s="2">
        <v>10.65</v>
      </c>
      <c r="AH1196" s="2">
        <v>16393593.1</v>
      </c>
      <c r="AI1196" s="2">
        <v>0.04</v>
      </c>
      <c r="AJ1196" s="5">
        <v>44673</v>
      </c>
      <c r="AK1196" t="s">
        <v>12074</v>
      </c>
      <c r="AL1196" s="2">
        <v>0</v>
      </c>
      <c r="AM1196" s="2">
        <v>0</v>
      </c>
      <c r="AN1196" s="2">
        <v>0</v>
      </c>
      <c r="AO1196" t="s">
        <v>44</v>
      </c>
      <c r="AP1196" t="s">
        <v>44</v>
      </c>
      <c r="AQ1196" t="s">
        <v>113</v>
      </c>
    </row>
    <row r="1197" spans="1:43" x14ac:dyDescent="0.2">
      <c r="A1197" t="s">
        <v>12071</v>
      </c>
      <c r="B1197" t="s">
        <v>45</v>
      </c>
      <c r="C1197" t="s">
        <v>11005</v>
      </c>
      <c r="D1197" t="s">
        <v>11149</v>
      </c>
      <c r="E1197" t="s">
        <v>11150</v>
      </c>
      <c r="F1197" t="s">
        <v>44</v>
      </c>
      <c r="G1197" s="1">
        <v>-25156517.829999998</v>
      </c>
      <c r="H1197" s="2">
        <v>-25156517.829999998</v>
      </c>
      <c r="I1197" s="2">
        <v>-25156517.829999998</v>
      </c>
      <c r="J1197" s="2">
        <v>0</v>
      </c>
      <c r="K1197" s="2"/>
      <c r="L1197" s="2">
        <v>-25156517.829999998</v>
      </c>
      <c r="M1197" s="3"/>
      <c r="N1197" s="4">
        <v>-5.723379E-2</v>
      </c>
      <c r="O1197" s="5" t="s">
        <v>44</v>
      </c>
      <c r="P1197" s="5">
        <v>73051</v>
      </c>
      <c r="Q1197" s="1">
        <v>0</v>
      </c>
      <c r="R1197" s="2">
        <v>0.08</v>
      </c>
      <c r="S1197" s="6"/>
      <c r="T1197" t="s">
        <v>45</v>
      </c>
      <c r="U1197" t="s">
        <v>44</v>
      </c>
      <c r="V1197" t="s">
        <v>44</v>
      </c>
      <c r="W1197" t="s">
        <v>43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s="4">
        <v>5.1163389600000002</v>
      </c>
      <c r="AD1197" s="4">
        <v>5.0001424999999999</v>
      </c>
      <c r="AE1197" s="2">
        <v>5.12</v>
      </c>
      <c r="AF1197" s="4">
        <v>5.0001424999999999</v>
      </c>
      <c r="AG1197" s="2">
        <v>-16.34</v>
      </c>
      <c r="AH1197" s="2">
        <v>-25156517.829999998</v>
      </c>
      <c r="AI1197" s="2">
        <v>-0.06</v>
      </c>
      <c r="AJ1197" s="5">
        <v>44673</v>
      </c>
      <c r="AK1197" t="s">
        <v>12074</v>
      </c>
      <c r="AL1197" s="2">
        <v>5.05</v>
      </c>
      <c r="AM1197" s="2">
        <v>0</v>
      </c>
      <c r="AN1197" s="2">
        <v>0</v>
      </c>
      <c r="AO1197" t="s">
        <v>44</v>
      </c>
      <c r="AP1197" t="s">
        <v>44</v>
      </c>
      <c r="AQ1197" t="s">
        <v>44</v>
      </c>
    </row>
    <row r="1198" spans="1:43" x14ac:dyDescent="0.2">
      <c r="A1198" t="s">
        <v>12071</v>
      </c>
      <c r="B1198" t="s">
        <v>11024</v>
      </c>
      <c r="C1198" t="s">
        <v>62</v>
      </c>
      <c r="D1198" t="s">
        <v>12075</v>
      </c>
      <c r="E1198" t="s">
        <v>12075</v>
      </c>
      <c r="F1198" t="s">
        <v>12075</v>
      </c>
      <c r="G1198" s="1">
        <v>-62893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3">
        <v>15.7087</v>
      </c>
      <c r="N1198" s="4">
        <v>0</v>
      </c>
      <c r="O1198" s="5" t="s">
        <v>44</v>
      </c>
      <c r="P1198" s="5">
        <v>44725</v>
      </c>
      <c r="Q1198" s="1"/>
      <c r="R1198" s="2"/>
      <c r="S1198" s="6"/>
      <c r="T1198" t="s">
        <v>11026</v>
      </c>
      <c r="U1198" t="s">
        <v>11025</v>
      </c>
      <c r="V1198" t="s">
        <v>12076</v>
      </c>
      <c r="W1198" t="s">
        <v>43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s="4"/>
      <c r="AD1198" s="4"/>
      <c r="AE1198" s="2">
        <v>0</v>
      </c>
      <c r="AF1198" s="4">
        <v>0</v>
      </c>
      <c r="AG1198" s="2">
        <v>0</v>
      </c>
      <c r="AH1198" s="2">
        <v>-987967269.10000002</v>
      </c>
      <c r="AI1198" s="2">
        <v>-2.25</v>
      </c>
      <c r="AJ1198" s="5">
        <v>44673</v>
      </c>
      <c r="AK1198" t="s">
        <v>12074</v>
      </c>
      <c r="AL1198" s="2">
        <v>0</v>
      </c>
      <c r="AM1198" s="2">
        <v>0</v>
      </c>
      <c r="AN1198" s="2">
        <v>0</v>
      </c>
      <c r="AO1198" t="s">
        <v>44</v>
      </c>
      <c r="AP1198" t="s">
        <v>44</v>
      </c>
      <c r="AQ1198" t="s">
        <v>12075</v>
      </c>
    </row>
    <row r="1199" spans="1:43" x14ac:dyDescent="0.2">
      <c r="A1199" t="s">
        <v>12071</v>
      </c>
      <c r="B1199" t="s">
        <v>11024</v>
      </c>
      <c r="C1199" t="s">
        <v>62</v>
      </c>
      <c r="D1199" t="s">
        <v>12077</v>
      </c>
      <c r="E1199" t="s">
        <v>12077</v>
      </c>
      <c r="F1199" t="s">
        <v>12077</v>
      </c>
      <c r="G1199" s="1">
        <v>-22090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3">
        <v>16.098099999999999</v>
      </c>
      <c r="N1199" s="4">
        <v>0</v>
      </c>
      <c r="O1199" s="5" t="s">
        <v>44</v>
      </c>
      <c r="P1199" s="5">
        <v>44725</v>
      </c>
      <c r="Q1199" s="1"/>
      <c r="R1199" s="2"/>
      <c r="S1199" s="6"/>
      <c r="T1199" t="s">
        <v>11153</v>
      </c>
      <c r="U1199" t="s">
        <v>11025</v>
      </c>
      <c r="V1199" t="s">
        <v>12078</v>
      </c>
      <c r="W1199" t="s">
        <v>43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s="4"/>
      <c r="AD1199" s="4"/>
      <c r="AE1199" s="2">
        <v>0</v>
      </c>
      <c r="AF1199" s="4">
        <v>0</v>
      </c>
      <c r="AG1199" s="2">
        <v>0</v>
      </c>
      <c r="AH1199" s="2">
        <v>17044560.530000001</v>
      </c>
      <c r="AI1199" s="2">
        <v>0.04</v>
      </c>
      <c r="AJ1199" s="5">
        <v>44673</v>
      </c>
      <c r="AK1199" t="s">
        <v>12074</v>
      </c>
      <c r="AL1199" s="2">
        <v>0</v>
      </c>
      <c r="AM1199" s="2">
        <v>0</v>
      </c>
      <c r="AN1199" s="2">
        <v>0</v>
      </c>
      <c r="AO1199" t="s">
        <v>44</v>
      </c>
      <c r="AP1199" t="s">
        <v>12079</v>
      </c>
      <c r="AQ1199" t="s">
        <v>12077</v>
      </c>
    </row>
    <row r="1200" spans="1:43" x14ac:dyDescent="0.2">
      <c r="A1200" t="s">
        <v>12071</v>
      </c>
      <c r="B1200" t="s">
        <v>11024</v>
      </c>
      <c r="C1200" t="s">
        <v>62</v>
      </c>
      <c r="D1200" t="s">
        <v>12080</v>
      </c>
      <c r="E1200" t="s">
        <v>12080</v>
      </c>
      <c r="F1200" t="s">
        <v>12080</v>
      </c>
      <c r="G1200" s="1">
        <v>22090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3">
        <v>234.3724</v>
      </c>
      <c r="N1200" s="4">
        <v>0</v>
      </c>
      <c r="O1200" s="5" t="s">
        <v>44</v>
      </c>
      <c r="P1200" s="5">
        <v>44725</v>
      </c>
      <c r="Q1200" s="1"/>
      <c r="R1200" s="2"/>
      <c r="S1200" s="6"/>
      <c r="T1200" t="s">
        <v>11153</v>
      </c>
      <c r="U1200" t="s">
        <v>11025</v>
      </c>
      <c r="V1200" t="s">
        <v>12078</v>
      </c>
      <c r="W1200" t="s">
        <v>43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s="4"/>
      <c r="AD1200" s="4"/>
      <c r="AE1200" s="2">
        <v>0</v>
      </c>
      <c r="AF1200" s="4">
        <v>0</v>
      </c>
      <c r="AG1200" s="2">
        <v>0</v>
      </c>
      <c r="AH1200" s="2">
        <v>-135240561.75999999</v>
      </c>
      <c r="AI1200" s="2">
        <v>-0.31</v>
      </c>
      <c r="AJ1200" s="5">
        <v>44673</v>
      </c>
      <c r="AK1200" t="s">
        <v>12074</v>
      </c>
      <c r="AL1200" s="2">
        <v>0</v>
      </c>
      <c r="AM1200" s="2">
        <v>0</v>
      </c>
      <c r="AN1200" s="2">
        <v>0</v>
      </c>
      <c r="AO1200" t="s">
        <v>44</v>
      </c>
      <c r="AP1200" t="s">
        <v>12081</v>
      </c>
      <c r="AQ1200" t="s">
        <v>12080</v>
      </c>
    </row>
    <row r="1201" spans="1:43" x14ac:dyDescent="0.2">
      <c r="A1201" t="s">
        <v>12071</v>
      </c>
      <c r="B1201" t="s">
        <v>11024</v>
      </c>
      <c r="C1201" t="s">
        <v>62</v>
      </c>
      <c r="D1201" t="s">
        <v>12082</v>
      </c>
      <c r="E1201" t="s">
        <v>12082</v>
      </c>
      <c r="F1201" t="s">
        <v>12082</v>
      </c>
      <c r="G1201" s="1">
        <v>-22090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3">
        <v>10.664300000000001</v>
      </c>
      <c r="N1201" s="4">
        <v>0</v>
      </c>
      <c r="O1201" s="5" t="s">
        <v>44</v>
      </c>
      <c r="P1201" s="5">
        <v>44725</v>
      </c>
      <c r="Q1201" s="1"/>
      <c r="R1201" s="2"/>
      <c r="S1201" s="6"/>
      <c r="T1201" t="s">
        <v>11153</v>
      </c>
      <c r="U1201" t="s">
        <v>11025</v>
      </c>
      <c r="V1201" t="s">
        <v>12078</v>
      </c>
      <c r="W1201" t="s">
        <v>43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s="4"/>
      <c r="AD1201" s="4"/>
      <c r="AE1201" s="2">
        <v>0</v>
      </c>
      <c r="AF1201" s="4">
        <v>0</v>
      </c>
      <c r="AG1201" s="2">
        <v>0</v>
      </c>
      <c r="AH1201" s="2">
        <v>-9171292.3499999996</v>
      </c>
      <c r="AI1201" s="2">
        <v>-0.02</v>
      </c>
      <c r="AJ1201" s="5">
        <v>44673</v>
      </c>
      <c r="AK1201" t="s">
        <v>12074</v>
      </c>
      <c r="AL1201" s="2">
        <v>0</v>
      </c>
      <c r="AM1201" s="2">
        <v>0</v>
      </c>
      <c r="AN1201" s="2">
        <v>0</v>
      </c>
      <c r="AO1201" t="s">
        <v>44</v>
      </c>
      <c r="AP1201" t="s">
        <v>12083</v>
      </c>
      <c r="AQ1201" t="s">
        <v>12082</v>
      </c>
    </row>
    <row r="1202" spans="1:43" x14ac:dyDescent="0.2">
      <c r="A1202" t="s">
        <v>12071</v>
      </c>
      <c r="B1202" t="s">
        <v>11024</v>
      </c>
      <c r="C1202" t="s">
        <v>57</v>
      </c>
      <c r="D1202" t="s">
        <v>11754</v>
      </c>
      <c r="E1202" t="s">
        <v>11754</v>
      </c>
      <c r="F1202" t="s">
        <v>11754</v>
      </c>
      <c r="G1202" s="1">
        <v>3143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3">
        <v>20012</v>
      </c>
      <c r="N1202" s="4">
        <v>0</v>
      </c>
      <c r="O1202" s="5" t="s">
        <v>44</v>
      </c>
      <c r="P1202" s="5">
        <v>44727</v>
      </c>
      <c r="Q1202" s="1"/>
      <c r="R1202" s="2"/>
      <c r="S1202" s="6"/>
      <c r="T1202" t="s">
        <v>11026</v>
      </c>
      <c r="U1202" t="s">
        <v>11025</v>
      </c>
      <c r="V1202" t="s">
        <v>11027</v>
      </c>
      <c r="W1202" t="s">
        <v>43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s="4"/>
      <c r="AD1202" s="4"/>
      <c r="AE1202" s="2">
        <v>0</v>
      </c>
      <c r="AF1202" s="4">
        <v>0</v>
      </c>
      <c r="AG1202" s="2">
        <v>0</v>
      </c>
      <c r="AH1202" s="2">
        <v>628977160</v>
      </c>
      <c r="AI1202" s="2">
        <v>1.43</v>
      </c>
      <c r="AJ1202" s="5">
        <v>44673</v>
      </c>
      <c r="AK1202" t="s">
        <v>12074</v>
      </c>
      <c r="AL1202" s="2">
        <v>0</v>
      </c>
      <c r="AM1202" s="2">
        <v>0</v>
      </c>
      <c r="AN1202" s="2">
        <v>0</v>
      </c>
      <c r="AO1202" t="s">
        <v>44</v>
      </c>
      <c r="AP1202" t="s">
        <v>11755</v>
      </c>
      <c r="AQ1202" t="s">
        <v>11754</v>
      </c>
    </row>
    <row r="1203" spans="1:43" x14ac:dyDescent="0.2">
      <c r="A1203" t="s">
        <v>12071</v>
      </c>
      <c r="B1203" t="s">
        <v>11024</v>
      </c>
      <c r="C1203" t="s">
        <v>57</v>
      </c>
      <c r="D1203" t="s">
        <v>11756</v>
      </c>
      <c r="E1203" t="s">
        <v>11756</v>
      </c>
      <c r="F1203" t="s">
        <v>11756</v>
      </c>
      <c r="G1203" s="1">
        <v>626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3">
        <v>29067</v>
      </c>
      <c r="N1203" s="4">
        <v>0</v>
      </c>
      <c r="O1203" s="5" t="s">
        <v>44</v>
      </c>
      <c r="P1203" s="5">
        <v>44727</v>
      </c>
      <c r="Q1203" s="1"/>
      <c r="R1203" s="2"/>
      <c r="S1203" s="6"/>
      <c r="T1203" t="s">
        <v>11026</v>
      </c>
      <c r="U1203" t="s">
        <v>11025</v>
      </c>
      <c r="V1203" t="s">
        <v>11027</v>
      </c>
      <c r="W1203" t="s">
        <v>43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s="4"/>
      <c r="AD1203" s="4"/>
      <c r="AE1203" s="2">
        <v>0</v>
      </c>
      <c r="AF1203" s="4">
        <v>0</v>
      </c>
      <c r="AG1203" s="2">
        <v>0</v>
      </c>
      <c r="AH1203" s="2">
        <v>181959420</v>
      </c>
      <c r="AI1203" s="2">
        <v>0.41</v>
      </c>
      <c r="AJ1203" s="5">
        <v>44673</v>
      </c>
      <c r="AK1203" t="s">
        <v>12074</v>
      </c>
      <c r="AL1203" s="2">
        <v>0</v>
      </c>
      <c r="AM1203" s="2">
        <v>0</v>
      </c>
      <c r="AN1203" s="2">
        <v>0</v>
      </c>
      <c r="AO1203" t="s">
        <v>44</v>
      </c>
      <c r="AP1203" t="s">
        <v>11757</v>
      </c>
      <c r="AQ1203" t="s">
        <v>11756</v>
      </c>
    </row>
    <row r="1204" spans="1:43" x14ac:dyDescent="0.2">
      <c r="A1204" t="s">
        <v>12071</v>
      </c>
      <c r="B1204" t="s">
        <v>11030</v>
      </c>
      <c r="C1204" t="s">
        <v>11030</v>
      </c>
      <c r="D1204" t="s">
        <v>12084</v>
      </c>
      <c r="E1204" t="s">
        <v>12075</v>
      </c>
      <c r="F1204" t="s">
        <v>12084</v>
      </c>
      <c r="G1204" s="1">
        <v>-62893</v>
      </c>
      <c r="H1204" s="2"/>
      <c r="I1204" s="2">
        <v>0</v>
      </c>
      <c r="J1204" s="2"/>
      <c r="K1204" s="2"/>
      <c r="L1204" s="2">
        <v>0</v>
      </c>
      <c r="M1204" s="3"/>
      <c r="N1204" s="4">
        <v>0</v>
      </c>
      <c r="O1204" s="5" t="s">
        <v>44</v>
      </c>
      <c r="P1204" s="5" t="s">
        <v>44</v>
      </c>
      <c r="Q1204" s="1"/>
      <c r="R1204" s="2"/>
      <c r="S1204" s="6"/>
      <c r="T1204" t="s">
        <v>11031</v>
      </c>
      <c r="U1204" t="s">
        <v>11032</v>
      </c>
      <c r="V1204" t="s">
        <v>45</v>
      </c>
      <c r="W1204" t="s">
        <v>43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s="4"/>
      <c r="AD1204" s="4"/>
      <c r="AE1204" s="2">
        <v>0</v>
      </c>
      <c r="AF1204" s="4">
        <v>0</v>
      </c>
      <c r="AG1204" s="2">
        <v>0</v>
      </c>
      <c r="AH1204" s="2">
        <v>987967269.10000002</v>
      </c>
      <c r="AI1204" s="2">
        <v>2.25</v>
      </c>
      <c r="AJ1204" s="5">
        <v>44673</v>
      </c>
      <c r="AK1204" t="s">
        <v>12074</v>
      </c>
      <c r="AL1204" s="2">
        <v>0</v>
      </c>
      <c r="AM1204" s="2">
        <v>0</v>
      </c>
      <c r="AN1204" s="2">
        <v>0</v>
      </c>
      <c r="AO1204" t="s">
        <v>44</v>
      </c>
      <c r="AP1204" t="s">
        <v>44</v>
      </c>
      <c r="AQ1204" t="s">
        <v>11182</v>
      </c>
    </row>
    <row r="1205" spans="1:43" x14ac:dyDescent="0.2">
      <c r="A1205" t="s">
        <v>12071</v>
      </c>
      <c r="B1205" t="s">
        <v>11030</v>
      </c>
      <c r="C1205" t="s">
        <v>11030</v>
      </c>
      <c r="D1205" t="s">
        <v>12085</v>
      </c>
      <c r="E1205" t="s">
        <v>12077</v>
      </c>
      <c r="F1205" t="s">
        <v>12085</v>
      </c>
      <c r="G1205" s="1">
        <v>-22090</v>
      </c>
      <c r="H1205" s="2"/>
      <c r="I1205" s="2">
        <v>0</v>
      </c>
      <c r="J1205" s="2"/>
      <c r="K1205" s="2"/>
      <c r="L1205" s="2">
        <v>0</v>
      </c>
      <c r="M1205" s="3"/>
      <c r="N1205" s="4">
        <v>0</v>
      </c>
      <c r="O1205" s="5" t="s">
        <v>44</v>
      </c>
      <c r="P1205" s="5" t="s">
        <v>44</v>
      </c>
      <c r="Q1205" s="1"/>
      <c r="R1205" s="2"/>
      <c r="S1205" s="6"/>
      <c r="T1205" t="s">
        <v>11031</v>
      </c>
      <c r="U1205" t="s">
        <v>11183</v>
      </c>
      <c r="V1205" t="s">
        <v>45</v>
      </c>
      <c r="W1205" t="s">
        <v>43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s="4"/>
      <c r="AD1205" s="4"/>
      <c r="AE1205" s="2">
        <v>0</v>
      </c>
      <c r="AF1205" s="4">
        <v>0</v>
      </c>
      <c r="AG1205" s="2">
        <v>0</v>
      </c>
      <c r="AH1205" s="2">
        <v>-17044560.530000001</v>
      </c>
      <c r="AI1205" s="2">
        <v>-0.04</v>
      </c>
      <c r="AJ1205" s="5">
        <v>44673</v>
      </c>
      <c r="AK1205" t="s">
        <v>12074</v>
      </c>
      <c r="AL1205" s="2">
        <v>0</v>
      </c>
      <c r="AM1205" s="2">
        <v>0</v>
      </c>
      <c r="AN1205" s="2">
        <v>0</v>
      </c>
      <c r="AO1205" t="s">
        <v>44</v>
      </c>
      <c r="AP1205" t="s">
        <v>44</v>
      </c>
      <c r="AQ1205" t="s">
        <v>11182</v>
      </c>
    </row>
    <row r="1206" spans="1:43" x14ac:dyDescent="0.2">
      <c r="A1206" t="s">
        <v>12071</v>
      </c>
      <c r="B1206" t="s">
        <v>11030</v>
      </c>
      <c r="C1206" t="s">
        <v>11030</v>
      </c>
      <c r="D1206" t="s">
        <v>12086</v>
      </c>
      <c r="E1206" t="s">
        <v>12080</v>
      </c>
      <c r="F1206" t="s">
        <v>12086</v>
      </c>
      <c r="G1206" s="1">
        <v>22090</v>
      </c>
      <c r="H1206" s="2"/>
      <c r="I1206" s="2">
        <v>0</v>
      </c>
      <c r="J1206" s="2"/>
      <c r="K1206" s="2"/>
      <c r="L1206" s="2">
        <v>0</v>
      </c>
      <c r="M1206" s="3"/>
      <c r="N1206" s="4">
        <v>0</v>
      </c>
      <c r="O1206" s="5" t="s">
        <v>44</v>
      </c>
      <c r="P1206" s="5" t="s">
        <v>44</v>
      </c>
      <c r="Q1206" s="1"/>
      <c r="R1206" s="2"/>
      <c r="S1206" s="6"/>
      <c r="T1206" t="s">
        <v>11031</v>
      </c>
      <c r="U1206" t="s">
        <v>11183</v>
      </c>
      <c r="V1206" t="s">
        <v>45</v>
      </c>
      <c r="W1206" t="s">
        <v>43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s="4"/>
      <c r="AD1206" s="4"/>
      <c r="AE1206" s="2">
        <v>0</v>
      </c>
      <c r="AF1206" s="4">
        <v>0</v>
      </c>
      <c r="AG1206" s="2">
        <v>0</v>
      </c>
      <c r="AH1206" s="2">
        <v>135240561.75999999</v>
      </c>
      <c r="AI1206" s="2">
        <v>0.31</v>
      </c>
      <c r="AJ1206" s="5">
        <v>44673</v>
      </c>
      <c r="AK1206" t="s">
        <v>12074</v>
      </c>
      <c r="AL1206" s="2">
        <v>0</v>
      </c>
      <c r="AM1206" s="2">
        <v>0</v>
      </c>
      <c r="AN1206" s="2">
        <v>0</v>
      </c>
      <c r="AO1206" t="s">
        <v>44</v>
      </c>
      <c r="AP1206" t="s">
        <v>44</v>
      </c>
      <c r="AQ1206" t="s">
        <v>11182</v>
      </c>
    </row>
    <row r="1207" spans="1:43" x14ac:dyDescent="0.2">
      <c r="A1207" t="s">
        <v>12071</v>
      </c>
      <c r="B1207" t="s">
        <v>11030</v>
      </c>
      <c r="C1207" t="s">
        <v>11030</v>
      </c>
      <c r="D1207" t="s">
        <v>12087</v>
      </c>
      <c r="E1207" t="s">
        <v>12082</v>
      </c>
      <c r="F1207" t="s">
        <v>12087</v>
      </c>
      <c r="G1207" s="1">
        <v>-22090</v>
      </c>
      <c r="H1207" s="2"/>
      <c r="I1207" s="2">
        <v>0</v>
      </c>
      <c r="J1207" s="2"/>
      <c r="K1207" s="2"/>
      <c r="L1207" s="2">
        <v>0</v>
      </c>
      <c r="M1207" s="3"/>
      <c r="N1207" s="4">
        <v>0</v>
      </c>
      <c r="O1207" s="5" t="s">
        <v>44</v>
      </c>
      <c r="P1207" s="5" t="s">
        <v>44</v>
      </c>
      <c r="Q1207" s="1"/>
      <c r="R1207" s="2"/>
      <c r="S1207" s="6"/>
      <c r="T1207" t="s">
        <v>11031</v>
      </c>
      <c r="U1207" t="s">
        <v>11183</v>
      </c>
      <c r="V1207" t="s">
        <v>45</v>
      </c>
      <c r="W1207" t="s">
        <v>43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s="4"/>
      <c r="AD1207" s="4"/>
      <c r="AE1207" s="2">
        <v>0</v>
      </c>
      <c r="AF1207" s="4">
        <v>0</v>
      </c>
      <c r="AG1207" s="2">
        <v>0</v>
      </c>
      <c r="AH1207" s="2">
        <v>9171292.3499999996</v>
      </c>
      <c r="AI1207" s="2">
        <v>0.02</v>
      </c>
      <c r="AJ1207" s="5">
        <v>44673</v>
      </c>
      <c r="AK1207" t="s">
        <v>12074</v>
      </c>
      <c r="AL1207" s="2">
        <v>0</v>
      </c>
      <c r="AM1207" s="2">
        <v>0</v>
      </c>
      <c r="AN1207" s="2">
        <v>0</v>
      </c>
      <c r="AO1207" t="s">
        <v>44</v>
      </c>
      <c r="AP1207" t="s">
        <v>44</v>
      </c>
      <c r="AQ1207" t="s">
        <v>11182</v>
      </c>
    </row>
    <row r="1208" spans="1:43" x14ac:dyDescent="0.2">
      <c r="A1208" t="s">
        <v>12071</v>
      </c>
      <c r="B1208" t="s">
        <v>11030</v>
      </c>
      <c r="C1208" t="s">
        <v>11030</v>
      </c>
      <c r="D1208" t="s">
        <v>11775</v>
      </c>
      <c r="E1208" t="s">
        <v>11754</v>
      </c>
      <c r="F1208" t="s">
        <v>11775</v>
      </c>
      <c r="G1208" s="1">
        <v>3143</v>
      </c>
      <c r="H1208" s="2"/>
      <c r="I1208" s="2">
        <v>0</v>
      </c>
      <c r="J1208" s="2"/>
      <c r="K1208" s="2"/>
      <c r="L1208" s="2">
        <v>0</v>
      </c>
      <c r="M1208" s="3"/>
      <c r="N1208" s="4">
        <v>0</v>
      </c>
      <c r="O1208" s="5" t="s">
        <v>44</v>
      </c>
      <c r="P1208" s="5" t="s">
        <v>44</v>
      </c>
      <c r="Q1208" s="1"/>
      <c r="R1208" s="2"/>
      <c r="S1208" s="6"/>
      <c r="T1208" t="s">
        <v>11031</v>
      </c>
      <c r="U1208" t="s">
        <v>11032</v>
      </c>
      <c r="V1208" t="s">
        <v>45</v>
      </c>
      <c r="W1208" t="s">
        <v>43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s="4"/>
      <c r="AD1208" s="4"/>
      <c r="AE1208" s="2">
        <v>0</v>
      </c>
      <c r="AF1208" s="4">
        <v>0</v>
      </c>
      <c r="AG1208" s="2">
        <v>0</v>
      </c>
      <c r="AH1208" s="2">
        <v>-628977160</v>
      </c>
      <c r="AI1208" s="2">
        <v>-1.43</v>
      </c>
      <c r="AJ1208" s="5">
        <v>44673</v>
      </c>
      <c r="AK1208" t="s">
        <v>12074</v>
      </c>
      <c r="AL1208" s="2">
        <v>0</v>
      </c>
      <c r="AM1208" s="2">
        <v>0</v>
      </c>
      <c r="AN1208" s="2">
        <v>0</v>
      </c>
      <c r="AO1208" t="s">
        <v>44</v>
      </c>
      <c r="AP1208" t="s">
        <v>44</v>
      </c>
      <c r="AQ1208" t="s">
        <v>11182</v>
      </c>
    </row>
    <row r="1209" spans="1:43" x14ac:dyDescent="0.2">
      <c r="A1209" t="s">
        <v>12071</v>
      </c>
      <c r="B1209" t="s">
        <v>11030</v>
      </c>
      <c r="C1209" t="s">
        <v>11030</v>
      </c>
      <c r="D1209" t="s">
        <v>11776</v>
      </c>
      <c r="E1209" t="s">
        <v>11756</v>
      </c>
      <c r="F1209" t="s">
        <v>11776</v>
      </c>
      <c r="G1209" s="1">
        <v>626</v>
      </c>
      <c r="H1209" s="2"/>
      <c r="I1209" s="2">
        <v>0</v>
      </c>
      <c r="J1209" s="2"/>
      <c r="K1209" s="2"/>
      <c r="L1209" s="2">
        <v>0</v>
      </c>
      <c r="M1209" s="3"/>
      <c r="N1209" s="4">
        <v>0</v>
      </c>
      <c r="O1209" s="5" t="s">
        <v>44</v>
      </c>
      <c r="P1209" s="5" t="s">
        <v>44</v>
      </c>
      <c r="Q1209" s="1"/>
      <c r="R1209" s="2"/>
      <c r="S1209" s="6"/>
      <c r="T1209" t="s">
        <v>11031</v>
      </c>
      <c r="U1209" t="s">
        <v>11032</v>
      </c>
      <c r="V1209" t="s">
        <v>45</v>
      </c>
      <c r="W1209" t="s">
        <v>43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s="4"/>
      <c r="AD1209" s="4"/>
      <c r="AE1209" s="2">
        <v>0</v>
      </c>
      <c r="AF1209" s="4">
        <v>0</v>
      </c>
      <c r="AG1209" s="2">
        <v>0</v>
      </c>
      <c r="AH1209" s="2">
        <v>-181959420</v>
      </c>
      <c r="AI1209" s="2">
        <v>-0.41</v>
      </c>
      <c r="AJ1209" s="5">
        <v>44673</v>
      </c>
      <c r="AK1209" t="s">
        <v>12074</v>
      </c>
      <c r="AL1209" s="2">
        <v>0</v>
      </c>
      <c r="AM1209" s="2">
        <v>0</v>
      </c>
      <c r="AN1209" s="2">
        <v>0</v>
      </c>
      <c r="AO1209" t="s">
        <v>44</v>
      </c>
      <c r="AP1209" t="s">
        <v>44</v>
      </c>
      <c r="AQ1209" t="s">
        <v>11182</v>
      </c>
    </row>
    <row r="1210" spans="1:43" x14ac:dyDescent="0.2">
      <c r="A1210" t="s">
        <v>12088</v>
      </c>
      <c r="B1210" t="s">
        <v>10900</v>
      </c>
      <c r="C1210" t="s">
        <v>11049</v>
      </c>
      <c r="D1210" t="s">
        <v>11453</v>
      </c>
      <c r="E1210" t="s">
        <v>11454</v>
      </c>
      <c r="F1210" t="s">
        <v>11453</v>
      </c>
      <c r="G1210" s="1">
        <v>1200000</v>
      </c>
      <c r="H1210" s="2">
        <v>1203213.56</v>
      </c>
      <c r="I1210" s="2">
        <v>1204532.8600000001</v>
      </c>
      <c r="J1210" s="2">
        <v>9634.7800000000007</v>
      </c>
      <c r="K1210" s="2">
        <v>0</v>
      </c>
      <c r="L1210" s="2">
        <v>1214167.6399999999</v>
      </c>
      <c r="M1210" s="3">
        <v>5.0248049999999997</v>
      </c>
      <c r="N1210" s="4">
        <v>2.7623600000000002E-3</v>
      </c>
      <c r="O1210" s="5">
        <v>44707</v>
      </c>
      <c r="P1210" s="5">
        <v>44983</v>
      </c>
      <c r="Q1210" s="1">
        <v>5.4269999999999996</v>
      </c>
      <c r="R1210" s="2">
        <v>0.08</v>
      </c>
      <c r="S1210" s="6">
        <v>7.8644503066000002E-2</v>
      </c>
      <c r="T1210" t="s">
        <v>111</v>
      </c>
      <c r="U1210" t="s">
        <v>111</v>
      </c>
      <c r="V1210" t="s">
        <v>11189</v>
      </c>
      <c r="W1210" t="s">
        <v>43</v>
      </c>
      <c r="X1210" t="s">
        <v>11034</v>
      </c>
      <c r="Y1210" t="s">
        <v>44</v>
      </c>
      <c r="Z1210" t="s">
        <v>44</v>
      </c>
      <c r="AA1210" t="s">
        <v>11441</v>
      </c>
      <c r="AB1210" t="s">
        <v>44</v>
      </c>
      <c r="AC1210" s="4">
        <v>5.0879264600000003</v>
      </c>
      <c r="AD1210" s="4">
        <v>4.9729969399999998</v>
      </c>
      <c r="AE1210" s="2">
        <v>5.09</v>
      </c>
      <c r="AF1210" s="4">
        <v>4.9729969399999998</v>
      </c>
      <c r="AG1210" s="2">
        <v>1.04</v>
      </c>
      <c r="AH1210" s="2">
        <v>1214167.6399999999</v>
      </c>
      <c r="AI1210" s="2">
        <v>0</v>
      </c>
      <c r="AJ1210" s="5">
        <v>44673</v>
      </c>
      <c r="AK1210" t="s">
        <v>12089</v>
      </c>
      <c r="AL1210" s="2">
        <v>5.0199999999999996</v>
      </c>
      <c r="AM1210" s="2">
        <v>5.43</v>
      </c>
      <c r="AN1210" s="2">
        <v>0.08</v>
      </c>
      <c r="AO1210" t="s">
        <v>11455</v>
      </c>
      <c r="AP1210" t="s">
        <v>11456</v>
      </c>
      <c r="AQ1210" t="s">
        <v>11454</v>
      </c>
    </row>
    <row r="1211" spans="1:43" x14ac:dyDescent="0.2">
      <c r="A1211" t="s">
        <v>12088</v>
      </c>
      <c r="B1211" t="s">
        <v>10900</v>
      </c>
      <c r="C1211" t="s">
        <v>11049</v>
      </c>
      <c r="D1211" t="s">
        <v>11785</v>
      </c>
      <c r="E1211" t="s">
        <v>11786</v>
      </c>
      <c r="F1211" t="s">
        <v>11785</v>
      </c>
      <c r="G1211" s="1">
        <v>4200000</v>
      </c>
      <c r="H1211" s="2">
        <v>4236726.5199999996</v>
      </c>
      <c r="I1211" s="2">
        <v>4242897.08</v>
      </c>
      <c r="J1211" s="2">
        <v>27402.87</v>
      </c>
      <c r="K1211" s="2">
        <v>0</v>
      </c>
      <c r="L1211" s="2">
        <v>4270299.95</v>
      </c>
      <c r="M1211" s="3">
        <v>4.8216830000000002</v>
      </c>
      <c r="N1211" s="4">
        <v>9.7153900000000008E-3</v>
      </c>
      <c r="O1211" s="5">
        <v>44732</v>
      </c>
      <c r="P1211" s="5">
        <v>44824</v>
      </c>
      <c r="Q1211" s="1">
        <v>7.4420000000000002</v>
      </c>
      <c r="R1211" s="2">
        <v>0.15</v>
      </c>
      <c r="S1211" s="6">
        <v>0.146783072519</v>
      </c>
      <c r="T1211" t="s">
        <v>111</v>
      </c>
      <c r="U1211" t="s">
        <v>111</v>
      </c>
      <c r="V1211" t="s">
        <v>11189</v>
      </c>
      <c r="W1211" t="s">
        <v>43</v>
      </c>
      <c r="X1211" t="s">
        <v>11034</v>
      </c>
      <c r="Y1211" t="s">
        <v>44</v>
      </c>
      <c r="Z1211" t="s">
        <v>44</v>
      </c>
      <c r="AA1211" t="s">
        <v>10979</v>
      </c>
      <c r="AB1211" t="s">
        <v>11441</v>
      </c>
      <c r="AC1211" s="4">
        <v>4.87980444</v>
      </c>
      <c r="AD1211" s="4">
        <v>4.7739498600000001</v>
      </c>
      <c r="AE1211" s="2">
        <v>4.88</v>
      </c>
      <c r="AF1211" s="4">
        <v>4.7739498600000001</v>
      </c>
      <c r="AG1211" s="2">
        <v>3.65</v>
      </c>
      <c r="AH1211" s="2">
        <v>4270299.95</v>
      </c>
      <c r="AI1211" s="2">
        <v>0.01</v>
      </c>
      <c r="AJ1211" s="5">
        <v>44673</v>
      </c>
      <c r="AK1211" t="s">
        <v>12089</v>
      </c>
      <c r="AL1211" s="2">
        <v>4.82</v>
      </c>
      <c r="AM1211" s="2">
        <v>7.44</v>
      </c>
      <c r="AN1211" s="2">
        <v>0.15</v>
      </c>
      <c r="AO1211" t="s">
        <v>11054</v>
      </c>
      <c r="AP1211" t="s">
        <v>11787</v>
      </c>
      <c r="AQ1211" t="s">
        <v>11786</v>
      </c>
    </row>
    <row r="1212" spans="1:43" x14ac:dyDescent="0.2">
      <c r="A1212" t="s">
        <v>12088</v>
      </c>
      <c r="B1212" t="s">
        <v>10900</v>
      </c>
      <c r="C1212" t="s">
        <v>11033</v>
      </c>
      <c r="D1212" t="s">
        <v>12841</v>
      </c>
      <c r="E1212" t="s">
        <v>12842</v>
      </c>
      <c r="F1212" t="s">
        <v>12841</v>
      </c>
      <c r="G1212" s="1">
        <v>1200000</v>
      </c>
      <c r="H1212" s="2">
        <v>1200000</v>
      </c>
      <c r="I1212" s="2">
        <v>1200031.1299999999</v>
      </c>
      <c r="J1212" s="2">
        <v>4806.84</v>
      </c>
      <c r="K1212" s="2">
        <v>0</v>
      </c>
      <c r="L1212" s="2">
        <v>1204837.97</v>
      </c>
      <c r="M1212" s="3">
        <v>5.8547310000000001</v>
      </c>
      <c r="N1212" s="4">
        <v>2.74114E-3</v>
      </c>
      <c r="O1212" s="5">
        <v>44679</v>
      </c>
      <c r="P1212" s="5">
        <v>45044</v>
      </c>
      <c r="Q1212" s="1">
        <v>6.0919999999999996</v>
      </c>
      <c r="R1212" s="2">
        <v>0.01</v>
      </c>
      <c r="S1212" s="6">
        <v>-3.847892072E-3</v>
      </c>
      <c r="T1212" t="s">
        <v>111</v>
      </c>
      <c r="U1212" t="s">
        <v>111</v>
      </c>
      <c r="V1212" t="s">
        <v>114</v>
      </c>
      <c r="W1212" t="s">
        <v>43</v>
      </c>
      <c r="X1212" t="s">
        <v>44</v>
      </c>
      <c r="Y1212" t="s">
        <v>44</v>
      </c>
      <c r="Z1212" t="s">
        <v>44</v>
      </c>
      <c r="AA1212" t="s">
        <v>10979</v>
      </c>
      <c r="AB1212" t="s">
        <v>44</v>
      </c>
      <c r="AC1212" s="4">
        <v>5.9404258900000002</v>
      </c>
      <c r="AD1212" s="4">
        <v>5.7845705699999996</v>
      </c>
      <c r="AE1212" s="2">
        <v>5.94</v>
      </c>
      <c r="AF1212" s="4">
        <v>5.7845705699999996</v>
      </c>
      <c r="AG1212" s="2">
        <v>1.03</v>
      </c>
      <c r="AH1212" s="2">
        <v>1204837.97</v>
      </c>
      <c r="AI1212" s="2">
        <v>0</v>
      </c>
      <c r="AJ1212" s="5">
        <v>44673</v>
      </c>
      <c r="AK1212" t="s">
        <v>12089</v>
      </c>
      <c r="AL1212" s="2">
        <v>5.85</v>
      </c>
      <c r="AM1212" s="2">
        <v>6.09</v>
      </c>
      <c r="AN1212" s="2">
        <v>0</v>
      </c>
      <c r="AO1212" t="s">
        <v>11165</v>
      </c>
      <c r="AP1212" t="s">
        <v>12843</v>
      </c>
      <c r="AQ1212" t="s">
        <v>12842</v>
      </c>
    </row>
    <row r="1213" spans="1:43" x14ac:dyDescent="0.2">
      <c r="A1213" t="s">
        <v>12088</v>
      </c>
      <c r="B1213" t="s">
        <v>10900</v>
      </c>
      <c r="C1213" t="s">
        <v>11033</v>
      </c>
      <c r="D1213" t="s">
        <v>11187</v>
      </c>
      <c r="E1213" t="s">
        <v>11188</v>
      </c>
      <c r="F1213" t="s">
        <v>11187</v>
      </c>
      <c r="G1213" s="1">
        <v>5660000</v>
      </c>
      <c r="H1213" s="2">
        <v>5876691.6500000004</v>
      </c>
      <c r="I1213" s="2">
        <v>5884664.0700000003</v>
      </c>
      <c r="J1213" s="2">
        <v>5509.89</v>
      </c>
      <c r="K1213" s="2">
        <v>0</v>
      </c>
      <c r="L1213" s="2">
        <v>5890173.96</v>
      </c>
      <c r="M1213" s="3">
        <v>7.1638799999999998</v>
      </c>
      <c r="N1213" s="4">
        <v>1.3400779999999999E-2</v>
      </c>
      <c r="O1213" s="5">
        <v>44757</v>
      </c>
      <c r="P1213" s="5">
        <v>45672</v>
      </c>
      <c r="Q1213" s="1">
        <v>8.8829999999999991</v>
      </c>
      <c r="R1213" s="2">
        <v>0.22</v>
      </c>
      <c r="S1213" s="6">
        <v>0.20744314818000001</v>
      </c>
      <c r="T1213" t="s">
        <v>111</v>
      </c>
      <c r="U1213" t="s">
        <v>111</v>
      </c>
      <c r="V1213" t="s">
        <v>11189</v>
      </c>
      <c r="W1213" t="s">
        <v>43</v>
      </c>
      <c r="X1213" t="s">
        <v>11034</v>
      </c>
      <c r="Y1213" t="s">
        <v>44</v>
      </c>
      <c r="Z1213" t="s">
        <v>44</v>
      </c>
      <c r="AA1213" t="s">
        <v>11035</v>
      </c>
      <c r="AB1213" t="s">
        <v>44</v>
      </c>
      <c r="AC1213" s="4">
        <v>7.2921833700000001</v>
      </c>
      <c r="AD1213" s="4">
        <v>7.0592439100000002</v>
      </c>
      <c r="AE1213" s="2">
        <v>7.29</v>
      </c>
      <c r="AF1213" s="4">
        <v>7.0592439100000002</v>
      </c>
      <c r="AG1213" s="2">
        <v>5.04</v>
      </c>
      <c r="AH1213" s="2">
        <v>5890173.96</v>
      </c>
      <c r="AI1213" s="2">
        <v>0.01</v>
      </c>
      <c r="AJ1213" s="5">
        <v>44673</v>
      </c>
      <c r="AK1213" t="s">
        <v>12089</v>
      </c>
      <c r="AL1213" s="2">
        <v>7.16</v>
      </c>
      <c r="AM1213" s="2">
        <v>8.8800000000000008</v>
      </c>
      <c r="AN1213" s="2">
        <v>0.21</v>
      </c>
      <c r="AO1213" t="s">
        <v>11036</v>
      </c>
      <c r="AP1213" t="s">
        <v>11191</v>
      </c>
      <c r="AQ1213" t="s">
        <v>11188</v>
      </c>
    </row>
    <row r="1214" spans="1:43" x14ac:dyDescent="0.2">
      <c r="A1214" t="s">
        <v>12088</v>
      </c>
      <c r="B1214" t="s">
        <v>10900</v>
      </c>
      <c r="C1214" t="s">
        <v>11033</v>
      </c>
      <c r="D1214" t="s">
        <v>12982</v>
      </c>
      <c r="E1214" t="s">
        <v>12983</v>
      </c>
      <c r="F1214" t="s">
        <v>12982</v>
      </c>
      <c r="G1214" s="1">
        <v>1300000</v>
      </c>
      <c r="H1214" s="2">
        <v>1300000</v>
      </c>
      <c r="I1214" s="2">
        <v>1355049.51</v>
      </c>
      <c r="J1214" s="2">
        <v>16681.64</v>
      </c>
      <c r="K1214" s="2">
        <v>0</v>
      </c>
      <c r="L1214" s="2">
        <v>1371731.15</v>
      </c>
      <c r="M1214" s="3">
        <v>6.0747210000000003</v>
      </c>
      <c r="N1214" s="4">
        <v>3.1208400000000002E-3</v>
      </c>
      <c r="O1214" s="5">
        <v>44706</v>
      </c>
      <c r="P1214" s="5">
        <v>45439</v>
      </c>
      <c r="Q1214" s="1">
        <v>8.2170000000000005</v>
      </c>
      <c r="R1214" s="2">
        <v>0.08</v>
      </c>
      <c r="S1214" s="6">
        <v>9.4979191527000004E-2</v>
      </c>
      <c r="T1214" t="s">
        <v>111</v>
      </c>
      <c r="U1214" t="s">
        <v>111</v>
      </c>
      <c r="V1214" t="s">
        <v>11189</v>
      </c>
      <c r="W1214" t="s">
        <v>43</v>
      </c>
      <c r="X1214" t="s">
        <v>11034</v>
      </c>
      <c r="Y1214" t="s">
        <v>44</v>
      </c>
      <c r="Z1214" t="s">
        <v>44</v>
      </c>
      <c r="AA1214" t="s">
        <v>44</v>
      </c>
      <c r="AB1214" t="s">
        <v>44</v>
      </c>
      <c r="AC1214" s="4">
        <v>6.1669761000000003</v>
      </c>
      <c r="AD1214" s="4">
        <v>5.9992378899999999</v>
      </c>
      <c r="AE1214" s="2">
        <v>6.17</v>
      </c>
      <c r="AF1214" s="4">
        <v>5.9992378899999999</v>
      </c>
      <c r="AG1214" s="2">
        <v>1.17</v>
      </c>
      <c r="AH1214" s="2">
        <v>1371731.15</v>
      </c>
      <c r="AI1214" s="2">
        <v>0</v>
      </c>
      <c r="AJ1214" s="5">
        <v>44673</v>
      </c>
      <c r="AK1214" t="s">
        <v>12089</v>
      </c>
      <c r="AL1214" s="2">
        <v>6.07</v>
      </c>
      <c r="AM1214" s="2">
        <v>8.2200000000000006</v>
      </c>
      <c r="AN1214" s="2">
        <v>0.09</v>
      </c>
      <c r="AO1214" t="s">
        <v>12984</v>
      </c>
      <c r="AP1214" t="s">
        <v>12985</v>
      </c>
      <c r="AQ1214" t="s">
        <v>12983</v>
      </c>
    </row>
    <row r="1215" spans="1:43" x14ac:dyDescent="0.2">
      <c r="A1215" t="s">
        <v>12088</v>
      </c>
      <c r="B1215" t="s">
        <v>10900</v>
      </c>
      <c r="C1215" t="s">
        <v>11033</v>
      </c>
      <c r="D1215" t="s">
        <v>11192</v>
      </c>
      <c r="E1215" t="s">
        <v>11193</v>
      </c>
      <c r="F1215" t="s">
        <v>11192</v>
      </c>
      <c r="G1215" s="1">
        <v>2340000</v>
      </c>
      <c r="H1215" s="2">
        <v>2422601.7599999998</v>
      </c>
      <c r="I1215" s="2">
        <v>2431860.35</v>
      </c>
      <c r="J1215" s="2">
        <v>12927.12</v>
      </c>
      <c r="K1215" s="2">
        <v>0</v>
      </c>
      <c r="L1215" s="2">
        <v>2444787.4700000002</v>
      </c>
      <c r="M1215" s="3">
        <v>6.4487519999999998</v>
      </c>
      <c r="N1215" s="4">
        <v>5.5621500000000001E-3</v>
      </c>
      <c r="O1215" s="5">
        <v>44742</v>
      </c>
      <c r="P1215" s="5">
        <v>45379</v>
      </c>
      <c r="Q1215" s="1">
        <v>8.7669999999999995</v>
      </c>
      <c r="R1215" s="2">
        <v>0.18</v>
      </c>
      <c r="S1215" s="6">
        <v>0.176703783398</v>
      </c>
      <c r="T1215" t="s">
        <v>111</v>
      </c>
      <c r="U1215" t="s">
        <v>111</v>
      </c>
      <c r="V1215" t="s">
        <v>11189</v>
      </c>
      <c r="W1215" t="s">
        <v>43</v>
      </c>
      <c r="X1215" t="s">
        <v>11034</v>
      </c>
      <c r="Y1215" t="s">
        <v>44</v>
      </c>
      <c r="Z1215" t="s">
        <v>44</v>
      </c>
      <c r="AA1215" t="s">
        <v>10979</v>
      </c>
      <c r="AB1215" t="s">
        <v>44</v>
      </c>
      <c r="AC1215" s="4">
        <v>6.5527180200000004</v>
      </c>
      <c r="AD1215" s="4">
        <v>6.3637827900000001</v>
      </c>
      <c r="AE1215" s="2">
        <v>6.55</v>
      </c>
      <c r="AF1215" s="4">
        <v>6.3637827900000001</v>
      </c>
      <c r="AG1215" s="2">
        <v>2.09</v>
      </c>
      <c r="AH1215" s="2">
        <v>2444787.4700000002</v>
      </c>
      <c r="AI1215" s="2">
        <v>0.01</v>
      </c>
      <c r="AJ1215" s="5">
        <v>44673</v>
      </c>
      <c r="AK1215" t="s">
        <v>12089</v>
      </c>
      <c r="AL1215" s="2">
        <v>6.45</v>
      </c>
      <c r="AM1215" s="2">
        <v>8.77</v>
      </c>
      <c r="AN1215" s="2">
        <v>0.18</v>
      </c>
      <c r="AO1215" t="s">
        <v>11179</v>
      </c>
      <c r="AP1215" t="s">
        <v>11194</v>
      </c>
      <c r="AQ1215" t="s">
        <v>11193</v>
      </c>
    </row>
    <row r="1216" spans="1:43" x14ac:dyDescent="0.2">
      <c r="A1216" t="s">
        <v>12088</v>
      </c>
      <c r="B1216" t="s">
        <v>10900</v>
      </c>
      <c r="C1216" t="s">
        <v>10943</v>
      </c>
      <c r="D1216" t="s">
        <v>10977</v>
      </c>
      <c r="E1216" t="s">
        <v>10978</v>
      </c>
      <c r="F1216" t="s">
        <v>10977</v>
      </c>
      <c r="G1216" s="1">
        <v>7413120</v>
      </c>
      <c r="H1216" s="2">
        <v>6977404.9500000002</v>
      </c>
      <c r="I1216" s="2">
        <v>6967385.4000000004</v>
      </c>
      <c r="J1216" s="2">
        <v>341173.11</v>
      </c>
      <c r="K1216" s="2">
        <v>0</v>
      </c>
      <c r="L1216" s="2">
        <v>7308558.5099999998</v>
      </c>
      <c r="M1216" s="3">
        <v>11.88</v>
      </c>
      <c r="N1216" s="4">
        <v>1.6627759999999998E-2</v>
      </c>
      <c r="O1216" s="5">
        <v>44697</v>
      </c>
      <c r="P1216" s="5">
        <v>46888</v>
      </c>
      <c r="Q1216" s="1">
        <v>10.565</v>
      </c>
      <c r="R1216" s="2">
        <v>4.7300000000000004</v>
      </c>
      <c r="S1216" s="6">
        <v>4.4668326030000003</v>
      </c>
      <c r="T1216" t="s">
        <v>111</v>
      </c>
      <c r="U1216" t="s">
        <v>111</v>
      </c>
      <c r="V1216" t="s">
        <v>10944</v>
      </c>
      <c r="W1216" t="s">
        <v>43</v>
      </c>
      <c r="X1216" t="s">
        <v>44</v>
      </c>
      <c r="Y1216" t="s">
        <v>44</v>
      </c>
      <c r="Z1216" t="s">
        <v>44</v>
      </c>
      <c r="AA1216" t="s">
        <v>10979</v>
      </c>
      <c r="AB1216" t="s">
        <v>44</v>
      </c>
      <c r="AC1216" s="4">
        <v>12.232836000000001</v>
      </c>
      <c r="AD1216" s="4">
        <v>11.596213730000001</v>
      </c>
      <c r="AE1216" s="2">
        <v>12.23</v>
      </c>
      <c r="AF1216" s="4">
        <v>11.596213730000001</v>
      </c>
      <c r="AG1216" s="2">
        <v>6.25</v>
      </c>
      <c r="AH1216" s="2">
        <v>7308558.5099999998</v>
      </c>
      <c r="AI1216" s="2">
        <v>0.02</v>
      </c>
      <c r="AJ1216" s="5">
        <v>44673</v>
      </c>
      <c r="AK1216" t="s">
        <v>12089</v>
      </c>
      <c r="AL1216" s="2">
        <v>11.88</v>
      </c>
      <c r="AM1216" s="2">
        <v>10.56</v>
      </c>
      <c r="AN1216" s="2">
        <v>4.47</v>
      </c>
      <c r="AO1216" t="s">
        <v>10980</v>
      </c>
      <c r="AP1216" t="s">
        <v>10981</v>
      </c>
      <c r="AQ1216" t="s">
        <v>10978</v>
      </c>
    </row>
    <row r="1217" spans="1:43" x14ac:dyDescent="0.2">
      <c r="A1217" t="s">
        <v>12088</v>
      </c>
      <c r="B1217" t="s">
        <v>10900</v>
      </c>
      <c r="C1217" t="s">
        <v>10943</v>
      </c>
      <c r="D1217" t="s">
        <v>11135</v>
      </c>
      <c r="E1217" t="s">
        <v>10946</v>
      </c>
      <c r="F1217" t="s">
        <v>11135</v>
      </c>
      <c r="G1217" s="1">
        <v>11600000</v>
      </c>
      <c r="H1217" s="2">
        <v>12862403.289999999</v>
      </c>
      <c r="I1217" s="2">
        <v>12602582.199999999</v>
      </c>
      <c r="J1217" s="2">
        <v>410449.32</v>
      </c>
      <c r="K1217" s="2">
        <v>0</v>
      </c>
      <c r="L1217" s="2">
        <v>13013031.52</v>
      </c>
      <c r="M1217" s="3">
        <v>8.2249999999999996</v>
      </c>
      <c r="N1217" s="4">
        <v>2.9606049999999998E-2</v>
      </c>
      <c r="O1217" s="5">
        <v>44733</v>
      </c>
      <c r="P1217" s="5">
        <v>46377</v>
      </c>
      <c r="Q1217" s="1">
        <v>10.5</v>
      </c>
      <c r="R1217" s="2">
        <v>3.72</v>
      </c>
      <c r="S1217" s="6">
        <v>3.572672968</v>
      </c>
      <c r="T1217" t="s">
        <v>111</v>
      </c>
      <c r="U1217" t="s">
        <v>111</v>
      </c>
      <c r="V1217" t="s">
        <v>10944</v>
      </c>
      <c r="W1217" t="s">
        <v>43</v>
      </c>
      <c r="X1217" t="s">
        <v>10945</v>
      </c>
      <c r="Y1217" t="s">
        <v>44</v>
      </c>
      <c r="Z1217" t="s">
        <v>44</v>
      </c>
      <c r="AA1217" t="s">
        <v>10913</v>
      </c>
      <c r="AB1217" t="s">
        <v>44</v>
      </c>
      <c r="AC1217" s="4">
        <v>8.3941265600000001</v>
      </c>
      <c r="AD1217" s="4">
        <v>8.0875032299999994</v>
      </c>
      <c r="AE1217" s="2">
        <v>8.39</v>
      </c>
      <c r="AF1217" s="4">
        <v>8.0875032299999994</v>
      </c>
      <c r="AG1217" s="2">
        <v>11.13</v>
      </c>
      <c r="AH1217" s="2">
        <v>13013031.52</v>
      </c>
      <c r="AI1217" s="2">
        <v>0.03</v>
      </c>
      <c r="AJ1217" s="5">
        <v>44673</v>
      </c>
      <c r="AK1217" t="s">
        <v>12089</v>
      </c>
      <c r="AL1217" s="2">
        <v>8.23</v>
      </c>
      <c r="AM1217" s="2">
        <v>10.5</v>
      </c>
      <c r="AN1217" s="2">
        <v>3.57</v>
      </c>
      <c r="AO1217" t="s">
        <v>10922</v>
      </c>
      <c r="AP1217" t="s">
        <v>11136</v>
      </c>
      <c r="AQ1217" t="s">
        <v>10946</v>
      </c>
    </row>
    <row r="1218" spans="1:43" x14ac:dyDescent="0.2">
      <c r="A1218" t="s">
        <v>12088</v>
      </c>
      <c r="B1218" t="s">
        <v>10900</v>
      </c>
      <c r="C1218" t="s">
        <v>10943</v>
      </c>
      <c r="D1218" t="s">
        <v>12863</v>
      </c>
      <c r="E1218" t="s">
        <v>12864</v>
      </c>
      <c r="F1218" t="s">
        <v>12863</v>
      </c>
      <c r="G1218" s="1">
        <v>700000</v>
      </c>
      <c r="H1218" s="2">
        <v>700000</v>
      </c>
      <c r="I1218" s="2">
        <v>700795.13</v>
      </c>
      <c r="J1218" s="2">
        <v>2502.9699999999998</v>
      </c>
      <c r="K1218" s="2">
        <v>0</v>
      </c>
      <c r="L1218" s="2">
        <v>703298.1</v>
      </c>
      <c r="M1218" s="3">
        <v>8.0409749999999995</v>
      </c>
      <c r="N1218" s="4">
        <v>1.60008E-3</v>
      </c>
      <c r="O1218" s="5">
        <v>44750</v>
      </c>
      <c r="P1218" s="5">
        <v>46485</v>
      </c>
      <c r="Q1218" s="1">
        <v>8.157</v>
      </c>
      <c r="R1218" s="2">
        <v>0.2</v>
      </c>
      <c r="S1218" s="6">
        <v>9.4975697833E-2</v>
      </c>
      <c r="T1218" t="s">
        <v>111</v>
      </c>
      <c r="U1218" t="s">
        <v>111</v>
      </c>
      <c r="V1218" t="s">
        <v>11189</v>
      </c>
      <c r="W1218" t="s">
        <v>43</v>
      </c>
      <c r="X1218" t="s">
        <v>11034</v>
      </c>
      <c r="Y1218" t="s">
        <v>44</v>
      </c>
      <c r="Z1218" t="s">
        <v>44</v>
      </c>
      <c r="AA1218" t="s">
        <v>11035</v>
      </c>
      <c r="AB1218" t="s">
        <v>44</v>
      </c>
      <c r="AC1218" s="4">
        <v>8.2026182599999995</v>
      </c>
      <c r="AD1218" s="4">
        <v>7.9094905600000001</v>
      </c>
      <c r="AE1218" s="2">
        <v>8.1999999999999993</v>
      </c>
      <c r="AF1218" s="4">
        <v>7.9094905600000001</v>
      </c>
      <c r="AG1218" s="2">
        <v>0.6</v>
      </c>
      <c r="AH1218" s="2">
        <v>703298.1</v>
      </c>
      <c r="AI1218" s="2">
        <v>0</v>
      </c>
      <c r="AJ1218" s="5">
        <v>44673</v>
      </c>
      <c r="AK1218" t="s">
        <v>12089</v>
      </c>
      <c r="AL1218" s="2">
        <v>8.0399999999999991</v>
      </c>
      <c r="AM1218" s="2">
        <v>8.16</v>
      </c>
      <c r="AN1218" s="2">
        <v>0.09</v>
      </c>
      <c r="AO1218" t="s">
        <v>11496</v>
      </c>
      <c r="AP1218" t="s">
        <v>12865</v>
      </c>
      <c r="AQ1218" t="s">
        <v>12864</v>
      </c>
    </row>
    <row r="1219" spans="1:43" x14ac:dyDescent="0.2">
      <c r="A1219" t="s">
        <v>12088</v>
      </c>
      <c r="B1219" t="s">
        <v>10900</v>
      </c>
      <c r="C1219" t="s">
        <v>11137</v>
      </c>
      <c r="D1219" t="s">
        <v>11138</v>
      </c>
      <c r="E1219" t="s">
        <v>11139</v>
      </c>
      <c r="F1219" t="s">
        <v>11138</v>
      </c>
      <c r="G1219" s="1">
        <v>2900000</v>
      </c>
      <c r="H1219" s="2">
        <v>2869113.75</v>
      </c>
      <c r="I1219" s="2">
        <v>2772953.32</v>
      </c>
      <c r="J1219" s="2">
        <v>10010.959999999999</v>
      </c>
      <c r="K1219" s="2">
        <v>0</v>
      </c>
      <c r="L1219" s="2">
        <v>2782964.28</v>
      </c>
      <c r="M1219" s="3">
        <v>11.316000000000001</v>
      </c>
      <c r="N1219" s="4">
        <v>6.3315400000000001E-3</v>
      </c>
      <c r="O1219" s="5">
        <v>44844</v>
      </c>
      <c r="P1219" s="5">
        <v>47765</v>
      </c>
      <c r="Q1219" s="1">
        <v>10.5</v>
      </c>
      <c r="R1219" s="2">
        <v>5.71</v>
      </c>
      <c r="S1219" s="6">
        <v>5.4077134439999996</v>
      </c>
      <c r="T1219" t="s">
        <v>111</v>
      </c>
      <c r="U1219" t="s">
        <v>111</v>
      </c>
      <c r="V1219" t="s">
        <v>10944</v>
      </c>
      <c r="W1219" t="s">
        <v>43</v>
      </c>
      <c r="X1219" t="s">
        <v>44</v>
      </c>
      <c r="Y1219" t="s">
        <v>44</v>
      </c>
      <c r="Z1219" t="s">
        <v>44</v>
      </c>
      <c r="AA1219" t="s">
        <v>10979</v>
      </c>
      <c r="AB1219" t="s">
        <v>44</v>
      </c>
      <c r="AC1219" s="4">
        <v>11.63612964</v>
      </c>
      <c r="AD1219" s="4">
        <v>11.058095140000001</v>
      </c>
      <c r="AE1219" s="2">
        <v>11.64</v>
      </c>
      <c r="AF1219" s="4">
        <v>11.058095140000001</v>
      </c>
      <c r="AG1219" s="2">
        <v>2.38</v>
      </c>
      <c r="AH1219" s="2">
        <v>2782964.28</v>
      </c>
      <c r="AI1219" s="2">
        <v>0.01</v>
      </c>
      <c r="AJ1219" s="5">
        <v>44673</v>
      </c>
      <c r="AK1219" t="s">
        <v>12089</v>
      </c>
      <c r="AL1219" s="2">
        <v>11.32</v>
      </c>
      <c r="AM1219" s="2">
        <v>10.5</v>
      </c>
      <c r="AN1219" s="2">
        <v>5.41</v>
      </c>
      <c r="AO1219" t="s">
        <v>10982</v>
      </c>
      <c r="AP1219" t="s">
        <v>11140</v>
      </c>
      <c r="AQ1219" t="s">
        <v>11139</v>
      </c>
    </row>
    <row r="1220" spans="1:43" x14ac:dyDescent="0.2">
      <c r="A1220" t="s">
        <v>12088</v>
      </c>
      <c r="B1220" t="s">
        <v>10900</v>
      </c>
      <c r="C1220" t="s">
        <v>10950</v>
      </c>
      <c r="D1220" t="s">
        <v>10983</v>
      </c>
      <c r="E1220" t="s">
        <v>10984</v>
      </c>
      <c r="F1220" t="s">
        <v>10983</v>
      </c>
      <c r="G1220" s="1">
        <v>180000</v>
      </c>
      <c r="H1220" s="2">
        <v>157971.74</v>
      </c>
      <c r="I1220" s="2">
        <v>150503.85</v>
      </c>
      <c r="J1220" s="2">
        <v>3437.26</v>
      </c>
      <c r="K1220" s="2">
        <v>0</v>
      </c>
      <c r="L1220" s="2">
        <v>153941.10999999999</v>
      </c>
      <c r="M1220" s="3">
        <v>10.734999999999999</v>
      </c>
      <c r="N1220" s="4">
        <v>3.5022999999999999E-4</v>
      </c>
      <c r="O1220" s="5">
        <v>44774</v>
      </c>
      <c r="P1220" s="5">
        <v>50071</v>
      </c>
      <c r="Q1220" s="1">
        <v>8.5</v>
      </c>
      <c r="R1220" s="2">
        <v>7.91</v>
      </c>
      <c r="S1220" s="6">
        <v>7.5106016819999999</v>
      </c>
      <c r="T1220" t="s">
        <v>111</v>
      </c>
      <c r="U1220" t="s">
        <v>111</v>
      </c>
      <c r="V1220" t="s">
        <v>10944</v>
      </c>
      <c r="W1220" t="s">
        <v>43</v>
      </c>
      <c r="X1220" t="s">
        <v>10945</v>
      </c>
      <c r="Y1220" t="s">
        <v>44</v>
      </c>
      <c r="Z1220" t="s">
        <v>44</v>
      </c>
      <c r="AA1220" t="s">
        <v>10913</v>
      </c>
      <c r="AB1220" t="s">
        <v>44</v>
      </c>
      <c r="AC1220" s="4">
        <v>11.02310056</v>
      </c>
      <c r="AD1220" s="4">
        <v>10.50250368</v>
      </c>
      <c r="AE1220" s="2">
        <v>11.02</v>
      </c>
      <c r="AF1220" s="4">
        <v>10.50250368</v>
      </c>
      <c r="AG1220" s="2">
        <v>0.13</v>
      </c>
      <c r="AH1220" s="2">
        <v>153941.10999999999</v>
      </c>
      <c r="AI1220" s="2">
        <v>0</v>
      </c>
      <c r="AJ1220" s="5">
        <v>44673</v>
      </c>
      <c r="AK1220" t="s">
        <v>12089</v>
      </c>
      <c r="AL1220" s="2">
        <v>10.73</v>
      </c>
      <c r="AM1220" s="2">
        <v>8.5</v>
      </c>
      <c r="AN1220" s="2">
        <v>7.51</v>
      </c>
      <c r="AO1220" t="s">
        <v>10922</v>
      </c>
      <c r="AP1220" t="s">
        <v>10985</v>
      </c>
      <c r="AQ1220" t="s">
        <v>10984</v>
      </c>
    </row>
    <row r="1221" spans="1:43" x14ac:dyDescent="0.2">
      <c r="A1221" t="s">
        <v>12088</v>
      </c>
      <c r="B1221" t="s">
        <v>45</v>
      </c>
      <c r="C1221" t="s">
        <v>11000</v>
      </c>
      <c r="D1221" t="s">
        <v>11421</v>
      </c>
      <c r="E1221" t="s">
        <v>11422</v>
      </c>
      <c r="F1221" t="s">
        <v>11421</v>
      </c>
      <c r="G1221" s="1">
        <v>3000000</v>
      </c>
      <c r="H1221" s="2">
        <v>3000000</v>
      </c>
      <c r="I1221" s="2">
        <v>3000000</v>
      </c>
      <c r="J1221" s="2">
        <v>9435.6200000000008</v>
      </c>
      <c r="K1221" s="2">
        <v>0</v>
      </c>
      <c r="L1221" s="2">
        <v>3009435.62</v>
      </c>
      <c r="M1221" s="3">
        <v>4.2</v>
      </c>
      <c r="N1221" s="4">
        <v>6.8467900000000002E-3</v>
      </c>
      <c r="O1221" s="5" t="s">
        <v>44</v>
      </c>
      <c r="P1221" s="5">
        <v>55153</v>
      </c>
      <c r="Q1221" s="1">
        <v>4.2</v>
      </c>
      <c r="R1221" s="2">
        <v>0.08</v>
      </c>
      <c r="S1221" s="6">
        <v>2.5947269999999998E-3</v>
      </c>
      <c r="T1221" t="s">
        <v>112</v>
      </c>
      <c r="U1221" t="s">
        <v>46</v>
      </c>
      <c r="V1221" t="s">
        <v>11270</v>
      </c>
      <c r="W1221" t="s">
        <v>43</v>
      </c>
      <c r="X1221" t="s">
        <v>44</v>
      </c>
      <c r="Y1221" t="s">
        <v>44</v>
      </c>
      <c r="Z1221" t="s">
        <v>44</v>
      </c>
      <c r="AA1221" t="s">
        <v>10913</v>
      </c>
      <c r="AB1221" t="s">
        <v>44</v>
      </c>
      <c r="AC1221" s="4">
        <v>4.2819052299999996</v>
      </c>
      <c r="AD1221" s="4">
        <v>4.20010057</v>
      </c>
      <c r="AE1221" s="2">
        <v>4.28</v>
      </c>
      <c r="AF1221" s="4">
        <v>4.20010057</v>
      </c>
      <c r="AG1221" s="2">
        <v>2.57</v>
      </c>
      <c r="AH1221" s="2">
        <v>3009435.62</v>
      </c>
      <c r="AI1221" s="2">
        <v>0.01</v>
      </c>
      <c r="AJ1221" s="5">
        <v>44673</v>
      </c>
      <c r="AK1221" t="s">
        <v>12089</v>
      </c>
      <c r="AL1221" s="2">
        <v>4.24</v>
      </c>
      <c r="AM1221" s="2">
        <v>4.2</v>
      </c>
      <c r="AN1221" s="2">
        <v>0</v>
      </c>
      <c r="AO1221" t="s">
        <v>11423</v>
      </c>
      <c r="AP1221" t="s">
        <v>44</v>
      </c>
      <c r="AQ1221" t="s">
        <v>11422</v>
      </c>
    </row>
    <row r="1222" spans="1:43" x14ac:dyDescent="0.2">
      <c r="A1222" t="s">
        <v>12088</v>
      </c>
      <c r="B1222" t="s">
        <v>45</v>
      </c>
      <c r="C1222" t="s">
        <v>11000</v>
      </c>
      <c r="D1222" t="s">
        <v>11001</v>
      </c>
      <c r="E1222" t="s">
        <v>11002</v>
      </c>
      <c r="F1222" t="s">
        <v>11001</v>
      </c>
      <c r="G1222" s="1">
        <v>35221243.299999997</v>
      </c>
      <c r="H1222" s="2">
        <v>35221243.299999997</v>
      </c>
      <c r="I1222" s="2">
        <v>35221243.299999997</v>
      </c>
      <c r="J1222" s="2">
        <v>111157.21</v>
      </c>
      <c r="K1222" s="2">
        <v>0</v>
      </c>
      <c r="L1222" s="2">
        <v>35332400.509999998</v>
      </c>
      <c r="M1222" s="3"/>
      <c r="N1222" s="4">
        <v>8.0385020000000001E-2</v>
      </c>
      <c r="O1222" s="5">
        <v>40756</v>
      </c>
      <c r="P1222" s="5">
        <v>73020</v>
      </c>
      <c r="Q1222" s="1">
        <v>0</v>
      </c>
      <c r="R1222" s="2"/>
      <c r="S1222" s="6"/>
      <c r="T1222" t="s">
        <v>111</v>
      </c>
      <c r="U1222" t="s">
        <v>11003</v>
      </c>
      <c r="V1222" t="s">
        <v>46</v>
      </c>
      <c r="W1222" t="s">
        <v>43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s="4"/>
      <c r="AD1222" s="4"/>
      <c r="AE1222" s="2">
        <v>0</v>
      </c>
      <c r="AF1222" s="4">
        <v>0</v>
      </c>
      <c r="AG1222" s="2">
        <v>30.21</v>
      </c>
      <c r="AH1222" s="2">
        <v>35332400.509999998</v>
      </c>
      <c r="AI1222" s="2">
        <v>0.08</v>
      </c>
      <c r="AJ1222" s="5">
        <v>44673</v>
      </c>
      <c r="AK1222" t="s">
        <v>12089</v>
      </c>
      <c r="AL1222" s="2">
        <v>0</v>
      </c>
      <c r="AM1222" s="2">
        <v>0</v>
      </c>
      <c r="AN1222" s="2">
        <v>0</v>
      </c>
      <c r="AO1222" t="s">
        <v>44</v>
      </c>
      <c r="AP1222" t="s">
        <v>11004</v>
      </c>
      <c r="AQ1222" t="s">
        <v>11002</v>
      </c>
    </row>
    <row r="1223" spans="1:43" x14ac:dyDescent="0.2">
      <c r="A1223" t="s">
        <v>12088</v>
      </c>
      <c r="B1223" t="s">
        <v>45</v>
      </c>
      <c r="C1223" t="s">
        <v>47</v>
      </c>
      <c r="D1223" t="s">
        <v>48</v>
      </c>
      <c r="E1223" t="s">
        <v>49</v>
      </c>
      <c r="F1223" t="s">
        <v>50</v>
      </c>
      <c r="G1223" s="1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2061.2399999999998</v>
      </c>
      <c r="M1223" s="3"/>
      <c r="N1223" s="4">
        <v>4.69E-6</v>
      </c>
      <c r="O1223" s="5" t="s">
        <v>44</v>
      </c>
      <c r="P1223" s="5" t="s">
        <v>44</v>
      </c>
      <c r="Q1223" s="1"/>
      <c r="R1223" s="2">
        <v>0.08</v>
      </c>
      <c r="S1223" s="6"/>
      <c r="T1223" t="s">
        <v>45</v>
      </c>
      <c r="U1223" t="s">
        <v>46</v>
      </c>
      <c r="V1223" t="s">
        <v>44</v>
      </c>
      <c r="W1223" t="s">
        <v>43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s="4">
        <v>5.1163389600000002</v>
      </c>
      <c r="AD1223" s="4">
        <v>5.0001424999999999</v>
      </c>
      <c r="AE1223" s="2">
        <v>5.12</v>
      </c>
      <c r="AF1223" s="4">
        <v>5.0001424999999999</v>
      </c>
      <c r="AG1223" s="2">
        <v>0</v>
      </c>
      <c r="AH1223" s="2">
        <v>2061.2399999999998</v>
      </c>
      <c r="AI1223" s="2">
        <v>0</v>
      </c>
      <c r="AJ1223" s="5">
        <v>44673</v>
      </c>
      <c r="AK1223" t="s">
        <v>12089</v>
      </c>
      <c r="AL1223" s="2">
        <v>5.05</v>
      </c>
      <c r="AM1223" s="2">
        <v>0</v>
      </c>
      <c r="AN1223" s="2">
        <v>0</v>
      </c>
      <c r="AO1223" t="s">
        <v>44</v>
      </c>
      <c r="AP1223" t="s">
        <v>44</v>
      </c>
      <c r="AQ1223" t="s">
        <v>44</v>
      </c>
    </row>
    <row r="1224" spans="1:43" x14ac:dyDescent="0.2">
      <c r="A1224" t="s">
        <v>12088</v>
      </c>
      <c r="B1224" t="s">
        <v>45</v>
      </c>
      <c r="C1224" t="s">
        <v>47</v>
      </c>
      <c r="D1224" t="s">
        <v>51</v>
      </c>
      <c r="E1224" t="s">
        <v>52</v>
      </c>
      <c r="F1224" t="s">
        <v>51</v>
      </c>
      <c r="G1224" s="1">
        <v>908053.92</v>
      </c>
      <c r="H1224" s="2">
        <v>908053.92</v>
      </c>
      <c r="I1224" s="2">
        <v>908053.92</v>
      </c>
      <c r="J1224" s="2">
        <v>0</v>
      </c>
      <c r="K1224" s="2">
        <v>0</v>
      </c>
      <c r="L1224" s="2">
        <v>908053.92</v>
      </c>
      <c r="M1224" s="3"/>
      <c r="N1224" s="4">
        <v>2.0659200000000002E-3</v>
      </c>
      <c r="O1224" s="5" t="s">
        <v>44</v>
      </c>
      <c r="P1224" s="5" t="s">
        <v>44</v>
      </c>
      <c r="Q1224" s="1"/>
      <c r="R1224" s="2">
        <v>0.08</v>
      </c>
      <c r="S1224" s="6"/>
      <c r="T1224" t="s">
        <v>45</v>
      </c>
      <c r="U1224" t="s">
        <v>53</v>
      </c>
      <c r="V1224" t="s">
        <v>44</v>
      </c>
      <c r="W1224" t="s">
        <v>43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s="4">
        <v>5.1163389600000002</v>
      </c>
      <c r="AD1224" s="4">
        <v>5.0001424999999999</v>
      </c>
      <c r="AE1224" s="2">
        <v>5.12</v>
      </c>
      <c r="AF1224" s="4">
        <v>5.0001424999999999</v>
      </c>
      <c r="AG1224" s="2">
        <v>0.78</v>
      </c>
      <c r="AH1224" s="2">
        <v>908053.92</v>
      </c>
      <c r="AI1224" s="2">
        <v>0</v>
      </c>
      <c r="AJ1224" s="5">
        <v>44673</v>
      </c>
      <c r="AK1224" t="s">
        <v>12089</v>
      </c>
      <c r="AL1224" s="2">
        <v>5.05</v>
      </c>
      <c r="AM1224" s="2">
        <v>0</v>
      </c>
      <c r="AN1224" s="2">
        <v>0</v>
      </c>
      <c r="AO1224" t="s">
        <v>44</v>
      </c>
      <c r="AP1224" t="s">
        <v>44</v>
      </c>
      <c r="AQ1224" t="s">
        <v>43</v>
      </c>
    </row>
    <row r="1225" spans="1:43" x14ac:dyDescent="0.2">
      <c r="A1225" t="s">
        <v>12088</v>
      </c>
      <c r="B1225" t="s">
        <v>45</v>
      </c>
      <c r="C1225" t="s">
        <v>11005</v>
      </c>
      <c r="D1225" t="s">
        <v>11009</v>
      </c>
      <c r="E1225" t="s">
        <v>11010</v>
      </c>
      <c r="F1225" t="s">
        <v>44</v>
      </c>
      <c r="G1225" s="1">
        <v>-28575.68</v>
      </c>
      <c r="H1225" s="2">
        <v>-28575.68</v>
      </c>
      <c r="I1225" s="2">
        <v>-28575.68</v>
      </c>
      <c r="J1225" s="2">
        <v>0</v>
      </c>
      <c r="K1225" s="2"/>
      <c r="L1225" s="2">
        <v>-28575.68</v>
      </c>
      <c r="M1225" s="3"/>
      <c r="N1225" s="4">
        <v>-6.5010000000000003E-5</v>
      </c>
      <c r="O1225" s="5" t="s">
        <v>44</v>
      </c>
      <c r="P1225" s="5">
        <v>73051</v>
      </c>
      <c r="Q1225" s="1">
        <v>0</v>
      </c>
      <c r="R1225" s="2">
        <v>0.08</v>
      </c>
      <c r="S1225" s="6"/>
      <c r="T1225" t="s">
        <v>45</v>
      </c>
      <c r="U1225" t="s">
        <v>44</v>
      </c>
      <c r="V1225" t="s">
        <v>44</v>
      </c>
      <c r="W1225" t="s">
        <v>43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s="4">
        <v>5.1163389600000002</v>
      </c>
      <c r="AD1225" s="4">
        <v>5.0001424999999999</v>
      </c>
      <c r="AE1225" s="2">
        <v>5.12</v>
      </c>
      <c r="AF1225" s="4">
        <v>5.0001424999999999</v>
      </c>
      <c r="AG1225" s="2">
        <v>-0.02</v>
      </c>
      <c r="AH1225" s="2">
        <v>-28575.68</v>
      </c>
      <c r="AI1225" s="2">
        <v>0</v>
      </c>
      <c r="AJ1225" s="5">
        <v>44673</v>
      </c>
      <c r="AK1225" t="s">
        <v>12089</v>
      </c>
      <c r="AL1225" s="2">
        <v>5.05</v>
      </c>
      <c r="AM1225" s="2">
        <v>0</v>
      </c>
      <c r="AN1225" s="2">
        <v>0</v>
      </c>
      <c r="AO1225" t="s">
        <v>44</v>
      </c>
      <c r="AP1225" t="s">
        <v>44</v>
      </c>
      <c r="AQ1225" t="s">
        <v>44</v>
      </c>
    </row>
    <row r="1226" spans="1:43" x14ac:dyDescent="0.2">
      <c r="A1226" t="s">
        <v>12088</v>
      </c>
      <c r="B1226" t="s">
        <v>11608</v>
      </c>
      <c r="C1226" t="s">
        <v>11608</v>
      </c>
      <c r="D1226" t="s">
        <v>12745</v>
      </c>
      <c r="E1226" t="s">
        <v>12746</v>
      </c>
      <c r="F1226" t="s">
        <v>12745</v>
      </c>
      <c r="G1226" s="1">
        <v>13000000</v>
      </c>
      <c r="H1226" s="2">
        <v>0</v>
      </c>
      <c r="I1226" s="2">
        <v>4838.8</v>
      </c>
      <c r="J1226" s="2">
        <v>0</v>
      </c>
      <c r="K1226" s="2">
        <v>0</v>
      </c>
      <c r="L1226" s="2">
        <v>4838.8</v>
      </c>
      <c r="M1226" s="3">
        <v>3.7221999999999998E-2</v>
      </c>
      <c r="N1226" s="4">
        <v>1.101E-5</v>
      </c>
      <c r="O1226" s="5" t="s">
        <v>44</v>
      </c>
      <c r="P1226" s="5">
        <v>44890</v>
      </c>
      <c r="Q1226" s="1">
        <v>0</v>
      </c>
      <c r="R1226" s="2"/>
      <c r="S1226" s="6">
        <v>0.34246575342500002</v>
      </c>
      <c r="T1226" t="s">
        <v>11412</v>
      </c>
      <c r="U1226" t="s">
        <v>11413</v>
      </c>
      <c r="V1226" t="s">
        <v>9802</v>
      </c>
      <c r="W1226" t="s">
        <v>43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s="4"/>
      <c r="AD1226" s="4"/>
      <c r="AE1226" s="2">
        <v>0</v>
      </c>
      <c r="AF1226" s="4">
        <v>0</v>
      </c>
      <c r="AG1226" s="2">
        <v>0</v>
      </c>
      <c r="AH1226" s="2">
        <v>4838.8</v>
      </c>
      <c r="AI1226" s="2">
        <v>0</v>
      </c>
      <c r="AJ1226" s="5">
        <v>44673</v>
      </c>
      <c r="AK1226" t="s">
        <v>12089</v>
      </c>
      <c r="AL1226" s="2">
        <v>0</v>
      </c>
      <c r="AM1226" s="2">
        <v>0</v>
      </c>
      <c r="AN1226" s="2">
        <v>0.34</v>
      </c>
      <c r="AO1226" t="s">
        <v>44</v>
      </c>
      <c r="AP1226" t="s">
        <v>44</v>
      </c>
      <c r="AQ1226" t="s">
        <v>44</v>
      </c>
    </row>
    <row r="1227" spans="1:43" x14ac:dyDescent="0.2">
      <c r="A1227" t="s">
        <v>12088</v>
      </c>
      <c r="B1227" t="s">
        <v>11608</v>
      </c>
      <c r="C1227" t="s">
        <v>11608</v>
      </c>
      <c r="D1227" t="s">
        <v>12747</v>
      </c>
      <c r="E1227" t="s">
        <v>12746</v>
      </c>
      <c r="F1227" t="s">
        <v>12747</v>
      </c>
      <c r="G1227" s="1">
        <v>-13000000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3"/>
      <c r="N1227" s="4">
        <v>0</v>
      </c>
      <c r="O1227" s="5" t="s">
        <v>44</v>
      </c>
      <c r="P1227" s="5">
        <v>44890</v>
      </c>
      <c r="Q1227" s="1">
        <v>0</v>
      </c>
      <c r="R1227" s="2"/>
      <c r="S1227" s="6"/>
      <c r="T1227" t="s">
        <v>11412</v>
      </c>
      <c r="U1227" t="s">
        <v>11413</v>
      </c>
      <c r="V1227" t="s">
        <v>9802</v>
      </c>
      <c r="W1227" t="s">
        <v>43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s="4"/>
      <c r="AD1227" s="4"/>
      <c r="AE1227" s="2">
        <v>0</v>
      </c>
      <c r="AF1227" s="4">
        <v>0</v>
      </c>
      <c r="AG1227" s="2">
        <v>0</v>
      </c>
      <c r="AH1227" s="2">
        <v>0</v>
      </c>
      <c r="AI1227" s="2">
        <v>0</v>
      </c>
      <c r="AJ1227" s="5">
        <v>44673</v>
      </c>
      <c r="AK1227" t="s">
        <v>12089</v>
      </c>
      <c r="AL1227" s="2">
        <v>0</v>
      </c>
      <c r="AM1227" s="2">
        <v>0</v>
      </c>
      <c r="AN1227" s="2">
        <v>0</v>
      </c>
      <c r="AO1227" t="s">
        <v>44</v>
      </c>
      <c r="AP1227" t="s">
        <v>44</v>
      </c>
      <c r="AQ1227" t="s">
        <v>44</v>
      </c>
    </row>
    <row r="1228" spans="1:43" x14ac:dyDescent="0.2">
      <c r="A1228" t="s">
        <v>12088</v>
      </c>
      <c r="B1228" t="s">
        <v>11608</v>
      </c>
      <c r="C1228" t="s">
        <v>11608</v>
      </c>
      <c r="D1228" t="s">
        <v>12748</v>
      </c>
      <c r="E1228" t="s">
        <v>12746</v>
      </c>
      <c r="F1228" t="s">
        <v>12748</v>
      </c>
      <c r="G1228" s="1">
        <v>13000000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3"/>
      <c r="N1228" s="4">
        <v>0</v>
      </c>
      <c r="O1228" s="5" t="s">
        <v>44</v>
      </c>
      <c r="P1228" s="5">
        <v>44890</v>
      </c>
      <c r="Q1228" s="1">
        <v>5.49</v>
      </c>
      <c r="R1228" s="2"/>
      <c r="S1228" s="6"/>
      <c r="T1228" t="s">
        <v>11412</v>
      </c>
      <c r="U1228" t="s">
        <v>11413</v>
      </c>
      <c r="V1228" t="s">
        <v>9802</v>
      </c>
      <c r="W1228" t="s">
        <v>43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s="4"/>
      <c r="AD1228" s="4"/>
      <c r="AE1228" s="2">
        <v>0</v>
      </c>
      <c r="AF1228" s="4">
        <v>0</v>
      </c>
      <c r="AG1228" s="2">
        <v>0</v>
      </c>
      <c r="AH1228" s="2">
        <v>0</v>
      </c>
      <c r="AI1228" s="2">
        <v>0</v>
      </c>
      <c r="AJ1228" s="5">
        <v>44673</v>
      </c>
      <c r="AK1228" t="s">
        <v>12089</v>
      </c>
      <c r="AL1228" s="2">
        <v>0</v>
      </c>
      <c r="AM1228" s="2">
        <v>5.49</v>
      </c>
      <c r="AN1228" s="2">
        <v>0</v>
      </c>
      <c r="AO1228" t="s">
        <v>44</v>
      </c>
      <c r="AP1228" t="s">
        <v>44</v>
      </c>
      <c r="AQ1228" t="s">
        <v>44</v>
      </c>
    </row>
    <row r="1229" spans="1:43" x14ac:dyDescent="0.2">
      <c r="A1229" t="s">
        <v>12088</v>
      </c>
      <c r="B1229" t="s">
        <v>11608</v>
      </c>
      <c r="C1229" t="s">
        <v>11608</v>
      </c>
      <c r="D1229" t="s">
        <v>11609</v>
      </c>
      <c r="E1229" t="s">
        <v>11610</v>
      </c>
      <c r="F1229" t="s">
        <v>11611</v>
      </c>
      <c r="G1229" s="1">
        <v>14000000</v>
      </c>
      <c r="H1229" s="2">
        <v>0</v>
      </c>
      <c r="I1229" s="2">
        <v>9220.7199999999993</v>
      </c>
      <c r="J1229" s="2">
        <v>0</v>
      </c>
      <c r="K1229" s="2">
        <v>0</v>
      </c>
      <c r="L1229" s="2">
        <v>9220.7199999999993</v>
      </c>
      <c r="M1229" s="3">
        <v>6.5862000000000004E-2</v>
      </c>
      <c r="N1229" s="4">
        <v>2.0979999999999999E-5</v>
      </c>
      <c r="O1229" s="5" t="s">
        <v>44</v>
      </c>
      <c r="P1229" s="5">
        <v>44914</v>
      </c>
      <c r="Q1229" s="1">
        <v>0</v>
      </c>
      <c r="R1229" s="2"/>
      <c r="S1229" s="6">
        <v>0.40273972602699998</v>
      </c>
      <c r="T1229" t="s">
        <v>11412</v>
      </c>
      <c r="U1229" t="s">
        <v>11413</v>
      </c>
      <c r="V1229" t="s">
        <v>9802</v>
      </c>
      <c r="W1229" t="s">
        <v>43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s="4"/>
      <c r="AD1229" s="4"/>
      <c r="AE1229" s="2">
        <v>0</v>
      </c>
      <c r="AF1229" s="4">
        <v>0</v>
      </c>
      <c r="AG1229" s="2">
        <v>0.01</v>
      </c>
      <c r="AH1229" s="2">
        <v>9220.7199999999993</v>
      </c>
      <c r="AI1229" s="2">
        <v>0</v>
      </c>
      <c r="AJ1229" s="5">
        <v>44673</v>
      </c>
      <c r="AK1229" t="s">
        <v>12089</v>
      </c>
      <c r="AL1229" s="2">
        <v>0</v>
      </c>
      <c r="AM1229" s="2">
        <v>0</v>
      </c>
      <c r="AN1229" s="2">
        <v>0.4</v>
      </c>
      <c r="AO1229" t="s">
        <v>44</v>
      </c>
      <c r="AP1229" t="s">
        <v>44</v>
      </c>
      <c r="AQ1229" t="s">
        <v>44</v>
      </c>
    </row>
    <row r="1230" spans="1:43" x14ac:dyDescent="0.2">
      <c r="A1230" t="s">
        <v>12088</v>
      </c>
      <c r="B1230" t="s">
        <v>11608</v>
      </c>
      <c r="C1230" t="s">
        <v>11608</v>
      </c>
      <c r="D1230" t="s">
        <v>11612</v>
      </c>
      <c r="E1230" t="s">
        <v>11610</v>
      </c>
      <c r="F1230" t="s">
        <v>11613</v>
      </c>
      <c r="G1230" s="1">
        <v>-14000000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3"/>
      <c r="N1230" s="4">
        <v>0</v>
      </c>
      <c r="O1230" s="5" t="s">
        <v>44</v>
      </c>
      <c r="P1230" s="5">
        <v>44914</v>
      </c>
      <c r="Q1230" s="1">
        <v>0</v>
      </c>
      <c r="R1230" s="2"/>
      <c r="S1230" s="6"/>
      <c r="T1230" t="s">
        <v>11412</v>
      </c>
      <c r="U1230" t="s">
        <v>11413</v>
      </c>
      <c r="V1230" t="s">
        <v>9802</v>
      </c>
      <c r="W1230" t="s">
        <v>43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s="4"/>
      <c r="AD1230" s="4"/>
      <c r="AE1230" s="2">
        <v>0</v>
      </c>
      <c r="AF1230" s="4">
        <v>0</v>
      </c>
      <c r="AG1230" s="2">
        <v>0</v>
      </c>
      <c r="AH1230" s="2">
        <v>0</v>
      </c>
      <c r="AI1230" s="2">
        <v>0</v>
      </c>
      <c r="AJ1230" s="5">
        <v>44673</v>
      </c>
      <c r="AK1230" t="s">
        <v>12089</v>
      </c>
      <c r="AL1230" s="2">
        <v>0</v>
      </c>
      <c r="AM1230" s="2">
        <v>0</v>
      </c>
      <c r="AN1230" s="2">
        <v>0</v>
      </c>
      <c r="AO1230" t="s">
        <v>44</v>
      </c>
      <c r="AP1230" t="s">
        <v>44</v>
      </c>
      <c r="AQ1230" t="s">
        <v>44</v>
      </c>
    </row>
    <row r="1231" spans="1:43" x14ac:dyDescent="0.2">
      <c r="A1231" t="s">
        <v>12088</v>
      </c>
      <c r="B1231" t="s">
        <v>11608</v>
      </c>
      <c r="C1231" t="s">
        <v>11608</v>
      </c>
      <c r="D1231" t="s">
        <v>11614</v>
      </c>
      <c r="E1231" t="s">
        <v>11610</v>
      </c>
      <c r="F1231" t="s">
        <v>11615</v>
      </c>
      <c r="G1231" s="1">
        <v>14000000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3"/>
      <c r="N1231" s="4">
        <v>0</v>
      </c>
      <c r="O1231" s="5" t="s">
        <v>44</v>
      </c>
      <c r="P1231" s="5">
        <v>44914</v>
      </c>
      <c r="Q1231" s="1">
        <v>5.63</v>
      </c>
      <c r="R1231" s="2"/>
      <c r="S1231" s="6"/>
      <c r="T1231" t="s">
        <v>11412</v>
      </c>
      <c r="U1231" t="s">
        <v>11413</v>
      </c>
      <c r="V1231" t="s">
        <v>9802</v>
      </c>
      <c r="W1231" t="s">
        <v>43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s="4"/>
      <c r="AD1231" s="4"/>
      <c r="AE1231" s="2">
        <v>0</v>
      </c>
      <c r="AF1231" s="4">
        <v>0</v>
      </c>
      <c r="AG1231" s="2">
        <v>0</v>
      </c>
      <c r="AH1231" s="2">
        <v>0</v>
      </c>
      <c r="AI1231" s="2">
        <v>0</v>
      </c>
      <c r="AJ1231" s="5">
        <v>44673</v>
      </c>
      <c r="AK1231" t="s">
        <v>12089</v>
      </c>
      <c r="AL1231" s="2">
        <v>0</v>
      </c>
      <c r="AM1231" s="2">
        <v>5.63</v>
      </c>
      <c r="AN1231" s="2">
        <v>0</v>
      </c>
      <c r="AO1231" t="s">
        <v>44</v>
      </c>
      <c r="AP1231" t="s">
        <v>44</v>
      </c>
      <c r="AQ1231" t="s">
        <v>44</v>
      </c>
    </row>
    <row r="1232" spans="1:43" x14ac:dyDescent="0.2">
      <c r="A1232" t="s">
        <v>12088</v>
      </c>
      <c r="B1232" t="s">
        <v>11608</v>
      </c>
      <c r="C1232" t="s">
        <v>11608</v>
      </c>
      <c r="D1232" t="s">
        <v>12749</v>
      </c>
      <c r="E1232" t="s">
        <v>12750</v>
      </c>
      <c r="F1232" t="s">
        <v>12749</v>
      </c>
      <c r="G1232" s="1">
        <v>13000000</v>
      </c>
      <c r="H1232" s="2">
        <v>0</v>
      </c>
      <c r="I1232" s="2">
        <v>4520.57</v>
      </c>
      <c r="J1232" s="2">
        <v>0</v>
      </c>
      <c r="K1232" s="2">
        <v>0</v>
      </c>
      <c r="L1232" s="2">
        <v>4520.57</v>
      </c>
      <c r="M1232" s="3">
        <v>3.4773999999999999E-2</v>
      </c>
      <c r="N1232" s="4">
        <v>1.028E-5</v>
      </c>
      <c r="O1232" s="5" t="s">
        <v>44</v>
      </c>
      <c r="P1232" s="5">
        <v>44890</v>
      </c>
      <c r="Q1232" s="1">
        <v>0</v>
      </c>
      <c r="R1232" s="2"/>
      <c r="S1232" s="6">
        <v>0.34246575342500002</v>
      </c>
      <c r="T1232" t="s">
        <v>11412</v>
      </c>
      <c r="U1232" t="s">
        <v>11413</v>
      </c>
      <c r="V1232" t="s">
        <v>9802</v>
      </c>
      <c r="W1232" t="s">
        <v>43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s="4"/>
      <c r="AD1232" s="4"/>
      <c r="AE1232" s="2">
        <v>0</v>
      </c>
      <c r="AF1232" s="4">
        <v>0</v>
      </c>
      <c r="AG1232" s="2">
        <v>0</v>
      </c>
      <c r="AH1232" s="2">
        <v>4520.57</v>
      </c>
      <c r="AI1232" s="2">
        <v>0</v>
      </c>
      <c r="AJ1232" s="5">
        <v>44673</v>
      </c>
      <c r="AK1232" t="s">
        <v>12089</v>
      </c>
      <c r="AL1232" s="2">
        <v>0</v>
      </c>
      <c r="AM1232" s="2">
        <v>0</v>
      </c>
      <c r="AN1232" s="2">
        <v>0.34</v>
      </c>
      <c r="AO1232" t="s">
        <v>44</v>
      </c>
      <c r="AP1232" t="s">
        <v>44</v>
      </c>
      <c r="AQ1232" t="s">
        <v>44</v>
      </c>
    </row>
    <row r="1233" spans="1:43" x14ac:dyDescent="0.2">
      <c r="A1233" t="s">
        <v>12088</v>
      </c>
      <c r="B1233" t="s">
        <v>11608</v>
      </c>
      <c r="C1233" t="s">
        <v>11608</v>
      </c>
      <c r="D1233" t="s">
        <v>12751</v>
      </c>
      <c r="E1233" t="s">
        <v>12750</v>
      </c>
      <c r="F1233" t="s">
        <v>12751</v>
      </c>
      <c r="G1233" s="1">
        <v>-13000000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3"/>
      <c r="N1233" s="4">
        <v>0</v>
      </c>
      <c r="O1233" s="5" t="s">
        <v>44</v>
      </c>
      <c r="P1233" s="5">
        <v>44890</v>
      </c>
      <c r="Q1233" s="1">
        <v>0</v>
      </c>
      <c r="R1233" s="2"/>
      <c r="S1233" s="6"/>
      <c r="T1233" t="s">
        <v>11412</v>
      </c>
      <c r="U1233" t="s">
        <v>11413</v>
      </c>
      <c r="V1233" t="s">
        <v>9802</v>
      </c>
      <c r="W1233" t="s">
        <v>43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s="4"/>
      <c r="AD1233" s="4"/>
      <c r="AE1233" s="2">
        <v>0</v>
      </c>
      <c r="AF1233" s="4">
        <v>0</v>
      </c>
      <c r="AG1233" s="2">
        <v>0</v>
      </c>
      <c r="AH1233" s="2">
        <v>0</v>
      </c>
      <c r="AI1233" s="2">
        <v>0</v>
      </c>
      <c r="AJ1233" s="5">
        <v>44673</v>
      </c>
      <c r="AK1233" t="s">
        <v>12089</v>
      </c>
      <c r="AL1233" s="2">
        <v>0</v>
      </c>
      <c r="AM1233" s="2">
        <v>0</v>
      </c>
      <c r="AN1233" s="2">
        <v>0</v>
      </c>
      <c r="AO1233" t="s">
        <v>44</v>
      </c>
      <c r="AP1233" t="s">
        <v>44</v>
      </c>
      <c r="AQ1233" t="s">
        <v>44</v>
      </c>
    </row>
    <row r="1234" spans="1:43" x14ac:dyDescent="0.2">
      <c r="A1234" t="s">
        <v>12088</v>
      </c>
      <c r="B1234" t="s">
        <v>11608</v>
      </c>
      <c r="C1234" t="s">
        <v>11608</v>
      </c>
      <c r="D1234" t="s">
        <v>12752</v>
      </c>
      <c r="E1234" t="s">
        <v>12750</v>
      </c>
      <c r="F1234" t="s">
        <v>12752</v>
      </c>
      <c r="G1234" s="1">
        <v>13000000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3"/>
      <c r="N1234" s="4">
        <v>0</v>
      </c>
      <c r="O1234" s="5" t="s">
        <v>44</v>
      </c>
      <c r="P1234" s="5">
        <v>44890</v>
      </c>
      <c r="Q1234" s="1">
        <v>5.48</v>
      </c>
      <c r="R1234" s="2"/>
      <c r="S1234" s="6"/>
      <c r="T1234" t="s">
        <v>11412</v>
      </c>
      <c r="U1234" t="s">
        <v>11413</v>
      </c>
      <c r="V1234" t="s">
        <v>9802</v>
      </c>
      <c r="W1234" t="s">
        <v>43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s="4"/>
      <c r="AD1234" s="4"/>
      <c r="AE1234" s="2">
        <v>0</v>
      </c>
      <c r="AF1234" s="4">
        <v>0</v>
      </c>
      <c r="AG1234" s="2">
        <v>0</v>
      </c>
      <c r="AH1234" s="2">
        <v>0</v>
      </c>
      <c r="AI1234" s="2">
        <v>0</v>
      </c>
      <c r="AJ1234" s="5">
        <v>44673</v>
      </c>
      <c r="AK1234" t="s">
        <v>12089</v>
      </c>
      <c r="AL1234" s="2">
        <v>0</v>
      </c>
      <c r="AM1234" s="2">
        <v>5.48</v>
      </c>
      <c r="AN1234" s="2">
        <v>0</v>
      </c>
      <c r="AO1234" t="s">
        <v>44</v>
      </c>
      <c r="AP1234" t="s">
        <v>44</v>
      </c>
      <c r="AQ1234" t="s">
        <v>44</v>
      </c>
    </row>
    <row r="1235" spans="1:43" x14ac:dyDescent="0.2">
      <c r="A1235" t="s">
        <v>12088</v>
      </c>
      <c r="B1235" t="s">
        <v>11038</v>
      </c>
      <c r="C1235" t="s">
        <v>11039</v>
      </c>
      <c r="D1235" t="s">
        <v>11971</v>
      </c>
      <c r="E1235" t="s">
        <v>11972</v>
      </c>
      <c r="F1235" t="s">
        <v>11971</v>
      </c>
      <c r="G1235" s="1">
        <v>6000000</v>
      </c>
      <c r="H1235" s="2">
        <v>5991432.3099999996</v>
      </c>
      <c r="I1235" s="2">
        <v>5993782.5700000003</v>
      </c>
      <c r="J1235" s="2">
        <v>71161.64</v>
      </c>
      <c r="K1235" s="2">
        <v>0</v>
      </c>
      <c r="L1235" s="2">
        <v>6064944.21</v>
      </c>
      <c r="M1235" s="3">
        <v>5.914955</v>
      </c>
      <c r="N1235" s="4">
        <v>1.3798400000000001E-2</v>
      </c>
      <c r="O1235" s="5">
        <v>44965</v>
      </c>
      <c r="P1235" s="5">
        <v>44965</v>
      </c>
      <c r="Q1235" s="1">
        <v>5.85</v>
      </c>
      <c r="R1235" s="2">
        <v>0.79</v>
      </c>
      <c r="S1235" s="6">
        <v>0.75635794914999999</v>
      </c>
      <c r="T1235" t="s">
        <v>111</v>
      </c>
      <c r="U1235" t="s">
        <v>11040</v>
      </c>
      <c r="V1235" t="s">
        <v>11041</v>
      </c>
      <c r="W1235" t="s">
        <v>43</v>
      </c>
      <c r="X1235" t="s">
        <v>11034</v>
      </c>
      <c r="Y1235" t="s">
        <v>44</v>
      </c>
      <c r="Z1235" t="s">
        <v>44</v>
      </c>
      <c r="AA1235" t="s">
        <v>10979</v>
      </c>
      <c r="AB1235" t="s">
        <v>44</v>
      </c>
      <c r="AC1235" s="4">
        <v>5.9509684500000004</v>
      </c>
      <c r="AD1235" s="4">
        <v>5.7945694899999998</v>
      </c>
      <c r="AE1235" s="2">
        <v>5.95</v>
      </c>
      <c r="AF1235" s="4">
        <v>5.7945694899999998</v>
      </c>
      <c r="AG1235" s="2">
        <v>5.19</v>
      </c>
      <c r="AH1235" s="2">
        <v>6064944.21</v>
      </c>
      <c r="AI1235" s="2">
        <v>0.01</v>
      </c>
      <c r="AJ1235" s="5">
        <v>44673</v>
      </c>
      <c r="AK1235" t="s">
        <v>12089</v>
      </c>
      <c r="AL1235" s="2">
        <v>5.86</v>
      </c>
      <c r="AM1235" s="2">
        <v>5.85</v>
      </c>
      <c r="AN1235" s="2">
        <v>0.76</v>
      </c>
      <c r="AO1235" t="s">
        <v>11165</v>
      </c>
      <c r="AP1235" t="s">
        <v>11973</v>
      </c>
      <c r="AQ1235" t="s">
        <v>11972</v>
      </c>
    </row>
    <row r="1236" spans="1:43" x14ac:dyDescent="0.2">
      <c r="A1236" t="s">
        <v>12088</v>
      </c>
      <c r="B1236" t="s">
        <v>11038</v>
      </c>
      <c r="C1236" t="s">
        <v>11039</v>
      </c>
      <c r="D1236" t="s">
        <v>11216</v>
      </c>
      <c r="E1236" t="s">
        <v>11217</v>
      </c>
      <c r="F1236" t="s">
        <v>11216</v>
      </c>
      <c r="G1236" s="1">
        <v>5000000</v>
      </c>
      <c r="H1236" s="2">
        <v>4994511.79</v>
      </c>
      <c r="I1236" s="2">
        <v>4994162.92</v>
      </c>
      <c r="J1236" s="2">
        <v>48904.11</v>
      </c>
      <c r="K1236" s="2">
        <v>0</v>
      </c>
      <c r="L1236" s="2">
        <v>5043067.03</v>
      </c>
      <c r="M1236" s="3">
        <v>6.0366650000000002</v>
      </c>
      <c r="N1236" s="4">
        <v>1.1473519999999999E-2</v>
      </c>
      <c r="O1236" s="5">
        <v>44979</v>
      </c>
      <c r="P1236" s="5">
        <v>44979</v>
      </c>
      <c r="Q1236" s="1">
        <v>5.95</v>
      </c>
      <c r="R1236" s="2">
        <v>0.83</v>
      </c>
      <c r="S1236" s="6">
        <v>0.79052188852000005</v>
      </c>
      <c r="T1236" t="s">
        <v>111</v>
      </c>
      <c r="U1236" t="s">
        <v>11040</v>
      </c>
      <c r="V1236" t="s">
        <v>11041</v>
      </c>
      <c r="W1236" t="s">
        <v>43</v>
      </c>
      <c r="X1236" t="s">
        <v>11034</v>
      </c>
      <c r="Y1236" t="s">
        <v>44</v>
      </c>
      <c r="Z1236" t="s">
        <v>44</v>
      </c>
      <c r="AA1236" t="s">
        <v>10979</v>
      </c>
      <c r="AB1236" t="s">
        <v>44</v>
      </c>
      <c r="AC1236" s="4">
        <v>6.0672128599999997</v>
      </c>
      <c r="AD1236" s="4">
        <v>5.9047591700000002</v>
      </c>
      <c r="AE1236" s="2">
        <v>6.07</v>
      </c>
      <c r="AF1236" s="4">
        <v>5.9047591700000002</v>
      </c>
      <c r="AG1236" s="2">
        <v>4.3099999999999996</v>
      </c>
      <c r="AH1236" s="2">
        <v>5043067.03</v>
      </c>
      <c r="AI1236" s="2">
        <v>0.01</v>
      </c>
      <c r="AJ1236" s="5">
        <v>44673</v>
      </c>
      <c r="AK1236" t="s">
        <v>12089</v>
      </c>
      <c r="AL1236" s="2">
        <v>5.98</v>
      </c>
      <c r="AM1236" s="2">
        <v>5.95</v>
      </c>
      <c r="AN1236" s="2">
        <v>0.79</v>
      </c>
      <c r="AO1236" t="s">
        <v>11165</v>
      </c>
      <c r="AP1236" t="s">
        <v>11218</v>
      </c>
      <c r="AQ1236" t="s">
        <v>11217</v>
      </c>
    </row>
    <row r="1237" spans="1:43" x14ac:dyDescent="0.2">
      <c r="A1237" t="s">
        <v>12088</v>
      </c>
      <c r="B1237" t="s">
        <v>11038</v>
      </c>
      <c r="C1237" t="s">
        <v>11039</v>
      </c>
      <c r="D1237" t="s">
        <v>12090</v>
      </c>
      <c r="E1237" t="s">
        <v>12091</v>
      </c>
      <c r="F1237" t="s">
        <v>12090</v>
      </c>
      <c r="G1237" s="1">
        <v>3000000</v>
      </c>
      <c r="H1237" s="2">
        <v>3000000</v>
      </c>
      <c r="I1237" s="2">
        <v>2999087.64</v>
      </c>
      <c r="J1237" s="2">
        <v>25569.86</v>
      </c>
      <c r="K1237" s="2">
        <v>0</v>
      </c>
      <c r="L1237" s="2">
        <v>3024657.5</v>
      </c>
      <c r="M1237" s="3">
        <v>6.0835429999999997</v>
      </c>
      <c r="N1237" s="4">
        <v>6.8814200000000001E-3</v>
      </c>
      <c r="O1237" s="5">
        <v>44988</v>
      </c>
      <c r="P1237" s="5">
        <v>44988</v>
      </c>
      <c r="Q1237" s="1">
        <v>6.1</v>
      </c>
      <c r="R1237" s="2">
        <v>0.85</v>
      </c>
      <c r="S1237" s="6">
        <v>0.81254093581999998</v>
      </c>
      <c r="T1237" t="s">
        <v>111</v>
      </c>
      <c r="U1237" t="s">
        <v>11040</v>
      </c>
      <c r="V1237" t="s">
        <v>11041</v>
      </c>
      <c r="W1237" t="s">
        <v>43</v>
      </c>
      <c r="X1237" t="s">
        <v>11034</v>
      </c>
      <c r="Y1237" t="s">
        <v>44</v>
      </c>
      <c r="Z1237" t="s">
        <v>44</v>
      </c>
      <c r="AA1237" t="s">
        <v>10979</v>
      </c>
      <c r="AB1237" t="s">
        <v>44</v>
      </c>
      <c r="AC1237" s="4">
        <v>6.1100351799999997</v>
      </c>
      <c r="AD1237" s="4">
        <v>5.9453231400000002</v>
      </c>
      <c r="AE1237" s="2">
        <v>6.11</v>
      </c>
      <c r="AF1237" s="4">
        <v>5.9453231400000002</v>
      </c>
      <c r="AG1237" s="2">
        <v>2.59</v>
      </c>
      <c r="AH1237" s="2">
        <v>3024657.5</v>
      </c>
      <c r="AI1237" s="2">
        <v>0.01</v>
      </c>
      <c r="AJ1237" s="5">
        <v>44673</v>
      </c>
      <c r="AK1237" t="s">
        <v>12089</v>
      </c>
      <c r="AL1237" s="2">
        <v>6.02</v>
      </c>
      <c r="AM1237" s="2">
        <v>6.1</v>
      </c>
      <c r="AN1237" s="2">
        <v>0.81</v>
      </c>
      <c r="AO1237" t="s">
        <v>11165</v>
      </c>
      <c r="AP1237" t="s">
        <v>12092</v>
      </c>
      <c r="AQ1237" t="s">
        <v>12091</v>
      </c>
    </row>
    <row r="1238" spans="1:43" x14ac:dyDescent="0.2">
      <c r="A1238" t="s">
        <v>12088</v>
      </c>
      <c r="B1238" t="s">
        <v>11038</v>
      </c>
      <c r="C1238" t="s">
        <v>11039</v>
      </c>
      <c r="D1238" t="s">
        <v>12844</v>
      </c>
      <c r="E1238" t="s">
        <v>12845</v>
      </c>
      <c r="F1238" t="s">
        <v>12844</v>
      </c>
      <c r="G1238" s="1">
        <v>3000000</v>
      </c>
      <c r="H1238" s="2">
        <v>3000000</v>
      </c>
      <c r="I1238" s="2">
        <v>3003129.47</v>
      </c>
      <c r="J1238" s="2">
        <v>12004.11</v>
      </c>
      <c r="K1238" s="2">
        <v>0</v>
      </c>
      <c r="L1238" s="2">
        <v>3015133.58</v>
      </c>
      <c r="M1238" s="3">
        <v>6.2045560000000002</v>
      </c>
      <c r="N1238" s="4">
        <v>6.8597500000000004E-3</v>
      </c>
      <c r="O1238" s="5">
        <v>45016</v>
      </c>
      <c r="P1238" s="5">
        <v>45016</v>
      </c>
      <c r="Q1238" s="1">
        <v>6.35</v>
      </c>
      <c r="R1238" s="2">
        <v>0.93</v>
      </c>
      <c r="S1238" s="6">
        <v>0.88061116438999998</v>
      </c>
      <c r="T1238" t="s">
        <v>111</v>
      </c>
      <c r="U1238" t="s">
        <v>11040</v>
      </c>
      <c r="V1238" t="s">
        <v>11041</v>
      </c>
      <c r="W1238" t="s">
        <v>43</v>
      </c>
      <c r="X1238" t="s">
        <v>11034</v>
      </c>
      <c r="Y1238" t="s">
        <v>44</v>
      </c>
      <c r="Z1238" t="s">
        <v>44</v>
      </c>
      <c r="AA1238" t="s">
        <v>11035</v>
      </c>
      <c r="AB1238" t="s">
        <v>44</v>
      </c>
      <c r="AC1238" s="4">
        <v>6.2175109700000002</v>
      </c>
      <c r="AD1238" s="4">
        <v>6.0470648499999999</v>
      </c>
      <c r="AE1238" s="2">
        <v>6.22</v>
      </c>
      <c r="AF1238" s="4">
        <v>6.0470648499999999</v>
      </c>
      <c r="AG1238" s="2">
        <v>2.58</v>
      </c>
      <c r="AH1238" s="2">
        <v>3015133.58</v>
      </c>
      <c r="AI1238" s="2">
        <v>0.01</v>
      </c>
      <c r="AJ1238" s="5">
        <v>44673</v>
      </c>
      <c r="AK1238" t="s">
        <v>12089</v>
      </c>
      <c r="AL1238" s="2">
        <v>6.12</v>
      </c>
      <c r="AM1238" s="2">
        <v>6.35</v>
      </c>
      <c r="AN1238" s="2">
        <v>0.88</v>
      </c>
      <c r="AO1238" t="s">
        <v>11036</v>
      </c>
      <c r="AP1238" t="s">
        <v>12846</v>
      </c>
      <c r="AQ1238" t="s">
        <v>12845</v>
      </c>
    </row>
    <row r="1239" spans="1:43" x14ac:dyDescent="0.2">
      <c r="A1239" t="s">
        <v>12088</v>
      </c>
      <c r="B1239" t="s">
        <v>11038</v>
      </c>
      <c r="C1239" t="s">
        <v>11222</v>
      </c>
      <c r="D1239" t="s">
        <v>12730</v>
      </c>
      <c r="E1239" t="s">
        <v>12731</v>
      </c>
      <c r="F1239" t="s">
        <v>12730</v>
      </c>
      <c r="G1239" s="1">
        <v>800000</v>
      </c>
      <c r="H1239" s="2">
        <v>800000</v>
      </c>
      <c r="I1239" s="2">
        <v>800000.5</v>
      </c>
      <c r="J1239" s="2">
        <v>4168.37</v>
      </c>
      <c r="K1239" s="2">
        <v>0</v>
      </c>
      <c r="L1239" s="2">
        <v>804168.87</v>
      </c>
      <c r="M1239" s="3">
        <v>6.4543710000000001</v>
      </c>
      <c r="N1239" s="4">
        <v>1.82957E-3</v>
      </c>
      <c r="O1239" s="5">
        <v>44739</v>
      </c>
      <c r="P1239" s="5">
        <v>46563</v>
      </c>
      <c r="Q1239" s="1">
        <v>6.5579999999999998</v>
      </c>
      <c r="R1239" s="2">
        <v>0.17</v>
      </c>
      <c r="S1239" s="6">
        <v>0.10239071847800001</v>
      </c>
      <c r="T1239" t="s">
        <v>111</v>
      </c>
      <c r="U1239" t="s">
        <v>11040</v>
      </c>
      <c r="V1239" t="s">
        <v>11189</v>
      </c>
      <c r="W1239" t="s">
        <v>43</v>
      </c>
      <c r="X1239" t="s">
        <v>11034</v>
      </c>
      <c r="Y1239" t="s">
        <v>44</v>
      </c>
      <c r="Z1239" t="s">
        <v>44</v>
      </c>
      <c r="AA1239" t="s">
        <v>11035</v>
      </c>
      <c r="AB1239" t="s">
        <v>44</v>
      </c>
      <c r="AC1239" s="4">
        <v>6.6291599999999997</v>
      </c>
      <c r="AD1239" s="4">
        <v>6.4358805400000003</v>
      </c>
      <c r="AE1239" s="2">
        <v>6.63</v>
      </c>
      <c r="AF1239" s="4">
        <v>6.4358805400000003</v>
      </c>
      <c r="AG1239" s="2">
        <v>0.69</v>
      </c>
      <c r="AH1239" s="2">
        <v>804168.87</v>
      </c>
      <c r="AI1239" s="2">
        <v>0</v>
      </c>
      <c r="AJ1239" s="5">
        <v>44673</v>
      </c>
      <c r="AK1239" t="s">
        <v>12089</v>
      </c>
      <c r="AL1239" s="2">
        <v>6.52</v>
      </c>
      <c r="AM1239" s="2">
        <v>6.56</v>
      </c>
      <c r="AN1239" s="2">
        <v>0.1</v>
      </c>
      <c r="AO1239" t="s">
        <v>11226</v>
      </c>
      <c r="AP1239" t="s">
        <v>12732</v>
      </c>
      <c r="AQ1239" t="s">
        <v>12731</v>
      </c>
    </row>
    <row r="1240" spans="1:43" x14ac:dyDescent="0.2">
      <c r="A1240" t="s">
        <v>12088</v>
      </c>
      <c r="B1240" t="s">
        <v>11038</v>
      </c>
      <c r="C1240" t="s">
        <v>11222</v>
      </c>
      <c r="D1240" t="s">
        <v>11223</v>
      </c>
      <c r="E1240" t="s">
        <v>11224</v>
      </c>
      <c r="F1240" t="s">
        <v>11223</v>
      </c>
      <c r="G1240" s="1">
        <v>3210000</v>
      </c>
      <c r="H1240" s="2">
        <v>3300441.43</v>
      </c>
      <c r="I1240" s="2">
        <v>3298107.58</v>
      </c>
      <c r="J1240" s="2">
        <v>50335.97</v>
      </c>
      <c r="K1240" s="2">
        <v>0</v>
      </c>
      <c r="L1240" s="2">
        <v>3354365.43</v>
      </c>
      <c r="M1240" s="3">
        <v>7.1645300000000001</v>
      </c>
      <c r="N1240" s="4">
        <v>7.63154E-3</v>
      </c>
      <c r="O1240" s="5">
        <v>44693</v>
      </c>
      <c r="P1240" s="5">
        <v>45516</v>
      </c>
      <c r="Q1240" s="1">
        <v>8.4169999999999998</v>
      </c>
      <c r="R1240" s="2">
        <v>0.05</v>
      </c>
      <c r="S1240" s="6">
        <v>3.2810324337999998E-2</v>
      </c>
      <c r="T1240" t="s">
        <v>111</v>
      </c>
      <c r="U1240" t="s">
        <v>11040</v>
      </c>
      <c r="V1240" t="s">
        <v>11189</v>
      </c>
      <c r="W1240" t="s">
        <v>43</v>
      </c>
      <c r="X1240" t="s">
        <v>11034</v>
      </c>
      <c r="Y1240" t="s">
        <v>44</v>
      </c>
      <c r="Z1240" t="s">
        <v>44</v>
      </c>
      <c r="AA1240" t="s">
        <v>11035</v>
      </c>
      <c r="AB1240" t="s">
        <v>11225</v>
      </c>
      <c r="AC1240" s="4">
        <v>7.41461039</v>
      </c>
      <c r="AD1240" s="4">
        <v>7.1739613599999998</v>
      </c>
      <c r="AE1240" s="2">
        <v>7.41</v>
      </c>
      <c r="AF1240" s="4">
        <v>7.1739613599999998</v>
      </c>
      <c r="AG1240" s="2">
        <v>2.87</v>
      </c>
      <c r="AH1240" s="2">
        <v>3354365.43</v>
      </c>
      <c r="AI1240" s="2">
        <v>0.01</v>
      </c>
      <c r="AJ1240" s="5">
        <v>44673</v>
      </c>
      <c r="AK1240" t="s">
        <v>12089</v>
      </c>
      <c r="AL1240" s="2">
        <v>7.28</v>
      </c>
      <c r="AM1240" s="2">
        <v>8.42</v>
      </c>
      <c r="AN1240" s="2">
        <v>0.03</v>
      </c>
      <c r="AO1240" t="s">
        <v>11226</v>
      </c>
      <c r="AP1240" t="s">
        <v>11227</v>
      </c>
      <c r="AQ1240" t="s">
        <v>11224</v>
      </c>
    </row>
    <row r="1241" spans="1:43" x14ac:dyDescent="0.2">
      <c r="A1241" t="s">
        <v>12088</v>
      </c>
      <c r="B1241" t="s">
        <v>11160</v>
      </c>
      <c r="C1241" t="s">
        <v>11161</v>
      </c>
      <c r="D1241" t="s">
        <v>11162</v>
      </c>
      <c r="E1241" t="s">
        <v>11163</v>
      </c>
      <c r="F1241" t="s">
        <v>11162</v>
      </c>
      <c r="G1241" s="1">
        <v>3417</v>
      </c>
      <c r="H1241" s="2">
        <v>2856612</v>
      </c>
      <c r="I1241" s="2">
        <v>3075300</v>
      </c>
      <c r="J1241" s="2">
        <v>0</v>
      </c>
      <c r="K1241" s="2">
        <v>85223.72</v>
      </c>
      <c r="L1241" s="2">
        <v>3160523.72</v>
      </c>
      <c r="M1241" s="3">
        <v>90000</v>
      </c>
      <c r="N1241" s="4">
        <v>7.1905299999999997E-3</v>
      </c>
      <c r="O1241" s="5" t="s">
        <v>44</v>
      </c>
      <c r="P1241" s="5" t="s">
        <v>44</v>
      </c>
      <c r="Q1241" s="1"/>
      <c r="R1241" s="2"/>
      <c r="S1241" s="6"/>
      <c r="T1241" t="s">
        <v>10902</v>
      </c>
      <c r="U1241" t="s">
        <v>10902</v>
      </c>
      <c r="V1241" t="s">
        <v>11164</v>
      </c>
      <c r="W1241" t="s">
        <v>43</v>
      </c>
      <c r="X1241" t="s">
        <v>44</v>
      </c>
      <c r="Y1241" t="s">
        <v>44</v>
      </c>
      <c r="Z1241" t="s">
        <v>44</v>
      </c>
      <c r="AA1241" t="s">
        <v>10979</v>
      </c>
      <c r="AB1241" t="s">
        <v>44</v>
      </c>
      <c r="AC1241" s="4"/>
      <c r="AD1241" s="4"/>
      <c r="AE1241" s="2">
        <v>0</v>
      </c>
      <c r="AF1241" s="4">
        <v>0</v>
      </c>
      <c r="AG1241" s="2">
        <v>2.7</v>
      </c>
      <c r="AH1241" s="2">
        <v>3160523.72</v>
      </c>
      <c r="AI1241" s="2">
        <v>0.01</v>
      </c>
      <c r="AJ1241" s="5">
        <v>44673</v>
      </c>
      <c r="AK1241" t="s">
        <v>12089</v>
      </c>
      <c r="AL1241" s="2">
        <v>0</v>
      </c>
      <c r="AM1241" s="2">
        <v>0</v>
      </c>
      <c r="AN1241" s="2">
        <v>0</v>
      </c>
      <c r="AO1241" t="s">
        <v>11165</v>
      </c>
      <c r="AP1241" t="s">
        <v>11166</v>
      </c>
      <c r="AQ1241" t="s">
        <v>11163</v>
      </c>
    </row>
    <row r="1242" spans="1:43" x14ac:dyDescent="0.2">
      <c r="A1242" t="s">
        <v>12088</v>
      </c>
      <c r="B1242" t="s">
        <v>11160</v>
      </c>
      <c r="C1242" t="s">
        <v>11161</v>
      </c>
      <c r="D1242" t="s">
        <v>11167</v>
      </c>
      <c r="E1242" t="s">
        <v>11168</v>
      </c>
      <c r="F1242" t="s">
        <v>11167</v>
      </c>
      <c r="G1242" s="1">
        <v>40454</v>
      </c>
      <c r="H1242" s="2">
        <v>3893292.96</v>
      </c>
      <c r="I1242" s="2">
        <v>3909879.1</v>
      </c>
      <c r="J1242" s="2">
        <v>0</v>
      </c>
      <c r="K1242" s="2">
        <v>0</v>
      </c>
      <c r="L1242" s="2">
        <v>3909879.1</v>
      </c>
      <c r="M1242" s="3">
        <v>9665</v>
      </c>
      <c r="N1242" s="4">
        <v>8.8953999999999995E-3</v>
      </c>
      <c r="O1242" s="5" t="s">
        <v>44</v>
      </c>
      <c r="P1242" s="5" t="s">
        <v>44</v>
      </c>
      <c r="Q1242" s="1"/>
      <c r="R1242" s="2"/>
      <c r="S1242" s="6"/>
      <c r="T1242" t="s">
        <v>10902</v>
      </c>
      <c r="U1242" t="s">
        <v>10902</v>
      </c>
      <c r="V1242" t="s">
        <v>11164</v>
      </c>
      <c r="W1242" t="s">
        <v>43</v>
      </c>
      <c r="X1242" t="s">
        <v>11164</v>
      </c>
      <c r="Y1242" t="s">
        <v>44</v>
      </c>
      <c r="Z1242" t="s">
        <v>44</v>
      </c>
      <c r="AA1242" t="s">
        <v>44</v>
      </c>
      <c r="AB1242" t="s">
        <v>44</v>
      </c>
      <c r="AC1242" s="4"/>
      <c r="AD1242" s="4"/>
      <c r="AE1242" s="2">
        <v>0</v>
      </c>
      <c r="AF1242" s="4">
        <v>0</v>
      </c>
      <c r="AG1242" s="2">
        <v>3.34</v>
      </c>
      <c r="AH1242" s="2">
        <v>3909879.1</v>
      </c>
      <c r="AI1242" s="2">
        <v>0.01</v>
      </c>
      <c r="AJ1242" s="5">
        <v>44673</v>
      </c>
      <c r="AK1242" t="s">
        <v>12089</v>
      </c>
      <c r="AL1242" s="2">
        <v>0</v>
      </c>
      <c r="AM1242" s="2">
        <v>0</v>
      </c>
      <c r="AN1242" s="2">
        <v>0</v>
      </c>
      <c r="AO1242" t="s">
        <v>44</v>
      </c>
      <c r="AP1242" t="s">
        <v>11169</v>
      </c>
      <c r="AQ1242" t="s">
        <v>11168</v>
      </c>
    </row>
    <row r="1243" spans="1:43" x14ac:dyDescent="0.2">
      <c r="A1243" t="s">
        <v>12088</v>
      </c>
      <c r="B1243" t="s">
        <v>11160</v>
      </c>
      <c r="C1243" t="s">
        <v>11161</v>
      </c>
      <c r="D1243" t="s">
        <v>11170</v>
      </c>
      <c r="E1243" t="s">
        <v>11171</v>
      </c>
      <c r="F1243" t="s">
        <v>11170</v>
      </c>
      <c r="G1243" s="1">
        <v>29175</v>
      </c>
      <c r="H1243" s="2">
        <v>2611162.5</v>
      </c>
      <c r="I1243" s="2">
        <v>2810719.5</v>
      </c>
      <c r="J1243" s="2">
        <v>0</v>
      </c>
      <c r="K1243" s="2">
        <v>0</v>
      </c>
      <c r="L1243" s="2">
        <v>2810719.5</v>
      </c>
      <c r="M1243" s="3">
        <v>9634</v>
      </c>
      <c r="N1243" s="4">
        <v>6.3946899999999997E-3</v>
      </c>
      <c r="O1243" s="5" t="s">
        <v>44</v>
      </c>
      <c r="P1243" s="5" t="s">
        <v>44</v>
      </c>
      <c r="Q1243" s="1"/>
      <c r="R1243" s="2"/>
      <c r="S1243" s="6"/>
      <c r="T1243" t="s">
        <v>10902</v>
      </c>
      <c r="U1243" t="s">
        <v>10902</v>
      </c>
      <c r="V1243" t="s">
        <v>11164</v>
      </c>
      <c r="W1243" t="s">
        <v>43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s="4"/>
      <c r="AD1243" s="4"/>
      <c r="AE1243" s="2">
        <v>0</v>
      </c>
      <c r="AF1243" s="4">
        <v>0</v>
      </c>
      <c r="AG1243" s="2">
        <v>2.4</v>
      </c>
      <c r="AH1243" s="2">
        <v>2810719.5</v>
      </c>
      <c r="AI1243" s="2">
        <v>0.01</v>
      </c>
      <c r="AJ1243" s="5">
        <v>44673</v>
      </c>
      <c r="AK1243" t="s">
        <v>12089</v>
      </c>
      <c r="AL1243" s="2">
        <v>0</v>
      </c>
      <c r="AM1243" s="2">
        <v>0</v>
      </c>
      <c r="AN1243" s="2">
        <v>0</v>
      </c>
      <c r="AO1243" t="s">
        <v>44</v>
      </c>
      <c r="AP1243" t="s">
        <v>11172</v>
      </c>
      <c r="AQ1243" t="s">
        <v>11171</v>
      </c>
    </row>
    <row r="1244" spans="1:43" x14ac:dyDescent="0.2">
      <c r="A1244" t="s">
        <v>12088</v>
      </c>
      <c r="B1244" t="s">
        <v>11160</v>
      </c>
      <c r="C1244" t="s">
        <v>11161</v>
      </c>
      <c r="D1244" t="s">
        <v>11173</v>
      </c>
      <c r="E1244" t="s">
        <v>11174</v>
      </c>
      <c r="F1244" t="s">
        <v>11173</v>
      </c>
      <c r="G1244" s="1">
        <v>12330</v>
      </c>
      <c r="H1244" s="2">
        <v>1084916.7</v>
      </c>
      <c r="I1244" s="2">
        <v>1060380</v>
      </c>
      <c r="J1244" s="2">
        <v>0</v>
      </c>
      <c r="K1244" s="2">
        <v>0</v>
      </c>
      <c r="L1244" s="2">
        <v>1060380</v>
      </c>
      <c r="M1244" s="3">
        <v>8600</v>
      </c>
      <c r="N1244" s="4">
        <v>2.4124799999999998E-3</v>
      </c>
      <c r="O1244" s="5" t="s">
        <v>44</v>
      </c>
      <c r="P1244" s="5" t="s">
        <v>44</v>
      </c>
      <c r="Q1244" s="1"/>
      <c r="R1244" s="2"/>
      <c r="S1244" s="6"/>
      <c r="T1244" t="s">
        <v>10902</v>
      </c>
      <c r="U1244" t="s">
        <v>10902</v>
      </c>
      <c r="V1244" t="s">
        <v>11164</v>
      </c>
      <c r="W1244" t="s">
        <v>43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s="4"/>
      <c r="AD1244" s="4"/>
      <c r="AE1244" s="2">
        <v>0</v>
      </c>
      <c r="AF1244" s="4">
        <v>0</v>
      </c>
      <c r="AG1244" s="2">
        <v>0.91</v>
      </c>
      <c r="AH1244" s="2">
        <v>1060380</v>
      </c>
      <c r="AI1244" s="2">
        <v>0</v>
      </c>
      <c r="AJ1244" s="5">
        <v>44673</v>
      </c>
      <c r="AK1244" t="s">
        <v>12089</v>
      </c>
      <c r="AL1244" s="2">
        <v>0</v>
      </c>
      <c r="AM1244" s="2">
        <v>0</v>
      </c>
      <c r="AN1244" s="2">
        <v>0</v>
      </c>
      <c r="AO1244" t="s">
        <v>44</v>
      </c>
      <c r="AP1244" t="s">
        <v>11175</v>
      </c>
      <c r="AQ1244" t="s">
        <v>11174</v>
      </c>
    </row>
    <row r="1245" spans="1:43" x14ac:dyDescent="0.2">
      <c r="A1245" t="s">
        <v>12088</v>
      </c>
      <c r="B1245" t="s">
        <v>11160</v>
      </c>
      <c r="C1245" t="s">
        <v>11161</v>
      </c>
      <c r="D1245" t="s">
        <v>11176</v>
      </c>
      <c r="E1245" t="s">
        <v>11177</v>
      </c>
      <c r="F1245" t="s">
        <v>11178</v>
      </c>
      <c r="G1245" s="1">
        <v>4799</v>
      </c>
      <c r="H1245" s="2">
        <v>422312</v>
      </c>
      <c r="I1245" s="2">
        <v>443379.61</v>
      </c>
      <c r="J1245" s="2">
        <v>0</v>
      </c>
      <c r="K1245" s="2">
        <v>0</v>
      </c>
      <c r="L1245" s="2">
        <v>443379.61</v>
      </c>
      <c r="M1245" s="3">
        <v>9239</v>
      </c>
      <c r="N1245" s="4">
        <v>1.0087399999999999E-3</v>
      </c>
      <c r="O1245" s="5" t="s">
        <v>44</v>
      </c>
      <c r="P1245" s="5" t="s">
        <v>44</v>
      </c>
      <c r="Q1245" s="1"/>
      <c r="R1245" s="2"/>
      <c r="S1245" s="6"/>
      <c r="T1245" t="s">
        <v>10902</v>
      </c>
      <c r="U1245" t="s">
        <v>10902</v>
      </c>
      <c r="V1245" t="s">
        <v>11164</v>
      </c>
      <c r="W1245" t="s">
        <v>43</v>
      </c>
      <c r="X1245" t="s">
        <v>44</v>
      </c>
      <c r="Y1245" t="s">
        <v>44</v>
      </c>
      <c r="Z1245" t="s">
        <v>44</v>
      </c>
      <c r="AA1245" t="s">
        <v>10979</v>
      </c>
      <c r="AB1245" t="s">
        <v>44</v>
      </c>
      <c r="AC1245" s="4"/>
      <c r="AD1245" s="4"/>
      <c r="AE1245" s="2">
        <v>0</v>
      </c>
      <c r="AF1245" s="4">
        <v>0</v>
      </c>
      <c r="AG1245" s="2">
        <v>0.38</v>
      </c>
      <c r="AH1245" s="2">
        <v>443379.61</v>
      </c>
      <c r="AI1245" s="2">
        <v>0</v>
      </c>
      <c r="AJ1245" s="5">
        <v>44673</v>
      </c>
      <c r="AK1245" t="s">
        <v>12089</v>
      </c>
      <c r="AL1245" s="2">
        <v>0</v>
      </c>
      <c r="AM1245" s="2">
        <v>0</v>
      </c>
      <c r="AN1245" s="2">
        <v>0</v>
      </c>
      <c r="AO1245" t="s">
        <v>11179</v>
      </c>
      <c r="AP1245" t="s">
        <v>11180</v>
      </c>
      <c r="AQ1245" t="s">
        <v>11177</v>
      </c>
    </row>
    <row r="1246" spans="1:43" x14ac:dyDescent="0.2">
      <c r="A1246" t="s">
        <v>12088</v>
      </c>
      <c r="B1246" t="s">
        <v>10951</v>
      </c>
      <c r="C1246" t="s">
        <v>10952</v>
      </c>
      <c r="D1246" t="s">
        <v>11028</v>
      </c>
      <c r="E1246" t="s">
        <v>11029</v>
      </c>
      <c r="F1246" t="s">
        <v>11028</v>
      </c>
      <c r="G1246" s="1">
        <v>5916085.2879999997</v>
      </c>
      <c r="H1246" s="2">
        <v>5915596.71</v>
      </c>
      <c r="I1246" s="2">
        <v>5923776.2000000002</v>
      </c>
      <c r="J1246" s="2">
        <v>0</v>
      </c>
      <c r="K1246" s="2">
        <v>0</v>
      </c>
      <c r="L1246" s="2">
        <v>5923776.2000000002</v>
      </c>
      <c r="M1246" s="3">
        <v>1.0013000000000001</v>
      </c>
      <c r="N1246" s="4">
        <v>1.347723E-2</v>
      </c>
      <c r="O1246" s="5" t="s">
        <v>44</v>
      </c>
      <c r="P1246" s="5" t="s">
        <v>44</v>
      </c>
      <c r="Q1246" s="1"/>
      <c r="R1246" s="2"/>
      <c r="S1246" s="6"/>
      <c r="T1246" t="s">
        <v>10902</v>
      </c>
      <c r="U1246" t="s">
        <v>10953</v>
      </c>
      <c r="V1246" t="s">
        <v>10954</v>
      </c>
      <c r="W1246" t="s">
        <v>43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s="4"/>
      <c r="AD1246" s="4"/>
      <c r="AE1246" s="2">
        <v>0</v>
      </c>
      <c r="AF1246" s="4">
        <v>0</v>
      </c>
      <c r="AG1246" s="2">
        <v>5.07</v>
      </c>
      <c r="AH1246" s="2">
        <v>5923776.2000000002</v>
      </c>
      <c r="AI1246" s="2">
        <v>0.01</v>
      </c>
      <c r="AJ1246" s="5">
        <v>44673</v>
      </c>
      <c r="AK1246" t="s">
        <v>12089</v>
      </c>
      <c r="AL1246" s="2">
        <v>0</v>
      </c>
      <c r="AM1246" s="2">
        <v>0</v>
      </c>
      <c r="AN1246" s="2">
        <v>0</v>
      </c>
      <c r="AO1246" t="s">
        <v>44</v>
      </c>
      <c r="AP1246" t="s">
        <v>44</v>
      </c>
      <c r="AQ1246" t="s">
        <v>11029</v>
      </c>
    </row>
    <row r="1247" spans="1:43" x14ac:dyDescent="0.2">
      <c r="A1247" t="s">
        <v>12093</v>
      </c>
      <c r="B1247" t="s">
        <v>45</v>
      </c>
      <c r="C1247" t="s">
        <v>11000</v>
      </c>
      <c r="D1247" t="s">
        <v>11268</v>
      </c>
      <c r="E1247" t="s">
        <v>11269</v>
      </c>
      <c r="F1247" t="s">
        <v>11268</v>
      </c>
      <c r="G1247" s="1">
        <v>13741948.67</v>
      </c>
      <c r="H1247" s="2">
        <v>13741948.67</v>
      </c>
      <c r="I1247" s="2">
        <v>13741948.67</v>
      </c>
      <c r="J1247" s="2">
        <v>44145.16</v>
      </c>
      <c r="K1247" s="2">
        <v>0</v>
      </c>
      <c r="L1247" s="2">
        <v>13786093.83</v>
      </c>
      <c r="M1247" s="3">
        <v>4.617</v>
      </c>
      <c r="N1247" s="4">
        <v>3.136485E-2</v>
      </c>
      <c r="O1247" s="5" t="s">
        <v>44</v>
      </c>
      <c r="P1247" s="5">
        <v>47848</v>
      </c>
      <c r="Q1247" s="1">
        <v>4.617</v>
      </c>
      <c r="R1247" s="2">
        <v>0.08</v>
      </c>
      <c r="S1247" s="6"/>
      <c r="T1247" t="s">
        <v>112</v>
      </c>
      <c r="U1247" t="s">
        <v>46</v>
      </c>
      <c r="V1247" t="s">
        <v>11270</v>
      </c>
      <c r="W1247" t="s">
        <v>43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s="4">
        <v>4.7160921900000004</v>
      </c>
      <c r="AD1247" s="4">
        <v>4.6171215200000004</v>
      </c>
      <c r="AE1247" s="2">
        <v>4.72</v>
      </c>
      <c r="AF1247" s="4">
        <v>4.6171215200000004</v>
      </c>
      <c r="AG1247" s="2">
        <v>2.12</v>
      </c>
      <c r="AH1247" s="2">
        <v>13786093.83</v>
      </c>
      <c r="AI1247" s="2">
        <v>0.03</v>
      </c>
      <c r="AJ1247" s="5">
        <v>44673</v>
      </c>
      <c r="AK1247" t="s">
        <v>12094</v>
      </c>
      <c r="AL1247" s="2">
        <v>4.66</v>
      </c>
      <c r="AM1247" s="2">
        <v>4.62</v>
      </c>
      <c r="AN1247" s="2">
        <v>0</v>
      </c>
      <c r="AO1247" t="s">
        <v>44</v>
      </c>
      <c r="AP1247" t="s">
        <v>44</v>
      </c>
      <c r="AQ1247" t="s">
        <v>11269</v>
      </c>
    </row>
    <row r="1248" spans="1:43" x14ac:dyDescent="0.2">
      <c r="A1248" t="s">
        <v>12093</v>
      </c>
      <c r="B1248" t="s">
        <v>45</v>
      </c>
      <c r="C1248" t="s">
        <v>11000</v>
      </c>
      <c r="D1248" t="s">
        <v>11273</v>
      </c>
      <c r="E1248" t="s">
        <v>11274</v>
      </c>
      <c r="F1248" t="s">
        <v>11273</v>
      </c>
      <c r="G1248" s="1">
        <v>0.18</v>
      </c>
      <c r="H1248" s="2">
        <v>0.18</v>
      </c>
      <c r="I1248" s="2">
        <v>0.18</v>
      </c>
      <c r="J1248" s="2">
        <v>0</v>
      </c>
      <c r="K1248" s="2">
        <v>0</v>
      </c>
      <c r="L1248" s="2">
        <v>0.18</v>
      </c>
      <c r="M1248" s="3"/>
      <c r="N1248" s="4">
        <v>0</v>
      </c>
      <c r="O1248" s="5">
        <v>44378</v>
      </c>
      <c r="P1248" s="5">
        <v>55153</v>
      </c>
      <c r="Q1248" s="1">
        <v>0</v>
      </c>
      <c r="R1248" s="2"/>
      <c r="S1248" s="6"/>
      <c r="T1248" t="s">
        <v>111</v>
      </c>
      <c r="U1248" t="s">
        <v>11003</v>
      </c>
      <c r="V1248" t="s">
        <v>46</v>
      </c>
      <c r="W1248" t="s">
        <v>43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s="4"/>
      <c r="AD1248" s="4"/>
      <c r="AE1248" s="2">
        <v>0</v>
      </c>
      <c r="AF1248" s="4">
        <v>0</v>
      </c>
      <c r="AG1248" s="2">
        <v>0</v>
      </c>
      <c r="AH1248" s="2">
        <v>0.18</v>
      </c>
      <c r="AI1248" s="2">
        <v>0</v>
      </c>
      <c r="AJ1248" s="5">
        <v>44673</v>
      </c>
      <c r="AK1248" t="s">
        <v>12094</v>
      </c>
      <c r="AL1248" s="2">
        <v>0</v>
      </c>
      <c r="AM1248" s="2">
        <v>0</v>
      </c>
      <c r="AN1248" s="2">
        <v>0</v>
      </c>
      <c r="AO1248" t="s">
        <v>44</v>
      </c>
      <c r="AP1248" t="s">
        <v>11275</v>
      </c>
      <c r="AQ1248" t="s">
        <v>11274</v>
      </c>
    </row>
    <row r="1249" spans="1:43" x14ac:dyDescent="0.2">
      <c r="A1249" t="s">
        <v>12093</v>
      </c>
      <c r="B1249" t="s">
        <v>45</v>
      </c>
      <c r="C1249" t="s">
        <v>11000</v>
      </c>
      <c r="D1249" t="s">
        <v>11001</v>
      </c>
      <c r="E1249" t="s">
        <v>11002</v>
      </c>
      <c r="F1249" t="s">
        <v>11001</v>
      </c>
      <c r="G1249" s="1">
        <v>146862444.63999999</v>
      </c>
      <c r="H1249" s="2">
        <v>146862444.65000001</v>
      </c>
      <c r="I1249" s="2">
        <v>146862444.65000001</v>
      </c>
      <c r="J1249" s="2">
        <v>470150.16</v>
      </c>
      <c r="K1249" s="2">
        <v>0</v>
      </c>
      <c r="L1249" s="2">
        <v>147332594.81</v>
      </c>
      <c r="M1249" s="3"/>
      <c r="N1249" s="4">
        <v>0.33519752000000003</v>
      </c>
      <c r="O1249" s="5">
        <v>40756</v>
      </c>
      <c r="P1249" s="5">
        <v>73020</v>
      </c>
      <c r="Q1249" s="1">
        <v>0</v>
      </c>
      <c r="R1249" s="2"/>
      <c r="S1249" s="6"/>
      <c r="T1249" t="s">
        <v>111</v>
      </c>
      <c r="U1249" t="s">
        <v>11003</v>
      </c>
      <c r="V1249" t="s">
        <v>46</v>
      </c>
      <c r="W1249" t="s">
        <v>43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s="4"/>
      <c r="AD1249" s="4"/>
      <c r="AE1249" s="2">
        <v>0</v>
      </c>
      <c r="AF1249" s="4">
        <v>0</v>
      </c>
      <c r="AG1249" s="2">
        <v>22.68</v>
      </c>
      <c r="AH1249" s="2">
        <v>147332594.81</v>
      </c>
      <c r="AI1249" s="2">
        <v>0.34</v>
      </c>
      <c r="AJ1249" s="5">
        <v>44673</v>
      </c>
      <c r="AK1249" t="s">
        <v>12094</v>
      </c>
      <c r="AL1249" s="2">
        <v>0</v>
      </c>
      <c r="AM1249" s="2">
        <v>0</v>
      </c>
      <c r="AN1249" s="2">
        <v>0</v>
      </c>
      <c r="AO1249" t="s">
        <v>44</v>
      </c>
      <c r="AP1249" t="s">
        <v>11004</v>
      </c>
      <c r="AQ1249" t="s">
        <v>11002</v>
      </c>
    </row>
    <row r="1250" spans="1:43" x14ac:dyDescent="0.2">
      <c r="A1250" t="s">
        <v>12093</v>
      </c>
      <c r="B1250" t="s">
        <v>45</v>
      </c>
      <c r="C1250" t="s">
        <v>11144</v>
      </c>
      <c r="D1250" t="s">
        <v>11145</v>
      </c>
      <c r="E1250" t="s">
        <v>11146</v>
      </c>
      <c r="F1250" t="s">
        <v>11147</v>
      </c>
      <c r="G1250" s="1">
        <v>9720552</v>
      </c>
      <c r="H1250" s="2">
        <v>9720552</v>
      </c>
      <c r="I1250" s="2">
        <v>9720552</v>
      </c>
      <c r="J1250" s="2">
        <v>25801.09</v>
      </c>
      <c r="K1250" s="2">
        <v>0</v>
      </c>
      <c r="L1250" s="2">
        <v>9746353.0899999999</v>
      </c>
      <c r="M1250" s="3">
        <v>6.88</v>
      </c>
      <c r="N1250" s="4">
        <v>2.2173999999999999E-2</v>
      </c>
      <c r="O1250" s="5" t="s">
        <v>44</v>
      </c>
      <c r="P1250" s="5">
        <v>55153</v>
      </c>
      <c r="Q1250" s="1">
        <v>6.88</v>
      </c>
      <c r="R1250" s="2">
        <v>0.08</v>
      </c>
      <c r="S1250" s="6">
        <v>2.6006750000000002E-3</v>
      </c>
      <c r="T1250" t="s">
        <v>112</v>
      </c>
      <c r="U1250" t="s">
        <v>46</v>
      </c>
      <c r="V1250" t="s">
        <v>11148</v>
      </c>
      <c r="W1250" t="s">
        <v>43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s="4"/>
      <c r="AD1250" s="4"/>
      <c r="AE1250" s="2">
        <v>0</v>
      </c>
      <c r="AF1250" s="4">
        <v>0</v>
      </c>
      <c r="AG1250" s="2">
        <v>1.5</v>
      </c>
      <c r="AH1250" s="2">
        <v>9746353.0899999999</v>
      </c>
      <c r="AI1250" s="2">
        <v>0.02</v>
      </c>
      <c r="AJ1250" s="5">
        <v>44673</v>
      </c>
      <c r="AK1250" t="s">
        <v>12094</v>
      </c>
      <c r="AL1250" s="2">
        <v>0</v>
      </c>
      <c r="AM1250" s="2">
        <v>6.88</v>
      </c>
      <c r="AN1250" s="2">
        <v>0</v>
      </c>
      <c r="AO1250" t="s">
        <v>11146</v>
      </c>
      <c r="AP1250" t="s">
        <v>44</v>
      </c>
      <c r="AQ1250" t="s">
        <v>11146</v>
      </c>
    </row>
    <row r="1251" spans="1:43" x14ac:dyDescent="0.2">
      <c r="A1251" t="s">
        <v>12093</v>
      </c>
      <c r="B1251" t="s">
        <v>45</v>
      </c>
      <c r="C1251" t="s">
        <v>47</v>
      </c>
      <c r="D1251" t="s">
        <v>48</v>
      </c>
      <c r="E1251" t="s">
        <v>49</v>
      </c>
      <c r="F1251" t="s">
        <v>50</v>
      </c>
      <c r="G1251" s="1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9679.15</v>
      </c>
      <c r="M1251" s="3"/>
      <c r="N1251" s="4">
        <v>2.2019999999999999E-5</v>
      </c>
      <c r="O1251" s="5" t="s">
        <v>44</v>
      </c>
      <c r="P1251" s="5" t="s">
        <v>44</v>
      </c>
      <c r="Q1251" s="1"/>
      <c r="R1251" s="2">
        <v>0.08</v>
      </c>
      <c r="S1251" s="6"/>
      <c r="T1251" t="s">
        <v>45</v>
      </c>
      <c r="U1251" t="s">
        <v>46</v>
      </c>
      <c r="V1251" t="s">
        <v>44</v>
      </c>
      <c r="W1251" t="s">
        <v>43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s="4">
        <v>5.1163389600000002</v>
      </c>
      <c r="AD1251" s="4">
        <v>5.0001424999999999</v>
      </c>
      <c r="AE1251" s="2">
        <v>5.12</v>
      </c>
      <c r="AF1251" s="4">
        <v>5.0001424999999999</v>
      </c>
      <c r="AG1251" s="2">
        <v>0</v>
      </c>
      <c r="AH1251" s="2">
        <v>9679.15</v>
      </c>
      <c r="AI1251" s="2">
        <v>0</v>
      </c>
      <c r="AJ1251" s="5">
        <v>44673</v>
      </c>
      <c r="AK1251" t="s">
        <v>12094</v>
      </c>
      <c r="AL1251" s="2">
        <v>5.05</v>
      </c>
      <c r="AM1251" s="2">
        <v>0</v>
      </c>
      <c r="AN1251" s="2">
        <v>0</v>
      </c>
      <c r="AO1251" t="s">
        <v>44</v>
      </c>
      <c r="AP1251" t="s">
        <v>44</v>
      </c>
      <c r="AQ1251" t="s">
        <v>44</v>
      </c>
    </row>
    <row r="1252" spans="1:43" x14ac:dyDescent="0.2">
      <c r="A1252" t="s">
        <v>12093</v>
      </c>
      <c r="B1252" t="s">
        <v>45</v>
      </c>
      <c r="C1252" t="s">
        <v>47</v>
      </c>
      <c r="D1252" t="s">
        <v>51</v>
      </c>
      <c r="E1252" t="s">
        <v>52</v>
      </c>
      <c r="F1252" t="s">
        <v>51</v>
      </c>
      <c r="G1252" s="1">
        <v>519493</v>
      </c>
      <c r="H1252" s="2">
        <v>519493</v>
      </c>
      <c r="I1252" s="2">
        <v>519493</v>
      </c>
      <c r="J1252" s="2">
        <v>0</v>
      </c>
      <c r="K1252" s="2">
        <v>0</v>
      </c>
      <c r="L1252" s="2">
        <v>519493</v>
      </c>
      <c r="M1252" s="3"/>
      <c r="N1252" s="4">
        <v>1.1819000000000001E-3</v>
      </c>
      <c r="O1252" s="5" t="s">
        <v>44</v>
      </c>
      <c r="P1252" s="5" t="s">
        <v>44</v>
      </c>
      <c r="Q1252" s="1"/>
      <c r="R1252" s="2">
        <v>0.08</v>
      </c>
      <c r="S1252" s="6"/>
      <c r="T1252" t="s">
        <v>45</v>
      </c>
      <c r="U1252" t="s">
        <v>53</v>
      </c>
      <c r="V1252" t="s">
        <v>44</v>
      </c>
      <c r="W1252" t="s">
        <v>43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s="4">
        <v>5.1163389600000002</v>
      </c>
      <c r="AD1252" s="4">
        <v>5.0001424999999999</v>
      </c>
      <c r="AE1252" s="2">
        <v>5.12</v>
      </c>
      <c r="AF1252" s="4">
        <v>5.0001424999999999</v>
      </c>
      <c r="AG1252" s="2">
        <v>0.08</v>
      </c>
      <c r="AH1252" s="2">
        <v>519493</v>
      </c>
      <c r="AI1252" s="2">
        <v>0</v>
      </c>
      <c r="AJ1252" s="5">
        <v>44673</v>
      </c>
      <c r="AK1252" t="s">
        <v>12094</v>
      </c>
      <c r="AL1252" s="2">
        <v>5.05</v>
      </c>
      <c r="AM1252" s="2">
        <v>0</v>
      </c>
      <c r="AN1252" s="2">
        <v>0</v>
      </c>
      <c r="AO1252" t="s">
        <v>44</v>
      </c>
      <c r="AP1252" t="s">
        <v>44</v>
      </c>
      <c r="AQ1252" t="s">
        <v>43</v>
      </c>
    </row>
    <row r="1253" spans="1:43" x14ac:dyDescent="0.2">
      <c r="A1253" t="s">
        <v>12093</v>
      </c>
      <c r="B1253" t="s">
        <v>45</v>
      </c>
      <c r="C1253" t="s">
        <v>11005</v>
      </c>
      <c r="D1253" t="s">
        <v>11009</v>
      </c>
      <c r="E1253" t="s">
        <v>11010</v>
      </c>
      <c r="F1253" t="s">
        <v>44</v>
      </c>
      <c r="G1253" s="1">
        <v>-55155.25</v>
      </c>
      <c r="H1253" s="2">
        <v>-55155.25</v>
      </c>
      <c r="I1253" s="2">
        <v>-55155.25</v>
      </c>
      <c r="J1253" s="2">
        <v>0</v>
      </c>
      <c r="K1253" s="2"/>
      <c r="L1253" s="2">
        <v>-55155.25</v>
      </c>
      <c r="M1253" s="3"/>
      <c r="N1253" s="4">
        <v>-1.2548E-4</v>
      </c>
      <c r="O1253" s="5" t="s">
        <v>44</v>
      </c>
      <c r="P1253" s="5">
        <v>73051</v>
      </c>
      <c r="Q1253" s="1">
        <v>0</v>
      </c>
      <c r="R1253" s="2">
        <v>0.08</v>
      </c>
      <c r="S1253" s="6"/>
      <c r="T1253" t="s">
        <v>45</v>
      </c>
      <c r="U1253" t="s">
        <v>44</v>
      </c>
      <c r="V1253" t="s">
        <v>44</v>
      </c>
      <c r="W1253" t="s">
        <v>43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s="4">
        <v>5.1163389600000002</v>
      </c>
      <c r="AD1253" s="4">
        <v>5.0001424999999999</v>
      </c>
      <c r="AE1253" s="2">
        <v>5.12</v>
      </c>
      <c r="AF1253" s="4">
        <v>5.0001424999999999</v>
      </c>
      <c r="AG1253" s="2">
        <v>-0.01</v>
      </c>
      <c r="AH1253" s="2">
        <v>-55155.25</v>
      </c>
      <c r="AI1253" s="2">
        <v>0</v>
      </c>
      <c r="AJ1253" s="5">
        <v>44673</v>
      </c>
      <c r="AK1253" t="s">
        <v>12094</v>
      </c>
      <c r="AL1253" s="2">
        <v>5.05</v>
      </c>
      <c r="AM1253" s="2">
        <v>0</v>
      </c>
      <c r="AN1253" s="2">
        <v>0</v>
      </c>
      <c r="AO1253" t="s">
        <v>44</v>
      </c>
      <c r="AP1253" t="s">
        <v>44</v>
      </c>
      <c r="AQ1253" t="s">
        <v>44</v>
      </c>
    </row>
    <row r="1254" spans="1:43" x14ac:dyDescent="0.2">
      <c r="A1254" t="s">
        <v>12093</v>
      </c>
      <c r="B1254" t="s">
        <v>45</v>
      </c>
      <c r="C1254" t="s">
        <v>11005</v>
      </c>
      <c r="D1254" t="s">
        <v>11149</v>
      </c>
      <c r="E1254" t="s">
        <v>11150</v>
      </c>
      <c r="F1254" t="s">
        <v>44</v>
      </c>
      <c r="G1254" s="1">
        <v>-1817920</v>
      </c>
      <c r="H1254" s="2">
        <v>-1817920</v>
      </c>
      <c r="I1254" s="2">
        <v>-1817920</v>
      </c>
      <c r="J1254" s="2">
        <v>0</v>
      </c>
      <c r="K1254" s="2"/>
      <c r="L1254" s="2">
        <v>-1817920</v>
      </c>
      <c r="M1254" s="3"/>
      <c r="N1254" s="4">
        <v>-4.1359600000000002E-3</v>
      </c>
      <c r="O1254" s="5" t="s">
        <v>44</v>
      </c>
      <c r="P1254" s="5">
        <v>73051</v>
      </c>
      <c r="Q1254" s="1">
        <v>0</v>
      </c>
      <c r="R1254" s="2">
        <v>0.08</v>
      </c>
      <c r="S1254" s="6"/>
      <c r="T1254" t="s">
        <v>45</v>
      </c>
      <c r="U1254" t="s">
        <v>44</v>
      </c>
      <c r="V1254" t="s">
        <v>44</v>
      </c>
      <c r="W1254" t="s">
        <v>43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s="4">
        <v>5.1163389600000002</v>
      </c>
      <c r="AD1254" s="4">
        <v>5.0001424999999999</v>
      </c>
      <c r="AE1254" s="2">
        <v>5.12</v>
      </c>
      <c r="AF1254" s="4">
        <v>5.0001424999999999</v>
      </c>
      <c r="AG1254" s="2">
        <v>-0.28000000000000003</v>
      </c>
      <c r="AH1254" s="2">
        <v>-1817920</v>
      </c>
      <c r="AI1254" s="2">
        <v>0</v>
      </c>
      <c r="AJ1254" s="5">
        <v>44673</v>
      </c>
      <c r="AK1254" t="s">
        <v>12094</v>
      </c>
      <c r="AL1254" s="2">
        <v>5.05</v>
      </c>
      <c r="AM1254" s="2">
        <v>0</v>
      </c>
      <c r="AN1254" s="2">
        <v>0</v>
      </c>
      <c r="AO1254" t="s">
        <v>44</v>
      </c>
      <c r="AP1254" t="s">
        <v>44</v>
      </c>
      <c r="AQ1254" t="s">
        <v>44</v>
      </c>
    </row>
    <row r="1255" spans="1:43" x14ac:dyDescent="0.2">
      <c r="A1255" t="s">
        <v>12093</v>
      </c>
      <c r="B1255" t="s">
        <v>11013</v>
      </c>
      <c r="C1255" t="s">
        <v>11014</v>
      </c>
      <c r="D1255" t="s">
        <v>11751</v>
      </c>
      <c r="E1255" t="s">
        <v>11752</v>
      </c>
      <c r="F1255" t="s">
        <v>11751</v>
      </c>
      <c r="G1255" s="1">
        <v>446951876.6699</v>
      </c>
      <c r="H1255" s="2">
        <v>458217953.85000002</v>
      </c>
      <c r="I1255" s="2">
        <v>443420956.83999997</v>
      </c>
      <c r="J1255" s="2">
        <v>0</v>
      </c>
      <c r="K1255" s="2">
        <v>0</v>
      </c>
      <c r="L1255" s="2">
        <v>443420956.83999997</v>
      </c>
      <c r="M1255" s="3">
        <v>0.99209999999999998</v>
      </c>
      <c r="N1255" s="4">
        <v>1.00883042</v>
      </c>
      <c r="O1255" s="5" t="s">
        <v>44</v>
      </c>
      <c r="P1255" s="5" t="s">
        <v>44</v>
      </c>
      <c r="Q1255" s="1"/>
      <c r="R1255" s="2"/>
      <c r="S1255" s="6"/>
      <c r="T1255" t="s">
        <v>10902</v>
      </c>
      <c r="U1255" t="s">
        <v>11003</v>
      </c>
      <c r="V1255" t="s">
        <v>11003</v>
      </c>
      <c r="W1255" t="s">
        <v>43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s="4"/>
      <c r="AD1255" s="4"/>
      <c r="AE1255" s="2">
        <v>0</v>
      </c>
      <c r="AF1255" s="4">
        <v>0</v>
      </c>
      <c r="AG1255" s="2">
        <v>68.260000000000005</v>
      </c>
      <c r="AH1255" s="2">
        <v>443420956.83999997</v>
      </c>
      <c r="AI1255" s="2">
        <v>1.01</v>
      </c>
      <c r="AJ1255" s="5">
        <v>44673</v>
      </c>
      <c r="AK1255" t="s">
        <v>12094</v>
      </c>
      <c r="AL1255" s="2">
        <v>0</v>
      </c>
      <c r="AM1255" s="2">
        <v>0</v>
      </c>
      <c r="AN1255" s="2">
        <v>0</v>
      </c>
      <c r="AO1255" t="s">
        <v>44</v>
      </c>
      <c r="AP1255" t="s">
        <v>11753</v>
      </c>
      <c r="AQ1255" t="s">
        <v>11752</v>
      </c>
    </row>
    <row r="1256" spans="1:43" x14ac:dyDescent="0.2">
      <c r="A1256" t="s">
        <v>12093</v>
      </c>
      <c r="B1256" t="s">
        <v>11024</v>
      </c>
      <c r="C1256" t="s">
        <v>57</v>
      </c>
      <c r="D1256" t="s">
        <v>11151</v>
      </c>
      <c r="E1256" t="s">
        <v>11151</v>
      </c>
      <c r="F1256" t="s">
        <v>11151</v>
      </c>
      <c r="G1256" s="1">
        <v>152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3">
        <v>65704</v>
      </c>
      <c r="N1256" s="4">
        <v>0</v>
      </c>
      <c r="O1256" s="5" t="s">
        <v>44</v>
      </c>
      <c r="P1256" s="5">
        <v>44727</v>
      </c>
      <c r="Q1256" s="1"/>
      <c r="R1256" s="2"/>
      <c r="S1256" s="6"/>
      <c r="T1256" t="s">
        <v>11026</v>
      </c>
      <c r="U1256" t="s">
        <v>11025</v>
      </c>
      <c r="V1256" t="s">
        <v>11027</v>
      </c>
      <c r="W1256" t="s">
        <v>43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s="4"/>
      <c r="AD1256" s="4"/>
      <c r="AE1256" s="2">
        <v>0</v>
      </c>
      <c r="AF1256" s="4">
        <v>0</v>
      </c>
      <c r="AG1256" s="2">
        <v>0</v>
      </c>
      <c r="AH1256" s="2">
        <v>99870080</v>
      </c>
      <c r="AI1256" s="2">
        <v>0.23</v>
      </c>
      <c r="AJ1256" s="5">
        <v>44673</v>
      </c>
      <c r="AK1256" t="s">
        <v>12094</v>
      </c>
      <c r="AL1256" s="2">
        <v>0</v>
      </c>
      <c r="AM1256" s="2">
        <v>0</v>
      </c>
      <c r="AN1256" s="2">
        <v>0</v>
      </c>
      <c r="AO1256" t="s">
        <v>44</v>
      </c>
      <c r="AP1256" t="s">
        <v>11152</v>
      </c>
      <c r="AQ1256" t="s">
        <v>11151</v>
      </c>
    </row>
    <row r="1257" spans="1:43" x14ac:dyDescent="0.2">
      <c r="A1257" t="s">
        <v>12093</v>
      </c>
      <c r="B1257" t="s">
        <v>11037</v>
      </c>
      <c r="C1257" t="s">
        <v>11296</v>
      </c>
      <c r="D1257" t="s">
        <v>12095</v>
      </c>
      <c r="E1257" t="s">
        <v>12096</v>
      </c>
      <c r="F1257" t="s">
        <v>12095</v>
      </c>
      <c r="G1257" s="1">
        <v>378381</v>
      </c>
      <c r="H1257" s="2">
        <v>0.01</v>
      </c>
      <c r="I1257" s="2">
        <v>0</v>
      </c>
      <c r="J1257" s="2">
        <v>0</v>
      </c>
      <c r="K1257" s="2">
        <v>0</v>
      </c>
      <c r="L1257" s="2">
        <v>0</v>
      </c>
      <c r="M1257" s="3">
        <v>0</v>
      </c>
      <c r="N1257" s="4">
        <v>0</v>
      </c>
      <c r="O1257" s="5" t="s">
        <v>44</v>
      </c>
      <c r="P1257" s="5" t="s">
        <v>44</v>
      </c>
      <c r="Q1257" s="1"/>
      <c r="R1257" s="2"/>
      <c r="S1257" s="6"/>
      <c r="T1257" t="s">
        <v>10902</v>
      </c>
      <c r="U1257" t="s">
        <v>10902</v>
      </c>
      <c r="V1257" t="s">
        <v>10902</v>
      </c>
      <c r="W1257" t="s">
        <v>43</v>
      </c>
      <c r="X1257" t="s">
        <v>12097</v>
      </c>
      <c r="Y1257" t="s">
        <v>12098</v>
      </c>
      <c r="Z1257" t="s">
        <v>11296</v>
      </c>
      <c r="AA1257" t="s">
        <v>44</v>
      </c>
      <c r="AB1257" t="s">
        <v>44</v>
      </c>
      <c r="AC1257" s="4"/>
      <c r="AD1257" s="4"/>
      <c r="AE1257" s="2">
        <v>0</v>
      </c>
      <c r="AF1257" s="4">
        <v>0</v>
      </c>
      <c r="AG1257" s="2">
        <v>0</v>
      </c>
      <c r="AH1257" s="2">
        <v>0</v>
      </c>
      <c r="AI1257" s="2">
        <v>0</v>
      </c>
      <c r="AJ1257" s="5">
        <v>44673</v>
      </c>
      <c r="AK1257" t="s">
        <v>12094</v>
      </c>
      <c r="AL1257" s="2">
        <v>0</v>
      </c>
      <c r="AM1257" s="2">
        <v>0</v>
      </c>
      <c r="AN1257" s="2">
        <v>0</v>
      </c>
      <c r="AO1257" t="s">
        <v>44</v>
      </c>
      <c r="AP1257" t="s">
        <v>44</v>
      </c>
      <c r="AQ1257" t="s">
        <v>12096</v>
      </c>
    </row>
    <row r="1258" spans="1:43" x14ac:dyDescent="0.2">
      <c r="A1258" t="s">
        <v>12093</v>
      </c>
      <c r="B1258" t="s">
        <v>11037</v>
      </c>
      <c r="C1258" t="s">
        <v>11050</v>
      </c>
      <c r="D1258" t="s">
        <v>12099</v>
      </c>
      <c r="E1258" t="s">
        <v>12100</v>
      </c>
      <c r="F1258" t="s">
        <v>12099</v>
      </c>
      <c r="G1258" s="1">
        <v>260000</v>
      </c>
      <c r="H1258" s="2">
        <v>26000000</v>
      </c>
      <c r="I1258" s="2">
        <v>29217760</v>
      </c>
      <c r="J1258" s="2">
        <v>0</v>
      </c>
      <c r="K1258" s="2">
        <v>0</v>
      </c>
      <c r="L1258" s="2">
        <v>29217760</v>
      </c>
      <c r="M1258" s="3">
        <v>112.376</v>
      </c>
      <c r="N1258" s="4">
        <v>6.6473550000000006E-2</v>
      </c>
      <c r="O1258" s="5" t="s">
        <v>44</v>
      </c>
      <c r="P1258" s="5" t="s">
        <v>44</v>
      </c>
      <c r="Q1258" s="1"/>
      <c r="R1258" s="2"/>
      <c r="S1258" s="6"/>
      <c r="T1258" t="s">
        <v>10902</v>
      </c>
      <c r="U1258" t="s">
        <v>10902</v>
      </c>
      <c r="V1258" t="s">
        <v>11051</v>
      </c>
      <c r="W1258" t="s">
        <v>43</v>
      </c>
      <c r="X1258" t="s">
        <v>11050</v>
      </c>
      <c r="Y1258" t="s">
        <v>44</v>
      </c>
      <c r="Z1258" t="s">
        <v>11050</v>
      </c>
      <c r="AA1258" t="s">
        <v>11035</v>
      </c>
      <c r="AB1258" t="s">
        <v>44</v>
      </c>
      <c r="AC1258" s="4"/>
      <c r="AD1258" s="4"/>
      <c r="AE1258" s="2">
        <v>0</v>
      </c>
      <c r="AF1258" s="4">
        <v>0</v>
      </c>
      <c r="AG1258" s="2">
        <v>4.5</v>
      </c>
      <c r="AH1258" s="2">
        <v>29217760</v>
      </c>
      <c r="AI1258" s="2">
        <v>7.0000000000000007E-2</v>
      </c>
      <c r="AJ1258" s="5">
        <v>44673</v>
      </c>
      <c r="AK1258" t="s">
        <v>12094</v>
      </c>
      <c r="AL1258" s="2">
        <v>0</v>
      </c>
      <c r="AM1258" s="2">
        <v>0</v>
      </c>
      <c r="AN1258" s="2">
        <v>0</v>
      </c>
      <c r="AO1258" t="s">
        <v>11053</v>
      </c>
      <c r="AP1258" t="s">
        <v>44</v>
      </c>
      <c r="AQ1258" t="s">
        <v>12100</v>
      </c>
    </row>
    <row r="1259" spans="1:43" x14ac:dyDescent="0.2">
      <c r="A1259" t="s">
        <v>12093</v>
      </c>
      <c r="B1259" t="s">
        <v>11037</v>
      </c>
      <c r="C1259" t="s">
        <v>11050</v>
      </c>
      <c r="D1259" t="s">
        <v>11323</v>
      </c>
      <c r="E1259" t="s">
        <v>11324</v>
      </c>
      <c r="F1259" t="s">
        <v>11323</v>
      </c>
      <c r="G1259" s="1">
        <v>26000000</v>
      </c>
      <c r="H1259" s="2">
        <v>26000000</v>
      </c>
      <c r="I1259" s="2">
        <v>29095997.27</v>
      </c>
      <c r="J1259" s="2">
        <v>0</v>
      </c>
      <c r="K1259" s="2">
        <v>0</v>
      </c>
      <c r="L1259" s="2">
        <v>29095997.27</v>
      </c>
      <c r="M1259" s="3">
        <v>111.90768199999999</v>
      </c>
      <c r="N1259" s="4">
        <v>6.6196530000000003E-2</v>
      </c>
      <c r="O1259" s="5" t="s">
        <v>44</v>
      </c>
      <c r="P1259" s="5" t="s">
        <v>44</v>
      </c>
      <c r="Q1259" s="1"/>
      <c r="R1259" s="2"/>
      <c r="S1259" s="6"/>
      <c r="T1259" t="s">
        <v>10902</v>
      </c>
      <c r="U1259" t="s">
        <v>10902</v>
      </c>
      <c r="V1259" t="s">
        <v>11051</v>
      </c>
      <c r="W1259" t="s">
        <v>43</v>
      </c>
      <c r="X1259" t="s">
        <v>11050</v>
      </c>
      <c r="Y1259" t="s">
        <v>44</v>
      </c>
      <c r="Z1259" t="s">
        <v>11050</v>
      </c>
      <c r="AA1259" t="s">
        <v>11035</v>
      </c>
      <c r="AB1259" t="s">
        <v>44</v>
      </c>
      <c r="AC1259" s="4"/>
      <c r="AD1259" s="4"/>
      <c r="AE1259" s="2">
        <v>0</v>
      </c>
      <c r="AF1259" s="4">
        <v>0</v>
      </c>
      <c r="AG1259" s="2">
        <v>4.4800000000000004</v>
      </c>
      <c r="AH1259" s="2">
        <v>29095997.27</v>
      </c>
      <c r="AI1259" s="2">
        <v>7.0000000000000007E-2</v>
      </c>
      <c r="AJ1259" s="5">
        <v>44673</v>
      </c>
      <c r="AK1259" t="s">
        <v>12094</v>
      </c>
      <c r="AL1259" s="2">
        <v>0</v>
      </c>
      <c r="AM1259" s="2">
        <v>0</v>
      </c>
      <c r="AN1259" s="2">
        <v>0</v>
      </c>
      <c r="AO1259" t="s">
        <v>11036</v>
      </c>
      <c r="AP1259" t="s">
        <v>44</v>
      </c>
      <c r="AQ1259" t="s">
        <v>11324</v>
      </c>
    </row>
    <row r="1260" spans="1:43" x14ac:dyDescent="0.2">
      <c r="A1260" t="s">
        <v>12093</v>
      </c>
      <c r="B1260" t="s">
        <v>11408</v>
      </c>
      <c r="C1260" t="s">
        <v>11408</v>
      </c>
      <c r="D1260" t="s">
        <v>12101</v>
      </c>
      <c r="E1260" t="s">
        <v>12102</v>
      </c>
      <c r="F1260" t="s">
        <v>12103</v>
      </c>
      <c r="G1260" s="1">
        <v>27974.875100000001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3"/>
      <c r="N1260" s="4">
        <v>0</v>
      </c>
      <c r="O1260" s="5" t="s">
        <v>44</v>
      </c>
      <c r="P1260" s="5">
        <v>44777</v>
      </c>
      <c r="Q1260" s="1">
        <v>0</v>
      </c>
      <c r="R1260" s="2"/>
      <c r="S1260" s="6"/>
      <c r="T1260" t="s">
        <v>11412</v>
      </c>
      <c r="U1260" t="s">
        <v>11413</v>
      </c>
      <c r="V1260" t="s">
        <v>11414</v>
      </c>
      <c r="W1260" t="s">
        <v>43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s="4"/>
      <c r="AD1260" s="4"/>
      <c r="AE1260" s="2">
        <v>0</v>
      </c>
      <c r="AF1260" s="4">
        <v>0</v>
      </c>
      <c r="AG1260" s="2">
        <v>0</v>
      </c>
      <c r="AH1260" s="2">
        <v>0</v>
      </c>
      <c r="AI1260" s="2">
        <v>0</v>
      </c>
      <c r="AJ1260" s="5">
        <v>44673</v>
      </c>
      <c r="AK1260" t="s">
        <v>12094</v>
      </c>
      <c r="AL1260" s="2">
        <v>0</v>
      </c>
      <c r="AM1260" s="2">
        <v>0</v>
      </c>
      <c r="AN1260" s="2">
        <v>0</v>
      </c>
      <c r="AO1260" t="s">
        <v>44</v>
      </c>
      <c r="AP1260" t="s">
        <v>44</v>
      </c>
      <c r="AQ1260" t="s">
        <v>44</v>
      </c>
    </row>
    <row r="1261" spans="1:43" x14ac:dyDescent="0.2">
      <c r="A1261" t="s">
        <v>12093</v>
      </c>
      <c r="B1261" t="s">
        <v>11408</v>
      </c>
      <c r="C1261" t="s">
        <v>11408</v>
      </c>
      <c r="D1261" t="s">
        <v>12104</v>
      </c>
      <c r="E1261" t="s">
        <v>12102</v>
      </c>
      <c r="F1261" t="s">
        <v>12105</v>
      </c>
      <c r="G1261" s="1">
        <v>-314280097.79000002</v>
      </c>
      <c r="H1261" s="2">
        <v>0</v>
      </c>
      <c r="I1261" s="2">
        <v>0</v>
      </c>
      <c r="J1261" s="2">
        <v>-833057.52</v>
      </c>
      <c r="K1261" s="2">
        <v>0</v>
      </c>
      <c r="L1261" s="2">
        <v>-833057.52</v>
      </c>
      <c r="M1261" s="3"/>
      <c r="N1261" s="4">
        <v>-1.8952999999999999E-3</v>
      </c>
      <c r="O1261" s="5" t="s">
        <v>44</v>
      </c>
      <c r="P1261" s="5">
        <v>44777</v>
      </c>
      <c r="Q1261" s="1">
        <v>0</v>
      </c>
      <c r="R1261" s="2"/>
      <c r="S1261" s="6"/>
      <c r="T1261" t="s">
        <v>11412</v>
      </c>
      <c r="U1261" t="s">
        <v>11413</v>
      </c>
      <c r="V1261" t="s">
        <v>11414</v>
      </c>
      <c r="W1261" t="s">
        <v>43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s="4"/>
      <c r="AD1261" s="4"/>
      <c r="AE1261" s="2">
        <v>0</v>
      </c>
      <c r="AF1261" s="4">
        <v>0</v>
      </c>
      <c r="AG1261" s="2">
        <v>-0.13</v>
      </c>
      <c r="AH1261" s="2">
        <v>-315113155.31</v>
      </c>
      <c r="AI1261" s="2">
        <v>-0.72</v>
      </c>
      <c r="AJ1261" s="5">
        <v>44673</v>
      </c>
      <c r="AK1261" t="s">
        <v>12094</v>
      </c>
      <c r="AL1261" s="2">
        <v>0</v>
      </c>
      <c r="AM1261" s="2">
        <v>0</v>
      </c>
      <c r="AN1261" s="2">
        <v>0</v>
      </c>
      <c r="AO1261" t="s">
        <v>44</v>
      </c>
      <c r="AP1261" t="s">
        <v>44</v>
      </c>
      <c r="AQ1261" t="s">
        <v>44</v>
      </c>
    </row>
    <row r="1262" spans="1:43" x14ac:dyDescent="0.2">
      <c r="A1262" t="s">
        <v>12093</v>
      </c>
      <c r="B1262" t="s">
        <v>11408</v>
      </c>
      <c r="C1262" t="s">
        <v>11408</v>
      </c>
      <c r="D1262" t="s">
        <v>12106</v>
      </c>
      <c r="E1262" t="s">
        <v>12102</v>
      </c>
      <c r="F1262" t="s">
        <v>12107</v>
      </c>
      <c r="G1262" s="1">
        <v>27974.875100000001</v>
      </c>
      <c r="H1262" s="2">
        <v>0</v>
      </c>
      <c r="I1262" s="2">
        <v>-13051677.99</v>
      </c>
      <c r="J1262" s="2">
        <v>0</v>
      </c>
      <c r="K1262" s="2">
        <v>0</v>
      </c>
      <c r="L1262" s="2">
        <v>-13051677.99</v>
      </c>
      <c r="M1262" s="3">
        <v>10767.82</v>
      </c>
      <c r="N1262" s="4">
        <v>-2.969397E-2</v>
      </c>
      <c r="O1262" s="5" t="s">
        <v>44</v>
      </c>
      <c r="P1262" s="5">
        <v>44777</v>
      </c>
      <c r="Q1262" s="1">
        <v>0</v>
      </c>
      <c r="R1262" s="2"/>
      <c r="S1262" s="6"/>
      <c r="T1262" t="s">
        <v>11412</v>
      </c>
      <c r="U1262" t="s">
        <v>11413</v>
      </c>
      <c r="V1262" t="s">
        <v>11414</v>
      </c>
      <c r="W1262" t="s">
        <v>43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s="4"/>
      <c r="AD1262" s="4"/>
      <c r="AE1262" s="2">
        <v>0</v>
      </c>
      <c r="AF1262" s="4">
        <v>0</v>
      </c>
      <c r="AG1262" s="2">
        <v>-2.0099999999999998</v>
      </c>
      <c r="AH1262" s="2">
        <v>301228419.80000001</v>
      </c>
      <c r="AI1262" s="2">
        <v>0.69</v>
      </c>
      <c r="AJ1262" s="5">
        <v>44673</v>
      </c>
      <c r="AK1262" t="s">
        <v>12094</v>
      </c>
      <c r="AL1262" s="2">
        <v>0</v>
      </c>
      <c r="AM1262" s="2">
        <v>0</v>
      </c>
      <c r="AN1262" s="2">
        <v>0</v>
      </c>
      <c r="AO1262" t="s">
        <v>44</v>
      </c>
      <c r="AP1262" t="s">
        <v>44</v>
      </c>
      <c r="AQ1262" t="s">
        <v>44</v>
      </c>
    </row>
    <row r="1263" spans="1:43" x14ac:dyDescent="0.2">
      <c r="A1263" t="s">
        <v>12093</v>
      </c>
      <c r="B1263" t="s">
        <v>11408</v>
      </c>
      <c r="C1263" t="s">
        <v>11408</v>
      </c>
      <c r="D1263" t="s">
        <v>11409</v>
      </c>
      <c r="E1263" t="s">
        <v>11410</v>
      </c>
      <c r="F1263" t="s">
        <v>11411</v>
      </c>
      <c r="G1263" s="1">
        <v>17333.533599999999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3"/>
      <c r="N1263" s="4">
        <v>0</v>
      </c>
      <c r="O1263" s="5" t="s">
        <v>44</v>
      </c>
      <c r="P1263" s="5">
        <v>44809</v>
      </c>
      <c r="Q1263" s="1">
        <v>0</v>
      </c>
      <c r="R1263" s="2"/>
      <c r="S1263" s="6"/>
      <c r="T1263" t="s">
        <v>11412</v>
      </c>
      <c r="U1263" t="s">
        <v>11413</v>
      </c>
      <c r="V1263" t="s">
        <v>11414</v>
      </c>
      <c r="W1263" t="s">
        <v>43</v>
      </c>
      <c r="X1263" t="s">
        <v>44</v>
      </c>
      <c r="Y1263" t="s">
        <v>44</v>
      </c>
      <c r="Z1263" t="s">
        <v>44</v>
      </c>
      <c r="AA1263" t="s">
        <v>11035</v>
      </c>
      <c r="AB1263" t="s">
        <v>44</v>
      </c>
      <c r="AC1263" s="4"/>
      <c r="AD1263" s="4"/>
      <c r="AE1263" s="2">
        <v>0</v>
      </c>
      <c r="AF1263" s="4">
        <v>0</v>
      </c>
      <c r="AG1263" s="2">
        <v>0</v>
      </c>
      <c r="AH1263" s="2">
        <v>0</v>
      </c>
      <c r="AI1263" s="2">
        <v>0</v>
      </c>
      <c r="AJ1263" s="5">
        <v>44673</v>
      </c>
      <c r="AK1263" t="s">
        <v>12094</v>
      </c>
      <c r="AL1263" s="2">
        <v>0</v>
      </c>
      <c r="AM1263" s="2">
        <v>0</v>
      </c>
      <c r="AN1263" s="2">
        <v>0</v>
      </c>
      <c r="AO1263" t="s">
        <v>11053</v>
      </c>
      <c r="AP1263" t="s">
        <v>44</v>
      </c>
      <c r="AQ1263" t="s">
        <v>44</v>
      </c>
    </row>
    <row r="1264" spans="1:43" x14ac:dyDescent="0.2">
      <c r="A1264" t="s">
        <v>12093</v>
      </c>
      <c r="B1264" t="s">
        <v>11408</v>
      </c>
      <c r="C1264" t="s">
        <v>11408</v>
      </c>
      <c r="D1264" t="s">
        <v>11415</v>
      </c>
      <c r="E1264" t="s">
        <v>11410</v>
      </c>
      <c r="F1264" t="s">
        <v>11416</v>
      </c>
      <c r="G1264" s="1">
        <v>-194731330.21000001</v>
      </c>
      <c r="H1264" s="2">
        <v>0</v>
      </c>
      <c r="I1264" s="2">
        <v>0</v>
      </c>
      <c r="J1264" s="2">
        <v>-512095.38</v>
      </c>
      <c r="K1264" s="2">
        <v>0</v>
      </c>
      <c r="L1264" s="2">
        <v>-512095.38</v>
      </c>
      <c r="M1264" s="3"/>
      <c r="N1264" s="4">
        <v>-1.16507E-3</v>
      </c>
      <c r="O1264" s="5" t="s">
        <v>44</v>
      </c>
      <c r="P1264" s="5">
        <v>44809</v>
      </c>
      <c r="Q1264" s="1">
        <v>0</v>
      </c>
      <c r="R1264" s="2"/>
      <c r="S1264" s="6"/>
      <c r="T1264" t="s">
        <v>11412</v>
      </c>
      <c r="U1264" t="s">
        <v>11413</v>
      </c>
      <c r="V1264" t="s">
        <v>11414</v>
      </c>
      <c r="W1264" t="s">
        <v>43</v>
      </c>
      <c r="X1264" t="s">
        <v>44</v>
      </c>
      <c r="Y1264" t="s">
        <v>44</v>
      </c>
      <c r="Z1264" t="s">
        <v>44</v>
      </c>
      <c r="AA1264" t="s">
        <v>11035</v>
      </c>
      <c r="AB1264" t="s">
        <v>44</v>
      </c>
      <c r="AC1264" s="4"/>
      <c r="AD1264" s="4"/>
      <c r="AE1264" s="2">
        <v>0</v>
      </c>
      <c r="AF1264" s="4">
        <v>0</v>
      </c>
      <c r="AG1264" s="2">
        <v>-0.08</v>
      </c>
      <c r="AH1264" s="2">
        <v>-195243425.59</v>
      </c>
      <c r="AI1264" s="2">
        <v>-0.44</v>
      </c>
      <c r="AJ1264" s="5">
        <v>44673</v>
      </c>
      <c r="AK1264" t="s">
        <v>12094</v>
      </c>
      <c r="AL1264" s="2">
        <v>0</v>
      </c>
      <c r="AM1264" s="2">
        <v>0</v>
      </c>
      <c r="AN1264" s="2">
        <v>0</v>
      </c>
      <c r="AO1264" t="s">
        <v>11053</v>
      </c>
      <c r="AP1264" t="s">
        <v>44</v>
      </c>
      <c r="AQ1264" t="s">
        <v>44</v>
      </c>
    </row>
    <row r="1265" spans="1:43" x14ac:dyDescent="0.2">
      <c r="A1265" t="s">
        <v>12093</v>
      </c>
      <c r="B1265" t="s">
        <v>11408</v>
      </c>
      <c r="C1265" t="s">
        <v>11408</v>
      </c>
      <c r="D1265" t="s">
        <v>11417</v>
      </c>
      <c r="E1265" t="s">
        <v>11410</v>
      </c>
      <c r="F1265" t="s">
        <v>11418</v>
      </c>
      <c r="G1265" s="1">
        <v>17333.533599999999</v>
      </c>
      <c r="H1265" s="2">
        <v>0</v>
      </c>
      <c r="I1265" s="2">
        <v>-8086960.1200000001</v>
      </c>
      <c r="J1265" s="2">
        <v>0</v>
      </c>
      <c r="K1265" s="2">
        <v>0</v>
      </c>
      <c r="L1265" s="2">
        <v>-8086960.1200000001</v>
      </c>
      <c r="M1265" s="3">
        <v>10767.82</v>
      </c>
      <c r="N1265" s="4">
        <v>-1.83987E-2</v>
      </c>
      <c r="O1265" s="5" t="s">
        <v>44</v>
      </c>
      <c r="P1265" s="5">
        <v>44809</v>
      </c>
      <c r="Q1265" s="1">
        <v>0</v>
      </c>
      <c r="R1265" s="2"/>
      <c r="S1265" s="6"/>
      <c r="T1265" t="s">
        <v>11412</v>
      </c>
      <c r="U1265" t="s">
        <v>11413</v>
      </c>
      <c r="V1265" t="s">
        <v>11414</v>
      </c>
      <c r="W1265" t="s">
        <v>43</v>
      </c>
      <c r="X1265" t="s">
        <v>44</v>
      </c>
      <c r="Y1265" t="s">
        <v>44</v>
      </c>
      <c r="Z1265" t="s">
        <v>44</v>
      </c>
      <c r="AA1265" t="s">
        <v>11035</v>
      </c>
      <c r="AB1265" t="s">
        <v>44</v>
      </c>
      <c r="AC1265" s="4"/>
      <c r="AD1265" s="4"/>
      <c r="AE1265" s="2">
        <v>0</v>
      </c>
      <c r="AF1265" s="4">
        <v>0</v>
      </c>
      <c r="AG1265" s="2">
        <v>-1.24</v>
      </c>
      <c r="AH1265" s="2">
        <v>186644370.09</v>
      </c>
      <c r="AI1265" s="2">
        <v>0.42</v>
      </c>
      <c r="AJ1265" s="5">
        <v>44673</v>
      </c>
      <c r="AK1265" t="s">
        <v>12094</v>
      </c>
      <c r="AL1265" s="2">
        <v>0</v>
      </c>
      <c r="AM1265" s="2">
        <v>0</v>
      </c>
      <c r="AN1265" s="2">
        <v>0</v>
      </c>
      <c r="AO1265" t="s">
        <v>11053</v>
      </c>
      <c r="AP1265" t="s">
        <v>44</v>
      </c>
      <c r="AQ1265" t="s">
        <v>44</v>
      </c>
    </row>
    <row r="1266" spans="1:43" x14ac:dyDescent="0.2">
      <c r="A1266" t="s">
        <v>12093</v>
      </c>
      <c r="B1266" t="s">
        <v>11030</v>
      </c>
      <c r="C1266" t="s">
        <v>11030</v>
      </c>
      <c r="D1266" t="s">
        <v>11181</v>
      </c>
      <c r="E1266" t="s">
        <v>11151</v>
      </c>
      <c r="F1266" t="s">
        <v>11181</v>
      </c>
      <c r="G1266" s="1">
        <v>152</v>
      </c>
      <c r="H1266" s="2"/>
      <c r="I1266" s="2">
        <v>0</v>
      </c>
      <c r="J1266" s="2"/>
      <c r="K1266" s="2"/>
      <c r="L1266" s="2">
        <v>0</v>
      </c>
      <c r="M1266" s="3"/>
      <c r="N1266" s="4">
        <v>0</v>
      </c>
      <c r="O1266" s="5" t="s">
        <v>44</v>
      </c>
      <c r="P1266" s="5" t="s">
        <v>44</v>
      </c>
      <c r="Q1266" s="1"/>
      <c r="R1266" s="2"/>
      <c r="S1266" s="6"/>
      <c r="T1266" t="s">
        <v>11031</v>
      </c>
      <c r="U1266" t="s">
        <v>11032</v>
      </c>
      <c r="V1266" t="s">
        <v>45</v>
      </c>
      <c r="W1266" t="s">
        <v>43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s="4"/>
      <c r="AD1266" s="4"/>
      <c r="AE1266" s="2">
        <v>0</v>
      </c>
      <c r="AF1266" s="4">
        <v>0</v>
      </c>
      <c r="AG1266" s="2">
        <v>0</v>
      </c>
      <c r="AH1266" s="2">
        <v>-99870080</v>
      </c>
      <c r="AI1266" s="2">
        <v>-0.23</v>
      </c>
      <c r="AJ1266" s="5">
        <v>44673</v>
      </c>
      <c r="AK1266" t="s">
        <v>12094</v>
      </c>
      <c r="AL1266" s="2">
        <v>0</v>
      </c>
      <c r="AM1266" s="2">
        <v>0</v>
      </c>
      <c r="AN1266" s="2">
        <v>0</v>
      </c>
      <c r="AO1266" t="s">
        <v>44</v>
      </c>
      <c r="AP1266" t="s">
        <v>44</v>
      </c>
      <c r="AQ1266" t="s">
        <v>11182</v>
      </c>
    </row>
    <row r="1267" spans="1:43" x14ac:dyDescent="0.2">
      <c r="A1267" t="s">
        <v>12108</v>
      </c>
      <c r="B1267" t="s">
        <v>10900</v>
      </c>
      <c r="C1267" t="s">
        <v>10943</v>
      </c>
      <c r="D1267" t="s">
        <v>10977</v>
      </c>
      <c r="E1267" t="s">
        <v>10978</v>
      </c>
      <c r="F1267" t="s">
        <v>10977</v>
      </c>
      <c r="G1267" s="1">
        <v>11975040</v>
      </c>
      <c r="H1267" s="2">
        <v>12151519.67</v>
      </c>
      <c r="I1267" s="2">
        <v>11255007.189999999</v>
      </c>
      <c r="J1267" s="2">
        <v>551125.79</v>
      </c>
      <c r="K1267" s="2">
        <v>0</v>
      </c>
      <c r="L1267" s="2">
        <v>11806132.98</v>
      </c>
      <c r="M1267" s="3">
        <v>11.88</v>
      </c>
      <c r="N1267" s="4">
        <v>2.6860220000000001E-2</v>
      </c>
      <c r="O1267" s="5">
        <v>44697</v>
      </c>
      <c r="P1267" s="5">
        <v>46888</v>
      </c>
      <c r="Q1267" s="1">
        <v>10.565</v>
      </c>
      <c r="R1267" s="2">
        <v>4.7300000000000004</v>
      </c>
      <c r="S1267" s="6">
        <v>4.4668326030000003</v>
      </c>
      <c r="T1267" t="s">
        <v>111</v>
      </c>
      <c r="U1267" t="s">
        <v>111</v>
      </c>
      <c r="V1267" t="s">
        <v>10944</v>
      </c>
      <c r="W1267" t="s">
        <v>43</v>
      </c>
      <c r="X1267" t="s">
        <v>44</v>
      </c>
      <c r="Y1267" t="s">
        <v>44</v>
      </c>
      <c r="Z1267" t="s">
        <v>44</v>
      </c>
      <c r="AA1267" t="s">
        <v>10979</v>
      </c>
      <c r="AB1267" t="s">
        <v>44</v>
      </c>
      <c r="AC1267" s="4">
        <v>12.232836000000001</v>
      </c>
      <c r="AD1267" s="4">
        <v>11.596213730000001</v>
      </c>
      <c r="AE1267" s="2">
        <v>12.23</v>
      </c>
      <c r="AF1267" s="4">
        <v>11.596213730000001</v>
      </c>
      <c r="AG1267" s="2">
        <v>2.56</v>
      </c>
      <c r="AH1267" s="2">
        <v>11806132.98</v>
      </c>
      <c r="AI1267" s="2">
        <v>0.03</v>
      </c>
      <c r="AJ1267" s="5">
        <v>44673</v>
      </c>
      <c r="AK1267" t="s">
        <v>12109</v>
      </c>
      <c r="AL1267" s="2">
        <v>11.88</v>
      </c>
      <c r="AM1267" s="2">
        <v>10.56</v>
      </c>
      <c r="AN1267" s="2">
        <v>4.47</v>
      </c>
      <c r="AO1267" t="s">
        <v>10980</v>
      </c>
      <c r="AP1267" t="s">
        <v>10981</v>
      </c>
      <c r="AQ1267" t="s">
        <v>10978</v>
      </c>
    </row>
    <row r="1268" spans="1:43" x14ac:dyDescent="0.2">
      <c r="A1268" t="s">
        <v>12108</v>
      </c>
      <c r="B1268" t="s">
        <v>10900</v>
      </c>
      <c r="C1268" t="s">
        <v>10943</v>
      </c>
      <c r="D1268" t="s">
        <v>11135</v>
      </c>
      <c r="E1268" t="s">
        <v>10946</v>
      </c>
      <c r="F1268" t="s">
        <v>11135</v>
      </c>
      <c r="G1268" s="1">
        <v>83700000</v>
      </c>
      <c r="H1268" s="2">
        <v>92221246.579999998</v>
      </c>
      <c r="I1268" s="2">
        <v>90934149.150000006</v>
      </c>
      <c r="J1268" s="2">
        <v>2961604.11</v>
      </c>
      <c r="K1268" s="2">
        <v>0</v>
      </c>
      <c r="L1268" s="2">
        <v>93895753.260000005</v>
      </c>
      <c r="M1268" s="3">
        <v>8.2249999999999996</v>
      </c>
      <c r="N1268" s="4">
        <v>0.21362295000000001</v>
      </c>
      <c r="O1268" s="5">
        <v>44733</v>
      </c>
      <c r="P1268" s="5">
        <v>46377</v>
      </c>
      <c r="Q1268" s="1">
        <v>10.5</v>
      </c>
      <c r="R1268" s="2">
        <v>3.72</v>
      </c>
      <c r="S1268" s="6">
        <v>3.572672968</v>
      </c>
      <c r="T1268" t="s">
        <v>111</v>
      </c>
      <c r="U1268" t="s">
        <v>111</v>
      </c>
      <c r="V1268" t="s">
        <v>10944</v>
      </c>
      <c r="W1268" t="s">
        <v>43</v>
      </c>
      <c r="X1268" t="s">
        <v>10945</v>
      </c>
      <c r="Y1268" t="s">
        <v>44</v>
      </c>
      <c r="Z1268" t="s">
        <v>44</v>
      </c>
      <c r="AA1268" t="s">
        <v>10913</v>
      </c>
      <c r="AB1268" t="s">
        <v>44</v>
      </c>
      <c r="AC1268" s="4">
        <v>8.3941265600000001</v>
      </c>
      <c r="AD1268" s="4">
        <v>8.0875032299999994</v>
      </c>
      <c r="AE1268" s="2">
        <v>8.39</v>
      </c>
      <c r="AF1268" s="4">
        <v>8.0875032299999994</v>
      </c>
      <c r="AG1268" s="2">
        <v>20.38</v>
      </c>
      <c r="AH1268" s="2">
        <v>93895753.260000005</v>
      </c>
      <c r="AI1268" s="2">
        <v>0.21</v>
      </c>
      <c r="AJ1268" s="5">
        <v>44673</v>
      </c>
      <c r="AK1268" t="s">
        <v>12109</v>
      </c>
      <c r="AL1268" s="2">
        <v>8.23</v>
      </c>
      <c r="AM1268" s="2">
        <v>10.5</v>
      </c>
      <c r="AN1268" s="2">
        <v>3.57</v>
      </c>
      <c r="AO1268" t="s">
        <v>10922</v>
      </c>
      <c r="AP1268" t="s">
        <v>11136</v>
      </c>
      <c r="AQ1268" t="s">
        <v>10946</v>
      </c>
    </row>
    <row r="1269" spans="1:43" x14ac:dyDescent="0.2">
      <c r="A1269" t="s">
        <v>12108</v>
      </c>
      <c r="B1269" t="s">
        <v>10900</v>
      </c>
      <c r="C1269" t="s">
        <v>11137</v>
      </c>
      <c r="D1269" t="s">
        <v>11138</v>
      </c>
      <c r="E1269" t="s">
        <v>11139</v>
      </c>
      <c r="F1269" t="s">
        <v>11138</v>
      </c>
      <c r="G1269" s="1">
        <v>4030000</v>
      </c>
      <c r="H1269" s="2">
        <v>3946759.75</v>
      </c>
      <c r="I1269" s="2">
        <v>3853448.92</v>
      </c>
      <c r="J1269" s="2">
        <v>13911.78</v>
      </c>
      <c r="K1269" s="2">
        <v>0</v>
      </c>
      <c r="L1269" s="2">
        <v>3867360.7</v>
      </c>
      <c r="M1269" s="3">
        <v>11.316000000000001</v>
      </c>
      <c r="N1269" s="4">
        <v>8.7986599999999998E-3</v>
      </c>
      <c r="O1269" s="5">
        <v>44844</v>
      </c>
      <c r="P1269" s="5">
        <v>47765</v>
      </c>
      <c r="Q1269" s="1">
        <v>10.5</v>
      </c>
      <c r="R1269" s="2">
        <v>5.71</v>
      </c>
      <c r="S1269" s="6">
        <v>5.4077134439999996</v>
      </c>
      <c r="T1269" t="s">
        <v>111</v>
      </c>
      <c r="U1269" t="s">
        <v>111</v>
      </c>
      <c r="V1269" t="s">
        <v>10944</v>
      </c>
      <c r="W1269" t="s">
        <v>43</v>
      </c>
      <c r="X1269" t="s">
        <v>44</v>
      </c>
      <c r="Y1269" t="s">
        <v>44</v>
      </c>
      <c r="Z1269" t="s">
        <v>44</v>
      </c>
      <c r="AA1269" t="s">
        <v>10979</v>
      </c>
      <c r="AB1269" t="s">
        <v>44</v>
      </c>
      <c r="AC1269" s="4">
        <v>11.63612964</v>
      </c>
      <c r="AD1269" s="4">
        <v>11.058095140000001</v>
      </c>
      <c r="AE1269" s="2">
        <v>11.64</v>
      </c>
      <c r="AF1269" s="4">
        <v>11.058095140000001</v>
      </c>
      <c r="AG1269" s="2">
        <v>0.84</v>
      </c>
      <c r="AH1269" s="2">
        <v>3867360.7</v>
      </c>
      <c r="AI1269" s="2">
        <v>0.01</v>
      </c>
      <c r="AJ1269" s="5">
        <v>44673</v>
      </c>
      <c r="AK1269" t="s">
        <v>12109</v>
      </c>
      <c r="AL1269" s="2">
        <v>11.32</v>
      </c>
      <c r="AM1269" s="2">
        <v>10.5</v>
      </c>
      <c r="AN1269" s="2">
        <v>5.41</v>
      </c>
      <c r="AO1269" t="s">
        <v>10982</v>
      </c>
      <c r="AP1269" t="s">
        <v>11140</v>
      </c>
      <c r="AQ1269" t="s">
        <v>11139</v>
      </c>
    </row>
    <row r="1270" spans="1:43" x14ac:dyDescent="0.2">
      <c r="A1270" t="s">
        <v>12108</v>
      </c>
      <c r="B1270" t="s">
        <v>10900</v>
      </c>
      <c r="C1270" t="s">
        <v>10950</v>
      </c>
      <c r="D1270" t="s">
        <v>11141</v>
      </c>
      <c r="E1270" t="s">
        <v>11142</v>
      </c>
      <c r="F1270" t="s">
        <v>11141</v>
      </c>
      <c r="G1270" s="1">
        <v>12700000</v>
      </c>
      <c r="H1270" s="2">
        <v>10218489.210000001</v>
      </c>
      <c r="I1270" s="2">
        <v>10439227.279999999</v>
      </c>
      <c r="J1270" s="2">
        <v>167928.16</v>
      </c>
      <c r="K1270" s="2">
        <v>0</v>
      </c>
      <c r="L1270" s="2">
        <v>10607155.439999999</v>
      </c>
      <c r="M1270" s="3">
        <v>10.805</v>
      </c>
      <c r="N1270" s="4">
        <v>2.4132420000000002E-2</v>
      </c>
      <c r="O1270" s="5">
        <v>44804</v>
      </c>
      <c r="P1270" s="5">
        <v>54116</v>
      </c>
      <c r="Q1270" s="1">
        <v>8.75</v>
      </c>
      <c r="R1270" s="2">
        <v>9.2200000000000006</v>
      </c>
      <c r="S1270" s="6">
        <v>8.7507641760000006</v>
      </c>
      <c r="T1270" t="s">
        <v>111</v>
      </c>
      <c r="U1270" t="s">
        <v>111</v>
      </c>
      <c r="V1270" t="s">
        <v>10944</v>
      </c>
      <c r="W1270" t="s">
        <v>43</v>
      </c>
      <c r="X1270" t="s">
        <v>10945</v>
      </c>
      <c r="Y1270" t="s">
        <v>44</v>
      </c>
      <c r="Z1270" t="s">
        <v>44</v>
      </c>
      <c r="AA1270" t="s">
        <v>10913</v>
      </c>
      <c r="AB1270" t="s">
        <v>44</v>
      </c>
      <c r="AC1270" s="4">
        <v>11.096870060000001</v>
      </c>
      <c r="AD1270" s="4">
        <v>10.56950999</v>
      </c>
      <c r="AE1270" s="2">
        <v>11.1</v>
      </c>
      <c r="AF1270" s="4">
        <v>10.56950999</v>
      </c>
      <c r="AG1270" s="2">
        <v>2.2999999999999998</v>
      </c>
      <c r="AH1270" s="2">
        <v>10607155.439999999</v>
      </c>
      <c r="AI1270" s="2">
        <v>0.02</v>
      </c>
      <c r="AJ1270" s="5">
        <v>44673</v>
      </c>
      <c r="AK1270" t="s">
        <v>12109</v>
      </c>
      <c r="AL1270" s="2">
        <v>10.8</v>
      </c>
      <c r="AM1270" s="2">
        <v>8.75</v>
      </c>
      <c r="AN1270" s="2">
        <v>8.75</v>
      </c>
      <c r="AO1270" t="s">
        <v>10922</v>
      </c>
      <c r="AP1270" t="s">
        <v>11143</v>
      </c>
      <c r="AQ1270" t="s">
        <v>11142</v>
      </c>
    </row>
    <row r="1271" spans="1:43" x14ac:dyDescent="0.2">
      <c r="A1271" t="s">
        <v>12108</v>
      </c>
      <c r="B1271" t="s">
        <v>10900</v>
      </c>
      <c r="C1271" t="s">
        <v>10950</v>
      </c>
      <c r="D1271" t="s">
        <v>10983</v>
      </c>
      <c r="E1271" t="s">
        <v>10984</v>
      </c>
      <c r="F1271" t="s">
        <v>10983</v>
      </c>
      <c r="G1271" s="1">
        <v>11100000</v>
      </c>
      <c r="H1271" s="2">
        <v>9255795.1699999999</v>
      </c>
      <c r="I1271" s="2">
        <v>9281070.75</v>
      </c>
      <c r="J1271" s="2">
        <v>208611.06</v>
      </c>
      <c r="K1271" s="2">
        <v>0</v>
      </c>
      <c r="L1271" s="2">
        <v>9489681.8100000005</v>
      </c>
      <c r="M1271" s="3">
        <v>10.734999999999999</v>
      </c>
      <c r="N1271" s="4">
        <v>2.159005E-2</v>
      </c>
      <c r="O1271" s="5">
        <v>44774</v>
      </c>
      <c r="P1271" s="5">
        <v>50071</v>
      </c>
      <c r="Q1271" s="1">
        <v>8.5</v>
      </c>
      <c r="R1271" s="2">
        <v>7.91</v>
      </c>
      <c r="S1271" s="6">
        <v>7.5106016819999999</v>
      </c>
      <c r="T1271" t="s">
        <v>111</v>
      </c>
      <c r="U1271" t="s">
        <v>111</v>
      </c>
      <c r="V1271" t="s">
        <v>10944</v>
      </c>
      <c r="W1271" t="s">
        <v>43</v>
      </c>
      <c r="X1271" t="s">
        <v>10945</v>
      </c>
      <c r="Y1271" t="s">
        <v>44</v>
      </c>
      <c r="Z1271" t="s">
        <v>44</v>
      </c>
      <c r="AA1271" t="s">
        <v>10913</v>
      </c>
      <c r="AB1271" t="s">
        <v>44</v>
      </c>
      <c r="AC1271" s="4">
        <v>11.02310056</v>
      </c>
      <c r="AD1271" s="4">
        <v>10.50250368</v>
      </c>
      <c r="AE1271" s="2">
        <v>11.02</v>
      </c>
      <c r="AF1271" s="4">
        <v>10.50250368</v>
      </c>
      <c r="AG1271" s="2">
        <v>2.06</v>
      </c>
      <c r="AH1271" s="2">
        <v>9489681.8100000005</v>
      </c>
      <c r="AI1271" s="2">
        <v>0.02</v>
      </c>
      <c r="AJ1271" s="5">
        <v>44673</v>
      </c>
      <c r="AK1271" t="s">
        <v>12109</v>
      </c>
      <c r="AL1271" s="2">
        <v>10.73</v>
      </c>
      <c r="AM1271" s="2">
        <v>8.5</v>
      </c>
      <c r="AN1271" s="2">
        <v>7.51</v>
      </c>
      <c r="AO1271" t="s">
        <v>10922</v>
      </c>
      <c r="AP1271" t="s">
        <v>10985</v>
      </c>
      <c r="AQ1271" t="s">
        <v>10984</v>
      </c>
    </row>
    <row r="1272" spans="1:43" x14ac:dyDescent="0.2">
      <c r="A1272" t="s">
        <v>12108</v>
      </c>
      <c r="B1272" t="s">
        <v>10900</v>
      </c>
      <c r="C1272" t="s">
        <v>10950</v>
      </c>
      <c r="D1272" t="s">
        <v>10986</v>
      </c>
      <c r="E1272" t="s">
        <v>10987</v>
      </c>
      <c r="F1272" t="s">
        <v>10986</v>
      </c>
      <c r="G1272" s="1">
        <v>11780000</v>
      </c>
      <c r="H1272" s="2">
        <v>10856009.85</v>
      </c>
      <c r="I1272" s="2">
        <v>10654139.460000001</v>
      </c>
      <c r="J1272" s="2">
        <v>48572.33</v>
      </c>
      <c r="K1272" s="2">
        <v>0</v>
      </c>
      <c r="L1272" s="2">
        <v>10702711.789999999</v>
      </c>
      <c r="M1272" s="3">
        <v>12.05</v>
      </c>
      <c r="N1272" s="4">
        <v>2.4349820000000001E-2</v>
      </c>
      <c r="O1272" s="5">
        <v>44844</v>
      </c>
      <c r="P1272" s="5">
        <v>51418</v>
      </c>
      <c r="Q1272" s="1">
        <v>10.75</v>
      </c>
      <c r="R1272" s="2">
        <v>7.89</v>
      </c>
      <c r="S1272" s="6">
        <v>7.4432483840000003</v>
      </c>
      <c r="T1272" t="s">
        <v>111</v>
      </c>
      <c r="U1272" t="s">
        <v>111</v>
      </c>
      <c r="V1272" t="s">
        <v>10944</v>
      </c>
      <c r="W1272" t="s">
        <v>43</v>
      </c>
      <c r="X1272" t="s">
        <v>10988</v>
      </c>
      <c r="Y1272" t="s">
        <v>44</v>
      </c>
      <c r="Z1272" t="s">
        <v>44</v>
      </c>
      <c r="AA1272" t="s">
        <v>10979</v>
      </c>
      <c r="AB1272" t="s">
        <v>44</v>
      </c>
      <c r="AC1272" s="4">
        <v>12.41300625</v>
      </c>
      <c r="AD1272" s="4">
        <v>11.758178470000001</v>
      </c>
      <c r="AE1272" s="2">
        <v>12.41</v>
      </c>
      <c r="AF1272" s="4">
        <v>11.758178470000001</v>
      </c>
      <c r="AG1272" s="2">
        <v>2.3199999999999998</v>
      </c>
      <c r="AH1272" s="2">
        <v>10702711.789999999</v>
      </c>
      <c r="AI1272" s="2">
        <v>0.02</v>
      </c>
      <c r="AJ1272" s="5">
        <v>44673</v>
      </c>
      <c r="AK1272" t="s">
        <v>12109</v>
      </c>
      <c r="AL1272" s="2">
        <v>12.05</v>
      </c>
      <c r="AM1272" s="2">
        <v>10.75</v>
      </c>
      <c r="AN1272" s="2">
        <v>7.44</v>
      </c>
      <c r="AO1272" t="s">
        <v>10982</v>
      </c>
      <c r="AP1272" t="s">
        <v>10989</v>
      </c>
      <c r="AQ1272" t="s">
        <v>10987</v>
      </c>
    </row>
    <row r="1273" spans="1:43" x14ac:dyDescent="0.2">
      <c r="A1273" t="s">
        <v>12108</v>
      </c>
      <c r="B1273" t="s">
        <v>10900</v>
      </c>
      <c r="C1273" t="s">
        <v>10990</v>
      </c>
      <c r="D1273" t="s">
        <v>10991</v>
      </c>
      <c r="E1273" t="s">
        <v>1153</v>
      </c>
      <c r="F1273" t="s">
        <v>10991</v>
      </c>
      <c r="G1273" s="1">
        <v>8830000</v>
      </c>
      <c r="H1273" s="2">
        <v>11370716.060000001</v>
      </c>
      <c r="I1273" s="2">
        <v>11418144.300000001</v>
      </c>
      <c r="J1273" s="2">
        <v>71516.039999999994</v>
      </c>
      <c r="K1273" s="2">
        <v>0</v>
      </c>
      <c r="L1273" s="2">
        <v>11489660.34</v>
      </c>
      <c r="M1273" s="3">
        <v>3.9</v>
      </c>
      <c r="N1273" s="4">
        <v>2.6140210000000001E-2</v>
      </c>
      <c r="O1273" s="5">
        <v>44774</v>
      </c>
      <c r="P1273" s="5">
        <v>50436</v>
      </c>
      <c r="Q1273" s="1">
        <v>2.25</v>
      </c>
      <c r="R1273" s="2">
        <v>12.94</v>
      </c>
      <c r="S1273" s="6">
        <v>12.689805079999999</v>
      </c>
      <c r="T1273" t="s">
        <v>111</v>
      </c>
      <c r="U1273" t="s">
        <v>111</v>
      </c>
      <c r="V1273" t="s">
        <v>10992</v>
      </c>
      <c r="W1273" t="s">
        <v>43</v>
      </c>
      <c r="X1273" t="s">
        <v>10945</v>
      </c>
      <c r="Y1273" t="s">
        <v>44</v>
      </c>
      <c r="Z1273" t="s">
        <v>44</v>
      </c>
      <c r="AA1273" t="s">
        <v>10913</v>
      </c>
      <c r="AB1273" t="s">
        <v>44</v>
      </c>
      <c r="AC1273" s="4">
        <v>3.9380250000000001</v>
      </c>
      <c r="AD1273" s="4">
        <v>3.8686849699999999</v>
      </c>
      <c r="AE1273" s="2">
        <v>3.94</v>
      </c>
      <c r="AF1273" s="4">
        <v>3.8686849699999999</v>
      </c>
      <c r="AG1273" s="2">
        <v>2.4900000000000002</v>
      </c>
      <c r="AH1273" s="2">
        <v>11489660.34</v>
      </c>
      <c r="AI1273" s="2">
        <v>0.03</v>
      </c>
      <c r="AJ1273" s="5">
        <v>44673</v>
      </c>
      <c r="AK1273" t="s">
        <v>12109</v>
      </c>
      <c r="AL1273" s="2">
        <v>3.9</v>
      </c>
      <c r="AM1273" s="2">
        <v>2.25</v>
      </c>
      <c r="AN1273" s="2">
        <v>12.69</v>
      </c>
      <c r="AO1273" t="s">
        <v>10922</v>
      </c>
      <c r="AP1273" t="s">
        <v>10993</v>
      </c>
      <c r="AQ1273" t="s">
        <v>1153</v>
      </c>
    </row>
    <row r="1274" spans="1:43" x14ac:dyDescent="0.2">
      <c r="A1274" t="s">
        <v>12108</v>
      </c>
      <c r="B1274" t="s">
        <v>10900</v>
      </c>
      <c r="C1274" t="s">
        <v>10990</v>
      </c>
      <c r="D1274" t="s">
        <v>10994</v>
      </c>
      <c r="E1274" t="s">
        <v>1190</v>
      </c>
      <c r="F1274" t="s">
        <v>10994</v>
      </c>
      <c r="G1274" s="1">
        <v>9620000</v>
      </c>
      <c r="H1274" s="2">
        <v>11309727.359999999</v>
      </c>
      <c r="I1274" s="2">
        <v>11381760.82</v>
      </c>
      <c r="J1274" s="2">
        <v>22886.36</v>
      </c>
      <c r="K1274" s="2">
        <v>0</v>
      </c>
      <c r="L1274" s="2">
        <v>11404647.18</v>
      </c>
      <c r="M1274" s="3">
        <v>3.9</v>
      </c>
      <c r="N1274" s="4">
        <v>2.5946799999999999E-2</v>
      </c>
      <c r="O1274" s="5">
        <v>44834</v>
      </c>
      <c r="P1274" s="5">
        <v>53417</v>
      </c>
      <c r="Q1274" s="1">
        <v>2.5</v>
      </c>
      <c r="R1274" s="2">
        <v>17.22</v>
      </c>
      <c r="S1274" s="6">
        <v>16.886631569999999</v>
      </c>
      <c r="T1274" t="s">
        <v>111</v>
      </c>
      <c r="U1274" t="s">
        <v>111</v>
      </c>
      <c r="V1274" t="s">
        <v>10992</v>
      </c>
      <c r="W1274" t="s">
        <v>43</v>
      </c>
      <c r="X1274" t="s">
        <v>10945</v>
      </c>
      <c r="Y1274" t="s">
        <v>44</v>
      </c>
      <c r="Z1274" t="s">
        <v>44</v>
      </c>
      <c r="AA1274" t="s">
        <v>10913</v>
      </c>
      <c r="AB1274" t="s">
        <v>44</v>
      </c>
      <c r="AC1274" s="4">
        <v>3.9380250000000001</v>
      </c>
      <c r="AD1274" s="4">
        <v>3.8686849699999999</v>
      </c>
      <c r="AE1274" s="2">
        <v>3.94</v>
      </c>
      <c r="AF1274" s="4">
        <v>3.8686849699999999</v>
      </c>
      <c r="AG1274" s="2">
        <v>2.48</v>
      </c>
      <c r="AH1274" s="2">
        <v>11404647.18</v>
      </c>
      <c r="AI1274" s="2">
        <v>0.03</v>
      </c>
      <c r="AJ1274" s="5">
        <v>44673</v>
      </c>
      <c r="AK1274" t="s">
        <v>12109</v>
      </c>
      <c r="AL1274" s="2">
        <v>3.9</v>
      </c>
      <c r="AM1274" s="2">
        <v>2.5</v>
      </c>
      <c r="AN1274" s="2">
        <v>16.89</v>
      </c>
      <c r="AO1274" t="s">
        <v>10922</v>
      </c>
      <c r="AP1274" t="s">
        <v>10995</v>
      </c>
      <c r="AQ1274" t="s">
        <v>1190</v>
      </c>
    </row>
    <row r="1275" spans="1:43" x14ac:dyDescent="0.2">
      <c r="A1275" t="s">
        <v>12108</v>
      </c>
      <c r="B1275" t="s">
        <v>10900</v>
      </c>
      <c r="C1275" t="s">
        <v>10990</v>
      </c>
      <c r="D1275" t="s">
        <v>10996</v>
      </c>
      <c r="E1275" t="s">
        <v>1160</v>
      </c>
      <c r="F1275" t="s">
        <v>10996</v>
      </c>
      <c r="G1275" s="1">
        <v>10610000</v>
      </c>
      <c r="H1275" s="2">
        <v>12802084.939999999</v>
      </c>
      <c r="I1275" s="2">
        <v>12901862.85</v>
      </c>
      <c r="J1275" s="2">
        <v>131456.10999999999</v>
      </c>
      <c r="K1275" s="2">
        <v>0</v>
      </c>
      <c r="L1275" s="2">
        <v>13033318.960000001</v>
      </c>
      <c r="M1275" s="3">
        <v>3.9</v>
      </c>
      <c r="N1275" s="4">
        <v>2.96522E-2</v>
      </c>
      <c r="O1275" s="5">
        <v>44742</v>
      </c>
      <c r="P1275" s="5">
        <v>55153</v>
      </c>
      <c r="Q1275" s="1">
        <v>2.5</v>
      </c>
      <c r="R1275" s="2">
        <v>19.05</v>
      </c>
      <c r="S1275" s="6">
        <v>18.689623709999999</v>
      </c>
      <c r="T1275" t="s">
        <v>111</v>
      </c>
      <c r="U1275" t="s">
        <v>111</v>
      </c>
      <c r="V1275" t="s">
        <v>10992</v>
      </c>
      <c r="W1275" t="s">
        <v>43</v>
      </c>
      <c r="X1275" t="s">
        <v>10945</v>
      </c>
      <c r="Y1275" t="s">
        <v>44</v>
      </c>
      <c r="Z1275" t="s">
        <v>44</v>
      </c>
      <c r="AA1275" t="s">
        <v>10913</v>
      </c>
      <c r="AB1275" t="s">
        <v>44</v>
      </c>
      <c r="AC1275" s="4">
        <v>3.9380250000000001</v>
      </c>
      <c r="AD1275" s="4">
        <v>3.8686849699999999</v>
      </c>
      <c r="AE1275" s="2">
        <v>3.94</v>
      </c>
      <c r="AF1275" s="4">
        <v>3.8686849699999999</v>
      </c>
      <c r="AG1275" s="2">
        <v>2.83</v>
      </c>
      <c r="AH1275" s="2">
        <v>13033318.960000001</v>
      </c>
      <c r="AI1275" s="2">
        <v>0.03</v>
      </c>
      <c r="AJ1275" s="5">
        <v>44673</v>
      </c>
      <c r="AK1275" t="s">
        <v>12109</v>
      </c>
      <c r="AL1275" s="2">
        <v>3.9</v>
      </c>
      <c r="AM1275" s="2">
        <v>2.5</v>
      </c>
      <c r="AN1275" s="2">
        <v>18.690000000000001</v>
      </c>
      <c r="AO1275" t="s">
        <v>10922</v>
      </c>
      <c r="AP1275" t="s">
        <v>10997</v>
      </c>
      <c r="AQ1275" t="s">
        <v>1160</v>
      </c>
    </row>
    <row r="1276" spans="1:43" x14ac:dyDescent="0.2">
      <c r="A1276" t="s">
        <v>12108</v>
      </c>
      <c r="B1276" t="s">
        <v>10900</v>
      </c>
      <c r="C1276" t="s">
        <v>10990</v>
      </c>
      <c r="D1276" t="s">
        <v>10998</v>
      </c>
      <c r="E1276" t="s">
        <v>1197</v>
      </c>
      <c r="F1276" t="s">
        <v>10998</v>
      </c>
      <c r="G1276" s="1">
        <v>10070000</v>
      </c>
      <c r="H1276" s="2">
        <v>11426017.98</v>
      </c>
      <c r="I1276" s="2">
        <v>11396562.82</v>
      </c>
      <c r="J1276" s="2">
        <v>38156.01</v>
      </c>
      <c r="K1276" s="2">
        <v>0</v>
      </c>
      <c r="L1276" s="2">
        <v>11434718.83</v>
      </c>
      <c r="M1276" s="3">
        <v>3.82</v>
      </c>
      <c r="N1276" s="4">
        <v>2.6015219999999999E-2</v>
      </c>
      <c r="O1276" s="5">
        <v>44804</v>
      </c>
      <c r="P1276" s="5">
        <v>48638</v>
      </c>
      <c r="Q1276" s="1">
        <v>1.875</v>
      </c>
      <c r="R1276" s="2">
        <v>9.7100000000000009</v>
      </c>
      <c r="S1276" s="6">
        <v>9.5277218819999998</v>
      </c>
      <c r="T1276" t="s">
        <v>111</v>
      </c>
      <c r="U1276" t="s">
        <v>111</v>
      </c>
      <c r="V1276" t="s">
        <v>10992</v>
      </c>
      <c r="W1276" t="s">
        <v>43</v>
      </c>
      <c r="X1276" t="s">
        <v>10945</v>
      </c>
      <c r="Y1276" t="s">
        <v>44</v>
      </c>
      <c r="Z1276" t="s">
        <v>44</v>
      </c>
      <c r="AA1276" t="s">
        <v>10913</v>
      </c>
      <c r="AB1276" t="s">
        <v>44</v>
      </c>
      <c r="AC1276" s="4">
        <v>3.856481</v>
      </c>
      <c r="AD1276" s="4">
        <v>3.7899492800000001</v>
      </c>
      <c r="AE1276" s="2">
        <v>3.86</v>
      </c>
      <c r="AF1276" s="4">
        <v>3.7899492800000001</v>
      </c>
      <c r="AG1276" s="2">
        <v>2.48</v>
      </c>
      <c r="AH1276" s="2">
        <v>11434718.83</v>
      </c>
      <c r="AI1276" s="2">
        <v>0.03</v>
      </c>
      <c r="AJ1276" s="5">
        <v>44673</v>
      </c>
      <c r="AK1276" t="s">
        <v>12109</v>
      </c>
      <c r="AL1276" s="2">
        <v>3.82</v>
      </c>
      <c r="AM1276" s="2">
        <v>1.88</v>
      </c>
      <c r="AN1276" s="2">
        <v>9.5299999999999994</v>
      </c>
      <c r="AO1276" t="s">
        <v>10922</v>
      </c>
      <c r="AP1276" t="s">
        <v>10999</v>
      </c>
      <c r="AQ1276" t="s">
        <v>1197</v>
      </c>
    </row>
    <row r="1277" spans="1:43" x14ac:dyDescent="0.2">
      <c r="A1277" t="s">
        <v>12108</v>
      </c>
      <c r="B1277" t="s">
        <v>45</v>
      </c>
      <c r="C1277" t="s">
        <v>11000</v>
      </c>
      <c r="D1277" t="s">
        <v>11001</v>
      </c>
      <c r="E1277" t="s">
        <v>11002</v>
      </c>
      <c r="F1277" t="s">
        <v>11001</v>
      </c>
      <c r="G1277" s="1">
        <v>10051117.539999999</v>
      </c>
      <c r="H1277" s="2">
        <v>10051117.539999999</v>
      </c>
      <c r="I1277" s="2">
        <v>10051117.539999999</v>
      </c>
      <c r="J1277" s="2">
        <v>35194.639999999999</v>
      </c>
      <c r="K1277" s="2">
        <v>0</v>
      </c>
      <c r="L1277" s="2">
        <v>10086312.18</v>
      </c>
      <c r="M1277" s="3"/>
      <c r="N1277" s="4">
        <v>2.2947450000000001E-2</v>
      </c>
      <c r="O1277" s="5">
        <v>40756</v>
      </c>
      <c r="P1277" s="5">
        <v>73020</v>
      </c>
      <c r="Q1277" s="1">
        <v>0</v>
      </c>
      <c r="R1277" s="2"/>
      <c r="S1277" s="6"/>
      <c r="T1277" t="s">
        <v>111</v>
      </c>
      <c r="U1277" t="s">
        <v>11003</v>
      </c>
      <c r="V1277" t="s">
        <v>46</v>
      </c>
      <c r="W1277" t="s">
        <v>43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s="4"/>
      <c r="AD1277" s="4"/>
      <c r="AE1277" s="2">
        <v>0</v>
      </c>
      <c r="AF1277" s="4">
        <v>0</v>
      </c>
      <c r="AG1277" s="2">
        <v>2.19</v>
      </c>
      <c r="AH1277" s="2">
        <v>10086312.18</v>
      </c>
      <c r="AI1277" s="2">
        <v>0.02</v>
      </c>
      <c r="AJ1277" s="5">
        <v>44673</v>
      </c>
      <c r="AK1277" t="s">
        <v>12109</v>
      </c>
      <c r="AL1277" s="2">
        <v>0</v>
      </c>
      <c r="AM1277" s="2">
        <v>0</v>
      </c>
      <c r="AN1277" s="2">
        <v>0</v>
      </c>
      <c r="AO1277" t="s">
        <v>44</v>
      </c>
      <c r="AP1277" t="s">
        <v>11004</v>
      </c>
      <c r="AQ1277" t="s">
        <v>11002</v>
      </c>
    </row>
    <row r="1278" spans="1:43" x14ac:dyDescent="0.2">
      <c r="A1278" t="s">
        <v>12108</v>
      </c>
      <c r="B1278" t="s">
        <v>45</v>
      </c>
      <c r="C1278" t="s">
        <v>11144</v>
      </c>
      <c r="D1278" t="s">
        <v>11145</v>
      </c>
      <c r="E1278" t="s">
        <v>11146</v>
      </c>
      <c r="F1278" t="s">
        <v>11147</v>
      </c>
      <c r="G1278" s="1">
        <v>15678466</v>
      </c>
      <c r="H1278" s="2">
        <v>15678466</v>
      </c>
      <c r="I1278" s="2">
        <v>15678466</v>
      </c>
      <c r="J1278" s="2">
        <v>51397.78</v>
      </c>
      <c r="K1278" s="2">
        <v>0</v>
      </c>
      <c r="L1278" s="2">
        <v>15729863.779999999</v>
      </c>
      <c r="M1278" s="3">
        <v>6.88</v>
      </c>
      <c r="N1278" s="4">
        <v>3.578713E-2</v>
      </c>
      <c r="O1278" s="5" t="s">
        <v>44</v>
      </c>
      <c r="P1278" s="5">
        <v>55153</v>
      </c>
      <c r="Q1278" s="1">
        <v>6.88</v>
      </c>
      <c r="R1278" s="2">
        <v>0.08</v>
      </c>
      <c r="S1278" s="6">
        <v>2.6006750000000002E-3</v>
      </c>
      <c r="T1278" t="s">
        <v>112</v>
      </c>
      <c r="U1278" t="s">
        <v>46</v>
      </c>
      <c r="V1278" t="s">
        <v>11148</v>
      </c>
      <c r="W1278" t="s">
        <v>43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s="4"/>
      <c r="AD1278" s="4"/>
      <c r="AE1278" s="2">
        <v>0</v>
      </c>
      <c r="AF1278" s="4">
        <v>0</v>
      </c>
      <c r="AG1278" s="2">
        <v>3.41</v>
      </c>
      <c r="AH1278" s="2">
        <v>15729863.779999999</v>
      </c>
      <c r="AI1278" s="2">
        <v>0.04</v>
      </c>
      <c r="AJ1278" s="5">
        <v>44673</v>
      </c>
      <c r="AK1278" t="s">
        <v>12109</v>
      </c>
      <c r="AL1278" s="2">
        <v>0</v>
      </c>
      <c r="AM1278" s="2">
        <v>6.88</v>
      </c>
      <c r="AN1278" s="2">
        <v>0</v>
      </c>
      <c r="AO1278" t="s">
        <v>11146</v>
      </c>
      <c r="AP1278" t="s">
        <v>44</v>
      </c>
      <c r="AQ1278" t="s">
        <v>11146</v>
      </c>
    </row>
    <row r="1279" spans="1:43" x14ac:dyDescent="0.2">
      <c r="A1279" t="s">
        <v>12108</v>
      </c>
      <c r="B1279" t="s">
        <v>45</v>
      </c>
      <c r="C1279" t="s">
        <v>47</v>
      </c>
      <c r="D1279" t="s">
        <v>48</v>
      </c>
      <c r="E1279" t="s">
        <v>49</v>
      </c>
      <c r="F1279" t="s">
        <v>50</v>
      </c>
      <c r="G1279" s="1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3072.54</v>
      </c>
      <c r="M1279" s="3"/>
      <c r="N1279" s="4">
        <v>6.99E-6</v>
      </c>
      <c r="O1279" s="5" t="s">
        <v>44</v>
      </c>
      <c r="P1279" s="5" t="s">
        <v>44</v>
      </c>
      <c r="Q1279" s="1"/>
      <c r="R1279" s="2">
        <v>0.08</v>
      </c>
      <c r="S1279" s="6"/>
      <c r="T1279" t="s">
        <v>45</v>
      </c>
      <c r="U1279" t="s">
        <v>46</v>
      </c>
      <c r="V1279" t="s">
        <v>44</v>
      </c>
      <c r="W1279" t="s">
        <v>43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s="4">
        <v>5.1163389600000002</v>
      </c>
      <c r="AD1279" s="4">
        <v>5.0001424999999999</v>
      </c>
      <c r="AE1279" s="2">
        <v>5.12</v>
      </c>
      <c r="AF1279" s="4">
        <v>5.0001424999999999</v>
      </c>
      <c r="AG1279" s="2">
        <v>0</v>
      </c>
      <c r="AH1279" s="2">
        <v>3072.54</v>
      </c>
      <c r="AI1279" s="2">
        <v>0</v>
      </c>
      <c r="AJ1279" s="5">
        <v>44673</v>
      </c>
      <c r="AK1279" t="s">
        <v>12109</v>
      </c>
      <c r="AL1279" s="2">
        <v>5.05</v>
      </c>
      <c r="AM1279" s="2">
        <v>0</v>
      </c>
      <c r="AN1279" s="2">
        <v>0</v>
      </c>
      <c r="AO1279" t="s">
        <v>44</v>
      </c>
      <c r="AP1279" t="s">
        <v>44</v>
      </c>
      <c r="AQ1279" t="s">
        <v>44</v>
      </c>
    </row>
    <row r="1280" spans="1:43" x14ac:dyDescent="0.2">
      <c r="A1280" t="s">
        <v>12108</v>
      </c>
      <c r="B1280" t="s">
        <v>45</v>
      </c>
      <c r="C1280" t="s">
        <v>47</v>
      </c>
      <c r="D1280" t="s">
        <v>51</v>
      </c>
      <c r="E1280" t="s">
        <v>52</v>
      </c>
      <c r="F1280" t="s">
        <v>51</v>
      </c>
      <c r="G1280" s="1">
        <v>3551250.38</v>
      </c>
      <c r="H1280" s="2">
        <v>3551250.38</v>
      </c>
      <c r="I1280" s="2">
        <v>3551250.38</v>
      </c>
      <c r="J1280" s="2">
        <v>0</v>
      </c>
      <c r="K1280" s="2">
        <v>0</v>
      </c>
      <c r="L1280" s="2">
        <v>3551250.38</v>
      </c>
      <c r="M1280" s="3"/>
      <c r="N1280" s="4">
        <v>8.07948E-3</v>
      </c>
      <c r="O1280" s="5" t="s">
        <v>44</v>
      </c>
      <c r="P1280" s="5" t="s">
        <v>44</v>
      </c>
      <c r="Q1280" s="1"/>
      <c r="R1280" s="2">
        <v>0.08</v>
      </c>
      <c r="S1280" s="6"/>
      <c r="T1280" t="s">
        <v>45</v>
      </c>
      <c r="U1280" t="s">
        <v>53</v>
      </c>
      <c r="V1280" t="s">
        <v>44</v>
      </c>
      <c r="W1280" t="s">
        <v>43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s="4">
        <v>5.1163389600000002</v>
      </c>
      <c r="AD1280" s="4">
        <v>5.0001424999999999</v>
      </c>
      <c r="AE1280" s="2">
        <v>5.12</v>
      </c>
      <c r="AF1280" s="4">
        <v>5.0001424999999999</v>
      </c>
      <c r="AG1280" s="2">
        <v>0.77</v>
      </c>
      <c r="AH1280" s="2">
        <v>3551250.38</v>
      </c>
      <c r="AI1280" s="2">
        <v>0.01</v>
      </c>
      <c r="AJ1280" s="5">
        <v>44673</v>
      </c>
      <c r="AK1280" t="s">
        <v>12109</v>
      </c>
      <c r="AL1280" s="2">
        <v>5.05</v>
      </c>
      <c r="AM1280" s="2">
        <v>0</v>
      </c>
      <c r="AN1280" s="2">
        <v>0</v>
      </c>
      <c r="AO1280" t="s">
        <v>44</v>
      </c>
      <c r="AP1280" t="s">
        <v>44</v>
      </c>
      <c r="AQ1280" t="s">
        <v>43</v>
      </c>
    </row>
    <row r="1281" spans="1:43" x14ac:dyDescent="0.2">
      <c r="A1281" t="s">
        <v>12108</v>
      </c>
      <c r="B1281" t="s">
        <v>45</v>
      </c>
      <c r="C1281" t="s">
        <v>11005</v>
      </c>
      <c r="D1281" t="s">
        <v>11149</v>
      </c>
      <c r="E1281" t="s">
        <v>11150</v>
      </c>
      <c r="F1281" t="s">
        <v>44</v>
      </c>
      <c r="G1281" s="1">
        <v>-4318038.6399999997</v>
      </c>
      <c r="H1281" s="2">
        <v>-4318038.6399999997</v>
      </c>
      <c r="I1281" s="2">
        <v>-4318038.6399999997</v>
      </c>
      <c r="J1281" s="2">
        <v>0</v>
      </c>
      <c r="K1281" s="2"/>
      <c r="L1281" s="2">
        <v>-4318038.6399999997</v>
      </c>
      <c r="M1281" s="3"/>
      <c r="N1281" s="4">
        <v>-9.8239999999999994E-3</v>
      </c>
      <c r="O1281" s="5" t="s">
        <v>44</v>
      </c>
      <c r="P1281" s="5">
        <v>73051</v>
      </c>
      <c r="Q1281" s="1">
        <v>0</v>
      </c>
      <c r="R1281" s="2">
        <v>0.08</v>
      </c>
      <c r="S1281" s="6"/>
      <c r="T1281" t="s">
        <v>45</v>
      </c>
      <c r="U1281" t="s">
        <v>44</v>
      </c>
      <c r="V1281" t="s">
        <v>44</v>
      </c>
      <c r="W1281" t="s">
        <v>43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s="4">
        <v>5.1163389600000002</v>
      </c>
      <c r="AD1281" s="4">
        <v>5.0001424999999999</v>
      </c>
      <c r="AE1281" s="2">
        <v>5.12</v>
      </c>
      <c r="AF1281" s="4">
        <v>5.0001424999999999</v>
      </c>
      <c r="AG1281" s="2">
        <v>-0.94</v>
      </c>
      <c r="AH1281" s="2">
        <v>-4318038.6399999997</v>
      </c>
      <c r="AI1281" s="2">
        <v>-0.01</v>
      </c>
      <c r="AJ1281" s="5">
        <v>44673</v>
      </c>
      <c r="AK1281" t="s">
        <v>12109</v>
      </c>
      <c r="AL1281" s="2">
        <v>5.05</v>
      </c>
      <c r="AM1281" s="2">
        <v>0</v>
      </c>
      <c r="AN1281" s="2">
        <v>0</v>
      </c>
      <c r="AO1281" t="s">
        <v>44</v>
      </c>
      <c r="AP1281" t="s">
        <v>44</v>
      </c>
      <c r="AQ1281" t="s">
        <v>44</v>
      </c>
    </row>
    <row r="1282" spans="1:43" x14ac:dyDescent="0.2">
      <c r="A1282" t="s">
        <v>12108</v>
      </c>
      <c r="B1282" t="s">
        <v>11013</v>
      </c>
      <c r="C1282" t="s">
        <v>11014</v>
      </c>
      <c r="D1282" t="s">
        <v>11015</v>
      </c>
      <c r="E1282" t="s">
        <v>11016</v>
      </c>
      <c r="F1282" t="s">
        <v>11015</v>
      </c>
      <c r="G1282" s="1">
        <v>84929544.390499994</v>
      </c>
      <c r="H1282" s="2">
        <v>89300541.989999995</v>
      </c>
      <c r="I1282" s="2">
        <v>88216317.760000005</v>
      </c>
      <c r="J1282" s="2">
        <v>0</v>
      </c>
      <c r="K1282" s="2">
        <v>0</v>
      </c>
      <c r="L1282" s="2">
        <v>88216317.760000005</v>
      </c>
      <c r="M1282" s="3">
        <v>1.0387</v>
      </c>
      <c r="N1282" s="4">
        <v>0.20070162</v>
      </c>
      <c r="O1282" s="5" t="s">
        <v>44</v>
      </c>
      <c r="P1282" s="5" t="s">
        <v>44</v>
      </c>
      <c r="Q1282" s="1"/>
      <c r="R1282" s="2"/>
      <c r="S1282" s="6"/>
      <c r="T1282" t="s">
        <v>10902</v>
      </c>
      <c r="U1282" t="s">
        <v>11003</v>
      </c>
      <c r="V1282" t="s">
        <v>11003</v>
      </c>
      <c r="W1282" t="s">
        <v>43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s="4"/>
      <c r="AD1282" s="4"/>
      <c r="AE1282" s="2">
        <v>0</v>
      </c>
      <c r="AF1282" s="4">
        <v>0</v>
      </c>
      <c r="AG1282" s="2">
        <v>19.149999999999999</v>
      </c>
      <c r="AH1282" s="2">
        <v>88216317.760000005</v>
      </c>
      <c r="AI1282" s="2">
        <v>0.2</v>
      </c>
      <c r="AJ1282" s="5">
        <v>44673</v>
      </c>
      <c r="AK1282" t="s">
        <v>12109</v>
      </c>
      <c r="AL1282" s="2">
        <v>0</v>
      </c>
      <c r="AM1282" s="2">
        <v>0</v>
      </c>
      <c r="AN1282" s="2">
        <v>0</v>
      </c>
      <c r="AO1282" t="s">
        <v>44</v>
      </c>
      <c r="AP1282" t="s">
        <v>11017</v>
      </c>
      <c r="AQ1282" t="s">
        <v>11016</v>
      </c>
    </row>
    <row r="1283" spans="1:43" x14ac:dyDescent="0.2">
      <c r="A1283" t="s">
        <v>12108</v>
      </c>
      <c r="B1283" t="s">
        <v>11013</v>
      </c>
      <c r="C1283" t="s">
        <v>11014</v>
      </c>
      <c r="D1283" t="s">
        <v>11018</v>
      </c>
      <c r="E1283" t="s">
        <v>11019</v>
      </c>
      <c r="F1283" t="s">
        <v>11018</v>
      </c>
      <c r="G1283" s="1">
        <v>47029152.980099998</v>
      </c>
      <c r="H1283" s="2">
        <v>47128161.810000002</v>
      </c>
      <c r="I1283" s="2">
        <v>47292516.240000002</v>
      </c>
      <c r="J1283" s="2">
        <v>0</v>
      </c>
      <c r="K1283" s="2">
        <v>0</v>
      </c>
      <c r="L1283" s="2">
        <v>47292516.240000002</v>
      </c>
      <c r="M1283" s="3">
        <v>1.0056</v>
      </c>
      <c r="N1283" s="4">
        <v>0.10759557</v>
      </c>
      <c r="O1283" s="5" t="s">
        <v>44</v>
      </c>
      <c r="P1283" s="5" t="s">
        <v>44</v>
      </c>
      <c r="Q1283" s="1"/>
      <c r="R1283" s="2"/>
      <c r="S1283" s="6"/>
      <c r="T1283" t="s">
        <v>10902</v>
      </c>
      <c r="U1283" t="s">
        <v>11003</v>
      </c>
      <c r="V1283" t="s">
        <v>11003</v>
      </c>
      <c r="W1283" t="s">
        <v>43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s="4"/>
      <c r="AD1283" s="4"/>
      <c r="AE1283" s="2">
        <v>0</v>
      </c>
      <c r="AF1283" s="4">
        <v>0</v>
      </c>
      <c r="AG1283" s="2">
        <v>10.27</v>
      </c>
      <c r="AH1283" s="2">
        <v>47292516.240000002</v>
      </c>
      <c r="AI1283" s="2">
        <v>0.11</v>
      </c>
      <c r="AJ1283" s="5">
        <v>44673</v>
      </c>
      <c r="AK1283" t="s">
        <v>12109</v>
      </c>
      <c r="AL1283" s="2">
        <v>0</v>
      </c>
      <c r="AM1283" s="2">
        <v>0</v>
      </c>
      <c r="AN1283" s="2">
        <v>0</v>
      </c>
      <c r="AO1283" t="s">
        <v>44</v>
      </c>
      <c r="AP1283" t="s">
        <v>11020</v>
      </c>
      <c r="AQ1283" t="s">
        <v>11019</v>
      </c>
    </row>
    <row r="1284" spans="1:43" x14ac:dyDescent="0.2">
      <c r="A1284" t="s">
        <v>12108</v>
      </c>
      <c r="B1284" t="s">
        <v>11013</v>
      </c>
      <c r="C1284" t="s">
        <v>11014</v>
      </c>
      <c r="D1284" t="s">
        <v>11021</v>
      </c>
      <c r="E1284" t="s">
        <v>11022</v>
      </c>
      <c r="F1284" t="s">
        <v>11021</v>
      </c>
      <c r="G1284" s="1">
        <v>36792208.742799997</v>
      </c>
      <c r="H1284" s="2">
        <v>30906193.609999999</v>
      </c>
      <c r="I1284" s="2">
        <v>36939377.579999998</v>
      </c>
      <c r="J1284" s="2">
        <v>0</v>
      </c>
      <c r="K1284" s="2">
        <v>0</v>
      </c>
      <c r="L1284" s="2">
        <v>36939377.579999998</v>
      </c>
      <c r="M1284" s="3">
        <v>1.004</v>
      </c>
      <c r="N1284" s="4">
        <v>8.4041060000000001E-2</v>
      </c>
      <c r="O1284" s="5" t="s">
        <v>44</v>
      </c>
      <c r="P1284" s="5" t="s">
        <v>44</v>
      </c>
      <c r="Q1284" s="1"/>
      <c r="R1284" s="2"/>
      <c r="S1284" s="6"/>
      <c r="T1284" t="s">
        <v>10902</v>
      </c>
      <c r="U1284" t="s">
        <v>11003</v>
      </c>
      <c r="V1284" t="s">
        <v>11003</v>
      </c>
      <c r="W1284" t="s">
        <v>43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s="4"/>
      <c r="AD1284" s="4"/>
      <c r="AE1284" s="2">
        <v>0</v>
      </c>
      <c r="AF1284" s="4">
        <v>0</v>
      </c>
      <c r="AG1284" s="2">
        <v>8.02</v>
      </c>
      <c r="AH1284" s="2">
        <v>36939377.579999998</v>
      </c>
      <c r="AI1284" s="2">
        <v>0.08</v>
      </c>
      <c r="AJ1284" s="5">
        <v>44673</v>
      </c>
      <c r="AK1284" t="s">
        <v>12109</v>
      </c>
      <c r="AL1284" s="2">
        <v>0</v>
      </c>
      <c r="AM1284" s="2">
        <v>0</v>
      </c>
      <c r="AN1284" s="2">
        <v>0</v>
      </c>
      <c r="AO1284" t="s">
        <v>44</v>
      </c>
      <c r="AP1284" t="s">
        <v>11023</v>
      </c>
      <c r="AQ1284" t="s">
        <v>11022</v>
      </c>
    </row>
    <row r="1285" spans="1:43" x14ac:dyDescent="0.2">
      <c r="A1285" t="s">
        <v>12108</v>
      </c>
      <c r="B1285" t="s">
        <v>11024</v>
      </c>
      <c r="C1285" t="s">
        <v>57</v>
      </c>
      <c r="D1285" t="s">
        <v>12717</v>
      </c>
      <c r="E1285" t="s">
        <v>12717</v>
      </c>
      <c r="F1285" t="s">
        <v>12717</v>
      </c>
      <c r="G1285" s="1">
        <v>-169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3">
        <v>65943</v>
      </c>
      <c r="N1285" s="4">
        <v>0</v>
      </c>
      <c r="O1285" s="5" t="s">
        <v>44</v>
      </c>
      <c r="P1285" s="5">
        <v>44910</v>
      </c>
      <c r="Q1285" s="1"/>
      <c r="R1285" s="2"/>
      <c r="S1285" s="6"/>
      <c r="T1285" t="s">
        <v>11026</v>
      </c>
      <c r="U1285" t="s">
        <v>11025</v>
      </c>
      <c r="V1285" t="s">
        <v>11027</v>
      </c>
      <c r="W1285" t="s">
        <v>43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s="4"/>
      <c r="AD1285" s="4"/>
      <c r="AE1285" s="2">
        <v>0</v>
      </c>
      <c r="AF1285" s="4">
        <v>0</v>
      </c>
      <c r="AG1285" s="2">
        <v>0</v>
      </c>
      <c r="AH1285" s="2">
        <v>-111443670</v>
      </c>
      <c r="AI1285" s="2">
        <v>-0.25</v>
      </c>
      <c r="AJ1285" s="5">
        <v>44673</v>
      </c>
      <c r="AK1285" t="s">
        <v>12109</v>
      </c>
      <c r="AL1285" s="2">
        <v>0</v>
      </c>
      <c r="AM1285" s="2">
        <v>0</v>
      </c>
      <c r="AN1285" s="2">
        <v>0</v>
      </c>
      <c r="AO1285" t="s">
        <v>44</v>
      </c>
      <c r="AP1285" t="s">
        <v>12718</v>
      </c>
      <c r="AQ1285" t="s">
        <v>12717</v>
      </c>
    </row>
    <row r="1286" spans="1:43" x14ac:dyDescent="0.2">
      <c r="A1286" t="s">
        <v>12108</v>
      </c>
      <c r="B1286" t="s">
        <v>11024</v>
      </c>
      <c r="C1286" t="s">
        <v>57</v>
      </c>
      <c r="D1286" t="s">
        <v>12719</v>
      </c>
      <c r="E1286" t="s">
        <v>12719</v>
      </c>
      <c r="F1286" t="s">
        <v>12719</v>
      </c>
      <c r="G1286" s="1">
        <v>309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3">
        <v>23175</v>
      </c>
      <c r="N1286" s="4">
        <v>0</v>
      </c>
      <c r="O1286" s="5" t="s">
        <v>44</v>
      </c>
      <c r="P1286" s="5">
        <v>44910</v>
      </c>
      <c r="Q1286" s="1"/>
      <c r="R1286" s="2"/>
      <c r="S1286" s="6"/>
      <c r="T1286" t="s">
        <v>11153</v>
      </c>
      <c r="U1286" t="s">
        <v>11025</v>
      </c>
      <c r="V1286" t="s">
        <v>11154</v>
      </c>
      <c r="W1286" t="s">
        <v>43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s="4"/>
      <c r="AD1286" s="4"/>
      <c r="AE1286" s="2">
        <v>0</v>
      </c>
      <c r="AF1286" s="4">
        <v>0</v>
      </c>
      <c r="AG1286" s="2">
        <v>0</v>
      </c>
      <c r="AH1286" s="2">
        <v>75731776.370000005</v>
      </c>
      <c r="AI1286" s="2">
        <v>0.17</v>
      </c>
      <c r="AJ1286" s="5">
        <v>44673</v>
      </c>
      <c r="AK1286" t="s">
        <v>12109</v>
      </c>
      <c r="AL1286" s="2">
        <v>0</v>
      </c>
      <c r="AM1286" s="2">
        <v>0</v>
      </c>
      <c r="AN1286" s="2">
        <v>0</v>
      </c>
      <c r="AO1286" t="s">
        <v>44</v>
      </c>
      <c r="AP1286" t="s">
        <v>12720</v>
      </c>
      <c r="AQ1286" t="s">
        <v>12719</v>
      </c>
    </row>
    <row r="1287" spans="1:43" x14ac:dyDescent="0.2">
      <c r="A1287" t="s">
        <v>12108</v>
      </c>
      <c r="B1287" t="s">
        <v>11024</v>
      </c>
      <c r="C1287" t="s">
        <v>57</v>
      </c>
      <c r="D1287" t="s">
        <v>11151</v>
      </c>
      <c r="E1287" t="s">
        <v>11151</v>
      </c>
      <c r="F1287" t="s">
        <v>11151</v>
      </c>
      <c r="G1287" s="1">
        <v>235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3">
        <v>65704</v>
      </c>
      <c r="N1287" s="4">
        <v>0</v>
      </c>
      <c r="O1287" s="5" t="s">
        <v>44</v>
      </c>
      <c r="P1287" s="5">
        <v>44727</v>
      </c>
      <c r="Q1287" s="1"/>
      <c r="R1287" s="2"/>
      <c r="S1287" s="6"/>
      <c r="T1287" t="s">
        <v>11026</v>
      </c>
      <c r="U1287" t="s">
        <v>11025</v>
      </c>
      <c r="V1287" t="s">
        <v>11027</v>
      </c>
      <c r="W1287" t="s">
        <v>43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s="4"/>
      <c r="AD1287" s="4"/>
      <c r="AE1287" s="2">
        <v>0</v>
      </c>
      <c r="AF1287" s="4">
        <v>0</v>
      </c>
      <c r="AG1287" s="2">
        <v>0</v>
      </c>
      <c r="AH1287" s="2">
        <v>154404400</v>
      </c>
      <c r="AI1287" s="2">
        <v>0.35</v>
      </c>
      <c r="AJ1287" s="5">
        <v>44673</v>
      </c>
      <c r="AK1287" t="s">
        <v>12109</v>
      </c>
      <c r="AL1287" s="2">
        <v>0</v>
      </c>
      <c r="AM1287" s="2">
        <v>0</v>
      </c>
      <c r="AN1287" s="2">
        <v>0</v>
      </c>
      <c r="AO1287" t="s">
        <v>44</v>
      </c>
      <c r="AP1287" t="s">
        <v>11152</v>
      </c>
      <c r="AQ1287" t="s">
        <v>11151</v>
      </c>
    </row>
    <row r="1288" spans="1:43" x14ac:dyDescent="0.2">
      <c r="A1288" t="s">
        <v>12108</v>
      </c>
      <c r="B1288" t="s">
        <v>11024</v>
      </c>
      <c r="C1288" t="s">
        <v>57</v>
      </c>
      <c r="D1288" t="s">
        <v>12995</v>
      </c>
      <c r="E1288" t="s">
        <v>12995</v>
      </c>
      <c r="F1288" t="s">
        <v>12995</v>
      </c>
      <c r="G1288" s="1">
        <v>-71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3">
        <v>11809</v>
      </c>
      <c r="N1288" s="4">
        <v>0</v>
      </c>
      <c r="O1288" s="5" t="s">
        <v>44</v>
      </c>
      <c r="P1288" s="5">
        <v>44727</v>
      </c>
      <c r="Q1288" s="1"/>
      <c r="R1288" s="2"/>
      <c r="S1288" s="6"/>
      <c r="T1288" t="s">
        <v>11153</v>
      </c>
      <c r="U1288" t="s">
        <v>11025</v>
      </c>
      <c r="V1288" t="s">
        <v>11154</v>
      </c>
      <c r="W1288" t="s">
        <v>43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s="4"/>
      <c r="AD1288" s="4"/>
      <c r="AE1288" s="2">
        <v>0</v>
      </c>
      <c r="AF1288" s="4">
        <v>0</v>
      </c>
      <c r="AG1288" s="2">
        <v>0</v>
      </c>
      <c r="AH1288" s="2">
        <v>14116792.24</v>
      </c>
      <c r="AI1288" s="2">
        <v>0.03</v>
      </c>
      <c r="AJ1288" s="5">
        <v>44673</v>
      </c>
      <c r="AK1288" t="s">
        <v>12109</v>
      </c>
      <c r="AL1288" s="2">
        <v>0</v>
      </c>
      <c r="AM1288" s="2">
        <v>0</v>
      </c>
      <c r="AN1288" s="2">
        <v>0</v>
      </c>
      <c r="AO1288" t="s">
        <v>44</v>
      </c>
      <c r="AP1288" t="s">
        <v>12999</v>
      </c>
      <c r="AQ1288" t="s">
        <v>12995</v>
      </c>
    </row>
    <row r="1289" spans="1:43" x14ac:dyDescent="0.2">
      <c r="A1289" t="s">
        <v>12108</v>
      </c>
      <c r="B1289" t="s">
        <v>11024</v>
      </c>
      <c r="C1289" t="s">
        <v>57</v>
      </c>
      <c r="D1289" t="s">
        <v>11155</v>
      </c>
      <c r="E1289" t="s">
        <v>11155</v>
      </c>
      <c r="F1289" t="s">
        <v>11155</v>
      </c>
      <c r="G1289" s="1">
        <v>-175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3">
        <v>615</v>
      </c>
      <c r="N1289" s="4">
        <v>0</v>
      </c>
      <c r="O1289" s="5" t="s">
        <v>44</v>
      </c>
      <c r="P1289" s="5">
        <v>44727</v>
      </c>
      <c r="Q1289" s="1"/>
      <c r="R1289" s="2"/>
      <c r="S1289" s="6"/>
      <c r="T1289" t="s">
        <v>11153</v>
      </c>
      <c r="U1289" t="s">
        <v>11025</v>
      </c>
      <c r="V1289" t="s">
        <v>11154</v>
      </c>
      <c r="W1289" t="s">
        <v>43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s="4"/>
      <c r="AD1289" s="4"/>
      <c r="AE1289" s="2">
        <v>0</v>
      </c>
      <c r="AF1289" s="4">
        <v>0</v>
      </c>
      <c r="AG1289" s="2">
        <v>0</v>
      </c>
      <c r="AH1289" s="2">
        <v>-4232916.37</v>
      </c>
      <c r="AI1289" s="2">
        <v>-0.01</v>
      </c>
      <c r="AJ1289" s="5">
        <v>44673</v>
      </c>
      <c r="AK1289" t="s">
        <v>12109</v>
      </c>
      <c r="AL1289" s="2">
        <v>0</v>
      </c>
      <c r="AM1289" s="2">
        <v>0</v>
      </c>
      <c r="AN1289" s="2">
        <v>0</v>
      </c>
      <c r="AO1289" t="s">
        <v>44</v>
      </c>
      <c r="AP1289" t="s">
        <v>11156</v>
      </c>
      <c r="AQ1289" t="s">
        <v>11155</v>
      </c>
    </row>
    <row r="1290" spans="1:43" x14ac:dyDescent="0.2">
      <c r="A1290" t="s">
        <v>12108</v>
      </c>
      <c r="B1290" t="s">
        <v>11024</v>
      </c>
      <c r="C1290" t="s">
        <v>57</v>
      </c>
      <c r="D1290" t="s">
        <v>11157</v>
      </c>
      <c r="E1290" t="s">
        <v>11157</v>
      </c>
      <c r="F1290" t="s">
        <v>11157</v>
      </c>
      <c r="G1290" s="1">
        <v>-67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3">
        <v>65741</v>
      </c>
      <c r="N1290" s="4">
        <v>0</v>
      </c>
      <c r="O1290" s="5" t="s">
        <v>44</v>
      </c>
      <c r="P1290" s="5">
        <v>44819</v>
      </c>
      <c r="Q1290" s="1"/>
      <c r="R1290" s="2"/>
      <c r="S1290" s="6"/>
      <c r="T1290" t="s">
        <v>11026</v>
      </c>
      <c r="U1290" t="s">
        <v>11025</v>
      </c>
      <c r="V1290" t="s">
        <v>11027</v>
      </c>
      <c r="W1290" t="s">
        <v>43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s="4"/>
      <c r="AD1290" s="4"/>
      <c r="AE1290" s="2">
        <v>0</v>
      </c>
      <c r="AF1290" s="4">
        <v>0</v>
      </c>
      <c r="AG1290" s="2">
        <v>0</v>
      </c>
      <c r="AH1290" s="2">
        <v>-44046470</v>
      </c>
      <c r="AI1290" s="2">
        <v>-0.1</v>
      </c>
      <c r="AJ1290" s="5">
        <v>44673</v>
      </c>
      <c r="AK1290" t="s">
        <v>12109</v>
      </c>
      <c r="AL1290" s="2">
        <v>0</v>
      </c>
      <c r="AM1290" s="2">
        <v>0</v>
      </c>
      <c r="AN1290" s="2">
        <v>0</v>
      </c>
      <c r="AO1290" t="s">
        <v>44</v>
      </c>
      <c r="AP1290" t="s">
        <v>11158</v>
      </c>
      <c r="AQ1290" t="s">
        <v>11157</v>
      </c>
    </row>
    <row r="1291" spans="1:43" x14ac:dyDescent="0.2">
      <c r="A1291" t="s">
        <v>12108</v>
      </c>
      <c r="B1291" t="s">
        <v>11024</v>
      </c>
      <c r="C1291" t="s">
        <v>57</v>
      </c>
      <c r="D1291" t="s">
        <v>12738</v>
      </c>
      <c r="E1291" t="s">
        <v>12738</v>
      </c>
      <c r="F1291" t="s">
        <v>12738</v>
      </c>
      <c r="G1291" s="1">
        <v>195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3">
        <v>17668</v>
      </c>
      <c r="N1291" s="4">
        <v>0</v>
      </c>
      <c r="O1291" s="5" t="s">
        <v>44</v>
      </c>
      <c r="P1291" s="5">
        <v>44819</v>
      </c>
      <c r="Q1291" s="1"/>
      <c r="R1291" s="2"/>
      <c r="S1291" s="6"/>
      <c r="T1291" t="s">
        <v>11153</v>
      </c>
      <c r="U1291" t="s">
        <v>11025</v>
      </c>
      <c r="V1291" t="s">
        <v>11154</v>
      </c>
      <c r="W1291" t="s">
        <v>43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s="4"/>
      <c r="AD1291" s="4"/>
      <c r="AE1291" s="2">
        <v>0</v>
      </c>
      <c r="AF1291" s="4">
        <v>0</v>
      </c>
      <c r="AG1291" s="2">
        <v>0</v>
      </c>
      <c r="AH1291" s="2">
        <v>46226659.740000002</v>
      </c>
      <c r="AI1291" s="2">
        <v>0.11</v>
      </c>
      <c r="AJ1291" s="5">
        <v>44673</v>
      </c>
      <c r="AK1291" t="s">
        <v>12109</v>
      </c>
      <c r="AL1291" s="2">
        <v>0</v>
      </c>
      <c r="AM1291" s="2">
        <v>0</v>
      </c>
      <c r="AN1291" s="2">
        <v>0</v>
      </c>
      <c r="AO1291" t="s">
        <v>44</v>
      </c>
      <c r="AP1291" t="s">
        <v>12741</v>
      </c>
      <c r="AQ1291" t="s">
        <v>12738</v>
      </c>
    </row>
    <row r="1292" spans="1:43" x14ac:dyDescent="0.2">
      <c r="A1292" t="s">
        <v>12108</v>
      </c>
      <c r="B1292" t="s">
        <v>11024</v>
      </c>
      <c r="C1292" t="s">
        <v>57</v>
      </c>
      <c r="D1292" t="s">
        <v>12722</v>
      </c>
      <c r="E1292" t="s">
        <v>12722</v>
      </c>
      <c r="F1292" t="s">
        <v>12722</v>
      </c>
      <c r="G1292" s="1">
        <v>196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3">
        <v>14076</v>
      </c>
      <c r="N1292" s="4">
        <v>0</v>
      </c>
      <c r="O1292" s="5" t="s">
        <v>44</v>
      </c>
      <c r="P1292" s="5">
        <v>44819</v>
      </c>
      <c r="Q1292" s="1"/>
      <c r="R1292" s="2"/>
      <c r="S1292" s="6"/>
      <c r="T1292" t="s">
        <v>11153</v>
      </c>
      <c r="U1292" t="s">
        <v>11025</v>
      </c>
      <c r="V1292" t="s">
        <v>11154</v>
      </c>
      <c r="W1292" t="s">
        <v>43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s="4"/>
      <c r="AD1292" s="4"/>
      <c r="AE1292" s="2">
        <v>0</v>
      </c>
      <c r="AF1292" s="4">
        <v>0</v>
      </c>
      <c r="AG1292" s="2">
        <v>0</v>
      </c>
      <c r="AH1292" s="2">
        <v>40008287.890000001</v>
      </c>
      <c r="AI1292" s="2">
        <v>0.09</v>
      </c>
      <c r="AJ1292" s="5">
        <v>44673</v>
      </c>
      <c r="AK1292" t="s">
        <v>12109</v>
      </c>
      <c r="AL1292" s="2">
        <v>0</v>
      </c>
      <c r="AM1292" s="2">
        <v>0</v>
      </c>
      <c r="AN1292" s="2">
        <v>0</v>
      </c>
      <c r="AO1292" t="s">
        <v>44</v>
      </c>
      <c r="AP1292" t="s">
        <v>12723</v>
      </c>
      <c r="AQ1292" t="s">
        <v>12722</v>
      </c>
    </row>
    <row r="1293" spans="1:43" x14ac:dyDescent="0.2">
      <c r="A1293" t="s">
        <v>12108</v>
      </c>
      <c r="B1293" t="s">
        <v>11024</v>
      </c>
      <c r="C1293" t="s">
        <v>57</v>
      </c>
      <c r="D1293" t="s">
        <v>12996</v>
      </c>
      <c r="E1293" t="s">
        <v>12996</v>
      </c>
      <c r="F1293" t="s">
        <v>12996</v>
      </c>
      <c r="G1293" s="1">
        <v>-172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3">
        <v>5097</v>
      </c>
      <c r="N1293" s="4">
        <v>0</v>
      </c>
      <c r="O1293" s="5" t="s">
        <v>44</v>
      </c>
      <c r="P1293" s="5">
        <v>44819</v>
      </c>
      <c r="Q1293" s="1"/>
      <c r="R1293" s="2"/>
      <c r="S1293" s="6"/>
      <c r="T1293" t="s">
        <v>11153</v>
      </c>
      <c r="U1293" t="s">
        <v>11025</v>
      </c>
      <c r="V1293" t="s">
        <v>11154</v>
      </c>
      <c r="W1293" t="s">
        <v>43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s="4"/>
      <c r="AD1293" s="4"/>
      <c r="AE1293" s="2">
        <v>0</v>
      </c>
      <c r="AF1293" s="4">
        <v>0</v>
      </c>
      <c r="AG1293" s="2">
        <v>0</v>
      </c>
      <c r="AH1293" s="2">
        <v>-16616697.82</v>
      </c>
      <c r="AI1293" s="2">
        <v>-0.04</v>
      </c>
      <c r="AJ1293" s="5">
        <v>44673</v>
      </c>
      <c r="AK1293" t="s">
        <v>12109</v>
      </c>
      <c r="AL1293" s="2">
        <v>0</v>
      </c>
      <c r="AM1293" s="2">
        <v>0</v>
      </c>
      <c r="AN1293" s="2">
        <v>0</v>
      </c>
      <c r="AO1293" t="s">
        <v>44</v>
      </c>
      <c r="AP1293" t="s">
        <v>13000</v>
      </c>
      <c r="AQ1293" t="s">
        <v>12996</v>
      </c>
    </row>
    <row r="1294" spans="1:43" x14ac:dyDescent="0.2">
      <c r="A1294" t="s">
        <v>12108</v>
      </c>
      <c r="B1294" t="s">
        <v>11024</v>
      </c>
      <c r="C1294" t="s">
        <v>57</v>
      </c>
      <c r="D1294" t="s">
        <v>12739</v>
      </c>
      <c r="E1294" t="s">
        <v>12739</v>
      </c>
      <c r="F1294" t="s">
        <v>12739</v>
      </c>
      <c r="G1294" s="1">
        <v>-173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3">
        <v>2268</v>
      </c>
      <c r="N1294" s="4">
        <v>0</v>
      </c>
      <c r="O1294" s="5" t="s">
        <v>44</v>
      </c>
      <c r="P1294" s="5">
        <v>44819</v>
      </c>
      <c r="Q1294" s="1"/>
      <c r="R1294" s="2"/>
      <c r="S1294" s="6"/>
      <c r="T1294" t="s">
        <v>11153</v>
      </c>
      <c r="U1294" t="s">
        <v>11025</v>
      </c>
      <c r="V1294" t="s">
        <v>11154</v>
      </c>
      <c r="W1294" t="s">
        <v>43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s="4"/>
      <c r="AD1294" s="4"/>
      <c r="AE1294" s="2">
        <v>0</v>
      </c>
      <c r="AF1294" s="4">
        <v>0</v>
      </c>
      <c r="AG1294" s="2">
        <v>0</v>
      </c>
      <c r="AH1294" s="2">
        <v>-8590666.7200000007</v>
      </c>
      <c r="AI1294" s="2">
        <v>-0.02</v>
      </c>
      <c r="AJ1294" s="5">
        <v>44673</v>
      </c>
      <c r="AK1294" t="s">
        <v>12109</v>
      </c>
      <c r="AL1294" s="2">
        <v>0</v>
      </c>
      <c r="AM1294" s="2">
        <v>0</v>
      </c>
      <c r="AN1294" s="2">
        <v>0</v>
      </c>
      <c r="AO1294" t="s">
        <v>44</v>
      </c>
      <c r="AP1294" t="s">
        <v>12742</v>
      </c>
      <c r="AQ1294" t="s">
        <v>12739</v>
      </c>
    </row>
    <row r="1295" spans="1:43" x14ac:dyDescent="0.2">
      <c r="A1295" t="s">
        <v>12108</v>
      </c>
      <c r="B1295" t="s">
        <v>11160</v>
      </c>
      <c r="C1295" t="s">
        <v>11161</v>
      </c>
      <c r="D1295" t="s">
        <v>11162</v>
      </c>
      <c r="E1295" t="s">
        <v>11163</v>
      </c>
      <c r="F1295" t="s">
        <v>11162</v>
      </c>
      <c r="G1295" s="1">
        <v>23519</v>
      </c>
      <c r="H1295" s="2">
        <v>16266747.6</v>
      </c>
      <c r="I1295" s="2">
        <v>21167100</v>
      </c>
      <c r="J1295" s="2">
        <v>0</v>
      </c>
      <c r="K1295" s="2">
        <v>586589.63</v>
      </c>
      <c r="L1295" s="2">
        <v>21753689.629999999</v>
      </c>
      <c r="M1295" s="3">
        <v>90000</v>
      </c>
      <c r="N1295" s="4">
        <v>4.949199E-2</v>
      </c>
      <c r="O1295" s="5" t="s">
        <v>44</v>
      </c>
      <c r="P1295" s="5" t="s">
        <v>44</v>
      </c>
      <c r="Q1295" s="1"/>
      <c r="R1295" s="2"/>
      <c r="S1295" s="6"/>
      <c r="T1295" t="s">
        <v>10902</v>
      </c>
      <c r="U1295" t="s">
        <v>10902</v>
      </c>
      <c r="V1295" t="s">
        <v>11164</v>
      </c>
      <c r="W1295" t="s">
        <v>43</v>
      </c>
      <c r="X1295" t="s">
        <v>44</v>
      </c>
      <c r="Y1295" t="s">
        <v>44</v>
      </c>
      <c r="Z1295" t="s">
        <v>44</v>
      </c>
      <c r="AA1295" t="s">
        <v>10979</v>
      </c>
      <c r="AB1295" t="s">
        <v>44</v>
      </c>
      <c r="AC1295" s="4"/>
      <c r="AD1295" s="4"/>
      <c r="AE1295" s="2">
        <v>0</v>
      </c>
      <c r="AF1295" s="4">
        <v>0</v>
      </c>
      <c r="AG1295" s="2">
        <v>4.72</v>
      </c>
      <c r="AH1295" s="2">
        <v>21753689.629999999</v>
      </c>
      <c r="AI1295" s="2">
        <v>0.05</v>
      </c>
      <c r="AJ1295" s="5">
        <v>44673</v>
      </c>
      <c r="AK1295" t="s">
        <v>12109</v>
      </c>
      <c r="AL1295" s="2">
        <v>0</v>
      </c>
      <c r="AM1295" s="2">
        <v>0</v>
      </c>
      <c r="AN1295" s="2">
        <v>0</v>
      </c>
      <c r="AO1295" t="s">
        <v>11165</v>
      </c>
      <c r="AP1295" t="s">
        <v>11166</v>
      </c>
      <c r="AQ1295" t="s">
        <v>11163</v>
      </c>
    </row>
    <row r="1296" spans="1:43" x14ac:dyDescent="0.2">
      <c r="A1296" t="s">
        <v>12108</v>
      </c>
      <c r="B1296" t="s">
        <v>11160</v>
      </c>
      <c r="C1296" t="s">
        <v>11161</v>
      </c>
      <c r="D1296" t="s">
        <v>11167</v>
      </c>
      <c r="E1296" t="s">
        <v>11168</v>
      </c>
      <c r="F1296" t="s">
        <v>11167</v>
      </c>
      <c r="G1296" s="1">
        <v>156758</v>
      </c>
      <c r="H1296" s="2">
        <v>14204403.84</v>
      </c>
      <c r="I1296" s="2">
        <v>15150660.699999999</v>
      </c>
      <c r="J1296" s="2">
        <v>0</v>
      </c>
      <c r="K1296" s="2">
        <v>0</v>
      </c>
      <c r="L1296" s="2">
        <v>15150660.699999999</v>
      </c>
      <c r="M1296" s="3">
        <v>9665</v>
      </c>
      <c r="N1296" s="4">
        <v>3.4469380000000001E-2</v>
      </c>
      <c r="O1296" s="5" t="s">
        <v>44</v>
      </c>
      <c r="P1296" s="5" t="s">
        <v>44</v>
      </c>
      <c r="Q1296" s="1"/>
      <c r="R1296" s="2"/>
      <c r="S1296" s="6"/>
      <c r="T1296" t="s">
        <v>10902</v>
      </c>
      <c r="U1296" t="s">
        <v>10902</v>
      </c>
      <c r="V1296" t="s">
        <v>11164</v>
      </c>
      <c r="W1296" t="s">
        <v>43</v>
      </c>
      <c r="X1296" t="s">
        <v>11164</v>
      </c>
      <c r="Y1296" t="s">
        <v>44</v>
      </c>
      <c r="Z1296" t="s">
        <v>44</v>
      </c>
      <c r="AA1296" t="s">
        <v>44</v>
      </c>
      <c r="AB1296" t="s">
        <v>44</v>
      </c>
      <c r="AC1296" s="4"/>
      <c r="AD1296" s="4"/>
      <c r="AE1296" s="2">
        <v>0</v>
      </c>
      <c r="AF1296" s="4">
        <v>0</v>
      </c>
      <c r="AG1296" s="2">
        <v>3.29</v>
      </c>
      <c r="AH1296" s="2">
        <v>15150660.699999999</v>
      </c>
      <c r="AI1296" s="2">
        <v>0.03</v>
      </c>
      <c r="AJ1296" s="5">
        <v>44673</v>
      </c>
      <c r="AK1296" t="s">
        <v>12109</v>
      </c>
      <c r="AL1296" s="2">
        <v>0</v>
      </c>
      <c r="AM1296" s="2">
        <v>0</v>
      </c>
      <c r="AN1296" s="2">
        <v>0</v>
      </c>
      <c r="AO1296" t="s">
        <v>44</v>
      </c>
      <c r="AP1296" t="s">
        <v>11169</v>
      </c>
      <c r="AQ1296" t="s">
        <v>11168</v>
      </c>
    </row>
    <row r="1297" spans="1:43" x14ac:dyDescent="0.2">
      <c r="A1297" t="s">
        <v>12108</v>
      </c>
      <c r="B1297" t="s">
        <v>11160</v>
      </c>
      <c r="C1297" t="s">
        <v>11161</v>
      </c>
      <c r="D1297" t="s">
        <v>11170</v>
      </c>
      <c r="E1297" t="s">
        <v>11171</v>
      </c>
      <c r="F1297" t="s">
        <v>11170</v>
      </c>
      <c r="G1297" s="1">
        <v>109218</v>
      </c>
      <c r="H1297" s="2">
        <v>8264937.1699999999</v>
      </c>
      <c r="I1297" s="2">
        <v>10522062.119999999</v>
      </c>
      <c r="J1297" s="2">
        <v>0</v>
      </c>
      <c r="K1297" s="2">
        <v>0</v>
      </c>
      <c r="L1297" s="2">
        <v>10522062.119999999</v>
      </c>
      <c r="M1297" s="3">
        <v>9634</v>
      </c>
      <c r="N1297" s="4">
        <v>2.393882E-2</v>
      </c>
      <c r="O1297" s="5" t="s">
        <v>44</v>
      </c>
      <c r="P1297" s="5" t="s">
        <v>44</v>
      </c>
      <c r="Q1297" s="1"/>
      <c r="R1297" s="2"/>
      <c r="S1297" s="6"/>
      <c r="T1297" t="s">
        <v>10902</v>
      </c>
      <c r="U1297" t="s">
        <v>10902</v>
      </c>
      <c r="V1297" t="s">
        <v>11164</v>
      </c>
      <c r="W1297" t="s">
        <v>43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s="4"/>
      <c r="AD1297" s="4"/>
      <c r="AE1297" s="2">
        <v>0</v>
      </c>
      <c r="AF1297" s="4">
        <v>0</v>
      </c>
      <c r="AG1297" s="2">
        <v>2.2799999999999998</v>
      </c>
      <c r="AH1297" s="2">
        <v>10522062.119999999</v>
      </c>
      <c r="AI1297" s="2">
        <v>0.02</v>
      </c>
      <c r="AJ1297" s="5">
        <v>44673</v>
      </c>
      <c r="AK1297" t="s">
        <v>12109</v>
      </c>
      <c r="AL1297" s="2">
        <v>0</v>
      </c>
      <c r="AM1297" s="2">
        <v>0</v>
      </c>
      <c r="AN1297" s="2">
        <v>0</v>
      </c>
      <c r="AO1297" t="s">
        <v>44</v>
      </c>
      <c r="AP1297" t="s">
        <v>11172</v>
      </c>
      <c r="AQ1297" t="s">
        <v>11171</v>
      </c>
    </row>
    <row r="1298" spans="1:43" x14ac:dyDescent="0.2">
      <c r="A1298" t="s">
        <v>12108</v>
      </c>
      <c r="B1298" t="s">
        <v>11160</v>
      </c>
      <c r="C1298" t="s">
        <v>11161</v>
      </c>
      <c r="D1298" t="s">
        <v>11173</v>
      </c>
      <c r="E1298" t="s">
        <v>11174</v>
      </c>
      <c r="F1298" t="s">
        <v>11173</v>
      </c>
      <c r="G1298" s="1">
        <v>37159</v>
      </c>
      <c r="H1298" s="2">
        <v>2920381.3</v>
      </c>
      <c r="I1298" s="2">
        <v>3195674</v>
      </c>
      <c r="J1298" s="2">
        <v>0</v>
      </c>
      <c r="K1298" s="2">
        <v>0</v>
      </c>
      <c r="L1298" s="2">
        <v>3195674</v>
      </c>
      <c r="M1298" s="3">
        <v>8600</v>
      </c>
      <c r="N1298" s="4">
        <v>7.2705000000000001E-3</v>
      </c>
      <c r="O1298" s="5" t="s">
        <v>44</v>
      </c>
      <c r="P1298" s="5" t="s">
        <v>44</v>
      </c>
      <c r="Q1298" s="1"/>
      <c r="R1298" s="2"/>
      <c r="S1298" s="6"/>
      <c r="T1298" t="s">
        <v>10902</v>
      </c>
      <c r="U1298" t="s">
        <v>10902</v>
      </c>
      <c r="V1298" t="s">
        <v>11164</v>
      </c>
      <c r="W1298" t="s">
        <v>43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s="4"/>
      <c r="AD1298" s="4"/>
      <c r="AE1298" s="2">
        <v>0</v>
      </c>
      <c r="AF1298" s="4">
        <v>0</v>
      </c>
      <c r="AG1298" s="2">
        <v>0.69</v>
      </c>
      <c r="AH1298" s="2">
        <v>3195674</v>
      </c>
      <c r="AI1298" s="2">
        <v>0.01</v>
      </c>
      <c r="AJ1298" s="5">
        <v>44673</v>
      </c>
      <c r="AK1298" t="s">
        <v>12109</v>
      </c>
      <c r="AL1298" s="2">
        <v>0</v>
      </c>
      <c r="AM1298" s="2">
        <v>0</v>
      </c>
      <c r="AN1298" s="2">
        <v>0</v>
      </c>
      <c r="AO1298" t="s">
        <v>44</v>
      </c>
      <c r="AP1298" t="s">
        <v>11175</v>
      </c>
      <c r="AQ1298" t="s">
        <v>11174</v>
      </c>
    </row>
    <row r="1299" spans="1:43" x14ac:dyDescent="0.2">
      <c r="A1299" t="s">
        <v>12108</v>
      </c>
      <c r="B1299" t="s">
        <v>11160</v>
      </c>
      <c r="C1299" t="s">
        <v>11161</v>
      </c>
      <c r="D1299" t="s">
        <v>11176</v>
      </c>
      <c r="E1299" t="s">
        <v>11177</v>
      </c>
      <c r="F1299" t="s">
        <v>11178</v>
      </c>
      <c r="G1299" s="1">
        <v>72275</v>
      </c>
      <c r="H1299" s="2">
        <v>5447154.7999999998</v>
      </c>
      <c r="I1299" s="2">
        <v>6677487.25</v>
      </c>
      <c r="J1299" s="2">
        <v>0</v>
      </c>
      <c r="K1299" s="2">
        <v>0</v>
      </c>
      <c r="L1299" s="2">
        <v>6677487.25</v>
      </c>
      <c r="M1299" s="3">
        <v>9239</v>
      </c>
      <c r="N1299" s="4">
        <v>1.5192000000000001E-2</v>
      </c>
      <c r="O1299" s="5" t="s">
        <v>44</v>
      </c>
      <c r="P1299" s="5" t="s">
        <v>44</v>
      </c>
      <c r="Q1299" s="1"/>
      <c r="R1299" s="2"/>
      <c r="S1299" s="6"/>
      <c r="T1299" t="s">
        <v>10902</v>
      </c>
      <c r="U1299" t="s">
        <v>10902</v>
      </c>
      <c r="V1299" t="s">
        <v>11164</v>
      </c>
      <c r="W1299" t="s">
        <v>43</v>
      </c>
      <c r="X1299" t="s">
        <v>44</v>
      </c>
      <c r="Y1299" t="s">
        <v>44</v>
      </c>
      <c r="Z1299" t="s">
        <v>44</v>
      </c>
      <c r="AA1299" t="s">
        <v>10979</v>
      </c>
      <c r="AB1299" t="s">
        <v>44</v>
      </c>
      <c r="AC1299" s="4"/>
      <c r="AD1299" s="4"/>
      <c r="AE1299" s="2">
        <v>0</v>
      </c>
      <c r="AF1299" s="4">
        <v>0</v>
      </c>
      <c r="AG1299" s="2">
        <v>1.45</v>
      </c>
      <c r="AH1299" s="2">
        <v>6677487.25</v>
      </c>
      <c r="AI1299" s="2">
        <v>0.02</v>
      </c>
      <c r="AJ1299" s="5">
        <v>44673</v>
      </c>
      <c r="AK1299" t="s">
        <v>12109</v>
      </c>
      <c r="AL1299" s="2">
        <v>0</v>
      </c>
      <c r="AM1299" s="2">
        <v>0</v>
      </c>
      <c r="AN1299" s="2">
        <v>0</v>
      </c>
      <c r="AO1299" t="s">
        <v>11179</v>
      </c>
      <c r="AP1299" t="s">
        <v>11180</v>
      </c>
      <c r="AQ1299" t="s">
        <v>11177</v>
      </c>
    </row>
    <row r="1300" spans="1:43" x14ac:dyDescent="0.2">
      <c r="A1300" t="s">
        <v>12108</v>
      </c>
      <c r="B1300" t="s">
        <v>10951</v>
      </c>
      <c r="C1300" t="s">
        <v>10952</v>
      </c>
      <c r="D1300" t="s">
        <v>11028</v>
      </c>
      <c r="E1300" t="s">
        <v>11029</v>
      </c>
      <c r="F1300" t="s">
        <v>11028</v>
      </c>
      <c r="G1300" s="1">
        <v>22990165.5132</v>
      </c>
      <c r="H1300" s="2">
        <v>23111577.75</v>
      </c>
      <c r="I1300" s="2">
        <v>23020052.73</v>
      </c>
      <c r="J1300" s="2">
        <v>0</v>
      </c>
      <c r="K1300" s="2">
        <v>0</v>
      </c>
      <c r="L1300" s="2">
        <v>23020052.73</v>
      </c>
      <c r="M1300" s="3">
        <v>1.0013000000000001</v>
      </c>
      <c r="N1300" s="4">
        <v>5.2373099999999999E-2</v>
      </c>
      <c r="O1300" s="5" t="s">
        <v>44</v>
      </c>
      <c r="P1300" s="5" t="s">
        <v>44</v>
      </c>
      <c r="Q1300" s="1"/>
      <c r="R1300" s="2"/>
      <c r="S1300" s="6"/>
      <c r="T1300" t="s">
        <v>10902</v>
      </c>
      <c r="U1300" t="s">
        <v>10953</v>
      </c>
      <c r="V1300" t="s">
        <v>10954</v>
      </c>
      <c r="W1300" t="s">
        <v>43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s="4"/>
      <c r="AD1300" s="4"/>
      <c r="AE1300" s="2">
        <v>0</v>
      </c>
      <c r="AF1300" s="4">
        <v>0</v>
      </c>
      <c r="AG1300" s="2">
        <v>5</v>
      </c>
      <c r="AH1300" s="2">
        <v>23020052.73</v>
      </c>
      <c r="AI1300" s="2">
        <v>0.05</v>
      </c>
      <c r="AJ1300" s="5">
        <v>44673</v>
      </c>
      <c r="AK1300" t="s">
        <v>12109</v>
      </c>
      <c r="AL1300" s="2">
        <v>0</v>
      </c>
      <c r="AM1300" s="2">
        <v>0</v>
      </c>
      <c r="AN1300" s="2">
        <v>0</v>
      </c>
      <c r="AO1300" t="s">
        <v>44</v>
      </c>
      <c r="AP1300" t="s">
        <v>44</v>
      </c>
      <c r="AQ1300" t="s">
        <v>11029</v>
      </c>
    </row>
    <row r="1301" spans="1:43" x14ac:dyDescent="0.2">
      <c r="A1301" t="s">
        <v>12108</v>
      </c>
      <c r="B1301" t="s">
        <v>11030</v>
      </c>
      <c r="C1301" t="s">
        <v>11030</v>
      </c>
      <c r="D1301" t="s">
        <v>12724</v>
      </c>
      <c r="E1301" t="s">
        <v>12717</v>
      </c>
      <c r="F1301" t="s">
        <v>12724</v>
      </c>
      <c r="G1301" s="1">
        <v>-169</v>
      </c>
      <c r="H1301" s="2"/>
      <c r="I1301" s="2">
        <v>0</v>
      </c>
      <c r="J1301" s="2"/>
      <c r="K1301" s="2"/>
      <c r="L1301" s="2">
        <v>0</v>
      </c>
      <c r="M1301" s="3"/>
      <c r="N1301" s="4">
        <v>0</v>
      </c>
      <c r="O1301" s="5" t="s">
        <v>44</v>
      </c>
      <c r="P1301" s="5" t="s">
        <v>44</v>
      </c>
      <c r="Q1301" s="1"/>
      <c r="R1301" s="2"/>
      <c r="S1301" s="6"/>
      <c r="T1301" t="s">
        <v>11031</v>
      </c>
      <c r="U1301" t="s">
        <v>11032</v>
      </c>
      <c r="V1301" t="s">
        <v>45</v>
      </c>
      <c r="W1301" t="s">
        <v>43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s="4"/>
      <c r="AD1301" s="4"/>
      <c r="AE1301" s="2">
        <v>0</v>
      </c>
      <c r="AF1301" s="4">
        <v>0</v>
      </c>
      <c r="AG1301" s="2">
        <v>0</v>
      </c>
      <c r="AH1301" s="2">
        <v>111443670</v>
      </c>
      <c r="AI1301" s="2">
        <v>0.25</v>
      </c>
      <c r="AJ1301" s="5">
        <v>44673</v>
      </c>
      <c r="AK1301" t="s">
        <v>12109</v>
      </c>
      <c r="AL1301" s="2">
        <v>0</v>
      </c>
      <c r="AM1301" s="2">
        <v>0</v>
      </c>
      <c r="AN1301" s="2">
        <v>0</v>
      </c>
      <c r="AO1301" t="s">
        <v>44</v>
      </c>
      <c r="AP1301" t="s">
        <v>44</v>
      </c>
      <c r="AQ1301" t="s">
        <v>11182</v>
      </c>
    </row>
    <row r="1302" spans="1:43" x14ac:dyDescent="0.2">
      <c r="A1302" t="s">
        <v>12108</v>
      </c>
      <c r="B1302" t="s">
        <v>11030</v>
      </c>
      <c r="C1302" t="s">
        <v>11030</v>
      </c>
      <c r="D1302" t="s">
        <v>12725</v>
      </c>
      <c r="E1302" t="s">
        <v>12719</v>
      </c>
      <c r="F1302" t="s">
        <v>12725</v>
      </c>
      <c r="G1302" s="1">
        <v>309</v>
      </c>
      <c r="H1302" s="2"/>
      <c r="I1302" s="2">
        <v>0</v>
      </c>
      <c r="J1302" s="2"/>
      <c r="K1302" s="2"/>
      <c r="L1302" s="2">
        <v>0</v>
      </c>
      <c r="M1302" s="3"/>
      <c r="N1302" s="4">
        <v>0</v>
      </c>
      <c r="O1302" s="5" t="s">
        <v>44</v>
      </c>
      <c r="P1302" s="5" t="s">
        <v>44</v>
      </c>
      <c r="Q1302" s="1"/>
      <c r="R1302" s="2"/>
      <c r="S1302" s="6"/>
      <c r="T1302" t="s">
        <v>11031</v>
      </c>
      <c r="U1302" t="s">
        <v>11183</v>
      </c>
      <c r="V1302" t="s">
        <v>45</v>
      </c>
      <c r="W1302" t="s">
        <v>43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s="4"/>
      <c r="AD1302" s="4"/>
      <c r="AE1302" s="2">
        <v>0</v>
      </c>
      <c r="AF1302" s="4">
        <v>0</v>
      </c>
      <c r="AG1302" s="2">
        <v>0</v>
      </c>
      <c r="AH1302" s="2">
        <v>-75731776.370000005</v>
      </c>
      <c r="AI1302" s="2">
        <v>-0.17</v>
      </c>
      <c r="AJ1302" s="5">
        <v>44673</v>
      </c>
      <c r="AK1302" t="s">
        <v>12109</v>
      </c>
      <c r="AL1302" s="2">
        <v>0</v>
      </c>
      <c r="AM1302" s="2">
        <v>0</v>
      </c>
      <c r="AN1302" s="2">
        <v>0</v>
      </c>
      <c r="AO1302" t="s">
        <v>44</v>
      </c>
      <c r="AP1302" t="s">
        <v>44</v>
      </c>
      <c r="AQ1302" t="s">
        <v>11182</v>
      </c>
    </row>
    <row r="1303" spans="1:43" x14ac:dyDescent="0.2">
      <c r="A1303" t="s">
        <v>12108</v>
      </c>
      <c r="B1303" t="s">
        <v>11030</v>
      </c>
      <c r="C1303" t="s">
        <v>11030</v>
      </c>
      <c r="D1303" t="s">
        <v>11181</v>
      </c>
      <c r="E1303" t="s">
        <v>11151</v>
      </c>
      <c r="F1303" t="s">
        <v>11181</v>
      </c>
      <c r="G1303" s="1">
        <v>235</v>
      </c>
      <c r="H1303" s="2"/>
      <c r="I1303" s="2">
        <v>0</v>
      </c>
      <c r="J1303" s="2"/>
      <c r="K1303" s="2"/>
      <c r="L1303" s="2">
        <v>0</v>
      </c>
      <c r="M1303" s="3"/>
      <c r="N1303" s="4">
        <v>0</v>
      </c>
      <c r="O1303" s="5" t="s">
        <v>44</v>
      </c>
      <c r="P1303" s="5" t="s">
        <v>44</v>
      </c>
      <c r="Q1303" s="1"/>
      <c r="R1303" s="2"/>
      <c r="S1303" s="6"/>
      <c r="T1303" t="s">
        <v>11031</v>
      </c>
      <c r="U1303" t="s">
        <v>11032</v>
      </c>
      <c r="V1303" t="s">
        <v>45</v>
      </c>
      <c r="W1303" t="s">
        <v>43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s="4"/>
      <c r="AD1303" s="4"/>
      <c r="AE1303" s="2">
        <v>0</v>
      </c>
      <c r="AF1303" s="4">
        <v>0</v>
      </c>
      <c r="AG1303" s="2">
        <v>0</v>
      </c>
      <c r="AH1303" s="2">
        <v>-154404400</v>
      </c>
      <c r="AI1303" s="2">
        <v>-0.35</v>
      </c>
      <c r="AJ1303" s="5">
        <v>44673</v>
      </c>
      <c r="AK1303" t="s">
        <v>12109</v>
      </c>
      <c r="AL1303" s="2">
        <v>0</v>
      </c>
      <c r="AM1303" s="2">
        <v>0</v>
      </c>
      <c r="AN1303" s="2">
        <v>0</v>
      </c>
      <c r="AO1303" t="s">
        <v>44</v>
      </c>
      <c r="AP1303" t="s">
        <v>44</v>
      </c>
      <c r="AQ1303" t="s">
        <v>11182</v>
      </c>
    </row>
    <row r="1304" spans="1:43" x14ac:dyDescent="0.2">
      <c r="A1304" t="s">
        <v>12108</v>
      </c>
      <c r="B1304" t="s">
        <v>11030</v>
      </c>
      <c r="C1304" t="s">
        <v>11030</v>
      </c>
      <c r="D1304" t="s">
        <v>13001</v>
      </c>
      <c r="E1304" t="s">
        <v>12995</v>
      </c>
      <c r="F1304" t="s">
        <v>13001</v>
      </c>
      <c r="G1304" s="1">
        <v>-71</v>
      </c>
      <c r="H1304" s="2"/>
      <c r="I1304" s="2">
        <v>0</v>
      </c>
      <c r="J1304" s="2"/>
      <c r="K1304" s="2"/>
      <c r="L1304" s="2">
        <v>0</v>
      </c>
      <c r="M1304" s="3"/>
      <c r="N1304" s="4">
        <v>0</v>
      </c>
      <c r="O1304" s="5" t="s">
        <v>44</v>
      </c>
      <c r="P1304" s="5" t="s">
        <v>44</v>
      </c>
      <c r="Q1304" s="1"/>
      <c r="R1304" s="2"/>
      <c r="S1304" s="6"/>
      <c r="T1304" t="s">
        <v>11031</v>
      </c>
      <c r="U1304" t="s">
        <v>11183</v>
      </c>
      <c r="V1304" t="s">
        <v>45</v>
      </c>
      <c r="W1304" t="s">
        <v>43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s="4"/>
      <c r="AD1304" s="4"/>
      <c r="AE1304" s="2">
        <v>0</v>
      </c>
      <c r="AF1304" s="4">
        <v>0</v>
      </c>
      <c r="AG1304" s="2">
        <v>0</v>
      </c>
      <c r="AH1304" s="2">
        <v>-14116792.24</v>
      </c>
      <c r="AI1304" s="2">
        <v>-0.03</v>
      </c>
      <c r="AJ1304" s="5">
        <v>44673</v>
      </c>
      <c r="AK1304" t="s">
        <v>12109</v>
      </c>
      <c r="AL1304" s="2">
        <v>0</v>
      </c>
      <c r="AM1304" s="2">
        <v>0</v>
      </c>
      <c r="AN1304" s="2">
        <v>0</v>
      </c>
      <c r="AO1304" t="s">
        <v>44</v>
      </c>
      <c r="AP1304" t="s">
        <v>44</v>
      </c>
      <c r="AQ1304" t="s">
        <v>11182</v>
      </c>
    </row>
    <row r="1305" spans="1:43" x14ac:dyDescent="0.2">
      <c r="A1305" t="s">
        <v>12108</v>
      </c>
      <c r="B1305" t="s">
        <v>11030</v>
      </c>
      <c r="C1305" t="s">
        <v>11030</v>
      </c>
      <c r="D1305" t="s">
        <v>11184</v>
      </c>
      <c r="E1305" t="s">
        <v>11155</v>
      </c>
      <c r="F1305" t="s">
        <v>11184</v>
      </c>
      <c r="G1305" s="1">
        <v>-175</v>
      </c>
      <c r="H1305" s="2"/>
      <c r="I1305" s="2">
        <v>0</v>
      </c>
      <c r="J1305" s="2"/>
      <c r="K1305" s="2"/>
      <c r="L1305" s="2">
        <v>0</v>
      </c>
      <c r="M1305" s="3"/>
      <c r="N1305" s="4">
        <v>0</v>
      </c>
      <c r="O1305" s="5" t="s">
        <v>44</v>
      </c>
      <c r="P1305" s="5" t="s">
        <v>44</v>
      </c>
      <c r="Q1305" s="1"/>
      <c r="R1305" s="2"/>
      <c r="S1305" s="6"/>
      <c r="T1305" t="s">
        <v>11031</v>
      </c>
      <c r="U1305" t="s">
        <v>11183</v>
      </c>
      <c r="V1305" t="s">
        <v>45</v>
      </c>
      <c r="W1305" t="s">
        <v>43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s="4"/>
      <c r="AD1305" s="4"/>
      <c r="AE1305" s="2">
        <v>0</v>
      </c>
      <c r="AF1305" s="4">
        <v>0</v>
      </c>
      <c r="AG1305" s="2">
        <v>0</v>
      </c>
      <c r="AH1305" s="2">
        <v>4232916.37</v>
      </c>
      <c r="AI1305" s="2">
        <v>0.01</v>
      </c>
      <c r="AJ1305" s="5">
        <v>44673</v>
      </c>
      <c r="AK1305" t="s">
        <v>12109</v>
      </c>
      <c r="AL1305" s="2">
        <v>0</v>
      </c>
      <c r="AM1305" s="2">
        <v>0</v>
      </c>
      <c r="AN1305" s="2">
        <v>0</v>
      </c>
      <c r="AO1305" t="s">
        <v>44</v>
      </c>
      <c r="AP1305" t="s">
        <v>44</v>
      </c>
      <c r="AQ1305" t="s">
        <v>11182</v>
      </c>
    </row>
    <row r="1306" spans="1:43" x14ac:dyDescent="0.2">
      <c r="A1306" t="s">
        <v>12108</v>
      </c>
      <c r="B1306" t="s">
        <v>11030</v>
      </c>
      <c r="C1306" t="s">
        <v>11030</v>
      </c>
      <c r="D1306" t="s">
        <v>11185</v>
      </c>
      <c r="E1306" t="s">
        <v>11157</v>
      </c>
      <c r="F1306" t="s">
        <v>11185</v>
      </c>
      <c r="G1306" s="1">
        <v>-67</v>
      </c>
      <c r="H1306" s="2"/>
      <c r="I1306" s="2">
        <v>0</v>
      </c>
      <c r="J1306" s="2"/>
      <c r="K1306" s="2"/>
      <c r="L1306" s="2">
        <v>0</v>
      </c>
      <c r="M1306" s="3"/>
      <c r="N1306" s="4">
        <v>0</v>
      </c>
      <c r="O1306" s="5" t="s">
        <v>44</v>
      </c>
      <c r="P1306" s="5" t="s">
        <v>44</v>
      </c>
      <c r="Q1306" s="1"/>
      <c r="R1306" s="2"/>
      <c r="S1306" s="6"/>
      <c r="T1306" t="s">
        <v>11031</v>
      </c>
      <c r="U1306" t="s">
        <v>11032</v>
      </c>
      <c r="V1306" t="s">
        <v>45</v>
      </c>
      <c r="W1306" t="s">
        <v>43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s="4"/>
      <c r="AD1306" s="4"/>
      <c r="AE1306" s="2">
        <v>0</v>
      </c>
      <c r="AF1306" s="4">
        <v>0</v>
      </c>
      <c r="AG1306" s="2">
        <v>0</v>
      </c>
      <c r="AH1306" s="2">
        <v>44046470</v>
      </c>
      <c r="AI1306" s="2">
        <v>0.1</v>
      </c>
      <c r="AJ1306" s="5">
        <v>44673</v>
      </c>
      <c r="AK1306" t="s">
        <v>12109</v>
      </c>
      <c r="AL1306" s="2">
        <v>0</v>
      </c>
      <c r="AM1306" s="2">
        <v>0</v>
      </c>
      <c r="AN1306" s="2">
        <v>0</v>
      </c>
      <c r="AO1306" t="s">
        <v>44</v>
      </c>
      <c r="AP1306" t="s">
        <v>44</v>
      </c>
      <c r="AQ1306" t="s">
        <v>11182</v>
      </c>
    </row>
    <row r="1307" spans="1:43" x14ac:dyDescent="0.2">
      <c r="A1307" t="s">
        <v>12108</v>
      </c>
      <c r="B1307" t="s">
        <v>11030</v>
      </c>
      <c r="C1307" t="s">
        <v>11030</v>
      </c>
      <c r="D1307" t="s">
        <v>12743</v>
      </c>
      <c r="E1307" t="s">
        <v>12738</v>
      </c>
      <c r="F1307" t="s">
        <v>12743</v>
      </c>
      <c r="G1307" s="1">
        <v>195</v>
      </c>
      <c r="H1307" s="2"/>
      <c r="I1307" s="2">
        <v>0</v>
      </c>
      <c r="J1307" s="2"/>
      <c r="K1307" s="2"/>
      <c r="L1307" s="2">
        <v>0</v>
      </c>
      <c r="M1307" s="3"/>
      <c r="N1307" s="4">
        <v>0</v>
      </c>
      <c r="O1307" s="5" t="s">
        <v>44</v>
      </c>
      <c r="P1307" s="5" t="s">
        <v>44</v>
      </c>
      <c r="Q1307" s="1"/>
      <c r="R1307" s="2"/>
      <c r="S1307" s="6"/>
      <c r="T1307" t="s">
        <v>11031</v>
      </c>
      <c r="U1307" t="s">
        <v>11183</v>
      </c>
      <c r="V1307" t="s">
        <v>45</v>
      </c>
      <c r="W1307" t="s">
        <v>43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s="4"/>
      <c r="AD1307" s="4"/>
      <c r="AE1307" s="2">
        <v>0</v>
      </c>
      <c r="AF1307" s="4">
        <v>0</v>
      </c>
      <c r="AG1307" s="2">
        <v>0</v>
      </c>
      <c r="AH1307" s="2">
        <v>-46226659.740000002</v>
      </c>
      <c r="AI1307" s="2">
        <v>-0.11</v>
      </c>
      <c r="AJ1307" s="5">
        <v>44673</v>
      </c>
      <c r="AK1307" t="s">
        <v>12109</v>
      </c>
      <c r="AL1307" s="2">
        <v>0</v>
      </c>
      <c r="AM1307" s="2">
        <v>0</v>
      </c>
      <c r="AN1307" s="2">
        <v>0</v>
      </c>
      <c r="AO1307" t="s">
        <v>44</v>
      </c>
      <c r="AP1307" t="s">
        <v>44</v>
      </c>
      <c r="AQ1307" t="s">
        <v>11182</v>
      </c>
    </row>
    <row r="1308" spans="1:43" x14ac:dyDescent="0.2">
      <c r="A1308" t="s">
        <v>12108</v>
      </c>
      <c r="B1308" t="s">
        <v>11030</v>
      </c>
      <c r="C1308" t="s">
        <v>11030</v>
      </c>
      <c r="D1308" t="s">
        <v>12726</v>
      </c>
      <c r="E1308" t="s">
        <v>12722</v>
      </c>
      <c r="F1308" t="s">
        <v>12726</v>
      </c>
      <c r="G1308" s="1">
        <v>196</v>
      </c>
      <c r="H1308" s="2"/>
      <c r="I1308" s="2">
        <v>0</v>
      </c>
      <c r="J1308" s="2"/>
      <c r="K1308" s="2"/>
      <c r="L1308" s="2">
        <v>0</v>
      </c>
      <c r="M1308" s="3"/>
      <c r="N1308" s="4">
        <v>0</v>
      </c>
      <c r="O1308" s="5" t="s">
        <v>44</v>
      </c>
      <c r="P1308" s="5" t="s">
        <v>44</v>
      </c>
      <c r="Q1308" s="1"/>
      <c r="R1308" s="2"/>
      <c r="S1308" s="6"/>
      <c r="T1308" t="s">
        <v>11031</v>
      </c>
      <c r="U1308" t="s">
        <v>11183</v>
      </c>
      <c r="V1308" t="s">
        <v>45</v>
      </c>
      <c r="W1308" t="s">
        <v>43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s="4"/>
      <c r="AD1308" s="4"/>
      <c r="AE1308" s="2">
        <v>0</v>
      </c>
      <c r="AF1308" s="4">
        <v>0</v>
      </c>
      <c r="AG1308" s="2">
        <v>0</v>
      </c>
      <c r="AH1308" s="2">
        <v>-40008287.890000001</v>
      </c>
      <c r="AI1308" s="2">
        <v>-0.09</v>
      </c>
      <c r="AJ1308" s="5">
        <v>44673</v>
      </c>
      <c r="AK1308" t="s">
        <v>12109</v>
      </c>
      <c r="AL1308" s="2">
        <v>0</v>
      </c>
      <c r="AM1308" s="2">
        <v>0</v>
      </c>
      <c r="AN1308" s="2">
        <v>0</v>
      </c>
      <c r="AO1308" t="s">
        <v>44</v>
      </c>
      <c r="AP1308" t="s">
        <v>44</v>
      </c>
      <c r="AQ1308" t="s">
        <v>11182</v>
      </c>
    </row>
    <row r="1309" spans="1:43" x14ac:dyDescent="0.2">
      <c r="A1309" t="s">
        <v>12108</v>
      </c>
      <c r="B1309" t="s">
        <v>11030</v>
      </c>
      <c r="C1309" t="s">
        <v>11030</v>
      </c>
      <c r="D1309" t="s">
        <v>13002</v>
      </c>
      <c r="E1309" t="s">
        <v>12996</v>
      </c>
      <c r="F1309" t="s">
        <v>13002</v>
      </c>
      <c r="G1309" s="1">
        <v>-172</v>
      </c>
      <c r="H1309" s="2"/>
      <c r="I1309" s="2">
        <v>0</v>
      </c>
      <c r="J1309" s="2"/>
      <c r="K1309" s="2"/>
      <c r="L1309" s="2">
        <v>0</v>
      </c>
      <c r="M1309" s="3"/>
      <c r="N1309" s="4">
        <v>0</v>
      </c>
      <c r="O1309" s="5" t="s">
        <v>44</v>
      </c>
      <c r="P1309" s="5" t="s">
        <v>44</v>
      </c>
      <c r="Q1309" s="1"/>
      <c r="R1309" s="2"/>
      <c r="S1309" s="6"/>
      <c r="T1309" t="s">
        <v>11031</v>
      </c>
      <c r="U1309" t="s">
        <v>11183</v>
      </c>
      <c r="V1309" t="s">
        <v>45</v>
      </c>
      <c r="W1309" t="s">
        <v>43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s="4"/>
      <c r="AD1309" s="4"/>
      <c r="AE1309" s="2">
        <v>0</v>
      </c>
      <c r="AF1309" s="4">
        <v>0</v>
      </c>
      <c r="AG1309" s="2">
        <v>0</v>
      </c>
      <c r="AH1309" s="2">
        <v>16616697.82</v>
      </c>
      <c r="AI1309" s="2">
        <v>0.04</v>
      </c>
      <c r="AJ1309" s="5">
        <v>44673</v>
      </c>
      <c r="AK1309" t="s">
        <v>12109</v>
      </c>
      <c r="AL1309" s="2">
        <v>0</v>
      </c>
      <c r="AM1309" s="2">
        <v>0</v>
      </c>
      <c r="AN1309" s="2">
        <v>0</v>
      </c>
      <c r="AO1309" t="s">
        <v>44</v>
      </c>
      <c r="AP1309" t="s">
        <v>44</v>
      </c>
      <c r="AQ1309" t="s">
        <v>11182</v>
      </c>
    </row>
    <row r="1310" spans="1:43" x14ac:dyDescent="0.2">
      <c r="A1310" t="s">
        <v>12108</v>
      </c>
      <c r="B1310" t="s">
        <v>11030</v>
      </c>
      <c r="C1310" t="s">
        <v>11030</v>
      </c>
      <c r="D1310" t="s">
        <v>12744</v>
      </c>
      <c r="E1310" t="s">
        <v>12739</v>
      </c>
      <c r="F1310" t="s">
        <v>12744</v>
      </c>
      <c r="G1310" s="1">
        <v>-173</v>
      </c>
      <c r="H1310" s="2"/>
      <c r="I1310" s="2">
        <v>0</v>
      </c>
      <c r="J1310" s="2"/>
      <c r="K1310" s="2"/>
      <c r="L1310" s="2">
        <v>0</v>
      </c>
      <c r="M1310" s="3"/>
      <c r="N1310" s="4">
        <v>0</v>
      </c>
      <c r="O1310" s="5" t="s">
        <v>44</v>
      </c>
      <c r="P1310" s="5" t="s">
        <v>44</v>
      </c>
      <c r="Q1310" s="1"/>
      <c r="R1310" s="2"/>
      <c r="S1310" s="6"/>
      <c r="T1310" t="s">
        <v>11031</v>
      </c>
      <c r="U1310" t="s">
        <v>11183</v>
      </c>
      <c r="V1310" t="s">
        <v>45</v>
      </c>
      <c r="W1310" t="s">
        <v>43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s="4"/>
      <c r="AD1310" s="4"/>
      <c r="AE1310" s="2">
        <v>0</v>
      </c>
      <c r="AF1310" s="4">
        <v>0</v>
      </c>
      <c r="AG1310" s="2">
        <v>0</v>
      </c>
      <c r="AH1310" s="2">
        <v>8590666.7200000007</v>
      </c>
      <c r="AI1310" s="2">
        <v>0.02</v>
      </c>
      <c r="AJ1310" s="5">
        <v>44673</v>
      </c>
      <c r="AK1310" t="s">
        <v>12109</v>
      </c>
      <c r="AL1310" s="2">
        <v>0</v>
      </c>
      <c r="AM1310" s="2">
        <v>0</v>
      </c>
      <c r="AN1310" s="2">
        <v>0</v>
      </c>
      <c r="AO1310" t="s">
        <v>44</v>
      </c>
      <c r="AP1310" t="s">
        <v>44</v>
      </c>
      <c r="AQ1310" t="s">
        <v>11182</v>
      </c>
    </row>
    <row r="1311" spans="1:43" x14ac:dyDescent="0.2">
      <c r="A1311" t="s">
        <v>12110</v>
      </c>
      <c r="B1311" t="s">
        <v>45</v>
      </c>
      <c r="C1311" t="s">
        <v>11000</v>
      </c>
      <c r="D1311" t="s">
        <v>11001</v>
      </c>
      <c r="E1311" t="s">
        <v>11002</v>
      </c>
      <c r="F1311" t="s">
        <v>11001</v>
      </c>
      <c r="G1311" s="1">
        <v>32493826.43</v>
      </c>
      <c r="H1311" s="2">
        <v>32493826.43</v>
      </c>
      <c r="I1311" s="2">
        <v>32493826.43</v>
      </c>
      <c r="J1311" s="2">
        <v>92547.04</v>
      </c>
      <c r="K1311" s="2">
        <v>0</v>
      </c>
      <c r="L1311" s="2">
        <v>32586373.469999999</v>
      </c>
      <c r="M1311" s="3"/>
      <c r="N1311" s="4">
        <v>7.4137510000000004E-2</v>
      </c>
      <c r="O1311" s="5">
        <v>40756</v>
      </c>
      <c r="P1311" s="5">
        <v>73020</v>
      </c>
      <c r="Q1311" s="1">
        <v>0</v>
      </c>
      <c r="R1311" s="2"/>
      <c r="S1311" s="6"/>
      <c r="T1311" t="s">
        <v>111</v>
      </c>
      <c r="U1311" t="s">
        <v>11003</v>
      </c>
      <c r="V1311" t="s">
        <v>46</v>
      </c>
      <c r="W1311" t="s">
        <v>43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s="4"/>
      <c r="AD1311" s="4"/>
      <c r="AE1311" s="2">
        <v>0</v>
      </c>
      <c r="AF1311" s="4">
        <v>0</v>
      </c>
      <c r="AG1311" s="2">
        <v>15</v>
      </c>
      <c r="AH1311" s="2">
        <v>32586373.469999999</v>
      </c>
      <c r="AI1311" s="2">
        <v>7.0000000000000007E-2</v>
      </c>
      <c r="AJ1311" s="5">
        <v>44673</v>
      </c>
      <c r="AK1311" t="s">
        <v>12111</v>
      </c>
      <c r="AL1311" s="2">
        <v>0</v>
      </c>
      <c r="AM1311" s="2">
        <v>0</v>
      </c>
      <c r="AN1311" s="2">
        <v>0</v>
      </c>
      <c r="AO1311" t="s">
        <v>44</v>
      </c>
      <c r="AP1311" t="s">
        <v>11004</v>
      </c>
      <c r="AQ1311" t="s">
        <v>11002</v>
      </c>
    </row>
    <row r="1312" spans="1:43" x14ac:dyDescent="0.2">
      <c r="A1312" t="s">
        <v>12110</v>
      </c>
      <c r="B1312" t="s">
        <v>45</v>
      </c>
      <c r="C1312" t="s">
        <v>11144</v>
      </c>
      <c r="D1312" t="s">
        <v>11145</v>
      </c>
      <c r="E1312" t="s">
        <v>11146</v>
      </c>
      <c r="F1312" t="s">
        <v>11147</v>
      </c>
      <c r="G1312" s="1">
        <v>3476464</v>
      </c>
      <c r="H1312" s="2">
        <v>3476464</v>
      </c>
      <c r="I1312" s="2">
        <v>3476464</v>
      </c>
      <c r="J1312" s="2">
        <v>19945.02</v>
      </c>
      <c r="K1312" s="2">
        <v>0</v>
      </c>
      <c r="L1312" s="2">
        <v>3496409.02</v>
      </c>
      <c r="M1312" s="3">
        <v>6.88</v>
      </c>
      <c r="N1312" s="4">
        <v>7.9547100000000003E-3</v>
      </c>
      <c r="O1312" s="5" t="s">
        <v>44</v>
      </c>
      <c r="P1312" s="5">
        <v>55153</v>
      </c>
      <c r="Q1312" s="1">
        <v>6.88</v>
      </c>
      <c r="R1312" s="2">
        <v>0.08</v>
      </c>
      <c r="S1312" s="6">
        <v>2.6006750000000002E-3</v>
      </c>
      <c r="T1312" t="s">
        <v>112</v>
      </c>
      <c r="U1312" t="s">
        <v>46</v>
      </c>
      <c r="V1312" t="s">
        <v>11148</v>
      </c>
      <c r="W1312" t="s">
        <v>43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s="4"/>
      <c r="AD1312" s="4"/>
      <c r="AE1312" s="2">
        <v>0</v>
      </c>
      <c r="AF1312" s="4">
        <v>0</v>
      </c>
      <c r="AG1312" s="2">
        <v>1.61</v>
      </c>
      <c r="AH1312" s="2">
        <v>3496409.02</v>
      </c>
      <c r="AI1312" s="2">
        <v>0.01</v>
      </c>
      <c r="AJ1312" s="5">
        <v>44673</v>
      </c>
      <c r="AK1312" t="s">
        <v>12111</v>
      </c>
      <c r="AL1312" s="2">
        <v>0</v>
      </c>
      <c r="AM1312" s="2">
        <v>6.88</v>
      </c>
      <c r="AN1312" s="2">
        <v>0</v>
      </c>
      <c r="AO1312" t="s">
        <v>11146</v>
      </c>
      <c r="AP1312" t="s">
        <v>44</v>
      </c>
      <c r="AQ1312" t="s">
        <v>11146</v>
      </c>
    </row>
    <row r="1313" spans="1:43" x14ac:dyDescent="0.2">
      <c r="A1313" t="s">
        <v>12110</v>
      </c>
      <c r="B1313" t="s">
        <v>45</v>
      </c>
      <c r="C1313" t="s">
        <v>47</v>
      </c>
      <c r="D1313" t="s">
        <v>48</v>
      </c>
      <c r="E1313" t="s">
        <v>49</v>
      </c>
      <c r="F1313" t="s">
        <v>50</v>
      </c>
      <c r="G1313" s="1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3428.17</v>
      </c>
      <c r="M1313" s="3"/>
      <c r="N1313" s="4">
        <v>7.7999999999999999E-6</v>
      </c>
      <c r="O1313" s="5" t="s">
        <v>44</v>
      </c>
      <c r="P1313" s="5" t="s">
        <v>44</v>
      </c>
      <c r="Q1313" s="1"/>
      <c r="R1313" s="2">
        <v>0.08</v>
      </c>
      <c r="S1313" s="6"/>
      <c r="T1313" t="s">
        <v>45</v>
      </c>
      <c r="U1313" t="s">
        <v>46</v>
      </c>
      <c r="V1313" t="s">
        <v>44</v>
      </c>
      <c r="W1313" t="s">
        <v>43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s="4">
        <v>5.1163389600000002</v>
      </c>
      <c r="AD1313" s="4">
        <v>5.0001424999999999</v>
      </c>
      <c r="AE1313" s="2">
        <v>5.12</v>
      </c>
      <c r="AF1313" s="4">
        <v>5.0001424999999999</v>
      </c>
      <c r="AG1313" s="2">
        <v>0</v>
      </c>
      <c r="AH1313" s="2">
        <v>3428.17</v>
      </c>
      <c r="AI1313" s="2">
        <v>0</v>
      </c>
      <c r="AJ1313" s="5">
        <v>44673</v>
      </c>
      <c r="AK1313" t="s">
        <v>12111</v>
      </c>
      <c r="AL1313" s="2">
        <v>5.05</v>
      </c>
      <c r="AM1313" s="2">
        <v>0</v>
      </c>
      <c r="AN1313" s="2">
        <v>0</v>
      </c>
      <c r="AO1313" t="s">
        <v>44</v>
      </c>
      <c r="AP1313" t="s">
        <v>44</v>
      </c>
      <c r="AQ1313" t="s">
        <v>44</v>
      </c>
    </row>
    <row r="1314" spans="1:43" x14ac:dyDescent="0.2">
      <c r="A1314" t="s">
        <v>12110</v>
      </c>
      <c r="B1314" t="s">
        <v>45</v>
      </c>
      <c r="C1314" t="s">
        <v>47</v>
      </c>
      <c r="D1314" t="s">
        <v>51</v>
      </c>
      <c r="E1314" t="s">
        <v>52</v>
      </c>
      <c r="F1314" t="s">
        <v>51</v>
      </c>
      <c r="G1314" s="1">
        <v>402981.19</v>
      </c>
      <c r="H1314" s="2">
        <v>402981.19</v>
      </c>
      <c r="I1314" s="2">
        <v>402981.19</v>
      </c>
      <c r="J1314" s="2">
        <v>0</v>
      </c>
      <c r="K1314" s="2">
        <v>0</v>
      </c>
      <c r="L1314" s="2">
        <v>402981.19</v>
      </c>
      <c r="M1314" s="3"/>
      <c r="N1314" s="4">
        <v>9.1682999999999999E-4</v>
      </c>
      <c r="O1314" s="5" t="s">
        <v>44</v>
      </c>
      <c r="P1314" s="5" t="s">
        <v>44</v>
      </c>
      <c r="Q1314" s="1"/>
      <c r="R1314" s="2">
        <v>0.08</v>
      </c>
      <c r="S1314" s="6"/>
      <c r="T1314" t="s">
        <v>45</v>
      </c>
      <c r="U1314" t="s">
        <v>53</v>
      </c>
      <c r="V1314" t="s">
        <v>44</v>
      </c>
      <c r="W1314" t="s">
        <v>43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s="4">
        <v>5.1163389600000002</v>
      </c>
      <c r="AD1314" s="4">
        <v>5.0001424999999999</v>
      </c>
      <c r="AE1314" s="2">
        <v>5.12</v>
      </c>
      <c r="AF1314" s="4">
        <v>5.0001424999999999</v>
      </c>
      <c r="AG1314" s="2">
        <v>0.19</v>
      </c>
      <c r="AH1314" s="2">
        <v>402981.19</v>
      </c>
      <c r="AI1314" s="2">
        <v>0</v>
      </c>
      <c r="AJ1314" s="5">
        <v>44673</v>
      </c>
      <c r="AK1314" t="s">
        <v>12111</v>
      </c>
      <c r="AL1314" s="2">
        <v>5.05</v>
      </c>
      <c r="AM1314" s="2">
        <v>0</v>
      </c>
      <c r="AN1314" s="2">
        <v>0</v>
      </c>
      <c r="AO1314" t="s">
        <v>44</v>
      </c>
      <c r="AP1314" t="s">
        <v>44</v>
      </c>
      <c r="AQ1314" t="s">
        <v>43</v>
      </c>
    </row>
    <row r="1315" spans="1:43" x14ac:dyDescent="0.2">
      <c r="A1315" t="s">
        <v>12110</v>
      </c>
      <c r="B1315" t="s">
        <v>45</v>
      </c>
      <c r="C1315" t="s">
        <v>11005</v>
      </c>
      <c r="D1315" t="s">
        <v>11149</v>
      </c>
      <c r="E1315" t="s">
        <v>11150</v>
      </c>
      <c r="F1315" t="s">
        <v>44</v>
      </c>
      <c r="G1315" s="1">
        <v>-363490</v>
      </c>
      <c r="H1315" s="2">
        <v>-363490</v>
      </c>
      <c r="I1315" s="2">
        <v>-363490</v>
      </c>
      <c r="J1315" s="2">
        <v>0</v>
      </c>
      <c r="K1315" s="2"/>
      <c r="L1315" s="2">
        <v>-363490</v>
      </c>
      <c r="M1315" s="3"/>
      <c r="N1315" s="4">
        <v>-8.2697999999999995E-4</v>
      </c>
      <c r="O1315" s="5" t="s">
        <v>44</v>
      </c>
      <c r="P1315" s="5">
        <v>73051</v>
      </c>
      <c r="Q1315" s="1">
        <v>0</v>
      </c>
      <c r="R1315" s="2">
        <v>0.08</v>
      </c>
      <c r="S1315" s="6"/>
      <c r="T1315" t="s">
        <v>45</v>
      </c>
      <c r="U1315" t="s">
        <v>44</v>
      </c>
      <c r="V1315" t="s">
        <v>44</v>
      </c>
      <c r="W1315" t="s">
        <v>43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s="4">
        <v>5.1163389600000002</v>
      </c>
      <c r="AD1315" s="4">
        <v>5.0001424999999999</v>
      </c>
      <c r="AE1315" s="2">
        <v>5.12</v>
      </c>
      <c r="AF1315" s="4">
        <v>5.0001424999999999</v>
      </c>
      <c r="AG1315" s="2">
        <v>-0.17</v>
      </c>
      <c r="AH1315" s="2">
        <v>-363490</v>
      </c>
      <c r="AI1315" s="2">
        <v>0</v>
      </c>
      <c r="AJ1315" s="5">
        <v>44673</v>
      </c>
      <c r="AK1315" t="s">
        <v>12111</v>
      </c>
      <c r="AL1315" s="2">
        <v>5.05</v>
      </c>
      <c r="AM1315" s="2">
        <v>0</v>
      </c>
      <c r="AN1315" s="2">
        <v>0</v>
      </c>
      <c r="AO1315" t="s">
        <v>44</v>
      </c>
      <c r="AP1315" t="s">
        <v>44</v>
      </c>
      <c r="AQ1315" t="s">
        <v>44</v>
      </c>
    </row>
    <row r="1316" spans="1:43" x14ac:dyDescent="0.2">
      <c r="A1316" t="s">
        <v>12110</v>
      </c>
      <c r="B1316" t="s">
        <v>11013</v>
      </c>
      <c r="C1316" t="s">
        <v>11014</v>
      </c>
      <c r="D1316" t="s">
        <v>11751</v>
      </c>
      <c r="E1316" t="s">
        <v>11752</v>
      </c>
      <c r="F1316" t="s">
        <v>11751</v>
      </c>
      <c r="G1316" s="1">
        <v>138501239.63029999</v>
      </c>
      <c r="H1316" s="2">
        <v>142951252.03999999</v>
      </c>
      <c r="I1316" s="2">
        <v>137407079.84</v>
      </c>
      <c r="J1316" s="2">
        <v>0</v>
      </c>
      <c r="K1316" s="2">
        <v>0</v>
      </c>
      <c r="L1316" s="2">
        <v>137407079.84</v>
      </c>
      <c r="M1316" s="3">
        <v>0.99209999999999998</v>
      </c>
      <c r="N1316" s="4">
        <v>0.3126159</v>
      </c>
      <c r="O1316" s="5" t="s">
        <v>44</v>
      </c>
      <c r="P1316" s="5" t="s">
        <v>44</v>
      </c>
      <c r="Q1316" s="1"/>
      <c r="R1316" s="2"/>
      <c r="S1316" s="6"/>
      <c r="T1316" t="s">
        <v>10902</v>
      </c>
      <c r="U1316" t="s">
        <v>11003</v>
      </c>
      <c r="V1316" t="s">
        <v>11003</v>
      </c>
      <c r="W1316" t="s">
        <v>43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s="4"/>
      <c r="AD1316" s="4"/>
      <c r="AE1316" s="2">
        <v>0</v>
      </c>
      <c r="AF1316" s="4">
        <v>0</v>
      </c>
      <c r="AG1316" s="2">
        <v>63.27</v>
      </c>
      <c r="AH1316" s="2">
        <v>137407079.84</v>
      </c>
      <c r="AI1316" s="2">
        <v>0.31</v>
      </c>
      <c r="AJ1316" s="5">
        <v>44673</v>
      </c>
      <c r="AK1316" t="s">
        <v>12111</v>
      </c>
      <c r="AL1316" s="2">
        <v>0</v>
      </c>
      <c r="AM1316" s="2">
        <v>0</v>
      </c>
      <c r="AN1316" s="2">
        <v>0</v>
      </c>
      <c r="AO1316" t="s">
        <v>44</v>
      </c>
      <c r="AP1316" t="s">
        <v>11753</v>
      </c>
      <c r="AQ1316" t="s">
        <v>11752</v>
      </c>
    </row>
    <row r="1317" spans="1:43" x14ac:dyDescent="0.2">
      <c r="A1317" t="s">
        <v>12110</v>
      </c>
      <c r="B1317" t="s">
        <v>11024</v>
      </c>
      <c r="C1317" t="s">
        <v>57</v>
      </c>
      <c r="D1317" t="s">
        <v>11754</v>
      </c>
      <c r="E1317" t="s">
        <v>11754</v>
      </c>
      <c r="F1317" t="s">
        <v>11754</v>
      </c>
      <c r="G1317" s="1">
        <v>163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3">
        <v>20012</v>
      </c>
      <c r="N1317" s="4">
        <v>0</v>
      </c>
      <c r="O1317" s="5" t="s">
        <v>44</v>
      </c>
      <c r="P1317" s="5">
        <v>44727</v>
      </c>
      <c r="Q1317" s="1"/>
      <c r="R1317" s="2"/>
      <c r="S1317" s="6"/>
      <c r="T1317" t="s">
        <v>11026</v>
      </c>
      <c r="U1317" t="s">
        <v>11025</v>
      </c>
      <c r="V1317" t="s">
        <v>11027</v>
      </c>
      <c r="W1317" t="s">
        <v>43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s="4"/>
      <c r="AD1317" s="4"/>
      <c r="AE1317" s="2">
        <v>0</v>
      </c>
      <c r="AF1317" s="4">
        <v>0</v>
      </c>
      <c r="AG1317" s="2">
        <v>0</v>
      </c>
      <c r="AH1317" s="2">
        <v>32619560</v>
      </c>
      <c r="AI1317" s="2">
        <v>7.0000000000000007E-2</v>
      </c>
      <c r="AJ1317" s="5">
        <v>44673</v>
      </c>
      <c r="AK1317" t="s">
        <v>12111</v>
      </c>
      <c r="AL1317" s="2">
        <v>0</v>
      </c>
      <c r="AM1317" s="2">
        <v>0</v>
      </c>
      <c r="AN1317" s="2">
        <v>0</v>
      </c>
      <c r="AO1317" t="s">
        <v>44</v>
      </c>
      <c r="AP1317" t="s">
        <v>11755</v>
      </c>
      <c r="AQ1317" t="s">
        <v>11754</v>
      </c>
    </row>
    <row r="1318" spans="1:43" x14ac:dyDescent="0.2">
      <c r="A1318" t="s">
        <v>12110</v>
      </c>
      <c r="B1318" t="s">
        <v>11037</v>
      </c>
      <c r="C1318" t="s">
        <v>11276</v>
      </c>
      <c r="D1318" t="s">
        <v>6473</v>
      </c>
      <c r="E1318" t="s">
        <v>4464</v>
      </c>
      <c r="F1318" t="s">
        <v>6473</v>
      </c>
      <c r="G1318" s="1">
        <v>2929</v>
      </c>
      <c r="H1318" s="2">
        <v>327280.96999999997</v>
      </c>
      <c r="I1318" s="2">
        <v>292900</v>
      </c>
      <c r="J1318" s="2">
        <v>0</v>
      </c>
      <c r="K1318" s="2">
        <v>0</v>
      </c>
      <c r="L1318" s="2">
        <v>292900</v>
      </c>
      <c r="M1318" s="3">
        <v>10000</v>
      </c>
      <c r="N1318" s="4">
        <v>6.6638000000000005E-4</v>
      </c>
      <c r="O1318" s="5" t="s">
        <v>44</v>
      </c>
      <c r="P1318" s="5" t="s">
        <v>44</v>
      </c>
      <c r="Q1318" s="1"/>
      <c r="R1318" s="2"/>
      <c r="S1318" s="6"/>
      <c r="T1318" t="s">
        <v>10902</v>
      </c>
      <c r="U1318" t="s">
        <v>10902</v>
      </c>
      <c r="V1318" t="s">
        <v>10902</v>
      </c>
      <c r="W1318" t="s">
        <v>43</v>
      </c>
      <c r="X1318" t="s">
        <v>11277</v>
      </c>
      <c r="Y1318" t="s">
        <v>11277</v>
      </c>
      <c r="Z1318" t="s">
        <v>11276</v>
      </c>
      <c r="AA1318" t="s">
        <v>44</v>
      </c>
      <c r="AB1318" t="s">
        <v>44</v>
      </c>
      <c r="AC1318" s="4"/>
      <c r="AD1318" s="4"/>
      <c r="AE1318" s="2">
        <v>0</v>
      </c>
      <c r="AF1318" s="4">
        <v>0</v>
      </c>
      <c r="AG1318" s="2">
        <v>0.13</v>
      </c>
      <c r="AH1318" s="2">
        <v>292900</v>
      </c>
      <c r="AI1318" s="2">
        <v>0</v>
      </c>
      <c r="AJ1318" s="5">
        <v>44673</v>
      </c>
      <c r="AK1318" t="s">
        <v>12111</v>
      </c>
      <c r="AL1318" s="2">
        <v>0</v>
      </c>
      <c r="AM1318" s="2">
        <v>0</v>
      </c>
      <c r="AN1318" s="2">
        <v>0</v>
      </c>
      <c r="AO1318" t="s">
        <v>44</v>
      </c>
      <c r="AP1318" t="s">
        <v>11278</v>
      </c>
      <c r="AQ1318" t="s">
        <v>4464</v>
      </c>
    </row>
    <row r="1319" spans="1:43" x14ac:dyDescent="0.2">
      <c r="A1319" t="s">
        <v>12110</v>
      </c>
      <c r="B1319" t="s">
        <v>11037</v>
      </c>
      <c r="C1319" t="s">
        <v>11276</v>
      </c>
      <c r="D1319" t="s">
        <v>6316</v>
      </c>
      <c r="E1319" t="s">
        <v>4585</v>
      </c>
      <c r="F1319" t="s">
        <v>6316</v>
      </c>
      <c r="G1319" s="1">
        <v>4015</v>
      </c>
      <c r="H1319" s="2">
        <v>829397.42</v>
      </c>
      <c r="I1319" s="2">
        <v>973717.8</v>
      </c>
      <c r="J1319" s="2">
        <v>0</v>
      </c>
      <c r="K1319" s="2">
        <v>0</v>
      </c>
      <c r="L1319" s="2">
        <v>973717.8</v>
      </c>
      <c r="M1319" s="3">
        <v>24252</v>
      </c>
      <c r="N1319" s="4">
        <v>2.2153099999999998E-3</v>
      </c>
      <c r="O1319" s="5" t="s">
        <v>44</v>
      </c>
      <c r="P1319" s="5" t="s">
        <v>44</v>
      </c>
      <c r="Q1319" s="1"/>
      <c r="R1319" s="2"/>
      <c r="S1319" s="6"/>
      <c r="T1319" t="s">
        <v>10902</v>
      </c>
      <c r="U1319" t="s">
        <v>10902</v>
      </c>
      <c r="V1319" t="s">
        <v>10902</v>
      </c>
      <c r="W1319" t="s">
        <v>43</v>
      </c>
      <c r="X1319" t="s">
        <v>11279</v>
      </c>
      <c r="Y1319" t="s">
        <v>11280</v>
      </c>
      <c r="Z1319" t="s">
        <v>11276</v>
      </c>
      <c r="AA1319" t="s">
        <v>44</v>
      </c>
      <c r="AB1319" t="s">
        <v>44</v>
      </c>
      <c r="AC1319" s="4"/>
      <c r="AD1319" s="4"/>
      <c r="AE1319" s="2">
        <v>0</v>
      </c>
      <c r="AF1319" s="4">
        <v>0</v>
      </c>
      <c r="AG1319" s="2">
        <v>0.45</v>
      </c>
      <c r="AH1319" s="2">
        <v>973717.8</v>
      </c>
      <c r="AI1319" s="2">
        <v>0</v>
      </c>
      <c r="AJ1319" s="5">
        <v>44673</v>
      </c>
      <c r="AK1319" t="s">
        <v>12111</v>
      </c>
      <c r="AL1319" s="2">
        <v>0</v>
      </c>
      <c r="AM1319" s="2">
        <v>0</v>
      </c>
      <c r="AN1319" s="2">
        <v>0</v>
      </c>
      <c r="AO1319" t="s">
        <v>44</v>
      </c>
      <c r="AP1319" t="s">
        <v>11281</v>
      </c>
      <c r="AQ1319" t="s">
        <v>4585</v>
      </c>
    </row>
    <row r="1320" spans="1:43" x14ac:dyDescent="0.2">
      <c r="A1320" t="s">
        <v>12110</v>
      </c>
      <c r="B1320" t="s">
        <v>11037</v>
      </c>
      <c r="C1320" t="s">
        <v>11276</v>
      </c>
      <c r="D1320" t="s">
        <v>11661</v>
      </c>
      <c r="E1320" t="s">
        <v>4578</v>
      </c>
      <c r="F1320" t="s">
        <v>11661</v>
      </c>
      <c r="G1320" s="1">
        <v>2200</v>
      </c>
      <c r="H1320" s="2">
        <v>1489941.76</v>
      </c>
      <c r="I1320" s="2">
        <v>1547634</v>
      </c>
      <c r="J1320" s="2">
        <v>0</v>
      </c>
      <c r="K1320" s="2">
        <v>17637.3</v>
      </c>
      <c r="L1320" s="2">
        <v>1565271.3</v>
      </c>
      <c r="M1320" s="3">
        <v>70347</v>
      </c>
      <c r="N1320" s="4">
        <v>3.5611599999999998E-3</v>
      </c>
      <c r="O1320" s="5" t="s">
        <v>44</v>
      </c>
      <c r="P1320" s="5" t="s">
        <v>44</v>
      </c>
      <c r="Q1320" s="1"/>
      <c r="R1320" s="2"/>
      <c r="S1320" s="6"/>
      <c r="T1320" t="s">
        <v>10902</v>
      </c>
      <c r="U1320" t="s">
        <v>10902</v>
      </c>
      <c r="V1320" t="s">
        <v>10902</v>
      </c>
      <c r="W1320" t="s">
        <v>43</v>
      </c>
      <c r="X1320" t="s">
        <v>11279</v>
      </c>
      <c r="Y1320" t="s">
        <v>11280</v>
      </c>
      <c r="Z1320" t="s">
        <v>11276</v>
      </c>
      <c r="AA1320" t="s">
        <v>44</v>
      </c>
      <c r="AB1320" t="s">
        <v>44</v>
      </c>
      <c r="AC1320" s="4"/>
      <c r="AD1320" s="4"/>
      <c r="AE1320" s="2">
        <v>0</v>
      </c>
      <c r="AF1320" s="4">
        <v>0</v>
      </c>
      <c r="AG1320" s="2">
        <v>0.72</v>
      </c>
      <c r="AH1320" s="2">
        <v>1565271.3</v>
      </c>
      <c r="AI1320" s="2">
        <v>0</v>
      </c>
      <c r="AJ1320" s="5">
        <v>44673</v>
      </c>
      <c r="AK1320" t="s">
        <v>12111</v>
      </c>
      <c r="AL1320" s="2">
        <v>0</v>
      </c>
      <c r="AM1320" s="2">
        <v>0</v>
      </c>
      <c r="AN1320" s="2">
        <v>0</v>
      </c>
      <c r="AO1320" t="s">
        <v>44</v>
      </c>
      <c r="AP1320" t="s">
        <v>2559</v>
      </c>
      <c r="AQ1320" t="s">
        <v>4578</v>
      </c>
    </row>
    <row r="1321" spans="1:43" x14ac:dyDescent="0.2">
      <c r="A1321" t="s">
        <v>12110</v>
      </c>
      <c r="B1321" t="s">
        <v>11037</v>
      </c>
      <c r="C1321" t="s">
        <v>11276</v>
      </c>
      <c r="D1321" t="s">
        <v>11284</v>
      </c>
      <c r="E1321" t="s">
        <v>4506</v>
      </c>
      <c r="F1321" t="s">
        <v>11284</v>
      </c>
      <c r="G1321" s="1">
        <v>12662</v>
      </c>
      <c r="H1321" s="2">
        <v>796860.18</v>
      </c>
      <c r="I1321" s="2">
        <v>832906.36</v>
      </c>
      <c r="J1321" s="2">
        <v>0</v>
      </c>
      <c r="K1321" s="2">
        <v>0</v>
      </c>
      <c r="L1321" s="2">
        <v>832906.36</v>
      </c>
      <c r="M1321" s="3">
        <v>6578</v>
      </c>
      <c r="N1321" s="4">
        <v>1.8949500000000001E-3</v>
      </c>
      <c r="O1321" s="5" t="s">
        <v>44</v>
      </c>
      <c r="P1321" s="5" t="s">
        <v>44</v>
      </c>
      <c r="Q1321" s="1"/>
      <c r="R1321" s="2"/>
      <c r="S1321" s="6"/>
      <c r="T1321" t="s">
        <v>10902</v>
      </c>
      <c r="U1321" t="s">
        <v>10902</v>
      </c>
      <c r="V1321" t="s">
        <v>10902</v>
      </c>
      <c r="W1321" t="s">
        <v>43</v>
      </c>
      <c r="X1321" t="s">
        <v>11279</v>
      </c>
      <c r="Y1321" t="s">
        <v>11280</v>
      </c>
      <c r="Z1321" t="s">
        <v>11276</v>
      </c>
      <c r="AA1321" t="s">
        <v>44</v>
      </c>
      <c r="AB1321" t="s">
        <v>44</v>
      </c>
      <c r="AC1321" s="4"/>
      <c r="AD1321" s="4"/>
      <c r="AE1321" s="2">
        <v>0</v>
      </c>
      <c r="AF1321" s="4">
        <v>0</v>
      </c>
      <c r="AG1321" s="2">
        <v>0.38</v>
      </c>
      <c r="AH1321" s="2">
        <v>832906.36</v>
      </c>
      <c r="AI1321" s="2">
        <v>0</v>
      </c>
      <c r="AJ1321" s="5">
        <v>44673</v>
      </c>
      <c r="AK1321" t="s">
        <v>12111</v>
      </c>
      <c r="AL1321" s="2">
        <v>0</v>
      </c>
      <c r="AM1321" s="2">
        <v>0</v>
      </c>
      <c r="AN1321" s="2">
        <v>0</v>
      </c>
      <c r="AO1321" t="s">
        <v>44</v>
      </c>
      <c r="AP1321" t="s">
        <v>11285</v>
      </c>
      <c r="AQ1321" t="s">
        <v>4506</v>
      </c>
    </row>
    <row r="1322" spans="1:43" x14ac:dyDescent="0.2">
      <c r="A1322" t="s">
        <v>12110</v>
      </c>
      <c r="B1322" t="s">
        <v>11037</v>
      </c>
      <c r="C1322" t="s">
        <v>11276</v>
      </c>
      <c r="D1322" t="s">
        <v>6278</v>
      </c>
      <c r="E1322" t="s">
        <v>4640</v>
      </c>
      <c r="F1322" t="s">
        <v>6278</v>
      </c>
      <c r="G1322" s="1">
        <v>1902</v>
      </c>
      <c r="H1322" s="2">
        <v>785520.39</v>
      </c>
      <c r="I1322" s="2">
        <v>963743.4</v>
      </c>
      <c r="J1322" s="2">
        <v>0</v>
      </c>
      <c r="K1322" s="2">
        <v>0</v>
      </c>
      <c r="L1322" s="2">
        <v>963743.4</v>
      </c>
      <c r="M1322" s="3">
        <v>50670</v>
      </c>
      <c r="N1322" s="4">
        <v>2.1926200000000002E-3</v>
      </c>
      <c r="O1322" s="5" t="s">
        <v>44</v>
      </c>
      <c r="P1322" s="5" t="s">
        <v>44</v>
      </c>
      <c r="Q1322" s="1"/>
      <c r="R1322" s="2"/>
      <c r="S1322" s="6"/>
      <c r="T1322" t="s">
        <v>10902</v>
      </c>
      <c r="U1322" t="s">
        <v>10902</v>
      </c>
      <c r="V1322" t="s">
        <v>10902</v>
      </c>
      <c r="W1322" t="s">
        <v>43</v>
      </c>
      <c r="X1322" t="s">
        <v>11286</v>
      </c>
      <c r="Y1322" t="s">
        <v>11280</v>
      </c>
      <c r="Z1322" t="s">
        <v>11276</v>
      </c>
      <c r="AA1322" t="s">
        <v>44</v>
      </c>
      <c r="AB1322" t="s">
        <v>44</v>
      </c>
      <c r="AC1322" s="4"/>
      <c r="AD1322" s="4"/>
      <c r="AE1322" s="2">
        <v>0</v>
      </c>
      <c r="AF1322" s="4">
        <v>0</v>
      </c>
      <c r="AG1322" s="2">
        <v>0.44</v>
      </c>
      <c r="AH1322" s="2">
        <v>963743.4</v>
      </c>
      <c r="AI1322" s="2">
        <v>0</v>
      </c>
      <c r="AJ1322" s="5">
        <v>44673</v>
      </c>
      <c r="AK1322" t="s">
        <v>12111</v>
      </c>
      <c r="AL1322" s="2">
        <v>0</v>
      </c>
      <c r="AM1322" s="2">
        <v>0</v>
      </c>
      <c r="AN1322" s="2">
        <v>0</v>
      </c>
      <c r="AO1322" t="s">
        <v>44</v>
      </c>
      <c r="AP1322" t="s">
        <v>11287</v>
      </c>
      <c r="AQ1322" t="s">
        <v>4640</v>
      </c>
    </row>
    <row r="1323" spans="1:43" x14ac:dyDescent="0.2">
      <c r="A1323" t="s">
        <v>12110</v>
      </c>
      <c r="B1323" t="s">
        <v>11037</v>
      </c>
      <c r="C1323" t="s">
        <v>11276</v>
      </c>
      <c r="D1323" t="s">
        <v>11290</v>
      </c>
      <c r="E1323" t="s">
        <v>4478</v>
      </c>
      <c r="F1323" t="s">
        <v>11290</v>
      </c>
      <c r="G1323" s="1">
        <v>6500</v>
      </c>
      <c r="H1323" s="2">
        <v>397489.46</v>
      </c>
      <c r="I1323" s="2">
        <v>509600</v>
      </c>
      <c r="J1323" s="2">
        <v>0</v>
      </c>
      <c r="K1323" s="2">
        <v>0</v>
      </c>
      <c r="L1323" s="2">
        <v>509600</v>
      </c>
      <c r="M1323" s="3">
        <v>7840</v>
      </c>
      <c r="N1323" s="4">
        <v>1.1593899999999999E-3</v>
      </c>
      <c r="O1323" s="5" t="s">
        <v>44</v>
      </c>
      <c r="P1323" s="5" t="s">
        <v>44</v>
      </c>
      <c r="Q1323" s="1"/>
      <c r="R1323" s="2"/>
      <c r="S1323" s="6"/>
      <c r="T1323" t="s">
        <v>10902</v>
      </c>
      <c r="U1323" t="s">
        <v>10902</v>
      </c>
      <c r="V1323" t="s">
        <v>10902</v>
      </c>
      <c r="W1323" t="s">
        <v>43</v>
      </c>
      <c r="X1323" t="s">
        <v>11277</v>
      </c>
      <c r="Y1323" t="s">
        <v>11277</v>
      </c>
      <c r="Z1323" t="s">
        <v>11276</v>
      </c>
      <c r="AA1323" t="s">
        <v>44</v>
      </c>
      <c r="AB1323" t="s">
        <v>44</v>
      </c>
      <c r="AC1323" s="4"/>
      <c r="AD1323" s="4"/>
      <c r="AE1323" s="2">
        <v>0</v>
      </c>
      <c r="AF1323" s="4">
        <v>0</v>
      </c>
      <c r="AG1323" s="2">
        <v>0.23</v>
      </c>
      <c r="AH1323" s="2">
        <v>509600</v>
      </c>
      <c r="AI1323" s="2">
        <v>0</v>
      </c>
      <c r="AJ1323" s="5">
        <v>44673</v>
      </c>
      <c r="AK1323" t="s">
        <v>12111</v>
      </c>
      <c r="AL1323" s="2">
        <v>0</v>
      </c>
      <c r="AM1323" s="2">
        <v>0</v>
      </c>
      <c r="AN1323" s="2">
        <v>0</v>
      </c>
      <c r="AO1323" t="s">
        <v>44</v>
      </c>
      <c r="AP1323" t="s">
        <v>11291</v>
      </c>
      <c r="AQ1323" t="s">
        <v>4478</v>
      </c>
    </row>
    <row r="1324" spans="1:43" x14ac:dyDescent="0.2">
      <c r="A1324" t="s">
        <v>12110</v>
      </c>
      <c r="B1324" t="s">
        <v>11037</v>
      </c>
      <c r="C1324" t="s">
        <v>11276</v>
      </c>
      <c r="D1324" t="s">
        <v>6743</v>
      </c>
      <c r="E1324" t="s">
        <v>4570</v>
      </c>
      <c r="F1324" t="s">
        <v>6743</v>
      </c>
      <c r="G1324" s="1">
        <v>3110</v>
      </c>
      <c r="H1324" s="2">
        <v>407774.1</v>
      </c>
      <c r="I1324" s="2">
        <v>480588.3</v>
      </c>
      <c r="J1324" s="2">
        <v>0</v>
      </c>
      <c r="K1324" s="2">
        <v>0</v>
      </c>
      <c r="L1324" s="2">
        <v>480588.3</v>
      </c>
      <c r="M1324" s="3">
        <v>15453</v>
      </c>
      <c r="N1324" s="4">
        <v>1.0933900000000001E-3</v>
      </c>
      <c r="O1324" s="5" t="s">
        <v>44</v>
      </c>
      <c r="P1324" s="5" t="s">
        <v>44</v>
      </c>
      <c r="Q1324" s="1"/>
      <c r="R1324" s="2"/>
      <c r="S1324" s="6"/>
      <c r="T1324" t="s">
        <v>10902</v>
      </c>
      <c r="U1324" t="s">
        <v>10902</v>
      </c>
      <c r="V1324" t="s">
        <v>10902</v>
      </c>
      <c r="W1324" t="s">
        <v>43</v>
      </c>
      <c r="X1324" t="s">
        <v>11279</v>
      </c>
      <c r="Y1324" t="s">
        <v>11280</v>
      </c>
      <c r="Z1324" t="s">
        <v>11276</v>
      </c>
      <c r="AA1324" t="s">
        <v>44</v>
      </c>
      <c r="AB1324" t="s">
        <v>44</v>
      </c>
      <c r="AC1324" s="4"/>
      <c r="AD1324" s="4"/>
      <c r="AE1324" s="2">
        <v>0</v>
      </c>
      <c r="AF1324" s="4">
        <v>0</v>
      </c>
      <c r="AG1324" s="2">
        <v>0.22</v>
      </c>
      <c r="AH1324" s="2">
        <v>480588.3</v>
      </c>
      <c r="AI1324" s="2">
        <v>0</v>
      </c>
      <c r="AJ1324" s="5">
        <v>44673</v>
      </c>
      <c r="AK1324" t="s">
        <v>12111</v>
      </c>
      <c r="AL1324" s="2">
        <v>0</v>
      </c>
      <c r="AM1324" s="2">
        <v>0</v>
      </c>
      <c r="AN1324" s="2">
        <v>0</v>
      </c>
      <c r="AO1324" t="s">
        <v>44</v>
      </c>
      <c r="AP1324" t="s">
        <v>11294</v>
      </c>
      <c r="AQ1324" t="s">
        <v>4570</v>
      </c>
    </row>
    <row r="1325" spans="1:43" x14ac:dyDescent="0.2">
      <c r="A1325" t="s">
        <v>12110</v>
      </c>
      <c r="B1325" t="s">
        <v>11037</v>
      </c>
      <c r="C1325" t="s">
        <v>11276</v>
      </c>
      <c r="D1325" t="s">
        <v>6209</v>
      </c>
      <c r="E1325" t="s">
        <v>520</v>
      </c>
      <c r="F1325" t="s">
        <v>6209</v>
      </c>
      <c r="G1325" s="1">
        <v>20135</v>
      </c>
      <c r="H1325" s="2">
        <v>826660.04</v>
      </c>
      <c r="I1325" s="2">
        <v>1098162.8999999999</v>
      </c>
      <c r="J1325" s="2">
        <v>0</v>
      </c>
      <c r="K1325" s="2">
        <v>0</v>
      </c>
      <c r="L1325" s="2">
        <v>1098162.8999999999</v>
      </c>
      <c r="M1325" s="3">
        <v>5454</v>
      </c>
      <c r="N1325" s="4">
        <v>2.4984400000000002E-3</v>
      </c>
      <c r="O1325" s="5" t="s">
        <v>44</v>
      </c>
      <c r="P1325" s="5" t="s">
        <v>44</v>
      </c>
      <c r="Q1325" s="1"/>
      <c r="R1325" s="2"/>
      <c r="S1325" s="6"/>
      <c r="T1325" t="s">
        <v>10902</v>
      </c>
      <c r="U1325" t="s">
        <v>10902</v>
      </c>
      <c r="V1325" t="s">
        <v>10902</v>
      </c>
      <c r="W1325" t="s">
        <v>43</v>
      </c>
      <c r="X1325" t="s">
        <v>11289</v>
      </c>
      <c r="Y1325" t="s">
        <v>11280</v>
      </c>
      <c r="Z1325" t="s">
        <v>11276</v>
      </c>
      <c r="AA1325" t="s">
        <v>44</v>
      </c>
      <c r="AB1325" t="s">
        <v>44</v>
      </c>
      <c r="AC1325" s="4"/>
      <c r="AD1325" s="4"/>
      <c r="AE1325" s="2">
        <v>0</v>
      </c>
      <c r="AF1325" s="4">
        <v>0</v>
      </c>
      <c r="AG1325" s="2">
        <v>0.51</v>
      </c>
      <c r="AH1325" s="2">
        <v>1098162.8999999999</v>
      </c>
      <c r="AI1325" s="2">
        <v>0</v>
      </c>
      <c r="AJ1325" s="5">
        <v>44673</v>
      </c>
      <c r="AK1325" t="s">
        <v>12111</v>
      </c>
      <c r="AL1325" s="2">
        <v>0</v>
      </c>
      <c r="AM1325" s="2">
        <v>0</v>
      </c>
      <c r="AN1325" s="2">
        <v>0</v>
      </c>
      <c r="AO1325" t="s">
        <v>44</v>
      </c>
      <c r="AP1325" t="s">
        <v>11295</v>
      </c>
      <c r="AQ1325" t="s">
        <v>520</v>
      </c>
    </row>
    <row r="1326" spans="1:43" x14ac:dyDescent="0.2">
      <c r="A1326" t="s">
        <v>12110</v>
      </c>
      <c r="B1326" t="s">
        <v>11037</v>
      </c>
      <c r="C1326" t="s">
        <v>11276</v>
      </c>
      <c r="D1326" t="s">
        <v>5894</v>
      </c>
      <c r="E1326" t="s">
        <v>4484</v>
      </c>
      <c r="F1326" t="s">
        <v>5894</v>
      </c>
      <c r="G1326" s="1">
        <v>265</v>
      </c>
      <c r="H1326" s="2">
        <v>69390.02</v>
      </c>
      <c r="I1326" s="2">
        <v>101113.4</v>
      </c>
      <c r="J1326" s="2">
        <v>0</v>
      </c>
      <c r="K1326" s="2">
        <v>0</v>
      </c>
      <c r="L1326" s="2">
        <v>101113.4</v>
      </c>
      <c r="M1326" s="3">
        <v>38156</v>
      </c>
      <c r="N1326" s="4">
        <v>2.3004000000000001E-4</v>
      </c>
      <c r="O1326" s="5" t="s">
        <v>44</v>
      </c>
      <c r="P1326" s="5" t="s">
        <v>44</v>
      </c>
      <c r="Q1326" s="1"/>
      <c r="R1326" s="2"/>
      <c r="S1326" s="6"/>
      <c r="T1326" t="s">
        <v>10902</v>
      </c>
      <c r="U1326" t="s">
        <v>10902</v>
      </c>
      <c r="V1326" t="s">
        <v>10902</v>
      </c>
      <c r="W1326" t="s">
        <v>43</v>
      </c>
      <c r="X1326" t="s">
        <v>11279</v>
      </c>
      <c r="Y1326" t="s">
        <v>11280</v>
      </c>
      <c r="Z1326" t="s">
        <v>11276</v>
      </c>
      <c r="AA1326" t="s">
        <v>44</v>
      </c>
      <c r="AB1326" t="s">
        <v>44</v>
      </c>
      <c r="AC1326" s="4"/>
      <c r="AD1326" s="4"/>
      <c r="AE1326" s="2">
        <v>0</v>
      </c>
      <c r="AF1326" s="4">
        <v>0</v>
      </c>
      <c r="AG1326" s="2">
        <v>0.05</v>
      </c>
      <c r="AH1326" s="2">
        <v>101113.4</v>
      </c>
      <c r="AI1326" s="2">
        <v>0</v>
      </c>
      <c r="AJ1326" s="5">
        <v>44673</v>
      </c>
      <c r="AK1326" t="s">
        <v>12111</v>
      </c>
      <c r="AL1326" s="2">
        <v>0</v>
      </c>
      <c r="AM1326" s="2">
        <v>0</v>
      </c>
      <c r="AN1326" s="2">
        <v>0</v>
      </c>
      <c r="AO1326" t="s">
        <v>44</v>
      </c>
      <c r="AP1326" t="s">
        <v>11674</v>
      </c>
      <c r="AQ1326" t="s">
        <v>4484</v>
      </c>
    </row>
    <row r="1327" spans="1:43" x14ac:dyDescent="0.2">
      <c r="A1327" t="s">
        <v>12110</v>
      </c>
      <c r="B1327" t="s">
        <v>11037</v>
      </c>
      <c r="C1327" t="s">
        <v>11276</v>
      </c>
      <c r="D1327" t="s">
        <v>11678</v>
      </c>
      <c r="E1327" t="s">
        <v>11679</v>
      </c>
      <c r="F1327" t="s">
        <v>11680</v>
      </c>
      <c r="G1327" s="1">
        <v>3000</v>
      </c>
      <c r="H1327" s="2">
        <v>478995.36</v>
      </c>
      <c r="I1327" s="2">
        <v>705660</v>
      </c>
      <c r="J1327" s="2">
        <v>0</v>
      </c>
      <c r="K1327" s="2">
        <v>0</v>
      </c>
      <c r="L1327" s="2">
        <v>705660</v>
      </c>
      <c r="M1327" s="3">
        <v>23522</v>
      </c>
      <c r="N1327" s="4">
        <v>1.60545E-3</v>
      </c>
      <c r="O1327" s="5" t="s">
        <v>44</v>
      </c>
      <c r="P1327" s="5" t="s">
        <v>44</v>
      </c>
      <c r="Q1327" s="1"/>
      <c r="R1327" s="2"/>
      <c r="S1327" s="6"/>
      <c r="T1327" t="s">
        <v>10902</v>
      </c>
      <c r="U1327" t="s">
        <v>10902</v>
      </c>
      <c r="V1327" t="s">
        <v>10902</v>
      </c>
      <c r="W1327" t="s">
        <v>43</v>
      </c>
      <c r="X1327" t="s">
        <v>11279</v>
      </c>
      <c r="Y1327" t="s">
        <v>11280</v>
      </c>
      <c r="Z1327" t="s">
        <v>11276</v>
      </c>
      <c r="AA1327" t="s">
        <v>44</v>
      </c>
      <c r="AB1327" t="s">
        <v>44</v>
      </c>
      <c r="AC1327" s="4"/>
      <c r="AD1327" s="4"/>
      <c r="AE1327" s="2">
        <v>0</v>
      </c>
      <c r="AF1327" s="4">
        <v>0</v>
      </c>
      <c r="AG1327" s="2">
        <v>0.32</v>
      </c>
      <c r="AH1327" s="2">
        <v>705660</v>
      </c>
      <c r="AI1327" s="2">
        <v>0</v>
      </c>
      <c r="AJ1327" s="5">
        <v>44673</v>
      </c>
      <c r="AK1327" t="s">
        <v>12111</v>
      </c>
      <c r="AL1327" s="2">
        <v>0</v>
      </c>
      <c r="AM1327" s="2">
        <v>0</v>
      </c>
      <c r="AN1327" s="2">
        <v>0</v>
      </c>
      <c r="AO1327" t="s">
        <v>44</v>
      </c>
      <c r="AP1327" t="s">
        <v>11681</v>
      </c>
      <c r="AQ1327" t="s">
        <v>11679</v>
      </c>
    </row>
    <row r="1328" spans="1:43" x14ac:dyDescent="0.2">
      <c r="A1328" t="s">
        <v>12110</v>
      </c>
      <c r="B1328" t="s">
        <v>11037</v>
      </c>
      <c r="C1328" t="s">
        <v>11296</v>
      </c>
      <c r="D1328" t="s">
        <v>6632</v>
      </c>
      <c r="E1328" t="s">
        <v>5444</v>
      </c>
      <c r="F1328" t="s">
        <v>6632</v>
      </c>
      <c r="G1328" s="1">
        <v>916</v>
      </c>
      <c r="H1328" s="2">
        <v>155167.17000000001</v>
      </c>
      <c r="I1328" s="2">
        <v>133140.6</v>
      </c>
      <c r="J1328" s="2">
        <v>0</v>
      </c>
      <c r="K1328" s="2">
        <v>0</v>
      </c>
      <c r="L1328" s="2">
        <v>133140.6</v>
      </c>
      <c r="M1328" s="3">
        <v>14535</v>
      </c>
      <c r="N1328" s="4">
        <v>3.0290999999999998E-4</v>
      </c>
      <c r="O1328" s="5" t="s">
        <v>44</v>
      </c>
      <c r="P1328" s="5" t="s">
        <v>44</v>
      </c>
      <c r="Q1328" s="1"/>
      <c r="R1328" s="2"/>
      <c r="S1328" s="6"/>
      <c r="T1328" t="s">
        <v>10902</v>
      </c>
      <c r="U1328" t="s">
        <v>10902</v>
      </c>
      <c r="V1328" t="s">
        <v>10902</v>
      </c>
      <c r="W1328" t="s">
        <v>43</v>
      </c>
      <c r="X1328" t="s">
        <v>11300</v>
      </c>
      <c r="Y1328" t="s">
        <v>11299</v>
      </c>
      <c r="Z1328" t="s">
        <v>11296</v>
      </c>
      <c r="AA1328" t="s">
        <v>44</v>
      </c>
      <c r="AB1328" t="s">
        <v>44</v>
      </c>
      <c r="AC1328" s="4"/>
      <c r="AD1328" s="4"/>
      <c r="AE1328" s="2">
        <v>0</v>
      </c>
      <c r="AF1328" s="4">
        <v>0</v>
      </c>
      <c r="AG1328" s="2">
        <v>0.06</v>
      </c>
      <c r="AH1328" s="2">
        <v>133140.6</v>
      </c>
      <c r="AI1328" s="2">
        <v>0</v>
      </c>
      <c r="AJ1328" s="5">
        <v>44673</v>
      </c>
      <c r="AK1328" t="s">
        <v>12111</v>
      </c>
      <c r="AL1328" s="2">
        <v>0</v>
      </c>
      <c r="AM1328" s="2">
        <v>0</v>
      </c>
      <c r="AN1328" s="2">
        <v>0</v>
      </c>
      <c r="AO1328" t="s">
        <v>44</v>
      </c>
      <c r="AP1328" t="s">
        <v>11758</v>
      </c>
      <c r="AQ1328" t="s">
        <v>5444</v>
      </c>
    </row>
    <row r="1329" spans="1:43" x14ac:dyDescent="0.2">
      <c r="A1329" t="s">
        <v>12110</v>
      </c>
      <c r="B1329" t="s">
        <v>11037</v>
      </c>
      <c r="C1329" t="s">
        <v>11296</v>
      </c>
      <c r="D1329" t="s">
        <v>6200</v>
      </c>
      <c r="E1329" t="s">
        <v>5051</v>
      </c>
      <c r="F1329" t="s">
        <v>6200</v>
      </c>
      <c r="G1329" s="1">
        <v>15000</v>
      </c>
      <c r="H1329" s="2">
        <v>1248588</v>
      </c>
      <c r="I1329" s="2">
        <v>1029000</v>
      </c>
      <c r="J1329" s="2">
        <v>0</v>
      </c>
      <c r="K1329" s="2">
        <v>0</v>
      </c>
      <c r="L1329" s="2">
        <v>1029000</v>
      </c>
      <c r="M1329" s="3">
        <v>6860</v>
      </c>
      <c r="N1329" s="4">
        <v>2.3410900000000001E-3</v>
      </c>
      <c r="O1329" s="5" t="s">
        <v>44</v>
      </c>
      <c r="P1329" s="5" t="s">
        <v>44</v>
      </c>
      <c r="Q1329" s="1"/>
      <c r="R1329" s="2"/>
      <c r="S1329" s="6"/>
      <c r="T1329" t="s">
        <v>10902</v>
      </c>
      <c r="U1329" t="s">
        <v>10902</v>
      </c>
      <c r="V1329" t="s">
        <v>10902</v>
      </c>
      <c r="W1329" t="s">
        <v>43</v>
      </c>
      <c r="X1329" t="s">
        <v>11300</v>
      </c>
      <c r="Y1329" t="s">
        <v>11299</v>
      </c>
      <c r="Z1329" t="s">
        <v>11296</v>
      </c>
      <c r="AA1329" t="s">
        <v>44</v>
      </c>
      <c r="AB1329" t="s">
        <v>44</v>
      </c>
      <c r="AC1329" s="4"/>
      <c r="AD1329" s="4"/>
      <c r="AE1329" s="2">
        <v>0</v>
      </c>
      <c r="AF1329" s="4">
        <v>0</v>
      </c>
      <c r="AG1329" s="2">
        <v>0.47</v>
      </c>
      <c r="AH1329" s="2">
        <v>1029000</v>
      </c>
      <c r="AI1329" s="2">
        <v>0</v>
      </c>
      <c r="AJ1329" s="5">
        <v>44673</v>
      </c>
      <c r="AK1329" t="s">
        <v>12111</v>
      </c>
      <c r="AL1329" s="2">
        <v>0</v>
      </c>
      <c r="AM1329" s="2">
        <v>0</v>
      </c>
      <c r="AN1329" s="2">
        <v>0</v>
      </c>
      <c r="AO1329" t="s">
        <v>44</v>
      </c>
      <c r="AP1329" t="s">
        <v>11301</v>
      </c>
      <c r="AQ1329" t="s">
        <v>5051</v>
      </c>
    </row>
    <row r="1330" spans="1:43" x14ac:dyDescent="0.2">
      <c r="A1330" t="s">
        <v>12110</v>
      </c>
      <c r="B1330" t="s">
        <v>11037</v>
      </c>
      <c r="C1330" t="s">
        <v>11296</v>
      </c>
      <c r="D1330" t="s">
        <v>6458</v>
      </c>
      <c r="E1330" t="s">
        <v>5402</v>
      </c>
      <c r="F1330" t="s">
        <v>11302</v>
      </c>
      <c r="G1330" s="1">
        <v>4131</v>
      </c>
      <c r="H1330" s="2">
        <v>704004.92</v>
      </c>
      <c r="I1330" s="2">
        <v>714663</v>
      </c>
      <c r="J1330" s="2">
        <v>0</v>
      </c>
      <c r="K1330" s="2">
        <v>0</v>
      </c>
      <c r="L1330" s="2">
        <v>714663</v>
      </c>
      <c r="M1330" s="3">
        <v>17300</v>
      </c>
      <c r="N1330" s="4">
        <v>1.62594E-3</v>
      </c>
      <c r="O1330" s="5" t="s">
        <v>44</v>
      </c>
      <c r="P1330" s="5" t="s">
        <v>44</v>
      </c>
      <c r="Q1330" s="1"/>
      <c r="R1330" s="2"/>
      <c r="S1330" s="6"/>
      <c r="T1330" t="s">
        <v>10902</v>
      </c>
      <c r="U1330" t="s">
        <v>10902</v>
      </c>
      <c r="V1330" t="s">
        <v>10902</v>
      </c>
      <c r="W1330" t="s">
        <v>43</v>
      </c>
      <c r="X1330" t="s">
        <v>11298</v>
      </c>
      <c r="Y1330" t="s">
        <v>11299</v>
      </c>
      <c r="Z1330" t="s">
        <v>11296</v>
      </c>
      <c r="AA1330" t="s">
        <v>44</v>
      </c>
      <c r="AB1330" t="s">
        <v>44</v>
      </c>
      <c r="AC1330" s="4"/>
      <c r="AD1330" s="4"/>
      <c r="AE1330" s="2">
        <v>0</v>
      </c>
      <c r="AF1330" s="4">
        <v>0</v>
      </c>
      <c r="AG1330" s="2">
        <v>0.33</v>
      </c>
      <c r="AH1330" s="2">
        <v>714663</v>
      </c>
      <c r="AI1330" s="2">
        <v>0</v>
      </c>
      <c r="AJ1330" s="5">
        <v>44673</v>
      </c>
      <c r="AK1330" t="s">
        <v>12111</v>
      </c>
      <c r="AL1330" s="2">
        <v>0</v>
      </c>
      <c r="AM1330" s="2">
        <v>0</v>
      </c>
      <c r="AN1330" s="2">
        <v>0</v>
      </c>
      <c r="AO1330" t="s">
        <v>44</v>
      </c>
      <c r="AP1330" t="s">
        <v>11303</v>
      </c>
      <c r="AQ1330" t="s">
        <v>5402</v>
      </c>
    </row>
    <row r="1331" spans="1:43" x14ac:dyDescent="0.2">
      <c r="A1331" t="s">
        <v>12110</v>
      </c>
      <c r="B1331" t="s">
        <v>11037</v>
      </c>
      <c r="C1331" t="s">
        <v>11296</v>
      </c>
      <c r="D1331" t="s">
        <v>6137</v>
      </c>
      <c r="E1331" t="s">
        <v>4926</v>
      </c>
      <c r="F1331" t="s">
        <v>6137</v>
      </c>
      <c r="G1331" s="1">
        <v>6064</v>
      </c>
      <c r="H1331" s="2">
        <v>1194942.43</v>
      </c>
      <c r="I1331" s="2">
        <v>944407.36</v>
      </c>
      <c r="J1331" s="2">
        <v>0</v>
      </c>
      <c r="K1331" s="2">
        <v>0</v>
      </c>
      <c r="L1331" s="2">
        <v>944407.36</v>
      </c>
      <c r="M1331" s="3">
        <v>15574</v>
      </c>
      <c r="N1331" s="4">
        <v>2.1486299999999999E-3</v>
      </c>
      <c r="O1331" s="5" t="s">
        <v>44</v>
      </c>
      <c r="P1331" s="5" t="s">
        <v>44</v>
      </c>
      <c r="Q1331" s="1"/>
      <c r="R1331" s="2"/>
      <c r="S1331" s="6"/>
      <c r="T1331" t="s">
        <v>10902</v>
      </c>
      <c r="U1331" t="s">
        <v>10902</v>
      </c>
      <c r="V1331" t="s">
        <v>10902</v>
      </c>
      <c r="W1331" t="s">
        <v>43</v>
      </c>
      <c r="X1331" t="s">
        <v>11300</v>
      </c>
      <c r="Y1331" t="s">
        <v>11299</v>
      </c>
      <c r="Z1331" t="s">
        <v>11296</v>
      </c>
      <c r="AA1331" t="s">
        <v>44</v>
      </c>
      <c r="AB1331" t="s">
        <v>44</v>
      </c>
      <c r="AC1331" s="4"/>
      <c r="AD1331" s="4"/>
      <c r="AE1331" s="2">
        <v>0</v>
      </c>
      <c r="AF1331" s="4">
        <v>0</v>
      </c>
      <c r="AG1331" s="2">
        <v>0.43</v>
      </c>
      <c r="AH1331" s="2">
        <v>944407.36</v>
      </c>
      <c r="AI1331" s="2">
        <v>0</v>
      </c>
      <c r="AJ1331" s="5">
        <v>44673</v>
      </c>
      <c r="AK1331" t="s">
        <v>12111</v>
      </c>
      <c r="AL1331" s="2">
        <v>0</v>
      </c>
      <c r="AM1331" s="2">
        <v>0</v>
      </c>
      <c r="AN1331" s="2">
        <v>0</v>
      </c>
      <c r="AO1331" t="s">
        <v>44</v>
      </c>
      <c r="AP1331" t="s">
        <v>11304</v>
      </c>
      <c r="AQ1331" t="s">
        <v>4926</v>
      </c>
    </row>
    <row r="1332" spans="1:43" x14ac:dyDescent="0.2">
      <c r="A1332" t="s">
        <v>12110</v>
      </c>
      <c r="B1332" t="s">
        <v>11037</v>
      </c>
      <c r="C1332" t="s">
        <v>11305</v>
      </c>
      <c r="D1332" t="s">
        <v>6672</v>
      </c>
      <c r="E1332" t="s">
        <v>5463</v>
      </c>
      <c r="F1332" t="s">
        <v>6672</v>
      </c>
      <c r="G1332" s="1">
        <v>903</v>
      </c>
      <c r="H1332" s="2">
        <v>223616.64000000001</v>
      </c>
      <c r="I1332" s="2">
        <v>247936.71</v>
      </c>
      <c r="J1332" s="2">
        <v>0</v>
      </c>
      <c r="K1332" s="2">
        <v>0</v>
      </c>
      <c r="L1332" s="2">
        <v>247936.71</v>
      </c>
      <c r="M1332" s="3">
        <v>27457</v>
      </c>
      <c r="N1332" s="4">
        <v>5.6408000000000001E-4</v>
      </c>
      <c r="O1332" s="5" t="s">
        <v>44</v>
      </c>
      <c r="P1332" s="5" t="s">
        <v>44</v>
      </c>
      <c r="Q1332" s="1"/>
      <c r="R1332" s="2"/>
      <c r="S1332" s="6"/>
      <c r="T1332" t="s">
        <v>10902</v>
      </c>
      <c r="U1332" t="s">
        <v>10902</v>
      </c>
      <c r="V1332" t="s">
        <v>10902</v>
      </c>
      <c r="W1332" t="s">
        <v>43</v>
      </c>
      <c r="X1332" t="s">
        <v>11306</v>
      </c>
      <c r="Y1332" t="s">
        <v>11307</v>
      </c>
      <c r="Z1332" t="s">
        <v>11305</v>
      </c>
      <c r="AA1332" t="s">
        <v>44</v>
      </c>
      <c r="AB1332" t="s">
        <v>44</v>
      </c>
      <c r="AC1332" s="4"/>
      <c r="AD1332" s="4"/>
      <c r="AE1332" s="2">
        <v>0</v>
      </c>
      <c r="AF1332" s="4">
        <v>0</v>
      </c>
      <c r="AG1332" s="2">
        <v>0.11</v>
      </c>
      <c r="AH1332" s="2">
        <v>247936.71</v>
      </c>
      <c r="AI1332" s="2">
        <v>0</v>
      </c>
      <c r="AJ1332" s="5">
        <v>44673</v>
      </c>
      <c r="AK1332" t="s">
        <v>12111</v>
      </c>
      <c r="AL1332" s="2">
        <v>0</v>
      </c>
      <c r="AM1332" s="2">
        <v>0</v>
      </c>
      <c r="AN1332" s="2">
        <v>0</v>
      </c>
      <c r="AO1332" t="s">
        <v>44</v>
      </c>
      <c r="AP1332" t="s">
        <v>12112</v>
      </c>
      <c r="AQ1332" t="s">
        <v>5463</v>
      </c>
    </row>
    <row r="1333" spans="1:43" x14ac:dyDescent="0.2">
      <c r="A1333" t="s">
        <v>12110</v>
      </c>
      <c r="B1333" t="s">
        <v>11037</v>
      </c>
      <c r="C1333" t="s">
        <v>11305</v>
      </c>
      <c r="D1333" t="s">
        <v>12113</v>
      </c>
      <c r="E1333" t="s">
        <v>5316</v>
      </c>
      <c r="F1333" t="s">
        <v>12113</v>
      </c>
      <c r="G1333" s="1">
        <v>2532</v>
      </c>
      <c r="H1333" s="2">
        <v>31732.04</v>
      </c>
      <c r="I1333" s="2">
        <v>26510.04</v>
      </c>
      <c r="J1333" s="2">
        <v>0</v>
      </c>
      <c r="K1333" s="2">
        <v>0</v>
      </c>
      <c r="L1333" s="2">
        <v>26510.04</v>
      </c>
      <c r="M1333" s="3">
        <v>1047</v>
      </c>
      <c r="N1333" s="4">
        <v>6.0309999999999997E-5</v>
      </c>
      <c r="O1333" s="5" t="s">
        <v>44</v>
      </c>
      <c r="P1333" s="5" t="s">
        <v>44</v>
      </c>
      <c r="Q1333" s="1"/>
      <c r="R1333" s="2"/>
      <c r="S1333" s="6"/>
      <c r="T1333" t="s">
        <v>10902</v>
      </c>
      <c r="U1333" t="s">
        <v>10902</v>
      </c>
      <c r="V1333" t="s">
        <v>10902</v>
      </c>
      <c r="W1333" t="s">
        <v>43</v>
      </c>
      <c r="X1333" t="s">
        <v>11306</v>
      </c>
      <c r="Y1333" t="s">
        <v>11307</v>
      </c>
      <c r="Z1333" t="s">
        <v>11305</v>
      </c>
      <c r="AA1333" t="s">
        <v>44</v>
      </c>
      <c r="AB1333" t="s">
        <v>44</v>
      </c>
      <c r="AC1333" s="4"/>
      <c r="AD1333" s="4"/>
      <c r="AE1333" s="2">
        <v>0</v>
      </c>
      <c r="AF1333" s="4">
        <v>0</v>
      </c>
      <c r="AG1333" s="2">
        <v>0.01</v>
      </c>
      <c r="AH1333" s="2">
        <v>26510.04</v>
      </c>
      <c r="AI1333" s="2">
        <v>0</v>
      </c>
      <c r="AJ1333" s="5">
        <v>44673</v>
      </c>
      <c r="AK1333" t="s">
        <v>12111</v>
      </c>
      <c r="AL1333" s="2">
        <v>0</v>
      </c>
      <c r="AM1333" s="2">
        <v>0</v>
      </c>
      <c r="AN1333" s="2">
        <v>0</v>
      </c>
      <c r="AO1333" t="s">
        <v>44</v>
      </c>
      <c r="AP1333" t="s">
        <v>12114</v>
      </c>
      <c r="AQ1333" t="s">
        <v>5316</v>
      </c>
    </row>
    <row r="1334" spans="1:43" x14ac:dyDescent="0.2">
      <c r="A1334" t="s">
        <v>12110</v>
      </c>
      <c r="B1334" t="s">
        <v>11037</v>
      </c>
      <c r="C1334" t="s">
        <v>11305</v>
      </c>
      <c r="D1334" t="s">
        <v>11309</v>
      </c>
      <c r="E1334" t="s">
        <v>5389</v>
      </c>
      <c r="F1334" t="s">
        <v>11309</v>
      </c>
      <c r="G1334" s="1">
        <v>12754</v>
      </c>
      <c r="H1334" s="2">
        <v>444438.32</v>
      </c>
      <c r="I1334" s="2">
        <v>480060.56</v>
      </c>
      <c r="J1334" s="2">
        <v>0</v>
      </c>
      <c r="K1334" s="2">
        <v>0</v>
      </c>
      <c r="L1334" s="2">
        <v>480060.56</v>
      </c>
      <c r="M1334" s="3">
        <v>3764</v>
      </c>
      <c r="N1334" s="4">
        <v>1.09219E-3</v>
      </c>
      <c r="O1334" s="5" t="s">
        <v>44</v>
      </c>
      <c r="P1334" s="5" t="s">
        <v>44</v>
      </c>
      <c r="Q1334" s="1"/>
      <c r="R1334" s="2"/>
      <c r="S1334" s="6"/>
      <c r="T1334" t="s">
        <v>10902</v>
      </c>
      <c r="U1334" t="s">
        <v>10902</v>
      </c>
      <c r="V1334" t="s">
        <v>10902</v>
      </c>
      <c r="W1334" t="s">
        <v>43</v>
      </c>
      <c r="X1334" t="s">
        <v>11310</v>
      </c>
      <c r="Y1334" t="s">
        <v>11307</v>
      </c>
      <c r="Z1334" t="s">
        <v>11305</v>
      </c>
      <c r="AA1334" t="s">
        <v>44</v>
      </c>
      <c r="AB1334" t="s">
        <v>44</v>
      </c>
      <c r="AC1334" s="4"/>
      <c r="AD1334" s="4"/>
      <c r="AE1334" s="2">
        <v>0</v>
      </c>
      <c r="AF1334" s="4">
        <v>0</v>
      </c>
      <c r="AG1334" s="2">
        <v>0.22</v>
      </c>
      <c r="AH1334" s="2">
        <v>480060.56</v>
      </c>
      <c r="AI1334" s="2">
        <v>0</v>
      </c>
      <c r="AJ1334" s="5">
        <v>44673</v>
      </c>
      <c r="AK1334" t="s">
        <v>12111</v>
      </c>
      <c r="AL1334" s="2">
        <v>0</v>
      </c>
      <c r="AM1334" s="2">
        <v>0</v>
      </c>
      <c r="AN1334" s="2">
        <v>0</v>
      </c>
      <c r="AO1334" t="s">
        <v>44</v>
      </c>
      <c r="AP1334" t="s">
        <v>11311</v>
      </c>
      <c r="AQ1334" t="s">
        <v>5389</v>
      </c>
    </row>
    <row r="1335" spans="1:43" x14ac:dyDescent="0.2">
      <c r="A1335" t="s">
        <v>12110</v>
      </c>
      <c r="B1335" t="s">
        <v>11037</v>
      </c>
      <c r="C1335" t="s">
        <v>11305</v>
      </c>
      <c r="D1335" t="s">
        <v>6609</v>
      </c>
      <c r="E1335" t="s">
        <v>5271</v>
      </c>
      <c r="F1335" t="s">
        <v>6609</v>
      </c>
      <c r="G1335" s="1">
        <v>12307</v>
      </c>
      <c r="H1335" s="2">
        <v>223306.52</v>
      </c>
      <c r="I1335" s="2">
        <v>207865.23</v>
      </c>
      <c r="J1335" s="2">
        <v>0</v>
      </c>
      <c r="K1335" s="2">
        <v>0</v>
      </c>
      <c r="L1335" s="2">
        <v>207865.23</v>
      </c>
      <c r="M1335" s="3">
        <v>1689</v>
      </c>
      <c r="N1335" s="4">
        <v>4.7291999999999999E-4</v>
      </c>
      <c r="O1335" s="5" t="s">
        <v>44</v>
      </c>
      <c r="P1335" s="5" t="s">
        <v>44</v>
      </c>
      <c r="Q1335" s="1"/>
      <c r="R1335" s="2"/>
      <c r="S1335" s="6"/>
      <c r="T1335" t="s">
        <v>10902</v>
      </c>
      <c r="U1335" t="s">
        <v>10902</v>
      </c>
      <c r="V1335" t="s">
        <v>10902</v>
      </c>
      <c r="W1335" t="s">
        <v>43</v>
      </c>
      <c r="X1335" t="s">
        <v>11306</v>
      </c>
      <c r="Y1335" t="s">
        <v>11307</v>
      </c>
      <c r="Z1335" t="s">
        <v>11305</v>
      </c>
      <c r="AA1335" t="s">
        <v>44</v>
      </c>
      <c r="AB1335" t="s">
        <v>44</v>
      </c>
      <c r="AC1335" s="4"/>
      <c r="AD1335" s="4"/>
      <c r="AE1335" s="2">
        <v>0</v>
      </c>
      <c r="AF1335" s="4">
        <v>0</v>
      </c>
      <c r="AG1335" s="2">
        <v>0.1</v>
      </c>
      <c r="AH1335" s="2">
        <v>207865.23</v>
      </c>
      <c r="AI1335" s="2">
        <v>0</v>
      </c>
      <c r="AJ1335" s="5">
        <v>44673</v>
      </c>
      <c r="AK1335" t="s">
        <v>12111</v>
      </c>
      <c r="AL1335" s="2">
        <v>0</v>
      </c>
      <c r="AM1335" s="2">
        <v>0</v>
      </c>
      <c r="AN1335" s="2">
        <v>0</v>
      </c>
      <c r="AO1335" t="s">
        <v>44</v>
      </c>
      <c r="AP1335" t="s">
        <v>11312</v>
      </c>
      <c r="AQ1335" t="s">
        <v>5271</v>
      </c>
    </row>
    <row r="1336" spans="1:43" x14ac:dyDescent="0.2">
      <c r="A1336" t="s">
        <v>12110</v>
      </c>
      <c r="B1336" t="s">
        <v>11037</v>
      </c>
      <c r="C1336" t="s">
        <v>11305</v>
      </c>
      <c r="D1336" t="s">
        <v>6372</v>
      </c>
      <c r="E1336" t="s">
        <v>6607</v>
      </c>
      <c r="F1336" t="s">
        <v>6372</v>
      </c>
      <c r="G1336" s="1">
        <v>5960</v>
      </c>
      <c r="H1336" s="2">
        <v>626467.97</v>
      </c>
      <c r="I1336" s="2">
        <v>665910.80000000005</v>
      </c>
      <c r="J1336" s="2">
        <v>0</v>
      </c>
      <c r="K1336" s="2">
        <v>0</v>
      </c>
      <c r="L1336" s="2">
        <v>665910.80000000005</v>
      </c>
      <c r="M1336" s="3">
        <v>11173</v>
      </c>
      <c r="N1336" s="4">
        <v>1.51502E-3</v>
      </c>
      <c r="O1336" s="5" t="s">
        <v>44</v>
      </c>
      <c r="P1336" s="5" t="s">
        <v>44</v>
      </c>
      <c r="Q1336" s="1"/>
      <c r="R1336" s="2"/>
      <c r="S1336" s="6"/>
      <c r="T1336" t="s">
        <v>10902</v>
      </c>
      <c r="U1336" t="s">
        <v>10902</v>
      </c>
      <c r="V1336" t="s">
        <v>10902</v>
      </c>
      <c r="W1336" t="s">
        <v>43</v>
      </c>
      <c r="X1336" t="s">
        <v>11306</v>
      </c>
      <c r="Y1336" t="s">
        <v>11307</v>
      </c>
      <c r="Z1336" t="s">
        <v>11305</v>
      </c>
      <c r="AA1336" t="s">
        <v>44</v>
      </c>
      <c r="AB1336" t="s">
        <v>44</v>
      </c>
      <c r="AC1336" s="4"/>
      <c r="AD1336" s="4"/>
      <c r="AE1336" s="2">
        <v>0</v>
      </c>
      <c r="AF1336" s="4">
        <v>0</v>
      </c>
      <c r="AG1336" s="2">
        <v>0.31</v>
      </c>
      <c r="AH1336" s="2">
        <v>665910.80000000005</v>
      </c>
      <c r="AI1336" s="2">
        <v>0</v>
      </c>
      <c r="AJ1336" s="5">
        <v>44673</v>
      </c>
      <c r="AK1336" t="s">
        <v>12111</v>
      </c>
      <c r="AL1336" s="2">
        <v>0</v>
      </c>
      <c r="AM1336" s="2">
        <v>0</v>
      </c>
      <c r="AN1336" s="2">
        <v>0</v>
      </c>
      <c r="AO1336" t="s">
        <v>44</v>
      </c>
      <c r="AP1336" t="s">
        <v>11313</v>
      </c>
      <c r="AQ1336" t="s">
        <v>6607</v>
      </c>
    </row>
    <row r="1337" spans="1:43" x14ac:dyDescent="0.2">
      <c r="A1337" t="s">
        <v>12110</v>
      </c>
      <c r="B1337" t="s">
        <v>11037</v>
      </c>
      <c r="C1337" t="s">
        <v>11305</v>
      </c>
      <c r="D1337" t="s">
        <v>11694</v>
      </c>
      <c r="E1337" t="s">
        <v>6518</v>
      </c>
      <c r="F1337" t="s">
        <v>11694</v>
      </c>
      <c r="G1337" s="1">
        <v>1306</v>
      </c>
      <c r="H1337" s="2">
        <v>162365.09</v>
      </c>
      <c r="I1337" s="2">
        <v>168029.96</v>
      </c>
      <c r="J1337" s="2">
        <v>0</v>
      </c>
      <c r="K1337" s="2">
        <v>0</v>
      </c>
      <c r="L1337" s="2">
        <v>168029.96</v>
      </c>
      <c r="M1337" s="3">
        <v>12866</v>
      </c>
      <c r="N1337" s="4">
        <v>3.8228999999999997E-4</v>
      </c>
      <c r="O1337" s="5" t="s">
        <v>44</v>
      </c>
      <c r="P1337" s="5" t="s">
        <v>44</v>
      </c>
      <c r="Q1337" s="1"/>
      <c r="R1337" s="2"/>
      <c r="S1337" s="6"/>
      <c r="T1337" t="s">
        <v>10902</v>
      </c>
      <c r="U1337" t="s">
        <v>10902</v>
      </c>
      <c r="V1337" t="s">
        <v>10902</v>
      </c>
      <c r="W1337" t="s">
        <v>43</v>
      </c>
      <c r="X1337" t="s">
        <v>44</v>
      </c>
      <c r="Y1337" t="s">
        <v>11695</v>
      </c>
      <c r="Z1337" t="s">
        <v>11305</v>
      </c>
      <c r="AA1337" t="s">
        <v>44</v>
      </c>
      <c r="AB1337" t="s">
        <v>44</v>
      </c>
      <c r="AC1337" s="4"/>
      <c r="AD1337" s="4"/>
      <c r="AE1337" s="2">
        <v>0</v>
      </c>
      <c r="AF1337" s="4">
        <v>0</v>
      </c>
      <c r="AG1337" s="2">
        <v>0.08</v>
      </c>
      <c r="AH1337" s="2">
        <v>168029.96</v>
      </c>
      <c r="AI1337" s="2">
        <v>0</v>
      </c>
      <c r="AJ1337" s="5">
        <v>44673</v>
      </c>
      <c r="AK1337" t="s">
        <v>12111</v>
      </c>
      <c r="AL1337" s="2">
        <v>0</v>
      </c>
      <c r="AM1337" s="2">
        <v>0</v>
      </c>
      <c r="AN1337" s="2">
        <v>0</v>
      </c>
      <c r="AO1337" t="s">
        <v>44</v>
      </c>
      <c r="AP1337" t="s">
        <v>11696</v>
      </c>
      <c r="AQ1337" t="s">
        <v>6518</v>
      </c>
    </row>
    <row r="1338" spans="1:43" x14ac:dyDescent="0.2">
      <c r="A1338" t="s">
        <v>12110</v>
      </c>
      <c r="B1338" t="s">
        <v>11037</v>
      </c>
      <c r="C1338" t="s">
        <v>11305</v>
      </c>
      <c r="D1338" t="s">
        <v>11314</v>
      </c>
      <c r="E1338" t="s">
        <v>6750</v>
      </c>
      <c r="F1338" t="s">
        <v>11314</v>
      </c>
      <c r="G1338" s="1">
        <v>69981</v>
      </c>
      <c r="H1338" s="2">
        <v>1710887.2</v>
      </c>
      <c r="I1338" s="2">
        <v>1526285.61</v>
      </c>
      <c r="J1338" s="2">
        <v>0</v>
      </c>
      <c r="K1338" s="2">
        <v>0</v>
      </c>
      <c r="L1338" s="2">
        <v>1526285.61</v>
      </c>
      <c r="M1338" s="3">
        <v>2181</v>
      </c>
      <c r="N1338" s="4">
        <v>3.4724600000000001E-3</v>
      </c>
      <c r="O1338" s="5" t="s">
        <v>44</v>
      </c>
      <c r="P1338" s="5" t="s">
        <v>44</v>
      </c>
      <c r="Q1338" s="1"/>
      <c r="R1338" s="2"/>
      <c r="S1338" s="6"/>
      <c r="T1338" t="s">
        <v>10902</v>
      </c>
      <c r="U1338" t="s">
        <v>10902</v>
      </c>
      <c r="V1338" t="s">
        <v>10902</v>
      </c>
      <c r="W1338" t="s">
        <v>43</v>
      </c>
      <c r="X1338" t="s">
        <v>11306</v>
      </c>
      <c r="Y1338" t="s">
        <v>11307</v>
      </c>
      <c r="Z1338" t="s">
        <v>11305</v>
      </c>
      <c r="AA1338" t="s">
        <v>44</v>
      </c>
      <c r="AB1338" t="s">
        <v>44</v>
      </c>
      <c r="AC1338" s="4"/>
      <c r="AD1338" s="4"/>
      <c r="AE1338" s="2">
        <v>0</v>
      </c>
      <c r="AF1338" s="4">
        <v>0</v>
      </c>
      <c r="AG1338" s="2">
        <v>0.7</v>
      </c>
      <c r="AH1338" s="2">
        <v>1526285.61</v>
      </c>
      <c r="AI1338" s="2">
        <v>0</v>
      </c>
      <c r="AJ1338" s="5">
        <v>44673</v>
      </c>
      <c r="AK1338" t="s">
        <v>12111</v>
      </c>
      <c r="AL1338" s="2">
        <v>0</v>
      </c>
      <c r="AM1338" s="2">
        <v>0</v>
      </c>
      <c r="AN1338" s="2">
        <v>0</v>
      </c>
      <c r="AO1338" t="s">
        <v>44</v>
      </c>
      <c r="AP1338" t="s">
        <v>11315</v>
      </c>
      <c r="AQ1338" t="s">
        <v>6750</v>
      </c>
    </row>
    <row r="1339" spans="1:43" x14ac:dyDescent="0.2">
      <c r="A1339" t="s">
        <v>12110</v>
      </c>
      <c r="B1339" t="s">
        <v>11037</v>
      </c>
      <c r="C1339" t="s">
        <v>11305</v>
      </c>
      <c r="D1339" t="s">
        <v>11316</v>
      </c>
      <c r="E1339" t="s">
        <v>5173</v>
      </c>
      <c r="F1339" t="s">
        <v>11316</v>
      </c>
      <c r="G1339" s="1">
        <v>16589</v>
      </c>
      <c r="H1339" s="2">
        <v>971552.2</v>
      </c>
      <c r="I1339" s="2">
        <v>992188.09</v>
      </c>
      <c r="J1339" s="2">
        <v>0</v>
      </c>
      <c r="K1339" s="2">
        <v>0</v>
      </c>
      <c r="L1339" s="2">
        <v>992188.09</v>
      </c>
      <c r="M1339" s="3">
        <v>5981</v>
      </c>
      <c r="N1339" s="4">
        <v>2.2573300000000001E-3</v>
      </c>
      <c r="O1339" s="5" t="s">
        <v>44</v>
      </c>
      <c r="P1339" s="5" t="s">
        <v>44</v>
      </c>
      <c r="Q1339" s="1"/>
      <c r="R1339" s="2"/>
      <c r="S1339" s="6"/>
      <c r="T1339" t="s">
        <v>10902</v>
      </c>
      <c r="U1339" t="s">
        <v>10902</v>
      </c>
      <c r="V1339" t="s">
        <v>10902</v>
      </c>
      <c r="W1339" t="s">
        <v>43</v>
      </c>
      <c r="X1339" t="s">
        <v>11310</v>
      </c>
      <c r="Y1339" t="s">
        <v>11307</v>
      </c>
      <c r="Z1339" t="s">
        <v>11305</v>
      </c>
      <c r="AA1339" t="s">
        <v>44</v>
      </c>
      <c r="AB1339" t="s">
        <v>44</v>
      </c>
      <c r="AC1339" s="4"/>
      <c r="AD1339" s="4"/>
      <c r="AE1339" s="2">
        <v>0</v>
      </c>
      <c r="AF1339" s="4">
        <v>0</v>
      </c>
      <c r="AG1339" s="2">
        <v>0.46</v>
      </c>
      <c r="AH1339" s="2">
        <v>992188.09</v>
      </c>
      <c r="AI1339" s="2">
        <v>0</v>
      </c>
      <c r="AJ1339" s="5">
        <v>44673</v>
      </c>
      <c r="AK1339" t="s">
        <v>12111</v>
      </c>
      <c r="AL1339" s="2">
        <v>0</v>
      </c>
      <c r="AM1339" s="2">
        <v>0</v>
      </c>
      <c r="AN1339" s="2">
        <v>0</v>
      </c>
      <c r="AO1339" t="s">
        <v>44</v>
      </c>
      <c r="AP1339" t="s">
        <v>11317</v>
      </c>
      <c r="AQ1339" t="s">
        <v>5173</v>
      </c>
    </row>
    <row r="1340" spans="1:43" x14ac:dyDescent="0.2">
      <c r="A1340" t="s">
        <v>12110</v>
      </c>
      <c r="B1340" t="s">
        <v>11037</v>
      </c>
      <c r="C1340" t="s">
        <v>11305</v>
      </c>
      <c r="D1340" t="s">
        <v>11698</v>
      </c>
      <c r="E1340" t="s">
        <v>4919</v>
      </c>
      <c r="F1340" t="s">
        <v>11698</v>
      </c>
      <c r="G1340" s="1">
        <v>8500</v>
      </c>
      <c r="H1340" s="2">
        <v>1371568.57</v>
      </c>
      <c r="I1340" s="2">
        <v>1412700</v>
      </c>
      <c r="J1340" s="2">
        <v>0</v>
      </c>
      <c r="K1340" s="2">
        <v>0</v>
      </c>
      <c r="L1340" s="2">
        <v>1412700</v>
      </c>
      <c r="M1340" s="3">
        <v>16620</v>
      </c>
      <c r="N1340" s="4">
        <v>3.21404E-3</v>
      </c>
      <c r="O1340" s="5" t="s">
        <v>44</v>
      </c>
      <c r="P1340" s="5" t="s">
        <v>44</v>
      </c>
      <c r="Q1340" s="1"/>
      <c r="R1340" s="2"/>
      <c r="S1340" s="6"/>
      <c r="T1340" t="s">
        <v>10902</v>
      </c>
      <c r="U1340" t="s">
        <v>10902</v>
      </c>
      <c r="V1340" t="s">
        <v>10902</v>
      </c>
      <c r="W1340" t="s">
        <v>43</v>
      </c>
      <c r="X1340" t="s">
        <v>11310</v>
      </c>
      <c r="Y1340" t="s">
        <v>11307</v>
      </c>
      <c r="Z1340" t="s">
        <v>11305</v>
      </c>
      <c r="AA1340" t="s">
        <v>44</v>
      </c>
      <c r="AB1340" t="s">
        <v>44</v>
      </c>
      <c r="AC1340" s="4"/>
      <c r="AD1340" s="4"/>
      <c r="AE1340" s="2">
        <v>0</v>
      </c>
      <c r="AF1340" s="4">
        <v>0</v>
      </c>
      <c r="AG1340" s="2">
        <v>0.65</v>
      </c>
      <c r="AH1340" s="2">
        <v>1412700</v>
      </c>
      <c r="AI1340" s="2">
        <v>0</v>
      </c>
      <c r="AJ1340" s="5">
        <v>44673</v>
      </c>
      <c r="AK1340" t="s">
        <v>12111</v>
      </c>
      <c r="AL1340" s="2">
        <v>0</v>
      </c>
      <c r="AM1340" s="2">
        <v>0</v>
      </c>
      <c r="AN1340" s="2">
        <v>0</v>
      </c>
      <c r="AO1340" t="s">
        <v>44</v>
      </c>
      <c r="AP1340" t="s">
        <v>11699</v>
      </c>
      <c r="AQ1340" t="s">
        <v>4919</v>
      </c>
    </row>
    <row r="1341" spans="1:43" x14ac:dyDescent="0.2">
      <c r="A1341" t="s">
        <v>12110</v>
      </c>
      <c r="B1341" t="s">
        <v>11037</v>
      </c>
      <c r="C1341" t="s">
        <v>11305</v>
      </c>
      <c r="D1341" t="s">
        <v>6224</v>
      </c>
      <c r="E1341" t="s">
        <v>3901</v>
      </c>
      <c r="F1341" t="s">
        <v>6224</v>
      </c>
      <c r="G1341" s="1">
        <v>14957</v>
      </c>
      <c r="H1341" s="2">
        <v>795302.58</v>
      </c>
      <c r="I1341" s="2">
        <v>833404.04</v>
      </c>
      <c r="J1341" s="2">
        <v>0</v>
      </c>
      <c r="K1341" s="2">
        <v>0</v>
      </c>
      <c r="L1341" s="2">
        <v>833404.04</v>
      </c>
      <c r="M1341" s="3">
        <v>5572</v>
      </c>
      <c r="N1341" s="4">
        <v>1.8960800000000001E-3</v>
      </c>
      <c r="O1341" s="5" t="s">
        <v>44</v>
      </c>
      <c r="P1341" s="5" t="s">
        <v>44</v>
      </c>
      <c r="Q1341" s="1"/>
      <c r="R1341" s="2"/>
      <c r="S1341" s="6"/>
      <c r="T1341" t="s">
        <v>10902</v>
      </c>
      <c r="U1341" t="s">
        <v>10902</v>
      </c>
      <c r="V1341" t="s">
        <v>10902</v>
      </c>
      <c r="W1341" t="s">
        <v>43</v>
      </c>
      <c r="X1341" t="s">
        <v>11306</v>
      </c>
      <c r="Y1341" t="s">
        <v>11307</v>
      </c>
      <c r="Z1341" t="s">
        <v>11305</v>
      </c>
      <c r="AA1341" t="s">
        <v>44</v>
      </c>
      <c r="AB1341" t="s">
        <v>44</v>
      </c>
      <c r="AC1341" s="4"/>
      <c r="AD1341" s="4"/>
      <c r="AE1341" s="2">
        <v>0</v>
      </c>
      <c r="AF1341" s="4">
        <v>0</v>
      </c>
      <c r="AG1341" s="2">
        <v>0.38</v>
      </c>
      <c r="AH1341" s="2">
        <v>833404.04</v>
      </c>
      <c r="AI1341" s="2">
        <v>0</v>
      </c>
      <c r="AJ1341" s="5">
        <v>44673</v>
      </c>
      <c r="AK1341" t="s">
        <v>12111</v>
      </c>
      <c r="AL1341" s="2">
        <v>0</v>
      </c>
      <c r="AM1341" s="2">
        <v>0</v>
      </c>
      <c r="AN1341" s="2">
        <v>0</v>
      </c>
      <c r="AO1341" t="s">
        <v>44</v>
      </c>
      <c r="AP1341" t="s">
        <v>11320</v>
      </c>
      <c r="AQ1341" t="s">
        <v>3901</v>
      </c>
    </row>
    <row r="1342" spans="1:43" x14ac:dyDescent="0.2">
      <c r="A1342" t="s">
        <v>12110</v>
      </c>
      <c r="B1342" t="s">
        <v>11037</v>
      </c>
      <c r="C1342" t="s">
        <v>11305</v>
      </c>
      <c r="D1342" t="s">
        <v>12115</v>
      </c>
      <c r="E1342" t="s">
        <v>7051</v>
      </c>
      <c r="F1342" t="s">
        <v>12115</v>
      </c>
      <c r="G1342" s="1">
        <v>12208</v>
      </c>
      <c r="H1342" s="2">
        <v>42957.21</v>
      </c>
      <c r="I1342" s="2">
        <v>38455.199999999997</v>
      </c>
      <c r="J1342" s="2">
        <v>0</v>
      </c>
      <c r="K1342" s="2">
        <v>0</v>
      </c>
      <c r="L1342" s="2">
        <v>38455.199999999997</v>
      </c>
      <c r="M1342" s="3">
        <v>315</v>
      </c>
      <c r="N1342" s="4">
        <v>8.7490000000000004E-5</v>
      </c>
      <c r="O1342" s="5" t="s">
        <v>44</v>
      </c>
      <c r="P1342" s="5" t="s">
        <v>44</v>
      </c>
      <c r="Q1342" s="1"/>
      <c r="R1342" s="2"/>
      <c r="S1342" s="6"/>
      <c r="T1342" t="s">
        <v>10902</v>
      </c>
      <c r="U1342" t="s">
        <v>10902</v>
      </c>
      <c r="V1342" t="s">
        <v>10902</v>
      </c>
      <c r="W1342" t="s">
        <v>43</v>
      </c>
      <c r="X1342" t="s">
        <v>12116</v>
      </c>
      <c r="Y1342" t="s">
        <v>12116</v>
      </c>
      <c r="Z1342" t="s">
        <v>11305</v>
      </c>
      <c r="AA1342" t="s">
        <v>44</v>
      </c>
      <c r="AB1342" t="s">
        <v>44</v>
      </c>
      <c r="AC1342" s="4"/>
      <c r="AD1342" s="4"/>
      <c r="AE1342" s="2">
        <v>0</v>
      </c>
      <c r="AF1342" s="4">
        <v>0</v>
      </c>
      <c r="AG1342" s="2">
        <v>0.02</v>
      </c>
      <c r="AH1342" s="2">
        <v>38455.199999999997</v>
      </c>
      <c r="AI1342" s="2">
        <v>0</v>
      </c>
      <c r="AJ1342" s="5">
        <v>44673</v>
      </c>
      <c r="AK1342" t="s">
        <v>12111</v>
      </c>
      <c r="AL1342" s="2">
        <v>0</v>
      </c>
      <c r="AM1342" s="2">
        <v>0</v>
      </c>
      <c r="AN1342" s="2">
        <v>0</v>
      </c>
      <c r="AO1342" t="s">
        <v>44</v>
      </c>
      <c r="AP1342" t="s">
        <v>12117</v>
      </c>
      <c r="AQ1342" t="s">
        <v>7051</v>
      </c>
    </row>
    <row r="1343" spans="1:43" x14ac:dyDescent="0.2">
      <c r="A1343" t="s">
        <v>12110</v>
      </c>
      <c r="B1343" t="s">
        <v>11037</v>
      </c>
      <c r="C1343" t="s">
        <v>11195</v>
      </c>
      <c r="D1343" t="s">
        <v>11325</v>
      </c>
      <c r="E1343" t="s">
        <v>5284</v>
      </c>
      <c r="F1343" t="s">
        <v>11325</v>
      </c>
      <c r="G1343" s="1">
        <v>8728</v>
      </c>
      <c r="H1343" s="2">
        <v>301168.8</v>
      </c>
      <c r="I1343" s="2">
        <v>281739.84000000003</v>
      </c>
      <c r="J1343" s="2">
        <v>0</v>
      </c>
      <c r="K1343" s="2">
        <v>0</v>
      </c>
      <c r="L1343" s="2">
        <v>281739.84000000003</v>
      </c>
      <c r="M1343" s="3">
        <v>3228</v>
      </c>
      <c r="N1343" s="4">
        <v>6.4099000000000003E-4</v>
      </c>
      <c r="O1343" s="5" t="s">
        <v>44</v>
      </c>
      <c r="P1343" s="5" t="s">
        <v>44</v>
      </c>
      <c r="Q1343" s="1"/>
      <c r="R1343" s="2"/>
      <c r="S1343" s="6"/>
      <c r="T1343" t="s">
        <v>10902</v>
      </c>
      <c r="U1343" t="s">
        <v>10902</v>
      </c>
      <c r="V1343" t="s">
        <v>10902</v>
      </c>
      <c r="W1343" t="s">
        <v>43</v>
      </c>
      <c r="X1343" t="s">
        <v>11197</v>
      </c>
      <c r="Y1343" t="s">
        <v>11198</v>
      </c>
      <c r="Z1343" t="s">
        <v>11195</v>
      </c>
      <c r="AA1343" t="s">
        <v>44</v>
      </c>
      <c r="AB1343" t="s">
        <v>44</v>
      </c>
      <c r="AC1343" s="4"/>
      <c r="AD1343" s="4"/>
      <c r="AE1343" s="2">
        <v>0</v>
      </c>
      <c r="AF1343" s="4">
        <v>0</v>
      </c>
      <c r="AG1343" s="2">
        <v>0.13</v>
      </c>
      <c r="AH1343" s="2">
        <v>281739.84000000003</v>
      </c>
      <c r="AI1343" s="2">
        <v>0</v>
      </c>
      <c r="AJ1343" s="5">
        <v>44673</v>
      </c>
      <c r="AK1343" t="s">
        <v>12111</v>
      </c>
      <c r="AL1343" s="2">
        <v>0</v>
      </c>
      <c r="AM1343" s="2">
        <v>0</v>
      </c>
      <c r="AN1343" s="2">
        <v>0</v>
      </c>
      <c r="AO1343" t="s">
        <v>44</v>
      </c>
      <c r="AP1343" t="s">
        <v>11326</v>
      </c>
      <c r="AQ1343" t="s">
        <v>5284</v>
      </c>
    </row>
    <row r="1344" spans="1:43" x14ac:dyDescent="0.2">
      <c r="A1344" t="s">
        <v>12110</v>
      </c>
      <c r="B1344" t="s">
        <v>11037</v>
      </c>
      <c r="C1344" t="s">
        <v>11195</v>
      </c>
      <c r="D1344" t="s">
        <v>6419</v>
      </c>
      <c r="E1344" t="s">
        <v>5072</v>
      </c>
      <c r="F1344" t="s">
        <v>6419</v>
      </c>
      <c r="G1344" s="1">
        <v>9352</v>
      </c>
      <c r="H1344" s="2">
        <v>512645.78</v>
      </c>
      <c r="I1344" s="2">
        <v>392409.92</v>
      </c>
      <c r="J1344" s="2">
        <v>0</v>
      </c>
      <c r="K1344" s="2">
        <v>0</v>
      </c>
      <c r="L1344" s="2">
        <v>392409.92</v>
      </c>
      <c r="M1344" s="3">
        <v>4196</v>
      </c>
      <c r="N1344" s="4">
        <v>8.9276999999999998E-4</v>
      </c>
      <c r="O1344" s="5" t="s">
        <v>44</v>
      </c>
      <c r="P1344" s="5" t="s">
        <v>44</v>
      </c>
      <c r="Q1344" s="1"/>
      <c r="R1344" s="2"/>
      <c r="S1344" s="6"/>
      <c r="T1344" t="s">
        <v>10902</v>
      </c>
      <c r="U1344" t="s">
        <v>10902</v>
      </c>
      <c r="V1344" t="s">
        <v>10902</v>
      </c>
      <c r="W1344" t="s">
        <v>43</v>
      </c>
      <c r="X1344" t="s">
        <v>11327</v>
      </c>
      <c r="Y1344" t="s">
        <v>11198</v>
      </c>
      <c r="Z1344" t="s">
        <v>11195</v>
      </c>
      <c r="AA1344" t="s">
        <v>44</v>
      </c>
      <c r="AB1344" t="s">
        <v>44</v>
      </c>
      <c r="AC1344" s="4"/>
      <c r="AD1344" s="4"/>
      <c r="AE1344" s="2">
        <v>0</v>
      </c>
      <c r="AF1344" s="4">
        <v>0</v>
      </c>
      <c r="AG1344" s="2">
        <v>0.18</v>
      </c>
      <c r="AH1344" s="2">
        <v>392409.92</v>
      </c>
      <c r="AI1344" s="2">
        <v>0</v>
      </c>
      <c r="AJ1344" s="5">
        <v>44673</v>
      </c>
      <c r="AK1344" t="s">
        <v>12111</v>
      </c>
      <c r="AL1344" s="2">
        <v>0</v>
      </c>
      <c r="AM1344" s="2">
        <v>0</v>
      </c>
      <c r="AN1344" s="2">
        <v>0</v>
      </c>
      <c r="AO1344" t="s">
        <v>44</v>
      </c>
      <c r="AP1344" t="s">
        <v>11328</v>
      </c>
      <c r="AQ1344" t="s">
        <v>5072</v>
      </c>
    </row>
    <row r="1345" spans="1:43" x14ac:dyDescent="0.2">
      <c r="A1345" t="s">
        <v>12110</v>
      </c>
      <c r="B1345" t="s">
        <v>11037</v>
      </c>
      <c r="C1345" t="s">
        <v>11195</v>
      </c>
      <c r="D1345" t="s">
        <v>12118</v>
      </c>
      <c r="E1345" t="s">
        <v>5712</v>
      </c>
      <c r="F1345" t="s">
        <v>12119</v>
      </c>
      <c r="G1345" s="1">
        <v>14260</v>
      </c>
      <c r="H1345" s="2">
        <v>9411.6</v>
      </c>
      <c r="I1345" s="2">
        <v>8413.4</v>
      </c>
      <c r="J1345" s="2">
        <v>0</v>
      </c>
      <c r="K1345" s="2">
        <v>0</v>
      </c>
      <c r="L1345" s="2">
        <v>8413.4</v>
      </c>
      <c r="M1345" s="3">
        <v>59</v>
      </c>
      <c r="N1345" s="4">
        <v>1.914E-5</v>
      </c>
      <c r="O1345" s="5" t="s">
        <v>44</v>
      </c>
      <c r="P1345" s="5" t="s">
        <v>44</v>
      </c>
      <c r="Q1345" s="1"/>
      <c r="R1345" s="2"/>
      <c r="S1345" s="6"/>
      <c r="T1345" t="s">
        <v>10902</v>
      </c>
      <c r="U1345" t="s">
        <v>10902</v>
      </c>
      <c r="V1345" t="s">
        <v>10902</v>
      </c>
      <c r="W1345" t="s">
        <v>43</v>
      </c>
      <c r="X1345" t="s">
        <v>11197</v>
      </c>
      <c r="Y1345" t="s">
        <v>11198</v>
      </c>
      <c r="Z1345" t="s">
        <v>11195</v>
      </c>
      <c r="AA1345" t="s">
        <v>44</v>
      </c>
      <c r="AB1345" t="s">
        <v>44</v>
      </c>
      <c r="AC1345" s="4"/>
      <c r="AD1345" s="4"/>
      <c r="AE1345" s="2">
        <v>0</v>
      </c>
      <c r="AF1345" s="4">
        <v>0</v>
      </c>
      <c r="AG1345" s="2">
        <v>0</v>
      </c>
      <c r="AH1345" s="2">
        <v>8413.4</v>
      </c>
      <c r="AI1345" s="2">
        <v>0</v>
      </c>
      <c r="AJ1345" s="5">
        <v>44673</v>
      </c>
      <c r="AK1345" t="s">
        <v>12111</v>
      </c>
      <c r="AL1345" s="2">
        <v>0</v>
      </c>
      <c r="AM1345" s="2">
        <v>0</v>
      </c>
      <c r="AN1345" s="2">
        <v>0</v>
      </c>
      <c r="AO1345" t="s">
        <v>44</v>
      </c>
      <c r="AP1345" t="s">
        <v>12120</v>
      </c>
      <c r="AQ1345" t="s">
        <v>5712</v>
      </c>
    </row>
    <row r="1346" spans="1:43" x14ac:dyDescent="0.2">
      <c r="A1346" t="s">
        <v>12110</v>
      </c>
      <c r="B1346" t="s">
        <v>11037</v>
      </c>
      <c r="C1346" t="s">
        <v>11195</v>
      </c>
      <c r="D1346" t="s">
        <v>11704</v>
      </c>
      <c r="E1346" t="s">
        <v>3205</v>
      </c>
      <c r="F1346" t="s">
        <v>11704</v>
      </c>
      <c r="G1346" s="1">
        <v>3744</v>
      </c>
      <c r="H1346" s="2">
        <v>537213.47</v>
      </c>
      <c r="I1346" s="2">
        <v>616262.40000000002</v>
      </c>
      <c r="J1346" s="2">
        <v>0</v>
      </c>
      <c r="K1346" s="2">
        <v>0</v>
      </c>
      <c r="L1346" s="2">
        <v>616262.40000000002</v>
      </c>
      <c r="M1346" s="3">
        <v>16460</v>
      </c>
      <c r="N1346" s="4">
        <v>1.4020599999999999E-3</v>
      </c>
      <c r="O1346" s="5" t="s">
        <v>44</v>
      </c>
      <c r="P1346" s="5" t="s">
        <v>44</v>
      </c>
      <c r="Q1346" s="1"/>
      <c r="R1346" s="2"/>
      <c r="S1346" s="6"/>
      <c r="T1346" t="s">
        <v>10902</v>
      </c>
      <c r="U1346" t="s">
        <v>10902</v>
      </c>
      <c r="V1346" t="s">
        <v>10902</v>
      </c>
      <c r="W1346" t="s">
        <v>43</v>
      </c>
      <c r="X1346" t="s">
        <v>11334</v>
      </c>
      <c r="Y1346" t="s">
        <v>11335</v>
      </c>
      <c r="Z1346" t="s">
        <v>11195</v>
      </c>
      <c r="AA1346" t="s">
        <v>44</v>
      </c>
      <c r="AB1346" t="s">
        <v>44</v>
      </c>
      <c r="AC1346" s="4"/>
      <c r="AD1346" s="4"/>
      <c r="AE1346" s="2">
        <v>0</v>
      </c>
      <c r="AF1346" s="4">
        <v>0</v>
      </c>
      <c r="AG1346" s="2">
        <v>0.28000000000000003</v>
      </c>
      <c r="AH1346" s="2">
        <v>616262.40000000002</v>
      </c>
      <c r="AI1346" s="2">
        <v>0</v>
      </c>
      <c r="AJ1346" s="5">
        <v>44673</v>
      </c>
      <c r="AK1346" t="s">
        <v>12111</v>
      </c>
      <c r="AL1346" s="2">
        <v>0</v>
      </c>
      <c r="AM1346" s="2">
        <v>0</v>
      </c>
      <c r="AN1346" s="2">
        <v>0</v>
      </c>
      <c r="AO1346" t="s">
        <v>44</v>
      </c>
      <c r="AP1346" t="s">
        <v>11705</v>
      </c>
      <c r="AQ1346" t="s">
        <v>3205</v>
      </c>
    </row>
    <row r="1347" spans="1:43" x14ac:dyDescent="0.2">
      <c r="A1347" t="s">
        <v>12110</v>
      </c>
      <c r="B1347" t="s">
        <v>11037</v>
      </c>
      <c r="C1347" t="s">
        <v>11195</v>
      </c>
      <c r="D1347" t="s">
        <v>11196</v>
      </c>
      <c r="E1347" t="s">
        <v>5755</v>
      </c>
      <c r="F1347" t="s">
        <v>11196</v>
      </c>
      <c r="G1347" s="1">
        <v>33340</v>
      </c>
      <c r="H1347" s="2">
        <v>710142</v>
      </c>
      <c r="I1347" s="2">
        <v>719477.2</v>
      </c>
      <c r="J1347" s="2">
        <v>0</v>
      </c>
      <c r="K1347" s="2">
        <v>0</v>
      </c>
      <c r="L1347" s="2">
        <v>719477.2</v>
      </c>
      <c r="M1347" s="3">
        <v>2158</v>
      </c>
      <c r="N1347" s="4">
        <v>1.63689E-3</v>
      </c>
      <c r="O1347" s="5" t="s">
        <v>44</v>
      </c>
      <c r="P1347" s="5" t="s">
        <v>44</v>
      </c>
      <c r="Q1347" s="1"/>
      <c r="R1347" s="2"/>
      <c r="S1347" s="6"/>
      <c r="T1347" t="s">
        <v>10902</v>
      </c>
      <c r="U1347" t="s">
        <v>10902</v>
      </c>
      <c r="V1347" t="s">
        <v>10902</v>
      </c>
      <c r="W1347" t="s">
        <v>43</v>
      </c>
      <c r="X1347" t="s">
        <v>11197</v>
      </c>
      <c r="Y1347" t="s">
        <v>11198</v>
      </c>
      <c r="Z1347" t="s">
        <v>11195</v>
      </c>
      <c r="AA1347" t="s">
        <v>44</v>
      </c>
      <c r="AB1347" t="s">
        <v>44</v>
      </c>
      <c r="AC1347" s="4"/>
      <c r="AD1347" s="4"/>
      <c r="AE1347" s="2">
        <v>0</v>
      </c>
      <c r="AF1347" s="4">
        <v>0</v>
      </c>
      <c r="AG1347" s="2">
        <v>0.33</v>
      </c>
      <c r="AH1347" s="2">
        <v>719477.2</v>
      </c>
      <c r="AI1347" s="2">
        <v>0</v>
      </c>
      <c r="AJ1347" s="5">
        <v>44673</v>
      </c>
      <c r="AK1347" t="s">
        <v>12111</v>
      </c>
      <c r="AL1347" s="2">
        <v>0</v>
      </c>
      <c r="AM1347" s="2">
        <v>0</v>
      </c>
      <c r="AN1347" s="2">
        <v>0</v>
      </c>
      <c r="AO1347" t="s">
        <v>44</v>
      </c>
      <c r="AP1347" t="s">
        <v>11199</v>
      </c>
      <c r="AQ1347" t="s">
        <v>5755</v>
      </c>
    </row>
    <row r="1348" spans="1:43" x14ac:dyDescent="0.2">
      <c r="A1348" t="s">
        <v>12110</v>
      </c>
      <c r="B1348" t="s">
        <v>11037</v>
      </c>
      <c r="C1348" t="s">
        <v>11195</v>
      </c>
      <c r="D1348" t="s">
        <v>11706</v>
      </c>
      <c r="E1348" t="s">
        <v>4801</v>
      </c>
      <c r="F1348" t="s">
        <v>11706</v>
      </c>
      <c r="G1348" s="1">
        <v>30001</v>
      </c>
      <c r="H1348" s="2">
        <v>1955095.5</v>
      </c>
      <c r="I1348" s="2">
        <v>2087169.57</v>
      </c>
      <c r="J1348" s="2">
        <v>0</v>
      </c>
      <c r="K1348" s="2">
        <v>0</v>
      </c>
      <c r="L1348" s="2">
        <v>2087169.57</v>
      </c>
      <c r="M1348" s="3">
        <v>6957</v>
      </c>
      <c r="N1348" s="4">
        <v>4.7485399999999999E-3</v>
      </c>
      <c r="O1348" s="5" t="s">
        <v>44</v>
      </c>
      <c r="P1348" s="5" t="s">
        <v>44</v>
      </c>
      <c r="Q1348" s="1"/>
      <c r="R1348" s="2"/>
      <c r="S1348" s="6"/>
      <c r="T1348" t="s">
        <v>10902</v>
      </c>
      <c r="U1348" t="s">
        <v>10902</v>
      </c>
      <c r="V1348" t="s">
        <v>10902</v>
      </c>
      <c r="W1348" t="s">
        <v>43</v>
      </c>
      <c r="X1348" t="s">
        <v>11034</v>
      </c>
      <c r="Y1348" t="s">
        <v>11034</v>
      </c>
      <c r="Z1348" t="s">
        <v>11195</v>
      </c>
      <c r="AA1348" t="s">
        <v>44</v>
      </c>
      <c r="AB1348" t="s">
        <v>44</v>
      </c>
      <c r="AC1348" s="4"/>
      <c r="AD1348" s="4"/>
      <c r="AE1348" s="2">
        <v>0</v>
      </c>
      <c r="AF1348" s="4">
        <v>0</v>
      </c>
      <c r="AG1348" s="2">
        <v>0.96</v>
      </c>
      <c r="AH1348" s="2">
        <v>2087169.57</v>
      </c>
      <c r="AI1348" s="2">
        <v>0</v>
      </c>
      <c r="AJ1348" s="5">
        <v>44673</v>
      </c>
      <c r="AK1348" t="s">
        <v>12111</v>
      </c>
      <c r="AL1348" s="2">
        <v>0</v>
      </c>
      <c r="AM1348" s="2">
        <v>0</v>
      </c>
      <c r="AN1348" s="2">
        <v>0</v>
      </c>
      <c r="AO1348" t="s">
        <v>44</v>
      </c>
      <c r="AP1348" t="s">
        <v>11707</v>
      </c>
      <c r="AQ1348" t="s">
        <v>4801</v>
      </c>
    </row>
    <row r="1349" spans="1:43" x14ac:dyDescent="0.2">
      <c r="A1349" t="s">
        <v>12110</v>
      </c>
      <c r="B1349" t="s">
        <v>11037</v>
      </c>
      <c r="C1349" t="s">
        <v>11195</v>
      </c>
      <c r="D1349" t="s">
        <v>11200</v>
      </c>
      <c r="E1349" t="s">
        <v>5277</v>
      </c>
      <c r="F1349" t="s">
        <v>11200</v>
      </c>
      <c r="G1349" s="1">
        <v>45782</v>
      </c>
      <c r="H1349" s="2">
        <v>604780.22</v>
      </c>
      <c r="I1349" s="2">
        <v>570901.54</v>
      </c>
      <c r="J1349" s="2">
        <v>0</v>
      </c>
      <c r="K1349" s="2">
        <v>0</v>
      </c>
      <c r="L1349" s="2">
        <v>570901.54</v>
      </c>
      <c r="M1349" s="3">
        <v>1247</v>
      </c>
      <c r="N1349" s="4">
        <v>1.29886E-3</v>
      </c>
      <c r="O1349" s="5" t="s">
        <v>44</v>
      </c>
      <c r="P1349" s="5" t="s">
        <v>44</v>
      </c>
      <c r="Q1349" s="1"/>
      <c r="R1349" s="2"/>
      <c r="S1349" s="6"/>
      <c r="T1349" t="s">
        <v>10902</v>
      </c>
      <c r="U1349" t="s">
        <v>10902</v>
      </c>
      <c r="V1349" t="s">
        <v>10902</v>
      </c>
      <c r="W1349" t="s">
        <v>43</v>
      </c>
      <c r="X1349" t="s">
        <v>11197</v>
      </c>
      <c r="Y1349" t="s">
        <v>11198</v>
      </c>
      <c r="Z1349" t="s">
        <v>11195</v>
      </c>
      <c r="AA1349" t="s">
        <v>44</v>
      </c>
      <c r="AB1349" t="s">
        <v>44</v>
      </c>
      <c r="AC1349" s="4"/>
      <c r="AD1349" s="4"/>
      <c r="AE1349" s="2">
        <v>0</v>
      </c>
      <c r="AF1349" s="4">
        <v>0</v>
      </c>
      <c r="AG1349" s="2">
        <v>0.26</v>
      </c>
      <c r="AH1349" s="2">
        <v>570901.54</v>
      </c>
      <c r="AI1349" s="2">
        <v>0</v>
      </c>
      <c r="AJ1349" s="5">
        <v>44673</v>
      </c>
      <c r="AK1349" t="s">
        <v>12111</v>
      </c>
      <c r="AL1349" s="2">
        <v>0</v>
      </c>
      <c r="AM1349" s="2">
        <v>0</v>
      </c>
      <c r="AN1349" s="2">
        <v>0</v>
      </c>
      <c r="AO1349" t="s">
        <v>44</v>
      </c>
      <c r="AP1349" t="s">
        <v>11201</v>
      </c>
      <c r="AQ1349" t="s">
        <v>5277</v>
      </c>
    </row>
    <row r="1350" spans="1:43" x14ac:dyDescent="0.2">
      <c r="A1350" t="s">
        <v>12110</v>
      </c>
      <c r="B1350" t="s">
        <v>11037</v>
      </c>
      <c r="C1350" t="s">
        <v>11195</v>
      </c>
      <c r="D1350" t="s">
        <v>12121</v>
      </c>
      <c r="E1350" t="s">
        <v>6338</v>
      </c>
      <c r="F1350" t="s">
        <v>12121</v>
      </c>
      <c r="G1350" s="1">
        <v>783</v>
      </c>
      <c r="H1350" s="2">
        <v>5086.5200000000004</v>
      </c>
      <c r="I1350" s="2">
        <v>4799.79</v>
      </c>
      <c r="J1350" s="2">
        <v>0</v>
      </c>
      <c r="K1350" s="2">
        <v>30.86</v>
      </c>
      <c r="L1350" s="2">
        <v>4824.4799999999996</v>
      </c>
      <c r="M1350" s="3">
        <v>613</v>
      </c>
      <c r="N1350" s="4">
        <v>1.098E-5</v>
      </c>
      <c r="O1350" s="5" t="s">
        <v>44</v>
      </c>
      <c r="P1350" s="5" t="s">
        <v>44</v>
      </c>
      <c r="Q1350" s="1"/>
      <c r="R1350" s="2"/>
      <c r="S1350" s="6"/>
      <c r="T1350" t="s">
        <v>10902</v>
      </c>
      <c r="U1350" t="s">
        <v>10902</v>
      </c>
      <c r="V1350" t="s">
        <v>10902</v>
      </c>
      <c r="W1350" t="s">
        <v>43</v>
      </c>
      <c r="X1350" t="s">
        <v>11197</v>
      </c>
      <c r="Y1350" t="s">
        <v>11198</v>
      </c>
      <c r="Z1350" t="s">
        <v>11195</v>
      </c>
      <c r="AA1350" t="s">
        <v>44</v>
      </c>
      <c r="AB1350" t="s">
        <v>44</v>
      </c>
      <c r="AC1350" s="4"/>
      <c r="AD1350" s="4"/>
      <c r="AE1350" s="2">
        <v>0</v>
      </c>
      <c r="AF1350" s="4">
        <v>0</v>
      </c>
      <c r="AG1350" s="2">
        <v>0</v>
      </c>
      <c r="AH1350" s="2">
        <v>4824.4799999999996</v>
      </c>
      <c r="AI1350" s="2">
        <v>0</v>
      </c>
      <c r="AJ1350" s="5">
        <v>44673</v>
      </c>
      <c r="AK1350" t="s">
        <v>12111</v>
      </c>
      <c r="AL1350" s="2">
        <v>0</v>
      </c>
      <c r="AM1350" s="2">
        <v>0</v>
      </c>
      <c r="AN1350" s="2">
        <v>0</v>
      </c>
      <c r="AO1350" t="s">
        <v>44</v>
      </c>
      <c r="AP1350" t="s">
        <v>12122</v>
      </c>
      <c r="AQ1350" t="s">
        <v>6338</v>
      </c>
    </row>
    <row r="1351" spans="1:43" x14ac:dyDescent="0.2">
      <c r="A1351" t="s">
        <v>12110</v>
      </c>
      <c r="B1351" t="s">
        <v>11037</v>
      </c>
      <c r="C1351" t="s">
        <v>11195</v>
      </c>
      <c r="D1351" t="s">
        <v>6332</v>
      </c>
      <c r="E1351" t="s">
        <v>3152</v>
      </c>
      <c r="F1351" t="s">
        <v>6332</v>
      </c>
      <c r="G1351" s="1">
        <v>15500</v>
      </c>
      <c r="H1351" s="2">
        <v>578256.26</v>
      </c>
      <c r="I1351" s="2">
        <v>559240</v>
      </c>
      <c r="J1351" s="2">
        <v>0</v>
      </c>
      <c r="K1351" s="2">
        <v>0</v>
      </c>
      <c r="L1351" s="2">
        <v>559240</v>
      </c>
      <c r="M1351" s="3">
        <v>3608</v>
      </c>
      <c r="N1351" s="4">
        <v>1.2723299999999999E-3</v>
      </c>
      <c r="O1351" s="5" t="s">
        <v>44</v>
      </c>
      <c r="P1351" s="5" t="s">
        <v>44</v>
      </c>
      <c r="Q1351" s="1"/>
      <c r="R1351" s="2"/>
      <c r="S1351" s="6"/>
      <c r="T1351" t="s">
        <v>10902</v>
      </c>
      <c r="U1351" t="s">
        <v>10902</v>
      </c>
      <c r="V1351" t="s">
        <v>10902</v>
      </c>
      <c r="W1351" t="s">
        <v>43</v>
      </c>
      <c r="X1351" t="s">
        <v>11197</v>
      </c>
      <c r="Y1351" t="s">
        <v>11198</v>
      </c>
      <c r="Z1351" t="s">
        <v>11195</v>
      </c>
      <c r="AA1351" t="s">
        <v>44</v>
      </c>
      <c r="AB1351" t="s">
        <v>44</v>
      </c>
      <c r="AC1351" s="4"/>
      <c r="AD1351" s="4"/>
      <c r="AE1351" s="2">
        <v>0</v>
      </c>
      <c r="AF1351" s="4">
        <v>0</v>
      </c>
      <c r="AG1351" s="2">
        <v>0.26</v>
      </c>
      <c r="AH1351" s="2">
        <v>559240</v>
      </c>
      <c r="AI1351" s="2">
        <v>0</v>
      </c>
      <c r="AJ1351" s="5">
        <v>44673</v>
      </c>
      <c r="AK1351" t="s">
        <v>12111</v>
      </c>
      <c r="AL1351" s="2">
        <v>0</v>
      </c>
      <c r="AM1351" s="2">
        <v>0</v>
      </c>
      <c r="AN1351" s="2">
        <v>0</v>
      </c>
      <c r="AO1351" t="s">
        <v>44</v>
      </c>
      <c r="AP1351" t="s">
        <v>11203</v>
      </c>
      <c r="AQ1351" t="s">
        <v>3152</v>
      </c>
    </row>
    <row r="1352" spans="1:43" x14ac:dyDescent="0.2">
      <c r="A1352" t="s">
        <v>12110</v>
      </c>
      <c r="B1352" t="s">
        <v>11037</v>
      </c>
      <c r="C1352" t="s">
        <v>11195</v>
      </c>
      <c r="D1352" t="s">
        <v>12123</v>
      </c>
      <c r="E1352" t="s">
        <v>12124</v>
      </c>
      <c r="F1352" t="s">
        <v>12123</v>
      </c>
      <c r="G1352" s="1">
        <v>15045</v>
      </c>
      <c r="H1352" s="2">
        <v>4363.05</v>
      </c>
      <c r="I1352" s="2">
        <v>4363.05</v>
      </c>
      <c r="J1352" s="2">
        <v>0</v>
      </c>
      <c r="K1352" s="2">
        <v>0</v>
      </c>
      <c r="L1352" s="2">
        <v>4363.05</v>
      </c>
      <c r="M1352" s="3">
        <v>29</v>
      </c>
      <c r="N1352" s="4">
        <v>9.9299999999999998E-6</v>
      </c>
      <c r="O1352" s="5" t="s">
        <v>44</v>
      </c>
      <c r="P1352" s="5" t="s">
        <v>44</v>
      </c>
      <c r="Q1352" s="1"/>
      <c r="R1352" s="2"/>
      <c r="S1352" s="6"/>
      <c r="T1352" t="s">
        <v>10902</v>
      </c>
      <c r="U1352" t="s">
        <v>10902</v>
      </c>
      <c r="V1352" t="s">
        <v>10902</v>
      </c>
      <c r="W1352" t="s">
        <v>43</v>
      </c>
      <c r="X1352" t="s">
        <v>11197</v>
      </c>
      <c r="Y1352" t="s">
        <v>11198</v>
      </c>
      <c r="Z1352" t="s">
        <v>11195</v>
      </c>
      <c r="AA1352" t="s">
        <v>44</v>
      </c>
      <c r="AB1352" t="s">
        <v>44</v>
      </c>
      <c r="AC1352" s="4"/>
      <c r="AD1352" s="4"/>
      <c r="AE1352" s="2">
        <v>0</v>
      </c>
      <c r="AF1352" s="4">
        <v>0</v>
      </c>
      <c r="AG1352" s="2">
        <v>0</v>
      </c>
      <c r="AH1352" s="2">
        <v>4363.05</v>
      </c>
      <c r="AI1352" s="2">
        <v>0</v>
      </c>
      <c r="AJ1352" s="5">
        <v>44673</v>
      </c>
      <c r="AK1352" t="s">
        <v>12111</v>
      </c>
      <c r="AL1352" s="2">
        <v>0</v>
      </c>
      <c r="AM1352" s="2">
        <v>0</v>
      </c>
      <c r="AN1352" s="2">
        <v>0</v>
      </c>
      <c r="AO1352" t="s">
        <v>44</v>
      </c>
      <c r="AP1352" t="s">
        <v>12125</v>
      </c>
      <c r="AQ1352" t="s">
        <v>12124</v>
      </c>
    </row>
    <row r="1353" spans="1:43" x14ac:dyDescent="0.2">
      <c r="A1353" t="s">
        <v>12110</v>
      </c>
      <c r="B1353" t="s">
        <v>11037</v>
      </c>
      <c r="C1353" t="s">
        <v>11195</v>
      </c>
      <c r="D1353" t="s">
        <v>11710</v>
      </c>
      <c r="E1353" t="s">
        <v>5671</v>
      </c>
      <c r="F1353" t="s">
        <v>11710</v>
      </c>
      <c r="G1353" s="1">
        <v>13554</v>
      </c>
      <c r="H1353" s="2">
        <v>153837.9</v>
      </c>
      <c r="I1353" s="2">
        <v>166714.20000000001</v>
      </c>
      <c r="J1353" s="2">
        <v>0</v>
      </c>
      <c r="K1353" s="2">
        <v>0</v>
      </c>
      <c r="L1353" s="2">
        <v>166714.20000000001</v>
      </c>
      <c r="M1353" s="3">
        <v>1230</v>
      </c>
      <c r="N1353" s="4">
        <v>3.7929000000000001E-4</v>
      </c>
      <c r="O1353" s="5" t="s">
        <v>44</v>
      </c>
      <c r="P1353" s="5" t="s">
        <v>44</v>
      </c>
      <c r="Q1353" s="1"/>
      <c r="R1353" s="2"/>
      <c r="S1353" s="6"/>
      <c r="T1353" t="s">
        <v>10902</v>
      </c>
      <c r="U1353" t="s">
        <v>10902</v>
      </c>
      <c r="V1353" t="s">
        <v>10902</v>
      </c>
      <c r="W1353" t="s">
        <v>43</v>
      </c>
      <c r="X1353" t="s">
        <v>11197</v>
      </c>
      <c r="Y1353" t="s">
        <v>11198</v>
      </c>
      <c r="Z1353" t="s">
        <v>11195</v>
      </c>
      <c r="AA1353" t="s">
        <v>44</v>
      </c>
      <c r="AB1353" t="s">
        <v>44</v>
      </c>
      <c r="AC1353" s="4"/>
      <c r="AD1353" s="4"/>
      <c r="AE1353" s="2">
        <v>0</v>
      </c>
      <c r="AF1353" s="4">
        <v>0</v>
      </c>
      <c r="AG1353" s="2">
        <v>0.08</v>
      </c>
      <c r="AH1353" s="2">
        <v>166714.20000000001</v>
      </c>
      <c r="AI1353" s="2">
        <v>0</v>
      </c>
      <c r="AJ1353" s="5">
        <v>44673</v>
      </c>
      <c r="AK1353" t="s">
        <v>12111</v>
      </c>
      <c r="AL1353" s="2">
        <v>0</v>
      </c>
      <c r="AM1353" s="2">
        <v>0</v>
      </c>
      <c r="AN1353" s="2">
        <v>0</v>
      </c>
      <c r="AO1353" t="s">
        <v>44</v>
      </c>
      <c r="AP1353" t="s">
        <v>11711</v>
      </c>
      <c r="AQ1353" t="s">
        <v>5671</v>
      </c>
    </row>
    <row r="1354" spans="1:43" x14ac:dyDescent="0.2">
      <c r="A1354" t="s">
        <v>12110</v>
      </c>
      <c r="B1354" t="s">
        <v>11037</v>
      </c>
      <c r="C1354" t="s">
        <v>11195</v>
      </c>
      <c r="D1354" t="s">
        <v>11759</v>
      </c>
      <c r="E1354" t="s">
        <v>5719</v>
      </c>
      <c r="F1354" t="s">
        <v>11759</v>
      </c>
      <c r="G1354" s="1">
        <v>7610</v>
      </c>
      <c r="H1354" s="2">
        <v>135415.19</v>
      </c>
      <c r="I1354" s="2">
        <v>164376</v>
      </c>
      <c r="J1354" s="2">
        <v>0</v>
      </c>
      <c r="K1354" s="2">
        <v>0</v>
      </c>
      <c r="L1354" s="2">
        <v>164376</v>
      </c>
      <c r="M1354" s="3">
        <v>2160</v>
      </c>
      <c r="N1354" s="4">
        <v>3.7397E-4</v>
      </c>
      <c r="O1354" s="5" t="s">
        <v>44</v>
      </c>
      <c r="P1354" s="5" t="s">
        <v>44</v>
      </c>
      <c r="Q1354" s="1"/>
      <c r="R1354" s="2"/>
      <c r="S1354" s="6"/>
      <c r="T1354" t="s">
        <v>10902</v>
      </c>
      <c r="U1354" t="s">
        <v>10902</v>
      </c>
      <c r="V1354" t="s">
        <v>10902</v>
      </c>
      <c r="W1354" t="s">
        <v>43</v>
      </c>
      <c r="X1354" t="s">
        <v>11197</v>
      </c>
      <c r="Y1354" t="s">
        <v>11198</v>
      </c>
      <c r="Z1354" t="s">
        <v>11195</v>
      </c>
      <c r="AA1354" t="s">
        <v>44</v>
      </c>
      <c r="AB1354" t="s">
        <v>44</v>
      </c>
      <c r="AC1354" s="4"/>
      <c r="AD1354" s="4"/>
      <c r="AE1354" s="2">
        <v>0</v>
      </c>
      <c r="AF1354" s="4">
        <v>0</v>
      </c>
      <c r="AG1354" s="2">
        <v>0.08</v>
      </c>
      <c r="AH1354" s="2">
        <v>164376</v>
      </c>
      <c r="AI1354" s="2">
        <v>0</v>
      </c>
      <c r="AJ1354" s="5">
        <v>44673</v>
      </c>
      <c r="AK1354" t="s">
        <v>12111</v>
      </c>
      <c r="AL1354" s="2">
        <v>0</v>
      </c>
      <c r="AM1354" s="2">
        <v>0</v>
      </c>
      <c r="AN1354" s="2">
        <v>0</v>
      </c>
      <c r="AO1354" t="s">
        <v>44</v>
      </c>
      <c r="AP1354" t="s">
        <v>11760</v>
      </c>
      <c r="AQ1354" t="s">
        <v>5719</v>
      </c>
    </row>
    <row r="1355" spans="1:43" x14ac:dyDescent="0.2">
      <c r="A1355" t="s">
        <v>12110</v>
      </c>
      <c r="B1355" t="s">
        <v>11037</v>
      </c>
      <c r="C1355" t="s">
        <v>11195</v>
      </c>
      <c r="D1355" t="s">
        <v>6450</v>
      </c>
      <c r="E1355" t="s">
        <v>5121</v>
      </c>
      <c r="F1355" t="s">
        <v>6450</v>
      </c>
      <c r="G1355" s="1">
        <v>4259</v>
      </c>
      <c r="H1355" s="2">
        <v>461036.54</v>
      </c>
      <c r="I1355" s="2">
        <v>472280.51</v>
      </c>
      <c r="J1355" s="2">
        <v>0</v>
      </c>
      <c r="K1355" s="2">
        <v>0</v>
      </c>
      <c r="L1355" s="2">
        <v>472280.51</v>
      </c>
      <c r="M1355" s="3">
        <v>11089</v>
      </c>
      <c r="N1355" s="4">
        <v>1.07449E-3</v>
      </c>
      <c r="O1355" s="5" t="s">
        <v>44</v>
      </c>
      <c r="P1355" s="5" t="s">
        <v>44</v>
      </c>
      <c r="Q1355" s="1"/>
      <c r="R1355" s="2"/>
      <c r="S1355" s="6"/>
      <c r="T1355" t="s">
        <v>10902</v>
      </c>
      <c r="U1355" t="s">
        <v>10902</v>
      </c>
      <c r="V1355" t="s">
        <v>10902</v>
      </c>
      <c r="W1355" t="s">
        <v>43</v>
      </c>
      <c r="X1355" t="s">
        <v>11327</v>
      </c>
      <c r="Y1355" t="s">
        <v>11198</v>
      </c>
      <c r="Z1355" t="s">
        <v>11195</v>
      </c>
      <c r="AA1355" t="s">
        <v>44</v>
      </c>
      <c r="AB1355" t="s">
        <v>44</v>
      </c>
      <c r="AC1355" s="4"/>
      <c r="AD1355" s="4"/>
      <c r="AE1355" s="2">
        <v>0</v>
      </c>
      <c r="AF1355" s="4">
        <v>0</v>
      </c>
      <c r="AG1355" s="2">
        <v>0.22</v>
      </c>
      <c r="AH1355" s="2">
        <v>472280.51</v>
      </c>
      <c r="AI1355" s="2">
        <v>0</v>
      </c>
      <c r="AJ1355" s="5">
        <v>44673</v>
      </c>
      <c r="AK1355" t="s">
        <v>12111</v>
      </c>
      <c r="AL1355" s="2">
        <v>0</v>
      </c>
      <c r="AM1355" s="2">
        <v>0</v>
      </c>
      <c r="AN1355" s="2">
        <v>0</v>
      </c>
      <c r="AO1355" t="s">
        <v>44</v>
      </c>
      <c r="AP1355" t="s">
        <v>11331</v>
      </c>
      <c r="AQ1355" t="s">
        <v>5121</v>
      </c>
    </row>
    <row r="1356" spans="1:43" x14ac:dyDescent="0.2">
      <c r="A1356" t="s">
        <v>12110</v>
      </c>
      <c r="B1356" t="s">
        <v>11037</v>
      </c>
      <c r="C1356" t="s">
        <v>11195</v>
      </c>
      <c r="D1356" t="s">
        <v>11204</v>
      </c>
      <c r="E1356" t="s">
        <v>5699</v>
      </c>
      <c r="F1356" t="s">
        <v>11204</v>
      </c>
      <c r="G1356" s="1">
        <v>20000</v>
      </c>
      <c r="H1356" s="2">
        <v>393982.5</v>
      </c>
      <c r="I1356" s="2">
        <v>437600</v>
      </c>
      <c r="J1356" s="2">
        <v>0</v>
      </c>
      <c r="K1356" s="2">
        <v>0</v>
      </c>
      <c r="L1356" s="2">
        <v>437600</v>
      </c>
      <c r="M1356" s="3">
        <v>2188</v>
      </c>
      <c r="N1356" s="4">
        <v>9.9558999999999997E-4</v>
      </c>
      <c r="O1356" s="5" t="s">
        <v>44</v>
      </c>
      <c r="P1356" s="5" t="s">
        <v>44</v>
      </c>
      <c r="Q1356" s="1"/>
      <c r="R1356" s="2"/>
      <c r="S1356" s="6"/>
      <c r="T1356" t="s">
        <v>10902</v>
      </c>
      <c r="U1356" t="s">
        <v>10902</v>
      </c>
      <c r="V1356" t="s">
        <v>10902</v>
      </c>
      <c r="W1356" t="s">
        <v>43</v>
      </c>
      <c r="X1356" t="s">
        <v>11197</v>
      </c>
      <c r="Y1356" t="s">
        <v>11198</v>
      </c>
      <c r="Z1356" t="s">
        <v>11195</v>
      </c>
      <c r="AA1356" t="s">
        <v>44</v>
      </c>
      <c r="AB1356" t="s">
        <v>44</v>
      </c>
      <c r="AC1356" s="4"/>
      <c r="AD1356" s="4"/>
      <c r="AE1356" s="2">
        <v>0</v>
      </c>
      <c r="AF1356" s="4">
        <v>0</v>
      </c>
      <c r="AG1356" s="2">
        <v>0.2</v>
      </c>
      <c r="AH1356" s="2">
        <v>437600</v>
      </c>
      <c r="AI1356" s="2">
        <v>0</v>
      </c>
      <c r="AJ1356" s="5">
        <v>44673</v>
      </c>
      <c r="AK1356" t="s">
        <v>12111</v>
      </c>
      <c r="AL1356" s="2">
        <v>0</v>
      </c>
      <c r="AM1356" s="2">
        <v>0</v>
      </c>
      <c r="AN1356" s="2">
        <v>0</v>
      </c>
      <c r="AO1356" t="s">
        <v>44</v>
      </c>
      <c r="AP1356" t="s">
        <v>11205</v>
      </c>
      <c r="AQ1356" t="s">
        <v>5699</v>
      </c>
    </row>
    <row r="1357" spans="1:43" x14ac:dyDescent="0.2">
      <c r="A1357" t="s">
        <v>12110</v>
      </c>
      <c r="B1357" t="s">
        <v>11037</v>
      </c>
      <c r="C1357" t="s">
        <v>11195</v>
      </c>
      <c r="D1357" t="s">
        <v>11332</v>
      </c>
      <c r="E1357" t="s">
        <v>11333</v>
      </c>
      <c r="F1357" t="s">
        <v>11332</v>
      </c>
      <c r="G1357" s="1">
        <v>57487</v>
      </c>
      <c r="H1357" s="2">
        <v>1022177.26</v>
      </c>
      <c r="I1357" s="2">
        <v>970955.43</v>
      </c>
      <c r="J1357" s="2">
        <v>0</v>
      </c>
      <c r="K1357" s="2">
        <v>0</v>
      </c>
      <c r="L1357" s="2">
        <v>970955.43</v>
      </c>
      <c r="M1357" s="3">
        <v>1689</v>
      </c>
      <c r="N1357" s="4">
        <v>2.2090299999999998E-3</v>
      </c>
      <c r="O1357" s="5" t="s">
        <v>44</v>
      </c>
      <c r="P1357" s="5" t="s">
        <v>44</v>
      </c>
      <c r="Q1357" s="1"/>
      <c r="R1357" s="2"/>
      <c r="S1357" s="6"/>
      <c r="T1357" t="s">
        <v>10902</v>
      </c>
      <c r="U1357" t="s">
        <v>10902</v>
      </c>
      <c r="V1357" t="s">
        <v>10902</v>
      </c>
      <c r="W1357" t="s">
        <v>43</v>
      </c>
      <c r="X1357" t="s">
        <v>11334</v>
      </c>
      <c r="Y1357" t="s">
        <v>11335</v>
      </c>
      <c r="Z1357" t="s">
        <v>11195</v>
      </c>
      <c r="AA1357" t="s">
        <v>44</v>
      </c>
      <c r="AB1357" t="s">
        <v>44</v>
      </c>
      <c r="AC1357" s="4"/>
      <c r="AD1357" s="4"/>
      <c r="AE1357" s="2">
        <v>0</v>
      </c>
      <c r="AF1357" s="4">
        <v>0</v>
      </c>
      <c r="AG1357" s="2">
        <v>0.45</v>
      </c>
      <c r="AH1357" s="2">
        <v>970955.43</v>
      </c>
      <c r="AI1357" s="2">
        <v>0</v>
      </c>
      <c r="AJ1357" s="5">
        <v>44673</v>
      </c>
      <c r="AK1357" t="s">
        <v>12111</v>
      </c>
      <c r="AL1357" s="2">
        <v>0</v>
      </c>
      <c r="AM1357" s="2">
        <v>0</v>
      </c>
      <c r="AN1357" s="2">
        <v>0</v>
      </c>
      <c r="AO1357" t="s">
        <v>44</v>
      </c>
      <c r="AP1357" t="s">
        <v>11336</v>
      </c>
      <c r="AQ1357" t="s">
        <v>11333</v>
      </c>
    </row>
    <row r="1358" spans="1:43" x14ac:dyDescent="0.2">
      <c r="A1358" t="s">
        <v>12110</v>
      </c>
      <c r="B1358" t="s">
        <v>11037</v>
      </c>
      <c r="C1358" t="s">
        <v>11195</v>
      </c>
      <c r="D1358" t="s">
        <v>11337</v>
      </c>
      <c r="E1358" t="s">
        <v>11338</v>
      </c>
      <c r="F1358" t="s">
        <v>11339</v>
      </c>
      <c r="G1358" s="1">
        <v>6667</v>
      </c>
      <c r="H1358" s="2">
        <v>338394.09</v>
      </c>
      <c r="I1358" s="2">
        <v>337216.86</v>
      </c>
      <c r="J1358" s="2">
        <v>0</v>
      </c>
      <c r="K1358" s="2">
        <v>0</v>
      </c>
      <c r="L1358" s="2">
        <v>337216.86</v>
      </c>
      <c r="M1358" s="3">
        <v>5058</v>
      </c>
      <c r="N1358" s="4">
        <v>7.672E-4</v>
      </c>
      <c r="O1358" s="5" t="s">
        <v>44</v>
      </c>
      <c r="P1358" s="5" t="s">
        <v>44</v>
      </c>
      <c r="Q1358" s="1"/>
      <c r="R1358" s="2"/>
      <c r="S1358" s="6"/>
      <c r="T1358" t="s">
        <v>10902</v>
      </c>
      <c r="U1358" t="s">
        <v>10902</v>
      </c>
      <c r="V1358" t="s">
        <v>10902</v>
      </c>
      <c r="W1358" t="s">
        <v>43</v>
      </c>
      <c r="X1358" t="s">
        <v>11327</v>
      </c>
      <c r="Y1358" t="s">
        <v>11198</v>
      </c>
      <c r="Z1358" t="s">
        <v>11195</v>
      </c>
      <c r="AA1358" t="s">
        <v>44</v>
      </c>
      <c r="AB1358" t="s">
        <v>44</v>
      </c>
      <c r="AC1358" s="4"/>
      <c r="AD1358" s="4"/>
      <c r="AE1358" s="2">
        <v>0</v>
      </c>
      <c r="AF1358" s="4">
        <v>0</v>
      </c>
      <c r="AG1358" s="2">
        <v>0.16</v>
      </c>
      <c r="AH1358" s="2">
        <v>337216.86</v>
      </c>
      <c r="AI1358" s="2">
        <v>0</v>
      </c>
      <c r="AJ1358" s="5">
        <v>44673</v>
      </c>
      <c r="AK1358" t="s">
        <v>12111</v>
      </c>
      <c r="AL1358" s="2">
        <v>0</v>
      </c>
      <c r="AM1358" s="2">
        <v>0</v>
      </c>
      <c r="AN1358" s="2">
        <v>0</v>
      </c>
      <c r="AO1358" t="s">
        <v>44</v>
      </c>
      <c r="AP1358" t="s">
        <v>11340</v>
      </c>
      <c r="AQ1358" t="s">
        <v>11338</v>
      </c>
    </row>
    <row r="1359" spans="1:43" x14ac:dyDescent="0.2">
      <c r="A1359" t="s">
        <v>12110</v>
      </c>
      <c r="B1359" t="s">
        <v>11037</v>
      </c>
      <c r="C1359" t="s">
        <v>11195</v>
      </c>
      <c r="D1359" t="s">
        <v>11341</v>
      </c>
      <c r="E1359" t="s">
        <v>11342</v>
      </c>
      <c r="F1359" t="s">
        <v>11341</v>
      </c>
      <c r="G1359" s="1">
        <v>8020</v>
      </c>
      <c r="H1359" s="2">
        <v>418484.6</v>
      </c>
      <c r="I1359" s="2">
        <v>418323.20000000001</v>
      </c>
      <c r="J1359" s="2">
        <v>0</v>
      </c>
      <c r="K1359" s="2">
        <v>0</v>
      </c>
      <c r="L1359" s="2">
        <v>418323.20000000001</v>
      </c>
      <c r="M1359" s="3">
        <v>5216</v>
      </c>
      <c r="N1359" s="4">
        <v>9.5173000000000002E-4</v>
      </c>
      <c r="O1359" s="5" t="s">
        <v>44</v>
      </c>
      <c r="P1359" s="5" t="s">
        <v>44</v>
      </c>
      <c r="Q1359" s="1"/>
      <c r="R1359" s="2"/>
      <c r="S1359" s="6"/>
      <c r="T1359" t="s">
        <v>10902</v>
      </c>
      <c r="U1359" t="s">
        <v>10902</v>
      </c>
      <c r="V1359" t="s">
        <v>10902</v>
      </c>
      <c r="W1359" t="s">
        <v>43</v>
      </c>
      <c r="X1359" t="s">
        <v>11327</v>
      </c>
      <c r="Y1359" t="s">
        <v>11198</v>
      </c>
      <c r="Z1359" t="s">
        <v>11195</v>
      </c>
      <c r="AA1359" t="s">
        <v>44</v>
      </c>
      <c r="AB1359" t="s">
        <v>44</v>
      </c>
      <c r="AC1359" s="4"/>
      <c r="AD1359" s="4"/>
      <c r="AE1359" s="2">
        <v>0</v>
      </c>
      <c r="AF1359" s="4">
        <v>0</v>
      </c>
      <c r="AG1359" s="2">
        <v>0.19</v>
      </c>
      <c r="AH1359" s="2">
        <v>418323.20000000001</v>
      </c>
      <c r="AI1359" s="2">
        <v>0</v>
      </c>
      <c r="AJ1359" s="5">
        <v>44673</v>
      </c>
      <c r="AK1359" t="s">
        <v>12111</v>
      </c>
      <c r="AL1359" s="2">
        <v>0</v>
      </c>
      <c r="AM1359" s="2">
        <v>0</v>
      </c>
      <c r="AN1359" s="2">
        <v>0</v>
      </c>
      <c r="AO1359" t="s">
        <v>44</v>
      </c>
      <c r="AP1359" t="s">
        <v>11343</v>
      </c>
      <c r="AQ1359" t="s">
        <v>11342</v>
      </c>
    </row>
    <row r="1360" spans="1:43" x14ac:dyDescent="0.2">
      <c r="A1360" t="s">
        <v>12110</v>
      </c>
      <c r="B1360" t="s">
        <v>11037</v>
      </c>
      <c r="C1360" t="s">
        <v>11195</v>
      </c>
      <c r="D1360" t="s">
        <v>6128</v>
      </c>
      <c r="E1360" t="s">
        <v>6759</v>
      </c>
      <c r="F1360" t="s">
        <v>6128</v>
      </c>
      <c r="G1360" s="1">
        <v>6000</v>
      </c>
      <c r="H1360" s="2">
        <v>481801.5</v>
      </c>
      <c r="I1360" s="2">
        <v>579000</v>
      </c>
      <c r="J1360" s="2">
        <v>0</v>
      </c>
      <c r="K1360" s="2">
        <v>0</v>
      </c>
      <c r="L1360" s="2">
        <v>579000</v>
      </c>
      <c r="M1360" s="3">
        <v>9650</v>
      </c>
      <c r="N1360" s="4">
        <v>1.31729E-3</v>
      </c>
      <c r="O1360" s="5" t="s">
        <v>44</v>
      </c>
      <c r="P1360" s="5" t="s">
        <v>44</v>
      </c>
      <c r="Q1360" s="1"/>
      <c r="R1360" s="2"/>
      <c r="S1360" s="6"/>
      <c r="T1360" t="s">
        <v>10902</v>
      </c>
      <c r="U1360" t="s">
        <v>10902</v>
      </c>
      <c r="V1360" t="s">
        <v>10902</v>
      </c>
      <c r="W1360" t="s">
        <v>43</v>
      </c>
      <c r="X1360" t="s">
        <v>11327</v>
      </c>
      <c r="Y1360" t="s">
        <v>11198</v>
      </c>
      <c r="Z1360" t="s">
        <v>11195</v>
      </c>
      <c r="AA1360" t="s">
        <v>44</v>
      </c>
      <c r="AB1360" t="s">
        <v>44</v>
      </c>
      <c r="AC1360" s="4"/>
      <c r="AD1360" s="4"/>
      <c r="AE1360" s="2">
        <v>0</v>
      </c>
      <c r="AF1360" s="4">
        <v>0</v>
      </c>
      <c r="AG1360" s="2">
        <v>0.27</v>
      </c>
      <c r="AH1360" s="2">
        <v>579000</v>
      </c>
      <c r="AI1360" s="2">
        <v>0</v>
      </c>
      <c r="AJ1360" s="5">
        <v>44673</v>
      </c>
      <c r="AK1360" t="s">
        <v>12111</v>
      </c>
      <c r="AL1360" s="2">
        <v>0</v>
      </c>
      <c r="AM1360" s="2">
        <v>0</v>
      </c>
      <c r="AN1360" s="2">
        <v>0</v>
      </c>
      <c r="AO1360" t="s">
        <v>44</v>
      </c>
      <c r="AP1360" t="s">
        <v>11344</v>
      </c>
      <c r="AQ1360" t="s">
        <v>6759</v>
      </c>
    </row>
    <row r="1361" spans="1:43" x14ac:dyDescent="0.2">
      <c r="A1361" t="s">
        <v>12110</v>
      </c>
      <c r="B1361" t="s">
        <v>11037</v>
      </c>
      <c r="C1361" t="s">
        <v>11195</v>
      </c>
      <c r="D1361" t="s">
        <v>11345</v>
      </c>
      <c r="E1361" t="s">
        <v>5409</v>
      </c>
      <c r="F1361" t="s">
        <v>11345</v>
      </c>
      <c r="G1361" s="1">
        <v>45000</v>
      </c>
      <c r="H1361" s="2">
        <v>1420141.5</v>
      </c>
      <c r="I1361" s="2">
        <v>1242000</v>
      </c>
      <c r="J1361" s="2">
        <v>0</v>
      </c>
      <c r="K1361" s="2">
        <v>35216.959999999999</v>
      </c>
      <c r="L1361" s="2">
        <v>1277216.96</v>
      </c>
      <c r="M1361" s="3">
        <v>2760</v>
      </c>
      <c r="N1361" s="4">
        <v>2.90581E-3</v>
      </c>
      <c r="O1361" s="5" t="s">
        <v>44</v>
      </c>
      <c r="P1361" s="5" t="s">
        <v>44</v>
      </c>
      <c r="Q1361" s="1"/>
      <c r="R1361" s="2"/>
      <c r="S1361" s="6"/>
      <c r="T1361" t="s">
        <v>10902</v>
      </c>
      <c r="U1361" t="s">
        <v>10902</v>
      </c>
      <c r="V1361" t="s">
        <v>10902</v>
      </c>
      <c r="W1361" t="s">
        <v>43</v>
      </c>
      <c r="X1361" t="s">
        <v>11327</v>
      </c>
      <c r="Y1361" t="s">
        <v>11198</v>
      </c>
      <c r="Z1361" t="s">
        <v>11195</v>
      </c>
      <c r="AA1361" t="s">
        <v>44</v>
      </c>
      <c r="AB1361" t="s">
        <v>44</v>
      </c>
      <c r="AC1361" s="4"/>
      <c r="AD1361" s="4"/>
      <c r="AE1361" s="2">
        <v>0</v>
      </c>
      <c r="AF1361" s="4">
        <v>0</v>
      </c>
      <c r="AG1361" s="2">
        <v>0.59</v>
      </c>
      <c r="AH1361" s="2">
        <v>1277216.96</v>
      </c>
      <c r="AI1361" s="2">
        <v>0</v>
      </c>
      <c r="AJ1361" s="5">
        <v>44673</v>
      </c>
      <c r="AK1361" t="s">
        <v>12111</v>
      </c>
      <c r="AL1361" s="2">
        <v>0</v>
      </c>
      <c r="AM1361" s="2">
        <v>0</v>
      </c>
      <c r="AN1361" s="2">
        <v>0</v>
      </c>
      <c r="AO1361" t="s">
        <v>44</v>
      </c>
      <c r="AP1361" t="s">
        <v>11346</v>
      </c>
      <c r="AQ1361" t="s">
        <v>5409</v>
      </c>
    </row>
    <row r="1362" spans="1:43" x14ac:dyDescent="0.2">
      <c r="A1362" t="s">
        <v>12110</v>
      </c>
      <c r="B1362" t="s">
        <v>11037</v>
      </c>
      <c r="C1362" t="s">
        <v>11195</v>
      </c>
      <c r="D1362" t="s">
        <v>6263</v>
      </c>
      <c r="E1362" t="s">
        <v>6850</v>
      </c>
      <c r="F1362" t="s">
        <v>6263</v>
      </c>
      <c r="G1362" s="1">
        <v>34297</v>
      </c>
      <c r="H1362" s="2">
        <v>834089.38</v>
      </c>
      <c r="I1362" s="2">
        <v>908527.53</v>
      </c>
      <c r="J1362" s="2">
        <v>0</v>
      </c>
      <c r="K1362" s="2">
        <v>56761.54</v>
      </c>
      <c r="L1362" s="2">
        <v>965289.07</v>
      </c>
      <c r="M1362" s="3">
        <v>2649</v>
      </c>
      <c r="N1362" s="4">
        <v>2.1961400000000001E-3</v>
      </c>
      <c r="O1362" s="5" t="s">
        <v>44</v>
      </c>
      <c r="P1362" s="5" t="s">
        <v>44</v>
      </c>
      <c r="Q1362" s="1"/>
      <c r="R1362" s="2"/>
      <c r="S1362" s="6"/>
      <c r="T1362" t="s">
        <v>10902</v>
      </c>
      <c r="U1362" t="s">
        <v>10902</v>
      </c>
      <c r="V1362" t="s">
        <v>10902</v>
      </c>
      <c r="W1362" t="s">
        <v>43</v>
      </c>
      <c r="X1362" t="s">
        <v>11347</v>
      </c>
      <c r="Y1362" t="s">
        <v>11348</v>
      </c>
      <c r="Z1362" t="s">
        <v>11195</v>
      </c>
      <c r="AA1362" t="s">
        <v>44</v>
      </c>
      <c r="AB1362" t="s">
        <v>44</v>
      </c>
      <c r="AC1362" s="4"/>
      <c r="AD1362" s="4"/>
      <c r="AE1362" s="2">
        <v>0</v>
      </c>
      <c r="AF1362" s="4">
        <v>0</v>
      </c>
      <c r="AG1362" s="2">
        <v>0.44</v>
      </c>
      <c r="AH1362" s="2">
        <v>965289.07</v>
      </c>
      <c r="AI1362" s="2">
        <v>0</v>
      </c>
      <c r="AJ1362" s="5">
        <v>44673</v>
      </c>
      <c r="AK1362" t="s">
        <v>12111</v>
      </c>
      <c r="AL1362" s="2">
        <v>0</v>
      </c>
      <c r="AM1362" s="2">
        <v>0</v>
      </c>
      <c r="AN1362" s="2">
        <v>0</v>
      </c>
      <c r="AO1362" t="s">
        <v>44</v>
      </c>
      <c r="AP1362" t="s">
        <v>11349</v>
      </c>
      <c r="AQ1362" t="s">
        <v>6850</v>
      </c>
    </row>
    <row r="1363" spans="1:43" x14ac:dyDescent="0.2">
      <c r="A1363" t="s">
        <v>12110</v>
      </c>
      <c r="B1363" t="s">
        <v>11037</v>
      </c>
      <c r="C1363" t="s">
        <v>11195</v>
      </c>
      <c r="D1363" t="s">
        <v>11208</v>
      </c>
      <c r="E1363" t="s">
        <v>3160</v>
      </c>
      <c r="F1363" t="s">
        <v>11208</v>
      </c>
      <c r="G1363" s="1">
        <v>270000</v>
      </c>
      <c r="H1363" s="2">
        <v>1425600</v>
      </c>
      <c r="I1363" s="2">
        <v>1196100</v>
      </c>
      <c r="J1363" s="2">
        <v>0</v>
      </c>
      <c r="K1363" s="2">
        <v>0</v>
      </c>
      <c r="L1363" s="2">
        <v>1196100</v>
      </c>
      <c r="M1363" s="3">
        <v>443</v>
      </c>
      <c r="N1363" s="4">
        <v>2.7212600000000001E-3</v>
      </c>
      <c r="O1363" s="5" t="s">
        <v>44</v>
      </c>
      <c r="P1363" s="5" t="s">
        <v>44</v>
      </c>
      <c r="Q1363" s="1"/>
      <c r="R1363" s="2"/>
      <c r="S1363" s="6"/>
      <c r="T1363" t="s">
        <v>10902</v>
      </c>
      <c r="U1363" t="s">
        <v>10902</v>
      </c>
      <c r="V1363" t="s">
        <v>10902</v>
      </c>
      <c r="W1363" t="s">
        <v>43</v>
      </c>
      <c r="X1363" t="s">
        <v>11197</v>
      </c>
      <c r="Y1363" t="s">
        <v>11198</v>
      </c>
      <c r="Z1363" t="s">
        <v>11195</v>
      </c>
      <c r="AA1363" t="s">
        <v>44</v>
      </c>
      <c r="AB1363" t="s">
        <v>44</v>
      </c>
      <c r="AC1363" s="4"/>
      <c r="AD1363" s="4"/>
      <c r="AE1363" s="2">
        <v>0</v>
      </c>
      <c r="AF1363" s="4">
        <v>0</v>
      </c>
      <c r="AG1363" s="2">
        <v>0.55000000000000004</v>
      </c>
      <c r="AH1363" s="2">
        <v>1196100</v>
      </c>
      <c r="AI1363" s="2">
        <v>0</v>
      </c>
      <c r="AJ1363" s="5">
        <v>44673</v>
      </c>
      <c r="AK1363" t="s">
        <v>12111</v>
      </c>
      <c r="AL1363" s="2">
        <v>0</v>
      </c>
      <c r="AM1363" s="2">
        <v>0</v>
      </c>
      <c r="AN1363" s="2">
        <v>0</v>
      </c>
      <c r="AO1363" t="s">
        <v>44</v>
      </c>
      <c r="AP1363" t="s">
        <v>11209</v>
      </c>
      <c r="AQ1363" t="s">
        <v>3160</v>
      </c>
    </row>
    <row r="1364" spans="1:43" x14ac:dyDescent="0.2">
      <c r="A1364" t="s">
        <v>12110</v>
      </c>
      <c r="B1364" t="s">
        <v>11037</v>
      </c>
      <c r="C1364" t="s">
        <v>11195</v>
      </c>
      <c r="D1364" t="s">
        <v>11714</v>
      </c>
      <c r="E1364" t="s">
        <v>5012</v>
      </c>
      <c r="F1364" t="s">
        <v>11714</v>
      </c>
      <c r="G1364" s="1">
        <v>5800</v>
      </c>
      <c r="H1364" s="2">
        <v>1818932.08</v>
      </c>
      <c r="I1364" s="2">
        <v>1855130</v>
      </c>
      <c r="J1364" s="2">
        <v>0</v>
      </c>
      <c r="K1364" s="2">
        <v>0</v>
      </c>
      <c r="L1364" s="2">
        <v>1855130</v>
      </c>
      <c r="M1364" s="3">
        <v>31985</v>
      </c>
      <c r="N1364" s="4">
        <v>4.2206199999999996E-3</v>
      </c>
      <c r="O1364" s="5" t="s">
        <v>44</v>
      </c>
      <c r="P1364" s="5" t="s">
        <v>44</v>
      </c>
      <c r="Q1364" s="1"/>
      <c r="R1364" s="2"/>
      <c r="S1364" s="6"/>
      <c r="T1364" t="s">
        <v>10902</v>
      </c>
      <c r="U1364" t="s">
        <v>10902</v>
      </c>
      <c r="V1364" t="s">
        <v>10902</v>
      </c>
      <c r="W1364" t="s">
        <v>43</v>
      </c>
      <c r="X1364" t="s">
        <v>11327</v>
      </c>
      <c r="Y1364" t="s">
        <v>11198</v>
      </c>
      <c r="Z1364" t="s">
        <v>11195</v>
      </c>
      <c r="AA1364" t="s">
        <v>44</v>
      </c>
      <c r="AB1364" t="s">
        <v>44</v>
      </c>
      <c r="AC1364" s="4"/>
      <c r="AD1364" s="4"/>
      <c r="AE1364" s="2">
        <v>0</v>
      </c>
      <c r="AF1364" s="4">
        <v>0</v>
      </c>
      <c r="AG1364" s="2">
        <v>0.85</v>
      </c>
      <c r="AH1364" s="2">
        <v>1855130</v>
      </c>
      <c r="AI1364" s="2">
        <v>0</v>
      </c>
      <c r="AJ1364" s="5">
        <v>44673</v>
      </c>
      <c r="AK1364" t="s">
        <v>12111</v>
      </c>
      <c r="AL1364" s="2">
        <v>0</v>
      </c>
      <c r="AM1364" s="2">
        <v>0</v>
      </c>
      <c r="AN1364" s="2">
        <v>0</v>
      </c>
      <c r="AO1364" t="s">
        <v>44</v>
      </c>
      <c r="AP1364" t="s">
        <v>11715</v>
      </c>
      <c r="AQ1364" t="s">
        <v>5012</v>
      </c>
    </row>
    <row r="1365" spans="1:43" x14ac:dyDescent="0.2">
      <c r="A1365" t="s">
        <v>12110</v>
      </c>
      <c r="B1365" t="s">
        <v>11037</v>
      </c>
      <c r="C1365" t="s">
        <v>11195</v>
      </c>
      <c r="D1365" t="s">
        <v>11210</v>
      </c>
      <c r="E1365" t="s">
        <v>3167</v>
      </c>
      <c r="F1365" t="s">
        <v>11211</v>
      </c>
      <c r="G1365" s="1">
        <v>16291</v>
      </c>
      <c r="H1365" s="2">
        <v>923699.7</v>
      </c>
      <c r="I1365" s="2">
        <v>953023.5</v>
      </c>
      <c r="J1365" s="2">
        <v>0</v>
      </c>
      <c r="K1365" s="2">
        <v>0</v>
      </c>
      <c r="L1365" s="2">
        <v>953023.5</v>
      </c>
      <c r="M1365" s="3">
        <v>5850</v>
      </c>
      <c r="N1365" s="4">
        <v>2.1682300000000002E-3</v>
      </c>
      <c r="O1365" s="5" t="s">
        <v>44</v>
      </c>
      <c r="P1365" s="5" t="s">
        <v>44</v>
      </c>
      <c r="Q1365" s="1"/>
      <c r="R1365" s="2"/>
      <c r="S1365" s="6"/>
      <c r="T1365" t="s">
        <v>10902</v>
      </c>
      <c r="U1365" t="s">
        <v>10902</v>
      </c>
      <c r="V1365" t="s">
        <v>11212</v>
      </c>
      <c r="W1365" t="s">
        <v>43</v>
      </c>
      <c r="X1365" t="s">
        <v>11197</v>
      </c>
      <c r="Y1365" t="s">
        <v>11198</v>
      </c>
      <c r="Z1365" t="s">
        <v>11195</v>
      </c>
      <c r="AA1365" t="s">
        <v>44</v>
      </c>
      <c r="AB1365" t="s">
        <v>44</v>
      </c>
      <c r="AC1365" s="4"/>
      <c r="AD1365" s="4"/>
      <c r="AE1365" s="2">
        <v>0</v>
      </c>
      <c r="AF1365" s="4">
        <v>0</v>
      </c>
      <c r="AG1365" s="2">
        <v>0.44</v>
      </c>
      <c r="AH1365" s="2">
        <v>953023.5</v>
      </c>
      <c r="AI1365" s="2">
        <v>0</v>
      </c>
      <c r="AJ1365" s="5">
        <v>44673</v>
      </c>
      <c r="AK1365" t="s">
        <v>12111</v>
      </c>
      <c r="AL1365" s="2">
        <v>0</v>
      </c>
      <c r="AM1365" s="2">
        <v>0</v>
      </c>
      <c r="AN1365" s="2">
        <v>0</v>
      </c>
      <c r="AO1365" t="s">
        <v>44</v>
      </c>
      <c r="AP1365" t="s">
        <v>11213</v>
      </c>
      <c r="AQ1365" t="s">
        <v>3167</v>
      </c>
    </row>
    <row r="1366" spans="1:43" x14ac:dyDescent="0.2">
      <c r="A1366" t="s">
        <v>12110</v>
      </c>
      <c r="B1366" t="s">
        <v>11037</v>
      </c>
      <c r="C1366" t="s">
        <v>11195</v>
      </c>
      <c r="D1366" t="s">
        <v>6379</v>
      </c>
      <c r="E1366" t="s">
        <v>5199</v>
      </c>
      <c r="F1366" t="s">
        <v>6379</v>
      </c>
      <c r="G1366" s="1">
        <v>1145</v>
      </c>
      <c r="H1366" s="2">
        <v>290822.44</v>
      </c>
      <c r="I1366" s="2">
        <v>334340</v>
      </c>
      <c r="J1366" s="2">
        <v>0</v>
      </c>
      <c r="K1366" s="2">
        <v>0</v>
      </c>
      <c r="L1366" s="2">
        <v>334340</v>
      </c>
      <c r="M1366" s="3">
        <v>29200</v>
      </c>
      <c r="N1366" s="4">
        <v>7.6066000000000003E-4</v>
      </c>
      <c r="O1366" s="5" t="s">
        <v>44</v>
      </c>
      <c r="P1366" s="5" t="s">
        <v>44</v>
      </c>
      <c r="Q1366" s="1"/>
      <c r="R1366" s="2"/>
      <c r="S1366" s="6"/>
      <c r="T1366" t="s">
        <v>10902</v>
      </c>
      <c r="U1366" t="s">
        <v>10902</v>
      </c>
      <c r="V1366" t="s">
        <v>10902</v>
      </c>
      <c r="W1366" t="s">
        <v>43</v>
      </c>
      <c r="X1366" t="s">
        <v>11350</v>
      </c>
      <c r="Y1366" t="s">
        <v>11335</v>
      </c>
      <c r="Z1366" t="s">
        <v>11195</v>
      </c>
      <c r="AA1366" t="s">
        <v>44</v>
      </c>
      <c r="AB1366" t="s">
        <v>44</v>
      </c>
      <c r="AC1366" s="4"/>
      <c r="AD1366" s="4"/>
      <c r="AE1366" s="2">
        <v>0</v>
      </c>
      <c r="AF1366" s="4">
        <v>0</v>
      </c>
      <c r="AG1366" s="2">
        <v>0.15</v>
      </c>
      <c r="AH1366" s="2">
        <v>334340</v>
      </c>
      <c r="AI1366" s="2">
        <v>0</v>
      </c>
      <c r="AJ1366" s="5">
        <v>44673</v>
      </c>
      <c r="AK1366" t="s">
        <v>12111</v>
      </c>
      <c r="AL1366" s="2">
        <v>0</v>
      </c>
      <c r="AM1366" s="2">
        <v>0</v>
      </c>
      <c r="AN1366" s="2">
        <v>0</v>
      </c>
      <c r="AO1366" t="s">
        <v>44</v>
      </c>
      <c r="AP1366" t="s">
        <v>11351</v>
      </c>
      <c r="AQ1366" t="s">
        <v>5199</v>
      </c>
    </row>
    <row r="1367" spans="1:43" x14ac:dyDescent="0.2">
      <c r="A1367" t="s">
        <v>12110</v>
      </c>
      <c r="B1367" t="s">
        <v>11037</v>
      </c>
      <c r="C1367" t="s">
        <v>11195</v>
      </c>
      <c r="D1367" t="s">
        <v>11353</v>
      </c>
      <c r="E1367" t="s">
        <v>5706</v>
      </c>
      <c r="F1367" t="s">
        <v>11353</v>
      </c>
      <c r="G1367" s="1">
        <v>26261</v>
      </c>
      <c r="H1367" s="2">
        <v>1190227.96</v>
      </c>
      <c r="I1367" s="2">
        <v>1313050</v>
      </c>
      <c r="J1367" s="2">
        <v>0</v>
      </c>
      <c r="K1367" s="2">
        <v>0</v>
      </c>
      <c r="L1367" s="2">
        <v>1313050</v>
      </c>
      <c r="M1367" s="3">
        <v>5000</v>
      </c>
      <c r="N1367" s="4">
        <v>2.9873299999999998E-3</v>
      </c>
      <c r="O1367" s="5" t="s">
        <v>44</v>
      </c>
      <c r="P1367" s="5" t="s">
        <v>44</v>
      </c>
      <c r="Q1367" s="1"/>
      <c r="R1367" s="2"/>
      <c r="S1367" s="6"/>
      <c r="T1367" t="s">
        <v>10902</v>
      </c>
      <c r="U1367" t="s">
        <v>10902</v>
      </c>
      <c r="V1367" t="s">
        <v>10902</v>
      </c>
      <c r="W1367" t="s">
        <v>43</v>
      </c>
      <c r="X1367" t="s">
        <v>11327</v>
      </c>
      <c r="Y1367" t="s">
        <v>11198</v>
      </c>
      <c r="Z1367" t="s">
        <v>11195</v>
      </c>
      <c r="AA1367" t="s">
        <v>44</v>
      </c>
      <c r="AB1367" t="s">
        <v>44</v>
      </c>
      <c r="AC1367" s="4"/>
      <c r="AD1367" s="4"/>
      <c r="AE1367" s="2">
        <v>0</v>
      </c>
      <c r="AF1367" s="4">
        <v>0</v>
      </c>
      <c r="AG1367" s="2">
        <v>0.6</v>
      </c>
      <c r="AH1367" s="2">
        <v>1313050</v>
      </c>
      <c r="AI1367" s="2">
        <v>0</v>
      </c>
      <c r="AJ1367" s="5">
        <v>44673</v>
      </c>
      <c r="AK1367" t="s">
        <v>12111</v>
      </c>
      <c r="AL1367" s="2">
        <v>0</v>
      </c>
      <c r="AM1367" s="2">
        <v>0</v>
      </c>
      <c r="AN1367" s="2">
        <v>0</v>
      </c>
      <c r="AO1367" t="s">
        <v>44</v>
      </c>
      <c r="AP1367" t="s">
        <v>11354</v>
      </c>
      <c r="AQ1367" t="s">
        <v>5706</v>
      </c>
    </row>
    <row r="1368" spans="1:43" x14ac:dyDescent="0.2">
      <c r="A1368" t="s">
        <v>12110</v>
      </c>
      <c r="B1368" t="s">
        <v>11037</v>
      </c>
      <c r="C1368" t="s">
        <v>11195</v>
      </c>
      <c r="D1368" t="s">
        <v>6348</v>
      </c>
      <c r="E1368" t="s">
        <v>5241</v>
      </c>
      <c r="F1368" t="s">
        <v>6348</v>
      </c>
      <c r="G1368" s="1">
        <v>20000</v>
      </c>
      <c r="H1368" s="2">
        <v>251800</v>
      </c>
      <c r="I1368" s="2">
        <v>268000</v>
      </c>
      <c r="J1368" s="2">
        <v>0</v>
      </c>
      <c r="K1368" s="2">
        <v>0</v>
      </c>
      <c r="L1368" s="2">
        <v>268000</v>
      </c>
      <c r="M1368" s="3">
        <v>1340</v>
      </c>
      <c r="N1368" s="4">
        <v>6.0972999999999995E-4</v>
      </c>
      <c r="O1368" s="5" t="s">
        <v>44</v>
      </c>
      <c r="P1368" s="5" t="s">
        <v>44</v>
      </c>
      <c r="Q1368" s="1"/>
      <c r="R1368" s="2"/>
      <c r="S1368" s="6"/>
      <c r="T1368" t="s">
        <v>10902</v>
      </c>
      <c r="U1368" t="s">
        <v>10902</v>
      </c>
      <c r="V1368" t="s">
        <v>10902</v>
      </c>
      <c r="W1368" t="s">
        <v>43</v>
      </c>
      <c r="X1368" t="s">
        <v>11197</v>
      </c>
      <c r="Y1368" t="s">
        <v>11198</v>
      </c>
      <c r="Z1368" t="s">
        <v>11195</v>
      </c>
      <c r="AA1368" t="s">
        <v>44</v>
      </c>
      <c r="AB1368" t="s">
        <v>44</v>
      </c>
      <c r="AC1368" s="4"/>
      <c r="AD1368" s="4"/>
      <c r="AE1368" s="2">
        <v>0</v>
      </c>
      <c r="AF1368" s="4">
        <v>0</v>
      </c>
      <c r="AG1368" s="2">
        <v>0.12</v>
      </c>
      <c r="AH1368" s="2">
        <v>268000</v>
      </c>
      <c r="AI1368" s="2">
        <v>0</v>
      </c>
      <c r="AJ1368" s="5">
        <v>44673</v>
      </c>
      <c r="AK1368" t="s">
        <v>12111</v>
      </c>
      <c r="AL1368" s="2">
        <v>0</v>
      </c>
      <c r="AM1368" s="2">
        <v>0</v>
      </c>
      <c r="AN1368" s="2">
        <v>0</v>
      </c>
      <c r="AO1368" t="s">
        <v>44</v>
      </c>
      <c r="AP1368" t="s">
        <v>11215</v>
      </c>
      <c r="AQ1368" t="s">
        <v>5241</v>
      </c>
    </row>
    <row r="1369" spans="1:43" x14ac:dyDescent="0.2">
      <c r="A1369" t="s">
        <v>12110</v>
      </c>
      <c r="B1369" t="s">
        <v>11037</v>
      </c>
      <c r="C1369" t="s">
        <v>11355</v>
      </c>
      <c r="D1369" t="s">
        <v>11356</v>
      </c>
      <c r="E1369" t="s">
        <v>4971</v>
      </c>
      <c r="F1369" t="s">
        <v>6192</v>
      </c>
      <c r="G1369" s="1">
        <v>52740</v>
      </c>
      <c r="H1369" s="2">
        <v>1245660.79</v>
      </c>
      <c r="I1369" s="2">
        <v>1188232.2</v>
      </c>
      <c r="J1369" s="2">
        <v>0</v>
      </c>
      <c r="K1369" s="2">
        <v>0</v>
      </c>
      <c r="L1369" s="2">
        <v>1188232.2</v>
      </c>
      <c r="M1369" s="3">
        <v>2253</v>
      </c>
      <c r="N1369" s="4">
        <v>2.7033600000000001E-3</v>
      </c>
      <c r="O1369" s="5" t="s">
        <v>44</v>
      </c>
      <c r="P1369" s="5" t="s">
        <v>44</v>
      </c>
      <c r="Q1369" s="1"/>
      <c r="R1369" s="2"/>
      <c r="S1369" s="6"/>
      <c r="T1369" t="s">
        <v>10902</v>
      </c>
      <c r="U1369" t="s">
        <v>10902</v>
      </c>
      <c r="V1369" t="s">
        <v>10902</v>
      </c>
      <c r="W1369" t="s">
        <v>43</v>
      </c>
      <c r="X1369" t="s">
        <v>11357</v>
      </c>
      <c r="Y1369" t="s">
        <v>11358</v>
      </c>
      <c r="Z1369" t="s">
        <v>11355</v>
      </c>
      <c r="AA1369" t="s">
        <v>44</v>
      </c>
      <c r="AB1369" t="s">
        <v>44</v>
      </c>
      <c r="AC1369" s="4"/>
      <c r="AD1369" s="4"/>
      <c r="AE1369" s="2">
        <v>0</v>
      </c>
      <c r="AF1369" s="4">
        <v>0</v>
      </c>
      <c r="AG1369" s="2">
        <v>0.55000000000000004</v>
      </c>
      <c r="AH1369" s="2">
        <v>1188232.2</v>
      </c>
      <c r="AI1369" s="2">
        <v>0</v>
      </c>
      <c r="AJ1369" s="5">
        <v>44673</v>
      </c>
      <c r="AK1369" t="s">
        <v>12111</v>
      </c>
      <c r="AL1369" s="2">
        <v>0</v>
      </c>
      <c r="AM1369" s="2">
        <v>0</v>
      </c>
      <c r="AN1369" s="2">
        <v>0</v>
      </c>
      <c r="AO1369" t="s">
        <v>44</v>
      </c>
      <c r="AP1369" t="s">
        <v>11359</v>
      </c>
      <c r="AQ1369" t="s">
        <v>4971</v>
      </c>
    </row>
    <row r="1370" spans="1:43" x14ac:dyDescent="0.2">
      <c r="A1370" t="s">
        <v>12110</v>
      </c>
      <c r="B1370" t="s">
        <v>11037</v>
      </c>
      <c r="C1370" t="s">
        <v>11355</v>
      </c>
      <c r="D1370" t="s">
        <v>11360</v>
      </c>
      <c r="E1370" t="s">
        <v>4991</v>
      </c>
      <c r="F1370" t="s">
        <v>11360</v>
      </c>
      <c r="G1370" s="1">
        <v>12839</v>
      </c>
      <c r="H1370" s="2">
        <v>878458.82</v>
      </c>
      <c r="I1370" s="2">
        <v>971013.57</v>
      </c>
      <c r="J1370" s="2">
        <v>0</v>
      </c>
      <c r="K1370" s="2">
        <v>0</v>
      </c>
      <c r="L1370" s="2">
        <v>971013.57</v>
      </c>
      <c r="M1370" s="3">
        <v>7563</v>
      </c>
      <c r="N1370" s="4">
        <v>2.2091599999999999E-3</v>
      </c>
      <c r="O1370" s="5" t="s">
        <v>44</v>
      </c>
      <c r="P1370" s="5" t="s">
        <v>44</v>
      </c>
      <c r="Q1370" s="1"/>
      <c r="R1370" s="2"/>
      <c r="S1370" s="6"/>
      <c r="T1370" t="s">
        <v>10902</v>
      </c>
      <c r="U1370" t="s">
        <v>10902</v>
      </c>
      <c r="V1370" t="s">
        <v>10902</v>
      </c>
      <c r="W1370" t="s">
        <v>43</v>
      </c>
      <c r="X1370" t="s">
        <v>11357</v>
      </c>
      <c r="Y1370" t="s">
        <v>11358</v>
      </c>
      <c r="Z1370" t="s">
        <v>11355</v>
      </c>
      <c r="AA1370" t="s">
        <v>44</v>
      </c>
      <c r="AB1370" t="s">
        <v>44</v>
      </c>
      <c r="AC1370" s="4"/>
      <c r="AD1370" s="4"/>
      <c r="AE1370" s="2">
        <v>0</v>
      </c>
      <c r="AF1370" s="4">
        <v>0</v>
      </c>
      <c r="AG1370" s="2">
        <v>0.45</v>
      </c>
      <c r="AH1370" s="2">
        <v>971013.57</v>
      </c>
      <c r="AI1370" s="2">
        <v>0</v>
      </c>
      <c r="AJ1370" s="5">
        <v>44673</v>
      </c>
      <c r="AK1370" t="s">
        <v>12111</v>
      </c>
      <c r="AL1370" s="2">
        <v>0</v>
      </c>
      <c r="AM1370" s="2">
        <v>0</v>
      </c>
      <c r="AN1370" s="2">
        <v>0</v>
      </c>
      <c r="AO1370" t="s">
        <v>44</v>
      </c>
      <c r="AP1370" t="s">
        <v>11361</v>
      </c>
      <c r="AQ1370" t="s">
        <v>4991</v>
      </c>
    </row>
    <row r="1371" spans="1:43" x14ac:dyDescent="0.2">
      <c r="A1371" t="s">
        <v>12110</v>
      </c>
      <c r="B1371" t="s">
        <v>11037</v>
      </c>
      <c r="C1371" t="s">
        <v>11355</v>
      </c>
      <c r="D1371" t="s">
        <v>11362</v>
      </c>
      <c r="E1371" t="s">
        <v>4862</v>
      </c>
      <c r="F1371" t="s">
        <v>11362</v>
      </c>
      <c r="G1371" s="1">
        <v>53506</v>
      </c>
      <c r="H1371" s="2">
        <v>868976.23</v>
      </c>
      <c r="I1371" s="2">
        <v>856096</v>
      </c>
      <c r="J1371" s="2">
        <v>0</v>
      </c>
      <c r="K1371" s="2">
        <v>0</v>
      </c>
      <c r="L1371" s="2">
        <v>856096</v>
      </c>
      <c r="M1371" s="3">
        <v>1600</v>
      </c>
      <c r="N1371" s="4">
        <v>1.9477100000000001E-3</v>
      </c>
      <c r="O1371" s="5" t="s">
        <v>44</v>
      </c>
      <c r="P1371" s="5" t="s">
        <v>44</v>
      </c>
      <c r="Q1371" s="1"/>
      <c r="R1371" s="2"/>
      <c r="S1371" s="6"/>
      <c r="T1371" t="s">
        <v>10902</v>
      </c>
      <c r="U1371" t="s">
        <v>10902</v>
      </c>
      <c r="V1371" t="s">
        <v>10902</v>
      </c>
      <c r="W1371" t="s">
        <v>43</v>
      </c>
      <c r="X1371" t="s">
        <v>11357</v>
      </c>
      <c r="Y1371" t="s">
        <v>11358</v>
      </c>
      <c r="Z1371" t="s">
        <v>11355</v>
      </c>
      <c r="AA1371" t="s">
        <v>44</v>
      </c>
      <c r="AB1371" t="s">
        <v>44</v>
      </c>
      <c r="AC1371" s="4"/>
      <c r="AD1371" s="4"/>
      <c r="AE1371" s="2">
        <v>0</v>
      </c>
      <c r="AF1371" s="4">
        <v>0</v>
      </c>
      <c r="AG1371" s="2">
        <v>0.39</v>
      </c>
      <c r="AH1371" s="2">
        <v>856096</v>
      </c>
      <c r="AI1371" s="2">
        <v>0</v>
      </c>
      <c r="AJ1371" s="5">
        <v>44673</v>
      </c>
      <c r="AK1371" t="s">
        <v>12111</v>
      </c>
      <c r="AL1371" s="2">
        <v>0</v>
      </c>
      <c r="AM1371" s="2">
        <v>0</v>
      </c>
      <c r="AN1371" s="2">
        <v>0</v>
      </c>
      <c r="AO1371" t="s">
        <v>44</v>
      </c>
      <c r="AP1371" t="s">
        <v>11363</v>
      </c>
      <c r="AQ1371" t="s">
        <v>4862</v>
      </c>
    </row>
    <row r="1372" spans="1:43" x14ac:dyDescent="0.2">
      <c r="A1372" t="s">
        <v>12110</v>
      </c>
      <c r="B1372" t="s">
        <v>11037</v>
      </c>
      <c r="C1372" t="s">
        <v>11364</v>
      </c>
      <c r="D1372" t="s">
        <v>11365</v>
      </c>
      <c r="E1372" t="s">
        <v>5762</v>
      </c>
      <c r="F1372" t="s">
        <v>11365</v>
      </c>
      <c r="G1372" s="1">
        <v>6941</v>
      </c>
      <c r="H1372" s="2">
        <v>70975.199999999997</v>
      </c>
      <c r="I1372" s="2">
        <v>54625.67</v>
      </c>
      <c r="J1372" s="2">
        <v>0</v>
      </c>
      <c r="K1372" s="2">
        <v>0</v>
      </c>
      <c r="L1372" s="2">
        <v>54625.67</v>
      </c>
      <c r="M1372" s="3">
        <v>787</v>
      </c>
      <c r="N1372" s="4">
        <v>1.2428E-4</v>
      </c>
      <c r="O1372" s="5" t="s">
        <v>44</v>
      </c>
      <c r="P1372" s="5" t="s">
        <v>44</v>
      </c>
      <c r="Q1372" s="1"/>
      <c r="R1372" s="2"/>
      <c r="S1372" s="6"/>
      <c r="T1372" t="s">
        <v>10902</v>
      </c>
      <c r="U1372" t="s">
        <v>10902</v>
      </c>
      <c r="V1372" t="s">
        <v>10902</v>
      </c>
      <c r="W1372" t="s">
        <v>43</v>
      </c>
      <c r="X1372" t="s">
        <v>11366</v>
      </c>
      <c r="Y1372" t="s">
        <v>11367</v>
      </c>
      <c r="Z1372" t="s">
        <v>11364</v>
      </c>
      <c r="AA1372" t="s">
        <v>44</v>
      </c>
      <c r="AB1372" t="s">
        <v>44</v>
      </c>
      <c r="AC1372" s="4"/>
      <c r="AD1372" s="4"/>
      <c r="AE1372" s="2">
        <v>0</v>
      </c>
      <c r="AF1372" s="4">
        <v>0</v>
      </c>
      <c r="AG1372" s="2">
        <v>0.03</v>
      </c>
      <c r="AH1372" s="2">
        <v>54625.67</v>
      </c>
      <c r="AI1372" s="2">
        <v>0</v>
      </c>
      <c r="AJ1372" s="5">
        <v>44673</v>
      </c>
      <c r="AK1372" t="s">
        <v>12111</v>
      </c>
      <c r="AL1372" s="2">
        <v>0</v>
      </c>
      <c r="AM1372" s="2">
        <v>0</v>
      </c>
      <c r="AN1372" s="2">
        <v>0</v>
      </c>
      <c r="AO1372" t="s">
        <v>44</v>
      </c>
      <c r="AP1372" t="s">
        <v>11368</v>
      </c>
      <c r="AQ1372" t="s">
        <v>5762</v>
      </c>
    </row>
    <row r="1373" spans="1:43" x14ac:dyDescent="0.2">
      <c r="A1373" t="s">
        <v>12110</v>
      </c>
      <c r="B1373" t="s">
        <v>11037</v>
      </c>
      <c r="C1373" t="s">
        <v>11364</v>
      </c>
      <c r="D1373" t="s">
        <v>6240</v>
      </c>
      <c r="E1373" t="s">
        <v>5065</v>
      </c>
      <c r="F1373" t="s">
        <v>6240</v>
      </c>
      <c r="G1373" s="1">
        <v>9279</v>
      </c>
      <c r="H1373" s="2">
        <v>1249936.28</v>
      </c>
      <c r="I1373" s="2">
        <v>1073116.3500000001</v>
      </c>
      <c r="J1373" s="2">
        <v>0</v>
      </c>
      <c r="K1373" s="2">
        <v>0</v>
      </c>
      <c r="L1373" s="2">
        <v>1073116.3500000001</v>
      </c>
      <c r="M1373" s="3">
        <v>11565</v>
      </c>
      <c r="N1373" s="4">
        <v>2.4414599999999999E-3</v>
      </c>
      <c r="O1373" s="5" t="s">
        <v>44</v>
      </c>
      <c r="P1373" s="5" t="s">
        <v>44</v>
      </c>
      <c r="Q1373" s="1"/>
      <c r="R1373" s="2"/>
      <c r="S1373" s="6"/>
      <c r="T1373" t="s">
        <v>10902</v>
      </c>
      <c r="U1373" t="s">
        <v>10902</v>
      </c>
      <c r="V1373" t="s">
        <v>10902</v>
      </c>
      <c r="W1373" t="s">
        <v>43</v>
      </c>
      <c r="X1373" t="s">
        <v>11369</v>
      </c>
      <c r="Y1373" t="s">
        <v>11367</v>
      </c>
      <c r="Z1373" t="s">
        <v>11364</v>
      </c>
      <c r="AA1373" t="s">
        <v>44</v>
      </c>
      <c r="AB1373" t="s">
        <v>44</v>
      </c>
      <c r="AC1373" s="4"/>
      <c r="AD1373" s="4"/>
      <c r="AE1373" s="2">
        <v>0</v>
      </c>
      <c r="AF1373" s="4">
        <v>0</v>
      </c>
      <c r="AG1373" s="2">
        <v>0.49</v>
      </c>
      <c r="AH1373" s="2">
        <v>1073116.3500000001</v>
      </c>
      <c r="AI1373" s="2">
        <v>0</v>
      </c>
      <c r="AJ1373" s="5">
        <v>44673</v>
      </c>
      <c r="AK1373" t="s">
        <v>12111</v>
      </c>
      <c r="AL1373" s="2">
        <v>0</v>
      </c>
      <c r="AM1373" s="2">
        <v>0</v>
      </c>
      <c r="AN1373" s="2">
        <v>0</v>
      </c>
      <c r="AO1373" t="s">
        <v>44</v>
      </c>
      <c r="AP1373" t="s">
        <v>11370</v>
      </c>
      <c r="AQ1373" t="s">
        <v>5065</v>
      </c>
    </row>
    <row r="1374" spans="1:43" x14ac:dyDescent="0.2">
      <c r="A1374" t="s">
        <v>12110</v>
      </c>
      <c r="B1374" t="s">
        <v>11037</v>
      </c>
      <c r="C1374" t="s">
        <v>11364</v>
      </c>
      <c r="D1374" t="s">
        <v>11371</v>
      </c>
      <c r="E1374" t="s">
        <v>5127</v>
      </c>
      <c r="F1374" t="s">
        <v>11371</v>
      </c>
      <c r="G1374" s="1">
        <v>133160</v>
      </c>
      <c r="H1374" s="2">
        <v>580694.12</v>
      </c>
      <c r="I1374" s="2">
        <v>685774</v>
      </c>
      <c r="J1374" s="2">
        <v>0</v>
      </c>
      <c r="K1374" s="2">
        <v>0</v>
      </c>
      <c r="L1374" s="2">
        <v>685774</v>
      </c>
      <c r="M1374" s="3">
        <v>515</v>
      </c>
      <c r="N1374" s="4">
        <v>1.56021E-3</v>
      </c>
      <c r="O1374" s="5" t="s">
        <v>44</v>
      </c>
      <c r="P1374" s="5" t="s">
        <v>44</v>
      </c>
      <c r="Q1374" s="1"/>
      <c r="R1374" s="2"/>
      <c r="S1374" s="6"/>
      <c r="T1374" t="s">
        <v>10902</v>
      </c>
      <c r="U1374" t="s">
        <v>10902</v>
      </c>
      <c r="V1374" t="s">
        <v>10902</v>
      </c>
      <c r="W1374" t="s">
        <v>43</v>
      </c>
      <c r="X1374" t="s">
        <v>11369</v>
      </c>
      <c r="Y1374" t="s">
        <v>11367</v>
      </c>
      <c r="Z1374" t="s">
        <v>11364</v>
      </c>
      <c r="AA1374" t="s">
        <v>44</v>
      </c>
      <c r="AB1374" t="s">
        <v>44</v>
      </c>
      <c r="AC1374" s="4"/>
      <c r="AD1374" s="4"/>
      <c r="AE1374" s="2">
        <v>0</v>
      </c>
      <c r="AF1374" s="4">
        <v>0</v>
      </c>
      <c r="AG1374" s="2">
        <v>0.32</v>
      </c>
      <c r="AH1374" s="2">
        <v>685774</v>
      </c>
      <c r="AI1374" s="2">
        <v>0</v>
      </c>
      <c r="AJ1374" s="5">
        <v>44673</v>
      </c>
      <c r="AK1374" t="s">
        <v>12111</v>
      </c>
      <c r="AL1374" s="2">
        <v>0</v>
      </c>
      <c r="AM1374" s="2">
        <v>0</v>
      </c>
      <c r="AN1374" s="2">
        <v>0</v>
      </c>
      <c r="AO1374" t="s">
        <v>44</v>
      </c>
      <c r="AP1374" t="s">
        <v>11372</v>
      </c>
      <c r="AQ1374" t="s">
        <v>5127</v>
      </c>
    </row>
    <row r="1375" spans="1:43" x14ac:dyDescent="0.2">
      <c r="A1375" t="s">
        <v>12110</v>
      </c>
      <c r="B1375" t="s">
        <v>11037</v>
      </c>
      <c r="C1375" t="s">
        <v>11364</v>
      </c>
      <c r="D1375" t="s">
        <v>6915</v>
      </c>
      <c r="E1375" t="s">
        <v>5570</v>
      </c>
      <c r="F1375" t="s">
        <v>6915</v>
      </c>
      <c r="G1375" s="1">
        <v>8000</v>
      </c>
      <c r="H1375" s="2">
        <v>337493.39</v>
      </c>
      <c r="I1375" s="2">
        <v>320960</v>
      </c>
      <c r="J1375" s="2">
        <v>0</v>
      </c>
      <c r="K1375" s="2">
        <v>0</v>
      </c>
      <c r="L1375" s="2">
        <v>320960</v>
      </c>
      <c r="M1375" s="3">
        <v>4012</v>
      </c>
      <c r="N1375" s="4">
        <v>7.3021999999999996E-4</v>
      </c>
      <c r="O1375" s="5" t="s">
        <v>44</v>
      </c>
      <c r="P1375" s="5" t="s">
        <v>44</v>
      </c>
      <c r="Q1375" s="1"/>
      <c r="R1375" s="2"/>
      <c r="S1375" s="6"/>
      <c r="T1375" t="s">
        <v>10902</v>
      </c>
      <c r="U1375" t="s">
        <v>10902</v>
      </c>
      <c r="V1375" t="s">
        <v>10902</v>
      </c>
      <c r="W1375" t="s">
        <v>43</v>
      </c>
      <c r="X1375" t="s">
        <v>11720</v>
      </c>
      <c r="Y1375" t="s">
        <v>11721</v>
      </c>
      <c r="Z1375" t="s">
        <v>11364</v>
      </c>
      <c r="AA1375" t="s">
        <v>44</v>
      </c>
      <c r="AB1375" t="s">
        <v>44</v>
      </c>
      <c r="AC1375" s="4"/>
      <c r="AD1375" s="4"/>
      <c r="AE1375" s="2">
        <v>0</v>
      </c>
      <c r="AF1375" s="4">
        <v>0</v>
      </c>
      <c r="AG1375" s="2">
        <v>0.15</v>
      </c>
      <c r="AH1375" s="2">
        <v>320960</v>
      </c>
      <c r="AI1375" s="2">
        <v>0</v>
      </c>
      <c r="AJ1375" s="5">
        <v>44673</v>
      </c>
      <c r="AK1375" t="s">
        <v>12111</v>
      </c>
      <c r="AL1375" s="2">
        <v>0</v>
      </c>
      <c r="AM1375" s="2">
        <v>0</v>
      </c>
      <c r="AN1375" s="2">
        <v>0</v>
      </c>
      <c r="AO1375" t="s">
        <v>44</v>
      </c>
      <c r="AP1375" t="s">
        <v>12498</v>
      </c>
      <c r="AQ1375" t="s">
        <v>5570</v>
      </c>
    </row>
    <row r="1376" spans="1:43" x14ac:dyDescent="0.2">
      <c r="A1376" t="s">
        <v>12110</v>
      </c>
      <c r="B1376" t="s">
        <v>11037</v>
      </c>
      <c r="C1376" t="s">
        <v>11364</v>
      </c>
      <c r="D1376" t="s">
        <v>5973</v>
      </c>
      <c r="E1376" t="s">
        <v>4873</v>
      </c>
      <c r="F1376" t="s">
        <v>5973</v>
      </c>
      <c r="G1376" s="1">
        <v>567</v>
      </c>
      <c r="H1376" s="2">
        <v>78504.14</v>
      </c>
      <c r="I1376" s="2">
        <v>82583.55</v>
      </c>
      <c r="J1376" s="2">
        <v>0</v>
      </c>
      <c r="K1376" s="2">
        <v>283.5</v>
      </c>
      <c r="L1376" s="2">
        <v>82867.05</v>
      </c>
      <c r="M1376" s="3">
        <v>14565</v>
      </c>
      <c r="N1376" s="4">
        <v>1.8853000000000001E-4</v>
      </c>
      <c r="O1376" s="5" t="s">
        <v>44</v>
      </c>
      <c r="P1376" s="5" t="s">
        <v>44</v>
      </c>
      <c r="Q1376" s="1"/>
      <c r="R1376" s="2"/>
      <c r="S1376" s="6"/>
      <c r="T1376" t="s">
        <v>10902</v>
      </c>
      <c r="U1376" t="s">
        <v>10902</v>
      </c>
      <c r="V1376" t="s">
        <v>10902</v>
      </c>
      <c r="W1376" t="s">
        <v>43</v>
      </c>
      <c r="X1376" t="s">
        <v>11369</v>
      </c>
      <c r="Y1376" t="s">
        <v>11367</v>
      </c>
      <c r="Z1376" t="s">
        <v>11364</v>
      </c>
      <c r="AA1376" t="s">
        <v>44</v>
      </c>
      <c r="AB1376" t="s">
        <v>44</v>
      </c>
      <c r="AC1376" s="4"/>
      <c r="AD1376" s="4"/>
      <c r="AE1376" s="2">
        <v>0</v>
      </c>
      <c r="AF1376" s="4">
        <v>0</v>
      </c>
      <c r="AG1376" s="2">
        <v>0.04</v>
      </c>
      <c r="AH1376" s="2">
        <v>82867.05</v>
      </c>
      <c r="AI1376" s="2">
        <v>0</v>
      </c>
      <c r="AJ1376" s="5">
        <v>44673</v>
      </c>
      <c r="AK1376" t="s">
        <v>12111</v>
      </c>
      <c r="AL1376" s="2">
        <v>0</v>
      </c>
      <c r="AM1376" s="2">
        <v>0</v>
      </c>
      <c r="AN1376" s="2">
        <v>0</v>
      </c>
      <c r="AO1376" t="s">
        <v>44</v>
      </c>
      <c r="AP1376" t="s">
        <v>11723</v>
      </c>
      <c r="AQ1376" t="s">
        <v>4873</v>
      </c>
    </row>
    <row r="1377" spans="1:43" x14ac:dyDescent="0.2">
      <c r="A1377" t="s">
        <v>12110</v>
      </c>
      <c r="B1377" t="s">
        <v>11037</v>
      </c>
      <c r="C1377" t="s">
        <v>11364</v>
      </c>
      <c r="D1377" t="s">
        <v>6443</v>
      </c>
      <c r="E1377" t="s">
        <v>5186</v>
      </c>
      <c r="F1377" t="s">
        <v>6443</v>
      </c>
      <c r="G1377" s="1">
        <v>6430</v>
      </c>
      <c r="H1377" s="2">
        <v>334615.75</v>
      </c>
      <c r="I1377" s="2">
        <v>283948.79999999999</v>
      </c>
      <c r="J1377" s="2">
        <v>0</v>
      </c>
      <c r="K1377" s="2">
        <v>0</v>
      </c>
      <c r="L1377" s="2">
        <v>283948.79999999999</v>
      </c>
      <c r="M1377" s="3">
        <v>4416</v>
      </c>
      <c r="N1377" s="4">
        <v>6.4601000000000003E-4</v>
      </c>
      <c r="O1377" s="5" t="s">
        <v>44</v>
      </c>
      <c r="P1377" s="5" t="s">
        <v>44</v>
      </c>
      <c r="Q1377" s="1"/>
      <c r="R1377" s="2"/>
      <c r="S1377" s="6"/>
      <c r="T1377" t="s">
        <v>10902</v>
      </c>
      <c r="U1377" t="s">
        <v>10902</v>
      </c>
      <c r="V1377" t="s">
        <v>10902</v>
      </c>
      <c r="W1377" t="s">
        <v>43</v>
      </c>
      <c r="X1377" t="s">
        <v>11366</v>
      </c>
      <c r="Y1377" t="s">
        <v>11367</v>
      </c>
      <c r="Z1377" t="s">
        <v>11364</v>
      </c>
      <c r="AA1377" t="s">
        <v>44</v>
      </c>
      <c r="AB1377" t="s">
        <v>44</v>
      </c>
      <c r="AC1377" s="4"/>
      <c r="AD1377" s="4"/>
      <c r="AE1377" s="2">
        <v>0</v>
      </c>
      <c r="AF1377" s="4">
        <v>0</v>
      </c>
      <c r="AG1377" s="2">
        <v>0.13</v>
      </c>
      <c r="AH1377" s="2">
        <v>283948.79999999999</v>
      </c>
      <c r="AI1377" s="2">
        <v>0</v>
      </c>
      <c r="AJ1377" s="5">
        <v>44673</v>
      </c>
      <c r="AK1377" t="s">
        <v>12111</v>
      </c>
      <c r="AL1377" s="2">
        <v>0</v>
      </c>
      <c r="AM1377" s="2">
        <v>0</v>
      </c>
      <c r="AN1377" s="2">
        <v>0</v>
      </c>
      <c r="AO1377" t="s">
        <v>44</v>
      </c>
      <c r="AP1377" t="s">
        <v>11373</v>
      </c>
      <c r="AQ1377" t="s">
        <v>5186</v>
      </c>
    </row>
    <row r="1378" spans="1:43" x14ac:dyDescent="0.2">
      <c r="A1378" t="s">
        <v>12110</v>
      </c>
      <c r="B1378" t="s">
        <v>11037</v>
      </c>
      <c r="C1378" t="s">
        <v>11364</v>
      </c>
      <c r="D1378" t="s">
        <v>11374</v>
      </c>
      <c r="E1378" t="s">
        <v>1786</v>
      </c>
      <c r="F1378" t="s">
        <v>11374</v>
      </c>
      <c r="G1378" s="1">
        <v>14498</v>
      </c>
      <c r="H1378" s="2">
        <v>470333.24</v>
      </c>
      <c r="I1378" s="2">
        <v>391446</v>
      </c>
      <c r="J1378" s="2">
        <v>0</v>
      </c>
      <c r="K1378" s="2">
        <v>0</v>
      </c>
      <c r="L1378" s="2">
        <v>391446</v>
      </c>
      <c r="M1378" s="3">
        <v>2700</v>
      </c>
      <c r="N1378" s="4">
        <v>8.9057999999999997E-4</v>
      </c>
      <c r="O1378" s="5" t="s">
        <v>44</v>
      </c>
      <c r="P1378" s="5" t="s">
        <v>44</v>
      </c>
      <c r="Q1378" s="1"/>
      <c r="R1378" s="2"/>
      <c r="S1378" s="6"/>
      <c r="T1378" t="s">
        <v>10902</v>
      </c>
      <c r="U1378" t="s">
        <v>10902</v>
      </c>
      <c r="V1378" t="s">
        <v>10902</v>
      </c>
      <c r="W1378" t="s">
        <v>43</v>
      </c>
      <c r="X1378" t="s">
        <v>11375</v>
      </c>
      <c r="Y1378" t="s">
        <v>11367</v>
      </c>
      <c r="Z1378" t="s">
        <v>11364</v>
      </c>
      <c r="AA1378" t="s">
        <v>44</v>
      </c>
      <c r="AB1378" t="s">
        <v>44</v>
      </c>
      <c r="AC1378" s="4"/>
      <c r="AD1378" s="4"/>
      <c r="AE1378" s="2">
        <v>0</v>
      </c>
      <c r="AF1378" s="4">
        <v>0</v>
      </c>
      <c r="AG1378" s="2">
        <v>0.18</v>
      </c>
      <c r="AH1378" s="2">
        <v>391446</v>
      </c>
      <c r="AI1378" s="2">
        <v>0</v>
      </c>
      <c r="AJ1378" s="5">
        <v>44673</v>
      </c>
      <c r="AK1378" t="s">
        <v>12111</v>
      </c>
      <c r="AL1378" s="2">
        <v>0</v>
      </c>
      <c r="AM1378" s="2">
        <v>0</v>
      </c>
      <c r="AN1378" s="2">
        <v>0</v>
      </c>
      <c r="AO1378" t="s">
        <v>44</v>
      </c>
      <c r="AP1378" t="s">
        <v>11376</v>
      </c>
      <c r="AQ1378" t="s">
        <v>1786</v>
      </c>
    </row>
    <row r="1379" spans="1:43" x14ac:dyDescent="0.2">
      <c r="A1379" t="s">
        <v>12110</v>
      </c>
      <c r="B1379" t="s">
        <v>11037</v>
      </c>
      <c r="C1379" t="s">
        <v>11364</v>
      </c>
      <c r="D1379" t="s">
        <v>11377</v>
      </c>
      <c r="E1379" t="s">
        <v>5599</v>
      </c>
      <c r="F1379" t="s">
        <v>11378</v>
      </c>
      <c r="G1379" s="1">
        <v>768</v>
      </c>
      <c r="H1379" s="2">
        <v>439408.74</v>
      </c>
      <c r="I1379" s="2">
        <v>415249.91999999998</v>
      </c>
      <c r="J1379" s="2">
        <v>0</v>
      </c>
      <c r="K1379" s="2">
        <v>0</v>
      </c>
      <c r="L1379" s="2">
        <v>415249.91999999998</v>
      </c>
      <c r="M1379" s="3">
        <v>54069</v>
      </c>
      <c r="N1379" s="4">
        <v>9.4474000000000001E-4</v>
      </c>
      <c r="O1379" s="5" t="s">
        <v>44</v>
      </c>
      <c r="P1379" s="5" t="s">
        <v>44</v>
      </c>
      <c r="Q1379" s="1"/>
      <c r="R1379" s="2"/>
      <c r="S1379" s="6"/>
      <c r="T1379" t="s">
        <v>10902</v>
      </c>
      <c r="U1379" t="s">
        <v>10902</v>
      </c>
      <c r="V1379" t="s">
        <v>10902</v>
      </c>
      <c r="W1379" t="s">
        <v>43</v>
      </c>
      <c r="X1379" t="s">
        <v>11375</v>
      </c>
      <c r="Y1379" t="s">
        <v>11367</v>
      </c>
      <c r="Z1379" t="s">
        <v>11364</v>
      </c>
      <c r="AA1379" t="s">
        <v>44</v>
      </c>
      <c r="AB1379" t="s">
        <v>44</v>
      </c>
      <c r="AC1379" s="4"/>
      <c r="AD1379" s="4"/>
      <c r="AE1379" s="2">
        <v>0</v>
      </c>
      <c r="AF1379" s="4">
        <v>0</v>
      </c>
      <c r="AG1379" s="2">
        <v>0.19</v>
      </c>
      <c r="AH1379" s="2">
        <v>415249.91999999998</v>
      </c>
      <c r="AI1379" s="2">
        <v>0</v>
      </c>
      <c r="AJ1379" s="5">
        <v>44673</v>
      </c>
      <c r="AK1379" t="s">
        <v>12111</v>
      </c>
      <c r="AL1379" s="2">
        <v>0</v>
      </c>
      <c r="AM1379" s="2">
        <v>0</v>
      </c>
      <c r="AN1379" s="2">
        <v>0</v>
      </c>
      <c r="AO1379" t="s">
        <v>44</v>
      </c>
      <c r="AP1379" t="s">
        <v>11379</v>
      </c>
      <c r="AQ1379" t="s">
        <v>5599</v>
      </c>
    </row>
    <row r="1380" spans="1:43" x14ac:dyDescent="0.2">
      <c r="A1380" t="s">
        <v>12110</v>
      </c>
      <c r="B1380" t="s">
        <v>11037</v>
      </c>
      <c r="C1380" t="s">
        <v>11727</v>
      </c>
      <c r="D1380" t="s">
        <v>11728</v>
      </c>
      <c r="E1380" t="s">
        <v>4855</v>
      </c>
      <c r="F1380" t="s">
        <v>11728</v>
      </c>
      <c r="G1380" s="1">
        <v>1737</v>
      </c>
      <c r="H1380" s="2">
        <v>4087232.79</v>
      </c>
      <c r="I1380" s="2">
        <v>2618145.36</v>
      </c>
      <c r="J1380" s="2">
        <v>0</v>
      </c>
      <c r="K1380" s="2">
        <v>0</v>
      </c>
      <c r="L1380" s="2">
        <v>2618145.36</v>
      </c>
      <c r="M1380" s="3">
        <v>150728</v>
      </c>
      <c r="N1380" s="4">
        <v>5.9565599999999996E-3</v>
      </c>
      <c r="O1380" s="5" t="s">
        <v>44</v>
      </c>
      <c r="P1380" s="5" t="s">
        <v>44</v>
      </c>
      <c r="Q1380" s="1"/>
      <c r="R1380" s="2"/>
      <c r="S1380" s="6"/>
      <c r="T1380" t="s">
        <v>10902</v>
      </c>
      <c r="U1380" t="s">
        <v>10902</v>
      </c>
      <c r="V1380" t="s">
        <v>10902</v>
      </c>
      <c r="W1380" t="s">
        <v>43</v>
      </c>
      <c r="X1380" t="s">
        <v>11729</v>
      </c>
      <c r="Y1380" t="s">
        <v>11727</v>
      </c>
      <c r="Z1380" t="s">
        <v>11727</v>
      </c>
      <c r="AA1380" t="s">
        <v>44</v>
      </c>
      <c r="AB1380" t="s">
        <v>44</v>
      </c>
      <c r="AC1380" s="4"/>
      <c r="AD1380" s="4"/>
      <c r="AE1380" s="2">
        <v>0</v>
      </c>
      <c r="AF1380" s="4">
        <v>0</v>
      </c>
      <c r="AG1380" s="2">
        <v>1.21</v>
      </c>
      <c r="AH1380" s="2">
        <v>2618145.36</v>
      </c>
      <c r="AI1380" s="2">
        <v>0.01</v>
      </c>
      <c r="AJ1380" s="5">
        <v>44673</v>
      </c>
      <c r="AK1380" t="s">
        <v>12111</v>
      </c>
      <c r="AL1380" s="2">
        <v>0</v>
      </c>
      <c r="AM1380" s="2">
        <v>0</v>
      </c>
      <c r="AN1380" s="2">
        <v>0</v>
      </c>
      <c r="AO1380" t="s">
        <v>44</v>
      </c>
      <c r="AP1380" t="s">
        <v>11730</v>
      </c>
      <c r="AQ1380" t="s">
        <v>4855</v>
      </c>
    </row>
    <row r="1381" spans="1:43" x14ac:dyDescent="0.2">
      <c r="A1381" t="s">
        <v>12110</v>
      </c>
      <c r="B1381" t="s">
        <v>11037</v>
      </c>
      <c r="C1381" t="s">
        <v>11380</v>
      </c>
      <c r="D1381" t="s">
        <v>5901</v>
      </c>
      <c r="E1381" t="s">
        <v>4841</v>
      </c>
      <c r="F1381" t="s">
        <v>5901</v>
      </c>
      <c r="G1381" s="1">
        <v>14000</v>
      </c>
      <c r="H1381" s="2">
        <v>2623848.4900000002</v>
      </c>
      <c r="I1381" s="2">
        <v>2422000</v>
      </c>
      <c r="J1381" s="2">
        <v>0</v>
      </c>
      <c r="K1381" s="2">
        <v>0</v>
      </c>
      <c r="L1381" s="2">
        <v>2422000</v>
      </c>
      <c r="M1381" s="3">
        <v>17300</v>
      </c>
      <c r="N1381" s="4">
        <v>5.51031E-3</v>
      </c>
      <c r="O1381" s="5" t="s">
        <v>44</v>
      </c>
      <c r="P1381" s="5" t="s">
        <v>44</v>
      </c>
      <c r="Q1381" s="1"/>
      <c r="R1381" s="2"/>
      <c r="S1381" s="6"/>
      <c r="T1381" t="s">
        <v>10902</v>
      </c>
      <c r="U1381" t="s">
        <v>10902</v>
      </c>
      <c r="V1381" t="s">
        <v>10902</v>
      </c>
      <c r="W1381" t="s">
        <v>43</v>
      </c>
      <c r="X1381" t="s">
        <v>11732</v>
      </c>
      <c r="Y1381" t="s">
        <v>11380</v>
      </c>
      <c r="Z1381" t="s">
        <v>11380</v>
      </c>
      <c r="AA1381" t="s">
        <v>44</v>
      </c>
      <c r="AB1381" t="s">
        <v>44</v>
      </c>
      <c r="AC1381" s="4"/>
      <c r="AD1381" s="4"/>
      <c r="AE1381" s="2">
        <v>0</v>
      </c>
      <c r="AF1381" s="4">
        <v>0</v>
      </c>
      <c r="AG1381" s="2">
        <v>1.1200000000000001</v>
      </c>
      <c r="AH1381" s="2">
        <v>2422000</v>
      </c>
      <c r="AI1381" s="2">
        <v>0.01</v>
      </c>
      <c r="AJ1381" s="5">
        <v>44673</v>
      </c>
      <c r="AK1381" t="s">
        <v>12111</v>
      </c>
      <c r="AL1381" s="2">
        <v>0</v>
      </c>
      <c r="AM1381" s="2">
        <v>0</v>
      </c>
      <c r="AN1381" s="2">
        <v>0</v>
      </c>
      <c r="AO1381" t="s">
        <v>44</v>
      </c>
      <c r="AP1381" t="s">
        <v>11733</v>
      </c>
      <c r="AQ1381" t="s">
        <v>4841</v>
      </c>
    </row>
    <row r="1382" spans="1:43" x14ac:dyDescent="0.2">
      <c r="A1382" t="s">
        <v>12110</v>
      </c>
      <c r="B1382" t="s">
        <v>11037</v>
      </c>
      <c r="C1382" t="s">
        <v>11380</v>
      </c>
      <c r="D1382" t="s">
        <v>11381</v>
      </c>
      <c r="E1382" t="s">
        <v>5221</v>
      </c>
      <c r="F1382" t="s">
        <v>11381</v>
      </c>
      <c r="G1382" s="1">
        <v>9399</v>
      </c>
      <c r="H1382" s="2">
        <v>454729.73</v>
      </c>
      <c r="I1382" s="2">
        <v>418255.5</v>
      </c>
      <c r="J1382" s="2">
        <v>0</v>
      </c>
      <c r="K1382" s="2">
        <v>0</v>
      </c>
      <c r="L1382" s="2">
        <v>418255.5</v>
      </c>
      <c r="M1382" s="3">
        <v>4450</v>
      </c>
      <c r="N1382" s="4">
        <v>9.5158000000000005E-4</v>
      </c>
      <c r="O1382" s="5" t="s">
        <v>44</v>
      </c>
      <c r="P1382" s="5" t="s">
        <v>44</v>
      </c>
      <c r="Q1382" s="1"/>
      <c r="R1382" s="2"/>
      <c r="S1382" s="6"/>
      <c r="T1382" t="s">
        <v>10902</v>
      </c>
      <c r="U1382" t="s">
        <v>10902</v>
      </c>
      <c r="V1382" t="s">
        <v>10902</v>
      </c>
      <c r="W1382" t="s">
        <v>43</v>
      </c>
      <c r="X1382" t="s">
        <v>11382</v>
      </c>
      <c r="Y1382" t="s">
        <v>11380</v>
      </c>
      <c r="Z1382" t="s">
        <v>11380</v>
      </c>
      <c r="AA1382" t="s">
        <v>44</v>
      </c>
      <c r="AB1382" t="s">
        <v>44</v>
      </c>
      <c r="AC1382" s="4"/>
      <c r="AD1382" s="4"/>
      <c r="AE1382" s="2">
        <v>0</v>
      </c>
      <c r="AF1382" s="4">
        <v>0</v>
      </c>
      <c r="AG1382" s="2">
        <v>0.19</v>
      </c>
      <c r="AH1382" s="2">
        <v>418255.5</v>
      </c>
      <c r="AI1382" s="2">
        <v>0</v>
      </c>
      <c r="AJ1382" s="5">
        <v>44673</v>
      </c>
      <c r="AK1382" t="s">
        <v>12111</v>
      </c>
      <c r="AL1382" s="2">
        <v>0</v>
      </c>
      <c r="AM1382" s="2">
        <v>0</v>
      </c>
      <c r="AN1382" s="2">
        <v>0</v>
      </c>
      <c r="AO1382" t="s">
        <v>44</v>
      </c>
      <c r="AP1382" t="s">
        <v>11383</v>
      </c>
      <c r="AQ1382" t="s">
        <v>5221</v>
      </c>
    </row>
    <row r="1383" spans="1:43" x14ac:dyDescent="0.2">
      <c r="A1383" t="s">
        <v>12110</v>
      </c>
      <c r="B1383" t="s">
        <v>11037</v>
      </c>
      <c r="C1383" t="s">
        <v>11743</v>
      </c>
      <c r="D1383" t="s">
        <v>11744</v>
      </c>
      <c r="E1383" t="s">
        <v>11745</v>
      </c>
      <c r="F1383" t="s">
        <v>11746</v>
      </c>
      <c r="G1383" s="1">
        <v>1400</v>
      </c>
      <c r="H1383" s="2">
        <v>232981</v>
      </c>
      <c r="I1383" s="2">
        <v>228158</v>
      </c>
      <c r="J1383" s="2">
        <v>0</v>
      </c>
      <c r="K1383" s="2">
        <v>0</v>
      </c>
      <c r="L1383" s="2">
        <v>228158</v>
      </c>
      <c r="M1383" s="3">
        <v>16297</v>
      </c>
      <c r="N1383" s="4">
        <v>5.1908E-4</v>
      </c>
      <c r="O1383" s="5" t="s">
        <v>44</v>
      </c>
      <c r="P1383" s="5" t="s">
        <v>44</v>
      </c>
      <c r="Q1383" s="1"/>
      <c r="R1383" s="2"/>
      <c r="S1383" s="6"/>
      <c r="T1383" t="s">
        <v>10902</v>
      </c>
      <c r="U1383" t="s">
        <v>10902</v>
      </c>
      <c r="V1383" t="s">
        <v>10902</v>
      </c>
      <c r="W1383" t="s">
        <v>43</v>
      </c>
      <c r="X1383" t="s">
        <v>11747</v>
      </c>
      <c r="Y1383" t="s">
        <v>11743</v>
      </c>
      <c r="Z1383" t="s">
        <v>11743</v>
      </c>
      <c r="AA1383" t="s">
        <v>44</v>
      </c>
      <c r="AB1383" t="s">
        <v>44</v>
      </c>
      <c r="AC1383" s="4"/>
      <c r="AD1383" s="4"/>
      <c r="AE1383" s="2">
        <v>0</v>
      </c>
      <c r="AF1383" s="4">
        <v>0</v>
      </c>
      <c r="AG1383" s="2">
        <v>0.11</v>
      </c>
      <c r="AH1383" s="2">
        <v>228158</v>
      </c>
      <c r="AI1383" s="2">
        <v>0</v>
      </c>
      <c r="AJ1383" s="5">
        <v>44673</v>
      </c>
      <c r="AK1383" t="s">
        <v>12111</v>
      </c>
      <c r="AL1383" s="2">
        <v>0</v>
      </c>
      <c r="AM1383" s="2">
        <v>0</v>
      </c>
      <c r="AN1383" s="2">
        <v>0</v>
      </c>
      <c r="AO1383" t="s">
        <v>44</v>
      </c>
      <c r="AP1383" t="s">
        <v>11748</v>
      </c>
      <c r="AQ1383" t="s">
        <v>11745</v>
      </c>
    </row>
    <row r="1384" spans="1:43" x14ac:dyDescent="0.2">
      <c r="A1384" t="s">
        <v>12110</v>
      </c>
      <c r="B1384" t="s">
        <v>11038</v>
      </c>
      <c r="C1384" t="s">
        <v>11870</v>
      </c>
      <c r="D1384" t="s">
        <v>11056</v>
      </c>
      <c r="E1384" t="s">
        <v>11057</v>
      </c>
      <c r="F1384" t="s">
        <v>11056</v>
      </c>
      <c r="G1384" s="1">
        <v>2927750</v>
      </c>
      <c r="H1384" s="2">
        <v>2927050.81</v>
      </c>
      <c r="I1384" s="2">
        <v>2927750</v>
      </c>
      <c r="J1384" s="2">
        <v>75465.679999999993</v>
      </c>
      <c r="K1384" s="2">
        <v>0</v>
      </c>
      <c r="L1384" s="2">
        <v>3003215.68</v>
      </c>
      <c r="M1384" s="3"/>
      <c r="N1384" s="4">
        <v>6.8326400000000001E-3</v>
      </c>
      <c r="O1384" s="5">
        <v>44692</v>
      </c>
      <c r="P1384" s="5">
        <v>44692</v>
      </c>
      <c r="Q1384" s="1">
        <v>13.067</v>
      </c>
      <c r="R1384" s="2"/>
      <c r="S1384" s="6"/>
      <c r="T1384" t="s">
        <v>111</v>
      </c>
      <c r="U1384" t="s">
        <v>11040</v>
      </c>
      <c r="V1384" t="s">
        <v>115</v>
      </c>
      <c r="W1384" t="s">
        <v>43</v>
      </c>
      <c r="X1384" t="s">
        <v>44</v>
      </c>
      <c r="Y1384" t="s">
        <v>44</v>
      </c>
      <c r="Z1384" t="s">
        <v>44</v>
      </c>
      <c r="AA1384" t="s">
        <v>10979</v>
      </c>
      <c r="AB1384" t="s">
        <v>44</v>
      </c>
      <c r="AC1384" s="4"/>
      <c r="AD1384" s="4"/>
      <c r="AE1384" s="2">
        <v>0</v>
      </c>
      <c r="AF1384" s="4">
        <v>0</v>
      </c>
      <c r="AG1384" s="2">
        <v>1.38</v>
      </c>
      <c r="AH1384" s="2">
        <v>3003215.68</v>
      </c>
      <c r="AI1384" s="2">
        <v>0.01</v>
      </c>
      <c r="AJ1384" s="5">
        <v>44673</v>
      </c>
      <c r="AK1384" t="s">
        <v>12111</v>
      </c>
      <c r="AL1384" s="2">
        <v>0</v>
      </c>
      <c r="AM1384" s="2">
        <v>13.07</v>
      </c>
      <c r="AN1384" s="2">
        <v>0</v>
      </c>
      <c r="AO1384" t="s">
        <v>10980</v>
      </c>
      <c r="AP1384" t="s">
        <v>11058</v>
      </c>
      <c r="AQ1384" t="s">
        <v>11057</v>
      </c>
    </row>
    <row r="1385" spans="1:43" x14ac:dyDescent="0.2">
      <c r="A1385" t="s">
        <v>12110</v>
      </c>
      <c r="B1385" t="s">
        <v>11408</v>
      </c>
      <c r="C1385" t="s">
        <v>11408</v>
      </c>
      <c r="D1385" t="s">
        <v>12126</v>
      </c>
      <c r="E1385" t="s">
        <v>12127</v>
      </c>
      <c r="F1385" t="s">
        <v>12128</v>
      </c>
      <c r="G1385" s="1">
        <v>2374.5475999999999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3"/>
      <c r="N1385" s="4">
        <v>0</v>
      </c>
      <c r="O1385" s="5" t="s">
        <v>44</v>
      </c>
      <c r="P1385" s="5">
        <v>44777</v>
      </c>
      <c r="Q1385" s="1">
        <v>0</v>
      </c>
      <c r="R1385" s="2"/>
      <c r="S1385" s="6"/>
      <c r="T1385" t="s">
        <v>11412</v>
      </c>
      <c r="U1385" t="s">
        <v>11413</v>
      </c>
      <c r="V1385" t="s">
        <v>11414</v>
      </c>
      <c r="W1385" t="s">
        <v>43</v>
      </c>
      <c r="X1385" t="s">
        <v>44</v>
      </c>
      <c r="Y1385" t="s">
        <v>44</v>
      </c>
      <c r="Z1385" t="s">
        <v>44</v>
      </c>
      <c r="AA1385" t="s">
        <v>10979</v>
      </c>
      <c r="AB1385" t="s">
        <v>44</v>
      </c>
      <c r="AC1385" s="4"/>
      <c r="AD1385" s="4"/>
      <c r="AE1385" s="2">
        <v>0</v>
      </c>
      <c r="AF1385" s="4">
        <v>0</v>
      </c>
      <c r="AG1385" s="2">
        <v>0</v>
      </c>
      <c r="AH1385" s="2">
        <v>0</v>
      </c>
      <c r="AI1385" s="2">
        <v>0</v>
      </c>
      <c r="AJ1385" s="5">
        <v>44673</v>
      </c>
      <c r="AK1385" t="s">
        <v>12111</v>
      </c>
      <c r="AL1385" s="2">
        <v>0</v>
      </c>
      <c r="AM1385" s="2">
        <v>0</v>
      </c>
      <c r="AN1385" s="2">
        <v>0</v>
      </c>
      <c r="AO1385" t="s">
        <v>11165</v>
      </c>
      <c r="AP1385" t="s">
        <v>44</v>
      </c>
      <c r="AQ1385" t="s">
        <v>44</v>
      </c>
    </row>
    <row r="1386" spans="1:43" x14ac:dyDescent="0.2">
      <c r="A1386" t="s">
        <v>12110</v>
      </c>
      <c r="B1386" t="s">
        <v>11408</v>
      </c>
      <c r="C1386" t="s">
        <v>11408</v>
      </c>
      <c r="D1386" t="s">
        <v>12129</v>
      </c>
      <c r="E1386" t="s">
        <v>12127</v>
      </c>
      <c r="F1386" t="s">
        <v>12130</v>
      </c>
      <c r="G1386" s="1">
        <v>-71778393.659999996</v>
      </c>
      <c r="H1386" s="2">
        <v>0</v>
      </c>
      <c r="I1386" s="2">
        <v>0</v>
      </c>
      <c r="J1386" s="2">
        <v>-188492.03</v>
      </c>
      <c r="K1386" s="2">
        <v>0</v>
      </c>
      <c r="L1386" s="2">
        <v>-188492.03</v>
      </c>
      <c r="M1386" s="3"/>
      <c r="N1386" s="4">
        <v>-4.2883999999999999E-4</v>
      </c>
      <c r="O1386" s="5" t="s">
        <v>44</v>
      </c>
      <c r="P1386" s="5">
        <v>44777</v>
      </c>
      <c r="Q1386" s="1">
        <v>0</v>
      </c>
      <c r="R1386" s="2"/>
      <c r="S1386" s="6"/>
      <c r="T1386" t="s">
        <v>11412</v>
      </c>
      <c r="U1386" t="s">
        <v>11413</v>
      </c>
      <c r="V1386" t="s">
        <v>11414</v>
      </c>
      <c r="W1386" t="s">
        <v>43</v>
      </c>
      <c r="X1386" t="s">
        <v>44</v>
      </c>
      <c r="Y1386" t="s">
        <v>44</v>
      </c>
      <c r="Z1386" t="s">
        <v>44</v>
      </c>
      <c r="AA1386" t="s">
        <v>10979</v>
      </c>
      <c r="AB1386" t="s">
        <v>44</v>
      </c>
      <c r="AC1386" s="4"/>
      <c r="AD1386" s="4"/>
      <c r="AE1386" s="2">
        <v>0</v>
      </c>
      <c r="AF1386" s="4">
        <v>0</v>
      </c>
      <c r="AG1386" s="2">
        <v>-0.09</v>
      </c>
      <c r="AH1386" s="2">
        <v>-71966885.689999998</v>
      </c>
      <c r="AI1386" s="2">
        <v>-0.16</v>
      </c>
      <c r="AJ1386" s="5">
        <v>44673</v>
      </c>
      <c r="AK1386" t="s">
        <v>12111</v>
      </c>
      <c r="AL1386" s="2">
        <v>0</v>
      </c>
      <c r="AM1386" s="2">
        <v>0</v>
      </c>
      <c r="AN1386" s="2">
        <v>0</v>
      </c>
      <c r="AO1386" t="s">
        <v>11165</v>
      </c>
      <c r="AP1386" t="s">
        <v>44</v>
      </c>
      <c r="AQ1386" t="s">
        <v>44</v>
      </c>
    </row>
    <row r="1387" spans="1:43" x14ac:dyDescent="0.2">
      <c r="A1387" t="s">
        <v>12110</v>
      </c>
      <c r="B1387" t="s">
        <v>11408</v>
      </c>
      <c r="C1387" t="s">
        <v>11408</v>
      </c>
      <c r="D1387" t="s">
        <v>12131</v>
      </c>
      <c r="E1387" t="s">
        <v>12127</v>
      </c>
      <c r="F1387" t="s">
        <v>12132</v>
      </c>
      <c r="G1387" s="1">
        <v>2374.5475999999999</v>
      </c>
      <c r="H1387" s="2">
        <v>0</v>
      </c>
      <c r="I1387" s="2">
        <v>-3195713.61</v>
      </c>
      <c r="J1387" s="2">
        <v>0</v>
      </c>
      <c r="K1387" s="2">
        <v>0</v>
      </c>
      <c r="L1387" s="2">
        <v>-3195713.61</v>
      </c>
      <c r="M1387" s="3">
        <v>28882.42</v>
      </c>
      <c r="N1387" s="4">
        <v>-7.2705900000000004E-3</v>
      </c>
      <c r="O1387" s="5" t="s">
        <v>44</v>
      </c>
      <c r="P1387" s="5">
        <v>44777</v>
      </c>
      <c r="Q1387" s="1">
        <v>0</v>
      </c>
      <c r="R1387" s="2"/>
      <c r="S1387" s="6"/>
      <c r="T1387" t="s">
        <v>11412</v>
      </c>
      <c r="U1387" t="s">
        <v>11413</v>
      </c>
      <c r="V1387" t="s">
        <v>11414</v>
      </c>
      <c r="W1387" t="s">
        <v>43</v>
      </c>
      <c r="X1387" t="s">
        <v>44</v>
      </c>
      <c r="Y1387" t="s">
        <v>44</v>
      </c>
      <c r="Z1387" t="s">
        <v>44</v>
      </c>
      <c r="AA1387" t="s">
        <v>10979</v>
      </c>
      <c r="AB1387" t="s">
        <v>44</v>
      </c>
      <c r="AC1387" s="4"/>
      <c r="AD1387" s="4"/>
      <c r="AE1387" s="2">
        <v>0</v>
      </c>
      <c r="AF1387" s="4">
        <v>0</v>
      </c>
      <c r="AG1387" s="2">
        <v>-1.47</v>
      </c>
      <c r="AH1387" s="2">
        <v>68582680.049999997</v>
      </c>
      <c r="AI1387" s="2">
        <v>0.16</v>
      </c>
      <c r="AJ1387" s="5">
        <v>44673</v>
      </c>
      <c r="AK1387" t="s">
        <v>12111</v>
      </c>
      <c r="AL1387" s="2">
        <v>0</v>
      </c>
      <c r="AM1387" s="2">
        <v>0</v>
      </c>
      <c r="AN1387" s="2">
        <v>0</v>
      </c>
      <c r="AO1387" t="s">
        <v>11165</v>
      </c>
      <c r="AP1387" t="s">
        <v>44</v>
      </c>
      <c r="AQ1387" t="s">
        <v>44</v>
      </c>
    </row>
    <row r="1388" spans="1:43" x14ac:dyDescent="0.2">
      <c r="A1388" t="s">
        <v>12110</v>
      </c>
      <c r="B1388" t="s">
        <v>11408</v>
      </c>
      <c r="C1388" t="s">
        <v>11408</v>
      </c>
      <c r="D1388" t="s">
        <v>12971</v>
      </c>
      <c r="E1388" t="s">
        <v>12972</v>
      </c>
      <c r="F1388" t="s">
        <v>12973</v>
      </c>
      <c r="G1388" s="1">
        <v>2362.4155000000001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3"/>
      <c r="N1388" s="4">
        <v>0</v>
      </c>
      <c r="O1388" s="5" t="s">
        <v>44</v>
      </c>
      <c r="P1388" s="5">
        <v>44777</v>
      </c>
      <c r="Q1388" s="1">
        <v>0</v>
      </c>
      <c r="R1388" s="2"/>
      <c r="S1388" s="6"/>
      <c r="T1388" t="s">
        <v>11412</v>
      </c>
      <c r="U1388" t="s">
        <v>11413</v>
      </c>
      <c r="V1388" t="s">
        <v>11414</v>
      </c>
      <c r="W1388" t="s">
        <v>43</v>
      </c>
      <c r="X1388" t="s">
        <v>44</v>
      </c>
      <c r="Y1388" t="s">
        <v>44</v>
      </c>
      <c r="Z1388" t="s">
        <v>44</v>
      </c>
      <c r="AA1388" t="s">
        <v>10979</v>
      </c>
      <c r="AB1388" t="s">
        <v>44</v>
      </c>
      <c r="AC1388" s="4"/>
      <c r="AD1388" s="4"/>
      <c r="AE1388" s="2">
        <v>0</v>
      </c>
      <c r="AF1388" s="4">
        <v>0</v>
      </c>
      <c r="AG1388" s="2">
        <v>0</v>
      </c>
      <c r="AH1388" s="2">
        <v>0</v>
      </c>
      <c r="AI1388" s="2">
        <v>0</v>
      </c>
      <c r="AJ1388" s="5">
        <v>44673</v>
      </c>
      <c r="AK1388" t="s">
        <v>12111</v>
      </c>
      <c r="AL1388" s="2">
        <v>0</v>
      </c>
      <c r="AM1388" s="2">
        <v>0</v>
      </c>
      <c r="AN1388" s="2">
        <v>0</v>
      </c>
      <c r="AO1388" t="s">
        <v>11165</v>
      </c>
      <c r="AP1388" t="s">
        <v>44</v>
      </c>
      <c r="AQ1388" t="s">
        <v>44</v>
      </c>
    </row>
    <row r="1389" spans="1:43" x14ac:dyDescent="0.2">
      <c r="A1389" t="s">
        <v>12110</v>
      </c>
      <c r="B1389" t="s">
        <v>11408</v>
      </c>
      <c r="C1389" t="s">
        <v>11408</v>
      </c>
      <c r="D1389" t="s">
        <v>12974</v>
      </c>
      <c r="E1389" t="s">
        <v>12972</v>
      </c>
      <c r="F1389" t="s">
        <v>12975</v>
      </c>
      <c r="G1389" s="1">
        <v>-70000001.329999998</v>
      </c>
      <c r="H1389" s="2">
        <v>0</v>
      </c>
      <c r="I1389" s="2">
        <v>0</v>
      </c>
      <c r="J1389" s="2">
        <v>-40527.120000000003</v>
      </c>
      <c r="K1389" s="2">
        <v>0</v>
      </c>
      <c r="L1389" s="2">
        <v>-40527.120000000003</v>
      </c>
      <c r="M1389" s="3"/>
      <c r="N1389" s="4">
        <v>-9.2200000000000005E-5</v>
      </c>
      <c r="O1389" s="5" t="s">
        <v>44</v>
      </c>
      <c r="P1389" s="5">
        <v>44777</v>
      </c>
      <c r="Q1389" s="1">
        <v>0</v>
      </c>
      <c r="R1389" s="2"/>
      <c r="S1389" s="6"/>
      <c r="T1389" t="s">
        <v>11412</v>
      </c>
      <c r="U1389" t="s">
        <v>11413</v>
      </c>
      <c r="V1389" t="s">
        <v>11414</v>
      </c>
      <c r="W1389" t="s">
        <v>43</v>
      </c>
      <c r="X1389" t="s">
        <v>44</v>
      </c>
      <c r="Y1389" t="s">
        <v>44</v>
      </c>
      <c r="Z1389" t="s">
        <v>44</v>
      </c>
      <c r="AA1389" t="s">
        <v>10979</v>
      </c>
      <c r="AB1389" t="s">
        <v>44</v>
      </c>
      <c r="AC1389" s="4"/>
      <c r="AD1389" s="4"/>
      <c r="AE1389" s="2">
        <v>0</v>
      </c>
      <c r="AF1389" s="4">
        <v>0</v>
      </c>
      <c r="AG1389" s="2">
        <v>-0.02</v>
      </c>
      <c r="AH1389" s="2">
        <v>-70040528.450000003</v>
      </c>
      <c r="AI1389" s="2">
        <v>-0.16</v>
      </c>
      <c r="AJ1389" s="5">
        <v>44673</v>
      </c>
      <c r="AK1389" t="s">
        <v>12111</v>
      </c>
      <c r="AL1389" s="2">
        <v>0</v>
      </c>
      <c r="AM1389" s="2">
        <v>0</v>
      </c>
      <c r="AN1389" s="2">
        <v>0</v>
      </c>
      <c r="AO1389" t="s">
        <v>11165</v>
      </c>
      <c r="AP1389" t="s">
        <v>44</v>
      </c>
      <c r="AQ1389" t="s">
        <v>44</v>
      </c>
    </row>
    <row r="1390" spans="1:43" x14ac:dyDescent="0.2">
      <c r="A1390" t="s">
        <v>12110</v>
      </c>
      <c r="B1390" t="s">
        <v>11408</v>
      </c>
      <c r="C1390" t="s">
        <v>11408</v>
      </c>
      <c r="D1390" t="s">
        <v>12976</v>
      </c>
      <c r="E1390" t="s">
        <v>12972</v>
      </c>
      <c r="F1390" t="s">
        <v>12977</v>
      </c>
      <c r="G1390" s="1">
        <v>2362.4155000000001</v>
      </c>
      <c r="H1390" s="2">
        <v>0</v>
      </c>
      <c r="I1390" s="2">
        <v>-1767724.64</v>
      </c>
      <c r="J1390" s="2">
        <v>0</v>
      </c>
      <c r="K1390" s="2">
        <v>0</v>
      </c>
      <c r="L1390" s="2">
        <v>-1767724.64</v>
      </c>
      <c r="M1390" s="3">
        <v>28882.42</v>
      </c>
      <c r="N1390" s="4">
        <v>-4.0217600000000001E-3</v>
      </c>
      <c r="O1390" s="5" t="s">
        <v>44</v>
      </c>
      <c r="P1390" s="5">
        <v>44777</v>
      </c>
      <c r="Q1390" s="1">
        <v>0</v>
      </c>
      <c r="R1390" s="2"/>
      <c r="S1390" s="6"/>
      <c r="T1390" t="s">
        <v>11412</v>
      </c>
      <c r="U1390" t="s">
        <v>11413</v>
      </c>
      <c r="V1390" t="s">
        <v>11414</v>
      </c>
      <c r="W1390" t="s">
        <v>43</v>
      </c>
      <c r="X1390" t="s">
        <v>44</v>
      </c>
      <c r="Y1390" t="s">
        <v>44</v>
      </c>
      <c r="Z1390" t="s">
        <v>44</v>
      </c>
      <c r="AA1390" t="s">
        <v>10979</v>
      </c>
      <c r="AB1390" t="s">
        <v>44</v>
      </c>
      <c r="AC1390" s="4"/>
      <c r="AD1390" s="4"/>
      <c r="AE1390" s="2">
        <v>0</v>
      </c>
      <c r="AF1390" s="4">
        <v>0</v>
      </c>
      <c r="AG1390" s="2">
        <v>-0.81</v>
      </c>
      <c r="AH1390" s="2">
        <v>68232276.689999998</v>
      </c>
      <c r="AI1390" s="2">
        <v>0.16</v>
      </c>
      <c r="AJ1390" s="5">
        <v>44673</v>
      </c>
      <c r="AK1390" t="s">
        <v>12111</v>
      </c>
      <c r="AL1390" s="2">
        <v>0</v>
      </c>
      <c r="AM1390" s="2">
        <v>0</v>
      </c>
      <c r="AN1390" s="2">
        <v>0</v>
      </c>
      <c r="AO1390" t="s">
        <v>11165</v>
      </c>
      <c r="AP1390" t="s">
        <v>44</v>
      </c>
      <c r="AQ1390" t="s">
        <v>44</v>
      </c>
    </row>
    <row r="1391" spans="1:43" x14ac:dyDescent="0.2">
      <c r="A1391" t="s">
        <v>12110</v>
      </c>
      <c r="B1391" t="s">
        <v>11030</v>
      </c>
      <c r="C1391" t="s">
        <v>11030</v>
      </c>
      <c r="D1391" t="s">
        <v>11775</v>
      </c>
      <c r="E1391" t="s">
        <v>11754</v>
      </c>
      <c r="F1391" t="s">
        <v>11775</v>
      </c>
      <c r="G1391" s="1">
        <v>163</v>
      </c>
      <c r="H1391" s="2"/>
      <c r="I1391" s="2">
        <v>0</v>
      </c>
      <c r="J1391" s="2"/>
      <c r="K1391" s="2"/>
      <c r="L1391" s="2">
        <v>0</v>
      </c>
      <c r="M1391" s="3"/>
      <c r="N1391" s="4">
        <v>0</v>
      </c>
      <c r="O1391" s="5" t="s">
        <v>44</v>
      </c>
      <c r="P1391" s="5" t="s">
        <v>44</v>
      </c>
      <c r="Q1391" s="1"/>
      <c r="R1391" s="2"/>
      <c r="S1391" s="6"/>
      <c r="T1391" t="s">
        <v>11031</v>
      </c>
      <c r="U1391" t="s">
        <v>11032</v>
      </c>
      <c r="V1391" t="s">
        <v>45</v>
      </c>
      <c r="W1391" t="s">
        <v>43</v>
      </c>
      <c r="X1391" t="s">
        <v>44</v>
      </c>
      <c r="Y1391" t="s">
        <v>44</v>
      </c>
      <c r="Z1391" t="s">
        <v>44</v>
      </c>
      <c r="AA1391" t="s">
        <v>44</v>
      </c>
      <c r="AB1391" t="s">
        <v>44</v>
      </c>
      <c r="AC1391" s="4"/>
      <c r="AD1391" s="4"/>
      <c r="AE1391" s="2">
        <v>0</v>
      </c>
      <c r="AF1391" s="4">
        <v>0</v>
      </c>
      <c r="AG1391" s="2">
        <v>0</v>
      </c>
      <c r="AH1391" s="2">
        <v>-32619560</v>
      </c>
      <c r="AI1391" s="2">
        <v>-7.0000000000000007E-2</v>
      </c>
      <c r="AJ1391" s="5">
        <v>44673</v>
      </c>
      <c r="AK1391" t="s">
        <v>12111</v>
      </c>
      <c r="AL1391" s="2">
        <v>0</v>
      </c>
      <c r="AM1391" s="2">
        <v>0</v>
      </c>
      <c r="AN1391" s="2">
        <v>0</v>
      </c>
      <c r="AO1391" t="s">
        <v>44</v>
      </c>
      <c r="AP1391" t="s">
        <v>44</v>
      </c>
      <c r="AQ1391" t="s">
        <v>11182</v>
      </c>
    </row>
    <row r="1392" spans="1:43" x14ac:dyDescent="0.2">
      <c r="A1392" t="s">
        <v>12133</v>
      </c>
      <c r="B1392" t="s">
        <v>45</v>
      </c>
      <c r="C1392" t="s">
        <v>11000</v>
      </c>
      <c r="D1392" t="s">
        <v>11268</v>
      </c>
      <c r="E1392" t="s">
        <v>11269</v>
      </c>
      <c r="F1392" t="s">
        <v>11268</v>
      </c>
      <c r="G1392" s="1">
        <v>24889104.949999999</v>
      </c>
      <c r="H1392" s="2">
        <v>24889104.949999999</v>
      </c>
      <c r="I1392" s="2">
        <v>24889104.949999999</v>
      </c>
      <c r="J1392" s="2">
        <v>79954.720000000001</v>
      </c>
      <c r="K1392" s="2">
        <v>0</v>
      </c>
      <c r="L1392" s="2">
        <v>24969059.670000002</v>
      </c>
      <c r="M1392" s="3">
        <v>4.617</v>
      </c>
      <c r="N1392" s="4">
        <v>5.6807299999999998E-2</v>
      </c>
      <c r="O1392" s="5" t="s">
        <v>44</v>
      </c>
      <c r="P1392" s="5">
        <v>47848</v>
      </c>
      <c r="Q1392" s="1">
        <v>4.617</v>
      </c>
      <c r="R1392" s="2">
        <v>0.08</v>
      </c>
      <c r="S1392" s="6"/>
      <c r="T1392" t="s">
        <v>112</v>
      </c>
      <c r="U1392" t="s">
        <v>46</v>
      </c>
      <c r="V1392" t="s">
        <v>11270</v>
      </c>
      <c r="W1392" t="s">
        <v>43</v>
      </c>
      <c r="X1392" t="s">
        <v>44</v>
      </c>
      <c r="Y1392" t="s">
        <v>44</v>
      </c>
      <c r="Z1392" t="s">
        <v>44</v>
      </c>
      <c r="AA1392" t="s">
        <v>44</v>
      </c>
      <c r="AB1392" t="s">
        <v>44</v>
      </c>
      <c r="AC1392" s="4">
        <v>4.7160921900000004</v>
      </c>
      <c r="AD1392" s="4">
        <v>4.6171215200000004</v>
      </c>
      <c r="AE1392" s="2">
        <v>4.72</v>
      </c>
      <c r="AF1392" s="4">
        <v>4.6171215200000004</v>
      </c>
      <c r="AG1392" s="2">
        <v>2.56</v>
      </c>
      <c r="AH1392" s="2">
        <v>24969059.670000002</v>
      </c>
      <c r="AI1392" s="2">
        <v>0.06</v>
      </c>
      <c r="AJ1392" s="5">
        <v>44673</v>
      </c>
      <c r="AK1392" t="s">
        <v>12134</v>
      </c>
      <c r="AL1392" s="2">
        <v>4.66</v>
      </c>
      <c r="AM1392" s="2">
        <v>4.62</v>
      </c>
      <c r="AN1392" s="2">
        <v>0</v>
      </c>
      <c r="AO1392" t="s">
        <v>44</v>
      </c>
      <c r="AP1392" t="s">
        <v>44</v>
      </c>
      <c r="AQ1392" t="s">
        <v>11269</v>
      </c>
    </row>
    <row r="1393" spans="1:43" x14ac:dyDescent="0.2">
      <c r="A1393" t="s">
        <v>12133</v>
      </c>
      <c r="B1393" t="s">
        <v>45</v>
      </c>
      <c r="C1393" t="s">
        <v>11000</v>
      </c>
      <c r="D1393" t="s">
        <v>11271</v>
      </c>
      <c r="E1393" t="s">
        <v>11272</v>
      </c>
      <c r="F1393" t="s">
        <v>11271</v>
      </c>
      <c r="G1393" s="1">
        <v>23580000</v>
      </c>
      <c r="H1393" s="2">
        <v>23580000</v>
      </c>
      <c r="I1393" s="2">
        <v>23580000</v>
      </c>
      <c r="J1393" s="2">
        <v>75749.3</v>
      </c>
      <c r="K1393" s="2">
        <v>0</v>
      </c>
      <c r="L1393" s="2">
        <v>23655749.300000001</v>
      </c>
      <c r="M1393" s="3">
        <v>4.617</v>
      </c>
      <c r="N1393" s="4">
        <v>5.381938E-2</v>
      </c>
      <c r="O1393" s="5" t="s">
        <v>44</v>
      </c>
      <c r="P1393" s="5">
        <v>47848</v>
      </c>
      <c r="Q1393" s="1">
        <v>4.617</v>
      </c>
      <c r="R1393" s="2">
        <v>0.08</v>
      </c>
      <c r="S1393" s="6"/>
      <c r="T1393" t="s">
        <v>112</v>
      </c>
      <c r="U1393" t="s">
        <v>46</v>
      </c>
      <c r="V1393" t="s">
        <v>11270</v>
      </c>
      <c r="W1393" t="s">
        <v>43</v>
      </c>
      <c r="X1393" t="s">
        <v>44</v>
      </c>
      <c r="Y1393" t="s">
        <v>44</v>
      </c>
      <c r="Z1393" t="s">
        <v>44</v>
      </c>
      <c r="AA1393" t="s">
        <v>44</v>
      </c>
      <c r="AB1393" t="s">
        <v>44</v>
      </c>
      <c r="AC1393" s="4">
        <v>4.7160921900000004</v>
      </c>
      <c r="AD1393" s="4">
        <v>4.6171215200000004</v>
      </c>
      <c r="AE1393" s="2">
        <v>4.72</v>
      </c>
      <c r="AF1393" s="4">
        <v>4.6171215200000004</v>
      </c>
      <c r="AG1393" s="2">
        <v>2.4300000000000002</v>
      </c>
      <c r="AH1393" s="2">
        <v>23655749.300000001</v>
      </c>
      <c r="AI1393" s="2">
        <v>0.05</v>
      </c>
      <c r="AJ1393" s="5">
        <v>44673</v>
      </c>
      <c r="AK1393" t="s">
        <v>12134</v>
      </c>
      <c r="AL1393" s="2">
        <v>4.66</v>
      </c>
      <c r="AM1393" s="2">
        <v>4.62</v>
      </c>
      <c r="AN1393" s="2">
        <v>0</v>
      </c>
      <c r="AO1393" t="s">
        <v>44</v>
      </c>
      <c r="AP1393" t="s">
        <v>44</v>
      </c>
      <c r="AQ1393" t="s">
        <v>11272</v>
      </c>
    </row>
    <row r="1394" spans="1:43" x14ac:dyDescent="0.2">
      <c r="A1394" t="s">
        <v>12133</v>
      </c>
      <c r="B1394" t="s">
        <v>45</v>
      </c>
      <c r="C1394" t="s">
        <v>11000</v>
      </c>
      <c r="D1394" t="s">
        <v>11001</v>
      </c>
      <c r="E1394" t="s">
        <v>11002</v>
      </c>
      <c r="F1394" t="s">
        <v>11001</v>
      </c>
      <c r="G1394" s="1">
        <v>153052436.19</v>
      </c>
      <c r="H1394" s="2">
        <v>153052436.19</v>
      </c>
      <c r="I1394" s="2">
        <v>153052436.19</v>
      </c>
      <c r="J1394" s="2">
        <v>486952.06</v>
      </c>
      <c r="K1394" s="2">
        <v>0</v>
      </c>
      <c r="L1394" s="2">
        <v>153539388.25</v>
      </c>
      <c r="M1394" s="3"/>
      <c r="N1394" s="4">
        <v>0.34931864000000001</v>
      </c>
      <c r="O1394" s="5">
        <v>40756</v>
      </c>
      <c r="P1394" s="5">
        <v>73020</v>
      </c>
      <c r="Q1394" s="1">
        <v>0</v>
      </c>
      <c r="R1394" s="2"/>
      <c r="S1394" s="6"/>
      <c r="T1394" t="s">
        <v>111</v>
      </c>
      <c r="U1394" t="s">
        <v>11003</v>
      </c>
      <c r="V1394" t="s">
        <v>46</v>
      </c>
      <c r="W1394" t="s">
        <v>43</v>
      </c>
      <c r="X1394" t="s">
        <v>44</v>
      </c>
      <c r="Y1394" t="s">
        <v>44</v>
      </c>
      <c r="Z1394" t="s">
        <v>44</v>
      </c>
      <c r="AA1394" t="s">
        <v>44</v>
      </c>
      <c r="AB1394" t="s">
        <v>44</v>
      </c>
      <c r="AC1394" s="4"/>
      <c r="AD1394" s="4"/>
      <c r="AE1394" s="2">
        <v>0</v>
      </c>
      <c r="AF1394" s="4">
        <v>0</v>
      </c>
      <c r="AG1394" s="2">
        <v>15.76</v>
      </c>
      <c r="AH1394" s="2">
        <v>153539388.25</v>
      </c>
      <c r="AI1394" s="2">
        <v>0.35</v>
      </c>
      <c r="AJ1394" s="5">
        <v>44673</v>
      </c>
      <c r="AK1394" t="s">
        <v>12134</v>
      </c>
      <c r="AL1394" s="2">
        <v>0</v>
      </c>
      <c r="AM1394" s="2">
        <v>0</v>
      </c>
      <c r="AN1394" s="2">
        <v>0</v>
      </c>
      <c r="AO1394" t="s">
        <v>44</v>
      </c>
      <c r="AP1394" t="s">
        <v>11004</v>
      </c>
      <c r="AQ1394" t="s">
        <v>11002</v>
      </c>
    </row>
    <row r="1395" spans="1:43" x14ac:dyDescent="0.2">
      <c r="A1395" t="s">
        <v>12133</v>
      </c>
      <c r="B1395" t="s">
        <v>45</v>
      </c>
      <c r="C1395" t="s">
        <v>11144</v>
      </c>
      <c r="D1395" t="s">
        <v>11145</v>
      </c>
      <c r="E1395" t="s">
        <v>11146</v>
      </c>
      <c r="F1395" t="s">
        <v>11147</v>
      </c>
      <c r="G1395" s="1">
        <v>13244903</v>
      </c>
      <c r="H1395" s="2">
        <v>13244903</v>
      </c>
      <c r="I1395" s="2">
        <v>13244903</v>
      </c>
      <c r="J1395" s="2">
        <v>35461.96</v>
      </c>
      <c r="K1395" s="2">
        <v>0</v>
      </c>
      <c r="L1395" s="2">
        <v>13280364.960000001</v>
      </c>
      <c r="M1395" s="3">
        <v>6.88</v>
      </c>
      <c r="N1395" s="4">
        <v>3.021426E-2</v>
      </c>
      <c r="O1395" s="5" t="s">
        <v>44</v>
      </c>
      <c r="P1395" s="5">
        <v>55153</v>
      </c>
      <c r="Q1395" s="1">
        <v>6.88</v>
      </c>
      <c r="R1395" s="2">
        <v>0.08</v>
      </c>
      <c r="S1395" s="6">
        <v>2.6006750000000002E-3</v>
      </c>
      <c r="T1395" t="s">
        <v>112</v>
      </c>
      <c r="U1395" t="s">
        <v>46</v>
      </c>
      <c r="V1395" t="s">
        <v>11148</v>
      </c>
      <c r="W1395" t="s">
        <v>43</v>
      </c>
      <c r="X1395" t="s">
        <v>44</v>
      </c>
      <c r="Y1395" t="s">
        <v>44</v>
      </c>
      <c r="Z1395" t="s">
        <v>44</v>
      </c>
      <c r="AA1395" t="s">
        <v>44</v>
      </c>
      <c r="AB1395" t="s">
        <v>44</v>
      </c>
      <c r="AC1395" s="4"/>
      <c r="AD1395" s="4"/>
      <c r="AE1395" s="2">
        <v>0</v>
      </c>
      <c r="AF1395" s="4">
        <v>0</v>
      </c>
      <c r="AG1395" s="2">
        <v>1.36</v>
      </c>
      <c r="AH1395" s="2">
        <v>13280364.960000001</v>
      </c>
      <c r="AI1395" s="2">
        <v>0.03</v>
      </c>
      <c r="AJ1395" s="5">
        <v>44673</v>
      </c>
      <c r="AK1395" t="s">
        <v>12134</v>
      </c>
      <c r="AL1395" s="2">
        <v>0</v>
      </c>
      <c r="AM1395" s="2">
        <v>6.88</v>
      </c>
      <c r="AN1395" s="2">
        <v>0</v>
      </c>
      <c r="AO1395" t="s">
        <v>11146</v>
      </c>
      <c r="AP1395" t="s">
        <v>44</v>
      </c>
      <c r="AQ1395" t="s">
        <v>11146</v>
      </c>
    </row>
    <row r="1396" spans="1:43" x14ac:dyDescent="0.2">
      <c r="A1396" t="s">
        <v>12133</v>
      </c>
      <c r="B1396" t="s">
        <v>45</v>
      </c>
      <c r="C1396" t="s">
        <v>47</v>
      </c>
      <c r="D1396" t="s">
        <v>48</v>
      </c>
      <c r="E1396" t="s">
        <v>49</v>
      </c>
      <c r="F1396" t="s">
        <v>50</v>
      </c>
      <c r="G1396" s="1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9719.5400000000009</v>
      </c>
      <c r="M1396" s="3"/>
      <c r="N1396" s="4">
        <v>2.211E-5</v>
      </c>
      <c r="O1396" s="5" t="s">
        <v>44</v>
      </c>
      <c r="P1396" s="5" t="s">
        <v>44</v>
      </c>
      <c r="Q1396" s="1"/>
      <c r="R1396" s="2">
        <v>0.08</v>
      </c>
      <c r="S1396" s="6"/>
      <c r="T1396" t="s">
        <v>45</v>
      </c>
      <c r="U1396" t="s">
        <v>46</v>
      </c>
      <c r="V1396" t="s">
        <v>44</v>
      </c>
      <c r="W1396" t="s">
        <v>43</v>
      </c>
      <c r="X1396" t="s">
        <v>44</v>
      </c>
      <c r="Y1396" t="s">
        <v>44</v>
      </c>
      <c r="Z1396" t="s">
        <v>44</v>
      </c>
      <c r="AA1396" t="s">
        <v>44</v>
      </c>
      <c r="AB1396" t="s">
        <v>44</v>
      </c>
      <c r="AC1396" s="4">
        <v>5.1163389600000002</v>
      </c>
      <c r="AD1396" s="4">
        <v>5.0001424999999999</v>
      </c>
      <c r="AE1396" s="2">
        <v>5.12</v>
      </c>
      <c r="AF1396" s="4">
        <v>5.0001424999999999</v>
      </c>
      <c r="AG1396" s="2">
        <v>0</v>
      </c>
      <c r="AH1396" s="2">
        <v>9719.5400000000009</v>
      </c>
      <c r="AI1396" s="2">
        <v>0</v>
      </c>
      <c r="AJ1396" s="5">
        <v>44673</v>
      </c>
      <c r="AK1396" t="s">
        <v>12134</v>
      </c>
      <c r="AL1396" s="2">
        <v>5.05</v>
      </c>
      <c r="AM1396" s="2">
        <v>0</v>
      </c>
      <c r="AN1396" s="2">
        <v>0</v>
      </c>
      <c r="AO1396" t="s">
        <v>44</v>
      </c>
      <c r="AP1396" t="s">
        <v>44</v>
      </c>
      <c r="AQ1396" t="s">
        <v>44</v>
      </c>
    </row>
    <row r="1397" spans="1:43" x14ac:dyDescent="0.2">
      <c r="A1397" t="s">
        <v>12133</v>
      </c>
      <c r="B1397" t="s">
        <v>45</v>
      </c>
      <c r="C1397" t="s">
        <v>47</v>
      </c>
      <c r="D1397" t="s">
        <v>51</v>
      </c>
      <c r="E1397" t="s">
        <v>52</v>
      </c>
      <c r="F1397" t="s">
        <v>51</v>
      </c>
      <c r="G1397" s="1">
        <v>632181.66</v>
      </c>
      <c r="H1397" s="2">
        <v>632181.66</v>
      </c>
      <c r="I1397" s="2">
        <v>632181.66</v>
      </c>
      <c r="J1397" s="2">
        <v>0</v>
      </c>
      <c r="K1397" s="2">
        <v>0</v>
      </c>
      <c r="L1397" s="2">
        <v>632181.66</v>
      </c>
      <c r="M1397" s="3"/>
      <c r="N1397" s="4">
        <v>1.4382799999999999E-3</v>
      </c>
      <c r="O1397" s="5" t="s">
        <v>44</v>
      </c>
      <c r="P1397" s="5" t="s">
        <v>44</v>
      </c>
      <c r="Q1397" s="1"/>
      <c r="R1397" s="2">
        <v>0.08</v>
      </c>
      <c r="S1397" s="6"/>
      <c r="T1397" t="s">
        <v>45</v>
      </c>
      <c r="U1397" t="s">
        <v>53</v>
      </c>
      <c r="V1397" t="s">
        <v>44</v>
      </c>
      <c r="W1397" t="s">
        <v>43</v>
      </c>
      <c r="X1397" t="s">
        <v>44</v>
      </c>
      <c r="Y1397" t="s">
        <v>44</v>
      </c>
      <c r="Z1397" t="s">
        <v>44</v>
      </c>
      <c r="AA1397" t="s">
        <v>44</v>
      </c>
      <c r="AB1397" t="s">
        <v>44</v>
      </c>
      <c r="AC1397" s="4">
        <v>5.1163389600000002</v>
      </c>
      <c r="AD1397" s="4">
        <v>5.0001424999999999</v>
      </c>
      <c r="AE1397" s="2">
        <v>5.12</v>
      </c>
      <c r="AF1397" s="4">
        <v>5.0001424999999999</v>
      </c>
      <c r="AG1397" s="2">
        <v>0.06</v>
      </c>
      <c r="AH1397" s="2">
        <v>632181.66</v>
      </c>
      <c r="AI1397" s="2">
        <v>0</v>
      </c>
      <c r="AJ1397" s="5">
        <v>44673</v>
      </c>
      <c r="AK1397" t="s">
        <v>12134</v>
      </c>
      <c r="AL1397" s="2">
        <v>5.05</v>
      </c>
      <c r="AM1397" s="2">
        <v>0</v>
      </c>
      <c r="AN1397" s="2">
        <v>0</v>
      </c>
      <c r="AO1397" t="s">
        <v>44</v>
      </c>
      <c r="AP1397" t="s">
        <v>44</v>
      </c>
      <c r="AQ1397" t="s">
        <v>43</v>
      </c>
    </row>
    <row r="1398" spans="1:43" x14ac:dyDescent="0.2">
      <c r="A1398" t="s">
        <v>12133</v>
      </c>
      <c r="B1398" t="s">
        <v>45</v>
      </c>
      <c r="C1398" t="s">
        <v>11005</v>
      </c>
      <c r="D1398" t="s">
        <v>11009</v>
      </c>
      <c r="E1398" t="s">
        <v>11010</v>
      </c>
      <c r="F1398" t="s">
        <v>44</v>
      </c>
      <c r="G1398" s="1">
        <v>-129637.93</v>
      </c>
      <c r="H1398" s="2">
        <v>-129637.93</v>
      </c>
      <c r="I1398" s="2">
        <v>-129637.93</v>
      </c>
      <c r="J1398" s="2">
        <v>0</v>
      </c>
      <c r="K1398" s="2"/>
      <c r="L1398" s="2">
        <v>-129637.93</v>
      </c>
      <c r="M1398" s="3"/>
      <c r="N1398" s="4">
        <v>-2.9493999999999999E-4</v>
      </c>
      <c r="O1398" s="5" t="s">
        <v>44</v>
      </c>
      <c r="P1398" s="5">
        <v>73051</v>
      </c>
      <c r="Q1398" s="1">
        <v>0</v>
      </c>
      <c r="R1398" s="2">
        <v>0.08</v>
      </c>
      <c r="S1398" s="6"/>
      <c r="T1398" t="s">
        <v>45</v>
      </c>
      <c r="U1398" t="s">
        <v>44</v>
      </c>
      <c r="V1398" t="s">
        <v>44</v>
      </c>
      <c r="W1398" t="s">
        <v>43</v>
      </c>
      <c r="X1398" t="s">
        <v>44</v>
      </c>
      <c r="Y1398" t="s">
        <v>44</v>
      </c>
      <c r="Z1398" t="s">
        <v>44</v>
      </c>
      <c r="AA1398" t="s">
        <v>44</v>
      </c>
      <c r="AB1398" t="s">
        <v>44</v>
      </c>
      <c r="AC1398" s="4">
        <v>5.1163389600000002</v>
      </c>
      <c r="AD1398" s="4">
        <v>5.0001424999999999</v>
      </c>
      <c r="AE1398" s="2">
        <v>5.12</v>
      </c>
      <c r="AF1398" s="4">
        <v>5.0001424999999999</v>
      </c>
      <c r="AG1398" s="2">
        <v>-0.01</v>
      </c>
      <c r="AH1398" s="2">
        <v>-129637.93</v>
      </c>
      <c r="AI1398" s="2">
        <v>0</v>
      </c>
      <c r="AJ1398" s="5">
        <v>44673</v>
      </c>
      <c r="AK1398" t="s">
        <v>12134</v>
      </c>
      <c r="AL1398" s="2">
        <v>5.05</v>
      </c>
      <c r="AM1398" s="2">
        <v>0</v>
      </c>
      <c r="AN1398" s="2">
        <v>0</v>
      </c>
      <c r="AO1398" t="s">
        <v>44</v>
      </c>
      <c r="AP1398" t="s">
        <v>44</v>
      </c>
      <c r="AQ1398" t="s">
        <v>44</v>
      </c>
    </row>
    <row r="1399" spans="1:43" x14ac:dyDescent="0.2">
      <c r="A1399" t="s">
        <v>12133</v>
      </c>
      <c r="B1399" t="s">
        <v>45</v>
      </c>
      <c r="C1399" t="s">
        <v>11005</v>
      </c>
      <c r="D1399" t="s">
        <v>11149</v>
      </c>
      <c r="E1399" t="s">
        <v>11150</v>
      </c>
      <c r="F1399" t="s">
        <v>44</v>
      </c>
      <c r="G1399" s="1">
        <v>-1381580</v>
      </c>
      <c r="H1399" s="2">
        <v>-1381580</v>
      </c>
      <c r="I1399" s="2">
        <v>-1381580</v>
      </c>
      <c r="J1399" s="2">
        <v>0</v>
      </c>
      <c r="K1399" s="2"/>
      <c r="L1399" s="2">
        <v>-1381580</v>
      </c>
      <c r="M1399" s="3"/>
      <c r="N1399" s="4">
        <v>-3.1432399999999998E-3</v>
      </c>
      <c r="O1399" s="5" t="s">
        <v>44</v>
      </c>
      <c r="P1399" s="5">
        <v>73051</v>
      </c>
      <c r="Q1399" s="1">
        <v>0</v>
      </c>
      <c r="R1399" s="2">
        <v>0.08</v>
      </c>
      <c r="S1399" s="6"/>
      <c r="T1399" t="s">
        <v>45</v>
      </c>
      <c r="U1399" t="s">
        <v>44</v>
      </c>
      <c r="V1399" t="s">
        <v>44</v>
      </c>
      <c r="W1399" t="s">
        <v>43</v>
      </c>
      <c r="X1399" t="s">
        <v>44</v>
      </c>
      <c r="Y1399" t="s">
        <v>44</v>
      </c>
      <c r="Z1399" t="s">
        <v>44</v>
      </c>
      <c r="AA1399" t="s">
        <v>44</v>
      </c>
      <c r="AB1399" t="s">
        <v>44</v>
      </c>
      <c r="AC1399" s="4">
        <v>5.1163389600000002</v>
      </c>
      <c r="AD1399" s="4">
        <v>5.0001424999999999</v>
      </c>
      <c r="AE1399" s="2">
        <v>5.12</v>
      </c>
      <c r="AF1399" s="4">
        <v>5.0001424999999999</v>
      </c>
      <c r="AG1399" s="2">
        <v>-0.14000000000000001</v>
      </c>
      <c r="AH1399" s="2">
        <v>-1381580</v>
      </c>
      <c r="AI1399" s="2">
        <v>0</v>
      </c>
      <c r="AJ1399" s="5">
        <v>44673</v>
      </c>
      <c r="AK1399" t="s">
        <v>12134</v>
      </c>
      <c r="AL1399" s="2">
        <v>5.05</v>
      </c>
      <c r="AM1399" s="2">
        <v>0</v>
      </c>
      <c r="AN1399" s="2">
        <v>0</v>
      </c>
      <c r="AO1399" t="s">
        <v>44</v>
      </c>
      <c r="AP1399" t="s">
        <v>44</v>
      </c>
      <c r="AQ1399" t="s">
        <v>44</v>
      </c>
    </row>
    <row r="1400" spans="1:43" x14ac:dyDescent="0.2">
      <c r="A1400" t="s">
        <v>12133</v>
      </c>
      <c r="B1400" t="s">
        <v>11013</v>
      </c>
      <c r="C1400" t="s">
        <v>11014</v>
      </c>
      <c r="D1400" t="s">
        <v>11751</v>
      </c>
      <c r="E1400" t="s">
        <v>11752</v>
      </c>
      <c r="F1400" t="s">
        <v>11751</v>
      </c>
      <c r="G1400" s="1">
        <v>487132152.48070002</v>
      </c>
      <c r="H1400" s="2">
        <v>501232990.11000001</v>
      </c>
      <c r="I1400" s="2">
        <v>483283808.48000002</v>
      </c>
      <c r="J1400" s="2">
        <v>0</v>
      </c>
      <c r="K1400" s="2">
        <v>0</v>
      </c>
      <c r="L1400" s="2">
        <v>483283808.48000002</v>
      </c>
      <c r="M1400" s="3">
        <v>0.99209999999999998</v>
      </c>
      <c r="N1400" s="4">
        <v>1.0995227000000001</v>
      </c>
      <c r="O1400" s="5" t="s">
        <v>44</v>
      </c>
      <c r="P1400" s="5" t="s">
        <v>44</v>
      </c>
      <c r="Q1400" s="1"/>
      <c r="R1400" s="2"/>
      <c r="S1400" s="6"/>
      <c r="T1400" t="s">
        <v>10902</v>
      </c>
      <c r="U1400" t="s">
        <v>11003</v>
      </c>
      <c r="V1400" t="s">
        <v>11003</v>
      </c>
      <c r="W1400" t="s">
        <v>43</v>
      </c>
      <c r="X1400" t="s">
        <v>44</v>
      </c>
      <c r="Y1400" t="s">
        <v>44</v>
      </c>
      <c r="Z1400" t="s">
        <v>44</v>
      </c>
      <c r="AA1400" t="s">
        <v>44</v>
      </c>
      <c r="AB1400" t="s">
        <v>44</v>
      </c>
      <c r="AC1400" s="4"/>
      <c r="AD1400" s="4"/>
      <c r="AE1400" s="2">
        <v>0</v>
      </c>
      <c r="AF1400" s="4">
        <v>0</v>
      </c>
      <c r="AG1400" s="2">
        <v>49.61</v>
      </c>
      <c r="AH1400" s="2">
        <v>483283808.48000002</v>
      </c>
      <c r="AI1400" s="2">
        <v>1.1000000000000001</v>
      </c>
      <c r="AJ1400" s="5">
        <v>44673</v>
      </c>
      <c r="AK1400" t="s">
        <v>12134</v>
      </c>
      <c r="AL1400" s="2">
        <v>0</v>
      </c>
      <c r="AM1400" s="2">
        <v>0</v>
      </c>
      <c r="AN1400" s="2">
        <v>0</v>
      </c>
      <c r="AO1400" t="s">
        <v>44</v>
      </c>
      <c r="AP1400" t="s">
        <v>11753</v>
      </c>
      <c r="AQ1400" t="s">
        <v>11752</v>
      </c>
    </row>
    <row r="1401" spans="1:43" x14ac:dyDescent="0.2">
      <c r="A1401" t="s">
        <v>12133</v>
      </c>
      <c r="B1401" t="s">
        <v>11024</v>
      </c>
      <c r="C1401" t="s">
        <v>57</v>
      </c>
      <c r="D1401" t="s">
        <v>11754</v>
      </c>
      <c r="E1401" t="s">
        <v>11754</v>
      </c>
      <c r="F1401" t="s">
        <v>11754</v>
      </c>
      <c r="G1401" s="1">
        <v>59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3">
        <v>20012</v>
      </c>
      <c r="N1401" s="4">
        <v>0</v>
      </c>
      <c r="O1401" s="5" t="s">
        <v>44</v>
      </c>
      <c r="P1401" s="5">
        <v>44727</v>
      </c>
      <c r="Q1401" s="1"/>
      <c r="R1401" s="2"/>
      <c r="S1401" s="6"/>
      <c r="T1401" t="s">
        <v>11026</v>
      </c>
      <c r="U1401" t="s">
        <v>11025</v>
      </c>
      <c r="V1401" t="s">
        <v>11027</v>
      </c>
      <c r="W1401" t="s">
        <v>43</v>
      </c>
      <c r="X1401" t="s">
        <v>44</v>
      </c>
      <c r="Y1401" t="s">
        <v>44</v>
      </c>
      <c r="Z1401" t="s">
        <v>44</v>
      </c>
      <c r="AA1401" t="s">
        <v>44</v>
      </c>
      <c r="AB1401" t="s">
        <v>44</v>
      </c>
      <c r="AC1401" s="4"/>
      <c r="AD1401" s="4"/>
      <c r="AE1401" s="2">
        <v>0</v>
      </c>
      <c r="AF1401" s="4">
        <v>0</v>
      </c>
      <c r="AG1401" s="2">
        <v>0</v>
      </c>
      <c r="AH1401" s="2">
        <v>11807080</v>
      </c>
      <c r="AI1401" s="2">
        <v>0.03</v>
      </c>
      <c r="AJ1401" s="5">
        <v>44673</v>
      </c>
      <c r="AK1401" t="s">
        <v>12134</v>
      </c>
      <c r="AL1401" s="2">
        <v>0</v>
      </c>
      <c r="AM1401" s="2">
        <v>0</v>
      </c>
      <c r="AN1401" s="2">
        <v>0</v>
      </c>
      <c r="AO1401" t="s">
        <v>44</v>
      </c>
      <c r="AP1401" t="s">
        <v>11755</v>
      </c>
      <c r="AQ1401" t="s">
        <v>11754</v>
      </c>
    </row>
    <row r="1402" spans="1:43" x14ac:dyDescent="0.2">
      <c r="A1402" t="s">
        <v>12133</v>
      </c>
      <c r="B1402" t="s">
        <v>11024</v>
      </c>
      <c r="C1402" t="s">
        <v>57</v>
      </c>
      <c r="D1402" t="s">
        <v>11756</v>
      </c>
      <c r="E1402" t="s">
        <v>11756</v>
      </c>
      <c r="F1402" t="s">
        <v>11756</v>
      </c>
      <c r="G1402" s="1">
        <v>387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3">
        <v>29067</v>
      </c>
      <c r="N1402" s="4">
        <v>0</v>
      </c>
      <c r="O1402" s="5" t="s">
        <v>44</v>
      </c>
      <c r="P1402" s="5">
        <v>44727</v>
      </c>
      <c r="Q1402" s="1"/>
      <c r="R1402" s="2"/>
      <c r="S1402" s="6"/>
      <c r="T1402" t="s">
        <v>11026</v>
      </c>
      <c r="U1402" t="s">
        <v>11025</v>
      </c>
      <c r="V1402" t="s">
        <v>11027</v>
      </c>
      <c r="W1402" t="s">
        <v>43</v>
      </c>
      <c r="X1402" t="s">
        <v>44</v>
      </c>
      <c r="Y1402" t="s">
        <v>44</v>
      </c>
      <c r="Z1402" t="s">
        <v>44</v>
      </c>
      <c r="AA1402" t="s">
        <v>44</v>
      </c>
      <c r="AB1402" t="s">
        <v>44</v>
      </c>
      <c r="AC1402" s="4"/>
      <c r="AD1402" s="4"/>
      <c r="AE1402" s="2">
        <v>0</v>
      </c>
      <c r="AF1402" s="4">
        <v>0</v>
      </c>
      <c r="AG1402" s="2">
        <v>0</v>
      </c>
      <c r="AH1402" s="2">
        <v>112489290</v>
      </c>
      <c r="AI1402" s="2">
        <v>0.26</v>
      </c>
      <c r="AJ1402" s="5">
        <v>44673</v>
      </c>
      <c r="AK1402" t="s">
        <v>12134</v>
      </c>
      <c r="AL1402" s="2">
        <v>0</v>
      </c>
      <c r="AM1402" s="2">
        <v>0</v>
      </c>
      <c r="AN1402" s="2">
        <v>0</v>
      </c>
      <c r="AO1402" t="s">
        <v>44</v>
      </c>
      <c r="AP1402" t="s">
        <v>11757</v>
      </c>
      <c r="AQ1402" t="s">
        <v>11756</v>
      </c>
    </row>
    <row r="1403" spans="1:43" x14ac:dyDescent="0.2">
      <c r="A1403" t="s">
        <v>12133</v>
      </c>
      <c r="B1403" t="s">
        <v>11037</v>
      </c>
      <c r="C1403" t="s">
        <v>11276</v>
      </c>
      <c r="D1403" t="s">
        <v>6473</v>
      </c>
      <c r="E1403" t="s">
        <v>4464</v>
      </c>
      <c r="F1403" t="s">
        <v>6473</v>
      </c>
      <c r="G1403" s="1">
        <v>17000</v>
      </c>
      <c r="H1403" s="2">
        <v>1626087.91</v>
      </c>
      <c r="I1403" s="2">
        <v>1700000</v>
      </c>
      <c r="J1403" s="2">
        <v>0</v>
      </c>
      <c r="K1403" s="2">
        <v>0</v>
      </c>
      <c r="L1403" s="2">
        <v>1700000</v>
      </c>
      <c r="M1403" s="3">
        <v>10000</v>
      </c>
      <c r="N1403" s="4">
        <v>3.8676800000000001E-3</v>
      </c>
      <c r="O1403" s="5" t="s">
        <v>44</v>
      </c>
      <c r="P1403" s="5" t="s">
        <v>44</v>
      </c>
      <c r="Q1403" s="1"/>
      <c r="R1403" s="2"/>
      <c r="S1403" s="6"/>
      <c r="T1403" t="s">
        <v>10902</v>
      </c>
      <c r="U1403" t="s">
        <v>10902</v>
      </c>
      <c r="V1403" t="s">
        <v>10902</v>
      </c>
      <c r="W1403" t="s">
        <v>43</v>
      </c>
      <c r="X1403" t="s">
        <v>11277</v>
      </c>
      <c r="Y1403" t="s">
        <v>11277</v>
      </c>
      <c r="Z1403" t="s">
        <v>11276</v>
      </c>
      <c r="AA1403" t="s">
        <v>44</v>
      </c>
      <c r="AB1403" t="s">
        <v>44</v>
      </c>
      <c r="AC1403" s="4"/>
      <c r="AD1403" s="4"/>
      <c r="AE1403" s="2">
        <v>0</v>
      </c>
      <c r="AF1403" s="4">
        <v>0</v>
      </c>
      <c r="AG1403" s="2">
        <v>0.17</v>
      </c>
      <c r="AH1403" s="2">
        <v>1700000</v>
      </c>
      <c r="AI1403" s="2">
        <v>0</v>
      </c>
      <c r="AJ1403" s="5">
        <v>44673</v>
      </c>
      <c r="AK1403" t="s">
        <v>12134</v>
      </c>
      <c r="AL1403" s="2">
        <v>0</v>
      </c>
      <c r="AM1403" s="2">
        <v>0</v>
      </c>
      <c r="AN1403" s="2">
        <v>0</v>
      </c>
      <c r="AO1403" t="s">
        <v>44</v>
      </c>
      <c r="AP1403" t="s">
        <v>11278</v>
      </c>
      <c r="AQ1403" t="s">
        <v>4464</v>
      </c>
    </row>
    <row r="1404" spans="1:43" x14ac:dyDescent="0.2">
      <c r="A1404" t="s">
        <v>12133</v>
      </c>
      <c r="B1404" t="s">
        <v>11037</v>
      </c>
      <c r="C1404" t="s">
        <v>11276</v>
      </c>
      <c r="D1404" t="s">
        <v>6316</v>
      </c>
      <c r="E1404" t="s">
        <v>4585</v>
      </c>
      <c r="F1404" t="s">
        <v>6316</v>
      </c>
      <c r="G1404" s="1">
        <v>18100</v>
      </c>
      <c r="H1404" s="2">
        <v>5215756.41</v>
      </c>
      <c r="I1404" s="2">
        <v>4389612</v>
      </c>
      <c r="J1404" s="2">
        <v>0</v>
      </c>
      <c r="K1404" s="2">
        <v>0</v>
      </c>
      <c r="L1404" s="2">
        <v>4389612</v>
      </c>
      <c r="M1404" s="3">
        <v>24252</v>
      </c>
      <c r="N1404" s="4">
        <v>9.9868400000000003E-3</v>
      </c>
      <c r="O1404" s="5" t="s">
        <v>44</v>
      </c>
      <c r="P1404" s="5" t="s">
        <v>44</v>
      </c>
      <c r="Q1404" s="1"/>
      <c r="R1404" s="2"/>
      <c r="S1404" s="6"/>
      <c r="T1404" t="s">
        <v>10902</v>
      </c>
      <c r="U1404" t="s">
        <v>10902</v>
      </c>
      <c r="V1404" t="s">
        <v>10902</v>
      </c>
      <c r="W1404" t="s">
        <v>43</v>
      </c>
      <c r="X1404" t="s">
        <v>11279</v>
      </c>
      <c r="Y1404" t="s">
        <v>11280</v>
      </c>
      <c r="Z1404" t="s">
        <v>11276</v>
      </c>
      <c r="AA1404" t="s">
        <v>44</v>
      </c>
      <c r="AB1404" t="s">
        <v>44</v>
      </c>
      <c r="AC1404" s="4"/>
      <c r="AD1404" s="4"/>
      <c r="AE1404" s="2">
        <v>0</v>
      </c>
      <c r="AF1404" s="4">
        <v>0</v>
      </c>
      <c r="AG1404" s="2">
        <v>0.45</v>
      </c>
      <c r="AH1404" s="2">
        <v>4389612</v>
      </c>
      <c r="AI1404" s="2">
        <v>0.01</v>
      </c>
      <c r="AJ1404" s="5">
        <v>44673</v>
      </c>
      <c r="AK1404" t="s">
        <v>12134</v>
      </c>
      <c r="AL1404" s="2">
        <v>0</v>
      </c>
      <c r="AM1404" s="2">
        <v>0</v>
      </c>
      <c r="AN1404" s="2">
        <v>0</v>
      </c>
      <c r="AO1404" t="s">
        <v>44</v>
      </c>
      <c r="AP1404" t="s">
        <v>11281</v>
      </c>
      <c r="AQ1404" t="s">
        <v>4585</v>
      </c>
    </row>
    <row r="1405" spans="1:43" x14ac:dyDescent="0.2">
      <c r="A1405" t="s">
        <v>12133</v>
      </c>
      <c r="B1405" t="s">
        <v>11037</v>
      </c>
      <c r="C1405" t="s">
        <v>11276</v>
      </c>
      <c r="D1405" t="s">
        <v>11661</v>
      </c>
      <c r="E1405" t="s">
        <v>4578</v>
      </c>
      <c r="F1405" t="s">
        <v>11661</v>
      </c>
      <c r="G1405" s="1">
        <v>10740</v>
      </c>
      <c r="H1405" s="2">
        <v>6954610.1500000004</v>
      </c>
      <c r="I1405" s="2">
        <v>7555267.7999999998</v>
      </c>
      <c r="J1405" s="2">
        <v>0</v>
      </c>
      <c r="K1405" s="2">
        <v>111870.84</v>
      </c>
      <c r="L1405" s="2">
        <v>7667138.6399999997</v>
      </c>
      <c r="M1405" s="3">
        <v>70347</v>
      </c>
      <c r="N1405" s="4">
        <v>1.7443569999999999E-2</v>
      </c>
      <c r="O1405" s="5" t="s">
        <v>44</v>
      </c>
      <c r="P1405" s="5" t="s">
        <v>44</v>
      </c>
      <c r="Q1405" s="1"/>
      <c r="R1405" s="2"/>
      <c r="S1405" s="6"/>
      <c r="T1405" t="s">
        <v>10902</v>
      </c>
      <c r="U1405" t="s">
        <v>10902</v>
      </c>
      <c r="V1405" t="s">
        <v>10902</v>
      </c>
      <c r="W1405" t="s">
        <v>43</v>
      </c>
      <c r="X1405" t="s">
        <v>11279</v>
      </c>
      <c r="Y1405" t="s">
        <v>11280</v>
      </c>
      <c r="Z1405" t="s">
        <v>11276</v>
      </c>
      <c r="AA1405" t="s">
        <v>44</v>
      </c>
      <c r="AB1405" t="s">
        <v>44</v>
      </c>
      <c r="AC1405" s="4"/>
      <c r="AD1405" s="4"/>
      <c r="AE1405" s="2">
        <v>0</v>
      </c>
      <c r="AF1405" s="4">
        <v>0</v>
      </c>
      <c r="AG1405" s="2">
        <v>0.79</v>
      </c>
      <c r="AH1405" s="2">
        <v>7667138.6399999997</v>
      </c>
      <c r="AI1405" s="2">
        <v>0.02</v>
      </c>
      <c r="AJ1405" s="5">
        <v>44673</v>
      </c>
      <c r="AK1405" t="s">
        <v>12134</v>
      </c>
      <c r="AL1405" s="2">
        <v>0</v>
      </c>
      <c r="AM1405" s="2">
        <v>0</v>
      </c>
      <c r="AN1405" s="2">
        <v>0</v>
      </c>
      <c r="AO1405" t="s">
        <v>44</v>
      </c>
      <c r="AP1405" t="s">
        <v>2559</v>
      </c>
      <c r="AQ1405" t="s">
        <v>4578</v>
      </c>
    </row>
    <row r="1406" spans="1:43" x14ac:dyDescent="0.2">
      <c r="A1406" t="s">
        <v>12133</v>
      </c>
      <c r="B1406" t="s">
        <v>11037</v>
      </c>
      <c r="C1406" t="s">
        <v>11276</v>
      </c>
      <c r="D1406" t="s">
        <v>11284</v>
      </c>
      <c r="E1406" t="s">
        <v>4506</v>
      </c>
      <c r="F1406" t="s">
        <v>11284</v>
      </c>
      <c r="G1406" s="1">
        <v>68200</v>
      </c>
      <c r="H1406" s="2">
        <v>4005613.95</v>
      </c>
      <c r="I1406" s="2">
        <v>4486196</v>
      </c>
      <c r="J1406" s="2">
        <v>0</v>
      </c>
      <c r="K1406" s="2">
        <v>0</v>
      </c>
      <c r="L1406" s="2">
        <v>4486196</v>
      </c>
      <c r="M1406" s="3">
        <v>6578</v>
      </c>
      <c r="N1406" s="4">
        <v>1.020658E-2</v>
      </c>
      <c r="O1406" s="5" t="s">
        <v>44</v>
      </c>
      <c r="P1406" s="5" t="s">
        <v>44</v>
      </c>
      <c r="Q1406" s="1"/>
      <c r="R1406" s="2"/>
      <c r="S1406" s="6"/>
      <c r="T1406" t="s">
        <v>10902</v>
      </c>
      <c r="U1406" t="s">
        <v>10902</v>
      </c>
      <c r="V1406" t="s">
        <v>10902</v>
      </c>
      <c r="W1406" t="s">
        <v>43</v>
      </c>
      <c r="X1406" t="s">
        <v>11279</v>
      </c>
      <c r="Y1406" t="s">
        <v>11280</v>
      </c>
      <c r="Z1406" t="s">
        <v>11276</v>
      </c>
      <c r="AA1406" t="s">
        <v>44</v>
      </c>
      <c r="AB1406" t="s">
        <v>44</v>
      </c>
      <c r="AC1406" s="4"/>
      <c r="AD1406" s="4"/>
      <c r="AE1406" s="2">
        <v>0</v>
      </c>
      <c r="AF1406" s="4">
        <v>0</v>
      </c>
      <c r="AG1406" s="2">
        <v>0.46</v>
      </c>
      <c r="AH1406" s="2">
        <v>4486196</v>
      </c>
      <c r="AI1406" s="2">
        <v>0.01</v>
      </c>
      <c r="AJ1406" s="5">
        <v>44673</v>
      </c>
      <c r="AK1406" t="s">
        <v>12134</v>
      </c>
      <c r="AL1406" s="2">
        <v>0</v>
      </c>
      <c r="AM1406" s="2">
        <v>0</v>
      </c>
      <c r="AN1406" s="2">
        <v>0</v>
      </c>
      <c r="AO1406" t="s">
        <v>44</v>
      </c>
      <c r="AP1406" t="s">
        <v>11285</v>
      </c>
      <c r="AQ1406" t="s">
        <v>4506</v>
      </c>
    </row>
    <row r="1407" spans="1:43" x14ac:dyDescent="0.2">
      <c r="A1407" t="s">
        <v>12133</v>
      </c>
      <c r="B1407" t="s">
        <v>11037</v>
      </c>
      <c r="C1407" t="s">
        <v>11276</v>
      </c>
      <c r="D1407" t="s">
        <v>6278</v>
      </c>
      <c r="E1407" t="s">
        <v>4640</v>
      </c>
      <c r="F1407" t="s">
        <v>6278</v>
      </c>
      <c r="G1407" s="1">
        <v>9000</v>
      </c>
      <c r="H1407" s="2">
        <v>5699711.5199999996</v>
      </c>
      <c r="I1407" s="2">
        <v>4560300</v>
      </c>
      <c r="J1407" s="2">
        <v>0</v>
      </c>
      <c r="K1407" s="2">
        <v>0</v>
      </c>
      <c r="L1407" s="2">
        <v>4560300</v>
      </c>
      <c r="M1407" s="3">
        <v>50670</v>
      </c>
      <c r="N1407" s="4">
        <v>1.037517E-2</v>
      </c>
      <c r="O1407" s="5" t="s">
        <v>44</v>
      </c>
      <c r="P1407" s="5" t="s">
        <v>44</v>
      </c>
      <c r="Q1407" s="1"/>
      <c r="R1407" s="2"/>
      <c r="S1407" s="6"/>
      <c r="T1407" t="s">
        <v>10902</v>
      </c>
      <c r="U1407" t="s">
        <v>10902</v>
      </c>
      <c r="V1407" t="s">
        <v>10902</v>
      </c>
      <c r="W1407" t="s">
        <v>43</v>
      </c>
      <c r="X1407" t="s">
        <v>11286</v>
      </c>
      <c r="Y1407" t="s">
        <v>11280</v>
      </c>
      <c r="Z1407" t="s">
        <v>11276</v>
      </c>
      <c r="AA1407" t="s">
        <v>44</v>
      </c>
      <c r="AB1407" t="s">
        <v>44</v>
      </c>
      <c r="AC1407" s="4"/>
      <c r="AD1407" s="4"/>
      <c r="AE1407" s="2">
        <v>0</v>
      </c>
      <c r="AF1407" s="4">
        <v>0</v>
      </c>
      <c r="AG1407" s="2">
        <v>0.47</v>
      </c>
      <c r="AH1407" s="2">
        <v>4560300</v>
      </c>
      <c r="AI1407" s="2">
        <v>0.01</v>
      </c>
      <c r="AJ1407" s="5">
        <v>44673</v>
      </c>
      <c r="AK1407" t="s">
        <v>12134</v>
      </c>
      <c r="AL1407" s="2">
        <v>0</v>
      </c>
      <c r="AM1407" s="2">
        <v>0</v>
      </c>
      <c r="AN1407" s="2">
        <v>0</v>
      </c>
      <c r="AO1407" t="s">
        <v>44</v>
      </c>
      <c r="AP1407" t="s">
        <v>11287</v>
      </c>
      <c r="AQ1407" t="s">
        <v>4640</v>
      </c>
    </row>
    <row r="1408" spans="1:43" x14ac:dyDescent="0.2">
      <c r="A1408" t="s">
        <v>12133</v>
      </c>
      <c r="B1408" t="s">
        <v>11037</v>
      </c>
      <c r="C1408" t="s">
        <v>11276</v>
      </c>
      <c r="D1408" t="s">
        <v>11290</v>
      </c>
      <c r="E1408" t="s">
        <v>4478</v>
      </c>
      <c r="F1408" t="s">
        <v>11290</v>
      </c>
      <c r="G1408" s="1">
        <v>27000</v>
      </c>
      <c r="H1408" s="2">
        <v>1244436.58</v>
      </c>
      <c r="I1408" s="2">
        <v>2116800</v>
      </c>
      <c r="J1408" s="2">
        <v>0</v>
      </c>
      <c r="K1408" s="2">
        <v>0</v>
      </c>
      <c r="L1408" s="2">
        <v>2116800</v>
      </c>
      <c r="M1408" s="3">
        <v>7840</v>
      </c>
      <c r="N1408" s="4">
        <v>4.8159500000000003E-3</v>
      </c>
      <c r="O1408" s="5" t="s">
        <v>44</v>
      </c>
      <c r="P1408" s="5" t="s">
        <v>44</v>
      </c>
      <c r="Q1408" s="1"/>
      <c r="R1408" s="2"/>
      <c r="S1408" s="6"/>
      <c r="T1408" t="s">
        <v>10902</v>
      </c>
      <c r="U1408" t="s">
        <v>10902</v>
      </c>
      <c r="V1408" t="s">
        <v>10902</v>
      </c>
      <c r="W1408" t="s">
        <v>43</v>
      </c>
      <c r="X1408" t="s">
        <v>11277</v>
      </c>
      <c r="Y1408" t="s">
        <v>11277</v>
      </c>
      <c r="Z1408" t="s">
        <v>11276</v>
      </c>
      <c r="AA1408" t="s">
        <v>44</v>
      </c>
      <c r="AB1408" t="s">
        <v>44</v>
      </c>
      <c r="AC1408" s="4"/>
      <c r="AD1408" s="4"/>
      <c r="AE1408" s="2">
        <v>0</v>
      </c>
      <c r="AF1408" s="4">
        <v>0</v>
      </c>
      <c r="AG1408" s="2">
        <v>0.22</v>
      </c>
      <c r="AH1408" s="2">
        <v>2116800</v>
      </c>
      <c r="AI1408" s="2">
        <v>0</v>
      </c>
      <c r="AJ1408" s="5">
        <v>44673</v>
      </c>
      <c r="AK1408" t="s">
        <v>12134</v>
      </c>
      <c r="AL1408" s="2">
        <v>0</v>
      </c>
      <c r="AM1408" s="2">
        <v>0</v>
      </c>
      <c r="AN1408" s="2">
        <v>0</v>
      </c>
      <c r="AO1408" t="s">
        <v>44</v>
      </c>
      <c r="AP1408" t="s">
        <v>11291</v>
      </c>
      <c r="AQ1408" t="s">
        <v>4478</v>
      </c>
    </row>
    <row r="1409" spans="1:43" x14ac:dyDescent="0.2">
      <c r="A1409" t="s">
        <v>12133</v>
      </c>
      <c r="B1409" t="s">
        <v>11037</v>
      </c>
      <c r="C1409" t="s">
        <v>11276</v>
      </c>
      <c r="D1409" t="s">
        <v>11292</v>
      </c>
      <c r="E1409" t="s">
        <v>4513</v>
      </c>
      <c r="F1409" t="s">
        <v>11292</v>
      </c>
      <c r="G1409" s="1">
        <v>280000</v>
      </c>
      <c r="H1409" s="2">
        <v>1188532.21</v>
      </c>
      <c r="I1409" s="2">
        <v>1201200</v>
      </c>
      <c r="J1409" s="2">
        <v>0</v>
      </c>
      <c r="K1409" s="2">
        <v>0</v>
      </c>
      <c r="L1409" s="2">
        <v>1201200</v>
      </c>
      <c r="M1409" s="3">
        <v>429</v>
      </c>
      <c r="N1409" s="4">
        <v>2.7328600000000002E-3</v>
      </c>
      <c r="O1409" s="5" t="s">
        <v>44</v>
      </c>
      <c r="P1409" s="5" t="s">
        <v>44</v>
      </c>
      <c r="Q1409" s="1"/>
      <c r="R1409" s="2"/>
      <c r="S1409" s="6"/>
      <c r="T1409" t="s">
        <v>10902</v>
      </c>
      <c r="U1409" t="s">
        <v>10902</v>
      </c>
      <c r="V1409" t="s">
        <v>10902</v>
      </c>
      <c r="W1409" t="s">
        <v>43</v>
      </c>
      <c r="X1409" t="s">
        <v>11279</v>
      </c>
      <c r="Y1409" t="s">
        <v>11280</v>
      </c>
      <c r="Z1409" t="s">
        <v>11276</v>
      </c>
      <c r="AA1409" t="s">
        <v>44</v>
      </c>
      <c r="AB1409" t="s">
        <v>44</v>
      </c>
      <c r="AC1409" s="4"/>
      <c r="AD1409" s="4"/>
      <c r="AE1409" s="2">
        <v>0</v>
      </c>
      <c r="AF1409" s="4">
        <v>0</v>
      </c>
      <c r="AG1409" s="2">
        <v>0.12</v>
      </c>
      <c r="AH1409" s="2">
        <v>1201200</v>
      </c>
      <c r="AI1409" s="2">
        <v>0</v>
      </c>
      <c r="AJ1409" s="5">
        <v>44673</v>
      </c>
      <c r="AK1409" t="s">
        <v>12134</v>
      </c>
      <c r="AL1409" s="2">
        <v>0</v>
      </c>
      <c r="AM1409" s="2">
        <v>0</v>
      </c>
      <c r="AN1409" s="2">
        <v>0</v>
      </c>
      <c r="AO1409" t="s">
        <v>44</v>
      </c>
      <c r="AP1409" t="s">
        <v>11293</v>
      </c>
      <c r="AQ1409" t="s">
        <v>4513</v>
      </c>
    </row>
    <row r="1410" spans="1:43" x14ac:dyDescent="0.2">
      <c r="A1410" t="s">
        <v>12133</v>
      </c>
      <c r="B1410" t="s">
        <v>11037</v>
      </c>
      <c r="C1410" t="s">
        <v>11276</v>
      </c>
      <c r="D1410" t="s">
        <v>6743</v>
      </c>
      <c r="E1410" t="s">
        <v>4570</v>
      </c>
      <c r="F1410" t="s">
        <v>6743</v>
      </c>
      <c r="G1410" s="1">
        <v>16800</v>
      </c>
      <c r="H1410" s="2">
        <v>1467183.21</v>
      </c>
      <c r="I1410" s="2">
        <v>2596104</v>
      </c>
      <c r="J1410" s="2">
        <v>0</v>
      </c>
      <c r="K1410" s="2">
        <v>0</v>
      </c>
      <c r="L1410" s="2">
        <v>2596104</v>
      </c>
      <c r="M1410" s="3">
        <v>15453</v>
      </c>
      <c r="N1410" s="4">
        <v>5.9064199999999999E-3</v>
      </c>
      <c r="O1410" s="5" t="s">
        <v>44</v>
      </c>
      <c r="P1410" s="5" t="s">
        <v>44</v>
      </c>
      <c r="Q1410" s="1"/>
      <c r="R1410" s="2"/>
      <c r="S1410" s="6"/>
      <c r="T1410" t="s">
        <v>10902</v>
      </c>
      <c r="U1410" t="s">
        <v>10902</v>
      </c>
      <c r="V1410" t="s">
        <v>10902</v>
      </c>
      <c r="W1410" t="s">
        <v>43</v>
      </c>
      <c r="X1410" t="s">
        <v>11279</v>
      </c>
      <c r="Y1410" t="s">
        <v>11280</v>
      </c>
      <c r="Z1410" t="s">
        <v>11276</v>
      </c>
      <c r="AA1410" t="s">
        <v>44</v>
      </c>
      <c r="AB1410" t="s">
        <v>44</v>
      </c>
      <c r="AC1410" s="4"/>
      <c r="AD1410" s="4"/>
      <c r="AE1410" s="2">
        <v>0</v>
      </c>
      <c r="AF1410" s="4">
        <v>0</v>
      </c>
      <c r="AG1410" s="2">
        <v>0.27</v>
      </c>
      <c r="AH1410" s="2">
        <v>2596104</v>
      </c>
      <c r="AI1410" s="2">
        <v>0.01</v>
      </c>
      <c r="AJ1410" s="5">
        <v>44673</v>
      </c>
      <c r="AK1410" t="s">
        <v>12134</v>
      </c>
      <c r="AL1410" s="2">
        <v>0</v>
      </c>
      <c r="AM1410" s="2">
        <v>0</v>
      </c>
      <c r="AN1410" s="2">
        <v>0</v>
      </c>
      <c r="AO1410" t="s">
        <v>44</v>
      </c>
      <c r="AP1410" t="s">
        <v>11294</v>
      </c>
      <c r="AQ1410" t="s">
        <v>4570</v>
      </c>
    </row>
    <row r="1411" spans="1:43" x14ac:dyDescent="0.2">
      <c r="A1411" t="s">
        <v>12133</v>
      </c>
      <c r="B1411" t="s">
        <v>11037</v>
      </c>
      <c r="C1411" t="s">
        <v>11276</v>
      </c>
      <c r="D1411" t="s">
        <v>6209</v>
      </c>
      <c r="E1411" t="s">
        <v>520</v>
      </c>
      <c r="F1411" t="s">
        <v>6209</v>
      </c>
      <c r="G1411" s="1">
        <v>90000</v>
      </c>
      <c r="H1411" s="2">
        <v>3797553.95</v>
      </c>
      <c r="I1411" s="2">
        <v>4908600</v>
      </c>
      <c r="J1411" s="2">
        <v>0</v>
      </c>
      <c r="K1411" s="2">
        <v>0</v>
      </c>
      <c r="L1411" s="2">
        <v>4908600</v>
      </c>
      <c r="M1411" s="3">
        <v>5454</v>
      </c>
      <c r="N1411" s="4">
        <v>1.116759E-2</v>
      </c>
      <c r="O1411" s="5" t="s">
        <v>44</v>
      </c>
      <c r="P1411" s="5" t="s">
        <v>44</v>
      </c>
      <c r="Q1411" s="1"/>
      <c r="R1411" s="2"/>
      <c r="S1411" s="6"/>
      <c r="T1411" t="s">
        <v>10902</v>
      </c>
      <c r="U1411" t="s">
        <v>10902</v>
      </c>
      <c r="V1411" t="s">
        <v>10902</v>
      </c>
      <c r="W1411" t="s">
        <v>43</v>
      </c>
      <c r="X1411" t="s">
        <v>11289</v>
      </c>
      <c r="Y1411" t="s">
        <v>11280</v>
      </c>
      <c r="Z1411" t="s">
        <v>11276</v>
      </c>
      <c r="AA1411" t="s">
        <v>44</v>
      </c>
      <c r="AB1411" t="s">
        <v>44</v>
      </c>
      <c r="AC1411" s="4"/>
      <c r="AD1411" s="4"/>
      <c r="AE1411" s="2">
        <v>0</v>
      </c>
      <c r="AF1411" s="4">
        <v>0</v>
      </c>
      <c r="AG1411" s="2">
        <v>0.5</v>
      </c>
      <c r="AH1411" s="2">
        <v>4908600</v>
      </c>
      <c r="AI1411" s="2">
        <v>0.01</v>
      </c>
      <c r="AJ1411" s="5">
        <v>44673</v>
      </c>
      <c r="AK1411" t="s">
        <v>12134</v>
      </c>
      <c r="AL1411" s="2">
        <v>0</v>
      </c>
      <c r="AM1411" s="2">
        <v>0</v>
      </c>
      <c r="AN1411" s="2">
        <v>0</v>
      </c>
      <c r="AO1411" t="s">
        <v>44</v>
      </c>
      <c r="AP1411" t="s">
        <v>11295</v>
      </c>
      <c r="AQ1411" t="s">
        <v>520</v>
      </c>
    </row>
    <row r="1412" spans="1:43" x14ac:dyDescent="0.2">
      <c r="A1412" t="s">
        <v>12133</v>
      </c>
      <c r="B1412" t="s">
        <v>11037</v>
      </c>
      <c r="C1412" t="s">
        <v>11276</v>
      </c>
      <c r="D1412" t="s">
        <v>11678</v>
      </c>
      <c r="E1412" t="s">
        <v>11679</v>
      </c>
      <c r="F1412" t="s">
        <v>11680</v>
      </c>
      <c r="G1412" s="1">
        <v>13500</v>
      </c>
      <c r="H1412" s="2">
        <v>2155448.81</v>
      </c>
      <c r="I1412" s="2">
        <v>3175470</v>
      </c>
      <c r="J1412" s="2">
        <v>0</v>
      </c>
      <c r="K1412" s="2">
        <v>0</v>
      </c>
      <c r="L1412" s="2">
        <v>3175470</v>
      </c>
      <c r="M1412" s="3">
        <v>23522</v>
      </c>
      <c r="N1412" s="4">
        <v>7.2245399999999998E-3</v>
      </c>
      <c r="O1412" s="5" t="s">
        <v>44</v>
      </c>
      <c r="P1412" s="5" t="s">
        <v>44</v>
      </c>
      <c r="Q1412" s="1"/>
      <c r="R1412" s="2"/>
      <c r="S1412" s="6"/>
      <c r="T1412" t="s">
        <v>10902</v>
      </c>
      <c r="U1412" t="s">
        <v>10902</v>
      </c>
      <c r="V1412" t="s">
        <v>10902</v>
      </c>
      <c r="W1412" t="s">
        <v>43</v>
      </c>
      <c r="X1412" t="s">
        <v>11279</v>
      </c>
      <c r="Y1412" t="s">
        <v>11280</v>
      </c>
      <c r="Z1412" t="s">
        <v>11276</v>
      </c>
      <c r="AA1412" t="s">
        <v>44</v>
      </c>
      <c r="AB1412" t="s">
        <v>44</v>
      </c>
      <c r="AC1412" s="4"/>
      <c r="AD1412" s="4"/>
      <c r="AE1412" s="2">
        <v>0</v>
      </c>
      <c r="AF1412" s="4">
        <v>0</v>
      </c>
      <c r="AG1412" s="2">
        <v>0.33</v>
      </c>
      <c r="AH1412" s="2">
        <v>3175470</v>
      </c>
      <c r="AI1412" s="2">
        <v>0.01</v>
      </c>
      <c r="AJ1412" s="5">
        <v>44673</v>
      </c>
      <c r="AK1412" t="s">
        <v>12134</v>
      </c>
      <c r="AL1412" s="2">
        <v>0</v>
      </c>
      <c r="AM1412" s="2">
        <v>0</v>
      </c>
      <c r="AN1412" s="2">
        <v>0</v>
      </c>
      <c r="AO1412" t="s">
        <v>44</v>
      </c>
      <c r="AP1412" t="s">
        <v>11681</v>
      </c>
      <c r="AQ1412" t="s">
        <v>11679</v>
      </c>
    </row>
    <row r="1413" spans="1:43" x14ac:dyDescent="0.2">
      <c r="A1413" t="s">
        <v>12133</v>
      </c>
      <c r="B1413" t="s">
        <v>11037</v>
      </c>
      <c r="C1413" t="s">
        <v>11296</v>
      </c>
      <c r="D1413" t="s">
        <v>6200</v>
      </c>
      <c r="E1413" t="s">
        <v>5051</v>
      </c>
      <c r="F1413" t="s">
        <v>6200</v>
      </c>
      <c r="G1413" s="1">
        <v>68000</v>
      </c>
      <c r="H1413" s="2">
        <v>4974267.29</v>
      </c>
      <c r="I1413" s="2">
        <v>4664800</v>
      </c>
      <c r="J1413" s="2">
        <v>0</v>
      </c>
      <c r="K1413" s="2">
        <v>0</v>
      </c>
      <c r="L1413" s="2">
        <v>4664800</v>
      </c>
      <c r="M1413" s="3">
        <v>6860</v>
      </c>
      <c r="N1413" s="4">
        <v>1.061292E-2</v>
      </c>
      <c r="O1413" s="5" t="s">
        <v>44</v>
      </c>
      <c r="P1413" s="5" t="s">
        <v>44</v>
      </c>
      <c r="Q1413" s="1"/>
      <c r="R1413" s="2"/>
      <c r="S1413" s="6"/>
      <c r="T1413" t="s">
        <v>10902</v>
      </c>
      <c r="U1413" t="s">
        <v>10902</v>
      </c>
      <c r="V1413" t="s">
        <v>10902</v>
      </c>
      <c r="W1413" t="s">
        <v>43</v>
      </c>
      <c r="X1413" t="s">
        <v>11300</v>
      </c>
      <c r="Y1413" t="s">
        <v>11299</v>
      </c>
      <c r="Z1413" t="s">
        <v>11296</v>
      </c>
      <c r="AA1413" t="s">
        <v>44</v>
      </c>
      <c r="AB1413" t="s">
        <v>44</v>
      </c>
      <c r="AC1413" s="4"/>
      <c r="AD1413" s="4"/>
      <c r="AE1413" s="2">
        <v>0</v>
      </c>
      <c r="AF1413" s="4">
        <v>0</v>
      </c>
      <c r="AG1413" s="2">
        <v>0.48</v>
      </c>
      <c r="AH1413" s="2">
        <v>4664800</v>
      </c>
      <c r="AI1413" s="2">
        <v>0.01</v>
      </c>
      <c r="AJ1413" s="5">
        <v>44673</v>
      </c>
      <c r="AK1413" t="s">
        <v>12134</v>
      </c>
      <c r="AL1413" s="2">
        <v>0</v>
      </c>
      <c r="AM1413" s="2">
        <v>0</v>
      </c>
      <c r="AN1413" s="2">
        <v>0</v>
      </c>
      <c r="AO1413" t="s">
        <v>44</v>
      </c>
      <c r="AP1413" t="s">
        <v>11301</v>
      </c>
      <c r="AQ1413" t="s">
        <v>5051</v>
      </c>
    </row>
    <row r="1414" spans="1:43" x14ac:dyDescent="0.2">
      <c r="A1414" t="s">
        <v>12133</v>
      </c>
      <c r="B1414" t="s">
        <v>11037</v>
      </c>
      <c r="C1414" t="s">
        <v>11296</v>
      </c>
      <c r="D1414" t="s">
        <v>6458</v>
      </c>
      <c r="E1414" t="s">
        <v>5402</v>
      </c>
      <c r="F1414" t="s">
        <v>11302</v>
      </c>
      <c r="G1414" s="1">
        <v>16000</v>
      </c>
      <c r="H1414" s="2">
        <v>1838371.92</v>
      </c>
      <c r="I1414" s="2">
        <v>2768000</v>
      </c>
      <c r="J1414" s="2">
        <v>0</v>
      </c>
      <c r="K1414" s="2">
        <v>0</v>
      </c>
      <c r="L1414" s="2">
        <v>2768000</v>
      </c>
      <c r="M1414" s="3">
        <v>17300</v>
      </c>
      <c r="N1414" s="4">
        <v>6.2975000000000001E-3</v>
      </c>
      <c r="O1414" s="5" t="s">
        <v>44</v>
      </c>
      <c r="P1414" s="5" t="s">
        <v>44</v>
      </c>
      <c r="Q1414" s="1"/>
      <c r="R1414" s="2"/>
      <c r="S1414" s="6"/>
      <c r="T1414" t="s">
        <v>10902</v>
      </c>
      <c r="U1414" t="s">
        <v>10902</v>
      </c>
      <c r="V1414" t="s">
        <v>10902</v>
      </c>
      <c r="W1414" t="s">
        <v>43</v>
      </c>
      <c r="X1414" t="s">
        <v>11298</v>
      </c>
      <c r="Y1414" t="s">
        <v>11299</v>
      </c>
      <c r="Z1414" t="s">
        <v>11296</v>
      </c>
      <c r="AA1414" t="s">
        <v>44</v>
      </c>
      <c r="AB1414" t="s">
        <v>44</v>
      </c>
      <c r="AC1414" s="4"/>
      <c r="AD1414" s="4"/>
      <c r="AE1414" s="2">
        <v>0</v>
      </c>
      <c r="AF1414" s="4">
        <v>0</v>
      </c>
      <c r="AG1414" s="2">
        <v>0.28000000000000003</v>
      </c>
      <c r="AH1414" s="2">
        <v>2768000</v>
      </c>
      <c r="AI1414" s="2">
        <v>0.01</v>
      </c>
      <c r="AJ1414" s="5">
        <v>44673</v>
      </c>
      <c r="AK1414" t="s">
        <v>12134</v>
      </c>
      <c r="AL1414" s="2">
        <v>0</v>
      </c>
      <c r="AM1414" s="2">
        <v>0</v>
      </c>
      <c r="AN1414" s="2">
        <v>0</v>
      </c>
      <c r="AO1414" t="s">
        <v>44</v>
      </c>
      <c r="AP1414" t="s">
        <v>11303</v>
      </c>
      <c r="AQ1414" t="s">
        <v>5402</v>
      </c>
    </row>
    <row r="1415" spans="1:43" x14ac:dyDescent="0.2">
      <c r="A1415" t="s">
        <v>12133</v>
      </c>
      <c r="B1415" t="s">
        <v>11037</v>
      </c>
      <c r="C1415" t="s">
        <v>11296</v>
      </c>
      <c r="D1415" t="s">
        <v>6137</v>
      </c>
      <c r="E1415" t="s">
        <v>4926</v>
      </c>
      <c r="F1415" t="s">
        <v>6137</v>
      </c>
      <c r="G1415" s="1">
        <v>34000</v>
      </c>
      <c r="H1415" s="2">
        <v>7353200.9500000002</v>
      </c>
      <c r="I1415" s="2">
        <v>5295160</v>
      </c>
      <c r="J1415" s="2">
        <v>0</v>
      </c>
      <c r="K1415" s="2">
        <v>0</v>
      </c>
      <c r="L1415" s="2">
        <v>5295160</v>
      </c>
      <c r="M1415" s="3">
        <v>15574</v>
      </c>
      <c r="N1415" s="4">
        <v>1.204706E-2</v>
      </c>
      <c r="O1415" s="5" t="s">
        <v>44</v>
      </c>
      <c r="P1415" s="5" t="s">
        <v>44</v>
      </c>
      <c r="Q1415" s="1"/>
      <c r="R1415" s="2"/>
      <c r="S1415" s="6"/>
      <c r="T1415" t="s">
        <v>10902</v>
      </c>
      <c r="U1415" t="s">
        <v>10902</v>
      </c>
      <c r="V1415" t="s">
        <v>10902</v>
      </c>
      <c r="W1415" t="s">
        <v>43</v>
      </c>
      <c r="X1415" t="s">
        <v>11300</v>
      </c>
      <c r="Y1415" t="s">
        <v>11299</v>
      </c>
      <c r="Z1415" t="s">
        <v>11296</v>
      </c>
      <c r="AA1415" t="s">
        <v>44</v>
      </c>
      <c r="AB1415" t="s">
        <v>44</v>
      </c>
      <c r="AC1415" s="4"/>
      <c r="AD1415" s="4"/>
      <c r="AE1415" s="2">
        <v>0</v>
      </c>
      <c r="AF1415" s="4">
        <v>0</v>
      </c>
      <c r="AG1415" s="2">
        <v>0.54</v>
      </c>
      <c r="AH1415" s="2">
        <v>5295160</v>
      </c>
      <c r="AI1415" s="2">
        <v>0.01</v>
      </c>
      <c r="AJ1415" s="5">
        <v>44673</v>
      </c>
      <c r="AK1415" t="s">
        <v>12134</v>
      </c>
      <c r="AL1415" s="2">
        <v>0</v>
      </c>
      <c r="AM1415" s="2">
        <v>0</v>
      </c>
      <c r="AN1415" s="2">
        <v>0</v>
      </c>
      <c r="AO1415" t="s">
        <v>44</v>
      </c>
      <c r="AP1415" t="s">
        <v>11304</v>
      </c>
      <c r="AQ1415" t="s">
        <v>4926</v>
      </c>
    </row>
    <row r="1416" spans="1:43" x14ac:dyDescent="0.2">
      <c r="A1416" t="s">
        <v>12133</v>
      </c>
      <c r="B1416" t="s">
        <v>11037</v>
      </c>
      <c r="C1416" t="s">
        <v>11305</v>
      </c>
      <c r="D1416" t="s">
        <v>6592</v>
      </c>
      <c r="E1416" t="s">
        <v>5424</v>
      </c>
      <c r="F1416" t="s">
        <v>6592</v>
      </c>
      <c r="G1416" s="1">
        <v>100000</v>
      </c>
      <c r="H1416" s="2">
        <v>1255143.3400000001</v>
      </c>
      <c r="I1416" s="2">
        <v>1737000</v>
      </c>
      <c r="J1416" s="2">
        <v>0</v>
      </c>
      <c r="K1416" s="2">
        <v>0</v>
      </c>
      <c r="L1416" s="2">
        <v>1737000</v>
      </c>
      <c r="M1416" s="3">
        <v>1737</v>
      </c>
      <c r="N1416" s="4">
        <v>3.9518599999999997E-3</v>
      </c>
      <c r="O1416" s="5" t="s">
        <v>44</v>
      </c>
      <c r="P1416" s="5" t="s">
        <v>44</v>
      </c>
      <c r="Q1416" s="1"/>
      <c r="R1416" s="2"/>
      <c r="S1416" s="6"/>
      <c r="T1416" t="s">
        <v>10902</v>
      </c>
      <c r="U1416" t="s">
        <v>10902</v>
      </c>
      <c r="V1416" t="s">
        <v>10902</v>
      </c>
      <c r="W1416" t="s">
        <v>43</v>
      </c>
      <c r="X1416" t="s">
        <v>11306</v>
      </c>
      <c r="Y1416" t="s">
        <v>11307</v>
      </c>
      <c r="Z1416" t="s">
        <v>11305</v>
      </c>
      <c r="AA1416" t="s">
        <v>44</v>
      </c>
      <c r="AB1416" t="s">
        <v>44</v>
      </c>
      <c r="AC1416" s="4"/>
      <c r="AD1416" s="4"/>
      <c r="AE1416" s="2">
        <v>0</v>
      </c>
      <c r="AF1416" s="4">
        <v>0</v>
      </c>
      <c r="AG1416" s="2">
        <v>0.18</v>
      </c>
      <c r="AH1416" s="2">
        <v>1737000</v>
      </c>
      <c r="AI1416" s="2">
        <v>0</v>
      </c>
      <c r="AJ1416" s="5">
        <v>44673</v>
      </c>
      <c r="AK1416" t="s">
        <v>12134</v>
      </c>
      <c r="AL1416" s="2">
        <v>0</v>
      </c>
      <c r="AM1416" s="2">
        <v>0</v>
      </c>
      <c r="AN1416" s="2">
        <v>0</v>
      </c>
      <c r="AO1416" t="s">
        <v>44</v>
      </c>
      <c r="AP1416" t="s">
        <v>11308</v>
      </c>
      <c r="AQ1416" t="s">
        <v>5424</v>
      </c>
    </row>
    <row r="1417" spans="1:43" x14ac:dyDescent="0.2">
      <c r="A1417" t="s">
        <v>12133</v>
      </c>
      <c r="B1417" t="s">
        <v>11037</v>
      </c>
      <c r="C1417" t="s">
        <v>11305</v>
      </c>
      <c r="D1417" t="s">
        <v>11309</v>
      </c>
      <c r="E1417" t="s">
        <v>5389</v>
      </c>
      <c r="F1417" t="s">
        <v>11309</v>
      </c>
      <c r="G1417" s="1">
        <v>73000</v>
      </c>
      <c r="H1417" s="2">
        <v>1704625.76</v>
      </c>
      <c r="I1417" s="2">
        <v>2747720</v>
      </c>
      <c r="J1417" s="2">
        <v>0</v>
      </c>
      <c r="K1417" s="2">
        <v>0</v>
      </c>
      <c r="L1417" s="2">
        <v>2747720</v>
      </c>
      <c r="M1417" s="3">
        <v>3764</v>
      </c>
      <c r="N1417" s="4">
        <v>6.2513600000000001E-3</v>
      </c>
      <c r="O1417" s="5" t="s">
        <v>44</v>
      </c>
      <c r="P1417" s="5" t="s">
        <v>44</v>
      </c>
      <c r="Q1417" s="1"/>
      <c r="R1417" s="2"/>
      <c r="S1417" s="6"/>
      <c r="T1417" t="s">
        <v>10902</v>
      </c>
      <c r="U1417" t="s">
        <v>10902</v>
      </c>
      <c r="V1417" t="s">
        <v>10902</v>
      </c>
      <c r="W1417" t="s">
        <v>43</v>
      </c>
      <c r="X1417" t="s">
        <v>11310</v>
      </c>
      <c r="Y1417" t="s">
        <v>11307</v>
      </c>
      <c r="Z1417" t="s">
        <v>11305</v>
      </c>
      <c r="AA1417" t="s">
        <v>44</v>
      </c>
      <c r="AB1417" t="s">
        <v>44</v>
      </c>
      <c r="AC1417" s="4"/>
      <c r="AD1417" s="4"/>
      <c r="AE1417" s="2">
        <v>0</v>
      </c>
      <c r="AF1417" s="4">
        <v>0</v>
      </c>
      <c r="AG1417" s="2">
        <v>0.28000000000000003</v>
      </c>
      <c r="AH1417" s="2">
        <v>2747720</v>
      </c>
      <c r="AI1417" s="2">
        <v>0.01</v>
      </c>
      <c r="AJ1417" s="5">
        <v>44673</v>
      </c>
      <c r="AK1417" t="s">
        <v>12134</v>
      </c>
      <c r="AL1417" s="2">
        <v>0</v>
      </c>
      <c r="AM1417" s="2">
        <v>0</v>
      </c>
      <c r="AN1417" s="2">
        <v>0</v>
      </c>
      <c r="AO1417" t="s">
        <v>44</v>
      </c>
      <c r="AP1417" t="s">
        <v>11311</v>
      </c>
      <c r="AQ1417" t="s">
        <v>5389</v>
      </c>
    </row>
    <row r="1418" spans="1:43" x14ac:dyDescent="0.2">
      <c r="A1418" t="s">
        <v>12133</v>
      </c>
      <c r="B1418" t="s">
        <v>11037</v>
      </c>
      <c r="C1418" t="s">
        <v>11305</v>
      </c>
      <c r="D1418" t="s">
        <v>6609</v>
      </c>
      <c r="E1418" t="s">
        <v>5271</v>
      </c>
      <c r="F1418" t="s">
        <v>6609</v>
      </c>
      <c r="G1418" s="1">
        <v>90000</v>
      </c>
      <c r="H1418" s="2">
        <v>1560624.63</v>
      </c>
      <c r="I1418" s="2">
        <v>1520100</v>
      </c>
      <c r="J1418" s="2">
        <v>0</v>
      </c>
      <c r="K1418" s="2">
        <v>0</v>
      </c>
      <c r="L1418" s="2">
        <v>1520100</v>
      </c>
      <c r="M1418" s="3">
        <v>1689</v>
      </c>
      <c r="N1418" s="4">
        <v>3.45839E-3</v>
      </c>
      <c r="O1418" s="5" t="s">
        <v>44</v>
      </c>
      <c r="P1418" s="5" t="s">
        <v>44</v>
      </c>
      <c r="Q1418" s="1"/>
      <c r="R1418" s="2"/>
      <c r="S1418" s="6"/>
      <c r="T1418" t="s">
        <v>10902</v>
      </c>
      <c r="U1418" t="s">
        <v>10902</v>
      </c>
      <c r="V1418" t="s">
        <v>10902</v>
      </c>
      <c r="W1418" t="s">
        <v>43</v>
      </c>
      <c r="X1418" t="s">
        <v>11306</v>
      </c>
      <c r="Y1418" t="s">
        <v>11307</v>
      </c>
      <c r="Z1418" t="s">
        <v>11305</v>
      </c>
      <c r="AA1418" t="s">
        <v>44</v>
      </c>
      <c r="AB1418" t="s">
        <v>44</v>
      </c>
      <c r="AC1418" s="4"/>
      <c r="AD1418" s="4"/>
      <c r="AE1418" s="2">
        <v>0</v>
      </c>
      <c r="AF1418" s="4">
        <v>0</v>
      </c>
      <c r="AG1418" s="2">
        <v>0.16</v>
      </c>
      <c r="AH1418" s="2">
        <v>1520100</v>
      </c>
      <c r="AI1418" s="2">
        <v>0</v>
      </c>
      <c r="AJ1418" s="5">
        <v>44673</v>
      </c>
      <c r="AK1418" t="s">
        <v>12134</v>
      </c>
      <c r="AL1418" s="2">
        <v>0</v>
      </c>
      <c r="AM1418" s="2">
        <v>0</v>
      </c>
      <c r="AN1418" s="2">
        <v>0</v>
      </c>
      <c r="AO1418" t="s">
        <v>44</v>
      </c>
      <c r="AP1418" t="s">
        <v>11312</v>
      </c>
      <c r="AQ1418" t="s">
        <v>5271</v>
      </c>
    </row>
    <row r="1419" spans="1:43" x14ac:dyDescent="0.2">
      <c r="A1419" t="s">
        <v>12133</v>
      </c>
      <c r="B1419" t="s">
        <v>11037</v>
      </c>
      <c r="C1419" t="s">
        <v>11305</v>
      </c>
      <c r="D1419" t="s">
        <v>6372</v>
      </c>
      <c r="E1419" t="s">
        <v>6607</v>
      </c>
      <c r="F1419" t="s">
        <v>6372</v>
      </c>
      <c r="G1419" s="1">
        <v>34000</v>
      </c>
      <c r="H1419" s="2">
        <v>2257922.86</v>
      </c>
      <c r="I1419" s="2">
        <v>3798820</v>
      </c>
      <c r="J1419" s="2">
        <v>0</v>
      </c>
      <c r="K1419" s="2">
        <v>0</v>
      </c>
      <c r="L1419" s="2">
        <v>3798820</v>
      </c>
      <c r="M1419" s="3">
        <v>11173</v>
      </c>
      <c r="N1419" s="4">
        <v>8.6427199999999996E-3</v>
      </c>
      <c r="O1419" s="5" t="s">
        <v>44</v>
      </c>
      <c r="P1419" s="5" t="s">
        <v>44</v>
      </c>
      <c r="Q1419" s="1"/>
      <c r="R1419" s="2"/>
      <c r="S1419" s="6"/>
      <c r="T1419" t="s">
        <v>10902</v>
      </c>
      <c r="U1419" t="s">
        <v>10902</v>
      </c>
      <c r="V1419" t="s">
        <v>10902</v>
      </c>
      <c r="W1419" t="s">
        <v>43</v>
      </c>
      <c r="X1419" t="s">
        <v>11306</v>
      </c>
      <c r="Y1419" t="s">
        <v>11307</v>
      </c>
      <c r="Z1419" t="s">
        <v>11305</v>
      </c>
      <c r="AA1419" t="s">
        <v>44</v>
      </c>
      <c r="AB1419" t="s">
        <v>44</v>
      </c>
      <c r="AC1419" s="4"/>
      <c r="AD1419" s="4"/>
      <c r="AE1419" s="2">
        <v>0</v>
      </c>
      <c r="AF1419" s="4">
        <v>0</v>
      </c>
      <c r="AG1419" s="2">
        <v>0.39</v>
      </c>
      <c r="AH1419" s="2">
        <v>3798820</v>
      </c>
      <c r="AI1419" s="2">
        <v>0.01</v>
      </c>
      <c r="AJ1419" s="5">
        <v>44673</v>
      </c>
      <c r="AK1419" t="s">
        <v>12134</v>
      </c>
      <c r="AL1419" s="2">
        <v>0</v>
      </c>
      <c r="AM1419" s="2">
        <v>0</v>
      </c>
      <c r="AN1419" s="2">
        <v>0</v>
      </c>
      <c r="AO1419" t="s">
        <v>44</v>
      </c>
      <c r="AP1419" t="s">
        <v>11313</v>
      </c>
      <c r="AQ1419" t="s">
        <v>6607</v>
      </c>
    </row>
    <row r="1420" spans="1:43" x14ac:dyDescent="0.2">
      <c r="A1420" t="s">
        <v>12133</v>
      </c>
      <c r="B1420" t="s">
        <v>11037</v>
      </c>
      <c r="C1420" t="s">
        <v>11305</v>
      </c>
      <c r="D1420" t="s">
        <v>11314</v>
      </c>
      <c r="E1420" t="s">
        <v>6750</v>
      </c>
      <c r="F1420" t="s">
        <v>11314</v>
      </c>
      <c r="G1420" s="1">
        <v>310000</v>
      </c>
      <c r="H1420" s="2">
        <v>5599639.7699999996</v>
      </c>
      <c r="I1420" s="2">
        <v>6761100</v>
      </c>
      <c r="J1420" s="2">
        <v>0</v>
      </c>
      <c r="K1420" s="2">
        <v>0</v>
      </c>
      <c r="L1420" s="2">
        <v>6761100</v>
      </c>
      <c r="M1420" s="3">
        <v>2181</v>
      </c>
      <c r="N1420" s="4">
        <v>1.538223E-2</v>
      </c>
      <c r="O1420" s="5" t="s">
        <v>44</v>
      </c>
      <c r="P1420" s="5" t="s">
        <v>44</v>
      </c>
      <c r="Q1420" s="1"/>
      <c r="R1420" s="2"/>
      <c r="S1420" s="6"/>
      <c r="T1420" t="s">
        <v>10902</v>
      </c>
      <c r="U1420" t="s">
        <v>10902</v>
      </c>
      <c r="V1420" t="s">
        <v>10902</v>
      </c>
      <c r="W1420" t="s">
        <v>43</v>
      </c>
      <c r="X1420" t="s">
        <v>11306</v>
      </c>
      <c r="Y1420" t="s">
        <v>11307</v>
      </c>
      <c r="Z1420" t="s">
        <v>11305</v>
      </c>
      <c r="AA1420" t="s">
        <v>44</v>
      </c>
      <c r="AB1420" t="s">
        <v>44</v>
      </c>
      <c r="AC1420" s="4"/>
      <c r="AD1420" s="4"/>
      <c r="AE1420" s="2">
        <v>0</v>
      </c>
      <c r="AF1420" s="4">
        <v>0</v>
      </c>
      <c r="AG1420" s="2">
        <v>0.69</v>
      </c>
      <c r="AH1420" s="2">
        <v>6761100</v>
      </c>
      <c r="AI1420" s="2">
        <v>0.02</v>
      </c>
      <c r="AJ1420" s="5">
        <v>44673</v>
      </c>
      <c r="AK1420" t="s">
        <v>12134</v>
      </c>
      <c r="AL1420" s="2">
        <v>0</v>
      </c>
      <c r="AM1420" s="2">
        <v>0</v>
      </c>
      <c r="AN1420" s="2">
        <v>0</v>
      </c>
      <c r="AO1420" t="s">
        <v>44</v>
      </c>
      <c r="AP1420" t="s">
        <v>11315</v>
      </c>
      <c r="AQ1420" t="s">
        <v>6750</v>
      </c>
    </row>
    <row r="1421" spans="1:43" x14ac:dyDescent="0.2">
      <c r="A1421" t="s">
        <v>12133</v>
      </c>
      <c r="B1421" t="s">
        <v>11037</v>
      </c>
      <c r="C1421" t="s">
        <v>11305</v>
      </c>
      <c r="D1421" t="s">
        <v>11316</v>
      </c>
      <c r="E1421" t="s">
        <v>5173</v>
      </c>
      <c r="F1421" t="s">
        <v>11316</v>
      </c>
      <c r="G1421" s="1">
        <v>70000</v>
      </c>
      <c r="H1421" s="2">
        <v>3918064.97</v>
      </c>
      <c r="I1421" s="2">
        <v>4186700</v>
      </c>
      <c r="J1421" s="2">
        <v>0</v>
      </c>
      <c r="K1421" s="2">
        <v>0</v>
      </c>
      <c r="L1421" s="2">
        <v>4186700</v>
      </c>
      <c r="M1421" s="3">
        <v>5981</v>
      </c>
      <c r="N1421" s="4">
        <v>9.5251899999999994E-3</v>
      </c>
      <c r="O1421" s="5" t="s">
        <v>44</v>
      </c>
      <c r="P1421" s="5" t="s">
        <v>44</v>
      </c>
      <c r="Q1421" s="1"/>
      <c r="R1421" s="2"/>
      <c r="S1421" s="6"/>
      <c r="T1421" t="s">
        <v>10902</v>
      </c>
      <c r="U1421" t="s">
        <v>10902</v>
      </c>
      <c r="V1421" t="s">
        <v>10902</v>
      </c>
      <c r="W1421" t="s">
        <v>43</v>
      </c>
      <c r="X1421" t="s">
        <v>11310</v>
      </c>
      <c r="Y1421" t="s">
        <v>11307</v>
      </c>
      <c r="Z1421" t="s">
        <v>11305</v>
      </c>
      <c r="AA1421" t="s">
        <v>44</v>
      </c>
      <c r="AB1421" t="s">
        <v>44</v>
      </c>
      <c r="AC1421" s="4"/>
      <c r="AD1421" s="4"/>
      <c r="AE1421" s="2">
        <v>0</v>
      </c>
      <c r="AF1421" s="4">
        <v>0</v>
      </c>
      <c r="AG1421" s="2">
        <v>0.43</v>
      </c>
      <c r="AH1421" s="2">
        <v>4186700</v>
      </c>
      <c r="AI1421" s="2">
        <v>0.01</v>
      </c>
      <c r="AJ1421" s="5">
        <v>44673</v>
      </c>
      <c r="AK1421" t="s">
        <v>12134</v>
      </c>
      <c r="AL1421" s="2">
        <v>0</v>
      </c>
      <c r="AM1421" s="2">
        <v>0</v>
      </c>
      <c r="AN1421" s="2">
        <v>0</v>
      </c>
      <c r="AO1421" t="s">
        <v>44</v>
      </c>
      <c r="AP1421" t="s">
        <v>11317</v>
      </c>
      <c r="AQ1421" t="s">
        <v>5173</v>
      </c>
    </row>
    <row r="1422" spans="1:43" x14ac:dyDescent="0.2">
      <c r="A1422" t="s">
        <v>12133</v>
      </c>
      <c r="B1422" t="s">
        <v>11037</v>
      </c>
      <c r="C1422" t="s">
        <v>11305</v>
      </c>
      <c r="D1422" t="s">
        <v>11698</v>
      </c>
      <c r="E1422" t="s">
        <v>4919</v>
      </c>
      <c r="F1422" t="s">
        <v>11698</v>
      </c>
      <c r="G1422" s="1">
        <v>35000</v>
      </c>
      <c r="H1422" s="2">
        <v>5647368.0999999996</v>
      </c>
      <c r="I1422" s="2">
        <v>5817000</v>
      </c>
      <c r="J1422" s="2">
        <v>0</v>
      </c>
      <c r="K1422" s="2">
        <v>0</v>
      </c>
      <c r="L1422" s="2">
        <v>5817000</v>
      </c>
      <c r="M1422" s="3">
        <v>16620</v>
      </c>
      <c r="N1422" s="4">
        <v>1.3234299999999999E-2</v>
      </c>
      <c r="O1422" s="5" t="s">
        <v>44</v>
      </c>
      <c r="P1422" s="5" t="s">
        <v>44</v>
      </c>
      <c r="Q1422" s="1"/>
      <c r="R1422" s="2"/>
      <c r="S1422" s="6"/>
      <c r="T1422" t="s">
        <v>10902</v>
      </c>
      <c r="U1422" t="s">
        <v>10902</v>
      </c>
      <c r="V1422" t="s">
        <v>10902</v>
      </c>
      <c r="W1422" t="s">
        <v>43</v>
      </c>
      <c r="X1422" t="s">
        <v>11310</v>
      </c>
      <c r="Y1422" t="s">
        <v>11307</v>
      </c>
      <c r="Z1422" t="s">
        <v>11305</v>
      </c>
      <c r="AA1422" t="s">
        <v>44</v>
      </c>
      <c r="AB1422" t="s">
        <v>44</v>
      </c>
      <c r="AC1422" s="4"/>
      <c r="AD1422" s="4"/>
      <c r="AE1422" s="2">
        <v>0</v>
      </c>
      <c r="AF1422" s="4">
        <v>0</v>
      </c>
      <c r="AG1422" s="2">
        <v>0.6</v>
      </c>
      <c r="AH1422" s="2">
        <v>5817000</v>
      </c>
      <c r="AI1422" s="2">
        <v>0.01</v>
      </c>
      <c r="AJ1422" s="5">
        <v>44673</v>
      </c>
      <c r="AK1422" t="s">
        <v>12134</v>
      </c>
      <c r="AL1422" s="2">
        <v>0</v>
      </c>
      <c r="AM1422" s="2">
        <v>0</v>
      </c>
      <c r="AN1422" s="2">
        <v>0</v>
      </c>
      <c r="AO1422" t="s">
        <v>44</v>
      </c>
      <c r="AP1422" t="s">
        <v>11699</v>
      </c>
      <c r="AQ1422" t="s">
        <v>4919</v>
      </c>
    </row>
    <row r="1423" spans="1:43" x14ac:dyDescent="0.2">
      <c r="A1423" t="s">
        <v>12133</v>
      </c>
      <c r="B1423" t="s">
        <v>11037</v>
      </c>
      <c r="C1423" t="s">
        <v>11305</v>
      </c>
      <c r="D1423" t="s">
        <v>6224</v>
      </c>
      <c r="E1423" t="s">
        <v>3901</v>
      </c>
      <c r="F1423" t="s">
        <v>6224</v>
      </c>
      <c r="G1423" s="1">
        <v>90000</v>
      </c>
      <c r="H1423" s="2">
        <v>4414357.6399999997</v>
      </c>
      <c r="I1423" s="2">
        <v>5014800</v>
      </c>
      <c r="J1423" s="2">
        <v>0</v>
      </c>
      <c r="K1423" s="2">
        <v>0</v>
      </c>
      <c r="L1423" s="2">
        <v>5014800</v>
      </c>
      <c r="M1423" s="3">
        <v>5572</v>
      </c>
      <c r="N1423" s="4">
        <v>1.1409209999999999E-2</v>
      </c>
      <c r="O1423" s="5" t="s">
        <v>44</v>
      </c>
      <c r="P1423" s="5" t="s">
        <v>44</v>
      </c>
      <c r="Q1423" s="1"/>
      <c r="R1423" s="2"/>
      <c r="S1423" s="6"/>
      <c r="T1423" t="s">
        <v>10902</v>
      </c>
      <c r="U1423" t="s">
        <v>10902</v>
      </c>
      <c r="V1423" t="s">
        <v>10902</v>
      </c>
      <c r="W1423" t="s">
        <v>43</v>
      </c>
      <c r="X1423" t="s">
        <v>11306</v>
      </c>
      <c r="Y1423" t="s">
        <v>11307</v>
      </c>
      <c r="Z1423" t="s">
        <v>11305</v>
      </c>
      <c r="AA1423" t="s">
        <v>44</v>
      </c>
      <c r="AB1423" t="s">
        <v>44</v>
      </c>
      <c r="AC1423" s="4"/>
      <c r="AD1423" s="4"/>
      <c r="AE1423" s="2">
        <v>0</v>
      </c>
      <c r="AF1423" s="4">
        <v>0</v>
      </c>
      <c r="AG1423" s="2">
        <v>0.51</v>
      </c>
      <c r="AH1423" s="2">
        <v>5014800</v>
      </c>
      <c r="AI1423" s="2">
        <v>0.01</v>
      </c>
      <c r="AJ1423" s="5">
        <v>44673</v>
      </c>
      <c r="AK1423" t="s">
        <v>12134</v>
      </c>
      <c r="AL1423" s="2">
        <v>0</v>
      </c>
      <c r="AM1423" s="2">
        <v>0</v>
      </c>
      <c r="AN1423" s="2">
        <v>0</v>
      </c>
      <c r="AO1423" t="s">
        <v>44</v>
      </c>
      <c r="AP1423" t="s">
        <v>11320</v>
      </c>
      <c r="AQ1423" t="s">
        <v>3901</v>
      </c>
    </row>
    <row r="1424" spans="1:43" x14ac:dyDescent="0.2">
      <c r="A1424" t="s">
        <v>12133</v>
      </c>
      <c r="B1424" t="s">
        <v>11037</v>
      </c>
      <c r="C1424" t="s">
        <v>11050</v>
      </c>
      <c r="D1424" t="s">
        <v>12135</v>
      </c>
      <c r="E1424" t="s">
        <v>12136</v>
      </c>
      <c r="F1424" t="s">
        <v>12135</v>
      </c>
      <c r="G1424" s="1">
        <v>400000</v>
      </c>
      <c r="H1424" s="2">
        <v>40000000</v>
      </c>
      <c r="I1424" s="2">
        <v>44732080</v>
      </c>
      <c r="J1424" s="2">
        <v>0</v>
      </c>
      <c r="K1424" s="2">
        <v>0</v>
      </c>
      <c r="L1424" s="2">
        <v>44732080</v>
      </c>
      <c r="M1424" s="3">
        <v>111.8302</v>
      </c>
      <c r="N1424" s="4">
        <v>0.10177029999999999</v>
      </c>
      <c r="O1424" s="5" t="s">
        <v>44</v>
      </c>
      <c r="P1424" s="5" t="s">
        <v>44</v>
      </c>
      <c r="Q1424" s="1"/>
      <c r="R1424" s="2"/>
      <c r="S1424" s="6"/>
      <c r="T1424" t="s">
        <v>10902</v>
      </c>
      <c r="U1424" t="s">
        <v>10902</v>
      </c>
      <c r="V1424" t="s">
        <v>11051</v>
      </c>
      <c r="W1424" t="s">
        <v>43</v>
      </c>
      <c r="X1424" t="s">
        <v>11050</v>
      </c>
      <c r="Y1424" t="s">
        <v>44</v>
      </c>
      <c r="Z1424" t="s">
        <v>11050</v>
      </c>
      <c r="AA1424" t="s">
        <v>11035</v>
      </c>
      <c r="AB1424" t="s">
        <v>44</v>
      </c>
      <c r="AC1424" s="4"/>
      <c r="AD1424" s="4"/>
      <c r="AE1424" s="2">
        <v>0</v>
      </c>
      <c r="AF1424" s="4">
        <v>0</v>
      </c>
      <c r="AG1424" s="2">
        <v>4.59</v>
      </c>
      <c r="AH1424" s="2">
        <v>44732080</v>
      </c>
      <c r="AI1424" s="2">
        <v>0.1</v>
      </c>
      <c r="AJ1424" s="5">
        <v>44673</v>
      </c>
      <c r="AK1424" t="s">
        <v>12134</v>
      </c>
      <c r="AL1424" s="2">
        <v>0</v>
      </c>
      <c r="AM1424" s="2">
        <v>0</v>
      </c>
      <c r="AN1424" s="2">
        <v>0</v>
      </c>
      <c r="AO1424" t="s">
        <v>11053</v>
      </c>
      <c r="AP1424" t="s">
        <v>44</v>
      </c>
      <c r="AQ1424" t="s">
        <v>12136</v>
      </c>
    </row>
    <row r="1425" spans="1:43" x14ac:dyDescent="0.2">
      <c r="A1425" t="s">
        <v>12133</v>
      </c>
      <c r="B1425" t="s">
        <v>11037</v>
      </c>
      <c r="C1425" t="s">
        <v>11050</v>
      </c>
      <c r="D1425" t="s">
        <v>12137</v>
      </c>
      <c r="E1425" t="s">
        <v>12138</v>
      </c>
      <c r="F1425" t="s">
        <v>12137</v>
      </c>
      <c r="G1425" s="1">
        <v>39000000</v>
      </c>
      <c r="H1425" s="2">
        <v>39000000</v>
      </c>
      <c r="I1425" s="2">
        <v>43404103.159999996</v>
      </c>
      <c r="J1425" s="2">
        <v>0</v>
      </c>
      <c r="K1425" s="2">
        <v>0</v>
      </c>
      <c r="L1425" s="2">
        <v>43404103.159999996</v>
      </c>
      <c r="M1425" s="3">
        <v>111.29257200000001</v>
      </c>
      <c r="N1425" s="4">
        <v>9.8749009999999998E-2</v>
      </c>
      <c r="O1425" s="5" t="s">
        <v>44</v>
      </c>
      <c r="P1425" s="5" t="s">
        <v>44</v>
      </c>
      <c r="Q1425" s="1"/>
      <c r="R1425" s="2"/>
      <c r="S1425" s="6"/>
      <c r="T1425" t="s">
        <v>10902</v>
      </c>
      <c r="U1425" t="s">
        <v>10902</v>
      </c>
      <c r="V1425" t="s">
        <v>11051</v>
      </c>
      <c r="W1425" t="s">
        <v>43</v>
      </c>
      <c r="X1425" t="s">
        <v>11050</v>
      </c>
      <c r="Y1425" t="s">
        <v>44</v>
      </c>
      <c r="Z1425" t="s">
        <v>11050</v>
      </c>
      <c r="AA1425" t="s">
        <v>11035</v>
      </c>
      <c r="AB1425" t="s">
        <v>44</v>
      </c>
      <c r="AC1425" s="4"/>
      <c r="AD1425" s="4"/>
      <c r="AE1425" s="2">
        <v>0</v>
      </c>
      <c r="AF1425" s="4">
        <v>0</v>
      </c>
      <c r="AG1425" s="2">
        <v>4.46</v>
      </c>
      <c r="AH1425" s="2">
        <v>43404103.159999996</v>
      </c>
      <c r="AI1425" s="2">
        <v>0.1</v>
      </c>
      <c r="AJ1425" s="5">
        <v>44673</v>
      </c>
      <c r="AK1425" t="s">
        <v>12134</v>
      </c>
      <c r="AL1425" s="2">
        <v>0</v>
      </c>
      <c r="AM1425" s="2">
        <v>0</v>
      </c>
      <c r="AN1425" s="2">
        <v>0</v>
      </c>
      <c r="AO1425" t="s">
        <v>11036</v>
      </c>
      <c r="AP1425" t="s">
        <v>44</v>
      </c>
      <c r="AQ1425" t="s">
        <v>12138</v>
      </c>
    </row>
    <row r="1426" spans="1:43" x14ac:dyDescent="0.2">
      <c r="A1426" t="s">
        <v>12133</v>
      </c>
      <c r="B1426" t="s">
        <v>11037</v>
      </c>
      <c r="C1426" t="s">
        <v>11195</v>
      </c>
      <c r="D1426" t="s">
        <v>11325</v>
      </c>
      <c r="E1426" t="s">
        <v>5284</v>
      </c>
      <c r="F1426" t="s">
        <v>11325</v>
      </c>
      <c r="G1426" s="1">
        <v>44575</v>
      </c>
      <c r="H1426" s="2">
        <v>1477896.25</v>
      </c>
      <c r="I1426" s="2">
        <v>1438881</v>
      </c>
      <c r="J1426" s="2">
        <v>0</v>
      </c>
      <c r="K1426" s="2">
        <v>0</v>
      </c>
      <c r="L1426" s="2">
        <v>1438881</v>
      </c>
      <c r="M1426" s="3">
        <v>3228</v>
      </c>
      <c r="N1426" s="4">
        <v>3.2736100000000001E-3</v>
      </c>
      <c r="O1426" s="5" t="s">
        <v>44</v>
      </c>
      <c r="P1426" s="5" t="s">
        <v>44</v>
      </c>
      <c r="Q1426" s="1"/>
      <c r="R1426" s="2"/>
      <c r="S1426" s="6"/>
      <c r="T1426" t="s">
        <v>10902</v>
      </c>
      <c r="U1426" t="s">
        <v>10902</v>
      </c>
      <c r="V1426" t="s">
        <v>10902</v>
      </c>
      <c r="W1426" t="s">
        <v>43</v>
      </c>
      <c r="X1426" t="s">
        <v>11197</v>
      </c>
      <c r="Y1426" t="s">
        <v>11198</v>
      </c>
      <c r="Z1426" t="s">
        <v>11195</v>
      </c>
      <c r="AA1426" t="s">
        <v>44</v>
      </c>
      <c r="AB1426" t="s">
        <v>44</v>
      </c>
      <c r="AC1426" s="4"/>
      <c r="AD1426" s="4"/>
      <c r="AE1426" s="2">
        <v>0</v>
      </c>
      <c r="AF1426" s="4">
        <v>0</v>
      </c>
      <c r="AG1426" s="2">
        <v>0.15</v>
      </c>
      <c r="AH1426" s="2">
        <v>1438881</v>
      </c>
      <c r="AI1426" s="2">
        <v>0</v>
      </c>
      <c r="AJ1426" s="5">
        <v>44673</v>
      </c>
      <c r="AK1426" t="s">
        <v>12134</v>
      </c>
      <c r="AL1426" s="2">
        <v>0</v>
      </c>
      <c r="AM1426" s="2">
        <v>0</v>
      </c>
      <c r="AN1426" s="2">
        <v>0</v>
      </c>
      <c r="AO1426" t="s">
        <v>44</v>
      </c>
      <c r="AP1426" t="s">
        <v>11326</v>
      </c>
      <c r="AQ1426" t="s">
        <v>5284</v>
      </c>
    </row>
    <row r="1427" spans="1:43" x14ac:dyDescent="0.2">
      <c r="A1427" t="s">
        <v>12133</v>
      </c>
      <c r="B1427" t="s">
        <v>11037</v>
      </c>
      <c r="C1427" t="s">
        <v>11195</v>
      </c>
      <c r="D1427" t="s">
        <v>6419</v>
      </c>
      <c r="E1427" t="s">
        <v>5072</v>
      </c>
      <c r="F1427" t="s">
        <v>6419</v>
      </c>
      <c r="G1427" s="1">
        <v>54000</v>
      </c>
      <c r="H1427" s="2">
        <v>2777073.48</v>
      </c>
      <c r="I1427" s="2">
        <v>2265840</v>
      </c>
      <c r="J1427" s="2">
        <v>0</v>
      </c>
      <c r="K1427" s="2">
        <v>0</v>
      </c>
      <c r="L1427" s="2">
        <v>2265840</v>
      </c>
      <c r="M1427" s="3">
        <v>4196</v>
      </c>
      <c r="N1427" s="4">
        <v>5.1550299999999997E-3</v>
      </c>
      <c r="O1427" s="5" t="s">
        <v>44</v>
      </c>
      <c r="P1427" s="5" t="s">
        <v>44</v>
      </c>
      <c r="Q1427" s="1"/>
      <c r="R1427" s="2"/>
      <c r="S1427" s="6"/>
      <c r="T1427" t="s">
        <v>10902</v>
      </c>
      <c r="U1427" t="s">
        <v>10902</v>
      </c>
      <c r="V1427" t="s">
        <v>10902</v>
      </c>
      <c r="W1427" t="s">
        <v>43</v>
      </c>
      <c r="X1427" t="s">
        <v>11327</v>
      </c>
      <c r="Y1427" t="s">
        <v>11198</v>
      </c>
      <c r="Z1427" t="s">
        <v>11195</v>
      </c>
      <c r="AA1427" t="s">
        <v>44</v>
      </c>
      <c r="AB1427" t="s">
        <v>44</v>
      </c>
      <c r="AC1427" s="4"/>
      <c r="AD1427" s="4"/>
      <c r="AE1427" s="2">
        <v>0</v>
      </c>
      <c r="AF1427" s="4">
        <v>0</v>
      </c>
      <c r="AG1427" s="2">
        <v>0.23</v>
      </c>
      <c r="AH1427" s="2">
        <v>2265840</v>
      </c>
      <c r="AI1427" s="2">
        <v>0.01</v>
      </c>
      <c r="AJ1427" s="5">
        <v>44673</v>
      </c>
      <c r="AK1427" t="s">
        <v>12134</v>
      </c>
      <c r="AL1427" s="2">
        <v>0</v>
      </c>
      <c r="AM1427" s="2">
        <v>0</v>
      </c>
      <c r="AN1427" s="2">
        <v>0</v>
      </c>
      <c r="AO1427" t="s">
        <v>44</v>
      </c>
      <c r="AP1427" t="s">
        <v>11328</v>
      </c>
      <c r="AQ1427" t="s">
        <v>5072</v>
      </c>
    </row>
    <row r="1428" spans="1:43" x14ac:dyDescent="0.2">
      <c r="A1428" t="s">
        <v>12133</v>
      </c>
      <c r="B1428" t="s">
        <v>11037</v>
      </c>
      <c r="C1428" t="s">
        <v>11195</v>
      </c>
      <c r="D1428" t="s">
        <v>11704</v>
      </c>
      <c r="E1428" t="s">
        <v>3205</v>
      </c>
      <c r="F1428" t="s">
        <v>11704</v>
      </c>
      <c r="G1428" s="1">
        <v>17468</v>
      </c>
      <c r="H1428" s="2">
        <v>1860802.59</v>
      </c>
      <c r="I1428" s="2">
        <v>2875232.8</v>
      </c>
      <c r="J1428" s="2">
        <v>0</v>
      </c>
      <c r="K1428" s="2">
        <v>0</v>
      </c>
      <c r="L1428" s="2">
        <v>2875232.8</v>
      </c>
      <c r="M1428" s="3">
        <v>16460</v>
      </c>
      <c r="N1428" s="4">
        <v>6.5414599999999998E-3</v>
      </c>
      <c r="O1428" s="5" t="s">
        <v>44</v>
      </c>
      <c r="P1428" s="5" t="s">
        <v>44</v>
      </c>
      <c r="Q1428" s="1"/>
      <c r="R1428" s="2"/>
      <c r="S1428" s="6"/>
      <c r="T1428" t="s">
        <v>10902</v>
      </c>
      <c r="U1428" t="s">
        <v>10902</v>
      </c>
      <c r="V1428" t="s">
        <v>10902</v>
      </c>
      <c r="W1428" t="s">
        <v>43</v>
      </c>
      <c r="X1428" t="s">
        <v>11334</v>
      </c>
      <c r="Y1428" t="s">
        <v>11335</v>
      </c>
      <c r="Z1428" t="s">
        <v>11195</v>
      </c>
      <c r="AA1428" t="s">
        <v>44</v>
      </c>
      <c r="AB1428" t="s">
        <v>44</v>
      </c>
      <c r="AC1428" s="4"/>
      <c r="AD1428" s="4"/>
      <c r="AE1428" s="2">
        <v>0</v>
      </c>
      <c r="AF1428" s="4">
        <v>0</v>
      </c>
      <c r="AG1428" s="2">
        <v>0.3</v>
      </c>
      <c r="AH1428" s="2">
        <v>2875232.8</v>
      </c>
      <c r="AI1428" s="2">
        <v>0.01</v>
      </c>
      <c r="AJ1428" s="5">
        <v>44673</v>
      </c>
      <c r="AK1428" t="s">
        <v>12134</v>
      </c>
      <c r="AL1428" s="2">
        <v>0</v>
      </c>
      <c r="AM1428" s="2">
        <v>0</v>
      </c>
      <c r="AN1428" s="2">
        <v>0</v>
      </c>
      <c r="AO1428" t="s">
        <v>44</v>
      </c>
      <c r="AP1428" t="s">
        <v>11705</v>
      </c>
      <c r="AQ1428" t="s">
        <v>3205</v>
      </c>
    </row>
    <row r="1429" spans="1:43" x14ac:dyDescent="0.2">
      <c r="A1429" t="s">
        <v>12133</v>
      </c>
      <c r="B1429" t="s">
        <v>11037</v>
      </c>
      <c r="C1429" t="s">
        <v>11195</v>
      </c>
      <c r="D1429" t="s">
        <v>11196</v>
      </c>
      <c r="E1429" t="s">
        <v>5755</v>
      </c>
      <c r="F1429" t="s">
        <v>11196</v>
      </c>
      <c r="G1429" s="1">
        <v>119457</v>
      </c>
      <c r="H1429" s="2">
        <v>2179323.85</v>
      </c>
      <c r="I1429" s="2">
        <v>2577882.06</v>
      </c>
      <c r="J1429" s="2">
        <v>0</v>
      </c>
      <c r="K1429" s="2">
        <v>0</v>
      </c>
      <c r="L1429" s="2">
        <v>2577882.06</v>
      </c>
      <c r="M1429" s="3">
        <v>2158</v>
      </c>
      <c r="N1429" s="4">
        <v>5.8649599999999998E-3</v>
      </c>
      <c r="O1429" s="5" t="s">
        <v>44</v>
      </c>
      <c r="P1429" s="5" t="s">
        <v>44</v>
      </c>
      <c r="Q1429" s="1"/>
      <c r="R1429" s="2"/>
      <c r="S1429" s="6"/>
      <c r="T1429" t="s">
        <v>10902</v>
      </c>
      <c r="U1429" t="s">
        <v>10902</v>
      </c>
      <c r="V1429" t="s">
        <v>10902</v>
      </c>
      <c r="W1429" t="s">
        <v>43</v>
      </c>
      <c r="X1429" t="s">
        <v>11197</v>
      </c>
      <c r="Y1429" t="s">
        <v>11198</v>
      </c>
      <c r="Z1429" t="s">
        <v>11195</v>
      </c>
      <c r="AA1429" t="s">
        <v>44</v>
      </c>
      <c r="AB1429" t="s">
        <v>44</v>
      </c>
      <c r="AC1429" s="4"/>
      <c r="AD1429" s="4"/>
      <c r="AE1429" s="2">
        <v>0</v>
      </c>
      <c r="AF1429" s="4">
        <v>0</v>
      </c>
      <c r="AG1429" s="2">
        <v>0.26</v>
      </c>
      <c r="AH1429" s="2">
        <v>2577882.06</v>
      </c>
      <c r="AI1429" s="2">
        <v>0.01</v>
      </c>
      <c r="AJ1429" s="5">
        <v>44673</v>
      </c>
      <c r="AK1429" t="s">
        <v>12134</v>
      </c>
      <c r="AL1429" s="2">
        <v>0</v>
      </c>
      <c r="AM1429" s="2">
        <v>0</v>
      </c>
      <c r="AN1429" s="2">
        <v>0</v>
      </c>
      <c r="AO1429" t="s">
        <v>44</v>
      </c>
      <c r="AP1429" t="s">
        <v>11199</v>
      </c>
      <c r="AQ1429" t="s">
        <v>5755</v>
      </c>
    </row>
    <row r="1430" spans="1:43" x14ac:dyDescent="0.2">
      <c r="A1430" t="s">
        <v>12133</v>
      </c>
      <c r="B1430" t="s">
        <v>11037</v>
      </c>
      <c r="C1430" t="s">
        <v>11195</v>
      </c>
      <c r="D1430" t="s">
        <v>11706</v>
      </c>
      <c r="E1430" t="s">
        <v>4801</v>
      </c>
      <c r="F1430" t="s">
        <v>11706</v>
      </c>
      <c r="G1430" s="1">
        <v>143000</v>
      </c>
      <c r="H1430" s="2">
        <v>9415571.25</v>
      </c>
      <c r="I1430" s="2">
        <v>9948510</v>
      </c>
      <c r="J1430" s="2">
        <v>0</v>
      </c>
      <c r="K1430" s="2">
        <v>0</v>
      </c>
      <c r="L1430" s="2">
        <v>9948510</v>
      </c>
      <c r="M1430" s="3">
        <v>6957</v>
      </c>
      <c r="N1430" s="4">
        <v>2.263393E-2</v>
      </c>
      <c r="O1430" s="5" t="s">
        <v>44</v>
      </c>
      <c r="P1430" s="5" t="s">
        <v>44</v>
      </c>
      <c r="Q1430" s="1"/>
      <c r="R1430" s="2"/>
      <c r="S1430" s="6"/>
      <c r="T1430" t="s">
        <v>10902</v>
      </c>
      <c r="U1430" t="s">
        <v>10902</v>
      </c>
      <c r="V1430" t="s">
        <v>10902</v>
      </c>
      <c r="W1430" t="s">
        <v>43</v>
      </c>
      <c r="X1430" t="s">
        <v>11034</v>
      </c>
      <c r="Y1430" t="s">
        <v>11034</v>
      </c>
      <c r="Z1430" t="s">
        <v>11195</v>
      </c>
      <c r="AA1430" t="s">
        <v>44</v>
      </c>
      <c r="AB1430" t="s">
        <v>44</v>
      </c>
      <c r="AC1430" s="4"/>
      <c r="AD1430" s="4"/>
      <c r="AE1430" s="2">
        <v>0</v>
      </c>
      <c r="AF1430" s="4">
        <v>0</v>
      </c>
      <c r="AG1430" s="2">
        <v>1.02</v>
      </c>
      <c r="AH1430" s="2">
        <v>9948510</v>
      </c>
      <c r="AI1430" s="2">
        <v>0.02</v>
      </c>
      <c r="AJ1430" s="5">
        <v>44673</v>
      </c>
      <c r="AK1430" t="s">
        <v>12134</v>
      </c>
      <c r="AL1430" s="2">
        <v>0</v>
      </c>
      <c r="AM1430" s="2">
        <v>0</v>
      </c>
      <c r="AN1430" s="2">
        <v>0</v>
      </c>
      <c r="AO1430" t="s">
        <v>44</v>
      </c>
      <c r="AP1430" t="s">
        <v>11707</v>
      </c>
      <c r="AQ1430" t="s">
        <v>4801</v>
      </c>
    </row>
    <row r="1431" spans="1:43" x14ac:dyDescent="0.2">
      <c r="A1431" t="s">
        <v>12133</v>
      </c>
      <c r="B1431" t="s">
        <v>11037</v>
      </c>
      <c r="C1431" t="s">
        <v>11195</v>
      </c>
      <c r="D1431" t="s">
        <v>11200</v>
      </c>
      <c r="E1431" t="s">
        <v>5277</v>
      </c>
      <c r="F1431" t="s">
        <v>11200</v>
      </c>
      <c r="G1431" s="1">
        <v>245000</v>
      </c>
      <c r="H1431" s="2">
        <v>3343611.15</v>
      </c>
      <c r="I1431" s="2">
        <v>3055150</v>
      </c>
      <c r="J1431" s="2">
        <v>0</v>
      </c>
      <c r="K1431" s="2">
        <v>0</v>
      </c>
      <c r="L1431" s="2">
        <v>3055150</v>
      </c>
      <c r="M1431" s="3">
        <v>1247</v>
      </c>
      <c r="N1431" s="4">
        <v>6.9508E-3</v>
      </c>
      <c r="O1431" s="5" t="s">
        <v>44</v>
      </c>
      <c r="P1431" s="5" t="s">
        <v>44</v>
      </c>
      <c r="Q1431" s="1"/>
      <c r="R1431" s="2"/>
      <c r="S1431" s="6"/>
      <c r="T1431" t="s">
        <v>10902</v>
      </c>
      <c r="U1431" t="s">
        <v>10902</v>
      </c>
      <c r="V1431" t="s">
        <v>10902</v>
      </c>
      <c r="W1431" t="s">
        <v>43</v>
      </c>
      <c r="X1431" t="s">
        <v>11197</v>
      </c>
      <c r="Y1431" t="s">
        <v>11198</v>
      </c>
      <c r="Z1431" t="s">
        <v>11195</v>
      </c>
      <c r="AA1431" t="s">
        <v>44</v>
      </c>
      <c r="AB1431" t="s">
        <v>44</v>
      </c>
      <c r="AC1431" s="4"/>
      <c r="AD1431" s="4"/>
      <c r="AE1431" s="2">
        <v>0</v>
      </c>
      <c r="AF1431" s="4">
        <v>0</v>
      </c>
      <c r="AG1431" s="2">
        <v>0.31</v>
      </c>
      <c r="AH1431" s="2">
        <v>3055150</v>
      </c>
      <c r="AI1431" s="2">
        <v>0.01</v>
      </c>
      <c r="AJ1431" s="5">
        <v>44673</v>
      </c>
      <c r="AK1431" t="s">
        <v>12134</v>
      </c>
      <c r="AL1431" s="2">
        <v>0</v>
      </c>
      <c r="AM1431" s="2">
        <v>0</v>
      </c>
      <c r="AN1431" s="2">
        <v>0</v>
      </c>
      <c r="AO1431" t="s">
        <v>44</v>
      </c>
      <c r="AP1431" t="s">
        <v>11201</v>
      </c>
      <c r="AQ1431" t="s">
        <v>5277</v>
      </c>
    </row>
    <row r="1432" spans="1:43" x14ac:dyDescent="0.2">
      <c r="A1432" t="s">
        <v>12133</v>
      </c>
      <c r="B1432" t="s">
        <v>11037</v>
      </c>
      <c r="C1432" t="s">
        <v>11195</v>
      </c>
      <c r="D1432" t="s">
        <v>6332</v>
      </c>
      <c r="E1432" t="s">
        <v>3152</v>
      </c>
      <c r="F1432" t="s">
        <v>6332</v>
      </c>
      <c r="G1432" s="1">
        <v>62257</v>
      </c>
      <c r="H1432" s="2">
        <v>1817447.38</v>
      </c>
      <c r="I1432" s="2">
        <v>2246232.56</v>
      </c>
      <c r="J1432" s="2">
        <v>0</v>
      </c>
      <c r="K1432" s="2">
        <v>0</v>
      </c>
      <c r="L1432" s="2">
        <v>2246232.56</v>
      </c>
      <c r="M1432" s="3">
        <v>3608</v>
      </c>
      <c r="N1432" s="4">
        <v>5.1104200000000001E-3</v>
      </c>
      <c r="O1432" s="5" t="s">
        <v>44</v>
      </c>
      <c r="P1432" s="5" t="s">
        <v>44</v>
      </c>
      <c r="Q1432" s="1"/>
      <c r="R1432" s="2"/>
      <c r="S1432" s="6"/>
      <c r="T1432" t="s">
        <v>10902</v>
      </c>
      <c r="U1432" t="s">
        <v>10902</v>
      </c>
      <c r="V1432" t="s">
        <v>10902</v>
      </c>
      <c r="W1432" t="s">
        <v>43</v>
      </c>
      <c r="X1432" t="s">
        <v>11197</v>
      </c>
      <c r="Y1432" t="s">
        <v>11198</v>
      </c>
      <c r="Z1432" t="s">
        <v>11195</v>
      </c>
      <c r="AA1432" t="s">
        <v>44</v>
      </c>
      <c r="AB1432" t="s">
        <v>44</v>
      </c>
      <c r="AC1432" s="4"/>
      <c r="AD1432" s="4"/>
      <c r="AE1432" s="2">
        <v>0</v>
      </c>
      <c r="AF1432" s="4">
        <v>0</v>
      </c>
      <c r="AG1432" s="2">
        <v>0.23</v>
      </c>
      <c r="AH1432" s="2">
        <v>2246232.56</v>
      </c>
      <c r="AI1432" s="2">
        <v>0.01</v>
      </c>
      <c r="AJ1432" s="5">
        <v>44673</v>
      </c>
      <c r="AK1432" t="s">
        <v>12134</v>
      </c>
      <c r="AL1432" s="2">
        <v>0</v>
      </c>
      <c r="AM1432" s="2">
        <v>0</v>
      </c>
      <c r="AN1432" s="2">
        <v>0</v>
      </c>
      <c r="AO1432" t="s">
        <v>44</v>
      </c>
      <c r="AP1432" t="s">
        <v>11203</v>
      </c>
      <c r="AQ1432" t="s">
        <v>3152</v>
      </c>
    </row>
    <row r="1433" spans="1:43" x14ac:dyDescent="0.2">
      <c r="A1433" t="s">
        <v>12133</v>
      </c>
      <c r="B1433" t="s">
        <v>11037</v>
      </c>
      <c r="C1433" t="s">
        <v>11195</v>
      </c>
      <c r="D1433" t="s">
        <v>6450</v>
      </c>
      <c r="E1433" t="s">
        <v>5121</v>
      </c>
      <c r="F1433" t="s">
        <v>6450</v>
      </c>
      <c r="G1433" s="1">
        <v>17500</v>
      </c>
      <c r="H1433" s="2">
        <v>2143111.27</v>
      </c>
      <c r="I1433" s="2">
        <v>1940575</v>
      </c>
      <c r="J1433" s="2">
        <v>0</v>
      </c>
      <c r="K1433" s="2">
        <v>0</v>
      </c>
      <c r="L1433" s="2">
        <v>1940575</v>
      </c>
      <c r="M1433" s="3">
        <v>11089</v>
      </c>
      <c r="N1433" s="4">
        <v>4.4150200000000004E-3</v>
      </c>
      <c r="O1433" s="5" t="s">
        <v>44</v>
      </c>
      <c r="P1433" s="5" t="s">
        <v>44</v>
      </c>
      <c r="Q1433" s="1"/>
      <c r="R1433" s="2"/>
      <c r="S1433" s="6"/>
      <c r="T1433" t="s">
        <v>10902</v>
      </c>
      <c r="U1433" t="s">
        <v>10902</v>
      </c>
      <c r="V1433" t="s">
        <v>10902</v>
      </c>
      <c r="W1433" t="s">
        <v>43</v>
      </c>
      <c r="X1433" t="s">
        <v>11327</v>
      </c>
      <c r="Y1433" t="s">
        <v>11198</v>
      </c>
      <c r="Z1433" t="s">
        <v>11195</v>
      </c>
      <c r="AA1433" t="s">
        <v>44</v>
      </c>
      <c r="AB1433" t="s">
        <v>44</v>
      </c>
      <c r="AC1433" s="4"/>
      <c r="AD1433" s="4"/>
      <c r="AE1433" s="2">
        <v>0</v>
      </c>
      <c r="AF1433" s="4">
        <v>0</v>
      </c>
      <c r="AG1433" s="2">
        <v>0.2</v>
      </c>
      <c r="AH1433" s="2">
        <v>1940575</v>
      </c>
      <c r="AI1433" s="2">
        <v>0</v>
      </c>
      <c r="AJ1433" s="5">
        <v>44673</v>
      </c>
      <c r="AK1433" t="s">
        <v>12134</v>
      </c>
      <c r="AL1433" s="2">
        <v>0</v>
      </c>
      <c r="AM1433" s="2">
        <v>0</v>
      </c>
      <c r="AN1433" s="2">
        <v>0</v>
      </c>
      <c r="AO1433" t="s">
        <v>44</v>
      </c>
      <c r="AP1433" t="s">
        <v>11331</v>
      </c>
      <c r="AQ1433" t="s">
        <v>5121</v>
      </c>
    </row>
    <row r="1434" spans="1:43" x14ac:dyDescent="0.2">
      <c r="A1434" t="s">
        <v>12133</v>
      </c>
      <c r="B1434" t="s">
        <v>11037</v>
      </c>
      <c r="C1434" t="s">
        <v>11195</v>
      </c>
      <c r="D1434" t="s">
        <v>11204</v>
      </c>
      <c r="E1434" t="s">
        <v>5699</v>
      </c>
      <c r="F1434" t="s">
        <v>11204</v>
      </c>
      <c r="G1434" s="1">
        <v>90000</v>
      </c>
      <c r="H1434" s="2">
        <v>1413414.05</v>
      </c>
      <c r="I1434" s="2">
        <v>1969200</v>
      </c>
      <c r="J1434" s="2">
        <v>0</v>
      </c>
      <c r="K1434" s="2">
        <v>0</v>
      </c>
      <c r="L1434" s="2">
        <v>1969200</v>
      </c>
      <c r="M1434" s="3">
        <v>2188</v>
      </c>
      <c r="N1434" s="4">
        <v>4.4801399999999996E-3</v>
      </c>
      <c r="O1434" s="5" t="s">
        <v>44</v>
      </c>
      <c r="P1434" s="5" t="s">
        <v>44</v>
      </c>
      <c r="Q1434" s="1"/>
      <c r="R1434" s="2"/>
      <c r="S1434" s="6"/>
      <c r="T1434" t="s">
        <v>10902</v>
      </c>
      <c r="U1434" t="s">
        <v>10902</v>
      </c>
      <c r="V1434" t="s">
        <v>10902</v>
      </c>
      <c r="W1434" t="s">
        <v>43</v>
      </c>
      <c r="X1434" t="s">
        <v>11197</v>
      </c>
      <c r="Y1434" t="s">
        <v>11198</v>
      </c>
      <c r="Z1434" t="s">
        <v>11195</v>
      </c>
      <c r="AA1434" t="s">
        <v>44</v>
      </c>
      <c r="AB1434" t="s">
        <v>44</v>
      </c>
      <c r="AC1434" s="4"/>
      <c r="AD1434" s="4"/>
      <c r="AE1434" s="2">
        <v>0</v>
      </c>
      <c r="AF1434" s="4">
        <v>0</v>
      </c>
      <c r="AG1434" s="2">
        <v>0.2</v>
      </c>
      <c r="AH1434" s="2">
        <v>1969200</v>
      </c>
      <c r="AI1434" s="2">
        <v>0</v>
      </c>
      <c r="AJ1434" s="5">
        <v>44673</v>
      </c>
      <c r="AK1434" t="s">
        <v>12134</v>
      </c>
      <c r="AL1434" s="2">
        <v>0</v>
      </c>
      <c r="AM1434" s="2">
        <v>0</v>
      </c>
      <c r="AN1434" s="2">
        <v>0</v>
      </c>
      <c r="AO1434" t="s">
        <v>44</v>
      </c>
      <c r="AP1434" t="s">
        <v>11205</v>
      </c>
      <c r="AQ1434" t="s">
        <v>5699</v>
      </c>
    </row>
    <row r="1435" spans="1:43" x14ac:dyDescent="0.2">
      <c r="A1435" t="s">
        <v>12133</v>
      </c>
      <c r="B1435" t="s">
        <v>11037</v>
      </c>
      <c r="C1435" t="s">
        <v>11195</v>
      </c>
      <c r="D1435" t="s">
        <v>11332</v>
      </c>
      <c r="E1435" t="s">
        <v>11333</v>
      </c>
      <c r="F1435" t="s">
        <v>11332</v>
      </c>
      <c r="G1435" s="1">
        <v>241890</v>
      </c>
      <c r="H1435" s="2">
        <v>3679026.5</v>
      </c>
      <c r="I1435" s="2">
        <v>4085522.1</v>
      </c>
      <c r="J1435" s="2">
        <v>0</v>
      </c>
      <c r="K1435" s="2">
        <v>0</v>
      </c>
      <c r="L1435" s="2">
        <v>4085522.1</v>
      </c>
      <c r="M1435" s="3">
        <v>1689</v>
      </c>
      <c r="N1435" s="4">
        <v>9.2949999999999994E-3</v>
      </c>
      <c r="O1435" s="5" t="s">
        <v>44</v>
      </c>
      <c r="P1435" s="5" t="s">
        <v>44</v>
      </c>
      <c r="Q1435" s="1"/>
      <c r="R1435" s="2"/>
      <c r="S1435" s="6"/>
      <c r="T1435" t="s">
        <v>10902</v>
      </c>
      <c r="U1435" t="s">
        <v>10902</v>
      </c>
      <c r="V1435" t="s">
        <v>10902</v>
      </c>
      <c r="W1435" t="s">
        <v>43</v>
      </c>
      <c r="X1435" t="s">
        <v>11334</v>
      </c>
      <c r="Y1435" t="s">
        <v>11335</v>
      </c>
      <c r="Z1435" t="s">
        <v>11195</v>
      </c>
      <c r="AA1435" t="s">
        <v>44</v>
      </c>
      <c r="AB1435" t="s">
        <v>44</v>
      </c>
      <c r="AC1435" s="4"/>
      <c r="AD1435" s="4"/>
      <c r="AE1435" s="2">
        <v>0</v>
      </c>
      <c r="AF1435" s="4">
        <v>0</v>
      </c>
      <c r="AG1435" s="2">
        <v>0.42</v>
      </c>
      <c r="AH1435" s="2">
        <v>4085522.1</v>
      </c>
      <c r="AI1435" s="2">
        <v>0.01</v>
      </c>
      <c r="AJ1435" s="5">
        <v>44673</v>
      </c>
      <c r="AK1435" t="s">
        <v>12134</v>
      </c>
      <c r="AL1435" s="2">
        <v>0</v>
      </c>
      <c r="AM1435" s="2">
        <v>0</v>
      </c>
      <c r="AN1435" s="2">
        <v>0</v>
      </c>
      <c r="AO1435" t="s">
        <v>44</v>
      </c>
      <c r="AP1435" t="s">
        <v>11336</v>
      </c>
      <c r="AQ1435" t="s">
        <v>11333</v>
      </c>
    </row>
    <row r="1436" spans="1:43" x14ac:dyDescent="0.2">
      <c r="A1436" t="s">
        <v>12133</v>
      </c>
      <c r="B1436" t="s">
        <v>11037</v>
      </c>
      <c r="C1436" t="s">
        <v>11195</v>
      </c>
      <c r="D1436" t="s">
        <v>11337</v>
      </c>
      <c r="E1436" t="s">
        <v>11338</v>
      </c>
      <c r="F1436" t="s">
        <v>11339</v>
      </c>
      <c r="G1436" s="1">
        <v>30000</v>
      </c>
      <c r="H1436" s="2">
        <v>1398662.76</v>
      </c>
      <c r="I1436" s="2">
        <v>1517400</v>
      </c>
      <c r="J1436" s="2">
        <v>0</v>
      </c>
      <c r="K1436" s="2">
        <v>0</v>
      </c>
      <c r="L1436" s="2">
        <v>1517400</v>
      </c>
      <c r="M1436" s="3">
        <v>5058</v>
      </c>
      <c r="N1436" s="4">
        <v>3.45225E-3</v>
      </c>
      <c r="O1436" s="5" t="s">
        <v>44</v>
      </c>
      <c r="P1436" s="5" t="s">
        <v>44</v>
      </c>
      <c r="Q1436" s="1"/>
      <c r="R1436" s="2"/>
      <c r="S1436" s="6"/>
      <c r="T1436" t="s">
        <v>10902</v>
      </c>
      <c r="U1436" t="s">
        <v>10902</v>
      </c>
      <c r="V1436" t="s">
        <v>10902</v>
      </c>
      <c r="W1436" t="s">
        <v>43</v>
      </c>
      <c r="X1436" t="s">
        <v>11327</v>
      </c>
      <c r="Y1436" t="s">
        <v>11198</v>
      </c>
      <c r="Z1436" t="s">
        <v>11195</v>
      </c>
      <c r="AA1436" t="s">
        <v>44</v>
      </c>
      <c r="AB1436" t="s">
        <v>44</v>
      </c>
      <c r="AC1436" s="4"/>
      <c r="AD1436" s="4"/>
      <c r="AE1436" s="2">
        <v>0</v>
      </c>
      <c r="AF1436" s="4">
        <v>0</v>
      </c>
      <c r="AG1436" s="2">
        <v>0.16</v>
      </c>
      <c r="AH1436" s="2">
        <v>1517400</v>
      </c>
      <c r="AI1436" s="2">
        <v>0</v>
      </c>
      <c r="AJ1436" s="5">
        <v>44673</v>
      </c>
      <c r="AK1436" t="s">
        <v>12134</v>
      </c>
      <c r="AL1436" s="2">
        <v>0</v>
      </c>
      <c r="AM1436" s="2">
        <v>0</v>
      </c>
      <c r="AN1436" s="2">
        <v>0</v>
      </c>
      <c r="AO1436" t="s">
        <v>44</v>
      </c>
      <c r="AP1436" t="s">
        <v>11340</v>
      </c>
      <c r="AQ1436" t="s">
        <v>11338</v>
      </c>
    </row>
    <row r="1437" spans="1:43" x14ac:dyDescent="0.2">
      <c r="A1437" t="s">
        <v>12133</v>
      </c>
      <c r="B1437" t="s">
        <v>11037</v>
      </c>
      <c r="C1437" t="s">
        <v>11195</v>
      </c>
      <c r="D1437" t="s">
        <v>11341</v>
      </c>
      <c r="E1437" t="s">
        <v>11342</v>
      </c>
      <c r="F1437" t="s">
        <v>11341</v>
      </c>
      <c r="G1437" s="1">
        <v>37000</v>
      </c>
      <c r="H1437" s="2">
        <v>1745053.64</v>
      </c>
      <c r="I1437" s="2">
        <v>1929920</v>
      </c>
      <c r="J1437" s="2">
        <v>0</v>
      </c>
      <c r="K1437" s="2">
        <v>0</v>
      </c>
      <c r="L1437" s="2">
        <v>1929920</v>
      </c>
      <c r="M1437" s="3">
        <v>5216</v>
      </c>
      <c r="N1437" s="4">
        <v>4.3907800000000004E-3</v>
      </c>
      <c r="O1437" s="5" t="s">
        <v>44</v>
      </c>
      <c r="P1437" s="5" t="s">
        <v>44</v>
      </c>
      <c r="Q1437" s="1"/>
      <c r="R1437" s="2"/>
      <c r="S1437" s="6"/>
      <c r="T1437" t="s">
        <v>10902</v>
      </c>
      <c r="U1437" t="s">
        <v>10902</v>
      </c>
      <c r="V1437" t="s">
        <v>10902</v>
      </c>
      <c r="W1437" t="s">
        <v>43</v>
      </c>
      <c r="X1437" t="s">
        <v>11327</v>
      </c>
      <c r="Y1437" t="s">
        <v>11198</v>
      </c>
      <c r="Z1437" t="s">
        <v>11195</v>
      </c>
      <c r="AA1437" t="s">
        <v>44</v>
      </c>
      <c r="AB1437" t="s">
        <v>44</v>
      </c>
      <c r="AC1437" s="4"/>
      <c r="AD1437" s="4"/>
      <c r="AE1437" s="2">
        <v>0</v>
      </c>
      <c r="AF1437" s="4">
        <v>0</v>
      </c>
      <c r="AG1437" s="2">
        <v>0.2</v>
      </c>
      <c r="AH1437" s="2">
        <v>1929920</v>
      </c>
      <c r="AI1437" s="2">
        <v>0</v>
      </c>
      <c r="AJ1437" s="5">
        <v>44673</v>
      </c>
      <c r="AK1437" t="s">
        <v>12134</v>
      </c>
      <c r="AL1437" s="2">
        <v>0</v>
      </c>
      <c r="AM1437" s="2">
        <v>0</v>
      </c>
      <c r="AN1437" s="2">
        <v>0</v>
      </c>
      <c r="AO1437" t="s">
        <v>44</v>
      </c>
      <c r="AP1437" t="s">
        <v>11343</v>
      </c>
      <c r="AQ1437" t="s">
        <v>11342</v>
      </c>
    </row>
    <row r="1438" spans="1:43" x14ac:dyDescent="0.2">
      <c r="A1438" t="s">
        <v>12133</v>
      </c>
      <c r="B1438" t="s">
        <v>11037</v>
      </c>
      <c r="C1438" t="s">
        <v>11195</v>
      </c>
      <c r="D1438" t="s">
        <v>6128</v>
      </c>
      <c r="E1438" t="s">
        <v>6759</v>
      </c>
      <c r="F1438" t="s">
        <v>6128</v>
      </c>
      <c r="G1438" s="1">
        <v>34000</v>
      </c>
      <c r="H1438" s="2">
        <v>2377330.1</v>
      </c>
      <c r="I1438" s="2">
        <v>3281000</v>
      </c>
      <c r="J1438" s="2">
        <v>0</v>
      </c>
      <c r="K1438" s="2">
        <v>0</v>
      </c>
      <c r="L1438" s="2">
        <v>3281000</v>
      </c>
      <c r="M1438" s="3">
        <v>9650</v>
      </c>
      <c r="N1438" s="4">
        <v>7.4646299999999999E-3</v>
      </c>
      <c r="O1438" s="5" t="s">
        <v>44</v>
      </c>
      <c r="P1438" s="5" t="s">
        <v>44</v>
      </c>
      <c r="Q1438" s="1"/>
      <c r="R1438" s="2"/>
      <c r="S1438" s="6"/>
      <c r="T1438" t="s">
        <v>10902</v>
      </c>
      <c r="U1438" t="s">
        <v>10902</v>
      </c>
      <c r="V1438" t="s">
        <v>10902</v>
      </c>
      <c r="W1438" t="s">
        <v>43</v>
      </c>
      <c r="X1438" t="s">
        <v>11327</v>
      </c>
      <c r="Y1438" t="s">
        <v>11198</v>
      </c>
      <c r="Z1438" t="s">
        <v>11195</v>
      </c>
      <c r="AA1438" t="s">
        <v>44</v>
      </c>
      <c r="AB1438" t="s">
        <v>44</v>
      </c>
      <c r="AC1438" s="4"/>
      <c r="AD1438" s="4"/>
      <c r="AE1438" s="2">
        <v>0</v>
      </c>
      <c r="AF1438" s="4">
        <v>0</v>
      </c>
      <c r="AG1438" s="2">
        <v>0.34</v>
      </c>
      <c r="AH1438" s="2">
        <v>3281000</v>
      </c>
      <c r="AI1438" s="2">
        <v>0.01</v>
      </c>
      <c r="AJ1438" s="5">
        <v>44673</v>
      </c>
      <c r="AK1438" t="s">
        <v>12134</v>
      </c>
      <c r="AL1438" s="2">
        <v>0</v>
      </c>
      <c r="AM1438" s="2">
        <v>0</v>
      </c>
      <c r="AN1438" s="2">
        <v>0</v>
      </c>
      <c r="AO1438" t="s">
        <v>44</v>
      </c>
      <c r="AP1438" t="s">
        <v>11344</v>
      </c>
      <c r="AQ1438" t="s">
        <v>6759</v>
      </c>
    </row>
    <row r="1439" spans="1:43" x14ac:dyDescent="0.2">
      <c r="A1439" t="s">
        <v>12133</v>
      </c>
      <c r="B1439" t="s">
        <v>11037</v>
      </c>
      <c r="C1439" t="s">
        <v>11195</v>
      </c>
      <c r="D1439" t="s">
        <v>11345</v>
      </c>
      <c r="E1439" t="s">
        <v>5409</v>
      </c>
      <c r="F1439" t="s">
        <v>11345</v>
      </c>
      <c r="G1439" s="1">
        <v>195000</v>
      </c>
      <c r="H1439" s="2">
        <v>6261188.5899999999</v>
      </c>
      <c r="I1439" s="2">
        <v>5382000</v>
      </c>
      <c r="J1439" s="2">
        <v>0</v>
      </c>
      <c r="K1439" s="2">
        <v>152606.81</v>
      </c>
      <c r="L1439" s="2">
        <v>5534606.8099999996</v>
      </c>
      <c r="M1439" s="3">
        <v>2760</v>
      </c>
      <c r="N1439" s="4">
        <v>1.259183E-2</v>
      </c>
      <c r="O1439" s="5" t="s">
        <v>44</v>
      </c>
      <c r="P1439" s="5" t="s">
        <v>44</v>
      </c>
      <c r="Q1439" s="1"/>
      <c r="R1439" s="2"/>
      <c r="S1439" s="6"/>
      <c r="T1439" t="s">
        <v>10902</v>
      </c>
      <c r="U1439" t="s">
        <v>10902</v>
      </c>
      <c r="V1439" t="s">
        <v>10902</v>
      </c>
      <c r="W1439" t="s">
        <v>43</v>
      </c>
      <c r="X1439" t="s">
        <v>11327</v>
      </c>
      <c r="Y1439" t="s">
        <v>11198</v>
      </c>
      <c r="Z1439" t="s">
        <v>11195</v>
      </c>
      <c r="AA1439" t="s">
        <v>44</v>
      </c>
      <c r="AB1439" t="s">
        <v>44</v>
      </c>
      <c r="AC1439" s="4"/>
      <c r="AD1439" s="4"/>
      <c r="AE1439" s="2">
        <v>0</v>
      </c>
      <c r="AF1439" s="4">
        <v>0</v>
      </c>
      <c r="AG1439" s="2">
        <v>0.56999999999999995</v>
      </c>
      <c r="AH1439" s="2">
        <v>5534606.8099999996</v>
      </c>
      <c r="AI1439" s="2">
        <v>0.01</v>
      </c>
      <c r="AJ1439" s="5">
        <v>44673</v>
      </c>
      <c r="AK1439" t="s">
        <v>12134</v>
      </c>
      <c r="AL1439" s="2">
        <v>0</v>
      </c>
      <c r="AM1439" s="2">
        <v>0</v>
      </c>
      <c r="AN1439" s="2">
        <v>0</v>
      </c>
      <c r="AO1439" t="s">
        <v>44</v>
      </c>
      <c r="AP1439" t="s">
        <v>11346</v>
      </c>
      <c r="AQ1439" t="s">
        <v>5409</v>
      </c>
    </row>
    <row r="1440" spans="1:43" x14ac:dyDescent="0.2">
      <c r="A1440" t="s">
        <v>12133</v>
      </c>
      <c r="B1440" t="s">
        <v>11037</v>
      </c>
      <c r="C1440" t="s">
        <v>11195</v>
      </c>
      <c r="D1440" t="s">
        <v>6263</v>
      </c>
      <c r="E1440" t="s">
        <v>6850</v>
      </c>
      <c r="F1440" t="s">
        <v>6263</v>
      </c>
      <c r="G1440" s="1">
        <v>160000</v>
      </c>
      <c r="H1440" s="2">
        <v>2889122.76</v>
      </c>
      <c r="I1440" s="2">
        <v>4238400</v>
      </c>
      <c r="J1440" s="2">
        <v>0</v>
      </c>
      <c r="K1440" s="2">
        <v>264800</v>
      </c>
      <c r="L1440" s="2">
        <v>4503200</v>
      </c>
      <c r="M1440" s="3">
        <v>2649</v>
      </c>
      <c r="N1440" s="4">
        <v>1.0245260000000001E-2</v>
      </c>
      <c r="O1440" s="5" t="s">
        <v>44</v>
      </c>
      <c r="P1440" s="5" t="s">
        <v>44</v>
      </c>
      <c r="Q1440" s="1"/>
      <c r="R1440" s="2"/>
      <c r="S1440" s="6"/>
      <c r="T1440" t="s">
        <v>10902</v>
      </c>
      <c r="U1440" t="s">
        <v>10902</v>
      </c>
      <c r="V1440" t="s">
        <v>10902</v>
      </c>
      <c r="W1440" t="s">
        <v>43</v>
      </c>
      <c r="X1440" t="s">
        <v>11347</v>
      </c>
      <c r="Y1440" t="s">
        <v>11348</v>
      </c>
      <c r="Z1440" t="s">
        <v>11195</v>
      </c>
      <c r="AA1440" t="s">
        <v>44</v>
      </c>
      <c r="AB1440" t="s">
        <v>44</v>
      </c>
      <c r="AC1440" s="4"/>
      <c r="AD1440" s="4"/>
      <c r="AE1440" s="2">
        <v>0</v>
      </c>
      <c r="AF1440" s="4">
        <v>0</v>
      </c>
      <c r="AG1440" s="2">
        <v>0.46</v>
      </c>
      <c r="AH1440" s="2">
        <v>4503200</v>
      </c>
      <c r="AI1440" s="2">
        <v>0.01</v>
      </c>
      <c r="AJ1440" s="5">
        <v>44673</v>
      </c>
      <c r="AK1440" t="s">
        <v>12134</v>
      </c>
      <c r="AL1440" s="2">
        <v>0</v>
      </c>
      <c r="AM1440" s="2">
        <v>0</v>
      </c>
      <c r="AN1440" s="2">
        <v>0</v>
      </c>
      <c r="AO1440" t="s">
        <v>44</v>
      </c>
      <c r="AP1440" t="s">
        <v>11349</v>
      </c>
      <c r="AQ1440" t="s">
        <v>6850</v>
      </c>
    </row>
    <row r="1441" spans="1:43" x14ac:dyDescent="0.2">
      <c r="A1441" t="s">
        <v>12133</v>
      </c>
      <c r="B1441" t="s">
        <v>11037</v>
      </c>
      <c r="C1441" t="s">
        <v>11195</v>
      </c>
      <c r="D1441" t="s">
        <v>11208</v>
      </c>
      <c r="E1441" t="s">
        <v>3160</v>
      </c>
      <c r="F1441" t="s">
        <v>11208</v>
      </c>
      <c r="G1441" s="1">
        <v>1200000</v>
      </c>
      <c r="H1441" s="2">
        <v>5044750.6500000004</v>
      </c>
      <c r="I1441" s="2">
        <v>5316000</v>
      </c>
      <c r="J1441" s="2">
        <v>0</v>
      </c>
      <c r="K1441" s="2">
        <v>0</v>
      </c>
      <c r="L1441" s="2">
        <v>5316000</v>
      </c>
      <c r="M1441" s="3">
        <v>443</v>
      </c>
      <c r="N1441" s="4">
        <v>1.209447E-2</v>
      </c>
      <c r="O1441" s="5" t="s">
        <v>44</v>
      </c>
      <c r="P1441" s="5" t="s">
        <v>44</v>
      </c>
      <c r="Q1441" s="1"/>
      <c r="R1441" s="2"/>
      <c r="S1441" s="6"/>
      <c r="T1441" t="s">
        <v>10902</v>
      </c>
      <c r="U1441" t="s">
        <v>10902</v>
      </c>
      <c r="V1441" t="s">
        <v>10902</v>
      </c>
      <c r="W1441" t="s">
        <v>43</v>
      </c>
      <c r="X1441" t="s">
        <v>11197</v>
      </c>
      <c r="Y1441" t="s">
        <v>11198</v>
      </c>
      <c r="Z1441" t="s">
        <v>11195</v>
      </c>
      <c r="AA1441" t="s">
        <v>44</v>
      </c>
      <c r="AB1441" t="s">
        <v>44</v>
      </c>
      <c r="AC1441" s="4"/>
      <c r="AD1441" s="4"/>
      <c r="AE1441" s="2">
        <v>0</v>
      </c>
      <c r="AF1441" s="4">
        <v>0</v>
      </c>
      <c r="AG1441" s="2">
        <v>0.55000000000000004</v>
      </c>
      <c r="AH1441" s="2">
        <v>5316000</v>
      </c>
      <c r="AI1441" s="2">
        <v>0.01</v>
      </c>
      <c r="AJ1441" s="5">
        <v>44673</v>
      </c>
      <c r="AK1441" t="s">
        <v>12134</v>
      </c>
      <c r="AL1441" s="2">
        <v>0</v>
      </c>
      <c r="AM1441" s="2">
        <v>0</v>
      </c>
      <c r="AN1441" s="2">
        <v>0</v>
      </c>
      <c r="AO1441" t="s">
        <v>44</v>
      </c>
      <c r="AP1441" t="s">
        <v>11209</v>
      </c>
      <c r="AQ1441" t="s">
        <v>3160</v>
      </c>
    </row>
    <row r="1442" spans="1:43" x14ac:dyDescent="0.2">
      <c r="A1442" t="s">
        <v>12133</v>
      </c>
      <c r="B1442" t="s">
        <v>11037</v>
      </c>
      <c r="C1442" t="s">
        <v>11195</v>
      </c>
      <c r="D1442" t="s">
        <v>11714</v>
      </c>
      <c r="E1442" t="s">
        <v>5012</v>
      </c>
      <c r="F1442" t="s">
        <v>11714</v>
      </c>
      <c r="G1442" s="1">
        <v>25000</v>
      </c>
      <c r="H1442" s="2">
        <v>7839851.1799999997</v>
      </c>
      <c r="I1442" s="2">
        <v>7996250</v>
      </c>
      <c r="J1442" s="2">
        <v>0</v>
      </c>
      <c r="K1442" s="2">
        <v>0</v>
      </c>
      <c r="L1442" s="2">
        <v>7996250</v>
      </c>
      <c r="M1442" s="3">
        <v>31985</v>
      </c>
      <c r="N1442" s="4">
        <v>1.819233E-2</v>
      </c>
      <c r="O1442" s="5" t="s">
        <v>44</v>
      </c>
      <c r="P1442" s="5" t="s">
        <v>44</v>
      </c>
      <c r="Q1442" s="1"/>
      <c r="R1442" s="2"/>
      <c r="S1442" s="6"/>
      <c r="T1442" t="s">
        <v>10902</v>
      </c>
      <c r="U1442" t="s">
        <v>10902</v>
      </c>
      <c r="V1442" t="s">
        <v>10902</v>
      </c>
      <c r="W1442" t="s">
        <v>43</v>
      </c>
      <c r="X1442" t="s">
        <v>11327</v>
      </c>
      <c r="Y1442" t="s">
        <v>11198</v>
      </c>
      <c r="Z1442" t="s">
        <v>11195</v>
      </c>
      <c r="AA1442" t="s">
        <v>44</v>
      </c>
      <c r="AB1442" t="s">
        <v>44</v>
      </c>
      <c r="AC1442" s="4"/>
      <c r="AD1442" s="4"/>
      <c r="AE1442" s="2">
        <v>0</v>
      </c>
      <c r="AF1442" s="4">
        <v>0</v>
      </c>
      <c r="AG1442" s="2">
        <v>0.82</v>
      </c>
      <c r="AH1442" s="2">
        <v>7996250</v>
      </c>
      <c r="AI1442" s="2">
        <v>0.02</v>
      </c>
      <c r="AJ1442" s="5">
        <v>44673</v>
      </c>
      <c r="AK1442" t="s">
        <v>12134</v>
      </c>
      <c r="AL1442" s="2">
        <v>0</v>
      </c>
      <c r="AM1442" s="2">
        <v>0</v>
      </c>
      <c r="AN1442" s="2">
        <v>0</v>
      </c>
      <c r="AO1442" t="s">
        <v>44</v>
      </c>
      <c r="AP1442" t="s">
        <v>11715</v>
      </c>
      <c r="AQ1442" t="s">
        <v>5012</v>
      </c>
    </row>
    <row r="1443" spans="1:43" x14ac:dyDescent="0.2">
      <c r="A1443" t="s">
        <v>12133</v>
      </c>
      <c r="B1443" t="s">
        <v>11037</v>
      </c>
      <c r="C1443" t="s">
        <v>11195</v>
      </c>
      <c r="D1443" t="s">
        <v>11210</v>
      </c>
      <c r="E1443" t="s">
        <v>3167</v>
      </c>
      <c r="F1443" t="s">
        <v>11211</v>
      </c>
      <c r="G1443" s="1">
        <v>65000</v>
      </c>
      <c r="H1443" s="2">
        <v>2862740.04</v>
      </c>
      <c r="I1443" s="2">
        <v>3802500</v>
      </c>
      <c r="J1443" s="2">
        <v>0</v>
      </c>
      <c r="K1443" s="2">
        <v>0</v>
      </c>
      <c r="L1443" s="2">
        <v>3802500</v>
      </c>
      <c r="M1443" s="3">
        <v>5850</v>
      </c>
      <c r="N1443" s="4">
        <v>8.6511000000000001E-3</v>
      </c>
      <c r="O1443" s="5" t="s">
        <v>44</v>
      </c>
      <c r="P1443" s="5" t="s">
        <v>44</v>
      </c>
      <c r="Q1443" s="1"/>
      <c r="R1443" s="2"/>
      <c r="S1443" s="6"/>
      <c r="T1443" t="s">
        <v>10902</v>
      </c>
      <c r="U1443" t="s">
        <v>10902</v>
      </c>
      <c r="V1443" t="s">
        <v>11212</v>
      </c>
      <c r="W1443" t="s">
        <v>43</v>
      </c>
      <c r="X1443" t="s">
        <v>11197</v>
      </c>
      <c r="Y1443" t="s">
        <v>11198</v>
      </c>
      <c r="Z1443" t="s">
        <v>11195</v>
      </c>
      <c r="AA1443" t="s">
        <v>44</v>
      </c>
      <c r="AB1443" t="s">
        <v>44</v>
      </c>
      <c r="AC1443" s="4"/>
      <c r="AD1443" s="4"/>
      <c r="AE1443" s="2">
        <v>0</v>
      </c>
      <c r="AF1443" s="4">
        <v>0</v>
      </c>
      <c r="AG1443" s="2">
        <v>0.39</v>
      </c>
      <c r="AH1443" s="2">
        <v>3802500</v>
      </c>
      <c r="AI1443" s="2">
        <v>0.01</v>
      </c>
      <c r="AJ1443" s="5">
        <v>44673</v>
      </c>
      <c r="AK1443" t="s">
        <v>12134</v>
      </c>
      <c r="AL1443" s="2">
        <v>0</v>
      </c>
      <c r="AM1443" s="2">
        <v>0</v>
      </c>
      <c r="AN1443" s="2">
        <v>0</v>
      </c>
      <c r="AO1443" t="s">
        <v>44</v>
      </c>
      <c r="AP1443" t="s">
        <v>11213</v>
      </c>
      <c r="AQ1443" t="s">
        <v>3167</v>
      </c>
    </row>
    <row r="1444" spans="1:43" x14ac:dyDescent="0.2">
      <c r="A1444" t="s">
        <v>12133</v>
      </c>
      <c r="B1444" t="s">
        <v>11037</v>
      </c>
      <c r="C1444" t="s">
        <v>11195</v>
      </c>
      <c r="D1444" t="s">
        <v>6379</v>
      </c>
      <c r="E1444" t="s">
        <v>5199</v>
      </c>
      <c r="F1444" t="s">
        <v>6379</v>
      </c>
      <c r="G1444" s="1">
        <v>8500</v>
      </c>
      <c r="H1444" s="2">
        <v>2281548.44</v>
      </c>
      <c r="I1444" s="2">
        <v>2482000</v>
      </c>
      <c r="J1444" s="2">
        <v>0</v>
      </c>
      <c r="K1444" s="2">
        <v>0</v>
      </c>
      <c r="L1444" s="2">
        <v>2482000</v>
      </c>
      <c r="M1444" s="3">
        <v>29200</v>
      </c>
      <c r="N1444" s="4">
        <v>5.6468200000000003E-3</v>
      </c>
      <c r="O1444" s="5" t="s">
        <v>44</v>
      </c>
      <c r="P1444" s="5" t="s">
        <v>44</v>
      </c>
      <c r="Q1444" s="1"/>
      <c r="R1444" s="2"/>
      <c r="S1444" s="6"/>
      <c r="T1444" t="s">
        <v>10902</v>
      </c>
      <c r="U1444" t="s">
        <v>10902</v>
      </c>
      <c r="V1444" t="s">
        <v>10902</v>
      </c>
      <c r="W1444" t="s">
        <v>43</v>
      </c>
      <c r="X1444" t="s">
        <v>11350</v>
      </c>
      <c r="Y1444" t="s">
        <v>11335</v>
      </c>
      <c r="Z1444" t="s">
        <v>11195</v>
      </c>
      <c r="AA1444" t="s">
        <v>44</v>
      </c>
      <c r="AB1444" t="s">
        <v>44</v>
      </c>
      <c r="AC1444" s="4"/>
      <c r="AD1444" s="4"/>
      <c r="AE1444" s="2">
        <v>0</v>
      </c>
      <c r="AF1444" s="4">
        <v>0</v>
      </c>
      <c r="AG1444" s="2">
        <v>0.25</v>
      </c>
      <c r="AH1444" s="2">
        <v>2482000</v>
      </c>
      <c r="AI1444" s="2">
        <v>0.01</v>
      </c>
      <c r="AJ1444" s="5">
        <v>44673</v>
      </c>
      <c r="AK1444" t="s">
        <v>12134</v>
      </c>
      <c r="AL1444" s="2">
        <v>0</v>
      </c>
      <c r="AM1444" s="2">
        <v>0</v>
      </c>
      <c r="AN1444" s="2">
        <v>0</v>
      </c>
      <c r="AO1444" t="s">
        <v>44</v>
      </c>
      <c r="AP1444" t="s">
        <v>11351</v>
      </c>
      <c r="AQ1444" t="s">
        <v>5199</v>
      </c>
    </row>
    <row r="1445" spans="1:43" x14ac:dyDescent="0.2">
      <c r="A1445" t="s">
        <v>12133</v>
      </c>
      <c r="B1445" t="s">
        <v>11037</v>
      </c>
      <c r="C1445" t="s">
        <v>11195</v>
      </c>
      <c r="D1445" t="s">
        <v>5876</v>
      </c>
      <c r="E1445" t="s">
        <v>4893</v>
      </c>
      <c r="F1445" t="s">
        <v>5876</v>
      </c>
      <c r="G1445" s="1">
        <v>11500</v>
      </c>
      <c r="H1445" s="2">
        <v>1044335.94</v>
      </c>
      <c r="I1445" s="2">
        <v>1965810</v>
      </c>
      <c r="J1445" s="2">
        <v>0</v>
      </c>
      <c r="K1445" s="2">
        <v>0</v>
      </c>
      <c r="L1445" s="2">
        <v>1965810</v>
      </c>
      <c r="M1445" s="3">
        <v>17094</v>
      </c>
      <c r="N1445" s="4">
        <v>4.4724300000000003E-3</v>
      </c>
      <c r="O1445" s="5" t="s">
        <v>44</v>
      </c>
      <c r="P1445" s="5" t="s">
        <v>44</v>
      </c>
      <c r="Q1445" s="1"/>
      <c r="R1445" s="2"/>
      <c r="S1445" s="6"/>
      <c r="T1445" t="s">
        <v>10902</v>
      </c>
      <c r="U1445" t="s">
        <v>10902</v>
      </c>
      <c r="V1445" t="s">
        <v>10902</v>
      </c>
      <c r="W1445" t="s">
        <v>43</v>
      </c>
      <c r="X1445" t="s">
        <v>11034</v>
      </c>
      <c r="Y1445" t="s">
        <v>11034</v>
      </c>
      <c r="Z1445" t="s">
        <v>11195</v>
      </c>
      <c r="AA1445" t="s">
        <v>44</v>
      </c>
      <c r="AB1445" t="s">
        <v>44</v>
      </c>
      <c r="AC1445" s="4"/>
      <c r="AD1445" s="4"/>
      <c r="AE1445" s="2">
        <v>0</v>
      </c>
      <c r="AF1445" s="4">
        <v>0</v>
      </c>
      <c r="AG1445" s="2">
        <v>0.2</v>
      </c>
      <c r="AH1445" s="2">
        <v>1965810</v>
      </c>
      <c r="AI1445" s="2">
        <v>0</v>
      </c>
      <c r="AJ1445" s="5">
        <v>44673</v>
      </c>
      <c r="AK1445" t="s">
        <v>12134</v>
      </c>
      <c r="AL1445" s="2">
        <v>0</v>
      </c>
      <c r="AM1445" s="2">
        <v>0</v>
      </c>
      <c r="AN1445" s="2">
        <v>0</v>
      </c>
      <c r="AO1445" t="s">
        <v>44</v>
      </c>
      <c r="AP1445" t="s">
        <v>11352</v>
      </c>
      <c r="AQ1445" t="s">
        <v>4893</v>
      </c>
    </row>
    <row r="1446" spans="1:43" x14ac:dyDescent="0.2">
      <c r="A1446" t="s">
        <v>12133</v>
      </c>
      <c r="B1446" t="s">
        <v>11037</v>
      </c>
      <c r="C1446" t="s">
        <v>11195</v>
      </c>
      <c r="D1446" t="s">
        <v>11353</v>
      </c>
      <c r="E1446" t="s">
        <v>5706</v>
      </c>
      <c r="F1446" t="s">
        <v>11353</v>
      </c>
      <c r="G1446" s="1">
        <v>110000</v>
      </c>
      <c r="H1446" s="2">
        <v>2886865.95</v>
      </c>
      <c r="I1446" s="2">
        <v>5500000</v>
      </c>
      <c r="J1446" s="2">
        <v>0</v>
      </c>
      <c r="K1446" s="2">
        <v>0</v>
      </c>
      <c r="L1446" s="2">
        <v>5500000</v>
      </c>
      <c r="M1446" s="3">
        <v>5000</v>
      </c>
      <c r="N1446" s="4">
        <v>1.2513089999999999E-2</v>
      </c>
      <c r="O1446" s="5" t="s">
        <v>44</v>
      </c>
      <c r="P1446" s="5" t="s">
        <v>44</v>
      </c>
      <c r="Q1446" s="1"/>
      <c r="R1446" s="2"/>
      <c r="S1446" s="6"/>
      <c r="T1446" t="s">
        <v>10902</v>
      </c>
      <c r="U1446" t="s">
        <v>10902</v>
      </c>
      <c r="V1446" t="s">
        <v>10902</v>
      </c>
      <c r="W1446" t="s">
        <v>43</v>
      </c>
      <c r="X1446" t="s">
        <v>11327</v>
      </c>
      <c r="Y1446" t="s">
        <v>11198</v>
      </c>
      <c r="Z1446" t="s">
        <v>11195</v>
      </c>
      <c r="AA1446" t="s">
        <v>44</v>
      </c>
      <c r="AB1446" t="s">
        <v>44</v>
      </c>
      <c r="AC1446" s="4"/>
      <c r="AD1446" s="4"/>
      <c r="AE1446" s="2">
        <v>0</v>
      </c>
      <c r="AF1446" s="4">
        <v>0</v>
      </c>
      <c r="AG1446" s="2">
        <v>0.56000000000000005</v>
      </c>
      <c r="AH1446" s="2">
        <v>5500000</v>
      </c>
      <c r="AI1446" s="2">
        <v>0.01</v>
      </c>
      <c r="AJ1446" s="5">
        <v>44673</v>
      </c>
      <c r="AK1446" t="s">
        <v>12134</v>
      </c>
      <c r="AL1446" s="2">
        <v>0</v>
      </c>
      <c r="AM1446" s="2">
        <v>0</v>
      </c>
      <c r="AN1446" s="2">
        <v>0</v>
      </c>
      <c r="AO1446" t="s">
        <v>44</v>
      </c>
      <c r="AP1446" t="s">
        <v>11354</v>
      </c>
      <c r="AQ1446" t="s">
        <v>5706</v>
      </c>
    </row>
    <row r="1447" spans="1:43" x14ac:dyDescent="0.2">
      <c r="A1447" t="s">
        <v>12133</v>
      </c>
      <c r="B1447" t="s">
        <v>11037</v>
      </c>
      <c r="C1447" t="s">
        <v>11195</v>
      </c>
      <c r="D1447" t="s">
        <v>6348</v>
      </c>
      <c r="E1447" t="s">
        <v>5241</v>
      </c>
      <c r="F1447" t="s">
        <v>6348</v>
      </c>
      <c r="G1447" s="1">
        <v>185000</v>
      </c>
      <c r="H1447" s="2">
        <v>1487019</v>
      </c>
      <c r="I1447" s="2">
        <v>2479000</v>
      </c>
      <c r="J1447" s="2">
        <v>0</v>
      </c>
      <c r="K1447" s="2">
        <v>0</v>
      </c>
      <c r="L1447" s="2">
        <v>2479000</v>
      </c>
      <c r="M1447" s="3">
        <v>1340</v>
      </c>
      <c r="N1447" s="4">
        <v>5.6399900000000001E-3</v>
      </c>
      <c r="O1447" s="5" t="s">
        <v>44</v>
      </c>
      <c r="P1447" s="5" t="s">
        <v>44</v>
      </c>
      <c r="Q1447" s="1"/>
      <c r="R1447" s="2"/>
      <c r="S1447" s="6"/>
      <c r="T1447" t="s">
        <v>10902</v>
      </c>
      <c r="U1447" t="s">
        <v>10902</v>
      </c>
      <c r="V1447" t="s">
        <v>10902</v>
      </c>
      <c r="W1447" t="s">
        <v>43</v>
      </c>
      <c r="X1447" t="s">
        <v>11197</v>
      </c>
      <c r="Y1447" t="s">
        <v>11198</v>
      </c>
      <c r="Z1447" t="s">
        <v>11195</v>
      </c>
      <c r="AA1447" t="s">
        <v>44</v>
      </c>
      <c r="AB1447" t="s">
        <v>44</v>
      </c>
      <c r="AC1447" s="4"/>
      <c r="AD1447" s="4"/>
      <c r="AE1447" s="2">
        <v>0</v>
      </c>
      <c r="AF1447" s="4">
        <v>0</v>
      </c>
      <c r="AG1447" s="2">
        <v>0.25</v>
      </c>
      <c r="AH1447" s="2">
        <v>2479000</v>
      </c>
      <c r="AI1447" s="2">
        <v>0.01</v>
      </c>
      <c r="AJ1447" s="5">
        <v>44673</v>
      </c>
      <c r="AK1447" t="s">
        <v>12134</v>
      </c>
      <c r="AL1447" s="2">
        <v>0</v>
      </c>
      <c r="AM1447" s="2">
        <v>0</v>
      </c>
      <c r="AN1447" s="2">
        <v>0</v>
      </c>
      <c r="AO1447" t="s">
        <v>44</v>
      </c>
      <c r="AP1447" t="s">
        <v>11215</v>
      </c>
      <c r="AQ1447" t="s">
        <v>5241</v>
      </c>
    </row>
    <row r="1448" spans="1:43" x14ac:dyDescent="0.2">
      <c r="A1448" t="s">
        <v>12133</v>
      </c>
      <c r="B1448" t="s">
        <v>11037</v>
      </c>
      <c r="C1448" t="s">
        <v>11355</v>
      </c>
      <c r="D1448" t="s">
        <v>11356</v>
      </c>
      <c r="E1448" t="s">
        <v>4971</v>
      </c>
      <c r="F1448" t="s">
        <v>6192</v>
      </c>
      <c r="G1448" s="1">
        <v>230000</v>
      </c>
      <c r="H1448" s="2">
        <v>4308897.96</v>
      </c>
      <c r="I1448" s="2">
        <v>5181900</v>
      </c>
      <c r="J1448" s="2">
        <v>0</v>
      </c>
      <c r="K1448" s="2">
        <v>0</v>
      </c>
      <c r="L1448" s="2">
        <v>5181900</v>
      </c>
      <c r="M1448" s="3">
        <v>2253</v>
      </c>
      <c r="N1448" s="4">
        <v>1.178938E-2</v>
      </c>
      <c r="O1448" s="5" t="s">
        <v>44</v>
      </c>
      <c r="P1448" s="5" t="s">
        <v>44</v>
      </c>
      <c r="Q1448" s="1"/>
      <c r="R1448" s="2"/>
      <c r="S1448" s="6"/>
      <c r="T1448" t="s">
        <v>10902</v>
      </c>
      <c r="U1448" t="s">
        <v>10902</v>
      </c>
      <c r="V1448" t="s">
        <v>10902</v>
      </c>
      <c r="W1448" t="s">
        <v>43</v>
      </c>
      <c r="X1448" t="s">
        <v>11357</v>
      </c>
      <c r="Y1448" t="s">
        <v>11358</v>
      </c>
      <c r="Z1448" t="s">
        <v>11355</v>
      </c>
      <c r="AA1448" t="s">
        <v>44</v>
      </c>
      <c r="AB1448" t="s">
        <v>44</v>
      </c>
      <c r="AC1448" s="4"/>
      <c r="AD1448" s="4"/>
      <c r="AE1448" s="2">
        <v>0</v>
      </c>
      <c r="AF1448" s="4">
        <v>0</v>
      </c>
      <c r="AG1448" s="2">
        <v>0.53</v>
      </c>
      <c r="AH1448" s="2">
        <v>5181900</v>
      </c>
      <c r="AI1448" s="2">
        <v>0.01</v>
      </c>
      <c r="AJ1448" s="5">
        <v>44673</v>
      </c>
      <c r="AK1448" t="s">
        <v>12134</v>
      </c>
      <c r="AL1448" s="2">
        <v>0</v>
      </c>
      <c r="AM1448" s="2">
        <v>0</v>
      </c>
      <c r="AN1448" s="2">
        <v>0</v>
      </c>
      <c r="AO1448" t="s">
        <v>44</v>
      </c>
      <c r="AP1448" t="s">
        <v>11359</v>
      </c>
      <c r="AQ1448" t="s">
        <v>4971</v>
      </c>
    </row>
    <row r="1449" spans="1:43" x14ac:dyDescent="0.2">
      <c r="A1449" t="s">
        <v>12133</v>
      </c>
      <c r="B1449" t="s">
        <v>11037</v>
      </c>
      <c r="C1449" t="s">
        <v>11355</v>
      </c>
      <c r="D1449" t="s">
        <v>11360</v>
      </c>
      <c r="E1449" t="s">
        <v>4991</v>
      </c>
      <c r="F1449" t="s">
        <v>11360</v>
      </c>
      <c r="G1449" s="1">
        <v>65000</v>
      </c>
      <c r="H1449" s="2">
        <v>4007369.56</v>
      </c>
      <c r="I1449" s="2">
        <v>4915950</v>
      </c>
      <c r="J1449" s="2">
        <v>0</v>
      </c>
      <c r="K1449" s="2">
        <v>0</v>
      </c>
      <c r="L1449" s="2">
        <v>4915950</v>
      </c>
      <c r="M1449" s="3">
        <v>7563</v>
      </c>
      <c r="N1449" s="4">
        <v>1.1184319999999999E-2</v>
      </c>
      <c r="O1449" s="5" t="s">
        <v>44</v>
      </c>
      <c r="P1449" s="5" t="s">
        <v>44</v>
      </c>
      <c r="Q1449" s="1"/>
      <c r="R1449" s="2"/>
      <c r="S1449" s="6"/>
      <c r="T1449" t="s">
        <v>10902</v>
      </c>
      <c r="U1449" t="s">
        <v>10902</v>
      </c>
      <c r="V1449" t="s">
        <v>10902</v>
      </c>
      <c r="W1449" t="s">
        <v>43</v>
      </c>
      <c r="X1449" t="s">
        <v>11357</v>
      </c>
      <c r="Y1449" t="s">
        <v>11358</v>
      </c>
      <c r="Z1449" t="s">
        <v>11355</v>
      </c>
      <c r="AA1449" t="s">
        <v>44</v>
      </c>
      <c r="AB1449" t="s">
        <v>44</v>
      </c>
      <c r="AC1449" s="4"/>
      <c r="AD1449" s="4"/>
      <c r="AE1449" s="2">
        <v>0</v>
      </c>
      <c r="AF1449" s="4">
        <v>0</v>
      </c>
      <c r="AG1449" s="2">
        <v>0.5</v>
      </c>
      <c r="AH1449" s="2">
        <v>4915950</v>
      </c>
      <c r="AI1449" s="2">
        <v>0.01</v>
      </c>
      <c r="AJ1449" s="5">
        <v>44673</v>
      </c>
      <c r="AK1449" t="s">
        <v>12134</v>
      </c>
      <c r="AL1449" s="2">
        <v>0</v>
      </c>
      <c r="AM1449" s="2">
        <v>0</v>
      </c>
      <c r="AN1449" s="2">
        <v>0</v>
      </c>
      <c r="AO1449" t="s">
        <v>44</v>
      </c>
      <c r="AP1449" t="s">
        <v>11361</v>
      </c>
      <c r="AQ1449" t="s">
        <v>4991</v>
      </c>
    </row>
    <row r="1450" spans="1:43" x14ac:dyDescent="0.2">
      <c r="A1450" t="s">
        <v>12133</v>
      </c>
      <c r="B1450" t="s">
        <v>11037</v>
      </c>
      <c r="C1450" t="s">
        <v>11355</v>
      </c>
      <c r="D1450" t="s">
        <v>11362</v>
      </c>
      <c r="E1450" t="s">
        <v>4862</v>
      </c>
      <c r="F1450" t="s">
        <v>11362</v>
      </c>
      <c r="G1450" s="1">
        <v>238000</v>
      </c>
      <c r="H1450" s="2">
        <v>3381715.7</v>
      </c>
      <c r="I1450" s="2">
        <v>3808000</v>
      </c>
      <c r="J1450" s="2">
        <v>0</v>
      </c>
      <c r="K1450" s="2">
        <v>0</v>
      </c>
      <c r="L1450" s="2">
        <v>3808000</v>
      </c>
      <c r="M1450" s="3">
        <v>1600</v>
      </c>
      <c r="N1450" s="4">
        <v>8.6636100000000004E-3</v>
      </c>
      <c r="O1450" s="5" t="s">
        <v>44</v>
      </c>
      <c r="P1450" s="5" t="s">
        <v>44</v>
      </c>
      <c r="Q1450" s="1"/>
      <c r="R1450" s="2"/>
      <c r="S1450" s="6"/>
      <c r="T1450" t="s">
        <v>10902</v>
      </c>
      <c r="U1450" t="s">
        <v>10902</v>
      </c>
      <c r="V1450" t="s">
        <v>10902</v>
      </c>
      <c r="W1450" t="s">
        <v>43</v>
      </c>
      <c r="X1450" t="s">
        <v>11357</v>
      </c>
      <c r="Y1450" t="s">
        <v>11358</v>
      </c>
      <c r="Z1450" t="s">
        <v>11355</v>
      </c>
      <c r="AA1450" t="s">
        <v>44</v>
      </c>
      <c r="AB1450" t="s">
        <v>44</v>
      </c>
      <c r="AC1450" s="4"/>
      <c r="AD1450" s="4"/>
      <c r="AE1450" s="2">
        <v>0</v>
      </c>
      <c r="AF1450" s="4">
        <v>0</v>
      </c>
      <c r="AG1450" s="2">
        <v>0.39</v>
      </c>
      <c r="AH1450" s="2">
        <v>3808000</v>
      </c>
      <c r="AI1450" s="2">
        <v>0.01</v>
      </c>
      <c r="AJ1450" s="5">
        <v>44673</v>
      </c>
      <c r="AK1450" t="s">
        <v>12134</v>
      </c>
      <c r="AL1450" s="2">
        <v>0</v>
      </c>
      <c r="AM1450" s="2">
        <v>0</v>
      </c>
      <c r="AN1450" s="2">
        <v>0</v>
      </c>
      <c r="AO1450" t="s">
        <v>44</v>
      </c>
      <c r="AP1450" t="s">
        <v>11363</v>
      </c>
      <c r="AQ1450" t="s">
        <v>4862</v>
      </c>
    </row>
    <row r="1451" spans="1:43" x14ac:dyDescent="0.2">
      <c r="A1451" t="s">
        <v>12133</v>
      </c>
      <c r="B1451" t="s">
        <v>11037</v>
      </c>
      <c r="C1451" t="s">
        <v>11364</v>
      </c>
      <c r="D1451" t="s">
        <v>6240</v>
      </c>
      <c r="E1451" t="s">
        <v>5065</v>
      </c>
      <c r="F1451" t="s">
        <v>6240</v>
      </c>
      <c r="G1451" s="1">
        <v>42000</v>
      </c>
      <c r="H1451" s="2">
        <v>4185818.19</v>
      </c>
      <c r="I1451" s="2">
        <v>4857300</v>
      </c>
      <c r="J1451" s="2">
        <v>0</v>
      </c>
      <c r="K1451" s="2">
        <v>0</v>
      </c>
      <c r="L1451" s="2">
        <v>4857300</v>
      </c>
      <c r="M1451" s="3">
        <v>11565</v>
      </c>
      <c r="N1451" s="4">
        <v>1.1050880000000001E-2</v>
      </c>
      <c r="O1451" s="5" t="s">
        <v>44</v>
      </c>
      <c r="P1451" s="5" t="s">
        <v>44</v>
      </c>
      <c r="Q1451" s="1"/>
      <c r="R1451" s="2"/>
      <c r="S1451" s="6"/>
      <c r="T1451" t="s">
        <v>10902</v>
      </c>
      <c r="U1451" t="s">
        <v>10902</v>
      </c>
      <c r="V1451" t="s">
        <v>10902</v>
      </c>
      <c r="W1451" t="s">
        <v>43</v>
      </c>
      <c r="X1451" t="s">
        <v>11369</v>
      </c>
      <c r="Y1451" t="s">
        <v>11367</v>
      </c>
      <c r="Z1451" t="s">
        <v>11364</v>
      </c>
      <c r="AA1451" t="s">
        <v>44</v>
      </c>
      <c r="AB1451" t="s">
        <v>44</v>
      </c>
      <c r="AC1451" s="4"/>
      <c r="AD1451" s="4"/>
      <c r="AE1451" s="2">
        <v>0</v>
      </c>
      <c r="AF1451" s="4">
        <v>0</v>
      </c>
      <c r="AG1451" s="2">
        <v>0.5</v>
      </c>
      <c r="AH1451" s="2">
        <v>4857300</v>
      </c>
      <c r="AI1451" s="2">
        <v>0.01</v>
      </c>
      <c r="AJ1451" s="5">
        <v>44673</v>
      </c>
      <c r="AK1451" t="s">
        <v>12134</v>
      </c>
      <c r="AL1451" s="2">
        <v>0</v>
      </c>
      <c r="AM1451" s="2">
        <v>0</v>
      </c>
      <c r="AN1451" s="2">
        <v>0</v>
      </c>
      <c r="AO1451" t="s">
        <v>44</v>
      </c>
      <c r="AP1451" t="s">
        <v>11370</v>
      </c>
      <c r="AQ1451" t="s">
        <v>5065</v>
      </c>
    </row>
    <row r="1452" spans="1:43" x14ac:dyDescent="0.2">
      <c r="A1452" t="s">
        <v>12133</v>
      </c>
      <c r="B1452" t="s">
        <v>11037</v>
      </c>
      <c r="C1452" t="s">
        <v>11364</v>
      </c>
      <c r="D1452" t="s">
        <v>11371</v>
      </c>
      <c r="E1452" t="s">
        <v>5127</v>
      </c>
      <c r="F1452" t="s">
        <v>11371</v>
      </c>
      <c r="G1452" s="1">
        <v>570000</v>
      </c>
      <c r="H1452" s="2">
        <v>2379736.67</v>
      </c>
      <c r="I1452" s="2">
        <v>2935500</v>
      </c>
      <c r="J1452" s="2">
        <v>0</v>
      </c>
      <c r="K1452" s="2">
        <v>0</v>
      </c>
      <c r="L1452" s="2">
        <v>2935500</v>
      </c>
      <c r="M1452" s="3">
        <v>515</v>
      </c>
      <c r="N1452" s="4">
        <v>6.6785799999999999E-3</v>
      </c>
      <c r="O1452" s="5" t="s">
        <v>44</v>
      </c>
      <c r="P1452" s="5" t="s">
        <v>44</v>
      </c>
      <c r="Q1452" s="1"/>
      <c r="R1452" s="2"/>
      <c r="S1452" s="6"/>
      <c r="T1452" t="s">
        <v>10902</v>
      </c>
      <c r="U1452" t="s">
        <v>10902</v>
      </c>
      <c r="V1452" t="s">
        <v>10902</v>
      </c>
      <c r="W1452" t="s">
        <v>43</v>
      </c>
      <c r="X1452" t="s">
        <v>11369</v>
      </c>
      <c r="Y1452" t="s">
        <v>11367</v>
      </c>
      <c r="Z1452" t="s">
        <v>11364</v>
      </c>
      <c r="AA1452" t="s">
        <v>44</v>
      </c>
      <c r="AB1452" t="s">
        <v>44</v>
      </c>
      <c r="AC1452" s="4"/>
      <c r="AD1452" s="4"/>
      <c r="AE1452" s="2">
        <v>0</v>
      </c>
      <c r="AF1452" s="4">
        <v>0</v>
      </c>
      <c r="AG1452" s="2">
        <v>0.3</v>
      </c>
      <c r="AH1452" s="2">
        <v>2935500</v>
      </c>
      <c r="AI1452" s="2">
        <v>0.01</v>
      </c>
      <c r="AJ1452" s="5">
        <v>44673</v>
      </c>
      <c r="AK1452" t="s">
        <v>12134</v>
      </c>
      <c r="AL1452" s="2">
        <v>0</v>
      </c>
      <c r="AM1452" s="2">
        <v>0</v>
      </c>
      <c r="AN1452" s="2">
        <v>0</v>
      </c>
      <c r="AO1452" t="s">
        <v>44</v>
      </c>
      <c r="AP1452" t="s">
        <v>11372</v>
      </c>
      <c r="AQ1452" t="s">
        <v>5127</v>
      </c>
    </row>
    <row r="1453" spans="1:43" x14ac:dyDescent="0.2">
      <c r="A1453" t="s">
        <v>12133</v>
      </c>
      <c r="B1453" t="s">
        <v>11037</v>
      </c>
      <c r="C1453" t="s">
        <v>11364</v>
      </c>
      <c r="D1453" t="s">
        <v>6443</v>
      </c>
      <c r="E1453" t="s">
        <v>5186</v>
      </c>
      <c r="F1453" t="s">
        <v>6443</v>
      </c>
      <c r="G1453" s="1">
        <v>36000</v>
      </c>
      <c r="H1453" s="2">
        <v>1625350.9</v>
      </c>
      <c r="I1453" s="2">
        <v>1589760</v>
      </c>
      <c r="J1453" s="2">
        <v>0</v>
      </c>
      <c r="K1453" s="2">
        <v>0</v>
      </c>
      <c r="L1453" s="2">
        <v>1589760</v>
      </c>
      <c r="M1453" s="3">
        <v>4416</v>
      </c>
      <c r="N1453" s="4">
        <v>3.6168799999999998E-3</v>
      </c>
      <c r="O1453" s="5" t="s">
        <v>44</v>
      </c>
      <c r="P1453" s="5" t="s">
        <v>44</v>
      </c>
      <c r="Q1453" s="1"/>
      <c r="R1453" s="2"/>
      <c r="S1453" s="6"/>
      <c r="T1453" t="s">
        <v>10902</v>
      </c>
      <c r="U1453" t="s">
        <v>10902</v>
      </c>
      <c r="V1453" t="s">
        <v>10902</v>
      </c>
      <c r="W1453" t="s">
        <v>43</v>
      </c>
      <c r="X1453" t="s">
        <v>11366</v>
      </c>
      <c r="Y1453" t="s">
        <v>11367</v>
      </c>
      <c r="Z1453" t="s">
        <v>11364</v>
      </c>
      <c r="AA1453" t="s">
        <v>44</v>
      </c>
      <c r="AB1453" t="s">
        <v>44</v>
      </c>
      <c r="AC1453" s="4"/>
      <c r="AD1453" s="4"/>
      <c r="AE1453" s="2">
        <v>0</v>
      </c>
      <c r="AF1453" s="4">
        <v>0</v>
      </c>
      <c r="AG1453" s="2">
        <v>0.16</v>
      </c>
      <c r="AH1453" s="2">
        <v>1589760</v>
      </c>
      <c r="AI1453" s="2">
        <v>0</v>
      </c>
      <c r="AJ1453" s="5">
        <v>44673</v>
      </c>
      <c r="AK1453" t="s">
        <v>12134</v>
      </c>
      <c r="AL1453" s="2">
        <v>0</v>
      </c>
      <c r="AM1453" s="2">
        <v>0</v>
      </c>
      <c r="AN1453" s="2">
        <v>0</v>
      </c>
      <c r="AO1453" t="s">
        <v>44</v>
      </c>
      <c r="AP1453" t="s">
        <v>11373</v>
      </c>
      <c r="AQ1453" t="s">
        <v>5186</v>
      </c>
    </row>
    <row r="1454" spans="1:43" x14ac:dyDescent="0.2">
      <c r="A1454" t="s">
        <v>12133</v>
      </c>
      <c r="B1454" t="s">
        <v>11037</v>
      </c>
      <c r="C1454" t="s">
        <v>11364</v>
      </c>
      <c r="D1454" t="s">
        <v>11374</v>
      </c>
      <c r="E1454" t="s">
        <v>1786</v>
      </c>
      <c r="F1454" t="s">
        <v>11374</v>
      </c>
      <c r="G1454" s="1">
        <v>75000</v>
      </c>
      <c r="H1454" s="2">
        <v>1962043.73</v>
      </c>
      <c r="I1454" s="2">
        <v>2025000</v>
      </c>
      <c r="J1454" s="2">
        <v>0</v>
      </c>
      <c r="K1454" s="2">
        <v>0</v>
      </c>
      <c r="L1454" s="2">
        <v>2025000</v>
      </c>
      <c r="M1454" s="3">
        <v>2700</v>
      </c>
      <c r="N1454" s="4">
        <v>4.6070900000000003E-3</v>
      </c>
      <c r="O1454" s="5" t="s">
        <v>44</v>
      </c>
      <c r="P1454" s="5" t="s">
        <v>44</v>
      </c>
      <c r="Q1454" s="1"/>
      <c r="R1454" s="2"/>
      <c r="S1454" s="6"/>
      <c r="T1454" t="s">
        <v>10902</v>
      </c>
      <c r="U1454" t="s">
        <v>10902</v>
      </c>
      <c r="V1454" t="s">
        <v>10902</v>
      </c>
      <c r="W1454" t="s">
        <v>43</v>
      </c>
      <c r="X1454" t="s">
        <v>11375</v>
      </c>
      <c r="Y1454" t="s">
        <v>11367</v>
      </c>
      <c r="Z1454" t="s">
        <v>11364</v>
      </c>
      <c r="AA1454" t="s">
        <v>44</v>
      </c>
      <c r="AB1454" t="s">
        <v>44</v>
      </c>
      <c r="AC1454" s="4"/>
      <c r="AD1454" s="4"/>
      <c r="AE1454" s="2">
        <v>0</v>
      </c>
      <c r="AF1454" s="4">
        <v>0</v>
      </c>
      <c r="AG1454" s="2">
        <v>0.21</v>
      </c>
      <c r="AH1454" s="2">
        <v>2025000</v>
      </c>
      <c r="AI1454" s="2">
        <v>0</v>
      </c>
      <c r="AJ1454" s="5">
        <v>44673</v>
      </c>
      <c r="AK1454" t="s">
        <v>12134</v>
      </c>
      <c r="AL1454" s="2">
        <v>0</v>
      </c>
      <c r="AM1454" s="2">
        <v>0</v>
      </c>
      <c r="AN1454" s="2">
        <v>0</v>
      </c>
      <c r="AO1454" t="s">
        <v>44</v>
      </c>
      <c r="AP1454" t="s">
        <v>11376</v>
      </c>
      <c r="AQ1454" t="s">
        <v>1786</v>
      </c>
    </row>
    <row r="1455" spans="1:43" x14ac:dyDescent="0.2">
      <c r="A1455" t="s">
        <v>12133</v>
      </c>
      <c r="B1455" t="s">
        <v>11037</v>
      </c>
      <c r="C1455" t="s">
        <v>11364</v>
      </c>
      <c r="D1455" t="s">
        <v>11377</v>
      </c>
      <c r="E1455" t="s">
        <v>5599</v>
      </c>
      <c r="F1455" t="s">
        <v>11378</v>
      </c>
      <c r="G1455" s="1">
        <v>4500</v>
      </c>
      <c r="H1455" s="2">
        <v>1472118.16</v>
      </c>
      <c r="I1455" s="2">
        <v>2433105</v>
      </c>
      <c r="J1455" s="2">
        <v>0</v>
      </c>
      <c r="K1455" s="2">
        <v>0</v>
      </c>
      <c r="L1455" s="2">
        <v>2433105</v>
      </c>
      <c r="M1455" s="3">
        <v>54069</v>
      </c>
      <c r="N1455" s="4">
        <v>5.53558E-3</v>
      </c>
      <c r="O1455" s="5" t="s">
        <v>44</v>
      </c>
      <c r="P1455" s="5" t="s">
        <v>44</v>
      </c>
      <c r="Q1455" s="1"/>
      <c r="R1455" s="2"/>
      <c r="S1455" s="6"/>
      <c r="T1455" t="s">
        <v>10902</v>
      </c>
      <c r="U1455" t="s">
        <v>10902</v>
      </c>
      <c r="V1455" t="s">
        <v>10902</v>
      </c>
      <c r="W1455" t="s">
        <v>43</v>
      </c>
      <c r="X1455" t="s">
        <v>11375</v>
      </c>
      <c r="Y1455" t="s">
        <v>11367</v>
      </c>
      <c r="Z1455" t="s">
        <v>11364</v>
      </c>
      <c r="AA1455" t="s">
        <v>44</v>
      </c>
      <c r="AB1455" t="s">
        <v>44</v>
      </c>
      <c r="AC1455" s="4"/>
      <c r="AD1455" s="4"/>
      <c r="AE1455" s="2">
        <v>0</v>
      </c>
      <c r="AF1455" s="4">
        <v>0</v>
      </c>
      <c r="AG1455" s="2">
        <v>0.25</v>
      </c>
      <c r="AH1455" s="2">
        <v>2433105</v>
      </c>
      <c r="AI1455" s="2">
        <v>0.01</v>
      </c>
      <c r="AJ1455" s="5">
        <v>44673</v>
      </c>
      <c r="AK1455" t="s">
        <v>12134</v>
      </c>
      <c r="AL1455" s="2">
        <v>0</v>
      </c>
      <c r="AM1455" s="2">
        <v>0</v>
      </c>
      <c r="AN1455" s="2">
        <v>0</v>
      </c>
      <c r="AO1455" t="s">
        <v>44</v>
      </c>
      <c r="AP1455" t="s">
        <v>11379</v>
      </c>
      <c r="AQ1455" t="s">
        <v>5599</v>
      </c>
    </row>
    <row r="1456" spans="1:43" x14ac:dyDescent="0.2">
      <c r="A1456" t="s">
        <v>12133</v>
      </c>
      <c r="B1456" t="s">
        <v>11037</v>
      </c>
      <c r="C1456" t="s">
        <v>11727</v>
      </c>
      <c r="D1456" t="s">
        <v>11728</v>
      </c>
      <c r="E1456" t="s">
        <v>4855</v>
      </c>
      <c r="F1456" t="s">
        <v>11728</v>
      </c>
      <c r="G1456" s="1">
        <v>7494</v>
      </c>
      <c r="H1456" s="2">
        <v>19634505.73</v>
      </c>
      <c r="I1456" s="2">
        <v>11295556.32</v>
      </c>
      <c r="J1456" s="2">
        <v>0</v>
      </c>
      <c r="K1456" s="2">
        <v>0</v>
      </c>
      <c r="L1456" s="2">
        <v>11295556.32</v>
      </c>
      <c r="M1456" s="3">
        <v>150728</v>
      </c>
      <c r="N1456" s="4">
        <v>2.569861E-2</v>
      </c>
      <c r="O1456" s="5" t="s">
        <v>44</v>
      </c>
      <c r="P1456" s="5" t="s">
        <v>44</v>
      </c>
      <c r="Q1456" s="1"/>
      <c r="R1456" s="2"/>
      <c r="S1456" s="6"/>
      <c r="T1456" t="s">
        <v>10902</v>
      </c>
      <c r="U1456" t="s">
        <v>10902</v>
      </c>
      <c r="V1456" t="s">
        <v>10902</v>
      </c>
      <c r="W1456" t="s">
        <v>43</v>
      </c>
      <c r="X1456" t="s">
        <v>11729</v>
      </c>
      <c r="Y1456" t="s">
        <v>11727</v>
      </c>
      <c r="Z1456" t="s">
        <v>11727</v>
      </c>
      <c r="AA1456" t="s">
        <v>44</v>
      </c>
      <c r="AB1456" t="s">
        <v>44</v>
      </c>
      <c r="AC1456" s="4"/>
      <c r="AD1456" s="4"/>
      <c r="AE1456" s="2">
        <v>0</v>
      </c>
      <c r="AF1456" s="4">
        <v>0</v>
      </c>
      <c r="AG1456" s="2">
        <v>1.1599999999999999</v>
      </c>
      <c r="AH1456" s="2">
        <v>11295556.32</v>
      </c>
      <c r="AI1456" s="2">
        <v>0.03</v>
      </c>
      <c r="AJ1456" s="5">
        <v>44673</v>
      </c>
      <c r="AK1456" t="s">
        <v>12134</v>
      </c>
      <c r="AL1456" s="2">
        <v>0</v>
      </c>
      <c r="AM1456" s="2">
        <v>0</v>
      </c>
      <c r="AN1456" s="2">
        <v>0</v>
      </c>
      <c r="AO1456" t="s">
        <v>44</v>
      </c>
      <c r="AP1456" t="s">
        <v>11730</v>
      </c>
      <c r="AQ1456" t="s">
        <v>4855</v>
      </c>
    </row>
    <row r="1457" spans="1:43" x14ac:dyDescent="0.2">
      <c r="A1457" t="s">
        <v>12133</v>
      </c>
      <c r="B1457" t="s">
        <v>11037</v>
      </c>
      <c r="C1457" t="s">
        <v>11727</v>
      </c>
      <c r="D1457" t="s">
        <v>11731</v>
      </c>
      <c r="E1457" t="s">
        <v>2068</v>
      </c>
      <c r="F1457" t="s">
        <v>11731</v>
      </c>
      <c r="G1457" s="1">
        <v>1087</v>
      </c>
      <c r="H1457" s="2">
        <v>1319245.77</v>
      </c>
      <c r="I1457" s="2">
        <v>802695.15</v>
      </c>
      <c r="J1457" s="2">
        <v>0</v>
      </c>
      <c r="K1457" s="2">
        <v>0</v>
      </c>
      <c r="L1457" s="2">
        <v>802695.15</v>
      </c>
      <c r="M1457" s="3">
        <v>73845</v>
      </c>
      <c r="N1457" s="4">
        <v>1.8262199999999999E-3</v>
      </c>
      <c r="O1457" s="5" t="s">
        <v>44</v>
      </c>
      <c r="P1457" s="5" t="s">
        <v>44</v>
      </c>
      <c r="Q1457" s="1"/>
      <c r="R1457" s="2"/>
      <c r="S1457" s="6"/>
      <c r="T1457" t="s">
        <v>10902</v>
      </c>
      <c r="U1457" t="s">
        <v>10902</v>
      </c>
      <c r="V1457" t="s">
        <v>10902</v>
      </c>
      <c r="W1457" t="s">
        <v>43</v>
      </c>
      <c r="X1457" t="s">
        <v>11729</v>
      </c>
      <c r="Y1457" t="s">
        <v>11727</v>
      </c>
      <c r="Z1457" t="s">
        <v>11727</v>
      </c>
      <c r="AA1457" t="s">
        <v>44</v>
      </c>
      <c r="AB1457" t="s">
        <v>44</v>
      </c>
      <c r="AC1457" s="4"/>
      <c r="AD1457" s="4"/>
      <c r="AE1457" s="2">
        <v>0</v>
      </c>
      <c r="AF1457" s="4">
        <v>0</v>
      </c>
      <c r="AG1457" s="2">
        <v>0.08</v>
      </c>
      <c r="AH1457" s="2">
        <v>802695.15</v>
      </c>
      <c r="AI1457" s="2">
        <v>0</v>
      </c>
      <c r="AJ1457" s="5">
        <v>44673</v>
      </c>
      <c r="AK1457" t="s">
        <v>12134</v>
      </c>
      <c r="AL1457" s="2">
        <v>0</v>
      </c>
      <c r="AM1457" s="2">
        <v>0</v>
      </c>
      <c r="AN1457" s="2">
        <v>0</v>
      </c>
      <c r="AO1457" t="s">
        <v>44</v>
      </c>
      <c r="AP1457" t="s">
        <v>2073</v>
      </c>
      <c r="AQ1457" t="s">
        <v>2068</v>
      </c>
    </row>
    <row r="1458" spans="1:43" x14ac:dyDescent="0.2">
      <c r="A1458" t="s">
        <v>12133</v>
      </c>
      <c r="B1458" t="s">
        <v>11037</v>
      </c>
      <c r="C1458" t="s">
        <v>11380</v>
      </c>
      <c r="D1458" t="s">
        <v>5901</v>
      </c>
      <c r="E1458" t="s">
        <v>4841</v>
      </c>
      <c r="F1458" t="s">
        <v>5901</v>
      </c>
      <c r="G1458" s="1">
        <v>62000</v>
      </c>
      <c r="H1458" s="2">
        <v>11554718.25</v>
      </c>
      <c r="I1458" s="2">
        <v>10726000</v>
      </c>
      <c r="J1458" s="2">
        <v>0</v>
      </c>
      <c r="K1458" s="2">
        <v>0</v>
      </c>
      <c r="L1458" s="2">
        <v>10726000</v>
      </c>
      <c r="M1458" s="3">
        <v>17300</v>
      </c>
      <c r="N1458" s="4">
        <v>2.4402799999999999E-2</v>
      </c>
      <c r="O1458" s="5" t="s">
        <v>44</v>
      </c>
      <c r="P1458" s="5" t="s">
        <v>44</v>
      </c>
      <c r="Q1458" s="1"/>
      <c r="R1458" s="2"/>
      <c r="S1458" s="6"/>
      <c r="T1458" t="s">
        <v>10902</v>
      </c>
      <c r="U1458" t="s">
        <v>10902</v>
      </c>
      <c r="V1458" t="s">
        <v>10902</v>
      </c>
      <c r="W1458" t="s">
        <v>43</v>
      </c>
      <c r="X1458" t="s">
        <v>11732</v>
      </c>
      <c r="Y1458" t="s">
        <v>11380</v>
      </c>
      <c r="Z1458" t="s">
        <v>11380</v>
      </c>
      <c r="AA1458" t="s">
        <v>44</v>
      </c>
      <c r="AB1458" t="s">
        <v>44</v>
      </c>
      <c r="AC1458" s="4"/>
      <c r="AD1458" s="4"/>
      <c r="AE1458" s="2">
        <v>0</v>
      </c>
      <c r="AF1458" s="4">
        <v>0</v>
      </c>
      <c r="AG1458" s="2">
        <v>1.1000000000000001</v>
      </c>
      <c r="AH1458" s="2">
        <v>10726000</v>
      </c>
      <c r="AI1458" s="2">
        <v>0.02</v>
      </c>
      <c r="AJ1458" s="5">
        <v>44673</v>
      </c>
      <c r="AK1458" t="s">
        <v>12134</v>
      </c>
      <c r="AL1458" s="2">
        <v>0</v>
      </c>
      <c r="AM1458" s="2">
        <v>0</v>
      </c>
      <c r="AN1458" s="2">
        <v>0</v>
      </c>
      <c r="AO1458" t="s">
        <v>44</v>
      </c>
      <c r="AP1458" t="s">
        <v>11733</v>
      </c>
      <c r="AQ1458" t="s">
        <v>4841</v>
      </c>
    </row>
    <row r="1459" spans="1:43" x14ac:dyDescent="0.2">
      <c r="A1459" t="s">
        <v>12133</v>
      </c>
      <c r="B1459" t="s">
        <v>11037</v>
      </c>
      <c r="C1459" t="s">
        <v>11380</v>
      </c>
      <c r="D1459" t="s">
        <v>11381</v>
      </c>
      <c r="E1459" t="s">
        <v>5221</v>
      </c>
      <c r="F1459" t="s">
        <v>11381</v>
      </c>
      <c r="G1459" s="1">
        <v>55000</v>
      </c>
      <c r="H1459" s="2">
        <v>2284886.31</v>
      </c>
      <c r="I1459" s="2">
        <v>2447500</v>
      </c>
      <c r="J1459" s="2">
        <v>0</v>
      </c>
      <c r="K1459" s="2">
        <v>0</v>
      </c>
      <c r="L1459" s="2">
        <v>2447500</v>
      </c>
      <c r="M1459" s="3">
        <v>4450</v>
      </c>
      <c r="N1459" s="4">
        <v>5.5683299999999998E-3</v>
      </c>
      <c r="O1459" s="5" t="s">
        <v>44</v>
      </c>
      <c r="P1459" s="5" t="s">
        <v>44</v>
      </c>
      <c r="Q1459" s="1"/>
      <c r="R1459" s="2"/>
      <c r="S1459" s="6"/>
      <c r="T1459" t="s">
        <v>10902</v>
      </c>
      <c r="U1459" t="s">
        <v>10902</v>
      </c>
      <c r="V1459" t="s">
        <v>10902</v>
      </c>
      <c r="W1459" t="s">
        <v>43</v>
      </c>
      <c r="X1459" t="s">
        <v>11382</v>
      </c>
      <c r="Y1459" t="s">
        <v>11380</v>
      </c>
      <c r="Z1459" t="s">
        <v>11380</v>
      </c>
      <c r="AA1459" t="s">
        <v>44</v>
      </c>
      <c r="AB1459" t="s">
        <v>44</v>
      </c>
      <c r="AC1459" s="4"/>
      <c r="AD1459" s="4"/>
      <c r="AE1459" s="2">
        <v>0</v>
      </c>
      <c r="AF1459" s="4">
        <v>0</v>
      </c>
      <c r="AG1459" s="2">
        <v>0.25</v>
      </c>
      <c r="AH1459" s="2">
        <v>2447500</v>
      </c>
      <c r="AI1459" s="2">
        <v>0.01</v>
      </c>
      <c r="AJ1459" s="5">
        <v>44673</v>
      </c>
      <c r="AK1459" t="s">
        <v>12134</v>
      </c>
      <c r="AL1459" s="2">
        <v>0</v>
      </c>
      <c r="AM1459" s="2">
        <v>0</v>
      </c>
      <c r="AN1459" s="2">
        <v>0</v>
      </c>
      <c r="AO1459" t="s">
        <v>44</v>
      </c>
      <c r="AP1459" t="s">
        <v>11383</v>
      </c>
      <c r="AQ1459" t="s">
        <v>5221</v>
      </c>
    </row>
    <row r="1460" spans="1:43" x14ac:dyDescent="0.2">
      <c r="A1460" t="s">
        <v>12133</v>
      </c>
      <c r="B1460" t="s">
        <v>11037</v>
      </c>
      <c r="C1460" t="s">
        <v>11743</v>
      </c>
      <c r="D1460" t="s">
        <v>11744</v>
      </c>
      <c r="E1460" t="s">
        <v>11745</v>
      </c>
      <c r="F1460" t="s">
        <v>11746</v>
      </c>
      <c r="G1460" s="1">
        <v>10000</v>
      </c>
      <c r="H1460" s="2">
        <v>1896099.81</v>
      </c>
      <c r="I1460" s="2">
        <v>1629700</v>
      </c>
      <c r="J1460" s="2">
        <v>0</v>
      </c>
      <c r="K1460" s="2">
        <v>0</v>
      </c>
      <c r="L1460" s="2">
        <v>1629700</v>
      </c>
      <c r="M1460" s="3">
        <v>16297</v>
      </c>
      <c r="N1460" s="4">
        <v>3.7077400000000002E-3</v>
      </c>
      <c r="O1460" s="5" t="s">
        <v>44</v>
      </c>
      <c r="P1460" s="5" t="s">
        <v>44</v>
      </c>
      <c r="Q1460" s="1"/>
      <c r="R1460" s="2"/>
      <c r="S1460" s="6"/>
      <c r="T1460" t="s">
        <v>10902</v>
      </c>
      <c r="U1460" t="s">
        <v>10902</v>
      </c>
      <c r="V1460" t="s">
        <v>10902</v>
      </c>
      <c r="W1460" t="s">
        <v>43</v>
      </c>
      <c r="X1460" t="s">
        <v>11747</v>
      </c>
      <c r="Y1460" t="s">
        <v>11743</v>
      </c>
      <c r="Z1460" t="s">
        <v>11743</v>
      </c>
      <c r="AA1460" t="s">
        <v>44</v>
      </c>
      <c r="AB1460" t="s">
        <v>44</v>
      </c>
      <c r="AC1460" s="4"/>
      <c r="AD1460" s="4"/>
      <c r="AE1460" s="2">
        <v>0</v>
      </c>
      <c r="AF1460" s="4">
        <v>0</v>
      </c>
      <c r="AG1460" s="2">
        <v>0.17</v>
      </c>
      <c r="AH1460" s="2">
        <v>1629700</v>
      </c>
      <c r="AI1460" s="2">
        <v>0</v>
      </c>
      <c r="AJ1460" s="5">
        <v>44673</v>
      </c>
      <c r="AK1460" t="s">
        <v>12134</v>
      </c>
      <c r="AL1460" s="2">
        <v>0</v>
      </c>
      <c r="AM1460" s="2">
        <v>0</v>
      </c>
      <c r="AN1460" s="2">
        <v>0</v>
      </c>
      <c r="AO1460" t="s">
        <v>44</v>
      </c>
      <c r="AP1460" t="s">
        <v>11748</v>
      </c>
      <c r="AQ1460" t="s">
        <v>11745</v>
      </c>
    </row>
    <row r="1461" spans="1:43" x14ac:dyDescent="0.2">
      <c r="A1461" t="s">
        <v>12133</v>
      </c>
      <c r="B1461" t="s">
        <v>11408</v>
      </c>
      <c r="C1461" t="s">
        <v>11408</v>
      </c>
      <c r="D1461" t="s">
        <v>11761</v>
      </c>
      <c r="E1461" t="s">
        <v>11762</v>
      </c>
      <c r="F1461" t="s">
        <v>11763</v>
      </c>
      <c r="G1461" s="1">
        <v>6795.5258000000003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3"/>
      <c r="N1461" s="4">
        <v>0</v>
      </c>
      <c r="O1461" s="5" t="s">
        <v>44</v>
      </c>
      <c r="P1461" s="5">
        <v>44777</v>
      </c>
      <c r="Q1461" s="1">
        <v>0</v>
      </c>
      <c r="R1461" s="2"/>
      <c r="S1461" s="6"/>
      <c r="T1461" t="s">
        <v>11412</v>
      </c>
      <c r="U1461" t="s">
        <v>11413</v>
      </c>
      <c r="V1461" t="s">
        <v>11414</v>
      </c>
      <c r="W1461" t="s">
        <v>43</v>
      </c>
      <c r="X1461" t="s">
        <v>44</v>
      </c>
      <c r="Y1461" t="s">
        <v>44</v>
      </c>
      <c r="Z1461" t="s">
        <v>44</v>
      </c>
      <c r="AA1461" t="s">
        <v>10979</v>
      </c>
      <c r="AB1461" t="s">
        <v>44</v>
      </c>
      <c r="AC1461" s="4"/>
      <c r="AD1461" s="4"/>
      <c r="AE1461" s="2">
        <v>0</v>
      </c>
      <c r="AF1461" s="4">
        <v>0</v>
      </c>
      <c r="AG1461" s="2">
        <v>0</v>
      </c>
      <c r="AH1461" s="2">
        <v>0</v>
      </c>
      <c r="AI1461" s="2">
        <v>0</v>
      </c>
      <c r="AJ1461" s="5">
        <v>44673</v>
      </c>
      <c r="AK1461" t="s">
        <v>12134</v>
      </c>
      <c r="AL1461" s="2">
        <v>0</v>
      </c>
      <c r="AM1461" s="2">
        <v>0</v>
      </c>
      <c r="AN1461" s="2">
        <v>0</v>
      </c>
      <c r="AO1461" t="s">
        <v>11165</v>
      </c>
      <c r="AP1461" t="s">
        <v>44</v>
      </c>
      <c r="AQ1461" t="s">
        <v>44</v>
      </c>
    </row>
    <row r="1462" spans="1:43" x14ac:dyDescent="0.2">
      <c r="A1462" t="s">
        <v>12133</v>
      </c>
      <c r="B1462" t="s">
        <v>11408</v>
      </c>
      <c r="C1462" t="s">
        <v>11408</v>
      </c>
      <c r="D1462" t="s">
        <v>11764</v>
      </c>
      <c r="E1462" t="s">
        <v>11762</v>
      </c>
      <c r="F1462" t="s">
        <v>11765</v>
      </c>
      <c r="G1462" s="1">
        <v>-205416785.59</v>
      </c>
      <c r="H1462" s="2">
        <v>0</v>
      </c>
      <c r="I1462" s="2">
        <v>0</v>
      </c>
      <c r="J1462" s="2">
        <v>-544495.18000000005</v>
      </c>
      <c r="K1462" s="2">
        <v>0</v>
      </c>
      <c r="L1462" s="2">
        <v>-544495.18000000005</v>
      </c>
      <c r="M1462" s="3"/>
      <c r="N1462" s="4">
        <v>-1.23879E-3</v>
      </c>
      <c r="O1462" s="5" t="s">
        <v>44</v>
      </c>
      <c r="P1462" s="5">
        <v>44777</v>
      </c>
      <c r="Q1462" s="1">
        <v>0</v>
      </c>
      <c r="R1462" s="2"/>
      <c r="S1462" s="6"/>
      <c r="T1462" t="s">
        <v>11412</v>
      </c>
      <c r="U1462" t="s">
        <v>11413</v>
      </c>
      <c r="V1462" t="s">
        <v>11414</v>
      </c>
      <c r="W1462" t="s">
        <v>43</v>
      </c>
      <c r="X1462" t="s">
        <v>44</v>
      </c>
      <c r="Y1462" t="s">
        <v>44</v>
      </c>
      <c r="Z1462" t="s">
        <v>44</v>
      </c>
      <c r="AA1462" t="s">
        <v>10979</v>
      </c>
      <c r="AB1462" t="s">
        <v>44</v>
      </c>
      <c r="AC1462" s="4"/>
      <c r="AD1462" s="4"/>
      <c r="AE1462" s="2">
        <v>0</v>
      </c>
      <c r="AF1462" s="4">
        <v>0</v>
      </c>
      <c r="AG1462" s="2">
        <v>-0.06</v>
      </c>
      <c r="AH1462" s="2">
        <v>-205961280.77000001</v>
      </c>
      <c r="AI1462" s="2">
        <v>-0.47</v>
      </c>
      <c r="AJ1462" s="5">
        <v>44673</v>
      </c>
      <c r="AK1462" t="s">
        <v>12134</v>
      </c>
      <c r="AL1462" s="2">
        <v>0</v>
      </c>
      <c r="AM1462" s="2">
        <v>0</v>
      </c>
      <c r="AN1462" s="2">
        <v>0</v>
      </c>
      <c r="AO1462" t="s">
        <v>11165</v>
      </c>
      <c r="AP1462" t="s">
        <v>44</v>
      </c>
      <c r="AQ1462" t="s">
        <v>44</v>
      </c>
    </row>
    <row r="1463" spans="1:43" x14ac:dyDescent="0.2">
      <c r="A1463" t="s">
        <v>12133</v>
      </c>
      <c r="B1463" t="s">
        <v>11408</v>
      </c>
      <c r="C1463" t="s">
        <v>11408</v>
      </c>
      <c r="D1463" t="s">
        <v>11766</v>
      </c>
      <c r="E1463" t="s">
        <v>11762</v>
      </c>
      <c r="F1463" t="s">
        <v>11767</v>
      </c>
      <c r="G1463" s="1">
        <v>6795.5258000000003</v>
      </c>
      <c r="H1463" s="2">
        <v>0</v>
      </c>
      <c r="I1463" s="2">
        <v>-9145554.5600000005</v>
      </c>
      <c r="J1463" s="2">
        <v>0</v>
      </c>
      <c r="K1463" s="2">
        <v>0</v>
      </c>
      <c r="L1463" s="2">
        <v>-9145554.5600000005</v>
      </c>
      <c r="M1463" s="3">
        <v>28882.42</v>
      </c>
      <c r="N1463" s="4">
        <v>-2.0807119999999998E-2</v>
      </c>
      <c r="O1463" s="5" t="s">
        <v>44</v>
      </c>
      <c r="P1463" s="5">
        <v>44777</v>
      </c>
      <c r="Q1463" s="1">
        <v>0</v>
      </c>
      <c r="R1463" s="2"/>
      <c r="S1463" s="6"/>
      <c r="T1463" t="s">
        <v>11412</v>
      </c>
      <c r="U1463" t="s">
        <v>11413</v>
      </c>
      <c r="V1463" t="s">
        <v>11414</v>
      </c>
      <c r="W1463" t="s">
        <v>43</v>
      </c>
      <c r="X1463" t="s">
        <v>44</v>
      </c>
      <c r="Y1463" t="s">
        <v>44</v>
      </c>
      <c r="Z1463" t="s">
        <v>44</v>
      </c>
      <c r="AA1463" t="s">
        <v>10979</v>
      </c>
      <c r="AB1463" t="s">
        <v>44</v>
      </c>
      <c r="AC1463" s="4"/>
      <c r="AD1463" s="4"/>
      <c r="AE1463" s="2">
        <v>0</v>
      </c>
      <c r="AF1463" s="4">
        <v>0</v>
      </c>
      <c r="AG1463" s="2">
        <v>-0.94</v>
      </c>
      <c r="AH1463" s="2">
        <v>196271231.03</v>
      </c>
      <c r="AI1463" s="2">
        <v>0.45</v>
      </c>
      <c r="AJ1463" s="5">
        <v>44673</v>
      </c>
      <c r="AK1463" t="s">
        <v>12134</v>
      </c>
      <c r="AL1463" s="2">
        <v>0</v>
      </c>
      <c r="AM1463" s="2">
        <v>0</v>
      </c>
      <c r="AN1463" s="2">
        <v>0</v>
      </c>
      <c r="AO1463" t="s">
        <v>11165</v>
      </c>
      <c r="AP1463" t="s">
        <v>44</v>
      </c>
      <c r="AQ1463" t="s">
        <v>44</v>
      </c>
    </row>
    <row r="1464" spans="1:43" x14ac:dyDescent="0.2">
      <c r="A1464" t="s">
        <v>12133</v>
      </c>
      <c r="B1464" t="s">
        <v>11408</v>
      </c>
      <c r="C1464" t="s">
        <v>11408</v>
      </c>
      <c r="D1464" t="s">
        <v>11768</v>
      </c>
      <c r="E1464" t="s">
        <v>11769</v>
      </c>
      <c r="F1464" t="s">
        <v>11770</v>
      </c>
      <c r="G1464" s="1">
        <v>11875.158799999999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3"/>
      <c r="N1464" s="4">
        <v>0</v>
      </c>
      <c r="O1464" s="5" t="s">
        <v>44</v>
      </c>
      <c r="P1464" s="5">
        <v>44809</v>
      </c>
      <c r="Q1464" s="1">
        <v>0</v>
      </c>
      <c r="R1464" s="2"/>
      <c r="S1464" s="6"/>
      <c r="T1464" t="s">
        <v>11412</v>
      </c>
      <c r="U1464" t="s">
        <v>11413</v>
      </c>
      <c r="V1464" t="s">
        <v>11414</v>
      </c>
      <c r="W1464" t="s">
        <v>43</v>
      </c>
      <c r="X1464" t="s">
        <v>44</v>
      </c>
      <c r="Y1464" t="s">
        <v>44</v>
      </c>
      <c r="Z1464" t="s">
        <v>44</v>
      </c>
      <c r="AA1464" t="s">
        <v>11035</v>
      </c>
      <c r="AB1464" t="s">
        <v>44</v>
      </c>
      <c r="AC1464" s="4"/>
      <c r="AD1464" s="4"/>
      <c r="AE1464" s="2">
        <v>0</v>
      </c>
      <c r="AF1464" s="4">
        <v>0</v>
      </c>
      <c r="AG1464" s="2">
        <v>0</v>
      </c>
      <c r="AH1464" s="2">
        <v>0</v>
      </c>
      <c r="AI1464" s="2">
        <v>0</v>
      </c>
      <c r="AJ1464" s="5">
        <v>44673</v>
      </c>
      <c r="AK1464" t="s">
        <v>12134</v>
      </c>
      <c r="AL1464" s="2">
        <v>0</v>
      </c>
      <c r="AM1464" s="2">
        <v>0</v>
      </c>
      <c r="AN1464" s="2">
        <v>0</v>
      </c>
      <c r="AO1464" t="s">
        <v>11053</v>
      </c>
      <c r="AP1464" t="s">
        <v>44</v>
      </c>
      <c r="AQ1464" t="s">
        <v>44</v>
      </c>
    </row>
    <row r="1465" spans="1:43" x14ac:dyDescent="0.2">
      <c r="A1465" t="s">
        <v>12133</v>
      </c>
      <c r="B1465" t="s">
        <v>11408</v>
      </c>
      <c r="C1465" t="s">
        <v>11408</v>
      </c>
      <c r="D1465" t="s">
        <v>11771</v>
      </c>
      <c r="E1465" t="s">
        <v>11769</v>
      </c>
      <c r="F1465" t="s">
        <v>11772</v>
      </c>
      <c r="G1465" s="1">
        <v>-358965150.24000001</v>
      </c>
      <c r="H1465" s="2">
        <v>0</v>
      </c>
      <c r="I1465" s="2">
        <v>0</v>
      </c>
      <c r="J1465" s="2">
        <v>-943989.83</v>
      </c>
      <c r="K1465" s="2">
        <v>0</v>
      </c>
      <c r="L1465" s="2">
        <v>-943989.83</v>
      </c>
      <c r="M1465" s="3"/>
      <c r="N1465" s="4">
        <v>-2.1476799999999999E-3</v>
      </c>
      <c r="O1465" s="5" t="s">
        <v>44</v>
      </c>
      <c r="P1465" s="5">
        <v>44809</v>
      </c>
      <c r="Q1465" s="1">
        <v>0</v>
      </c>
      <c r="R1465" s="2"/>
      <c r="S1465" s="6"/>
      <c r="T1465" t="s">
        <v>11412</v>
      </c>
      <c r="U1465" t="s">
        <v>11413</v>
      </c>
      <c r="V1465" t="s">
        <v>11414</v>
      </c>
      <c r="W1465" t="s">
        <v>43</v>
      </c>
      <c r="X1465" t="s">
        <v>44</v>
      </c>
      <c r="Y1465" t="s">
        <v>44</v>
      </c>
      <c r="Z1465" t="s">
        <v>44</v>
      </c>
      <c r="AA1465" t="s">
        <v>11035</v>
      </c>
      <c r="AB1465" t="s">
        <v>44</v>
      </c>
      <c r="AC1465" s="4"/>
      <c r="AD1465" s="4"/>
      <c r="AE1465" s="2">
        <v>0</v>
      </c>
      <c r="AF1465" s="4">
        <v>0</v>
      </c>
      <c r="AG1465" s="2">
        <v>-0.1</v>
      </c>
      <c r="AH1465" s="2">
        <v>-359909140.06999999</v>
      </c>
      <c r="AI1465" s="2">
        <v>-0.82</v>
      </c>
      <c r="AJ1465" s="5">
        <v>44673</v>
      </c>
      <c r="AK1465" t="s">
        <v>12134</v>
      </c>
      <c r="AL1465" s="2">
        <v>0</v>
      </c>
      <c r="AM1465" s="2">
        <v>0</v>
      </c>
      <c r="AN1465" s="2">
        <v>0</v>
      </c>
      <c r="AO1465" t="s">
        <v>11053</v>
      </c>
      <c r="AP1465" t="s">
        <v>44</v>
      </c>
      <c r="AQ1465" t="s">
        <v>44</v>
      </c>
    </row>
    <row r="1466" spans="1:43" x14ac:dyDescent="0.2">
      <c r="A1466" t="s">
        <v>12133</v>
      </c>
      <c r="B1466" t="s">
        <v>11408</v>
      </c>
      <c r="C1466" t="s">
        <v>11408</v>
      </c>
      <c r="D1466" t="s">
        <v>11773</v>
      </c>
      <c r="E1466" t="s">
        <v>11769</v>
      </c>
      <c r="F1466" t="s">
        <v>11774</v>
      </c>
      <c r="G1466" s="1">
        <v>11875.158799999999</v>
      </c>
      <c r="H1466" s="2">
        <v>0</v>
      </c>
      <c r="I1466" s="2">
        <v>-15981826.210000001</v>
      </c>
      <c r="J1466" s="2">
        <v>0</v>
      </c>
      <c r="K1466" s="2">
        <v>0</v>
      </c>
      <c r="L1466" s="2">
        <v>-15981826.210000001</v>
      </c>
      <c r="M1466" s="3">
        <v>28882.42</v>
      </c>
      <c r="N1466" s="4">
        <v>-3.6360379999999998E-2</v>
      </c>
      <c r="O1466" s="5" t="s">
        <v>44</v>
      </c>
      <c r="P1466" s="5">
        <v>44809</v>
      </c>
      <c r="Q1466" s="1">
        <v>0</v>
      </c>
      <c r="R1466" s="2"/>
      <c r="S1466" s="6"/>
      <c r="T1466" t="s">
        <v>11412</v>
      </c>
      <c r="U1466" t="s">
        <v>11413</v>
      </c>
      <c r="V1466" t="s">
        <v>11414</v>
      </c>
      <c r="W1466" t="s">
        <v>43</v>
      </c>
      <c r="X1466" t="s">
        <v>44</v>
      </c>
      <c r="Y1466" t="s">
        <v>44</v>
      </c>
      <c r="Z1466" t="s">
        <v>44</v>
      </c>
      <c r="AA1466" t="s">
        <v>11035</v>
      </c>
      <c r="AB1466" t="s">
        <v>44</v>
      </c>
      <c r="AC1466" s="4"/>
      <c r="AD1466" s="4"/>
      <c r="AE1466" s="2">
        <v>0</v>
      </c>
      <c r="AF1466" s="4">
        <v>0</v>
      </c>
      <c r="AG1466" s="2">
        <v>-1.64</v>
      </c>
      <c r="AH1466" s="2">
        <v>342983324.02999997</v>
      </c>
      <c r="AI1466" s="2">
        <v>0.78</v>
      </c>
      <c r="AJ1466" s="5">
        <v>44673</v>
      </c>
      <c r="AK1466" t="s">
        <v>12134</v>
      </c>
      <c r="AL1466" s="2">
        <v>0</v>
      </c>
      <c r="AM1466" s="2">
        <v>0</v>
      </c>
      <c r="AN1466" s="2">
        <v>0</v>
      </c>
      <c r="AO1466" t="s">
        <v>11053</v>
      </c>
      <c r="AP1466" t="s">
        <v>44</v>
      </c>
      <c r="AQ1466" t="s">
        <v>44</v>
      </c>
    </row>
    <row r="1467" spans="1:43" x14ac:dyDescent="0.2">
      <c r="A1467" t="s">
        <v>12133</v>
      </c>
      <c r="B1467" t="s">
        <v>11030</v>
      </c>
      <c r="C1467" t="s">
        <v>11030</v>
      </c>
      <c r="D1467" t="s">
        <v>11775</v>
      </c>
      <c r="E1467" t="s">
        <v>11754</v>
      </c>
      <c r="F1467" t="s">
        <v>11775</v>
      </c>
      <c r="G1467" s="1">
        <v>59</v>
      </c>
      <c r="H1467" s="2"/>
      <c r="I1467" s="2">
        <v>0</v>
      </c>
      <c r="J1467" s="2"/>
      <c r="K1467" s="2"/>
      <c r="L1467" s="2">
        <v>0</v>
      </c>
      <c r="M1467" s="3"/>
      <c r="N1467" s="4">
        <v>0</v>
      </c>
      <c r="O1467" s="5" t="s">
        <v>44</v>
      </c>
      <c r="P1467" s="5" t="s">
        <v>44</v>
      </c>
      <c r="Q1467" s="1"/>
      <c r="R1467" s="2"/>
      <c r="S1467" s="6"/>
      <c r="T1467" t="s">
        <v>11031</v>
      </c>
      <c r="U1467" t="s">
        <v>11032</v>
      </c>
      <c r="V1467" t="s">
        <v>45</v>
      </c>
      <c r="W1467" t="s">
        <v>43</v>
      </c>
      <c r="X1467" t="s">
        <v>44</v>
      </c>
      <c r="Y1467" t="s">
        <v>44</v>
      </c>
      <c r="Z1467" t="s">
        <v>44</v>
      </c>
      <c r="AA1467" t="s">
        <v>44</v>
      </c>
      <c r="AB1467" t="s">
        <v>44</v>
      </c>
      <c r="AC1467" s="4"/>
      <c r="AD1467" s="4"/>
      <c r="AE1467" s="2">
        <v>0</v>
      </c>
      <c r="AF1467" s="4">
        <v>0</v>
      </c>
      <c r="AG1467" s="2">
        <v>0</v>
      </c>
      <c r="AH1467" s="2">
        <v>-11807080</v>
      </c>
      <c r="AI1467" s="2">
        <v>-0.03</v>
      </c>
      <c r="AJ1467" s="5">
        <v>44673</v>
      </c>
      <c r="AK1467" t="s">
        <v>12134</v>
      </c>
      <c r="AL1467" s="2">
        <v>0</v>
      </c>
      <c r="AM1467" s="2">
        <v>0</v>
      </c>
      <c r="AN1467" s="2">
        <v>0</v>
      </c>
      <c r="AO1467" t="s">
        <v>44</v>
      </c>
      <c r="AP1467" t="s">
        <v>44</v>
      </c>
      <c r="AQ1467" t="s">
        <v>11182</v>
      </c>
    </row>
    <row r="1468" spans="1:43" x14ac:dyDescent="0.2">
      <c r="A1468" t="s">
        <v>12133</v>
      </c>
      <c r="B1468" t="s">
        <v>11030</v>
      </c>
      <c r="C1468" t="s">
        <v>11030</v>
      </c>
      <c r="D1468" t="s">
        <v>11776</v>
      </c>
      <c r="E1468" t="s">
        <v>11756</v>
      </c>
      <c r="F1468" t="s">
        <v>11776</v>
      </c>
      <c r="G1468" s="1">
        <v>387</v>
      </c>
      <c r="H1468" s="2"/>
      <c r="I1468" s="2">
        <v>0</v>
      </c>
      <c r="J1468" s="2"/>
      <c r="K1468" s="2"/>
      <c r="L1468" s="2">
        <v>0</v>
      </c>
      <c r="M1468" s="3"/>
      <c r="N1468" s="4">
        <v>0</v>
      </c>
      <c r="O1468" s="5" t="s">
        <v>44</v>
      </c>
      <c r="P1468" s="5" t="s">
        <v>44</v>
      </c>
      <c r="Q1468" s="1"/>
      <c r="R1468" s="2"/>
      <c r="S1468" s="6"/>
      <c r="T1468" t="s">
        <v>11031</v>
      </c>
      <c r="U1468" t="s">
        <v>11032</v>
      </c>
      <c r="V1468" t="s">
        <v>45</v>
      </c>
      <c r="W1468" t="s">
        <v>43</v>
      </c>
      <c r="X1468" t="s">
        <v>44</v>
      </c>
      <c r="Y1468" t="s">
        <v>44</v>
      </c>
      <c r="Z1468" t="s">
        <v>44</v>
      </c>
      <c r="AA1468" t="s">
        <v>44</v>
      </c>
      <c r="AB1468" t="s">
        <v>44</v>
      </c>
      <c r="AC1468" s="4"/>
      <c r="AD1468" s="4"/>
      <c r="AE1468" s="2">
        <v>0</v>
      </c>
      <c r="AF1468" s="4">
        <v>0</v>
      </c>
      <c r="AG1468" s="2">
        <v>0</v>
      </c>
      <c r="AH1468" s="2">
        <v>-112489290</v>
      </c>
      <c r="AI1468" s="2">
        <v>-0.26</v>
      </c>
      <c r="AJ1468" s="5">
        <v>44673</v>
      </c>
      <c r="AK1468" t="s">
        <v>12134</v>
      </c>
      <c r="AL1468" s="2">
        <v>0</v>
      </c>
      <c r="AM1468" s="2">
        <v>0</v>
      </c>
      <c r="AN1468" s="2">
        <v>0</v>
      </c>
      <c r="AO1468" t="s">
        <v>44</v>
      </c>
      <c r="AP1468" t="s">
        <v>44</v>
      </c>
      <c r="AQ1468" t="s">
        <v>11182</v>
      </c>
    </row>
    <row r="1469" spans="1:43" x14ac:dyDescent="0.2">
      <c r="A1469" t="s">
        <v>12139</v>
      </c>
      <c r="B1469" t="s">
        <v>10900</v>
      </c>
      <c r="C1469" t="s">
        <v>10950</v>
      </c>
      <c r="D1469" t="s">
        <v>11141</v>
      </c>
      <c r="E1469" t="s">
        <v>11142</v>
      </c>
      <c r="F1469" t="s">
        <v>11141</v>
      </c>
      <c r="G1469" s="1">
        <v>2555700000</v>
      </c>
      <c r="H1469" s="2">
        <v>2131499386.1300001</v>
      </c>
      <c r="I1469" s="2">
        <v>2097019576.05</v>
      </c>
      <c r="J1469" s="2">
        <v>33084061.640000001</v>
      </c>
      <c r="K1469" s="2">
        <v>0</v>
      </c>
      <c r="L1469" s="2">
        <v>2130103637.6900001</v>
      </c>
      <c r="M1469" s="3">
        <v>10.824999999999999</v>
      </c>
      <c r="N1469" s="4">
        <v>4.8462151200000001</v>
      </c>
      <c r="O1469" s="5">
        <v>44804</v>
      </c>
      <c r="P1469" s="5">
        <v>54116</v>
      </c>
      <c r="Q1469" s="1">
        <v>8.75</v>
      </c>
      <c r="R1469" s="2">
        <v>9.2100000000000009</v>
      </c>
      <c r="S1469" s="6">
        <v>8.7507641760000006</v>
      </c>
      <c r="T1469" t="s">
        <v>111</v>
      </c>
      <c r="U1469" t="s">
        <v>111</v>
      </c>
      <c r="V1469" t="s">
        <v>10944</v>
      </c>
      <c r="W1469" t="s">
        <v>43</v>
      </c>
      <c r="X1469" t="s">
        <v>10945</v>
      </c>
      <c r="Y1469" t="s">
        <v>44</v>
      </c>
      <c r="Z1469" t="s">
        <v>44</v>
      </c>
      <c r="AA1469" t="s">
        <v>10913</v>
      </c>
      <c r="AB1469" t="s">
        <v>44</v>
      </c>
      <c r="AC1469" s="4">
        <v>11.11795156</v>
      </c>
      <c r="AD1469" s="4">
        <v>10.58865125</v>
      </c>
      <c r="AE1469" s="2">
        <v>11.12</v>
      </c>
      <c r="AF1469" s="4">
        <v>10.58865125</v>
      </c>
      <c r="AG1469" s="2">
        <v>83.39</v>
      </c>
      <c r="AH1469" s="2">
        <v>2130103637.6900001</v>
      </c>
      <c r="AI1469" s="2">
        <v>4.8499999999999996</v>
      </c>
      <c r="AJ1469" s="5">
        <v>44673</v>
      </c>
      <c r="AK1469" t="s">
        <v>12140</v>
      </c>
      <c r="AL1469" s="2">
        <v>10.82</v>
      </c>
      <c r="AM1469" s="2">
        <v>8.75</v>
      </c>
      <c r="AN1469" s="2">
        <v>8.75</v>
      </c>
      <c r="AO1469" t="s">
        <v>10922</v>
      </c>
      <c r="AP1469" t="s">
        <v>11143</v>
      </c>
      <c r="AQ1469" t="s">
        <v>11142</v>
      </c>
    </row>
    <row r="1470" spans="1:43" x14ac:dyDescent="0.2">
      <c r="A1470" t="s">
        <v>12139</v>
      </c>
      <c r="B1470" t="s">
        <v>10900</v>
      </c>
      <c r="C1470" t="s">
        <v>10990</v>
      </c>
      <c r="D1470" t="s">
        <v>12141</v>
      </c>
      <c r="E1470" t="s">
        <v>12142</v>
      </c>
      <c r="F1470" t="s">
        <v>12141</v>
      </c>
      <c r="G1470" s="1">
        <v>25360000</v>
      </c>
      <c r="H1470" s="2">
        <v>78229904.75</v>
      </c>
      <c r="I1470" s="2">
        <v>81422890.680000007</v>
      </c>
      <c r="J1470" s="2">
        <v>1581578.67</v>
      </c>
      <c r="K1470" s="2">
        <v>0</v>
      </c>
      <c r="L1470" s="2">
        <v>83004469.349999994</v>
      </c>
      <c r="M1470" s="3">
        <v>1.5580000000000001</v>
      </c>
      <c r="N1470" s="4">
        <v>0.18884409999999999</v>
      </c>
      <c r="O1470" s="5">
        <v>44719</v>
      </c>
      <c r="P1470" s="5">
        <v>45267</v>
      </c>
      <c r="Q1470" s="1">
        <v>5.5</v>
      </c>
      <c r="R1470" s="2">
        <v>1.54</v>
      </c>
      <c r="S1470" s="6">
        <v>1.530486703</v>
      </c>
      <c r="T1470" t="s">
        <v>111</v>
      </c>
      <c r="U1470" t="s">
        <v>111</v>
      </c>
      <c r="V1470" t="s">
        <v>10992</v>
      </c>
      <c r="W1470" t="s">
        <v>43</v>
      </c>
      <c r="X1470" t="s">
        <v>10988</v>
      </c>
      <c r="Y1470" t="s">
        <v>44</v>
      </c>
      <c r="Z1470" t="s">
        <v>44</v>
      </c>
      <c r="AA1470" t="s">
        <v>10979</v>
      </c>
      <c r="AB1470" t="s">
        <v>44</v>
      </c>
      <c r="AC1470" s="4">
        <v>1.56406841</v>
      </c>
      <c r="AD1470" s="4">
        <v>1.55296693</v>
      </c>
      <c r="AE1470" s="2">
        <v>1.56</v>
      </c>
      <c r="AF1470" s="4">
        <v>1.55296693</v>
      </c>
      <c r="AG1470" s="2">
        <v>3.25</v>
      </c>
      <c r="AH1470" s="2">
        <v>83004469.349999994</v>
      </c>
      <c r="AI1470" s="2">
        <v>0.19</v>
      </c>
      <c r="AJ1470" s="5">
        <v>44673</v>
      </c>
      <c r="AK1470" t="s">
        <v>12140</v>
      </c>
      <c r="AL1470" s="2">
        <v>1.56</v>
      </c>
      <c r="AM1470" s="2">
        <v>5.5</v>
      </c>
      <c r="AN1470" s="2">
        <v>1.53</v>
      </c>
      <c r="AO1470" t="s">
        <v>11165</v>
      </c>
      <c r="AP1470" t="s">
        <v>12143</v>
      </c>
      <c r="AQ1470" t="s">
        <v>12142</v>
      </c>
    </row>
    <row r="1471" spans="1:43" x14ac:dyDescent="0.2">
      <c r="A1471" t="s">
        <v>12139</v>
      </c>
      <c r="B1471" t="s">
        <v>10900</v>
      </c>
      <c r="C1471" t="s">
        <v>10990</v>
      </c>
      <c r="D1471" t="s">
        <v>12144</v>
      </c>
      <c r="E1471" t="s">
        <v>12145</v>
      </c>
      <c r="F1471" t="s">
        <v>12144</v>
      </c>
      <c r="G1471" s="1">
        <v>7300000</v>
      </c>
      <c r="H1471" s="2">
        <v>10146511.550000001</v>
      </c>
      <c r="I1471" s="2">
        <v>10262133.58</v>
      </c>
      <c r="J1471" s="2">
        <v>93285.64</v>
      </c>
      <c r="K1471" s="2">
        <v>0</v>
      </c>
      <c r="L1471" s="2">
        <v>10355419.220000001</v>
      </c>
      <c r="M1471" s="3">
        <v>3.6120000000000001</v>
      </c>
      <c r="N1471" s="4">
        <v>2.3559690000000001E-2</v>
      </c>
      <c r="O1471" s="5">
        <v>44700</v>
      </c>
      <c r="P1471" s="5">
        <v>47441</v>
      </c>
      <c r="Q1471" s="1">
        <v>1.9</v>
      </c>
      <c r="R1471" s="2">
        <v>6.98</v>
      </c>
      <c r="S1471" s="6">
        <v>6.8560831909999997</v>
      </c>
      <c r="T1471" t="s">
        <v>111</v>
      </c>
      <c r="U1471" t="s">
        <v>111</v>
      </c>
      <c r="V1471" t="s">
        <v>10992</v>
      </c>
      <c r="W1471" t="s">
        <v>43</v>
      </c>
      <c r="X1471" t="s">
        <v>10945</v>
      </c>
      <c r="Y1471" t="s">
        <v>44</v>
      </c>
      <c r="Z1471" t="s">
        <v>44</v>
      </c>
      <c r="AA1471" t="s">
        <v>10913</v>
      </c>
      <c r="AB1471" t="s">
        <v>44</v>
      </c>
      <c r="AC1471" s="4">
        <v>3.6446163600000001</v>
      </c>
      <c r="AD1471" s="4">
        <v>3.58511589</v>
      </c>
      <c r="AE1471" s="2">
        <v>3.64</v>
      </c>
      <c r="AF1471" s="4">
        <v>3.58511589</v>
      </c>
      <c r="AG1471" s="2">
        <v>0.41</v>
      </c>
      <c r="AH1471" s="2">
        <v>10355419.220000001</v>
      </c>
      <c r="AI1471" s="2">
        <v>0.02</v>
      </c>
      <c r="AJ1471" s="5">
        <v>44673</v>
      </c>
      <c r="AK1471" t="s">
        <v>12140</v>
      </c>
      <c r="AL1471" s="2">
        <v>3.61</v>
      </c>
      <c r="AM1471" s="2">
        <v>1.9</v>
      </c>
      <c r="AN1471" s="2">
        <v>6.86</v>
      </c>
      <c r="AO1471" t="s">
        <v>12146</v>
      </c>
      <c r="AP1471" t="s">
        <v>12147</v>
      </c>
      <c r="AQ1471" t="s">
        <v>12145</v>
      </c>
    </row>
    <row r="1472" spans="1:43" x14ac:dyDescent="0.2">
      <c r="A1472" t="s">
        <v>12139</v>
      </c>
      <c r="B1472" t="s">
        <v>10900</v>
      </c>
      <c r="C1472" t="s">
        <v>10990</v>
      </c>
      <c r="D1472" t="s">
        <v>12148</v>
      </c>
      <c r="E1472" t="s">
        <v>1139</v>
      </c>
      <c r="F1472" t="s">
        <v>12148</v>
      </c>
      <c r="G1472" s="1">
        <v>19000000</v>
      </c>
      <c r="H1472" s="2">
        <v>28802500.289999999</v>
      </c>
      <c r="I1472" s="2">
        <v>28985628.25</v>
      </c>
      <c r="J1472" s="2">
        <v>371964.85</v>
      </c>
      <c r="K1472" s="2">
        <v>0</v>
      </c>
      <c r="L1472" s="2">
        <v>29357593.100000001</v>
      </c>
      <c r="M1472" s="3">
        <v>3.74</v>
      </c>
      <c r="N1472" s="4">
        <v>6.6791690000000001E-2</v>
      </c>
      <c r="O1472" s="5">
        <v>44775</v>
      </c>
      <c r="P1472" s="5">
        <v>46875</v>
      </c>
      <c r="Q1472" s="1">
        <v>2.5499999999999998</v>
      </c>
      <c r="R1472" s="2">
        <v>5.6</v>
      </c>
      <c r="S1472" s="6">
        <v>5.5005462180000002</v>
      </c>
      <c r="T1472" t="s">
        <v>111</v>
      </c>
      <c r="U1472" t="s">
        <v>111</v>
      </c>
      <c r="V1472" t="s">
        <v>10992</v>
      </c>
      <c r="W1472" t="s">
        <v>43</v>
      </c>
      <c r="X1472" t="s">
        <v>10945</v>
      </c>
      <c r="Y1472" t="s">
        <v>44</v>
      </c>
      <c r="Z1472" t="s">
        <v>44</v>
      </c>
      <c r="AA1472" t="s">
        <v>10913</v>
      </c>
      <c r="AB1472" t="s">
        <v>44</v>
      </c>
      <c r="AC1472" s="4">
        <v>3.774969</v>
      </c>
      <c r="AD1472" s="4">
        <v>3.7111878300000001</v>
      </c>
      <c r="AE1472" s="2">
        <v>3.77</v>
      </c>
      <c r="AF1472" s="4">
        <v>3.7111878300000001</v>
      </c>
      <c r="AG1472" s="2">
        <v>1.1499999999999999</v>
      </c>
      <c r="AH1472" s="2">
        <v>29357593.100000001</v>
      </c>
      <c r="AI1472" s="2">
        <v>7.0000000000000007E-2</v>
      </c>
      <c r="AJ1472" s="5">
        <v>44673</v>
      </c>
      <c r="AK1472" t="s">
        <v>12140</v>
      </c>
      <c r="AL1472" s="2">
        <v>3.74</v>
      </c>
      <c r="AM1472" s="2">
        <v>2.5499999999999998</v>
      </c>
      <c r="AN1472" s="2">
        <v>5.5</v>
      </c>
      <c r="AO1472" t="s">
        <v>12146</v>
      </c>
      <c r="AP1472" t="s">
        <v>12149</v>
      </c>
      <c r="AQ1472" t="s">
        <v>1139</v>
      </c>
    </row>
    <row r="1473" spans="1:43" x14ac:dyDescent="0.2">
      <c r="A1473" t="s">
        <v>12139</v>
      </c>
      <c r="B1473" t="s">
        <v>10900</v>
      </c>
      <c r="C1473" t="s">
        <v>10990</v>
      </c>
      <c r="D1473" t="s">
        <v>12150</v>
      </c>
      <c r="E1473" t="s">
        <v>12151</v>
      </c>
      <c r="F1473" t="s">
        <v>12150</v>
      </c>
      <c r="G1473" s="1">
        <v>10700000</v>
      </c>
      <c r="H1473" s="2">
        <v>14014401.51</v>
      </c>
      <c r="I1473" s="2">
        <v>12606057.960000001</v>
      </c>
      <c r="J1473" s="2">
        <v>86661.56</v>
      </c>
      <c r="K1473" s="2">
        <v>0</v>
      </c>
      <c r="L1473" s="2">
        <v>12692719.52</v>
      </c>
      <c r="M1473" s="3">
        <v>4.6349999999999998</v>
      </c>
      <c r="N1473" s="4">
        <v>2.8877300000000002E-2</v>
      </c>
      <c r="O1473" s="5">
        <v>44774</v>
      </c>
      <c r="P1473" s="5">
        <v>50436</v>
      </c>
      <c r="Q1473" s="1">
        <v>2.25</v>
      </c>
      <c r="R1473" s="2">
        <v>12.77</v>
      </c>
      <c r="S1473" s="6">
        <v>12.470028810000001</v>
      </c>
      <c r="T1473" t="s">
        <v>111</v>
      </c>
      <c r="U1473" t="s">
        <v>111</v>
      </c>
      <c r="V1473" t="s">
        <v>10992</v>
      </c>
      <c r="W1473" t="s">
        <v>43</v>
      </c>
      <c r="X1473" t="s">
        <v>10945</v>
      </c>
      <c r="Y1473" t="s">
        <v>44</v>
      </c>
      <c r="Z1473" t="s">
        <v>44</v>
      </c>
      <c r="AA1473" t="s">
        <v>10979</v>
      </c>
      <c r="AB1473" t="s">
        <v>44</v>
      </c>
      <c r="AC1473" s="4">
        <v>4.6887080599999997</v>
      </c>
      <c r="AD1473" s="4">
        <v>4.5908669199999999</v>
      </c>
      <c r="AE1473" s="2">
        <v>4.6900000000000004</v>
      </c>
      <c r="AF1473" s="4">
        <v>4.5908669199999999</v>
      </c>
      <c r="AG1473" s="2">
        <v>0.5</v>
      </c>
      <c r="AH1473" s="2">
        <v>12692719.52</v>
      </c>
      <c r="AI1473" s="2">
        <v>0.03</v>
      </c>
      <c r="AJ1473" s="5">
        <v>44673</v>
      </c>
      <c r="AK1473" t="s">
        <v>12140</v>
      </c>
      <c r="AL1473" s="2">
        <v>4.63</v>
      </c>
      <c r="AM1473" s="2">
        <v>2.25</v>
      </c>
      <c r="AN1473" s="2">
        <v>12.47</v>
      </c>
      <c r="AO1473" t="s">
        <v>11054</v>
      </c>
      <c r="AP1473" t="s">
        <v>12152</v>
      </c>
      <c r="AQ1473" t="s">
        <v>12151</v>
      </c>
    </row>
    <row r="1474" spans="1:43" x14ac:dyDescent="0.2">
      <c r="A1474" t="s">
        <v>12139</v>
      </c>
      <c r="B1474" t="s">
        <v>10900</v>
      </c>
      <c r="C1474" t="s">
        <v>10990</v>
      </c>
      <c r="D1474" t="s">
        <v>12153</v>
      </c>
      <c r="E1474" t="s">
        <v>12154</v>
      </c>
      <c r="F1474" t="s">
        <v>12153</v>
      </c>
      <c r="G1474" s="1">
        <v>5400000</v>
      </c>
      <c r="H1474" s="2">
        <v>13115075.039999999</v>
      </c>
      <c r="I1474" s="2">
        <v>12378845.220000001</v>
      </c>
      <c r="J1474" s="2">
        <v>178876.3</v>
      </c>
      <c r="K1474" s="2">
        <v>0</v>
      </c>
      <c r="L1474" s="2">
        <v>12557721.52</v>
      </c>
      <c r="M1474" s="3">
        <v>4.6150000000000002</v>
      </c>
      <c r="N1474" s="4">
        <v>2.8570169999999999E-2</v>
      </c>
      <c r="O1474" s="5">
        <v>44719</v>
      </c>
      <c r="P1474" s="5">
        <v>48920</v>
      </c>
      <c r="Q1474" s="1">
        <v>3.45</v>
      </c>
      <c r="R1474" s="2">
        <v>9.4</v>
      </c>
      <c r="S1474" s="6">
        <v>9.1836308199999994</v>
      </c>
      <c r="T1474" t="s">
        <v>111</v>
      </c>
      <c r="U1474" t="s">
        <v>111</v>
      </c>
      <c r="V1474" t="s">
        <v>10992</v>
      </c>
      <c r="W1474" t="s">
        <v>43</v>
      </c>
      <c r="X1474" t="s">
        <v>10945</v>
      </c>
      <c r="Y1474" t="s">
        <v>44</v>
      </c>
      <c r="Z1474" t="s">
        <v>44</v>
      </c>
      <c r="AA1474" t="s">
        <v>10979</v>
      </c>
      <c r="AB1474" t="s">
        <v>44</v>
      </c>
      <c r="AC1474" s="4">
        <v>4.6682455599999999</v>
      </c>
      <c r="AD1474" s="4">
        <v>4.5712443499999997</v>
      </c>
      <c r="AE1474" s="2">
        <v>4.67</v>
      </c>
      <c r="AF1474" s="4">
        <v>4.5712443499999997</v>
      </c>
      <c r="AG1474" s="2">
        <v>0.49</v>
      </c>
      <c r="AH1474" s="2">
        <v>12557721.52</v>
      </c>
      <c r="AI1474" s="2">
        <v>0.03</v>
      </c>
      <c r="AJ1474" s="5">
        <v>44673</v>
      </c>
      <c r="AK1474" t="s">
        <v>12140</v>
      </c>
      <c r="AL1474" s="2">
        <v>4.6100000000000003</v>
      </c>
      <c r="AM1474" s="2">
        <v>3.45</v>
      </c>
      <c r="AN1474" s="2">
        <v>9.18</v>
      </c>
      <c r="AO1474" t="s">
        <v>11054</v>
      </c>
      <c r="AP1474" t="s">
        <v>12155</v>
      </c>
      <c r="AQ1474" t="s">
        <v>12154</v>
      </c>
    </row>
    <row r="1475" spans="1:43" x14ac:dyDescent="0.2">
      <c r="A1475" t="s">
        <v>12139</v>
      </c>
      <c r="B1475" t="s">
        <v>10900</v>
      </c>
      <c r="C1475" t="s">
        <v>10990</v>
      </c>
      <c r="D1475" t="s">
        <v>12156</v>
      </c>
      <c r="E1475" t="s">
        <v>12157</v>
      </c>
      <c r="F1475" t="s">
        <v>12156</v>
      </c>
      <c r="G1475" s="1">
        <v>10100000</v>
      </c>
      <c r="H1475" s="2">
        <v>24469602.530000001</v>
      </c>
      <c r="I1475" s="2">
        <v>23088390.16</v>
      </c>
      <c r="J1475" s="2">
        <v>334564.94</v>
      </c>
      <c r="K1475" s="2">
        <v>0</v>
      </c>
      <c r="L1475" s="2">
        <v>23422955.100000001</v>
      </c>
      <c r="M1475" s="3">
        <v>4.6449999999999996</v>
      </c>
      <c r="N1475" s="4">
        <v>5.3289740000000002E-2</v>
      </c>
      <c r="O1475" s="5">
        <v>44719</v>
      </c>
      <c r="P1475" s="5">
        <v>48920</v>
      </c>
      <c r="Q1475" s="1">
        <v>3.45</v>
      </c>
      <c r="R1475" s="2">
        <v>9.39</v>
      </c>
      <c r="S1475" s="6">
        <v>9.1784953409999996</v>
      </c>
      <c r="T1475" t="s">
        <v>111</v>
      </c>
      <c r="U1475" t="s">
        <v>111</v>
      </c>
      <c r="V1475" t="s">
        <v>10992</v>
      </c>
      <c r="W1475" t="s">
        <v>43</v>
      </c>
      <c r="X1475" t="s">
        <v>10945</v>
      </c>
      <c r="Y1475" t="s">
        <v>44</v>
      </c>
      <c r="Z1475" t="s">
        <v>44</v>
      </c>
      <c r="AA1475" t="s">
        <v>10979</v>
      </c>
      <c r="AB1475" t="s">
        <v>44</v>
      </c>
      <c r="AC1475" s="4">
        <v>4.69894006</v>
      </c>
      <c r="AD1475" s="4">
        <v>4.60067761</v>
      </c>
      <c r="AE1475" s="2">
        <v>4.7</v>
      </c>
      <c r="AF1475" s="4">
        <v>4.60067761</v>
      </c>
      <c r="AG1475" s="2">
        <v>0.92</v>
      </c>
      <c r="AH1475" s="2">
        <v>23422955.100000001</v>
      </c>
      <c r="AI1475" s="2">
        <v>0.05</v>
      </c>
      <c r="AJ1475" s="5">
        <v>44673</v>
      </c>
      <c r="AK1475" t="s">
        <v>12140</v>
      </c>
      <c r="AL1475" s="2">
        <v>4.6500000000000004</v>
      </c>
      <c r="AM1475" s="2">
        <v>3.45</v>
      </c>
      <c r="AN1475" s="2">
        <v>9.18</v>
      </c>
      <c r="AO1475" t="s">
        <v>11054</v>
      </c>
      <c r="AP1475" t="s">
        <v>12158</v>
      </c>
      <c r="AQ1475" t="s">
        <v>12157</v>
      </c>
    </row>
    <row r="1476" spans="1:43" x14ac:dyDescent="0.2">
      <c r="A1476" t="s">
        <v>12139</v>
      </c>
      <c r="B1476" t="s">
        <v>10900</v>
      </c>
      <c r="C1476" t="s">
        <v>10990</v>
      </c>
      <c r="D1476" t="s">
        <v>12159</v>
      </c>
      <c r="E1476" t="s">
        <v>12160</v>
      </c>
      <c r="F1476" t="s">
        <v>12159</v>
      </c>
      <c r="G1476" s="1">
        <v>60180000</v>
      </c>
      <c r="H1476" s="2">
        <v>142358462.71000001</v>
      </c>
      <c r="I1476" s="2">
        <v>134909805.40000001</v>
      </c>
      <c r="J1476" s="2">
        <v>1993477.03</v>
      </c>
      <c r="K1476" s="2">
        <v>0</v>
      </c>
      <c r="L1476" s="2">
        <v>136903282.43000001</v>
      </c>
      <c r="M1476" s="3">
        <v>4.8550000000000004</v>
      </c>
      <c r="N1476" s="4">
        <v>0.31146971000000001</v>
      </c>
      <c r="O1476" s="5">
        <v>44719</v>
      </c>
      <c r="P1476" s="5">
        <v>48920</v>
      </c>
      <c r="Q1476" s="1">
        <v>3.45</v>
      </c>
      <c r="R1476" s="2">
        <v>9.3699999999999992</v>
      </c>
      <c r="S1476" s="6">
        <v>9.1424521250000002</v>
      </c>
      <c r="T1476" t="s">
        <v>111</v>
      </c>
      <c r="U1476" t="s">
        <v>111</v>
      </c>
      <c r="V1476" t="s">
        <v>10992</v>
      </c>
      <c r="W1476" t="s">
        <v>43</v>
      </c>
      <c r="X1476" t="s">
        <v>10988</v>
      </c>
      <c r="Y1476" t="s">
        <v>44</v>
      </c>
      <c r="Z1476" t="s">
        <v>44</v>
      </c>
      <c r="AA1476" t="s">
        <v>10979</v>
      </c>
      <c r="AB1476" t="s">
        <v>44</v>
      </c>
      <c r="AC1476" s="4">
        <v>4.9139275600000003</v>
      </c>
      <c r="AD1476" s="4">
        <v>4.8066098799999999</v>
      </c>
      <c r="AE1476" s="2">
        <v>4.91</v>
      </c>
      <c r="AF1476" s="4">
        <v>4.8066098799999999</v>
      </c>
      <c r="AG1476" s="2">
        <v>5.36</v>
      </c>
      <c r="AH1476" s="2">
        <v>136903282.43000001</v>
      </c>
      <c r="AI1476" s="2">
        <v>0.31</v>
      </c>
      <c r="AJ1476" s="5">
        <v>44673</v>
      </c>
      <c r="AK1476" t="s">
        <v>12140</v>
      </c>
      <c r="AL1476" s="2">
        <v>4.8600000000000003</v>
      </c>
      <c r="AM1476" s="2">
        <v>3.45</v>
      </c>
      <c r="AN1476" s="2">
        <v>9.14</v>
      </c>
      <c r="AO1476" t="s">
        <v>11179</v>
      </c>
      <c r="AP1476" t="s">
        <v>12161</v>
      </c>
      <c r="AQ1476" t="s">
        <v>12160</v>
      </c>
    </row>
    <row r="1477" spans="1:43" x14ac:dyDescent="0.2">
      <c r="A1477" t="s">
        <v>12139</v>
      </c>
      <c r="B1477" t="s">
        <v>10900</v>
      </c>
      <c r="C1477" t="s">
        <v>10990</v>
      </c>
      <c r="D1477" t="s">
        <v>12162</v>
      </c>
      <c r="E1477" t="s">
        <v>12163</v>
      </c>
      <c r="F1477" t="s">
        <v>12162</v>
      </c>
      <c r="G1477" s="1">
        <v>39000000</v>
      </c>
      <c r="H1477" s="2">
        <v>49831254.729999997</v>
      </c>
      <c r="I1477" s="2">
        <v>45717060.700000003</v>
      </c>
      <c r="J1477" s="2">
        <v>315869.24</v>
      </c>
      <c r="K1477" s="2">
        <v>0</v>
      </c>
      <c r="L1477" s="2">
        <v>46032929.939999998</v>
      </c>
      <c r="M1477" s="3">
        <v>4.6749999999999998</v>
      </c>
      <c r="N1477" s="4">
        <v>0.10472987</v>
      </c>
      <c r="O1477" s="5">
        <v>44774</v>
      </c>
      <c r="P1477" s="5">
        <v>50436</v>
      </c>
      <c r="Q1477" s="1">
        <v>2.25</v>
      </c>
      <c r="R1477" s="2">
        <v>12.76</v>
      </c>
      <c r="S1477" s="6">
        <v>12.45828463</v>
      </c>
      <c r="T1477" t="s">
        <v>111</v>
      </c>
      <c r="U1477" t="s">
        <v>111</v>
      </c>
      <c r="V1477" t="s">
        <v>10992</v>
      </c>
      <c r="W1477" t="s">
        <v>43</v>
      </c>
      <c r="X1477" t="s">
        <v>10945</v>
      </c>
      <c r="Y1477" t="s">
        <v>44</v>
      </c>
      <c r="Z1477" t="s">
        <v>44</v>
      </c>
      <c r="AA1477" t="s">
        <v>10979</v>
      </c>
      <c r="AB1477" t="s">
        <v>44</v>
      </c>
      <c r="AC1477" s="4">
        <v>4.7296390600000002</v>
      </c>
      <c r="AD1477" s="4">
        <v>4.6301072899999998</v>
      </c>
      <c r="AE1477" s="2">
        <v>4.7300000000000004</v>
      </c>
      <c r="AF1477" s="4">
        <v>4.6301072899999998</v>
      </c>
      <c r="AG1477" s="2">
        <v>1.8</v>
      </c>
      <c r="AH1477" s="2">
        <v>46032929.939999998</v>
      </c>
      <c r="AI1477" s="2">
        <v>0.1</v>
      </c>
      <c r="AJ1477" s="5">
        <v>44673</v>
      </c>
      <c r="AK1477" t="s">
        <v>12140</v>
      </c>
      <c r="AL1477" s="2">
        <v>4.67</v>
      </c>
      <c r="AM1477" s="2">
        <v>2.25</v>
      </c>
      <c r="AN1477" s="2">
        <v>12.46</v>
      </c>
      <c r="AO1477" t="s">
        <v>11179</v>
      </c>
      <c r="AP1477" t="s">
        <v>12164</v>
      </c>
      <c r="AQ1477" t="s">
        <v>12163</v>
      </c>
    </row>
    <row r="1478" spans="1:43" x14ac:dyDescent="0.2">
      <c r="A1478" t="s">
        <v>12139</v>
      </c>
      <c r="B1478" t="s">
        <v>10900</v>
      </c>
      <c r="C1478" t="s">
        <v>10990</v>
      </c>
      <c r="D1478" t="s">
        <v>11922</v>
      </c>
      <c r="E1478" t="s">
        <v>1146</v>
      </c>
      <c r="F1478" t="s">
        <v>11922</v>
      </c>
      <c r="G1478" s="1">
        <v>30662664</v>
      </c>
      <c r="H1478" s="2">
        <v>94609117.829999998</v>
      </c>
      <c r="I1478" s="2">
        <v>98320632.939999998</v>
      </c>
      <c r="J1478" s="2">
        <v>1912279.78</v>
      </c>
      <c r="K1478" s="2">
        <v>0</v>
      </c>
      <c r="L1478" s="2">
        <v>100232912.72</v>
      </c>
      <c r="M1478" s="3">
        <v>1.641</v>
      </c>
      <c r="N1478" s="4">
        <v>0.22804067</v>
      </c>
      <c r="O1478" s="5">
        <v>44719</v>
      </c>
      <c r="P1478" s="5">
        <v>45267</v>
      </c>
      <c r="Q1478" s="1">
        <v>5.5</v>
      </c>
      <c r="R1478" s="2">
        <v>1.54</v>
      </c>
      <c r="S1478" s="6">
        <v>1.529789238</v>
      </c>
      <c r="T1478" t="s">
        <v>111</v>
      </c>
      <c r="U1478" t="s">
        <v>111</v>
      </c>
      <c r="V1478" t="s">
        <v>10992</v>
      </c>
      <c r="W1478" t="s">
        <v>43</v>
      </c>
      <c r="X1478" t="s">
        <v>10945</v>
      </c>
      <c r="Y1478" t="s">
        <v>44</v>
      </c>
      <c r="Z1478" t="s">
        <v>44</v>
      </c>
      <c r="AA1478" t="s">
        <v>10979</v>
      </c>
      <c r="AB1478" t="s">
        <v>44</v>
      </c>
      <c r="AC1478" s="4">
        <v>1.6477322000000001</v>
      </c>
      <c r="AD1478" s="4">
        <v>1.6354177999999999</v>
      </c>
      <c r="AE1478" s="2">
        <v>1.65</v>
      </c>
      <c r="AF1478" s="4">
        <v>1.6354177999999999</v>
      </c>
      <c r="AG1478" s="2">
        <v>3.92</v>
      </c>
      <c r="AH1478" s="2">
        <v>100232912.72</v>
      </c>
      <c r="AI1478" s="2">
        <v>0.23</v>
      </c>
      <c r="AJ1478" s="5">
        <v>44673</v>
      </c>
      <c r="AK1478" t="s">
        <v>12140</v>
      </c>
      <c r="AL1478" s="2">
        <v>1.64</v>
      </c>
      <c r="AM1478" s="2">
        <v>5.5</v>
      </c>
      <c r="AN1478" s="2">
        <v>1.53</v>
      </c>
      <c r="AO1478" t="s">
        <v>11179</v>
      </c>
      <c r="AP1478" t="s">
        <v>11923</v>
      </c>
      <c r="AQ1478" t="s">
        <v>1146</v>
      </c>
    </row>
    <row r="1479" spans="1:43" x14ac:dyDescent="0.2">
      <c r="A1479" t="s">
        <v>12139</v>
      </c>
      <c r="B1479" t="s">
        <v>45</v>
      </c>
      <c r="C1479" t="s">
        <v>11000</v>
      </c>
      <c r="D1479" t="s">
        <v>11421</v>
      </c>
      <c r="E1479" t="s">
        <v>11422</v>
      </c>
      <c r="F1479" t="s">
        <v>11421</v>
      </c>
      <c r="G1479" s="1">
        <v>4000000</v>
      </c>
      <c r="H1479" s="2">
        <v>4000000</v>
      </c>
      <c r="I1479" s="2">
        <v>4000000</v>
      </c>
      <c r="J1479" s="2">
        <v>15764.39</v>
      </c>
      <c r="K1479" s="2">
        <v>0</v>
      </c>
      <c r="L1479" s="2">
        <v>4015764.39</v>
      </c>
      <c r="M1479" s="3">
        <v>4.2</v>
      </c>
      <c r="N1479" s="4">
        <v>9.1363E-3</v>
      </c>
      <c r="O1479" s="5" t="s">
        <v>44</v>
      </c>
      <c r="P1479" s="5">
        <v>55153</v>
      </c>
      <c r="Q1479" s="1">
        <v>4.2</v>
      </c>
      <c r="R1479" s="2">
        <v>0.08</v>
      </c>
      <c r="S1479" s="6">
        <v>2.5947269999999998E-3</v>
      </c>
      <c r="T1479" t="s">
        <v>112</v>
      </c>
      <c r="U1479" t="s">
        <v>46</v>
      </c>
      <c r="V1479" t="s">
        <v>11270</v>
      </c>
      <c r="W1479" t="s">
        <v>43</v>
      </c>
      <c r="X1479" t="s">
        <v>44</v>
      </c>
      <c r="Y1479" t="s">
        <v>44</v>
      </c>
      <c r="Z1479" t="s">
        <v>44</v>
      </c>
      <c r="AA1479" t="s">
        <v>10913</v>
      </c>
      <c r="AB1479" t="s">
        <v>44</v>
      </c>
      <c r="AC1479" s="4">
        <v>4.2819052299999996</v>
      </c>
      <c r="AD1479" s="4">
        <v>4.20010057</v>
      </c>
      <c r="AE1479" s="2">
        <v>4.28</v>
      </c>
      <c r="AF1479" s="4">
        <v>4.20010057</v>
      </c>
      <c r="AG1479" s="2">
        <v>0.16</v>
      </c>
      <c r="AH1479" s="2">
        <v>4015764.39</v>
      </c>
      <c r="AI1479" s="2">
        <v>0.01</v>
      </c>
      <c r="AJ1479" s="5">
        <v>44673</v>
      </c>
      <c r="AK1479" t="s">
        <v>12140</v>
      </c>
      <c r="AL1479" s="2">
        <v>4.24</v>
      </c>
      <c r="AM1479" s="2">
        <v>4.2</v>
      </c>
      <c r="AN1479" s="2">
        <v>0</v>
      </c>
      <c r="AO1479" t="s">
        <v>11423</v>
      </c>
      <c r="AP1479" t="s">
        <v>44</v>
      </c>
      <c r="AQ1479" t="s">
        <v>11422</v>
      </c>
    </row>
    <row r="1480" spans="1:43" x14ac:dyDescent="0.2">
      <c r="A1480" t="s">
        <v>12139</v>
      </c>
      <c r="B1480" t="s">
        <v>45</v>
      </c>
      <c r="C1480" t="s">
        <v>47</v>
      </c>
      <c r="D1480" t="s">
        <v>48</v>
      </c>
      <c r="E1480" t="s">
        <v>49</v>
      </c>
      <c r="F1480" t="s">
        <v>50</v>
      </c>
      <c r="G1480" s="1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12122.7</v>
      </c>
      <c r="M1480" s="3"/>
      <c r="N1480" s="4">
        <v>2.758E-5</v>
      </c>
      <c r="O1480" s="5" t="s">
        <v>44</v>
      </c>
      <c r="P1480" s="5" t="s">
        <v>44</v>
      </c>
      <c r="Q1480" s="1"/>
      <c r="R1480" s="2">
        <v>0.08</v>
      </c>
      <c r="S1480" s="6"/>
      <c r="T1480" t="s">
        <v>45</v>
      </c>
      <c r="U1480" t="s">
        <v>46</v>
      </c>
      <c r="V1480" t="s">
        <v>44</v>
      </c>
      <c r="W1480" t="s">
        <v>43</v>
      </c>
      <c r="X1480" t="s">
        <v>44</v>
      </c>
      <c r="Y1480" t="s">
        <v>44</v>
      </c>
      <c r="Z1480" t="s">
        <v>44</v>
      </c>
      <c r="AA1480" t="s">
        <v>44</v>
      </c>
      <c r="AB1480" t="s">
        <v>44</v>
      </c>
      <c r="AC1480" s="4">
        <v>5.1163389600000002</v>
      </c>
      <c r="AD1480" s="4">
        <v>5.0001424999999999</v>
      </c>
      <c r="AE1480" s="2">
        <v>5.12</v>
      </c>
      <c r="AF1480" s="4">
        <v>5.0001424999999999</v>
      </c>
      <c r="AG1480" s="2">
        <v>0</v>
      </c>
      <c r="AH1480" s="2">
        <v>12122.7</v>
      </c>
      <c r="AI1480" s="2">
        <v>0</v>
      </c>
      <c r="AJ1480" s="5">
        <v>44673</v>
      </c>
      <c r="AK1480" t="s">
        <v>12140</v>
      </c>
      <c r="AL1480" s="2">
        <v>5.05</v>
      </c>
      <c r="AM1480" s="2">
        <v>0</v>
      </c>
      <c r="AN1480" s="2">
        <v>0</v>
      </c>
      <c r="AO1480" t="s">
        <v>44</v>
      </c>
      <c r="AP1480" t="s">
        <v>44</v>
      </c>
      <c r="AQ1480" t="s">
        <v>44</v>
      </c>
    </row>
    <row r="1481" spans="1:43" x14ac:dyDescent="0.2">
      <c r="A1481" t="s">
        <v>12139</v>
      </c>
      <c r="B1481" t="s">
        <v>45</v>
      </c>
      <c r="C1481" t="s">
        <v>47</v>
      </c>
      <c r="D1481" t="s">
        <v>51</v>
      </c>
      <c r="E1481" t="s">
        <v>52</v>
      </c>
      <c r="F1481" t="s">
        <v>51</v>
      </c>
      <c r="G1481" s="1">
        <v>5581336.79</v>
      </c>
      <c r="H1481" s="2">
        <v>5581336.79</v>
      </c>
      <c r="I1481" s="2">
        <v>5581336.79</v>
      </c>
      <c r="J1481" s="2">
        <v>0</v>
      </c>
      <c r="K1481" s="2">
        <v>0</v>
      </c>
      <c r="L1481" s="2">
        <v>5581336.79</v>
      </c>
      <c r="M1481" s="3"/>
      <c r="N1481" s="4">
        <v>1.269814E-2</v>
      </c>
      <c r="O1481" s="5" t="s">
        <v>44</v>
      </c>
      <c r="P1481" s="5" t="s">
        <v>44</v>
      </c>
      <c r="Q1481" s="1"/>
      <c r="R1481" s="2">
        <v>0.08</v>
      </c>
      <c r="S1481" s="6"/>
      <c r="T1481" t="s">
        <v>45</v>
      </c>
      <c r="U1481" t="s">
        <v>53</v>
      </c>
      <c r="V1481" t="s">
        <v>44</v>
      </c>
      <c r="W1481" t="s">
        <v>43</v>
      </c>
      <c r="X1481" t="s">
        <v>44</v>
      </c>
      <c r="Y1481" t="s">
        <v>44</v>
      </c>
      <c r="Z1481" t="s">
        <v>44</v>
      </c>
      <c r="AA1481" t="s">
        <v>44</v>
      </c>
      <c r="AB1481" t="s">
        <v>44</v>
      </c>
      <c r="AC1481" s="4">
        <v>5.1163389600000002</v>
      </c>
      <c r="AD1481" s="4">
        <v>5.0001424999999999</v>
      </c>
      <c r="AE1481" s="2">
        <v>5.12</v>
      </c>
      <c r="AF1481" s="4">
        <v>5.0001424999999999</v>
      </c>
      <c r="AG1481" s="2">
        <v>0.22</v>
      </c>
      <c r="AH1481" s="2">
        <v>5581336.79</v>
      </c>
      <c r="AI1481" s="2">
        <v>0.01</v>
      </c>
      <c r="AJ1481" s="5">
        <v>44673</v>
      </c>
      <c r="AK1481" t="s">
        <v>12140</v>
      </c>
      <c r="AL1481" s="2">
        <v>5.05</v>
      </c>
      <c r="AM1481" s="2">
        <v>0</v>
      </c>
      <c r="AN1481" s="2">
        <v>0</v>
      </c>
      <c r="AO1481" t="s">
        <v>44</v>
      </c>
      <c r="AP1481" t="s">
        <v>44</v>
      </c>
      <c r="AQ1481" t="s">
        <v>43</v>
      </c>
    </row>
    <row r="1482" spans="1:43" x14ac:dyDescent="0.2">
      <c r="A1482" t="s">
        <v>12139</v>
      </c>
      <c r="B1482" t="s">
        <v>11038</v>
      </c>
      <c r="C1482" t="s">
        <v>11222</v>
      </c>
      <c r="D1482" t="s">
        <v>12165</v>
      </c>
      <c r="E1482" t="s">
        <v>12166</v>
      </c>
      <c r="F1482" t="s">
        <v>12165</v>
      </c>
      <c r="G1482" s="1">
        <v>195443.3959</v>
      </c>
      <c r="H1482" s="2">
        <v>0.05</v>
      </c>
      <c r="I1482" s="2">
        <v>0</v>
      </c>
      <c r="J1482" s="2">
        <v>0</v>
      </c>
      <c r="K1482" s="2">
        <v>0</v>
      </c>
      <c r="L1482" s="2">
        <v>0</v>
      </c>
      <c r="M1482" s="3"/>
      <c r="N1482" s="4">
        <v>0</v>
      </c>
      <c r="O1482" s="5">
        <v>45386</v>
      </c>
      <c r="P1482" s="5">
        <v>45386</v>
      </c>
      <c r="Q1482" s="1">
        <v>0</v>
      </c>
      <c r="R1482" s="2">
        <v>0</v>
      </c>
      <c r="S1482" s="6">
        <v>0</v>
      </c>
      <c r="T1482" t="s">
        <v>111</v>
      </c>
      <c r="U1482" t="s">
        <v>11040</v>
      </c>
      <c r="V1482" t="s">
        <v>11189</v>
      </c>
      <c r="W1482" t="s">
        <v>43</v>
      </c>
      <c r="X1482" t="s">
        <v>11034</v>
      </c>
      <c r="Y1482" t="s">
        <v>44</v>
      </c>
      <c r="Z1482" t="s">
        <v>44</v>
      </c>
      <c r="AA1482" t="s">
        <v>44</v>
      </c>
      <c r="AB1482" t="s">
        <v>44</v>
      </c>
      <c r="AC1482" s="4"/>
      <c r="AD1482" s="4"/>
      <c r="AE1482" s="2">
        <v>0</v>
      </c>
      <c r="AF1482" s="4">
        <v>0</v>
      </c>
      <c r="AG1482" s="2">
        <v>0</v>
      </c>
      <c r="AH1482" s="2">
        <v>0</v>
      </c>
      <c r="AI1482" s="2">
        <v>0</v>
      </c>
      <c r="AJ1482" s="5">
        <v>44673</v>
      </c>
      <c r="AK1482" t="s">
        <v>12140</v>
      </c>
      <c r="AL1482" s="2">
        <v>0</v>
      </c>
      <c r="AM1482" s="2">
        <v>0</v>
      </c>
      <c r="AN1482" s="2">
        <v>0</v>
      </c>
      <c r="AO1482" t="s">
        <v>12167</v>
      </c>
      <c r="AP1482" t="s">
        <v>12168</v>
      </c>
      <c r="AQ1482" t="s">
        <v>12166</v>
      </c>
    </row>
    <row r="1483" spans="1:43" x14ac:dyDescent="0.2">
      <c r="A1483" t="s">
        <v>12139</v>
      </c>
      <c r="B1483" t="s">
        <v>11038</v>
      </c>
      <c r="C1483" t="s">
        <v>11222</v>
      </c>
      <c r="D1483" t="s">
        <v>12169</v>
      </c>
      <c r="E1483" t="s">
        <v>12170</v>
      </c>
      <c r="F1483" t="s">
        <v>12169</v>
      </c>
      <c r="G1483" s="1">
        <v>877785</v>
      </c>
      <c r="H1483" s="2">
        <v>0.24</v>
      </c>
      <c r="I1483" s="2">
        <v>0</v>
      </c>
      <c r="J1483" s="2">
        <v>0</v>
      </c>
      <c r="K1483" s="2">
        <v>0</v>
      </c>
      <c r="L1483" s="2">
        <v>0</v>
      </c>
      <c r="M1483" s="3"/>
      <c r="N1483" s="4">
        <v>0</v>
      </c>
      <c r="O1483" s="5">
        <v>45386</v>
      </c>
      <c r="P1483" s="5">
        <v>45386</v>
      </c>
      <c r="Q1483" s="1">
        <v>0</v>
      </c>
      <c r="R1483" s="2">
        <v>0</v>
      </c>
      <c r="S1483" s="6">
        <v>0</v>
      </c>
      <c r="T1483" t="s">
        <v>111</v>
      </c>
      <c r="U1483" t="s">
        <v>11040</v>
      </c>
      <c r="V1483" t="s">
        <v>11189</v>
      </c>
      <c r="W1483" t="s">
        <v>43</v>
      </c>
      <c r="X1483" t="s">
        <v>11034</v>
      </c>
      <c r="Y1483" t="s">
        <v>44</v>
      </c>
      <c r="Z1483" t="s">
        <v>44</v>
      </c>
      <c r="AA1483" t="s">
        <v>44</v>
      </c>
      <c r="AB1483" t="s">
        <v>44</v>
      </c>
      <c r="AC1483" s="4"/>
      <c r="AD1483" s="4"/>
      <c r="AE1483" s="2">
        <v>0</v>
      </c>
      <c r="AF1483" s="4">
        <v>0</v>
      </c>
      <c r="AG1483" s="2">
        <v>0</v>
      </c>
      <c r="AH1483" s="2">
        <v>0</v>
      </c>
      <c r="AI1483" s="2">
        <v>0</v>
      </c>
      <c r="AJ1483" s="5">
        <v>44673</v>
      </c>
      <c r="AK1483" t="s">
        <v>12140</v>
      </c>
      <c r="AL1483" s="2">
        <v>0</v>
      </c>
      <c r="AM1483" s="2">
        <v>0</v>
      </c>
      <c r="AN1483" s="2">
        <v>0</v>
      </c>
      <c r="AO1483" t="s">
        <v>44</v>
      </c>
      <c r="AP1483" t="s">
        <v>12171</v>
      </c>
      <c r="AQ1483" t="s">
        <v>12170</v>
      </c>
    </row>
    <row r="1484" spans="1:43" x14ac:dyDescent="0.2">
      <c r="A1484" t="s">
        <v>12875</v>
      </c>
      <c r="B1484" t="s">
        <v>45</v>
      </c>
      <c r="C1484" t="s">
        <v>47</v>
      </c>
      <c r="D1484" t="s">
        <v>48</v>
      </c>
      <c r="E1484" t="s">
        <v>49</v>
      </c>
      <c r="F1484" t="s">
        <v>50</v>
      </c>
      <c r="G1484" s="1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855.34</v>
      </c>
      <c r="M1484" s="3"/>
      <c r="N1484" s="4">
        <v>1.95E-6</v>
      </c>
      <c r="O1484" s="5" t="s">
        <v>44</v>
      </c>
      <c r="P1484" s="5" t="s">
        <v>44</v>
      </c>
      <c r="Q1484" s="1"/>
      <c r="R1484" s="2">
        <v>0.08</v>
      </c>
      <c r="S1484" s="6"/>
      <c r="T1484" t="s">
        <v>45</v>
      </c>
      <c r="U1484" t="s">
        <v>46</v>
      </c>
      <c r="V1484" t="s">
        <v>44</v>
      </c>
      <c r="W1484" t="s">
        <v>43</v>
      </c>
      <c r="X1484" t="s">
        <v>44</v>
      </c>
      <c r="Y1484" t="s">
        <v>44</v>
      </c>
      <c r="Z1484" t="s">
        <v>44</v>
      </c>
      <c r="AA1484" t="s">
        <v>44</v>
      </c>
      <c r="AB1484" t="s">
        <v>44</v>
      </c>
      <c r="AC1484" s="4">
        <v>5.1163389600000002</v>
      </c>
      <c r="AD1484" s="4">
        <v>5.0001424999999999</v>
      </c>
      <c r="AE1484" s="2">
        <v>5.12</v>
      </c>
      <c r="AF1484" s="4">
        <v>5.0001424999999999</v>
      </c>
      <c r="AG1484" s="2">
        <v>0</v>
      </c>
      <c r="AH1484" s="2">
        <v>855.34</v>
      </c>
      <c r="AI1484" s="2">
        <v>0</v>
      </c>
      <c r="AJ1484" s="5">
        <v>44673</v>
      </c>
      <c r="AK1484" t="s">
        <v>12876</v>
      </c>
      <c r="AL1484" s="2">
        <v>5.05</v>
      </c>
      <c r="AM1484" s="2">
        <v>0</v>
      </c>
      <c r="AN1484" s="2">
        <v>0</v>
      </c>
      <c r="AO1484" t="s">
        <v>44</v>
      </c>
      <c r="AP1484" t="s">
        <v>44</v>
      </c>
      <c r="AQ1484" t="s">
        <v>44</v>
      </c>
    </row>
    <row r="1485" spans="1:43" x14ac:dyDescent="0.2">
      <c r="A1485" t="s">
        <v>12875</v>
      </c>
      <c r="B1485" t="s">
        <v>45</v>
      </c>
      <c r="C1485" t="s">
        <v>47</v>
      </c>
      <c r="D1485" t="s">
        <v>51</v>
      </c>
      <c r="E1485" t="s">
        <v>52</v>
      </c>
      <c r="F1485" t="s">
        <v>51</v>
      </c>
      <c r="G1485" s="1">
        <v>10462.76</v>
      </c>
      <c r="H1485" s="2">
        <v>10462.76</v>
      </c>
      <c r="I1485" s="2">
        <v>10462.76</v>
      </c>
      <c r="J1485" s="2">
        <v>0</v>
      </c>
      <c r="K1485" s="2">
        <v>0</v>
      </c>
      <c r="L1485" s="2">
        <v>10462.76</v>
      </c>
      <c r="M1485" s="3"/>
      <c r="N1485" s="4">
        <v>2.3799999999999999E-5</v>
      </c>
      <c r="O1485" s="5" t="s">
        <v>44</v>
      </c>
      <c r="P1485" s="5" t="s">
        <v>44</v>
      </c>
      <c r="Q1485" s="1"/>
      <c r="R1485" s="2">
        <v>0.08</v>
      </c>
      <c r="S1485" s="6"/>
      <c r="T1485" t="s">
        <v>45</v>
      </c>
      <c r="U1485" t="s">
        <v>53</v>
      </c>
      <c r="V1485" t="s">
        <v>44</v>
      </c>
      <c r="W1485" t="s">
        <v>43</v>
      </c>
      <c r="X1485" t="s">
        <v>44</v>
      </c>
      <c r="Y1485" t="s">
        <v>44</v>
      </c>
      <c r="Z1485" t="s">
        <v>44</v>
      </c>
      <c r="AA1485" t="s">
        <v>44</v>
      </c>
      <c r="AB1485" t="s">
        <v>44</v>
      </c>
      <c r="AC1485" s="4">
        <v>5.1163389600000002</v>
      </c>
      <c r="AD1485" s="4">
        <v>5.0001424999999999</v>
      </c>
      <c r="AE1485" s="2">
        <v>5.12</v>
      </c>
      <c r="AF1485" s="4">
        <v>5.0001424999999999</v>
      </c>
      <c r="AG1485" s="2">
        <v>0.02</v>
      </c>
      <c r="AH1485" s="2">
        <v>10462.76</v>
      </c>
      <c r="AI1485" s="2">
        <v>0</v>
      </c>
      <c r="AJ1485" s="5">
        <v>44673</v>
      </c>
      <c r="AK1485" t="s">
        <v>12876</v>
      </c>
      <c r="AL1485" s="2">
        <v>5.05</v>
      </c>
      <c r="AM1485" s="2">
        <v>0</v>
      </c>
      <c r="AN1485" s="2">
        <v>0</v>
      </c>
      <c r="AO1485" t="s">
        <v>44</v>
      </c>
      <c r="AP1485" t="s">
        <v>44</v>
      </c>
      <c r="AQ1485" t="s">
        <v>43</v>
      </c>
    </row>
    <row r="1486" spans="1:43" x14ac:dyDescent="0.2">
      <c r="A1486" t="s">
        <v>12875</v>
      </c>
      <c r="B1486" t="s">
        <v>11013</v>
      </c>
      <c r="C1486" t="s">
        <v>11014</v>
      </c>
      <c r="D1486" t="s">
        <v>12877</v>
      </c>
      <c r="E1486" t="s">
        <v>12878</v>
      </c>
      <c r="F1486" t="s">
        <v>12877</v>
      </c>
      <c r="G1486" s="1">
        <v>21496708.887400001</v>
      </c>
      <c r="H1486" s="2">
        <v>39375941.409999996</v>
      </c>
      <c r="I1486" s="2">
        <v>49349994.590000004</v>
      </c>
      <c r="J1486" s="2">
        <v>0</v>
      </c>
      <c r="K1486" s="2">
        <v>0</v>
      </c>
      <c r="L1486" s="2">
        <v>49349994.590000004</v>
      </c>
      <c r="M1486" s="3">
        <v>2.2957000000000001</v>
      </c>
      <c r="N1486" s="4">
        <v>0.11227655</v>
      </c>
      <c r="O1486" s="5" t="s">
        <v>44</v>
      </c>
      <c r="P1486" s="5" t="s">
        <v>44</v>
      </c>
      <c r="Q1486" s="1"/>
      <c r="R1486" s="2"/>
      <c r="S1486" s="6"/>
      <c r="T1486" t="s">
        <v>10902</v>
      </c>
      <c r="U1486" t="s">
        <v>11003</v>
      </c>
      <c r="V1486" t="s">
        <v>12879</v>
      </c>
      <c r="W1486" t="s">
        <v>43</v>
      </c>
      <c r="X1486" t="s">
        <v>44</v>
      </c>
      <c r="Y1486" t="s">
        <v>44</v>
      </c>
      <c r="Z1486" t="s">
        <v>44</v>
      </c>
      <c r="AA1486" t="s">
        <v>44</v>
      </c>
      <c r="AB1486" t="s">
        <v>44</v>
      </c>
      <c r="AC1486" s="4"/>
      <c r="AD1486" s="4"/>
      <c r="AE1486" s="2">
        <v>0</v>
      </c>
      <c r="AF1486" s="4">
        <v>0</v>
      </c>
      <c r="AG1486" s="2">
        <v>99.98</v>
      </c>
      <c r="AH1486" s="2">
        <v>49349994.590000004</v>
      </c>
      <c r="AI1486" s="2">
        <v>0.11</v>
      </c>
      <c r="AJ1486" s="5">
        <v>44673</v>
      </c>
      <c r="AK1486" t="s">
        <v>12876</v>
      </c>
      <c r="AL1486" s="2">
        <v>0</v>
      </c>
      <c r="AM1486" s="2">
        <v>0</v>
      </c>
      <c r="AN1486" s="2">
        <v>0</v>
      </c>
      <c r="AO1486" t="s">
        <v>44</v>
      </c>
      <c r="AP1486" t="s">
        <v>12880</v>
      </c>
      <c r="AQ1486" t="s">
        <v>12878</v>
      </c>
    </row>
    <row r="1487" spans="1:43" x14ac:dyDescent="0.2">
      <c r="A1487" t="s">
        <v>11079</v>
      </c>
      <c r="B1487" t="s">
        <v>10900</v>
      </c>
      <c r="C1487" t="s">
        <v>10950</v>
      </c>
      <c r="D1487" t="s">
        <v>11141</v>
      </c>
      <c r="E1487" t="s">
        <v>11142</v>
      </c>
      <c r="F1487" t="s">
        <v>11141</v>
      </c>
      <c r="G1487" s="1">
        <v>6400000</v>
      </c>
      <c r="H1487" s="2">
        <v>5160674.47</v>
      </c>
      <c r="I1487" s="2">
        <v>5260712.96</v>
      </c>
      <c r="J1487" s="2">
        <v>84647.3</v>
      </c>
      <c r="K1487" s="2">
        <v>0</v>
      </c>
      <c r="L1487" s="2">
        <v>5345360.26</v>
      </c>
      <c r="M1487" s="3">
        <v>10.805</v>
      </c>
      <c r="N1487" s="4">
        <v>1.216127E-2</v>
      </c>
      <c r="O1487" s="5">
        <v>44804</v>
      </c>
      <c r="P1487" s="5">
        <v>54116</v>
      </c>
      <c r="Q1487" s="1">
        <v>8.75</v>
      </c>
      <c r="R1487" s="2">
        <v>9.2200000000000006</v>
      </c>
      <c r="S1487" s="6">
        <v>8.7507641760000006</v>
      </c>
      <c r="T1487" t="s">
        <v>111</v>
      </c>
      <c r="U1487" t="s">
        <v>111</v>
      </c>
      <c r="V1487" t="s">
        <v>10944</v>
      </c>
      <c r="W1487" t="s">
        <v>43</v>
      </c>
      <c r="X1487" t="s">
        <v>10945</v>
      </c>
      <c r="Y1487" t="s">
        <v>44</v>
      </c>
      <c r="Z1487" t="s">
        <v>44</v>
      </c>
      <c r="AA1487" t="s">
        <v>10913</v>
      </c>
      <c r="AB1487" t="s">
        <v>44</v>
      </c>
      <c r="AC1487" s="4">
        <v>11.096870060000001</v>
      </c>
      <c r="AD1487" s="4">
        <v>10.56950999</v>
      </c>
      <c r="AE1487" s="2">
        <v>11.1</v>
      </c>
      <c r="AF1487" s="4">
        <v>10.56950999</v>
      </c>
      <c r="AG1487" s="2">
        <v>3.21</v>
      </c>
      <c r="AH1487" s="2">
        <v>5345360.26</v>
      </c>
      <c r="AI1487" s="2">
        <v>0.01</v>
      </c>
      <c r="AJ1487" s="5">
        <v>44673</v>
      </c>
      <c r="AK1487" t="s">
        <v>11080</v>
      </c>
      <c r="AL1487" s="2">
        <v>10.8</v>
      </c>
      <c r="AM1487" s="2">
        <v>8.75</v>
      </c>
      <c r="AN1487" s="2">
        <v>8.75</v>
      </c>
      <c r="AO1487" t="s">
        <v>10922</v>
      </c>
      <c r="AP1487" t="s">
        <v>11143</v>
      </c>
      <c r="AQ1487" t="s">
        <v>11142</v>
      </c>
    </row>
    <row r="1488" spans="1:43" x14ac:dyDescent="0.2">
      <c r="A1488" t="s">
        <v>11079</v>
      </c>
      <c r="B1488" t="s">
        <v>10900</v>
      </c>
      <c r="C1488" t="s">
        <v>10950</v>
      </c>
      <c r="D1488" t="s">
        <v>10983</v>
      </c>
      <c r="E1488" t="s">
        <v>10984</v>
      </c>
      <c r="F1488" t="s">
        <v>10983</v>
      </c>
      <c r="G1488" s="1">
        <v>5600000</v>
      </c>
      <c r="H1488" s="2">
        <v>4766961.03</v>
      </c>
      <c r="I1488" s="2">
        <v>4682342</v>
      </c>
      <c r="J1488" s="2">
        <v>105260.32</v>
      </c>
      <c r="K1488" s="2">
        <v>0</v>
      </c>
      <c r="L1488" s="2">
        <v>4787602.32</v>
      </c>
      <c r="M1488" s="3">
        <v>10.734999999999999</v>
      </c>
      <c r="N1488" s="4">
        <v>1.0892310000000001E-2</v>
      </c>
      <c r="O1488" s="5">
        <v>44774</v>
      </c>
      <c r="P1488" s="5">
        <v>50071</v>
      </c>
      <c r="Q1488" s="1">
        <v>8.5</v>
      </c>
      <c r="R1488" s="2">
        <v>7.91</v>
      </c>
      <c r="S1488" s="6">
        <v>7.5106016819999999</v>
      </c>
      <c r="T1488" t="s">
        <v>111</v>
      </c>
      <c r="U1488" t="s">
        <v>111</v>
      </c>
      <c r="V1488" t="s">
        <v>10944</v>
      </c>
      <c r="W1488" t="s">
        <v>43</v>
      </c>
      <c r="X1488" t="s">
        <v>10945</v>
      </c>
      <c r="Y1488" t="s">
        <v>44</v>
      </c>
      <c r="Z1488" t="s">
        <v>44</v>
      </c>
      <c r="AA1488" t="s">
        <v>10913</v>
      </c>
      <c r="AB1488" t="s">
        <v>44</v>
      </c>
      <c r="AC1488" s="4">
        <v>11.02310056</v>
      </c>
      <c r="AD1488" s="4">
        <v>10.50250368</v>
      </c>
      <c r="AE1488" s="2">
        <v>11.02</v>
      </c>
      <c r="AF1488" s="4">
        <v>10.50250368</v>
      </c>
      <c r="AG1488" s="2">
        <v>2.88</v>
      </c>
      <c r="AH1488" s="2">
        <v>4787602.32</v>
      </c>
      <c r="AI1488" s="2">
        <v>0.01</v>
      </c>
      <c r="AJ1488" s="5">
        <v>44673</v>
      </c>
      <c r="AK1488" t="s">
        <v>11080</v>
      </c>
      <c r="AL1488" s="2">
        <v>10.73</v>
      </c>
      <c r="AM1488" s="2">
        <v>8.5</v>
      </c>
      <c r="AN1488" s="2">
        <v>7.51</v>
      </c>
      <c r="AO1488" t="s">
        <v>10922</v>
      </c>
      <c r="AP1488" t="s">
        <v>10985</v>
      </c>
      <c r="AQ1488" t="s">
        <v>10984</v>
      </c>
    </row>
    <row r="1489" spans="1:43" x14ac:dyDescent="0.2">
      <c r="A1489" t="s">
        <v>11079</v>
      </c>
      <c r="B1489" t="s">
        <v>10900</v>
      </c>
      <c r="C1489" t="s">
        <v>10950</v>
      </c>
      <c r="D1489" t="s">
        <v>10986</v>
      </c>
      <c r="E1489" t="s">
        <v>10987</v>
      </c>
      <c r="F1489" t="s">
        <v>10986</v>
      </c>
      <c r="G1489" s="1">
        <v>2570000</v>
      </c>
      <c r="H1489" s="2">
        <v>2350905.37</v>
      </c>
      <c r="I1489" s="2">
        <v>2324375.08</v>
      </c>
      <c r="J1489" s="2">
        <v>10596.85</v>
      </c>
      <c r="K1489" s="2">
        <v>0</v>
      </c>
      <c r="L1489" s="2">
        <v>2334971.9300000002</v>
      </c>
      <c r="M1489" s="3">
        <v>12.05</v>
      </c>
      <c r="N1489" s="4">
        <v>5.3123099999999998E-3</v>
      </c>
      <c r="O1489" s="5">
        <v>44844</v>
      </c>
      <c r="P1489" s="5">
        <v>51418</v>
      </c>
      <c r="Q1489" s="1">
        <v>10.75</v>
      </c>
      <c r="R1489" s="2">
        <v>7.89</v>
      </c>
      <c r="S1489" s="6">
        <v>7.4432483840000003</v>
      </c>
      <c r="T1489" t="s">
        <v>111</v>
      </c>
      <c r="U1489" t="s">
        <v>111</v>
      </c>
      <c r="V1489" t="s">
        <v>10944</v>
      </c>
      <c r="W1489" t="s">
        <v>43</v>
      </c>
      <c r="X1489" t="s">
        <v>10988</v>
      </c>
      <c r="Y1489" t="s">
        <v>44</v>
      </c>
      <c r="Z1489" t="s">
        <v>44</v>
      </c>
      <c r="AA1489" t="s">
        <v>10979</v>
      </c>
      <c r="AB1489" t="s">
        <v>44</v>
      </c>
      <c r="AC1489" s="4">
        <v>12.41300625</v>
      </c>
      <c r="AD1489" s="4">
        <v>11.758178470000001</v>
      </c>
      <c r="AE1489" s="2">
        <v>12.41</v>
      </c>
      <c r="AF1489" s="4">
        <v>11.758178470000001</v>
      </c>
      <c r="AG1489" s="2">
        <v>1.4</v>
      </c>
      <c r="AH1489" s="2">
        <v>2334971.9300000002</v>
      </c>
      <c r="AI1489" s="2">
        <v>0.01</v>
      </c>
      <c r="AJ1489" s="5">
        <v>44673</v>
      </c>
      <c r="AK1489" t="s">
        <v>11080</v>
      </c>
      <c r="AL1489" s="2">
        <v>12.05</v>
      </c>
      <c r="AM1489" s="2">
        <v>10.75</v>
      </c>
      <c r="AN1489" s="2">
        <v>7.44</v>
      </c>
      <c r="AO1489" t="s">
        <v>10982</v>
      </c>
      <c r="AP1489" t="s">
        <v>10989</v>
      </c>
      <c r="AQ1489" t="s">
        <v>10987</v>
      </c>
    </row>
    <row r="1490" spans="1:43" x14ac:dyDescent="0.2">
      <c r="A1490" t="s">
        <v>11079</v>
      </c>
      <c r="B1490" t="s">
        <v>10900</v>
      </c>
      <c r="C1490" t="s">
        <v>10990</v>
      </c>
      <c r="D1490" t="s">
        <v>11065</v>
      </c>
      <c r="E1490" t="s">
        <v>11066</v>
      </c>
      <c r="F1490" t="s">
        <v>11065</v>
      </c>
      <c r="G1490" s="1">
        <v>9860000</v>
      </c>
      <c r="H1490" s="2">
        <v>14756472.550000001</v>
      </c>
      <c r="I1490" s="2">
        <v>14336162.34</v>
      </c>
      <c r="J1490" s="2">
        <v>70985.09</v>
      </c>
      <c r="K1490" s="2">
        <v>0</v>
      </c>
      <c r="L1490" s="2">
        <v>14407147.43</v>
      </c>
      <c r="M1490" s="3">
        <v>5.66</v>
      </c>
      <c r="N1490" s="4">
        <v>3.2777809999999998E-2</v>
      </c>
      <c r="O1490" s="5">
        <v>44774</v>
      </c>
      <c r="P1490" s="5">
        <v>45688</v>
      </c>
      <c r="Q1490" s="1">
        <v>2</v>
      </c>
      <c r="R1490" s="2">
        <v>2.69</v>
      </c>
      <c r="S1490" s="6">
        <v>2.6158274349999999</v>
      </c>
      <c r="T1490" t="s">
        <v>111</v>
      </c>
      <c r="U1490" t="s">
        <v>111</v>
      </c>
      <c r="V1490" t="s">
        <v>10992</v>
      </c>
      <c r="W1490" t="s">
        <v>43</v>
      </c>
      <c r="X1490" t="s">
        <v>10945</v>
      </c>
      <c r="Y1490" t="s">
        <v>44</v>
      </c>
      <c r="Z1490" t="s">
        <v>44</v>
      </c>
      <c r="AA1490" t="s">
        <v>11067</v>
      </c>
      <c r="AB1490" t="s">
        <v>44</v>
      </c>
      <c r="AC1490" s="4">
        <v>5.7400890000000002</v>
      </c>
      <c r="AD1490" s="4">
        <v>5.5943907700000004</v>
      </c>
      <c r="AE1490" s="2">
        <v>5.74</v>
      </c>
      <c r="AF1490" s="4">
        <v>5.5943907700000004</v>
      </c>
      <c r="AG1490" s="2">
        <v>8.66</v>
      </c>
      <c r="AH1490" s="2">
        <v>14407147.43</v>
      </c>
      <c r="AI1490" s="2">
        <v>0.03</v>
      </c>
      <c r="AJ1490" s="5">
        <v>44673</v>
      </c>
      <c r="AK1490" t="s">
        <v>11080</v>
      </c>
      <c r="AL1490" s="2">
        <v>5.66</v>
      </c>
      <c r="AM1490" s="2">
        <v>2</v>
      </c>
      <c r="AN1490" s="2">
        <v>2.62</v>
      </c>
      <c r="AO1490" t="s">
        <v>11068</v>
      </c>
      <c r="AP1490" t="s">
        <v>11069</v>
      </c>
      <c r="AQ1490" t="s">
        <v>11066</v>
      </c>
    </row>
    <row r="1491" spans="1:43" x14ac:dyDescent="0.2">
      <c r="A1491" t="s">
        <v>11079</v>
      </c>
      <c r="B1491" t="s">
        <v>45</v>
      </c>
      <c r="C1491" t="s">
        <v>11000</v>
      </c>
      <c r="D1491" t="s">
        <v>11081</v>
      </c>
      <c r="E1491" t="s">
        <v>11082</v>
      </c>
      <c r="F1491" t="s">
        <v>11081</v>
      </c>
      <c r="G1491" s="1">
        <v>1001.81</v>
      </c>
      <c r="H1491" s="2">
        <v>21224.79</v>
      </c>
      <c r="I1491" s="2">
        <v>20076.349999999999</v>
      </c>
      <c r="J1491" s="2">
        <v>0</v>
      </c>
      <c r="K1491" s="2">
        <v>0</v>
      </c>
      <c r="L1491" s="2">
        <v>20076.349999999999</v>
      </c>
      <c r="M1491" s="3">
        <v>0</v>
      </c>
      <c r="N1491" s="4">
        <v>4.5680000000000003E-5</v>
      </c>
      <c r="O1491" s="5" t="s">
        <v>44</v>
      </c>
      <c r="P1491" s="5">
        <v>47818</v>
      </c>
      <c r="Q1491" s="1">
        <v>0</v>
      </c>
      <c r="R1491" s="2">
        <v>0.08</v>
      </c>
      <c r="S1491" s="6"/>
      <c r="T1491" t="s">
        <v>112</v>
      </c>
      <c r="U1491" t="s">
        <v>46</v>
      </c>
      <c r="V1491" t="s">
        <v>46</v>
      </c>
      <c r="W1491" t="s">
        <v>481</v>
      </c>
      <c r="X1491" t="s">
        <v>44</v>
      </c>
      <c r="Y1491" t="s">
        <v>44</v>
      </c>
      <c r="Z1491" t="s">
        <v>44</v>
      </c>
      <c r="AA1491" t="s">
        <v>10913</v>
      </c>
      <c r="AB1491" t="s">
        <v>44</v>
      </c>
      <c r="AC1491" s="4"/>
      <c r="AD1491" s="4"/>
      <c r="AE1491" s="2">
        <v>0</v>
      </c>
      <c r="AF1491" s="4">
        <v>0</v>
      </c>
      <c r="AG1491" s="2">
        <v>0.01</v>
      </c>
      <c r="AH1491" s="2">
        <v>20076.349999999999</v>
      </c>
      <c r="AI1491" s="2">
        <v>0</v>
      </c>
      <c r="AJ1491" s="5">
        <v>44673</v>
      </c>
      <c r="AK1491" t="s">
        <v>11080</v>
      </c>
      <c r="AL1491" s="2">
        <v>0</v>
      </c>
      <c r="AM1491" s="2">
        <v>0</v>
      </c>
      <c r="AN1491" s="2">
        <v>0</v>
      </c>
      <c r="AO1491" t="s">
        <v>11074</v>
      </c>
      <c r="AP1491" t="s">
        <v>44</v>
      </c>
      <c r="AQ1491" t="s">
        <v>11082</v>
      </c>
    </row>
    <row r="1492" spans="1:43" x14ac:dyDescent="0.2">
      <c r="A1492" t="s">
        <v>11079</v>
      </c>
      <c r="B1492" t="s">
        <v>45</v>
      </c>
      <c r="C1492" t="s">
        <v>11000</v>
      </c>
      <c r="D1492" t="s">
        <v>11081</v>
      </c>
      <c r="E1492" t="s">
        <v>11082</v>
      </c>
      <c r="F1492" t="s">
        <v>11081</v>
      </c>
      <c r="G1492" s="1">
        <v>-3905.46</v>
      </c>
      <c r="H1492" s="2">
        <v>-80359.259999999995</v>
      </c>
      <c r="I1492" s="2">
        <v>-78265.73</v>
      </c>
      <c r="J1492" s="2">
        <v>0</v>
      </c>
      <c r="K1492" s="2">
        <v>0</v>
      </c>
      <c r="L1492" s="2">
        <v>-78265.73</v>
      </c>
      <c r="M1492" s="3">
        <v>0</v>
      </c>
      <c r="N1492" s="4">
        <v>-1.7806000000000001E-4</v>
      </c>
      <c r="O1492" s="5" t="s">
        <v>44</v>
      </c>
      <c r="P1492" s="5">
        <v>47818</v>
      </c>
      <c r="Q1492" s="1">
        <v>0</v>
      </c>
      <c r="R1492" s="2">
        <v>0.08</v>
      </c>
      <c r="S1492" s="6"/>
      <c r="T1492" t="s">
        <v>112</v>
      </c>
      <c r="U1492" t="s">
        <v>46</v>
      </c>
      <c r="V1492" t="s">
        <v>46</v>
      </c>
      <c r="W1492" t="s">
        <v>481</v>
      </c>
      <c r="X1492" t="s">
        <v>44</v>
      </c>
      <c r="Y1492" t="s">
        <v>44</v>
      </c>
      <c r="Z1492" t="s">
        <v>44</v>
      </c>
      <c r="AA1492" t="s">
        <v>10913</v>
      </c>
      <c r="AB1492" t="s">
        <v>44</v>
      </c>
      <c r="AC1492" s="4"/>
      <c r="AD1492" s="4"/>
      <c r="AE1492" s="2">
        <v>0</v>
      </c>
      <c r="AF1492" s="4">
        <v>0</v>
      </c>
      <c r="AG1492" s="2">
        <v>-0.05</v>
      </c>
      <c r="AH1492" s="2">
        <v>-78265.73</v>
      </c>
      <c r="AI1492" s="2">
        <v>0</v>
      </c>
      <c r="AJ1492" s="5">
        <v>44673</v>
      </c>
      <c r="AK1492" t="s">
        <v>11080</v>
      </c>
      <c r="AL1492" s="2">
        <v>0</v>
      </c>
      <c r="AM1492" s="2">
        <v>0</v>
      </c>
      <c r="AN1492" s="2">
        <v>0</v>
      </c>
      <c r="AO1492" t="s">
        <v>11074</v>
      </c>
      <c r="AP1492" t="s">
        <v>44</v>
      </c>
      <c r="AQ1492" t="s">
        <v>11082</v>
      </c>
    </row>
    <row r="1493" spans="1:43" x14ac:dyDescent="0.2">
      <c r="A1493" t="s">
        <v>11079</v>
      </c>
      <c r="B1493" t="s">
        <v>45</v>
      </c>
      <c r="C1493" t="s">
        <v>11000</v>
      </c>
      <c r="D1493" t="s">
        <v>11075</v>
      </c>
      <c r="E1493" t="s">
        <v>11076</v>
      </c>
      <c r="F1493" t="s">
        <v>11075</v>
      </c>
      <c r="G1493" s="1">
        <v>195073.37</v>
      </c>
      <c r="H1493" s="2">
        <v>2872258.02</v>
      </c>
      <c r="I1493" s="2">
        <v>3045879.77</v>
      </c>
      <c r="J1493" s="2">
        <v>0</v>
      </c>
      <c r="K1493" s="2">
        <v>0</v>
      </c>
      <c r="L1493" s="2">
        <v>3045879.77</v>
      </c>
      <c r="M1493" s="3">
        <v>0</v>
      </c>
      <c r="N1493" s="4">
        <v>6.9296999999999996E-3</v>
      </c>
      <c r="O1493" s="5" t="s">
        <v>44</v>
      </c>
      <c r="P1493" s="5">
        <v>47848</v>
      </c>
      <c r="Q1493" s="1">
        <v>0</v>
      </c>
      <c r="R1493" s="2">
        <v>0.08</v>
      </c>
      <c r="S1493" s="6"/>
      <c r="T1493" t="s">
        <v>112</v>
      </c>
      <c r="U1493" t="s">
        <v>46</v>
      </c>
      <c r="V1493" t="s">
        <v>46</v>
      </c>
      <c r="W1493" t="s">
        <v>113</v>
      </c>
      <c r="X1493" t="s">
        <v>44</v>
      </c>
      <c r="Y1493" t="s">
        <v>44</v>
      </c>
      <c r="Z1493" t="s">
        <v>44</v>
      </c>
      <c r="AA1493" t="s">
        <v>10913</v>
      </c>
      <c r="AB1493" t="s">
        <v>44</v>
      </c>
      <c r="AC1493" s="4"/>
      <c r="AD1493" s="4"/>
      <c r="AE1493" s="2">
        <v>0</v>
      </c>
      <c r="AF1493" s="4">
        <v>0</v>
      </c>
      <c r="AG1493" s="2">
        <v>1.83</v>
      </c>
      <c r="AH1493" s="2">
        <v>3045879.77</v>
      </c>
      <c r="AI1493" s="2">
        <v>0.01</v>
      </c>
      <c r="AJ1493" s="5">
        <v>44673</v>
      </c>
      <c r="AK1493" t="s">
        <v>11080</v>
      </c>
      <c r="AL1493" s="2">
        <v>0</v>
      </c>
      <c r="AM1493" s="2">
        <v>0</v>
      </c>
      <c r="AN1493" s="2">
        <v>0</v>
      </c>
      <c r="AO1493" t="s">
        <v>11074</v>
      </c>
      <c r="AP1493" t="s">
        <v>44</v>
      </c>
      <c r="AQ1493" t="s">
        <v>11076</v>
      </c>
    </row>
    <row r="1494" spans="1:43" x14ac:dyDescent="0.2">
      <c r="A1494" t="s">
        <v>11079</v>
      </c>
      <c r="B1494" t="s">
        <v>45</v>
      </c>
      <c r="C1494" t="s">
        <v>11000</v>
      </c>
      <c r="D1494" t="s">
        <v>11001</v>
      </c>
      <c r="E1494" t="s">
        <v>11002</v>
      </c>
      <c r="F1494" t="s">
        <v>11001</v>
      </c>
      <c r="G1494" s="1">
        <v>3906153.16</v>
      </c>
      <c r="H1494" s="2">
        <v>3906153.16</v>
      </c>
      <c r="I1494" s="2">
        <v>3906153.16</v>
      </c>
      <c r="J1494" s="2">
        <v>11664.82</v>
      </c>
      <c r="K1494" s="2">
        <v>0</v>
      </c>
      <c r="L1494" s="2">
        <v>3917817.98</v>
      </c>
      <c r="M1494" s="3"/>
      <c r="N1494" s="4">
        <v>8.9134599999999998E-3</v>
      </c>
      <c r="O1494" s="5">
        <v>40756</v>
      </c>
      <c r="P1494" s="5">
        <v>73020</v>
      </c>
      <c r="Q1494" s="1">
        <v>0</v>
      </c>
      <c r="R1494" s="2"/>
      <c r="S1494" s="6"/>
      <c r="T1494" t="s">
        <v>111</v>
      </c>
      <c r="U1494" t="s">
        <v>11003</v>
      </c>
      <c r="V1494" t="s">
        <v>46</v>
      </c>
      <c r="W1494" t="s">
        <v>43</v>
      </c>
      <c r="X1494" t="s">
        <v>44</v>
      </c>
      <c r="Y1494" t="s">
        <v>44</v>
      </c>
      <c r="Z1494" t="s">
        <v>44</v>
      </c>
      <c r="AA1494" t="s">
        <v>44</v>
      </c>
      <c r="AB1494" t="s">
        <v>44</v>
      </c>
      <c r="AC1494" s="4"/>
      <c r="AD1494" s="4"/>
      <c r="AE1494" s="2">
        <v>0</v>
      </c>
      <c r="AF1494" s="4">
        <v>0</v>
      </c>
      <c r="AG1494" s="2">
        <v>2.36</v>
      </c>
      <c r="AH1494" s="2">
        <v>3917817.98</v>
      </c>
      <c r="AI1494" s="2">
        <v>0.01</v>
      </c>
      <c r="AJ1494" s="5">
        <v>44673</v>
      </c>
      <c r="AK1494" t="s">
        <v>11080</v>
      </c>
      <c r="AL1494" s="2">
        <v>0</v>
      </c>
      <c r="AM1494" s="2">
        <v>0</v>
      </c>
      <c r="AN1494" s="2">
        <v>0</v>
      </c>
      <c r="AO1494" t="s">
        <v>44</v>
      </c>
      <c r="AP1494" t="s">
        <v>11004</v>
      </c>
      <c r="AQ1494" t="s">
        <v>11002</v>
      </c>
    </row>
    <row r="1495" spans="1:43" x14ac:dyDescent="0.2">
      <c r="A1495" t="s">
        <v>11079</v>
      </c>
      <c r="B1495" t="s">
        <v>45</v>
      </c>
      <c r="C1495" t="s">
        <v>11144</v>
      </c>
      <c r="D1495" t="s">
        <v>11145</v>
      </c>
      <c r="E1495" t="s">
        <v>11146</v>
      </c>
      <c r="F1495" t="s">
        <v>11147</v>
      </c>
      <c r="G1495" s="1">
        <v>127902</v>
      </c>
      <c r="H1495" s="2">
        <v>127902</v>
      </c>
      <c r="I1495" s="2">
        <v>127902</v>
      </c>
      <c r="J1495" s="2">
        <v>339.49</v>
      </c>
      <c r="K1495" s="2">
        <v>0</v>
      </c>
      <c r="L1495" s="2">
        <v>128241.49</v>
      </c>
      <c r="M1495" s="3">
        <v>6.88</v>
      </c>
      <c r="N1495" s="4">
        <v>2.9176000000000001E-4</v>
      </c>
      <c r="O1495" s="5" t="s">
        <v>44</v>
      </c>
      <c r="P1495" s="5">
        <v>55153</v>
      </c>
      <c r="Q1495" s="1">
        <v>6.88</v>
      </c>
      <c r="R1495" s="2">
        <v>0.08</v>
      </c>
      <c r="S1495" s="6">
        <v>2.6006750000000002E-3</v>
      </c>
      <c r="T1495" t="s">
        <v>112</v>
      </c>
      <c r="U1495" t="s">
        <v>46</v>
      </c>
      <c r="V1495" t="s">
        <v>11148</v>
      </c>
      <c r="W1495" t="s">
        <v>43</v>
      </c>
      <c r="X1495" t="s">
        <v>44</v>
      </c>
      <c r="Y1495" t="s">
        <v>44</v>
      </c>
      <c r="Z1495" t="s">
        <v>44</v>
      </c>
      <c r="AA1495" t="s">
        <v>44</v>
      </c>
      <c r="AB1495" t="s">
        <v>44</v>
      </c>
      <c r="AC1495" s="4"/>
      <c r="AD1495" s="4"/>
      <c r="AE1495" s="2">
        <v>0</v>
      </c>
      <c r="AF1495" s="4">
        <v>0</v>
      </c>
      <c r="AG1495" s="2">
        <v>0.08</v>
      </c>
      <c r="AH1495" s="2">
        <v>128241.49</v>
      </c>
      <c r="AI1495" s="2">
        <v>0</v>
      </c>
      <c r="AJ1495" s="5">
        <v>44673</v>
      </c>
      <c r="AK1495" t="s">
        <v>11080</v>
      </c>
      <c r="AL1495" s="2">
        <v>0</v>
      </c>
      <c r="AM1495" s="2">
        <v>6.88</v>
      </c>
      <c r="AN1495" s="2">
        <v>0</v>
      </c>
      <c r="AO1495" t="s">
        <v>11146</v>
      </c>
      <c r="AP1495" t="s">
        <v>44</v>
      </c>
      <c r="AQ1495" t="s">
        <v>11146</v>
      </c>
    </row>
    <row r="1496" spans="1:43" x14ac:dyDescent="0.2">
      <c r="A1496" t="s">
        <v>11079</v>
      </c>
      <c r="B1496" t="s">
        <v>45</v>
      </c>
      <c r="C1496" t="s">
        <v>47</v>
      </c>
      <c r="D1496" t="s">
        <v>11077</v>
      </c>
      <c r="E1496" t="s">
        <v>11078</v>
      </c>
      <c r="F1496" t="s">
        <v>11077</v>
      </c>
      <c r="G1496" s="1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3"/>
      <c r="N1496" s="4">
        <v>0</v>
      </c>
      <c r="O1496" s="5" t="s">
        <v>44</v>
      </c>
      <c r="P1496" s="5" t="s">
        <v>44</v>
      </c>
      <c r="Q1496" s="1"/>
      <c r="R1496" s="2">
        <v>0.08</v>
      </c>
      <c r="S1496" s="6"/>
      <c r="T1496" t="s">
        <v>45</v>
      </c>
      <c r="U1496" t="s">
        <v>53</v>
      </c>
      <c r="V1496" t="s">
        <v>44</v>
      </c>
      <c r="W1496" t="s">
        <v>481</v>
      </c>
      <c r="X1496" t="s">
        <v>44</v>
      </c>
      <c r="Y1496" t="s">
        <v>44</v>
      </c>
      <c r="Z1496" t="s">
        <v>44</v>
      </c>
      <c r="AA1496" t="s">
        <v>44</v>
      </c>
      <c r="AB1496" t="s">
        <v>44</v>
      </c>
      <c r="AC1496" s="4"/>
      <c r="AD1496" s="4"/>
      <c r="AE1496" s="2">
        <v>0</v>
      </c>
      <c r="AF1496" s="4">
        <v>0</v>
      </c>
      <c r="AG1496" s="2">
        <v>0</v>
      </c>
      <c r="AH1496" s="2">
        <v>0</v>
      </c>
      <c r="AI1496" s="2">
        <v>0</v>
      </c>
      <c r="AJ1496" s="5">
        <v>44673</v>
      </c>
      <c r="AK1496" t="s">
        <v>11080</v>
      </c>
      <c r="AL1496" s="2">
        <v>0</v>
      </c>
      <c r="AM1496" s="2">
        <v>0</v>
      </c>
      <c r="AN1496" s="2">
        <v>0</v>
      </c>
      <c r="AO1496" t="s">
        <v>44</v>
      </c>
      <c r="AP1496" t="s">
        <v>44</v>
      </c>
      <c r="AQ1496" t="s">
        <v>481</v>
      </c>
    </row>
    <row r="1497" spans="1:43" x14ac:dyDescent="0.2">
      <c r="A1497" t="s">
        <v>11079</v>
      </c>
      <c r="B1497" t="s">
        <v>45</v>
      </c>
      <c r="C1497" t="s">
        <v>47</v>
      </c>
      <c r="D1497" t="s">
        <v>48</v>
      </c>
      <c r="E1497" t="s">
        <v>49</v>
      </c>
      <c r="F1497" t="s">
        <v>50</v>
      </c>
      <c r="G1497" s="1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2002.69</v>
      </c>
      <c r="M1497" s="3"/>
      <c r="N1497" s="4">
        <v>4.5600000000000004E-6</v>
      </c>
      <c r="O1497" s="5" t="s">
        <v>44</v>
      </c>
      <c r="P1497" s="5" t="s">
        <v>44</v>
      </c>
      <c r="Q1497" s="1"/>
      <c r="R1497" s="2">
        <v>0.08</v>
      </c>
      <c r="S1497" s="6"/>
      <c r="T1497" t="s">
        <v>45</v>
      </c>
      <c r="U1497" t="s">
        <v>46</v>
      </c>
      <c r="V1497" t="s">
        <v>44</v>
      </c>
      <c r="W1497" t="s">
        <v>43</v>
      </c>
      <c r="X1497" t="s">
        <v>44</v>
      </c>
      <c r="Y1497" t="s">
        <v>44</v>
      </c>
      <c r="Z1497" t="s">
        <v>44</v>
      </c>
      <c r="AA1497" t="s">
        <v>44</v>
      </c>
      <c r="AB1497" t="s">
        <v>44</v>
      </c>
      <c r="AC1497" s="4">
        <v>5.1163389600000002</v>
      </c>
      <c r="AD1497" s="4">
        <v>5.0001424999999999</v>
      </c>
      <c r="AE1497" s="2">
        <v>5.12</v>
      </c>
      <c r="AF1497" s="4">
        <v>5.0001424999999999</v>
      </c>
      <c r="AG1497" s="2">
        <v>0</v>
      </c>
      <c r="AH1497" s="2">
        <v>2002.69</v>
      </c>
      <c r="AI1497" s="2">
        <v>0</v>
      </c>
      <c r="AJ1497" s="5">
        <v>44673</v>
      </c>
      <c r="AK1497" t="s">
        <v>11080</v>
      </c>
      <c r="AL1497" s="2">
        <v>5.05</v>
      </c>
      <c r="AM1497" s="2">
        <v>0</v>
      </c>
      <c r="AN1497" s="2">
        <v>0</v>
      </c>
      <c r="AO1497" t="s">
        <v>44</v>
      </c>
      <c r="AP1497" t="s">
        <v>44</v>
      </c>
      <c r="AQ1497" t="s">
        <v>44</v>
      </c>
    </row>
    <row r="1498" spans="1:43" x14ac:dyDescent="0.2">
      <c r="A1498" t="s">
        <v>11079</v>
      </c>
      <c r="B1498" t="s">
        <v>45</v>
      </c>
      <c r="C1498" t="s">
        <v>47</v>
      </c>
      <c r="D1498" t="s">
        <v>51</v>
      </c>
      <c r="E1498" t="s">
        <v>52</v>
      </c>
      <c r="F1498" t="s">
        <v>51</v>
      </c>
      <c r="G1498" s="1">
        <v>250944.6</v>
      </c>
      <c r="H1498" s="2">
        <v>250944.6</v>
      </c>
      <c r="I1498" s="2">
        <v>250944.6</v>
      </c>
      <c r="J1498" s="2">
        <v>0</v>
      </c>
      <c r="K1498" s="2">
        <v>0</v>
      </c>
      <c r="L1498" s="2">
        <v>250944.6</v>
      </c>
      <c r="M1498" s="3"/>
      <c r="N1498" s="4">
        <v>5.7092999999999998E-4</v>
      </c>
      <c r="O1498" s="5" t="s">
        <v>44</v>
      </c>
      <c r="P1498" s="5" t="s">
        <v>44</v>
      </c>
      <c r="Q1498" s="1"/>
      <c r="R1498" s="2">
        <v>0.08</v>
      </c>
      <c r="S1498" s="6"/>
      <c r="T1498" t="s">
        <v>45</v>
      </c>
      <c r="U1498" t="s">
        <v>53</v>
      </c>
      <c r="V1498" t="s">
        <v>44</v>
      </c>
      <c r="W1498" t="s">
        <v>43</v>
      </c>
      <c r="X1498" t="s">
        <v>44</v>
      </c>
      <c r="Y1498" t="s">
        <v>44</v>
      </c>
      <c r="Z1498" t="s">
        <v>44</v>
      </c>
      <c r="AA1498" t="s">
        <v>44</v>
      </c>
      <c r="AB1498" t="s">
        <v>44</v>
      </c>
      <c r="AC1498" s="4">
        <v>5.1163389600000002</v>
      </c>
      <c r="AD1498" s="4">
        <v>5.0001424999999999</v>
      </c>
      <c r="AE1498" s="2">
        <v>5.12</v>
      </c>
      <c r="AF1498" s="4">
        <v>5.0001424999999999</v>
      </c>
      <c r="AG1498" s="2">
        <v>0.15</v>
      </c>
      <c r="AH1498" s="2">
        <v>250944.6</v>
      </c>
      <c r="AI1498" s="2">
        <v>0</v>
      </c>
      <c r="AJ1498" s="5">
        <v>44673</v>
      </c>
      <c r="AK1498" t="s">
        <v>11080</v>
      </c>
      <c r="AL1498" s="2">
        <v>5.05</v>
      </c>
      <c r="AM1498" s="2">
        <v>0</v>
      </c>
      <c r="AN1498" s="2">
        <v>0</v>
      </c>
      <c r="AO1498" t="s">
        <v>44</v>
      </c>
      <c r="AP1498" t="s">
        <v>44</v>
      </c>
      <c r="AQ1498" t="s">
        <v>43</v>
      </c>
    </row>
    <row r="1499" spans="1:43" x14ac:dyDescent="0.2">
      <c r="A1499" t="s">
        <v>11079</v>
      </c>
      <c r="B1499" t="s">
        <v>45</v>
      </c>
      <c r="C1499" t="s">
        <v>47</v>
      </c>
      <c r="D1499" t="s">
        <v>11045</v>
      </c>
      <c r="E1499" t="s">
        <v>11046</v>
      </c>
      <c r="F1499" t="s">
        <v>11045</v>
      </c>
      <c r="G1499" s="1">
        <v>283777.15999999997</v>
      </c>
      <c r="H1499" s="2">
        <v>4144891.14</v>
      </c>
      <c r="I1499" s="2">
        <v>4430902.6500000004</v>
      </c>
      <c r="J1499" s="2">
        <v>0</v>
      </c>
      <c r="K1499" s="2">
        <v>0</v>
      </c>
      <c r="L1499" s="2">
        <v>4430902.6500000004</v>
      </c>
      <c r="M1499" s="3">
        <v>1</v>
      </c>
      <c r="N1499" s="4">
        <v>1.0080779999999999E-2</v>
      </c>
      <c r="O1499" s="5" t="s">
        <v>44</v>
      </c>
      <c r="P1499" s="5" t="s">
        <v>44</v>
      </c>
      <c r="Q1499" s="1"/>
      <c r="R1499" s="2">
        <v>0.08</v>
      </c>
      <c r="S1499" s="6"/>
      <c r="T1499" t="s">
        <v>45</v>
      </c>
      <c r="U1499" t="s">
        <v>53</v>
      </c>
      <c r="V1499" t="s">
        <v>44</v>
      </c>
      <c r="W1499" t="s">
        <v>113</v>
      </c>
      <c r="X1499" t="s">
        <v>44</v>
      </c>
      <c r="Y1499" t="s">
        <v>44</v>
      </c>
      <c r="Z1499" t="s">
        <v>44</v>
      </c>
      <c r="AA1499" t="s">
        <v>44</v>
      </c>
      <c r="AB1499" t="s">
        <v>44</v>
      </c>
      <c r="AC1499" s="4"/>
      <c r="AD1499" s="4"/>
      <c r="AE1499" s="2">
        <v>0</v>
      </c>
      <c r="AF1499" s="4">
        <v>0</v>
      </c>
      <c r="AG1499" s="2">
        <v>2.66</v>
      </c>
      <c r="AH1499" s="2">
        <v>4430902.6500000004</v>
      </c>
      <c r="AI1499" s="2">
        <v>0.01</v>
      </c>
      <c r="AJ1499" s="5">
        <v>44673</v>
      </c>
      <c r="AK1499" t="s">
        <v>11080</v>
      </c>
      <c r="AL1499" s="2">
        <v>0</v>
      </c>
      <c r="AM1499" s="2">
        <v>0</v>
      </c>
      <c r="AN1499" s="2">
        <v>0</v>
      </c>
      <c r="AO1499" t="s">
        <v>44</v>
      </c>
      <c r="AP1499" t="s">
        <v>44</v>
      </c>
      <c r="AQ1499" t="s">
        <v>113</v>
      </c>
    </row>
    <row r="1500" spans="1:43" x14ac:dyDescent="0.2">
      <c r="A1500" t="s">
        <v>11079</v>
      </c>
      <c r="B1500" t="s">
        <v>45</v>
      </c>
      <c r="C1500" t="s">
        <v>11005</v>
      </c>
      <c r="D1500" t="s">
        <v>11006</v>
      </c>
      <c r="E1500" t="s">
        <v>11007</v>
      </c>
      <c r="F1500" t="s">
        <v>11006</v>
      </c>
      <c r="G1500" s="1">
        <v>-48760</v>
      </c>
      <c r="H1500" s="2">
        <v>-48760</v>
      </c>
      <c r="I1500" s="2">
        <v>-48760</v>
      </c>
      <c r="J1500" s="2">
        <v>0</v>
      </c>
      <c r="K1500" s="2"/>
      <c r="L1500" s="2">
        <v>-48760</v>
      </c>
      <c r="M1500" s="3"/>
      <c r="N1500" s="4">
        <v>-1.1093E-4</v>
      </c>
      <c r="O1500" s="5" t="s">
        <v>44</v>
      </c>
      <c r="P1500" s="5">
        <v>73051</v>
      </c>
      <c r="Q1500" s="1">
        <v>0</v>
      </c>
      <c r="R1500" s="2">
        <v>0.08</v>
      </c>
      <c r="S1500" s="6"/>
      <c r="T1500" t="s">
        <v>45</v>
      </c>
      <c r="U1500" t="s">
        <v>11008</v>
      </c>
      <c r="V1500" t="s">
        <v>44</v>
      </c>
      <c r="W1500" t="s">
        <v>43</v>
      </c>
      <c r="X1500" t="s">
        <v>44</v>
      </c>
      <c r="Y1500" t="s">
        <v>44</v>
      </c>
      <c r="Z1500" t="s">
        <v>44</v>
      </c>
      <c r="AA1500" t="s">
        <v>44</v>
      </c>
      <c r="AB1500" t="s">
        <v>44</v>
      </c>
      <c r="AC1500" s="4">
        <v>5.1163389600000002</v>
      </c>
      <c r="AD1500" s="4">
        <v>5.0001424999999999</v>
      </c>
      <c r="AE1500" s="2">
        <v>5.12</v>
      </c>
      <c r="AF1500" s="4">
        <v>5.0001424999999999</v>
      </c>
      <c r="AG1500" s="2">
        <v>-0.03</v>
      </c>
      <c r="AH1500" s="2">
        <v>-48760</v>
      </c>
      <c r="AI1500" s="2">
        <v>0</v>
      </c>
      <c r="AJ1500" s="5">
        <v>44673</v>
      </c>
      <c r="AK1500" t="s">
        <v>11080</v>
      </c>
      <c r="AL1500" s="2">
        <v>5.05</v>
      </c>
      <c r="AM1500" s="2">
        <v>0</v>
      </c>
      <c r="AN1500" s="2">
        <v>0</v>
      </c>
      <c r="AO1500" t="s">
        <v>44</v>
      </c>
      <c r="AP1500" t="s">
        <v>44</v>
      </c>
      <c r="AQ1500" t="s">
        <v>44</v>
      </c>
    </row>
    <row r="1501" spans="1:43" x14ac:dyDescent="0.2">
      <c r="A1501" t="s">
        <v>11079</v>
      </c>
      <c r="B1501" t="s">
        <v>45</v>
      </c>
      <c r="C1501" t="s">
        <v>11005</v>
      </c>
      <c r="D1501" t="s">
        <v>11009</v>
      </c>
      <c r="E1501" t="s">
        <v>11010</v>
      </c>
      <c r="F1501" t="s">
        <v>44</v>
      </c>
      <c r="G1501" s="1">
        <v>-56903.85</v>
      </c>
      <c r="H1501" s="2">
        <v>-56903.85</v>
      </c>
      <c r="I1501" s="2">
        <v>-56903.85</v>
      </c>
      <c r="J1501" s="2">
        <v>0</v>
      </c>
      <c r="K1501" s="2"/>
      <c r="L1501" s="2">
        <v>-56903.85</v>
      </c>
      <c r="M1501" s="3"/>
      <c r="N1501" s="4">
        <v>-1.2946E-4</v>
      </c>
      <c r="O1501" s="5" t="s">
        <v>44</v>
      </c>
      <c r="P1501" s="5">
        <v>73051</v>
      </c>
      <c r="Q1501" s="1">
        <v>0</v>
      </c>
      <c r="R1501" s="2">
        <v>0.08</v>
      </c>
      <c r="S1501" s="6"/>
      <c r="T1501" t="s">
        <v>45</v>
      </c>
      <c r="U1501" t="s">
        <v>44</v>
      </c>
      <c r="V1501" t="s">
        <v>44</v>
      </c>
      <c r="W1501" t="s">
        <v>43</v>
      </c>
      <c r="X1501" t="s">
        <v>44</v>
      </c>
      <c r="Y1501" t="s">
        <v>44</v>
      </c>
      <c r="Z1501" t="s">
        <v>44</v>
      </c>
      <c r="AA1501" t="s">
        <v>44</v>
      </c>
      <c r="AB1501" t="s">
        <v>44</v>
      </c>
      <c r="AC1501" s="4">
        <v>5.1163389600000002</v>
      </c>
      <c r="AD1501" s="4">
        <v>5.0001424999999999</v>
      </c>
      <c r="AE1501" s="2">
        <v>5.12</v>
      </c>
      <c r="AF1501" s="4">
        <v>5.0001424999999999</v>
      </c>
      <c r="AG1501" s="2">
        <v>-0.03</v>
      </c>
      <c r="AH1501" s="2">
        <v>-56903.85</v>
      </c>
      <c r="AI1501" s="2">
        <v>0</v>
      </c>
      <c r="AJ1501" s="5">
        <v>44673</v>
      </c>
      <c r="AK1501" t="s">
        <v>11080</v>
      </c>
      <c r="AL1501" s="2">
        <v>5.05</v>
      </c>
      <c r="AM1501" s="2">
        <v>0</v>
      </c>
      <c r="AN1501" s="2">
        <v>0</v>
      </c>
      <c r="AO1501" t="s">
        <v>44</v>
      </c>
      <c r="AP1501" t="s">
        <v>44</v>
      </c>
      <c r="AQ1501" t="s">
        <v>44</v>
      </c>
    </row>
    <row r="1502" spans="1:43" x14ac:dyDescent="0.2">
      <c r="A1502" t="s">
        <v>11079</v>
      </c>
      <c r="B1502" t="s">
        <v>45</v>
      </c>
      <c r="C1502" t="s">
        <v>11005</v>
      </c>
      <c r="D1502" t="s">
        <v>11011</v>
      </c>
      <c r="E1502" t="s">
        <v>11012</v>
      </c>
      <c r="F1502" t="s">
        <v>44</v>
      </c>
      <c r="G1502" s="1">
        <v>104729.27</v>
      </c>
      <c r="H1502" s="2">
        <v>104729.27</v>
      </c>
      <c r="I1502" s="2">
        <v>104729.27</v>
      </c>
      <c r="J1502" s="2">
        <v>0</v>
      </c>
      <c r="K1502" s="2"/>
      <c r="L1502" s="2">
        <v>104729.27</v>
      </c>
      <c r="M1502" s="3"/>
      <c r="N1502" s="4">
        <v>2.3827000000000001E-4</v>
      </c>
      <c r="O1502" s="5" t="s">
        <v>44</v>
      </c>
      <c r="P1502" s="5">
        <v>73051</v>
      </c>
      <c r="Q1502" s="1">
        <v>0</v>
      </c>
      <c r="R1502" s="2">
        <v>0.08</v>
      </c>
      <c r="S1502" s="6"/>
      <c r="T1502" t="s">
        <v>45</v>
      </c>
      <c r="U1502" t="s">
        <v>44</v>
      </c>
      <c r="V1502" t="s">
        <v>44</v>
      </c>
      <c r="W1502" t="s">
        <v>43</v>
      </c>
      <c r="X1502" t="s">
        <v>44</v>
      </c>
      <c r="Y1502" t="s">
        <v>44</v>
      </c>
      <c r="Z1502" t="s">
        <v>44</v>
      </c>
      <c r="AA1502" t="s">
        <v>44</v>
      </c>
      <c r="AB1502" t="s">
        <v>44</v>
      </c>
      <c r="AC1502" s="4">
        <v>5.1163389600000002</v>
      </c>
      <c r="AD1502" s="4">
        <v>5.0001424999999999</v>
      </c>
      <c r="AE1502" s="2">
        <v>5.12</v>
      </c>
      <c r="AF1502" s="4">
        <v>5.0001424999999999</v>
      </c>
      <c r="AG1502" s="2">
        <v>0.06</v>
      </c>
      <c r="AH1502" s="2">
        <v>104729.27</v>
      </c>
      <c r="AI1502" s="2">
        <v>0</v>
      </c>
      <c r="AJ1502" s="5">
        <v>44673</v>
      </c>
      <c r="AK1502" t="s">
        <v>11080</v>
      </c>
      <c r="AL1502" s="2">
        <v>5.05</v>
      </c>
      <c r="AM1502" s="2">
        <v>0</v>
      </c>
      <c r="AN1502" s="2">
        <v>0</v>
      </c>
      <c r="AO1502" t="s">
        <v>44</v>
      </c>
      <c r="AP1502" t="s">
        <v>44</v>
      </c>
      <c r="AQ1502" t="s">
        <v>44</v>
      </c>
    </row>
    <row r="1503" spans="1:43" x14ac:dyDescent="0.2">
      <c r="A1503" t="s">
        <v>11079</v>
      </c>
      <c r="B1503" t="s">
        <v>45</v>
      </c>
      <c r="C1503" t="s">
        <v>11005</v>
      </c>
      <c r="D1503" t="s">
        <v>11149</v>
      </c>
      <c r="E1503" t="s">
        <v>11150</v>
      </c>
      <c r="F1503" t="s">
        <v>44</v>
      </c>
      <c r="G1503" s="1">
        <v>-23920</v>
      </c>
      <c r="H1503" s="2">
        <v>-23920</v>
      </c>
      <c r="I1503" s="2">
        <v>-23920</v>
      </c>
      <c r="J1503" s="2">
        <v>0</v>
      </c>
      <c r="K1503" s="2"/>
      <c r="L1503" s="2">
        <v>-23920</v>
      </c>
      <c r="M1503" s="3"/>
      <c r="N1503" s="4">
        <v>-5.4419999999999997E-5</v>
      </c>
      <c r="O1503" s="5" t="s">
        <v>44</v>
      </c>
      <c r="P1503" s="5">
        <v>73051</v>
      </c>
      <c r="Q1503" s="1">
        <v>0</v>
      </c>
      <c r="R1503" s="2">
        <v>0.08</v>
      </c>
      <c r="S1503" s="6"/>
      <c r="T1503" t="s">
        <v>45</v>
      </c>
      <c r="U1503" t="s">
        <v>44</v>
      </c>
      <c r="V1503" t="s">
        <v>44</v>
      </c>
      <c r="W1503" t="s">
        <v>43</v>
      </c>
      <c r="X1503" t="s">
        <v>44</v>
      </c>
      <c r="Y1503" t="s">
        <v>44</v>
      </c>
      <c r="Z1503" t="s">
        <v>44</v>
      </c>
      <c r="AA1503" t="s">
        <v>44</v>
      </c>
      <c r="AB1503" t="s">
        <v>44</v>
      </c>
      <c r="AC1503" s="4">
        <v>5.1163389600000002</v>
      </c>
      <c r="AD1503" s="4">
        <v>5.0001424999999999</v>
      </c>
      <c r="AE1503" s="2">
        <v>5.12</v>
      </c>
      <c r="AF1503" s="4">
        <v>5.0001424999999999</v>
      </c>
      <c r="AG1503" s="2">
        <v>-0.01</v>
      </c>
      <c r="AH1503" s="2">
        <v>-23920</v>
      </c>
      <c r="AI1503" s="2">
        <v>0</v>
      </c>
      <c r="AJ1503" s="5">
        <v>44673</v>
      </c>
      <c r="AK1503" t="s">
        <v>11080</v>
      </c>
      <c r="AL1503" s="2">
        <v>5.05</v>
      </c>
      <c r="AM1503" s="2">
        <v>0</v>
      </c>
      <c r="AN1503" s="2">
        <v>0</v>
      </c>
      <c r="AO1503" t="s">
        <v>44</v>
      </c>
      <c r="AP1503" t="s">
        <v>44</v>
      </c>
      <c r="AQ1503" t="s">
        <v>44</v>
      </c>
    </row>
    <row r="1504" spans="1:43" x14ac:dyDescent="0.2">
      <c r="A1504" t="s">
        <v>11079</v>
      </c>
      <c r="B1504" t="s">
        <v>11013</v>
      </c>
      <c r="C1504" t="s">
        <v>11014</v>
      </c>
      <c r="D1504" t="s">
        <v>11083</v>
      </c>
      <c r="E1504" t="s">
        <v>11084</v>
      </c>
      <c r="F1504" t="s">
        <v>11083</v>
      </c>
      <c r="G1504" s="1">
        <v>4113601.5632000002</v>
      </c>
      <c r="H1504" s="2">
        <v>4760349.7</v>
      </c>
      <c r="I1504" s="2">
        <v>5315184.58</v>
      </c>
      <c r="J1504" s="2">
        <v>0</v>
      </c>
      <c r="K1504" s="2">
        <v>0</v>
      </c>
      <c r="L1504" s="2">
        <v>5315184.58</v>
      </c>
      <c r="M1504" s="3">
        <v>1.2921</v>
      </c>
      <c r="N1504" s="4">
        <v>1.209262E-2</v>
      </c>
      <c r="O1504" s="5" t="s">
        <v>44</v>
      </c>
      <c r="P1504" s="5" t="s">
        <v>44</v>
      </c>
      <c r="Q1504" s="1"/>
      <c r="R1504" s="2"/>
      <c r="S1504" s="6"/>
      <c r="T1504" t="s">
        <v>10902</v>
      </c>
      <c r="U1504" t="s">
        <v>11003</v>
      </c>
      <c r="V1504" t="s">
        <v>11003</v>
      </c>
      <c r="W1504" t="s">
        <v>43</v>
      </c>
      <c r="X1504" t="s">
        <v>44</v>
      </c>
      <c r="Y1504" t="s">
        <v>44</v>
      </c>
      <c r="Z1504" t="s">
        <v>44</v>
      </c>
      <c r="AA1504" t="s">
        <v>44</v>
      </c>
      <c r="AB1504" t="s">
        <v>44</v>
      </c>
      <c r="AC1504" s="4"/>
      <c r="AD1504" s="4"/>
      <c r="AE1504" s="2">
        <v>0</v>
      </c>
      <c r="AF1504" s="4">
        <v>0</v>
      </c>
      <c r="AG1504" s="2">
        <v>3.2</v>
      </c>
      <c r="AH1504" s="2">
        <v>5315184.58</v>
      </c>
      <c r="AI1504" s="2">
        <v>0.01</v>
      </c>
      <c r="AJ1504" s="5">
        <v>44673</v>
      </c>
      <c r="AK1504" t="s">
        <v>11080</v>
      </c>
      <c r="AL1504" s="2">
        <v>0</v>
      </c>
      <c r="AM1504" s="2">
        <v>0</v>
      </c>
      <c r="AN1504" s="2">
        <v>0</v>
      </c>
      <c r="AO1504" t="s">
        <v>44</v>
      </c>
      <c r="AP1504" t="s">
        <v>11085</v>
      </c>
      <c r="AQ1504" t="s">
        <v>11084</v>
      </c>
    </row>
    <row r="1505" spans="1:43" x14ac:dyDescent="0.2">
      <c r="A1505" t="s">
        <v>11079</v>
      </c>
      <c r="B1505" t="s">
        <v>11013</v>
      </c>
      <c r="C1505" t="s">
        <v>11014</v>
      </c>
      <c r="D1505" t="s">
        <v>11086</v>
      </c>
      <c r="E1505" t="s">
        <v>11087</v>
      </c>
      <c r="F1505" t="s">
        <v>11086</v>
      </c>
      <c r="G1505" s="1">
        <v>3633654.7392000002</v>
      </c>
      <c r="H1505" s="2">
        <v>3978604.79</v>
      </c>
      <c r="I1505" s="2">
        <v>4476299.2699999996</v>
      </c>
      <c r="J1505" s="2">
        <v>0</v>
      </c>
      <c r="K1505" s="2">
        <v>0</v>
      </c>
      <c r="L1505" s="2">
        <v>4476299.2699999996</v>
      </c>
      <c r="M1505" s="3">
        <v>1.2319</v>
      </c>
      <c r="N1505" s="4">
        <v>1.018406E-2</v>
      </c>
      <c r="O1505" s="5" t="s">
        <v>44</v>
      </c>
      <c r="P1505" s="5" t="s">
        <v>44</v>
      </c>
      <c r="Q1505" s="1"/>
      <c r="R1505" s="2"/>
      <c r="S1505" s="6"/>
      <c r="T1505" t="s">
        <v>10902</v>
      </c>
      <c r="U1505" t="s">
        <v>11003</v>
      </c>
      <c r="V1505" t="s">
        <v>11003</v>
      </c>
      <c r="W1505" t="s">
        <v>43</v>
      </c>
      <c r="X1505" t="s">
        <v>44</v>
      </c>
      <c r="Y1505" t="s">
        <v>44</v>
      </c>
      <c r="Z1505" t="s">
        <v>44</v>
      </c>
      <c r="AA1505" t="s">
        <v>44</v>
      </c>
      <c r="AB1505" t="s">
        <v>44</v>
      </c>
      <c r="AC1505" s="4"/>
      <c r="AD1505" s="4"/>
      <c r="AE1505" s="2">
        <v>0</v>
      </c>
      <c r="AF1505" s="4">
        <v>0</v>
      </c>
      <c r="AG1505" s="2">
        <v>2.69</v>
      </c>
      <c r="AH1505" s="2">
        <v>4476299.2699999996</v>
      </c>
      <c r="AI1505" s="2">
        <v>0.01</v>
      </c>
      <c r="AJ1505" s="5">
        <v>44673</v>
      </c>
      <c r="AK1505" t="s">
        <v>11080</v>
      </c>
      <c r="AL1505" s="2">
        <v>0</v>
      </c>
      <c r="AM1505" s="2">
        <v>0</v>
      </c>
      <c r="AN1505" s="2">
        <v>0</v>
      </c>
      <c r="AO1505" t="s">
        <v>44</v>
      </c>
      <c r="AP1505" t="s">
        <v>11088</v>
      </c>
      <c r="AQ1505" t="s">
        <v>11087</v>
      </c>
    </row>
    <row r="1506" spans="1:43" x14ac:dyDescent="0.2">
      <c r="A1506" t="s">
        <v>11079</v>
      </c>
      <c r="B1506" t="s">
        <v>11013</v>
      </c>
      <c r="C1506" t="s">
        <v>11014</v>
      </c>
      <c r="D1506" t="s">
        <v>12854</v>
      </c>
      <c r="E1506" t="s">
        <v>12855</v>
      </c>
      <c r="F1506" t="s">
        <v>12854</v>
      </c>
      <c r="G1506" s="1">
        <v>819310.42599999998</v>
      </c>
      <c r="H1506" s="2">
        <v>8193104.2599999998</v>
      </c>
      <c r="I1506" s="2">
        <v>8099702.8700000001</v>
      </c>
      <c r="J1506" s="2">
        <v>0</v>
      </c>
      <c r="K1506" s="2">
        <v>0</v>
      </c>
      <c r="L1506" s="2">
        <v>8099702.8700000001</v>
      </c>
      <c r="M1506" s="3">
        <v>9.8859999999999992</v>
      </c>
      <c r="N1506" s="4">
        <v>1.8427700000000002E-2</v>
      </c>
      <c r="O1506" s="5" t="s">
        <v>44</v>
      </c>
      <c r="P1506" s="5" t="s">
        <v>44</v>
      </c>
      <c r="Q1506" s="1"/>
      <c r="R1506" s="2"/>
      <c r="S1506" s="6"/>
      <c r="T1506" t="s">
        <v>10902</v>
      </c>
      <c r="U1506" t="s">
        <v>11003</v>
      </c>
      <c r="V1506" t="s">
        <v>11003</v>
      </c>
      <c r="W1506" t="s">
        <v>43</v>
      </c>
      <c r="X1506" t="s">
        <v>44</v>
      </c>
      <c r="Y1506" t="s">
        <v>44</v>
      </c>
      <c r="Z1506" t="s">
        <v>44</v>
      </c>
      <c r="AA1506" t="s">
        <v>44</v>
      </c>
      <c r="AB1506" t="s">
        <v>44</v>
      </c>
      <c r="AC1506" s="4"/>
      <c r="AD1506" s="4"/>
      <c r="AE1506" s="2">
        <v>0</v>
      </c>
      <c r="AF1506" s="4">
        <v>0</v>
      </c>
      <c r="AG1506" s="2">
        <v>4.87</v>
      </c>
      <c r="AH1506" s="2">
        <v>8099702.8700000001</v>
      </c>
      <c r="AI1506" s="2">
        <v>0.02</v>
      </c>
      <c r="AJ1506" s="5">
        <v>44673</v>
      </c>
      <c r="AK1506" t="s">
        <v>11080</v>
      </c>
      <c r="AL1506" s="2">
        <v>0</v>
      </c>
      <c r="AM1506" s="2">
        <v>0</v>
      </c>
      <c r="AN1506" s="2">
        <v>0</v>
      </c>
      <c r="AO1506" t="s">
        <v>44</v>
      </c>
      <c r="AP1506" t="s">
        <v>44</v>
      </c>
      <c r="AQ1506" t="s">
        <v>12855</v>
      </c>
    </row>
    <row r="1507" spans="1:43" x14ac:dyDescent="0.2">
      <c r="A1507" t="s">
        <v>11079</v>
      </c>
      <c r="B1507" t="s">
        <v>11013</v>
      </c>
      <c r="C1507" t="s">
        <v>11014</v>
      </c>
      <c r="D1507" t="s">
        <v>11089</v>
      </c>
      <c r="E1507" t="s">
        <v>11090</v>
      </c>
      <c r="F1507" t="s">
        <v>11089</v>
      </c>
      <c r="G1507" s="1">
        <v>305734.98009999999</v>
      </c>
      <c r="H1507" s="2">
        <v>6058802.4800000004</v>
      </c>
      <c r="I1507" s="2">
        <v>6729043.4699999997</v>
      </c>
      <c r="J1507" s="2">
        <v>0</v>
      </c>
      <c r="K1507" s="2">
        <v>0</v>
      </c>
      <c r="L1507" s="2">
        <v>6729043.4699999997</v>
      </c>
      <c r="M1507" s="3">
        <v>22.009399999999999</v>
      </c>
      <c r="N1507" s="4">
        <v>1.53093E-2</v>
      </c>
      <c r="O1507" s="5" t="s">
        <v>44</v>
      </c>
      <c r="P1507" s="5" t="s">
        <v>44</v>
      </c>
      <c r="Q1507" s="1"/>
      <c r="R1507" s="2"/>
      <c r="S1507" s="6"/>
      <c r="T1507" t="s">
        <v>10902</v>
      </c>
      <c r="U1507" t="s">
        <v>11003</v>
      </c>
      <c r="V1507" t="s">
        <v>11003</v>
      </c>
      <c r="W1507" t="s">
        <v>43</v>
      </c>
      <c r="X1507" t="s">
        <v>44</v>
      </c>
      <c r="Y1507" t="s">
        <v>44</v>
      </c>
      <c r="Z1507" t="s">
        <v>44</v>
      </c>
      <c r="AA1507" t="s">
        <v>44</v>
      </c>
      <c r="AB1507" t="s">
        <v>44</v>
      </c>
      <c r="AC1507" s="4"/>
      <c r="AD1507" s="4"/>
      <c r="AE1507" s="2">
        <v>0</v>
      </c>
      <c r="AF1507" s="4">
        <v>0</v>
      </c>
      <c r="AG1507" s="2">
        <v>4.05</v>
      </c>
      <c r="AH1507" s="2">
        <v>6729043.4699999997</v>
      </c>
      <c r="AI1507" s="2">
        <v>0.02</v>
      </c>
      <c r="AJ1507" s="5">
        <v>44673</v>
      </c>
      <c r="AK1507" t="s">
        <v>11080</v>
      </c>
      <c r="AL1507" s="2">
        <v>0</v>
      </c>
      <c r="AM1507" s="2">
        <v>0</v>
      </c>
      <c r="AN1507" s="2">
        <v>0</v>
      </c>
      <c r="AO1507" t="s">
        <v>44</v>
      </c>
      <c r="AP1507" t="s">
        <v>11091</v>
      </c>
      <c r="AQ1507" t="s">
        <v>11090</v>
      </c>
    </row>
    <row r="1508" spans="1:43" x14ac:dyDescent="0.2">
      <c r="A1508" t="s">
        <v>11079</v>
      </c>
      <c r="B1508" t="s">
        <v>11013</v>
      </c>
      <c r="C1508" t="s">
        <v>11014</v>
      </c>
      <c r="D1508" t="s">
        <v>11021</v>
      </c>
      <c r="E1508" t="s">
        <v>11022</v>
      </c>
      <c r="F1508" t="s">
        <v>11021</v>
      </c>
      <c r="G1508" s="1">
        <v>4376106.4671</v>
      </c>
      <c r="H1508" s="2">
        <v>4583999.05</v>
      </c>
      <c r="I1508" s="2">
        <v>4393610.8899999997</v>
      </c>
      <c r="J1508" s="2">
        <v>0</v>
      </c>
      <c r="K1508" s="2">
        <v>0</v>
      </c>
      <c r="L1508" s="2">
        <v>4393610.8899999997</v>
      </c>
      <c r="M1508" s="3">
        <v>1.004</v>
      </c>
      <c r="N1508" s="4">
        <v>9.99594E-3</v>
      </c>
      <c r="O1508" s="5" t="s">
        <v>44</v>
      </c>
      <c r="P1508" s="5" t="s">
        <v>44</v>
      </c>
      <c r="Q1508" s="1"/>
      <c r="R1508" s="2"/>
      <c r="S1508" s="6"/>
      <c r="T1508" t="s">
        <v>10902</v>
      </c>
      <c r="U1508" t="s">
        <v>11003</v>
      </c>
      <c r="V1508" t="s">
        <v>11003</v>
      </c>
      <c r="W1508" t="s">
        <v>43</v>
      </c>
      <c r="X1508" t="s">
        <v>44</v>
      </c>
      <c r="Y1508" t="s">
        <v>44</v>
      </c>
      <c r="Z1508" t="s">
        <v>44</v>
      </c>
      <c r="AA1508" t="s">
        <v>44</v>
      </c>
      <c r="AB1508" t="s">
        <v>44</v>
      </c>
      <c r="AC1508" s="4"/>
      <c r="AD1508" s="4"/>
      <c r="AE1508" s="2">
        <v>0</v>
      </c>
      <c r="AF1508" s="4">
        <v>0</v>
      </c>
      <c r="AG1508" s="2">
        <v>2.64</v>
      </c>
      <c r="AH1508" s="2">
        <v>4393610.8899999997</v>
      </c>
      <c r="AI1508" s="2">
        <v>0.01</v>
      </c>
      <c r="AJ1508" s="5">
        <v>44673</v>
      </c>
      <c r="AK1508" t="s">
        <v>11080</v>
      </c>
      <c r="AL1508" s="2">
        <v>0</v>
      </c>
      <c r="AM1508" s="2">
        <v>0</v>
      </c>
      <c r="AN1508" s="2">
        <v>0</v>
      </c>
      <c r="AO1508" t="s">
        <v>44</v>
      </c>
      <c r="AP1508" t="s">
        <v>11023</v>
      </c>
      <c r="AQ1508" t="s">
        <v>11022</v>
      </c>
    </row>
    <row r="1509" spans="1:43" x14ac:dyDescent="0.2">
      <c r="A1509" t="s">
        <v>11079</v>
      </c>
      <c r="B1509" t="s">
        <v>11013</v>
      </c>
      <c r="C1509" t="s">
        <v>11047</v>
      </c>
      <c r="D1509" t="s">
        <v>11119</v>
      </c>
      <c r="E1509" t="s">
        <v>11120</v>
      </c>
      <c r="F1509" t="s">
        <v>11119</v>
      </c>
      <c r="G1509" s="1">
        <v>72913.645000000004</v>
      </c>
      <c r="H1509" s="2">
        <v>10990292.390000001</v>
      </c>
      <c r="I1509" s="2">
        <v>11588539.15</v>
      </c>
      <c r="J1509" s="2">
        <v>0</v>
      </c>
      <c r="K1509" s="2">
        <v>0</v>
      </c>
      <c r="L1509" s="2">
        <v>11588539.15</v>
      </c>
      <c r="M1509" s="3">
        <v>10.179</v>
      </c>
      <c r="N1509" s="4">
        <v>2.636517E-2</v>
      </c>
      <c r="O1509" s="5" t="s">
        <v>44</v>
      </c>
      <c r="P1509" s="5" t="s">
        <v>44</v>
      </c>
      <c r="Q1509" s="1"/>
      <c r="R1509" s="2"/>
      <c r="S1509" s="6"/>
      <c r="T1509" t="s">
        <v>10902</v>
      </c>
      <c r="U1509" t="s">
        <v>11003</v>
      </c>
      <c r="V1509" t="s">
        <v>11003</v>
      </c>
      <c r="W1509" t="s">
        <v>113</v>
      </c>
      <c r="X1509" t="s">
        <v>44</v>
      </c>
      <c r="Y1509" t="s">
        <v>44</v>
      </c>
      <c r="Z1509" t="s">
        <v>44</v>
      </c>
      <c r="AA1509" t="s">
        <v>44</v>
      </c>
      <c r="AB1509" t="s">
        <v>44</v>
      </c>
      <c r="AC1509" s="4"/>
      <c r="AD1509" s="4"/>
      <c r="AE1509" s="2">
        <v>0</v>
      </c>
      <c r="AF1509" s="4">
        <v>0</v>
      </c>
      <c r="AG1509" s="2">
        <v>6.97</v>
      </c>
      <c r="AH1509" s="2">
        <v>11588539.15</v>
      </c>
      <c r="AI1509" s="2">
        <v>0.03</v>
      </c>
      <c r="AJ1509" s="5">
        <v>44673</v>
      </c>
      <c r="AK1509" t="s">
        <v>11080</v>
      </c>
      <c r="AL1509" s="2">
        <v>0</v>
      </c>
      <c r="AM1509" s="2">
        <v>0</v>
      </c>
      <c r="AN1509" s="2">
        <v>0</v>
      </c>
      <c r="AO1509" t="s">
        <v>44</v>
      </c>
      <c r="AP1509" t="s">
        <v>44</v>
      </c>
      <c r="AQ1509" t="s">
        <v>11120</v>
      </c>
    </row>
    <row r="1510" spans="1:43" x14ac:dyDescent="0.2">
      <c r="A1510" t="s">
        <v>11079</v>
      </c>
      <c r="B1510" t="s">
        <v>11013</v>
      </c>
      <c r="C1510" t="s">
        <v>11047</v>
      </c>
      <c r="D1510" t="s">
        <v>11092</v>
      </c>
      <c r="E1510" t="s">
        <v>11093</v>
      </c>
      <c r="F1510" t="s">
        <v>11092</v>
      </c>
      <c r="G1510" s="1">
        <v>7425.5590000000002</v>
      </c>
      <c r="H1510" s="2">
        <v>1530549.77</v>
      </c>
      <c r="I1510" s="2">
        <v>1433517.21</v>
      </c>
      <c r="J1510" s="2">
        <v>0</v>
      </c>
      <c r="K1510" s="2">
        <v>0</v>
      </c>
      <c r="L1510" s="2">
        <v>1433517.21</v>
      </c>
      <c r="M1510" s="3">
        <v>12.364000000000001</v>
      </c>
      <c r="N1510" s="4">
        <v>3.2614100000000002E-3</v>
      </c>
      <c r="O1510" s="5" t="s">
        <v>44</v>
      </c>
      <c r="P1510" s="5" t="s">
        <v>44</v>
      </c>
      <c r="Q1510" s="1"/>
      <c r="R1510" s="2"/>
      <c r="S1510" s="6"/>
      <c r="T1510" t="s">
        <v>10902</v>
      </c>
      <c r="U1510" t="s">
        <v>11003</v>
      </c>
      <c r="V1510" t="s">
        <v>11003</v>
      </c>
      <c r="W1510" t="s">
        <v>113</v>
      </c>
      <c r="X1510" t="s">
        <v>44</v>
      </c>
      <c r="Y1510" t="s">
        <v>44</v>
      </c>
      <c r="Z1510" t="s">
        <v>44</v>
      </c>
      <c r="AA1510" t="s">
        <v>44</v>
      </c>
      <c r="AB1510" t="s">
        <v>44</v>
      </c>
      <c r="AC1510" s="4"/>
      <c r="AD1510" s="4"/>
      <c r="AE1510" s="2">
        <v>0</v>
      </c>
      <c r="AF1510" s="4">
        <v>0</v>
      </c>
      <c r="AG1510" s="2">
        <v>0.86</v>
      </c>
      <c r="AH1510" s="2">
        <v>1433517.21</v>
      </c>
      <c r="AI1510" s="2">
        <v>0</v>
      </c>
      <c r="AJ1510" s="5">
        <v>44673</v>
      </c>
      <c r="AK1510" t="s">
        <v>11080</v>
      </c>
      <c r="AL1510" s="2">
        <v>0</v>
      </c>
      <c r="AM1510" s="2">
        <v>0</v>
      </c>
      <c r="AN1510" s="2">
        <v>0</v>
      </c>
      <c r="AO1510" t="s">
        <v>44</v>
      </c>
      <c r="AP1510" t="s">
        <v>44</v>
      </c>
      <c r="AQ1510" t="s">
        <v>11093</v>
      </c>
    </row>
    <row r="1511" spans="1:43" x14ac:dyDescent="0.2">
      <c r="A1511" t="s">
        <v>11079</v>
      </c>
      <c r="B1511" t="s">
        <v>11013</v>
      </c>
      <c r="C1511" t="s">
        <v>11047</v>
      </c>
      <c r="D1511" t="s">
        <v>11070</v>
      </c>
      <c r="E1511" t="s">
        <v>11071</v>
      </c>
      <c r="F1511" t="s">
        <v>11070</v>
      </c>
      <c r="G1511" s="1">
        <v>2283218.0869</v>
      </c>
      <c r="H1511" s="2">
        <v>28252396.760000002</v>
      </c>
      <c r="I1511" s="2">
        <v>29768597.420000002</v>
      </c>
      <c r="J1511" s="2">
        <v>0</v>
      </c>
      <c r="K1511" s="2">
        <v>0</v>
      </c>
      <c r="L1511" s="2">
        <v>29768597.420000002</v>
      </c>
      <c r="M1511" s="3">
        <v>13.038</v>
      </c>
      <c r="N1511" s="4">
        <v>6.7726759999999997E-2</v>
      </c>
      <c r="O1511" s="5" t="s">
        <v>44</v>
      </c>
      <c r="P1511" s="5" t="s">
        <v>44</v>
      </c>
      <c r="Q1511" s="1"/>
      <c r="R1511" s="2"/>
      <c r="S1511" s="6"/>
      <c r="T1511" t="s">
        <v>10902</v>
      </c>
      <c r="U1511" t="s">
        <v>11003</v>
      </c>
      <c r="V1511" t="s">
        <v>11003</v>
      </c>
      <c r="W1511" t="s">
        <v>43</v>
      </c>
      <c r="X1511" t="s">
        <v>44</v>
      </c>
      <c r="Y1511" t="s">
        <v>44</v>
      </c>
      <c r="Z1511" t="s">
        <v>44</v>
      </c>
      <c r="AA1511" t="s">
        <v>44</v>
      </c>
      <c r="AB1511" t="s">
        <v>44</v>
      </c>
      <c r="AC1511" s="4"/>
      <c r="AD1511" s="4"/>
      <c r="AE1511" s="2">
        <v>0</v>
      </c>
      <c r="AF1511" s="4">
        <v>0</v>
      </c>
      <c r="AG1511" s="2">
        <v>17.899999999999999</v>
      </c>
      <c r="AH1511" s="2">
        <v>29768597.420000002</v>
      </c>
      <c r="AI1511" s="2">
        <v>7.0000000000000007E-2</v>
      </c>
      <c r="AJ1511" s="5">
        <v>44673</v>
      </c>
      <c r="AK1511" t="s">
        <v>11080</v>
      </c>
      <c r="AL1511" s="2">
        <v>0</v>
      </c>
      <c r="AM1511" s="2">
        <v>0</v>
      </c>
      <c r="AN1511" s="2">
        <v>0</v>
      </c>
      <c r="AO1511" t="s">
        <v>44</v>
      </c>
      <c r="AP1511" t="s">
        <v>44</v>
      </c>
      <c r="AQ1511" t="s">
        <v>11071</v>
      </c>
    </row>
    <row r="1512" spans="1:43" x14ac:dyDescent="0.2">
      <c r="A1512" t="s">
        <v>11079</v>
      </c>
      <c r="B1512" t="s">
        <v>11013</v>
      </c>
      <c r="C1512" t="s">
        <v>11047</v>
      </c>
      <c r="D1512" t="s">
        <v>11062</v>
      </c>
      <c r="E1512" t="s">
        <v>11063</v>
      </c>
      <c r="F1512" t="s">
        <v>11062</v>
      </c>
      <c r="G1512" s="1">
        <v>26196.635999999999</v>
      </c>
      <c r="H1512" s="2">
        <v>636202.27</v>
      </c>
      <c r="I1512" s="2">
        <v>631140.76</v>
      </c>
      <c r="J1512" s="2">
        <v>0</v>
      </c>
      <c r="K1512" s="2">
        <v>0</v>
      </c>
      <c r="L1512" s="2">
        <v>631140.76</v>
      </c>
      <c r="M1512" s="3">
        <v>1.5429999999999999</v>
      </c>
      <c r="N1512" s="4">
        <v>1.4359100000000001E-3</v>
      </c>
      <c r="O1512" s="5" t="s">
        <v>44</v>
      </c>
      <c r="P1512" s="5" t="s">
        <v>44</v>
      </c>
      <c r="Q1512" s="1"/>
      <c r="R1512" s="2"/>
      <c r="S1512" s="6"/>
      <c r="T1512" t="s">
        <v>10902</v>
      </c>
      <c r="U1512" t="s">
        <v>11003</v>
      </c>
      <c r="V1512" t="s">
        <v>11003</v>
      </c>
      <c r="W1512" t="s">
        <v>113</v>
      </c>
      <c r="X1512" t="s">
        <v>44</v>
      </c>
      <c r="Y1512" t="s">
        <v>44</v>
      </c>
      <c r="Z1512" t="s">
        <v>44</v>
      </c>
      <c r="AA1512" t="s">
        <v>44</v>
      </c>
      <c r="AB1512" t="s">
        <v>44</v>
      </c>
      <c r="AC1512" s="4"/>
      <c r="AD1512" s="4"/>
      <c r="AE1512" s="2">
        <v>0</v>
      </c>
      <c r="AF1512" s="4">
        <v>0</v>
      </c>
      <c r="AG1512" s="2">
        <v>0.38</v>
      </c>
      <c r="AH1512" s="2">
        <v>631140.76</v>
      </c>
      <c r="AI1512" s="2">
        <v>0</v>
      </c>
      <c r="AJ1512" s="5">
        <v>44673</v>
      </c>
      <c r="AK1512" t="s">
        <v>11080</v>
      </c>
      <c r="AL1512" s="2">
        <v>0</v>
      </c>
      <c r="AM1512" s="2">
        <v>0</v>
      </c>
      <c r="AN1512" s="2">
        <v>0</v>
      </c>
      <c r="AO1512" t="s">
        <v>44</v>
      </c>
      <c r="AP1512" t="s">
        <v>11064</v>
      </c>
      <c r="AQ1512" t="s">
        <v>11063</v>
      </c>
    </row>
    <row r="1513" spans="1:43" x14ac:dyDescent="0.2">
      <c r="A1513" t="s">
        <v>11079</v>
      </c>
      <c r="B1513" t="s">
        <v>11024</v>
      </c>
      <c r="C1513" t="s">
        <v>61</v>
      </c>
      <c r="D1513" t="s">
        <v>11094</v>
      </c>
      <c r="E1513" t="s">
        <v>11095</v>
      </c>
      <c r="F1513" t="s">
        <v>11094</v>
      </c>
      <c r="G1513" s="1">
        <v>1</v>
      </c>
      <c r="H1513" s="2">
        <v>0</v>
      </c>
      <c r="I1513" s="2">
        <v>-87174.35</v>
      </c>
      <c r="J1513" s="2">
        <v>0</v>
      </c>
      <c r="K1513" s="2">
        <v>0</v>
      </c>
      <c r="L1513" s="2">
        <v>-87174.35</v>
      </c>
      <c r="M1513" s="3">
        <v>118.02</v>
      </c>
      <c r="N1513" s="4">
        <v>-1.9833000000000001E-4</v>
      </c>
      <c r="O1513" s="5" t="s">
        <v>44</v>
      </c>
      <c r="P1513" s="5">
        <v>44740</v>
      </c>
      <c r="Q1513" s="1"/>
      <c r="R1513" s="2"/>
      <c r="S1513" s="6"/>
      <c r="T1513" t="s">
        <v>11026</v>
      </c>
      <c r="U1513" t="s">
        <v>11025</v>
      </c>
      <c r="V1513" t="s">
        <v>11072</v>
      </c>
      <c r="W1513" t="s">
        <v>481</v>
      </c>
      <c r="X1513" t="s">
        <v>44</v>
      </c>
      <c r="Y1513" t="s">
        <v>44</v>
      </c>
      <c r="Z1513" t="s">
        <v>44</v>
      </c>
      <c r="AA1513" t="s">
        <v>44</v>
      </c>
      <c r="AB1513" t="s">
        <v>44</v>
      </c>
      <c r="AC1513" s="4"/>
      <c r="AD1513" s="4"/>
      <c r="AE1513" s="2">
        <v>0</v>
      </c>
      <c r="AF1513" s="4">
        <v>0</v>
      </c>
      <c r="AG1513" s="2">
        <v>-0.05</v>
      </c>
      <c r="AH1513" s="2">
        <v>2365130.2599999998</v>
      </c>
      <c r="AI1513" s="2">
        <v>0.01</v>
      </c>
      <c r="AJ1513" s="5">
        <v>44673</v>
      </c>
      <c r="AK1513" t="s">
        <v>11080</v>
      </c>
      <c r="AL1513" s="2">
        <v>0</v>
      </c>
      <c r="AM1513" s="2">
        <v>0</v>
      </c>
      <c r="AN1513" s="2">
        <v>0</v>
      </c>
      <c r="AO1513" t="s">
        <v>44</v>
      </c>
      <c r="AP1513" t="s">
        <v>11096</v>
      </c>
      <c r="AQ1513" t="s">
        <v>11095</v>
      </c>
    </row>
    <row r="1514" spans="1:43" x14ac:dyDescent="0.2">
      <c r="A1514" t="s">
        <v>11079</v>
      </c>
      <c r="B1514" t="s">
        <v>11024</v>
      </c>
      <c r="C1514" t="s">
        <v>61</v>
      </c>
      <c r="D1514" t="s">
        <v>11097</v>
      </c>
      <c r="E1514" t="s">
        <v>11098</v>
      </c>
      <c r="F1514" t="s">
        <v>11097</v>
      </c>
      <c r="G1514" s="1">
        <v>3</v>
      </c>
      <c r="H1514" s="2">
        <v>0</v>
      </c>
      <c r="I1514" s="2">
        <v>-340658.91</v>
      </c>
      <c r="J1514" s="2">
        <v>0</v>
      </c>
      <c r="K1514" s="2">
        <v>0</v>
      </c>
      <c r="L1514" s="2">
        <v>-340658.91</v>
      </c>
      <c r="M1514" s="3">
        <v>118.9375</v>
      </c>
      <c r="N1514" s="4">
        <v>-7.7503999999999995E-4</v>
      </c>
      <c r="O1514" s="5" t="s">
        <v>44</v>
      </c>
      <c r="P1514" s="5">
        <v>44733</v>
      </c>
      <c r="Q1514" s="1"/>
      <c r="R1514" s="2"/>
      <c r="S1514" s="6"/>
      <c r="T1514" t="s">
        <v>11026</v>
      </c>
      <c r="U1514" t="s">
        <v>11025</v>
      </c>
      <c r="V1514" t="s">
        <v>11072</v>
      </c>
      <c r="W1514" t="s">
        <v>113</v>
      </c>
      <c r="X1514" t="s">
        <v>44</v>
      </c>
      <c r="Y1514" t="s">
        <v>44</v>
      </c>
      <c r="Z1514" t="s">
        <v>44</v>
      </c>
      <c r="AA1514" t="s">
        <v>44</v>
      </c>
      <c r="AB1514" t="s">
        <v>44</v>
      </c>
      <c r="AC1514" s="4"/>
      <c r="AD1514" s="4"/>
      <c r="AE1514" s="2">
        <v>0</v>
      </c>
      <c r="AF1514" s="4">
        <v>0</v>
      </c>
      <c r="AG1514" s="2">
        <v>-0.2</v>
      </c>
      <c r="AH1514" s="2">
        <v>5571278.0099999998</v>
      </c>
      <c r="AI1514" s="2">
        <v>0.01</v>
      </c>
      <c r="AJ1514" s="5">
        <v>44673</v>
      </c>
      <c r="AK1514" t="s">
        <v>11080</v>
      </c>
      <c r="AL1514" s="2">
        <v>0</v>
      </c>
      <c r="AM1514" s="2">
        <v>0</v>
      </c>
      <c r="AN1514" s="2">
        <v>0</v>
      </c>
      <c r="AO1514" t="s">
        <v>44</v>
      </c>
      <c r="AP1514" t="s">
        <v>44</v>
      </c>
      <c r="AQ1514" t="s">
        <v>11098</v>
      </c>
    </row>
    <row r="1515" spans="1:43" x14ac:dyDescent="0.2">
      <c r="A1515" t="s">
        <v>11079</v>
      </c>
      <c r="B1515" t="s">
        <v>11024</v>
      </c>
      <c r="C1515" t="s">
        <v>57</v>
      </c>
      <c r="D1515" t="s">
        <v>11151</v>
      </c>
      <c r="E1515" t="s">
        <v>11151</v>
      </c>
      <c r="F1515" t="s">
        <v>11151</v>
      </c>
      <c r="G1515" s="1">
        <v>2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3">
        <v>65704</v>
      </c>
      <c r="N1515" s="4">
        <v>0</v>
      </c>
      <c r="O1515" s="5" t="s">
        <v>44</v>
      </c>
      <c r="P1515" s="5">
        <v>44727</v>
      </c>
      <c r="Q1515" s="1"/>
      <c r="R1515" s="2"/>
      <c r="S1515" s="6"/>
      <c r="T1515" t="s">
        <v>11026</v>
      </c>
      <c r="U1515" t="s">
        <v>11025</v>
      </c>
      <c r="V1515" t="s">
        <v>11027</v>
      </c>
      <c r="W1515" t="s">
        <v>43</v>
      </c>
      <c r="X1515" t="s">
        <v>44</v>
      </c>
      <c r="Y1515" t="s">
        <v>44</v>
      </c>
      <c r="Z1515" t="s">
        <v>44</v>
      </c>
      <c r="AA1515" t="s">
        <v>44</v>
      </c>
      <c r="AB1515" t="s">
        <v>44</v>
      </c>
      <c r="AC1515" s="4"/>
      <c r="AD1515" s="4"/>
      <c r="AE1515" s="2">
        <v>0</v>
      </c>
      <c r="AF1515" s="4">
        <v>0</v>
      </c>
      <c r="AG1515" s="2">
        <v>0</v>
      </c>
      <c r="AH1515" s="2">
        <v>1314080</v>
      </c>
      <c r="AI1515" s="2">
        <v>0</v>
      </c>
      <c r="AJ1515" s="5">
        <v>44673</v>
      </c>
      <c r="AK1515" t="s">
        <v>11080</v>
      </c>
      <c r="AL1515" s="2">
        <v>0</v>
      </c>
      <c r="AM1515" s="2">
        <v>0</v>
      </c>
      <c r="AN1515" s="2">
        <v>0</v>
      </c>
      <c r="AO1515" t="s">
        <v>44</v>
      </c>
      <c r="AP1515" t="s">
        <v>11152</v>
      </c>
      <c r="AQ1515" t="s">
        <v>11151</v>
      </c>
    </row>
    <row r="1516" spans="1:43" x14ac:dyDescent="0.2">
      <c r="A1516" t="s">
        <v>11079</v>
      </c>
      <c r="B1516" t="s">
        <v>11024</v>
      </c>
      <c r="C1516" t="s">
        <v>57</v>
      </c>
      <c r="D1516" t="s">
        <v>12172</v>
      </c>
      <c r="E1516" t="s">
        <v>12173</v>
      </c>
      <c r="F1516" t="s">
        <v>12172</v>
      </c>
      <c r="G1516" s="1">
        <v>20</v>
      </c>
      <c r="H1516" s="2">
        <v>0</v>
      </c>
      <c r="I1516" s="2">
        <v>-869935.2</v>
      </c>
      <c r="J1516" s="2">
        <v>0</v>
      </c>
      <c r="K1516" s="2">
        <v>0</v>
      </c>
      <c r="L1516" s="2">
        <v>-869935.2</v>
      </c>
      <c r="M1516" s="3">
        <v>1055.8</v>
      </c>
      <c r="N1516" s="4">
        <v>-1.9792E-3</v>
      </c>
      <c r="O1516" s="5" t="s">
        <v>44</v>
      </c>
      <c r="P1516" s="5">
        <v>44729</v>
      </c>
      <c r="Q1516" s="1"/>
      <c r="R1516" s="2"/>
      <c r="S1516" s="6"/>
      <c r="T1516" t="s">
        <v>11026</v>
      </c>
      <c r="U1516" t="s">
        <v>11025</v>
      </c>
      <c r="V1516" t="s">
        <v>11027</v>
      </c>
      <c r="W1516" t="s">
        <v>113</v>
      </c>
      <c r="X1516" t="s">
        <v>44</v>
      </c>
      <c r="Y1516" t="s">
        <v>44</v>
      </c>
      <c r="Z1516" t="s">
        <v>44</v>
      </c>
      <c r="AA1516" t="s">
        <v>44</v>
      </c>
      <c r="AB1516" t="s">
        <v>44</v>
      </c>
      <c r="AC1516" s="4"/>
      <c r="AD1516" s="4"/>
      <c r="AE1516" s="2">
        <v>0</v>
      </c>
      <c r="AF1516" s="4">
        <v>0</v>
      </c>
      <c r="AG1516" s="2">
        <v>-0.52</v>
      </c>
      <c r="AH1516" s="2">
        <v>16485283.779999999</v>
      </c>
      <c r="AI1516" s="2">
        <v>0.04</v>
      </c>
      <c r="AJ1516" s="5">
        <v>44673</v>
      </c>
      <c r="AK1516" t="s">
        <v>11080</v>
      </c>
      <c r="AL1516" s="2">
        <v>0</v>
      </c>
      <c r="AM1516" s="2">
        <v>0</v>
      </c>
      <c r="AN1516" s="2">
        <v>0</v>
      </c>
      <c r="AO1516" t="s">
        <v>44</v>
      </c>
      <c r="AP1516" t="s">
        <v>44</v>
      </c>
      <c r="AQ1516" t="s">
        <v>12173</v>
      </c>
    </row>
    <row r="1517" spans="1:43" x14ac:dyDescent="0.2">
      <c r="A1517" t="s">
        <v>11079</v>
      </c>
      <c r="B1517" t="s">
        <v>11037</v>
      </c>
      <c r="C1517" t="s">
        <v>11050</v>
      </c>
      <c r="D1517" t="s">
        <v>11099</v>
      </c>
      <c r="E1517" t="s">
        <v>11100</v>
      </c>
      <c r="F1517" t="s">
        <v>11099</v>
      </c>
      <c r="G1517" s="1">
        <v>10100000</v>
      </c>
      <c r="H1517" s="2">
        <v>10158794.449999999</v>
      </c>
      <c r="I1517" s="2">
        <v>16000934.26</v>
      </c>
      <c r="J1517" s="2">
        <v>0</v>
      </c>
      <c r="K1517" s="2">
        <v>0</v>
      </c>
      <c r="L1517" s="2">
        <v>16000934.26</v>
      </c>
      <c r="M1517" s="3">
        <v>158.42509200000001</v>
      </c>
      <c r="N1517" s="4">
        <v>3.6403850000000001E-2</v>
      </c>
      <c r="O1517" s="5" t="s">
        <v>44</v>
      </c>
      <c r="P1517" s="5" t="s">
        <v>44</v>
      </c>
      <c r="Q1517" s="1"/>
      <c r="R1517" s="2"/>
      <c r="S1517" s="6"/>
      <c r="T1517" t="s">
        <v>10902</v>
      </c>
      <c r="U1517" t="s">
        <v>10902</v>
      </c>
      <c r="V1517" t="s">
        <v>11051</v>
      </c>
      <c r="W1517" t="s">
        <v>43</v>
      </c>
      <c r="X1517" t="s">
        <v>11050</v>
      </c>
      <c r="Y1517" t="s">
        <v>44</v>
      </c>
      <c r="Z1517" t="s">
        <v>11050</v>
      </c>
      <c r="AA1517" t="s">
        <v>44</v>
      </c>
      <c r="AB1517" t="s">
        <v>44</v>
      </c>
      <c r="AC1517" s="4"/>
      <c r="AD1517" s="4"/>
      <c r="AE1517" s="2">
        <v>0</v>
      </c>
      <c r="AF1517" s="4">
        <v>0</v>
      </c>
      <c r="AG1517" s="2">
        <v>9.6199999999999992</v>
      </c>
      <c r="AH1517" s="2">
        <v>16000934.26</v>
      </c>
      <c r="AI1517" s="2">
        <v>0.04</v>
      </c>
      <c r="AJ1517" s="5">
        <v>44673</v>
      </c>
      <c r="AK1517" t="s">
        <v>11080</v>
      </c>
      <c r="AL1517" s="2">
        <v>0</v>
      </c>
      <c r="AM1517" s="2">
        <v>0</v>
      </c>
      <c r="AN1517" s="2">
        <v>0</v>
      </c>
      <c r="AO1517" t="s">
        <v>44</v>
      </c>
      <c r="AP1517" t="s">
        <v>11101</v>
      </c>
      <c r="AQ1517" t="s">
        <v>11100</v>
      </c>
    </row>
    <row r="1518" spans="1:43" x14ac:dyDescent="0.2">
      <c r="A1518" t="s">
        <v>11079</v>
      </c>
      <c r="B1518" t="s">
        <v>11037</v>
      </c>
      <c r="C1518" t="s">
        <v>11050</v>
      </c>
      <c r="D1518" t="s">
        <v>11102</v>
      </c>
      <c r="E1518" t="s">
        <v>11103</v>
      </c>
      <c r="F1518" t="s">
        <v>11102</v>
      </c>
      <c r="G1518" s="1">
        <v>10100000</v>
      </c>
      <c r="H1518" s="2">
        <v>10158781.57</v>
      </c>
      <c r="I1518" s="2">
        <v>16613210.439999999</v>
      </c>
      <c r="J1518" s="2">
        <v>0</v>
      </c>
      <c r="K1518" s="2">
        <v>0</v>
      </c>
      <c r="L1518" s="2">
        <v>16613210.439999999</v>
      </c>
      <c r="M1518" s="3">
        <v>164.48723200000001</v>
      </c>
      <c r="N1518" s="4">
        <v>3.7796839999999998E-2</v>
      </c>
      <c r="O1518" s="5" t="s">
        <v>44</v>
      </c>
      <c r="P1518" s="5" t="s">
        <v>44</v>
      </c>
      <c r="Q1518" s="1"/>
      <c r="R1518" s="2"/>
      <c r="S1518" s="6"/>
      <c r="T1518" t="s">
        <v>10902</v>
      </c>
      <c r="U1518" t="s">
        <v>10902</v>
      </c>
      <c r="V1518" t="s">
        <v>11051</v>
      </c>
      <c r="W1518" t="s">
        <v>43</v>
      </c>
      <c r="X1518" t="s">
        <v>11050</v>
      </c>
      <c r="Y1518" t="s">
        <v>44</v>
      </c>
      <c r="Z1518" t="s">
        <v>11050</v>
      </c>
      <c r="AA1518" t="s">
        <v>44</v>
      </c>
      <c r="AB1518" t="s">
        <v>44</v>
      </c>
      <c r="AC1518" s="4"/>
      <c r="AD1518" s="4"/>
      <c r="AE1518" s="2">
        <v>0</v>
      </c>
      <c r="AF1518" s="4">
        <v>0</v>
      </c>
      <c r="AG1518" s="2">
        <v>9.99</v>
      </c>
      <c r="AH1518" s="2">
        <v>16613210.439999999</v>
      </c>
      <c r="AI1518" s="2">
        <v>0.04</v>
      </c>
      <c r="AJ1518" s="5">
        <v>44673</v>
      </c>
      <c r="AK1518" t="s">
        <v>11080</v>
      </c>
      <c r="AL1518" s="2">
        <v>0</v>
      </c>
      <c r="AM1518" s="2">
        <v>0</v>
      </c>
      <c r="AN1518" s="2">
        <v>0</v>
      </c>
      <c r="AO1518" t="s">
        <v>44</v>
      </c>
      <c r="AP1518" t="s">
        <v>11104</v>
      </c>
      <c r="AQ1518" t="s">
        <v>11103</v>
      </c>
    </row>
    <row r="1519" spans="1:43" x14ac:dyDescent="0.2">
      <c r="A1519" t="s">
        <v>11079</v>
      </c>
      <c r="B1519" t="s">
        <v>11038</v>
      </c>
      <c r="C1519" t="s">
        <v>11052</v>
      </c>
      <c r="D1519" t="s">
        <v>11105</v>
      </c>
      <c r="E1519" t="s">
        <v>11106</v>
      </c>
      <c r="F1519" t="s">
        <v>11105</v>
      </c>
      <c r="G1519" s="1">
        <v>400000</v>
      </c>
      <c r="H1519" s="2">
        <v>6031817.8399999999</v>
      </c>
      <c r="I1519" s="2">
        <v>6245608.5599999996</v>
      </c>
      <c r="J1519" s="2">
        <v>30831.13</v>
      </c>
      <c r="K1519" s="2">
        <v>0</v>
      </c>
      <c r="L1519" s="2">
        <v>6276439.6900000004</v>
      </c>
      <c r="M1519" s="3">
        <v>0.91</v>
      </c>
      <c r="N1519" s="4">
        <v>1.427958E-2</v>
      </c>
      <c r="O1519" s="5" t="s">
        <v>44</v>
      </c>
      <c r="P1519" s="5">
        <v>44841</v>
      </c>
      <c r="Q1519" s="1">
        <v>0.91</v>
      </c>
      <c r="R1519" s="2">
        <v>0.46</v>
      </c>
      <c r="S1519" s="6"/>
      <c r="T1519" t="s">
        <v>112</v>
      </c>
      <c r="U1519" t="s">
        <v>11040</v>
      </c>
      <c r="V1519" t="s">
        <v>11107</v>
      </c>
      <c r="W1519" t="s">
        <v>113</v>
      </c>
      <c r="X1519" t="s">
        <v>44</v>
      </c>
      <c r="Y1519" t="s">
        <v>44</v>
      </c>
      <c r="Z1519" t="s">
        <v>44</v>
      </c>
      <c r="AA1519" t="s">
        <v>10979</v>
      </c>
      <c r="AB1519" t="s">
        <v>44</v>
      </c>
      <c r="AC1519" s="4"/>
      <c r="AD1519" s="4"/>
      <c r="AE1519" s="2">
        <v>0</v>
      </c>
      <c r="AF1519" s="4">
        <v>0</v>
      </c>
      <c r="AG1519" s="2">
        <v>3.77</v>
      </c>
      <c r="AH1519" s="2">
        <v>6276439.6900000004</v>
      </c>
      <c r="AI1519" s="2">
        <v>0.01</v>
      </c>
      <c r="AJ1519" s="5">
        <v>44673</v>
      </c>
      <c r="AK1519" t="s">
        <v>11080</v>
      </c>
      <c r="AL1519" s="2">
        <v>0</v>
      </c>
      <c r="AM1519" s="2">
        <v>0.91</v>
      </c>
      <c r="AN1519" s="2">
        <v>0</v>
      </c>
      <c r="AO1519" t="s">
        <v>11054</v>
      </c>
      <c r="AP1519" t="s">
        <v>44</v>
      </c>
      <c r="AQ1519" t="s">
        <v>11106</v>
      </c>
    </row>
    <row r="1520" spans="1:43" x14ac:dyDescent="0.2">
      <c r="A1520" t="s">
        <v>11079</v>
      </c>
      <c r="B1520" t="s">
        <v>11038</v>
      </c>
      <c r="C1520" t="s">
        <v>11039</v>
      </c>
      <c r="D1520" t="s">
        <v>11108</v>
      </c>
      <c r="E1520" t="s">
        <v>11109</v>
      </c>
      <c r="F1520" t="s">
        <v>11108</v>
      </c>
      <c r="G1520" s="1">
        <v>213148.55</v>
      </c>
      <c r="H1520" s="2">
        <v>3215783.32</v>
      </c>
      <c r="I1520" s="2">
        <v>3328106.02</v>
      </c>
      <c r="J1520" s="2">
        <v>11287.84</v>
      </c>
      <c r="K1520" s="2">
        <v>0</v>
      </c>
      <c r="L1520" s="2">
        <v>3339393.86</v>
      </c>
      <c r="M1520" s="3">
        <v>1.85</v>
      </c>
      <c r="N1520" s="4">
        <v>7.5974800000000002E-3</v>
      </c>
      <c r="O1520" s="5" t="s">
        <v>44</v>
      </c>
      <c r="P1520" s="5">
        <v>44974</v>
      </c>
      <c r="Q1520" s="1">
        <v>1.85</v>
      </c>
      <c r="R1520" s="2">
        <v>0.82</v>
      </c>
      <c r="S1520" s="6"/>
      <c r="T1520" t="s">
        <v>112</v>
      </c>
      <c r="U1520" t="s">
        <v>11040</v>
      </c>
      <c r="V1520" t="s">
        <v>11107</v>
      </c>
      <c r="W1520" t="s">
        <v>113</v>
      </c>
      <c r="X1520" t="s">
        <v>44</v>
      </c>
      <c r="Y1520" t="s">
        <v>44</v>
      </c>
      <c r="Z1520" t="s">
        <v>44</v>
      </c>
      <c r="AA1520" t="s">
        <v>10979</v>
      </c>
      <c r="AB1520" t="s">
        <v>44</v>
      </c>
      <c r="AC1520" s="4"/>
      <c r="AD1520" s="4"/>
      <c r="AE1520" s="2">
        <v>0</v>
      </c>
      <c r="AF1520" s="4">
        <v>0</v>
      </c>
      <c r="AG1520" s="2">
        <v>2.0099999999999998</v>
      </c>
      <c r="AH1520" s="2">
        <v>3339393.86</v>
      </c>
      <c r="AI1520" s="2">
        <v>0.01</v>
      </c>
      <c r="AJ1520" s="5">
        <v>44673</v>
      </c>
      <c r="AK1520" t="s">
        <v>11080</v>
      </c>
      <c r="AL1520" s="2">
        <v>0</v>
      </c>
      <c r="AM1520" s="2">
        <v>1.85</v>
      </c>
      <c r="AN1520" s="2">
        <v>0</v>
      </c>
      <c r="AO1520" t="s">
        <v>11054</v>
      </c>
      <c r="AP1520" t="s">
        <v>44</v>
      </c>
      <c r="AQ1520" t="s">
        <v>11109</v>
      </c>
    </row>
    <row r="1521" spans="1:43" x14ac:dyDescent="0.2">
      <c r="A1521" t="s">
        <v>11079</v>
      </c>
      <c r="B1521" t="s">
        <v>11038</v>
      </c>
      <c r="C1521" t="s">
        <v>11039</v>
      </c>
      <c r="D1521" t="s">
        <v>12174</v>
      </c>
      <c r="E1521" t="s">
        <v>12175</v>
      </c>
      <c r="F1521" t="s">
        <v>12174</v>
      </c>
      <c r="G1521" s="1">
        <v>100000</v>
      </c>
      <c r="H1521" s="2">
        <v>1502607.02</v>
      </c>
      <c r="I1521" s="2">
        <v>1561402.14</v>
      </c>
      <c r="J1521" s="2">
        <v>3816.69</v>
      </c>
      <c r="K1521" s="2">
        <v>0</v>
      </c>
      <c r="L1521" s="2">
        <v>1565218.83</v>
      </c>
      <c r="M1521" s="3">
        <v>2</v>
      </c>
      <c r="N1521" s="4">
        <v>3.5610400000000001E-3</v>
      </c>
      <c r="O1521" s="5" t="s">
        <v>44</v>
      </c>
      <c r="P1521" s="5">
        <v>44995</v>
      </c>
      <c r="Q1521" s="1">
        <v>2</v>
      </c>
      <c r="R1521" s="2">
        <v>0.88</v>
      </c>
      <c r="S1521" s="6"/>
      <c r="T1521" t="s">
        <v>112</v>
      </c>
      <c r="U1521" t="s">
        <v>11040</v>
      </c>
      <c r="V1521" t="s">
        <v>11107</v>
      </c>
      <c r="W1521" t="s">
        <v>113</v>
      </c>
      <c r="X1521" t="s">
        <v>44</v>
      </c>
      <c r="Y1521" t="s">
        <v>44</v>
      </c>
      <c r="Z1521" t="s">
        <v>44</v>
      </c>
      <c r="AA1521" t="s">
        <v>10979</v>
      </c>
      <c r="AB1521" t="s">
        <v>44</v>
      </c>
      <c r="AC1521" s="4"/>
      <c r="AD1521" s="4"/>
      <c r="AE1521" s="2">
        <v>0</v>
      </c>
      <c r="AF1521" s="4">
        <v>0</v>
      </c>
      <c r="AG1521" s="2">
        <v>0.94</v>
      </c>
      <c r="AH1521" s="2">
        <v>1565218.83</v>
      </c>
      <c r="AI1521" s="2">
        <v>0</v>
      </c>
      <c r="AJ1521" s="5">
        <v>44673</v>
      </c>
      <c r="AK1521" t="s">
        <v>11080</v>
      </c>
      <c r="AL1521" s="2">
        <v>0</v>
      </c>
      <c r="AM1521" s="2">
        <v>2</v>
      </c>
      <c r="AN1521" s="2">
        <v>0</v>
      </c>
      <c r="AO1521" t="s">
        <v>11054</v>
      </c>
      <c r="AP1521" t="s">
        <v>44</v>
      </c>
      <c r="AQ1521" t="s">
        <v>12175</v>
      </c>
    </row>
    <row r="1522" spans="1:43" x14ac:dyDescent="0.2">
      <c r="A1522" t="s">
        <v>11079</v>
      </c>
      <c r="B1522" t="s">
        <v>11038</v>
      </c>
      <c r="C1522" t="s">
        <v>11039</v>
      </c>
      <c r="D1522" t="s">
        <v>12856</v>
      </c>
      <c r="E1522" t="s">
        <v>12857</v>
      </c>
      <c r="F1522" t="s">
        <v>12856</v>
      </c>
      <c r="G1522" s="1">
        <v>300000</v>
      </c>
      <c r="H1522" s="2">
        <v>4359958.1399999997</v>
      </c>
      <c r="I1522" s="2">
        <v>4684206.42</v>
      </c>
      <c r="J1522" s="2">
        <v>7900.69</v>
      </c>
      <c r="K1522" s="2">
        <v>0</v>
      </c>
      <c r="L1522" s="2">
        <v>4692107.1100000003</v>
      </c>
      <c r="M1522" s="3">
        <v>2.5299999999999998</v>
      </c>
      <c r="N1522" s="4">
        <v>1.067505E-2</v>
      </c>
      <c r="O1522" s="5" t="s">
        <v>44</v>
      </c>
      <c r="P1522" s="5">
        <v>45015</v>
      </c>
      <c r="Q1522" s="1">
        <v>2.5299999999999998</v>
      </c>
      <c r="R1522" s="2">
        <v>0.93</v>
      </c>
      <c r="S1522" s="6"/>
      <c r="T1522" t="s">
        <v>112</v>
      </c>
      <c r="U1522" t="s">
        <v>11040</v>
      </c>
      <c r="V1522" t="s">
        <v>11107</v>
      </c>
      <c r="W1522" t="s">
        <v>113</v>
      </c>
      <c r="X1522" t="s">
        <v>44</v>
      </c>
      <c r="Y1522" t="s">
        <v>44</v>
      </c>
      <c r="Z1522" t="s">
        <v>44</v>
      </c>
      <c r="AA1522" t="s">
        <v>10979</v>
      </c>
      <c r="AB1522" t="s">
        <v>44</v>
      </c>
      <c r="AC1522" s="4"/>
      <c r="AD1522" s="4"/>
      <c r="AE1522" s="2">
        <v>0</v>
      </c>
      <c r="AF1522" s="4">
        <v>0</v>
      </c>
      <c r="AG1522" s="2">
        <v>2.82</v>
      </c>
      <c r="AH1522" s="2">
        <v>4692107.1100000003</v>
      </c>
      <c r="AI1522" s="2">
        <v>0.01</v>
      </c>
      <c r="AJ1522" s="5">
        <v>44673</v>
      </c>
      <c r="AK1522" t="s">
        <v>11080</v>
      </c>
      <c r="AL1522" s="2">
        <v>0</v>
      </c>
      <c r="AM1522" s="2">
        <v>2.5299999999999998</v>
      </c>
      <c r="AN1522" s="2">
        <v>0</v>
      </c>
      <c r="AO1522" t="s">
        <v>11054</v>
      </c>
      <c r="AP1522" t="s">
        <v>44</v>
      </c>
      <c r="AQ1522" t="s">
        <v>12857</v>
      </c>
    </row>
    <row r="1523" spans="1:43" x14ac:dyDescent="0.2">
      <c r="A1523" t="s">
        <v>11079</v>
      </c>
      <c r="B1523" t="s">
        <v>10951</v>
      </c>
      <c r="C1523" t="s">
        <v>10952</v>
      </c>
      <c r="D1523" t="s">
        <v>11028</v>
      </c>
      <c r="E1523" t="s">
        <v>11029</v>
      </c>
      <c r="F1523" t="s">
        <v>11028</v>
      </c>
      <c r="G1523" s="1">
        <v>8418183.4330000002</v>
      </c>
      <c r="H1523" s="2">
        <v>8419512.9700000007</v>
      </c>
      <c r="I1523" s="2">
        <v>8429127.0700000003</v>
      </c>
      <c r="J1523" s="2">
        <v>0</v>
      </c>
      <c r="K1523" s="2">
        <v>0</v>
      </c>
      <c r="L1523" s="2">
        <v>8429127.0700000003</v>
      </c>
      <c r="M1523" s="3">
        <v>1.0013000000000001</v>
      </c>
      <c r="N1523" s="4">
        <v>1.917717E-2</v>
      </c>
      <c r="O1523" s="5" t="s">
        <v>44</v>
      </c>
      <c r="P1523" s="5" t="s">
        <v>44</v>
      </c>
      <c r="Q1523" s="1"/>
      <c r="R1523" s="2"/>
      <c r="S1523" s="6"/>
      <c r="T1523" t="s">
        <v>10902</v>
      </c>
      <c r="U1523" t="s">
        <v>10953</v>
      </c>
      <c r="V1523" t="s">
        <v>10954</v>
      </c>
      <c r="W1523" t="s">
        <v>43</v>
      </c>
      <c r="X1523" t="s">
        <v>44</v>
      </c>
      <c r="Y1523" t="s">
        <v>44</v>
      </c>
      <c r="Z1523" t="s">
        <v>44</v>
      </c>
      <c r="AA1523" t="s">
        <v>44</v>
      </c>
      <c r="AB1523" t="s">
        <v>44</v>
      </c>
      <c r="AC1523" s="4"/>
      <c r="AD1523" s="4"/>
      <c r="AE1523" s="2">
        <v>0</v>
      </c>
      <c r="AF1523" s="4">
        <v>0</v>
      </c>
      <c r="AG1523" s="2">
        <v>5.07</v>
      </c>
      <c r="AH1523" s="2">
        <v>8429127.0700000003</v>
      </c>
      <c r="AI1523" s="2">
        <v>0.02</v>
      </c>
      <c r="AJ1523" s="5">
        <v>44673</v>
      </c>
      <c r="AK1523" t="s">
        <v>11080</v>
      </c>
      <c r="AL1523" s="2">
        <v>0</v>
      </c>
      <c r="AM1523" s="2">
        <v>0</v>
      </c>
      <c r="AN1523" s="2">
        <v>0</v>
      </c>
      <c r="AO1523" t="s">
        <v>44</v>
      </c>
      <c r="AP1523" t="s">
        <v>44</v>
      </c>
      <c r="AQ1523" t="s">
        <v>11029</v>
      </c>
    </row>
    <row r="1524" spans="1:43" x14ac:dyDescent="0.2">
      <c r="A1524" t="s">
        <v>11079</v>
      </c>
      <c r="B1524" t="s">
        <v>11030</v>
      </c>
      <c r="C1524" t="s">
        <v>11030</v>
      </c>
      <c r="D1524" t="s">
        <v>11181</v>
      </c>
      <c r="E1524" t="s">
        <v>11151</v>
      </c>
      <c r="F1524" t="s">
        <v>11181</v>
      </c>
      <c r="G1524" s="1">
        <v>2</v>
      </c>
      <c r="H1524" s="2"/>
      <c r="I1524" s="2">
        <v>0</v>
      </c>
      <c r="J1524" s="2"/>
      <c r="K1524" s="2"/>
      <c r="L1524" s="2">
        <v>0</v>
      </c>
      <c r="M1524" s="3"/>
      <c r="N1524" s="4">
        <v>0</v>
      </c>
      <c r="O1524" s="5" t="s">
        <v>44</v>
      </c>
      <c r="P1524" s="5" t="s">
        <v>44</v>
      </c>
      <c r="Q1524" s="1"/>
      <c r="R1524" s="2"/>
      <c r="S1524" s="6"/>
      <c r="T1524" t="s">
        <v>11031</v>
      </c>
      <c r="U1524" t="s">
        <v>11032</v>
      </c>
      <c r="V1524" t="s">
        <v>45</v>
      </c>
      <c r="W1524" t="s">
        <v>43</v>
      </c>
      <c r="X1524" t="s">
        <v>44</v>
      </c>
      <c r="Y1524" t="s">
        <v>44</v>
      </c>
      <c r="Z1524" t="s">
        <v>44</v>
      </c>
      <c r="AA1524" t="s">
        <v>44</v>
      </c>
      <c r="AB1524" t="s">
        <v>44</v>
      </c>
      <c r="AC1524" s="4"/>
      <c r="AD1524" s="4"/>
      <c r="AE1524" s="2">
        <v>0</v>
      </c>
      <c r="AF1524" s="4">
        <v>0</v>
      </c>
      <c r="AG1524" s="2">
        <v>0</v>
      </c>
      <c r="AH1524" s="2">
        <v>-1314080</v>
      </c>
      <c r="AI1524" s="2">
        <v>0</v>
      </c>
      <c r="AJ1524" s="5">
        <v>44673</v>
      </c>
      <c r="AK1524" t="s">
        <v>11080</v>
      </c>
      <c r="AL1524" s="2">
        <v>0</v>
      </c>
      <c r="AM1524" s="2">
        <v>0</v>
      </c>
      <c r="AN1524" s="2">
        <v>0</v>
      </c>
      <c r="AO1524" t="s">
        <v>44</v>
      </c>
      <c r="AP1524" t="s">
        <v>44</v>
      </c>
      <c r="AQ1524" t="s">
        <v>11182</v>
      </c>
    </row>
    <row r="1525" spans="1:43" x14ac:dyDescent="0.2">
      <c r="A1525" t="s">
        <v>11079</v>
      </c>
      <c r="B1525" t="s">
        <v>11030</v>
      </c>
      <c r="C1525" t="s">
        <v>11030</v>
      </c>
      <c r="D1525" t="s">
        <v>12176</v>
      </c>
      <c r="E1525" t="s">
        <v>12173</v>
      </c>
      <c r="F1525" t="s">
        <v>12176</v>
      </c>
      <c r="G1525" s="1">
        <v>20</v>
      </c>
      <c r="H1525" s="2"/>
      <c r="I1525" s="2">
        <v>0</v>
      </c>
      <c r="J1525" s="2"/>
      <c r="K1525" s="2"/>
      <c r="L1525" s="2">
        <v>0</v>
      </c>
      <c r="M1525" s="3"/>
      <c r="N1525" s="4">
        <v>0</v>
      </c>
      <c r="O1525" s="5" t="s">
        <v>44</v>
      </c>
      <c r="P1525" s="5" t="s">
        <v>44</v>
      </c>
      <c r="Q1525" s="1"/>
      <c r="R1525" s="2"/>
      <c r="S1525" s="6"/>
      <c r="T1525" t="s">
        <v>11031</v>
      </c>
      <c r="U1525" t="s">
        <v>11032</v>
      </c>
      <c r="V1525" t="s">
        <v>45</v>
      </c>
      <c r="W1525" t="s">
        <v>113</v>
      </c>
      <c r="X1525" t="s">
        <v>44</v>
      </c>
      <c r="Y1525" t="s">
        <v>44</v>
      </c>
      <c r="Z1525" t="s">
        <v>44</v>
      </c>
      <c r="AA1525" t="s">
        <v>44</v>
      </c>
      <c r="AB1525" t="s">
        <v>44</v>
      </c>
      <c r="AC1525" s="4"/>
      <c r="AD1525" s="4"/>
      <c r="AE1525" s="2">
        <v>0</v>
      </c>
      <c r="AF1525" s="4">
        <v>0</v>
      </c>
      <c r="AG1525" s="2">
        <v>0</v>
      </c>
      <c r="AH1525" s="2">
        <v>-17355218.98</v>
      </c>
      <c r="AI1525" s="2">
        <v>-0.04</v>
      </c>
      <c r="AJ1525" s="5">
        <v>44673</v>
      </c>
      <c r="AK1525" t="s">
        <v>11080</v>
      </c>
      <c r="AL1525" s="2">
        <v>0</v>
      </c>
      <c r="AM1525" s="2">
        <v>0</v>
      </c>
      <c r="AN1525" s="2">
        <v>0</v>
      </c>
      <c r="AO1525" t="s">
        <v>44</v>
      </c>
      <c r="AP1525" t="s">
        <v>44</v>
      </c>
      <c r="AQ1525" t="s">
        <v>11111</v>
      </c>
    </row>
    <row r="1526" spans="1:43" x14ac:dyDescent="0.2">
      <c r="A1526" t="s">
        <v>11079</v>
      </c>
      <c r="B1526" t="s">
        <v>11030</v>
      </c>
      <c r="C1526" t="s">
        <v>11030</v>
      </c>
      <c r="D1526" t="s">
        <v>11110</v>
      </c>
      <c r="E1526" t="s">
        <v>11095</v>
      </c>
      <c r="F1526" t="s">
        <v>11110</v>
      </c>
      <c r="G1526" s="1">
        <v>1</v>
      </c>
      <c r="H1526" s="2"/>
      <c r="I1526" s="2">
        <v>0</v>
      </c>
      <c r="J1526" s="2"/>
      <c r="K1526" s="2"/>
      <c r="L1526" s="2">
        <v>0</v>
      </c>
      <c r="M1526" s="3"/>
      <c r="N1526" s="4">
        <v>0</v>
      </c>
      <c r="O1526" s="5" t="s">
        <v>44</v>
      </c>
      <c r="P1526" s="5" t="s">
        <v>44</v>
      </c>
      <c r="Q1526" s="1"/>
      <c r="R1526" s="2"/>
      <c r="S1526" s="6"/>
      <c r="T1526" t="s">
        <v>11031</v>
      </c>
      <c r="U1526" t="s">
        <v>11032</v>
      </c>
      <c r="V1526" t="s">
        <v>11073</v>
      </c>
      <c r="W1526" t="s">
        <v>481</v>
      </c>
      <c r="X1526" t="s">
        <v>44</v>
      </c>
      <c r="Y1526" t="s">
        <v>44</v>
      </c>
      <c r="Z1526" t="s">
        <v>44</v>
      </c>
      <c r="AA1526" t="s">
        <v>44</v>
      </c>
      <c r="AB1526" t="s">
        <v>44</v>
      </c>
      <c r="AC1526" s="4"/>
      <c r="AD1526" s="4"/>
      <c r="AE1526" s="2">
        <v>0</v>
      </c>
      <c r="AF1526" s="4">
        <v>0</v>
      </c>
      <c r="AG1526" s="2">
        <v>0</v>
      </c>
      <c r="AH1526" s="2">
        <v>-2452304.61</v>
      </c>
      <c r="AI1526" s="2">
        <v>-0.01</v>
      </c>
      <c r="AJ1526" s="5">
        <v>44673</v>
      </c>
      <c r="AK1526" t="s">
        <v>11080</v>
      </c>
      <c r="AL1526" s="2">
        <v>0</v>
      </c>
      <c r="AM1526" s="2">
        <v>0</v>
      </c>
      <c r="AN1526" s="2">
        <v>0</v>
      </c>
      <c r="AO1526" t="s">
        <v>44</v>
      </c>
      <c r="AP1526" t="s">
        <v>44</v>
      </c>
      <c r="AQ1526" t="s">
        <v>44</v>
      </c>
    </row>
    <row r="1527" spans="1:43" x14ac:dyDescent="0.2">
      <c r="A1527" t="s">
        <v>11079</v>
      </c>
      <c r="B1527" t="s">
        <v>11030</v>
      </c>
      <c r="C1527" t="s">
        <v>11030</v>
      </c>
      <c r="D1527" t="s">
        <v>11112</v>
      </c>
      <c r="E1527" t="s">
        <v>11098</v>
      </c>
      <c r="F1527" t="s">
        <v>11112</v>
      </c>
      <c r="G1527" s="1">
        <v>3</v>
      </c>
      <c r="H1527" s="2"/>
      <c r="I1527" s="2">
        <v>0</v>
      </c>
      <c r="J1527" s="2"/>
      <c r="K1527" s="2"/>
      <c r="L1527" s="2">
        <v>0</v>
      </c>
      <c r="M1527" s="3"/>
      <c r="N1527" s="4">
        <v>0</v>
      </c>
      <c r="O1527" s="5" t="s">
        <v>44</v>
      </c>
      <c r="P1527" s="5" t="s">
        <v>44</v>
      </c>
      <c r="Q1527" s="1"/>
      <c r="R1527" s="2"/>
      <c r="S1527" s="6"/>
      <c r="T1527" t="s">
        <v>11031</v>
      </c>
      <c r="U1527" t="s">
        <v>11032</v>
      </c>
      <c r="V1527" t="s">
        <v>11073</v>
      </c>
      <c r="W1527" t="s">
        <v>113</v>
      </c>
      <c r="X1527" t="s">
        <v>44</v>
      </c>
      <c r="Y1527" t="s">
        <v>44</v>
      </c>
      <c r="Z1527" t="s">
        <v>44</v>
      </c>
      <c r="AA1527" t="s">
        <v>44</v>
      </c>
      <c r="AB1527" t="s">
        <v>44</v>
      </c>
      <c r="AC1527" s="4"/>
      <c r="AD1527" s="4"/>
      <c r="AE1527" s="2">
        <v>0</v>
      </c>
      <c r="AF1527" s="4">
        <v>0</v>
      </c>
      <c r="AG1527" s="2">
        <v>0</v>
      </c>
      <c r="AH1527" s="2">
        <v>-5911936.9199999999</v>
      </c>
      <c r="AI1527" s="2">
        <v>-0.01</v>
      </c>
      <c r="AJ1527" s="5">
        <v>44673</v>
      </c>
      <c r="AK1527" t="s">
        <v>11080</v>
      </c>
      <c r="AL1527" s="2">
        <v>0</v>
      </c>
      <c r="AM1527" s="2">
        <v>0</v>
      </c>
      <c r="AN1527" s="2">
        <v>0</v>
      </c>
      <c r="AO1527" t="s">
        <v>44</v>
      </c>
      <c r="AP1527" t="s">
        <v>44</v>
      </c>
      <c r="AQ1527" t="s">
        <v>44</v>
      </c>
    </row>
    <row r="1528" spans="1:43" x14ac:dyDescent="0.2">
      <c r="A1528" t="s">
        <v>11113</v>
      </c>
      <c r="B1528" t="s">
        <v>10900</v>
      </c>
      <c r="C1528" t="s">
        <v>11049</v>
      </c>
      <c r="D1528" t="s">
        <v>11114</v>
      </c>
      <c r="E1528" t="s">
        <v>167</v>
      </c>
      <c r="F1528" t="s">
        <v>11114</v>
      </c>
      <c r="G1528" s="1">
        <v>130000</v>
      </c>
      <c r="H1528" s="2">
        <v>131967.88</v>
      </c>
      <c r="I1528" s="2">
        <v>133087.85999999999</v>
      </c>
      <c r="J1528" s="2">
        <v>1958.9</v>
      </c>
      <c r="K1528" s="2">
        <v>0</v>
      </c>
      <c r="L1528" s="2">
        <v>135046.76</v>
      </c>
      <c r="M1528" s="3">
        <v>7.04</v>
      </c>
      <c r="N1528" s="4">
        <v>3.0725000000000001E-4</v>
      </c>
      <c r="O1528" s="5">
        <v>44802</v>
      </c>
      <c r="P1528" s="5">
        <v>44984</v>
      </c>
      <c r="Q1528" s="1">
        <v>10</v>
      </c>
      <c r="R1528" s="2">
        <v>0.82</v>
      </c>
      <c r="S1528" s="6">
        <v>0.79120145600000003</v>
      </c>
      <c r="T1528" t="s">
        <v>111</v>
      </c>
      <c r="U1528" t="s">
        <v>111</v>
      </c>
      <c r="V1528" t="s">
        <v>10944</v>
      </c>
      <c r="W1528" t="s">
        <v>43</v>
      </c>
      <c r="X1528" t="s">
        <v>10988</v>
      </c>
      <c r="Y1528" t="s">
        <v>44</v>
      </c>
      <c r="Z1528" t="s">
        <v>44</v>
      </c>
      <c r="AA1528" t="s">
        <v>10979</v>
      </c>
      <c r="AB1528" t="s">
        <v>44</v>
      </c>
      <c r="AC1528" s="4">
        <v>7.1639039999999996</v>
      </c>
      <c r="AD1528" s="4">
        <v>6.9389138299999997</v>
      </c>
      <c r="AE1528" s="2">
        <v>7.16</v>
      </c>
      <c r="AF1528" s="4">
        <v>6.9389138299999997</v>
      </c>
      <c r="AG1528" s="2">
        <v>0</v>
      </c>
      <c r="AH1528" s="2">
        <v>135046.76</v>
      </c>
      <c r="AI1528" s="2">
        <v>0</v>
      </c>
      <c r="AJ1528" s="5">
        <v>44673</v>
      </c>
      <c r="AK1528" t="s">
        <v>11115</v>
      </c>
      <c r="AL1528" s="2">
        <v>7.04</v>
      </c>
      <c r="AM1528" s="2">
        <v>10</v>
      </c>
      <c r="AN1528" s="2">
        <v>0.79</v>
      </c>
      <c r="AO1528" t="s">
        <v>11048</v>
      </c>
      <c r="AP1528" t="s">
        <v>11116</v>
      </c>
      <c r="AQ1528" t="s">
        <v>167</v>
      </c>
    </row>
    <row r="1529" spans="1:43" x14ac:dyDescent="0.2">
      <c r="A1529" t="s">
        <v>11113</v>
      </c>
      <c r="B1529" t="s">
        <v>10900</v>
      </c>
      <c r="C1529" t="s">
        <v>11033</v>
      </c>
      <c r="D1529" t="s">
        <v>11059</v>
      </c>
      <c r="E1529" t="s">
        <v>11060</v>
      </c>
      <c r="F1529" t="s">
        <v>11059</v>
      </c>
      <c r="G1529" s="1">
        <v>170000</v>
      </c>
      <c r="H1529" s="2">
        <v>180213.22</v>
      </c>
      <c r="I1529" s="2">
        <v>182147.47</v>
      </c>
      <c r="J1529" s="2">
        <v>6709.18</v>
      </c>
      <c r="K1529" s="2">
        <v>0</v>
      </c>
      <c r="L1529" s="2">
        <v>188856.65</v>
      </c>
      <c r="M1529" s="3">
        <v>7.69</v>
      </c>
      <c r="N1529" s="4">
        <v>4.2967E-4</v>
      </c>
      <c r="O1529" s="5">
        <v>44722</v>
      </c>
      <c r="P1529" s="5">
        <v>45636</v>
      </c>
      <c r="Q1529" s="1">
        <v>10.75</v>
      </c>
      <c r="R1529" s="2">
        <v>2.2799999999999998</v>
      </c>
      <c r="S1529" s="6">
        <v>2.1998010890000002</v>
      </c>
      <c r="T1529" t="s">
        <v>111</v>
      </c>
      <c r="U1529" t="s">
        <v>111</v>
      </c>
      <c r="V1529" t="s">
        <v>10944</v>
      </c>
      <c r="W1529" t="s">
        <v>43</v>
      </c>
      <c r="X1529" t="s">
        <v>10988</v>
      </c>
      <c r="Y1529" t="s">
        <v>44</v>
      </c>
      <c r="Z1529" t="s">
        <v>44</v>
      </c>
      <c r="AA1529" t="s">
        <v>10979</v>
      </c>
      <c r="AB1529" t="s">
        <v>44</v>
      </c>
      <c r="AC1529" s="4">
        <v>7.8378402500000002</v>
      </c>
      <c r="AD1529" s="4">
        <v>7.5696180699999998</v>
      </c>
      <c r="AE1529" s="2">
        <v>7.84</v>
      </c>
      <c r="AF1529" s="4">
        <v>7.5696180699999998</v>
      </c>
      <c r="AG1529" s="2">
        <v>0.01</v>
      </c>
      <c r="AH1529" s="2">
        <v>188856.65</v>
      </c>
      <c r="AI1529" s="2">
        <v>0</v>
      </c>
      <c r="AJ1529" s="5">
        <v>44673</v>
      </c>
      <c r="AK1529" t="s">
        <v>11115</v>
      </c>
      <c r="AL1529" s="2">
        <v>7.69</v>
      </c>
      <c r="AM1529" s="2">
        <v>10.75</v>
      </c>
      <c r="AN1529" s="2">
        <v>2.2000000000000002</v>
      </c>
      <c r="AO1529" t="s">
        <v>11054</v>
      </c>
      <c r="AP1529" t="s">
        <v>11061</v>
      </c>
      <c r="AQ1529" t="s">
        <v>11060</v>
      </c>
    </row>
    <row r="1530" spans="1:43" x14ac:dyDescent="0.2">
      <c r="A1530" t="s">
        <v>11113</v>
      </c>
      <c r="B1530" t="s">
        <v>10900</v>
      </c>
      <c r="C1530" t="s">
        <v>10943</v>
      </c>
      <c r="D1530" t="s">
        <v>10977</v>
      </c>
      <c r="E1530" t="s">
        <v>10978</v>
      </c>
      <c r="F1530" t="s">
        <v>10977</v>
      </c>
      <c r="G1530" s="1">
        <v>22096800</v>
      </c>
      <c r="H1530" s="2">
        <v>22444141.73</v>
      </c>
      <c r="I1530" s="2">
        <v>20768168.030000001</v>
      </c>
      <c r="J1530" s="2">
        <v>1016958.3</v>
      </c>
      <c r="K1530" s="2">
        <v>0</v>
      </c>
      <c r="L1530" s="2">
        <v>21785126.329999998</v>
      </c>
      <c r="M1530" s="3">
        <v>11.88</v>
      </c>
      <c r="N1530" s="4">
        <v>4.9563509999999998E-2</v>
      </c>
      <c r="O1530" s="5">
        <v>44697</v>
      </c>
      <c r="P1530" s="5">
        <v>46888</v>
      </c>
      <c r="Q1530" s="1">
        <v>10.565</v>
      </c>
      <c r="R1530" s="2">
        <v>4.7300000000000004</v>
      </c>
      <c r="S1530" s="6">
        <v>4.4668326030000003</v>
      </c>
      <c r="T1530" t="s">
        <v>111</v>
      </c>
      <c r="U1530" t="s">
        <v>111</v>
      </c>
      <c r="V1530" t="s">
        <v>10944</v>
      </c>
      <c r="W1530" t="s">
        <v>43</v>
      </c>
      <c r="X1530" t="s">
        <v>44</v>
      </c>
      <c r="Y1530" t="s">
        <v>44</v>
      </c>
      <c r="Z1530" t="s">
        <v>44</v>
      </c>
      <c r="AA1530" t="s">
        <v>10979</v>
      </c>
      <c r="AB1530" t="s">
        <v>44</v>
      </c>
      <c r="AC1530" s="4">
        <v>12.232836000000001</v>
      </c>
      <c r="AD1530" s="4">
        <v>11.596213730000001</v>
      </c>
      <c r="AE1530" s="2">
        <v>12.23</v>
      </c>
      <c r="AF1530" s="4">
        <v>11.596213730000001</v>
      </c>
      <c r="AG1530" s="2">
        <v>0.79</v>
      </c>
      <c r="AH1530" s="2">
        <v>21785126.329999998</v>
      </c>
      <c r="AI1530" s="2">
        <v>0.05</v>
      </c>
      <c r="AJ1530" s="5">
        <v>44673</v>
      </c>
      <c r="AK1530" t="s">
        <v>11115</v>
      </c>
      <c r="AL1530" s="2">
        <v>11.88</v>
      </c>
      <c r="AM1530" s="2">
        <v>10.56</v>
      </c>
      <c r="AN1530" s="2">
        <v>4.47</v>
      </c>
      <c r="AO1530" t="s">
        <v>10980</v>
      </c>
      <c r="AP1530" t="s">
        <v>10981</v>
      </c>
      <c r="AQ1530" t="s">
        <v>10978</v>
      </c>
    </row>
    <row r="1531" spans="1:43" x14ac:dyDescent="0.2">
      <c r="A1531" t="s">
        <v>11113</v>
      </c>
      <c r="B1531" t="s">
        <v>10900</v>
      </c>
      <c r="C1531" t="s">
        <v>10950</v>
      </c>
      <c r="D1531" t="s">
        <v>11141</v>
      </c>
      <c r="E1531" t="s">
        <v>11142</v>
      </c>
      <c r="F1531" t="s">
        <v>11141</v>
      </c>
      <c r="G1531" s="1">
        <v>124600000</v>
      </c>
      <c r="H1531" s="2">
        <v>100527199.38</v>
      </c>
      <c r="I1531" s="2">
        <v>102419505.44</v>
      </c>
      <c r="J1531" s="2">
        <v>1650730.32</v>
      </c>
      <c r="K1531" s="2">
        <v>0</v>
      </c>
      <c r="L1531" s="2">
        <v>104070235.76000001</v>
      </c>
      <c r="M1531" s="3">
        <v>10.805</v>
      </c>
      <c r="N1531" s="4">
        <v>0.23677098999999999</v>
      </c>
      <c r="O1531" s="5">
        <v>44804</v>
      </c>
      <c r="P1531" s="5">
        <v>54116</v>
      </c>
      <c r="Q1531" s="1">
        <v>8.75</v>
      </c>
      <c r="R1531" s="2">
        <v>9.2200000000000006</v>
      </c>
      <c r="S1531" s="6">
        <v>8.7507641760000006</v>
      </c>
      <c r="T1531" t="s">
        <v>111</v>
      </c>
      <c r="U1531" t="s">
        <v>111</v>
      </c>
      <c r="V1531" t="s">
        <v>10944</v>
      </c>
      <c r="W1531" t="s">
        <v>43</v>
      </c>
      <c r="X1531" t="s">
        <v>10945</v>
      </c>
      <c r="Y1531" t="s">
        <v>44</v>
      </c>
      <c r="Z1531" t="s">
        <v>44</v>
      </c>
      <c r="AA1531" t="s">
        <v>10913</v>
      </c>
      <c r="AB1531" t="s">
        <v>44</v>
      </c>
      <c r="AC1531" s="4">
        <v>11.096870060000001</v>
      </c>
      <c r="AD1531" s="4">
        <v>10.56950999</v>
      </c>
      <c r="AE1531" s="2">
        <v>11.1</v>
      </c>
      <c r="AF1531" s="4">
        <v>10.56950999</v>
      </c>
      <c r="AG1531" s="2">
        <v>3.77</v>
      </c>
      <c r="AH1531" s="2">
        <v>104070235.76000001</v>
      </c>
      <c r="AI1531" s="2">
        <v>0.24</v>
      </c>
      <c r="AJ1531" s="5">
        <v>44673</v>
      </c>
      <c r="AK1531" t="s">
        <v>11115</v>
      </c>
      <c r="AL1531" s="2">
        <v>10.8</v>
      </c>
      <c r="AM1531" s="2">
        <v>8.75</v>
      </c>
      <c r="AN1531" s="2">
        <v>8.75</v>
      </c>
      <c r="AO1531" t="s">
        <v>10922</v>
      </c>
      <c r="AP1531" t="s">
        <v>11143</v>
      </c>
      <c r="AQ1531" t="s">
        <v>11142</v>
      </c>
    </row>
    <row r="1532" spans="1:43" x14ac:dyDescent="0.2">
      <c r="A1532" t="s">
        <v>11113</v>
      </c>
      <c r="B1532" t="s">
        <v>10900</v>
      </c>
      <c r="C1532" t="s">
        <v>10950</v>
      </c>
      <c r="D1532" t="s">
        <v>10983</v>
      </c>
      <c r="E1532" t="s">
        <v>10984</v>
      </c>
      <c r="F1532" t="s">
        <v>10983</v>
      </c>
      <c r="G1532" s="1">
        <v>119560000</v>
      </c>
      <c r="H1532" s="2">
        <v>101526347.19</v>
      </c>
      <c r="I1532" s="2">
        <v>99968001.700000003</v>
      </c>
      <c r="J1532" s="2">
        <v>2247335.85</v>
      </c>
      <c r="K1532" s="2">
        <v>0</v>
      </c>
      <c r="L1532" s="2">
        <v>102215337.55</v>
      </c>
      <c r="M1532" s="3">
        <v>10.734999999999999</v>
      </c>
      <c r="N1532" s="4">
        <v>0.2325509</v>
      </c>
      <c r="O1532" s="5">
        <v>44774</v>
      </c>
      <c r="P1532" s="5">
        <v>50071</v>
      </c>
      <c r="Q1532" s="1">
        <v>8.5</v>
      </c>
      <c r="R1532" s="2">
        <v>7.91</v>
      </c>
      <c r="S1532" s="6">
        <v>7.5106016819999999</v>
      </c>
      <c r="T1532" t="s">
        <v>111</v>
      </c>
      <c r="U1532" t="s">
        <v>111</v>
      </c>
      <c r="V1532" t="s">
        <v>10944</v>
      </c>
      <c r="W1532" t="s">
        <v>43</v>
      </c>
      <c r="X1532" t="s">
        <v>10945</v>
      </c>
      <c r="Y1532" t="s">
        <v>44</v>
      </c>
      <c r="Z1532" t="s">
        <v>44</v>
      </c>
      <c r="AA1532" t="s">
        <v>10913</v>
      </c>
      <c r="AB1532" t="s">
        <v>44</v>
      </c>
      <c r="AC1532" s="4">
        <v>11.02310056</v>
      </c>
      <c r="AD1532" s="4">
        <v>10.50250368</v>
      </c>
      <c r="AE1532" s="2">
        <v>11.02</v>
      </c>
      <c r="AF1532" s="4">
        <v>10.50250368</v>
      </c>
      <c r="AG1532" s="2">
        <v>3.71</v>
      </c>
      <c r="AH1532" s="2">
        <v>102215337.55</v>
      </c>
      <c r="AI1532" s="2">
        <v>0.23</v>
      </c>
      <c r="AJ1532" s="5">
        <v>44673</v>
      </c>
      <c r="AK1532" t="s">
        <v>11115</v>
      </c>
      <c r="AL1532" s="2">
        <v>10.73</v>
      </c>
      <c r="AM1532" s="2">
        <v>8.5</v>
      </c>
      <c r="AN1532" s="2">
        <v>7.51</v>
      </c>
      <c r="AO1532" t="s">
        <v>10922</v>
      </c>
      <c r="AP1532" t="s">
        <v>10985</v>
      </c>
      <c r="AQ1532" t="s">
        <v>10984</v>
      </c>
    </row>
    <row r="1533" spans="1:43" x14ac:dyDescent="0.2">
      <c r="A1533" t="s">
        <v>11113</v>
      </c>
      <c r="B1533" t="s">
        <v>10900</v>
      </c>
      <c r="C1533" t="s">
        <v>10950</v>
      </c>
      <c r="D1533" t="s">
        <v>10986</v>
      </c>
      <c r="E1533" t="s">
        <v>10987</v>
      </c>
      <c r="F1533" t="s">
        <v>10986</v>
      </c>
      <c r="G1533" s="1">
        <v>125290000</v>
      </c>
      <c r="H1533" s="2">
        <v>114347632.44</v>
      </c>
      <c r="I1533" s="2">
        <v>113315546.06999999</v>
      </c>
      <c r="J1533" s="2">
        <v>516606.71</v>
      </c>
      <c r="K1533" s="2">
        <v>0</v>
      </c>
      <c r="L1533" s="2">
        <v>113832152.78</v>
      </c>
      <c r="M1533" s="3">
        <v>12.05</v>
      </c>
      <c r="N1533" s="4">
        <v>0.2589804</v>
      </c>
      <c r="O1533" s="5">
        <v>44844</v>
      </c>
      <c r="P1533" s="5">
        <v>51418</v>
      </c>
      <c r="Q1533" s="1">
        <v>10.75</v>
      </c>
      <c r="R1533" s="2">
        <v>7.89</v>
      </c>
      <c r="S1533" s="6">
        <v>7.4432483840000003</v>
      </c>
      <c r="T1533" t="s">
        <v>111</v>
      </c>
      <c r="U1533" t="s">
        <v>111</v>
      </c>
      <c r="V1533" t="s">
        <v>10944</v>
      </c>
      <c r="W1533" t="s">
        <v>43</v>
      </c>
      <c r="X1533" t="s">
        <v>10988</v>
      </c>
      <c r="Y1533" t="s">
        <v>44</v>
      </c>
      <c r="Z1533" t="s">
        <v>44</v>
      </c>
      <c r="AA1533" t="s">
        <v>10979</v>
      </c>
      <c r="AB1533" t="s">
        <v>44</v>
      </c>
      <c r="AC1533" s="4">
        <v>12.41300625</v>
      </c>
      <c r="AD1533" s="4">
        <v>11.758178470000001</v>
      </c>
      <c r="AE1533" s="2">
        <v>12.41</v>
      </c>
      <c r="AF1533" s="4">
        <v>11.758178470000001</v>
      </c>
      <c r="AG1533" s="2">
        <v>4.13</v>
      </c>
      <c r="AH1533" s="2">
        <v>113832152.78</v>
      </c>
      <c r="AI1533" s="2">
        <v>0.26</v>
      </c>
      <c r="AJ1533" s="5">
        <v>44673</v>
      </c>
      <c r="AK1533" t="s">
        <v>11115</v>
      </c>
      <c r="AL1533" s="2">
        <v>12.05</v>
      </c>
      <c r="AM1533" s="2">
        <v>10.75</v>
      </c>
      <c r="AN1533" s="2">
        <v>7.44</v>
      </c>
      <c r="AO1533" t="s">
        <v>10982</v>
      </c>
      <c r="AP1533" t="s">
        <v>10989</v>
      </c>
      <c r="AQ1533" t="s">
        <v>10987</v>
      </c>
    </row>
    <row r="1534" spans="1:43" x14ac:dyDescent="0.2">
      <c r="A1534" t="s">
        <v>11113</v>
      </c>
      <c r="B1534" t="s">
        <v>45</v>
      </c>
      <c r="C1534" t="s">
        <v>11000</v>
      </c>
      <c r="D1534" t="s">
        <v>11081</v>
      </c>
      <c r="E1534" t="s">
        <v>11082</v>
      </c>
      <c r="F1534" t="s">
        <v>11081</v>
      </c>
      <c r="G1534" s="1">
        <v>996.35</v>
      </c>
      <c r="H1534" s="2">
        <v>21109.11</v>
      </c>
      <c r="I1534" s="2">
        <v>19966.93</v>
      </c>
      <c r="J1534" s="2">
        <v>0</v>
      </c>
      <c r="K1534" s="2">
        <v>0</v>
      </c>
      <c r="L1534" s="2">
        <v>19966.93</v>
      </c>
      <c r="M1534" s="3">
        <v>0</v>
      </c>
      <c r="N1534" s="4">
        <v>4.5429999999999997E-5</v>
      </c>
      <c r="O1534" s="5" t="s">
        <v>44</v>
      </c>
      <c r="P1534" s="5">
        <v>47818</v>
      </c>
      <c r="Q1534" s="1">
        <v>0</v>
      </c>
      <c r="R1534" s="2">
        <v>0.08</v>
      </c>
      <c r="S1534" s="6"/>
      <c r="T1534" t="s">
        <v>112</v>
      </c>
      <c r="U1534" t="s">
        <v>46</v>
      </c>
      <c r="V1534" t="s">
        <v>46</v>
      </c>
      <c r="W1534" t="s">
        <v>481</v>
      </c>
      <c r="X1534" t="s">
        <v>44</v>
      </c>
      <c r="Y1534" t="s">
        <v>44</v>
      </c>
      <c r="Z1534" t="s">
        <v>44</v>
      </c>
      <c r="AA1534" t="s">
        <v>10913</v>
      </c>
      <c r="AB1534" t="s">
        <v>44</v>
      </c>
      <c r="AC1534" s="4"/>
      <c r="AD1534" s="4"/>
      <c r="AE1534" s="2">
        <v>0</v>
      </c>
      <c r="AF1534" s="4">
        <v>0</v>
      </c>
      <c r="AG1534" s="2">
        <v>0</v>
      </c>
      <c r="AH1534" s="2">
        <v>19966.93</v>
      </c>
      <c r="AI1534" s="2">
        <v>0</v>
      </c>
      <c r="AJ1534" s="5">
        <v>44673</v>
      </c>
      <c r="AK1534" t="s">
        <v>11115</v>
      </c>
      <c r="AL1534" s="2">
        <v>0</v>
      </c>
      <c r="AM1534" s="2">
        <v>0</v>
      </c>
      <c r="AN1534" s="2">
        <v>0</v>
      </c>
      <c r="AO1534" t="s">
        <v>11074</v>
      </c>
      <c r="AP1534" t="s">
        <v>44</v>
      </c>
      <c r="AQ1534" t="s">
        <v>11082</v>
      </c>
    </row>
    <row r="1535" spans="1:43" x14ac:dyDescent="0.2">
      <c r="A1535" t="s">
        <v>11113</v>
      </c>
      <c r="B1535" t="s">
        <v>45</v>
      </c>
      <c r="C1535" t="s">
        <v>11000</v>
      </c>
      <c r="D1535" t="s">
        <v>11081</v>
      </c>
      <c r="E1535" t="s">
        <v>11082</v>
      </c>
      <c r="F1535" t="s">
        <v>11081</v>
      </c>
      <c r="G1535" s="1">
        <v>-3900</v>
      </c>
      <c r="H1535" s="2">
        <v>-80246.91</v>
      </c>
      <c r="I1535" s="2">
        <v>-78156.31</v>
      </c>
      <c r="J1535" s="2">
        <v>0</v>
      </c>
      <c r="K1535" s="2">
        <v>0</v>
      </c>
      <c r="L1535" s="2">
        <v>-78156.31</v>
      </c>
      <c r="M1535" s="3">
        <v>0</v>
      </c>
      <c r="N1535" s="4">
        <v>-1.7781000000000001E-4</v>
      </c>
      <c r="O1535" s="5" t="s">
        <v>44</v>
      </c>
      <c r="P1535" s="5">
        <v>47818</v>
      </c>
      <c r="Q1535" s="1">
        <v>0</v>
      </c>
      <c r="R1535" s="2">
        <v>0.08</v>
      </c>
      <c r="S1535" s="6"/>
      <c r="T1535" t="s">
        <v>112</v>
      </c>
      <c r="U1535" t="s">
        <v>46</v>
      </c>
      <c r="V1535" t="s">
        <v>46</v>
      </c>
      <c r="W1535" t="s">
        <v>481</v>
      </c>
      <c r="X1535" t="s">
        <v>44</v>
      </c>
      <c r="Y1535" t="s">
        <v>44</v>
      </c>
      <c r="Z1535" t="s">
        <v>44</v>
      </c>
      <c r="AA1535" t="s">
        <v>10913</v>
      </c>
      <c r="AB1535" t="s">
        <v>44</v>
      </c>
      <c r="AC1535" s="4"/>
      <c r="AD1535" s="4"/>
      <c r="AE1535" s="2">
        <v>0</v>
      </c>
      <c r="AF1535" s="4">
        <v>0</v>
      </c>
      <c r="AG1535" s="2">
        <v>0</v>
      </c>
      <c r="AH1535" s="2">
        <v>-78156.31</v>
      </c>
      <c r="AI1535" s="2">
        <v>0</v>
      </c>
      <c r="AJ1535" s="5">
        <v>44673</v>
      </c>
      <c r="AK1535" t="s">
        <v>11115</v>
      </c>
      <c r="AL1535" s="2">
        <v>0</v>
      </c>
      <c r="AM1535" s="2">
        <v>0</v>
      </c>
      <c r="AN1535" s="2">
        <v>0</v>
      </c>
      <c r="AO1535" t="s">
        <v>11074</v>
      </c>
      <c r="AP1535" t="s">
        <v>44</v>
      </c>
      <c r="AQ1535" t="s">
        <v>11082</v>
      </c>
    </row>
    <row r="1536" spans="1:43" x14ac:dyDescent="0.2">
      <c r="A1536" t="s">
        <v>11113</v>
      </c>
      <c r="B1536" t="s">
        <v>45</v>
      </c>
      <c r="C1536" t="s">
        <v>11000</v>
      </c>
      <c r="D1536" t="s">
        <v>11075</v>
      </c>
      <c r="E1536" t="s">
        <v>11076</v>
      </c>
      <c r="F1536" t="s">
        <v>11075</v>
      </c>
      <c r="G1536" s="1">
        <v>2210739.14</v>
      </c>
      <c r="H1536" s="2">
        <v>32879595.66</v>
      </c>
      <c r="I1536" s="2">
        <v>34518528.219999999</v>
      </c>
      <c r="J1536" s="2">
        <v>0</v>
      </c>
      <c r="K1536" s="2">
        <v>0</v>
      </c>
      <c r="L1536" s="2">
        <v>34518528.219999999</v>
      </c>
      <c r="M1536" s="3">
        <v>0</v>
      </c>
      <c r="N1536" s="4">
        <v>7.8533370000000005E-2</v>
      </c>
      <c r="O1536" s="5" t="s">
        <v>44</v>
      </c>
      <c r="P1536" s="5">
        <v>47848</v>
      </c>
      <c r="Q1536" s="1">
        <v>0</v>
      </c>
      <c r="R1536" s="2">
        <v>0.08</v>
      </c>
      <c r="S1536" s="6"/>
      <c r="T1536" t="s">
        <v>112</v>
      </c>
      <c r="U1536" t="s">
        <v>46</v>
      </c>
      <c r="V1536" t="s">
        <v>46</v>
      </c>
      <c r="W1536" t="s">
        <v>113</v>
      </c>
      <c r="X1536" t="s">
        <v>44</v>
      </c>
      <c r="Y1536" t="s">
        <v>44</v>
      </c>
      <c r="Z1536" t="s">
        <v>44</v>
      </c>
      <c r="AA1536" t="s">
        <v>10913</v>
      </c>
      <c r="AB1536" t="s">
        <v>44</v>
      </c>
      <c r="AC1536" s="4"/>
      <c r="AD1536" s="4"/>
      <c r="AE1536" s="2">
        <v>0</v>
      </c>
      <c r="AF1536" s="4">
        <v>0</v>
      </c>
      <c r="AG1536" s="2">
        <v>1.25</v>
      </c>
      <c r="AH1536" s="2">
        <v>34518528.219999999</v>
      </c>
      <c r="AI1536" s="2">
        <v>0.08</v>
      </c>
      <c r="AJ1536" s="5">
        <v>44673</v>
      </c>
      <c r="AK1536" t="s">
        <v>11115</v>
      </c>
      <c r="AL1536" s="2">
        <v>0</v>
      </c>
      <c r="AM1536" s="2">
        <v>0</v>
      </c>
      <c r="AN1536" s="2">
        <v>0</v>
      </c>
      <c r="AO1536" t="s">
        <v>11074</v>
      </c>
      <c r="AP1536" t="s">
        <v>44</v>
      </c>
      <c r="AQ1536" t="s">
        <v>11076</v>
      </c>
    </row>
    <row r="1537" spans="1:43" x14ac:dyDescent="0.2">
      <c r="A1537" t="s">
        <v>11113</v>
      </c>
      <c r="B1537" t="s">
        <v>45</v>
      </c>
      <c r="C1537" t="s">
        <v>11000</v>
      </c>
      <c r="D1537" t="s">
        <v>11001</v>
      </c>
      <c r="E1537" t="s">
        <v>11002</v>
      </c>
      <c r="F1537" t="s">
        <v>11001</v>
      </c>
      <c r="G1537" s="1">
        <v>65660757.289999999</v>
      </c>
      <c r="H1537" s="2">
        <v>65660757.280000001</v>
      </c>
      <c r="I1537" s="2">
        <v>65660757.280000001</v>
      </c>
      <c r="J1537" s="2">
        <v>153886.66</v>
      </c>
      <c r="K1537" s="2">
        <v>0</v>
      </c>
      <c r="L1537" s="2">
        <v>65814643.939999998</v>
      </c>
      <c r="M1537" s="3"/>
      <c r="N1537" s="4">
        <v>0.14973539999999999</v>
      </c>
      <c r="O1537" s="5">
        <v>40756</v>
      </c>
      <c r="P1537" s="5">
        <v>73020</v>
      </c>
      <c r="Q1537" s="1">
        <v>0</v>
      </c>
      <c r="R1537" s="2"/>
      <c r="S1537" s="6"/>
      <c r="T1537" t="s">
        <v>111</v>
      </c>
      <c r="U1537" t="s">
        <v>11003</v>
      </c>
      <c r="V1537" t="s">
        <v>46</v>
      </c>
      <c r="W1537" t="s">
        <v>43</v>
      </c>
      <c r="X1537" t="s">
        <v>44</v>
      </c>
      <c r="Y1537" t="s">
        <v>44</v>
      </c>
      <c r="Z1537" t="s">
        <v>44</v>
      </c>
      <c r="AA1537" t="s">
        <v>44</v>
      </c>
      <c r="AB1537" t="s">
        <v>44</v>
      </c>
      <c r="AC1537" s="4"/>
      <c r="AD1537" s="4"/>
      <c r="AE1537" s="2">
        <v>0</v>
      </c>
      <c r="AF1537" s="4">
        <v>0</v>
      </c>
      <c r="AG1537" s="2">
        <v>2.39</v>
      </c>
      <c r="AH1537" s="2">
        <v>65814643.939999998</v>
      </c>
      <c r="AI1537" s="2">
        <v>0.15</v>
      </c>
      <c r="AJ1537" s="5">
        <v>44673</v>
      </c>
      <c r="AK1537" t="s">
        <v>11115</v>
      </c>
      <c r="AL1537" s="2">
        <v>0</v>
      </c>
      <c r="AM1537" s="2">
        <v>0</v>
      </c>
      <c r="AN1537" s="2">
        <v>0</v>
      </c>
      <c r="AO1537" t="s">
        <v>44</v>
      </c>
      <c r="AP1537" t="s">
        <v>11004</v>
      </c>
      <c r="AQ1537" t="s">
        <v>11002</v>
      </c>
    </row>
    <row r="1538" spans="1:43" x14ac:dyDescent="0.2">
      <c r="A1538" t="s">
        <v>11113</v>
      </c>
      <c r="B1538" t="s">
        <v>45</v>
      </c>
      <c r="C1538" t="s">
        <v>11144</v>
      </c>
      <c r="D1538" t="s">
        <v>11145</v>
      </c>
      <c r="E1538" t="s">
        <v>11146</v>
      </c>
      <c r="F1538" t="s">
        <v>11147</v>
      </c>
      <c r="G1538" s="1">
        <v>959430</v>
      </c>
      <c r="H1538" s="2">
        <v>959430</v>
      </c>
      <c r="I1538" s="2">
        <v>959430</v>
      </c>
      <c r="J1538" s="2">
        <v>2554.0100000000002</v>
      </c>
      <c r="K1538" s="2">
        <v>0</v>
      </c>
      <c r="L1538" s="2">
        <v>961984.01</v>
      </c>
      <c r="M1538" s="3">
        <v>6.88</v>
      </c>
      <c r="N1538" s="4">
        <v>2.1886200000000001E-3</v>
      </c>
      <c r="O1538" s="5" t="s">
        <v>44</v>
      </c>
      <c r="P1538" s="5">
        <v>55153</v>
      </c>
      <c r="Q1538" s="1">
        <v>6.88</v>
      </c>
      <c r="R1538" s="2">
        <v>0.08</v>
      </c>
      <c r="S1538" s="6">
        <v>2.6006750000000002E-3</v>
      </c>
      <c r="T1538" t="s">
        <v>112</v>
      </c>
      <c r="U1538" t="s">
        <v>46</v>
      </c>
      <c r="V1538" t="s">
        <v>11148</v>
      </c>
      <c r="W1538" t="s">
        <v>43</v>
      </c>
      <c r="X1538" t="s">
        <v>44</v>
      </c>
      <c r="Y1538" t="s">
        <v>44</v>
      </c>
      <c r="Z1538" t="s">
        <v>44</v>
      </c>
      <c r="AA1538" t="s">
        <v>44</v>
      </c>
      <c r="AB1538" t="s">
        <v>44</v>
      </c>
      <c r="AC1538" s="4"/>
      <c r="AD1538" s="4"/>
      <c r="AE1538" s="2">
        <v>0</v>
      </c>
      <c r="AF1538" s="4">
        <v>0</v>
      </c>
      <c r="AG1538" s="2">
        <v>0.03</v>
      </c>
      <c r="AH1538" s="2">
        <v>961984.01</v>
      </c>
      <c r="AI1538" s="2">
        <v>0</v>
      </c>
      <c r="AJ1538" s="5">
        <v>44673</v>
      </c>
      <c r="AK1538" t="s">
        <v>11115</v>
      </c>
      <c r="AL1538" s="2">
        <v>0</v>
      </c>
      <c r="AM1538" s="2">
        <v>6.88</v>
      </c>
      <c r="AN1538" s="2">
        <v>0</v>
      </c>
      <c r="AO1538" t="s">
        <v>11146</v>
      </c>
      <c r="AP1538" t="s">
        <v>44</v>
      </c>
      <c r="AQ1538" t="s">
        <v>11146</v>
      </c>
    </row>
    <row r="1539" spans="1:43" x14ac:dyDescent="0.2">
      <c r="A1539" t="s">
        <v>11113</v>
      </c>
      <c r="B1539" t="s">
        <v>45</v>
      </c>
      <c r="C1539" t="s">
        <v>47</v>
      </c>
      <c r="D1539" t="s">
        <v>11077</v>
      </c>
      <c r="E1539" t="s">
        <v>11078</v>
      </c>
      <c r="F1539" t="s">
        <v>11077</v>
      </c>
      <c r="G1539" s="1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3"/>
      <c r="N1539" s="4">
        <v>0</v>
      </c>
      <c r="O1539" s="5" t="s">
        <v>44</v>
      </c>
      <c r="P1539" s="5" t="s">
        <v>44</v>
      </c>
      <c r="Q1539" s="1"/>
      <c r="R1539" s="2">
        <v>0.08</v>
      </c>
      <c r="S1539" s="6"/>
      <c r="T1539" t="s">
        <v>45</v>
      </c>
      <c r="U1539" t="s">
        <v>53</v>
      </c>
      <c r="V1539" t="s">
        <v>44</v>
      </c>
      <c r="W1539" t="s">
        <v>481</v>
      </c>
      <c r="X1539" t="s">
        <v>44</v>
      </c>
      <c r="Y1539" t="s">
        <v>44</v>
      </c>
      <c r="Z1539" t="s">
        <v>44</v>
      </c>
      <c r="AA1539" t="s">
        <v>44</v>
      </c>
      <c r="AB1539" t="s">
        <v>44</v>
      </c>
      <c r="AC1539" s="4"/>
      <c r="AD1539" s="4"/>
      <c r="AE1539" s="2">
        <v>0</v>
      </c>
      <c r="AF1539" s="4">
        <v>0</v>
      </c>
      <c r="AG1539" s="2">
        <v>0</v>
      </c>
      <c r="AH1539" s="2">
        <v>0</v>
      </c>
      <c r="AI1539" s="2">
        <v>0</v>
      </c>
      <c r="AJ1539" s="5">
        <v>44673</v>
      </c>
      <c r="AK1539" t="s">
        <v>11115</v>
      </c>
      <c r="AL1539" s="2">
        <v>0</v>
      </c>
      <c r="AM1539" s="2">
        <v>0</v>
      </c>
      <c r="AN1539" s="2">
        <v>0</v>
      </c>
      <c r="AO1539" t="s">
        <v>44</v>
      </c>
      <c r="AP1539" t="s">
        <v>44</v>
      </c>
      <c r="AQ1539" t="s">
        <v>481</v>
      </c>
    </row>
    <row r="1540" spans="1:43" x14ac:dyDescent="0.2">
      <c r="A1540" t="s">
        <v>11113</v>
      </c>
      <c r="B1540" t="s">
        <v>45</v>
      </c>
      <c r="C1540" t="s">
        <v>47</v>
      </c>
      <c r="D1540" t="s">
        <v>48</v>
      </c>
      <c r="E1540" t="s">
        <v>49</v>
      </c>
      <c r="F1540" t="s">
        <v>50</v>
      </c>
      <c r="G1540" s="1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35615.980000000003</v>
      </c>
      <c r="M1540" s="3"/>
      <c r="N1540" s="4">
        <v>8.1030000000000002E-5</v>
      </c>
      <c r="O1540" s="5" t="s">
        <v>44</v>
      </c>
      <c r="P1540" s="5" t="s">
        <v>44</v>
      </c>
      <c r="Q1540" s="1"/>
      <c r="R1540" s="2">
        <v>0.08</v>
      </c>
      <c r="S1540" s="6"/>
      <c r="T1540" t="s">
        <v>45</v>
      </c>
      <c r="U1540" t="s">
        <v>46</v>
      </c>
      <c r="V1540" t="s">
        <v>44</v>
      </c>
      <c r="W1540" t="s">
        <v>43</v>
      </c>
      <c r="X1540" t="s">
        <v>44</v>
      </c>
      <c r="Y1540" t="s">
        <v>44</v>
      </c>
      <c r="Z1540" t="s">
        <v>44</v>
      </c>
      <c r="AA1540" t="s">
        <v>44</v>
      </c>
      <c r="AB1540" t="s">
        <v>44</v>
      </c>
      <c r="AC1540" s="4">
        <v>5.1163389600000002</v>
      </c>
      <c r="AD1540" s="4">
        <v>5.0001424999999999</v>
      </c>
      <c r="AE1540" s="2">
        <v>5.12</v>
      </c>
      <c r="AF1540" s="4">
        <v>5.0001424999999999</v>
      </c>
      <c r="AG1540" s="2">
        <v>0</v>
      </c>
      <c r="AH1540" s="2">
        <v>35615.980000000003</v>
      </c>
      <c r="AI1540" s="2">
        <v>0</v>
      </c>
      <c r="AJ1540" s="5">
        <v>44673</v>
      </c>
      <c r="AK1540" t="s">
        <v>11115</v>
      </c>
      <c r="AL1540" s="2">
        <v>5.05</v>
      </c>
      <c r="AM1540" s="2">
        <v>0</v>
      </c>
      <c r="AN1540" s="2">
        <v>0</v>
      </c>
      <c r="AO1540" t="s">
        <v>44</v>
      </c>
      <c r="AP1540" t="s">
        <v>44</v>
      </c>
      <c r="AQ1540" t="s">
        <v>44</v>
      </c>
    </row>
    <row r="1541" spans="1:43" x14ac:dyDescent="0.2">
      <c r="A1541" t="s">
        <v>11113</v>
      </c>
      <c r="B1541" t="s">
        <v>45</v>
      </c>
      <c r="C1541" t="s">
        <v>47</v>
      </c>
      <c r="D1541" t="s">
        <v>11117</v>
      </c>
      <c r="E1541" t="s">
        <v>11118</v>
      </c>
      <c r="F1541" t="s">
        <v>11117</v>
      </c>
      <c r="G1541" s="1">
        <v>1263</v>
      </c>
      <c r="H1541" s="2">
        <v>190.59</v>
      </c>
      <c r="I1541" s="2">
        <v>153.47</v>
      </c>
      <c r="J1541" s="2">
        <v>0</v>
      </c>
      <c r="K1541" s="2">
        <v>0</v>
      </c>
      <c r="L1541" s="2">
        <v>153.47</v>
      </c>
      <c r="M1541" s="3"/>
      <c r="N1541" s="4">
        <v>3.4999999999999998E-7</v>
      </c>
      <c r="O1541" s="5" t="s">
        <v>44</v>
      </c>
      <c r="P1541" s="5" t="s">
        <v>44</v>
      </c>
      <c r="Q1541" s="1"/>
      <c r="R1541" s="2">
        <v>0.08</v>
      </c>
      <c r="S1541" s="6"/>
      <c r="T1541" t="s">
        <v>45</v>
      </c>
      <c r="U1541" t="s">
        <v>53</v>
      </c>
      <c r="V1541" t="s">
        <v>44</v>
      </c>
      <c r="W1541" t="s">
        <v>446</v>
      </c>
      <c r="X1541" t="s">
        <v>44</v>
      </c>
      <c r="Y1541" t="s">
        <v>44</v>
      </c>
      <c r="Z1541" t="s">
        <v>44</v>
      </c>
      <c r="AA1541" t="s">
        <v>44</v>
      </c>
      <c r="AB1541" t="s">
        <v>44</v>
      </c>
      <c r="AC1541" s="4"/>
      <c r="AD1541" s="4"/>
      <c r="AE1541" s="2">
        <v>0</v>
      </c>
      <c r="AF1541" s="4">
        <v>0</v>
      </c>
      <c r="AG1541" s="2">
        <v>0</v>
      </c>
      <c r="AH1541" s="2">
        <v>153.47</v>
      </c>
      <c r="AI1541" s="2">
        <v>0</v>
      </c>
      <c r="AJ1541" s="5">
        <v>44673</v>
      </c>
      <c r="AK1541" t="s">
        <v>11115</v>
      </c>
      <c r="AL1541" s="2">
        <v>0</v>
      </c>
      <c r="AM1541" s="2">
        <v>0</v>
      </c>
      <c r="AN1541" s="2">
        <v>0</v>
      </c>
      <c r="AO1541" t="s">
        <v>44</v>
      </c>
      <c r="AP1541" t="s">
        <v>44</v>
      </c>
      <c r="AQ1541" t="s">
        <v>446</v>
      </c>
    </row>
    <row r="1542" spans="1:43" x14ac:dyDescent="0.2">
      <c r="A1542" t="s">
        <v>11113</v>
      </c>
      <c r="B1542" t="s">
        <v>45</v>
      </c>
      <c r="C1542" t="s">
        <v>47</v>
      </c>
      <c r="D1542" t="s">
        <v>51</v>
      </c>
      <c r="E1542" t="s">
        <v>52</v>
      </c>
      <c r="F1542" t="s">
        <v>51</v>
      </c>
      <c r="G1542" s="1">
        <v>1337090.27</v>
      </c>
      <c r="H1542" s="2">
        <v>1337090.27</v>
      </c>
      <c r="I1542" s="2">
        <v>1337090.27</v>
      </c>
      <c r="J1542" s="2">
        <v>0</v>
      </c>
      <c r="K1542" s="2">
        <v>0</v>
      </c>
      <c r="L1542" s="2">
        <v>1337090.27</v>
      </c>
      <c r="M1542" s="3"/>
      <c r="N1542" s="4">
        <v>3.0420199999999999E-3</v>
      </c>
      <c r="O1542" s="5" t="s">
        <v>44</v>
      </c>
      <c r="P1542" s="5" t="s">
        <v>44</v>
      </c>
      <c r="Q1542" s="1"/>
      <c r="R1542" s="2">
        <v>0.08</v>
      </c>
      <c r="S1542" s="6"/>
      <c r="T1542" t="s">
        <v>45</v>
      </c>
      <c r="U1542" t="s">
        <v>53</v>
      </c>
      <c r="V1542" t="s">
        <v>44</v>
      </c>
      <c r="W1542" t="s">
        <v>43</v>
      </c>
      <c r="X1542" t="s">
        <v>44</v>
      </c>
      <c r="Y1542" t="s">
        <v>44</v>
      </c>
      <c r="Z1542" t="s">
        <v>44</v>
      </c>
      <c r="AA1542" t="s">
        <v>44</v>
      </c>
      <c r="AB1542" t="s">
        <v>44</v>
      </c>
      <c r="AC1542" s="4">
        <v>5.1163389600000002</v>
      </c>
      <c r="AD1542" s="4">
        <v>5.0001424999999999</v>
      </c>
      <c r="AE1542" s="2">
        <v>5.12</v>
      </c>
      <c r="AF1542" s="4">
        <v>5.0001424999999999</v>
      </c>
      <c r="AG1542" s="2">
        <v>0.05</v>
      </c>
      <c r="AH1542" s="2">
        <v>1337090.27</v>
      </c>
      <c r="AI1542" s="2">
        <v>0</v>
      </c>
      <c r="AJ1542" s="5">
        <v>44673</v>
      </c>
      <c r="AK1542" t="s">
        <v>11115</v>
      </c>
      <c r="AL1542" s="2">
        <v>5.05</v>
      </c>
      <c r="AM1542" s="2">
        <v>0</v>
      </c>
      <c r="AN1542" s="2">
        <v>0</v>
      </c>
      <c r="AO1542" t="s">
        <v>44</v>
      </c>
      <c r="AP1542" t="s">
        <v>44</v>
      </c>
      <c r="AQ1542" t="s">
        <v>43</v>
      </c>
    </row>
    <row r="1543" spans="1:43" x14ac:dyDescent="0.2">
      <c r="A1543" t="s">
        <v>11113</v>
      </c>
      <c r="B1543" t="s">
        <v>45</v>
      </c>
      <c r="C1543" t="s">
        <v>47</v>
      </c>
      <c r="D1543" t="s">
        <v>11045</v>
      </c>
      <c r="E1543" t="s">
        <v>11046</v>
      </c>
      <c r="F1543" t="s">
        <v>11045</v>
      </c>
      <c r="G1543" s="1">
        <v>923065.63</v>
      </c>
      <c r="H1543" s="2">
        <v>13505094.85</v>
      </c>
      <c r="I1543" s="2">
        <v>14412766.49</v>
      </c>
      <c r="J1543" s="2">
        <v>0</v>
      </c>
      <c r="K1543" s="2">
        <v>0</v>
      </c>
      <c r="L1543" s="2">
        <v>14412766.49</v>
      </c>
      <c r="M1543" s="3">
        <v>1</v>
      </c>
      <c r="N1543" s="4">
        <v>3.2790600000000003E-2</v>
      </c>
      <c r="O1543" s="5" t="s">
        <v>44</v>
      </c>
      <c r="P1543" s="5" t="s">
        <v>44</v>
      </c>
      <c r="Q1543" s="1"/>
      <c r="R1543" s="2">
        <v>0.08</v>
      </c>
      <c r="S1543" s="6"/>
      <c r="T1543" t="s">
        <v>45</v>
      </c>
      <c r="U1543" t="s">
        <v>53</v>
      </c>
      <c r="V1543" t="s">
        <v>44</v>
      </c>
      <c r="W1543" t="s">
        <v>113</v>
      </c>
      <c r="X1543" t="s">
        <v>44</v>
      </c>
      <c r="Y1543" t="s">
        <v>44</v>
      </c>
      <c r="Z1543" t="s">
        <v>44</v>
      </c>
      <c r="AA1543" t="s">
        <v>44</v>
      </c>
      <c r="AB1543" t="s">
        <v>44</v>
      </c>
      <c r="AC1543" s="4"/>
      <c r="AD1543" s="4"/>
      <c r="AE1543" s="2">
        <v>0</v>
      </c>
      <c r="AF1543" s="4">
        <v>0</v>
      </c>
      <c r="AG1543" s="2">
        <v>0.52</v>
      </c>
      <c r="AH1543" s="2">
        <v>14412766.49</v>
      </c>
      <c r="AI1543" s="2">
        <v>0.03</v>
      </c>
      <c r="AJ1543" s="5">
        <v>44673</v>
      </c>
      <c r="AK1543" t="s">
        <v>11115</v>
      </c>
      <c r="AL1543" s="2">
        <v>0</v>
      </c>
      <c r="AM1543" s="2">
        <v>0</v>
      </c>
      <c r="AN1543" s="2">
        <v>0</v>
      </c>
      <c r="AO1543" t="s">
        <v>44</v>
      </c>
      <c r="AP1543" t="s">
        <v>44</v>
      </c>
      <c r="AQ1543" t="s">
        <v>113</v>
      </c>
    </row>
    <row r="1544" spans="1:43" x14ac:dyDescent="0.2">
      <c r="A1544" t="s">
        <v>11113</v>
      </c>
      <c r="B1544" t="s">
        <v>45</v>
      </c>
      <c r="C1544" t="s">
        <v>11005</v>
      </c>
      <c r="D1544" t="s">
        <v>11006</v>
      </c>
      <c r="E1544" t="s">
        <v>11007</v>
      </c>
      <c r="F1544" t="s">
        <v>11006</v>
      </c>
      <c r="G1544" s="1">
        <v>-75566.38</v>
      </c>
      <c r="H1544" s="2">
        <v>-75566.38</v>
      </c>
      <c r="I1544" s="2">
        <v>-75566.38</v>
      </c>
      <c r="J1544" s="2">
        <v>0</v>
      </c>
      <c r="K1544" s="2"/>
      <c r="L1544" s="2">
        <v>-75566.38</v>
      </c>
      <c r="M1544" s="3"/>
      <c r="N1544" s="4">
        <v>-1.7191999999999999E-4</v>
      </c>
      <c r="O1544" s="5" t="s">
        <v>44</v>
      </c>
      <c r="P1544" s="5">
        <v>73051</v>
      </c>
      <c r="Q1544" s="1">
        <v>0</v>
      </c>
      <c r="R1544" s="2">
        <v>0.08</v>
      </c>
      <c r="S1544" s="6"/>
      <c r="T1544" t="s">
        <v>45</v>
      </c>
      <c r="U1544" t="s">
        <v>11008</v>
      </c>
      <c r="V1544" t="s">
        <v>44</v>
      </c>
      <c r="W1544" t="s">
        <v>43</v>
      </c>
      <c r="X1544" t="s">
        <v>44</v>
      </c>
      <c r="Y1544" t="s">
        <v>44</v>
      </c>
      <c r="Z1544" t="s">
        <v>44</v>
      </c>
      <c r="AA1544" t="s">
        <v>44</v>
      </c>
      <c r="AB1544" t="s">
        <v>44</v>
      </c>
      <c r="AC1544" s="4">
        <v>5.1163389600000002</v>
      </c>
      <c r="AD1544" s="4">
        <v>5.0001424999999999</v>
      </c>
      <c r="AE1544" s="2">
        <v>5.12</v>
      </c>
      <c r="AF1544" s="4">
        <v>5.0001424999999999</v>
      </c>
      <c r="AG1544" s="2">
        <v>0</v>
      </c>
      <c r="AH1544" s="2">
        <v>-75566.38</v>
      </c>
      <c r="AI1544" s="2">
        <v>0</v>
      </c>
      <c r="AJ1544" s="5">
        <v>44673</v>
      </c>
      <c r="AK1544" t="s">
        <v>11115</v>
      </c>
      <c r="AL1544" s="2">
        <v>5.05</v>
      </c>
      <c r="AM1544" s="2">
        <v>0</v>
      </c>
      <c r="AN1544" s="2">
        <v>0</v>
      </c>
      <c r="AO1544" t="s">
        <v>44</v>
      </c>
      <c r="AP1544" t="s">
        <v>44</v>
      </c>
      <c r="AQ1544" t="s">
        <v>44</v>
      </c>
    </row>
    <row r="1545" spans="1:43" x14ac:dyDescent="0.2">
      <c r="A1545" t="s">
        <v>11113</v>
      </c>
      <c r="B1545" t="s">
        <v>45</v>
      </c>
      <c r="C1545" t="s">
        <v>11005</v>
      </c>
      <c r="D1545" t="s">
        <v>11009</v>
      </c>
      <c r="E1545" t="s">
        <v>11010</v>
      </c>
      <c r="F1545" t="s">
        <v>44</v>
      </c>
      <c r="G1545" s="1">
        <v>-553226.22</v>
      </c>
      <c r="H1545" s="2">
        <v>-553226.22</v>
      </c>
      <c r="I1545" s="2">
        <v>-553226.22</v>
      </c>
      <c r="J1545" s="2">
        <v>0</v>
      </c>
      <c r="K1545" s="2"/>
      <c r="L1545" s="2">
        <v>-553226.22</v>
      </c>
      <c r="M1545" s="3"/>
      <c r="N1545" s="4">
        <v>-1.25865E-3</v>
      </c>
      <c r="O1545" s="5" t="s">
        <v>44</v>
      </c>
      <c r="P1545" s="5">
        <v>73051</v>
      </c>
      <c r="Q1545" s="1">
        <v>0</v>
      </c>
      <c r="R1545" s="2">
        <v>0.08</v>
      </c>
      <c r="S1545" s="6"/>
      <c r="T1545" t="s">
        <v>45</v>
      </c>
      <c r="U1545" t="s">
        <v>44</v>
      </c>
      <c r="V1545" t="s">
        <v>44</v>
      </c>
      <c r="W1545" t="s">
        <v>43</v>
      </c>
      <c r="X1545" t="s">
        <v>44</v>
      </c>
      <c r="Y1545" t="s">
        <v>44</v>
      </c>
      <c r="Z1545" t="s">
        <v>44</v>
      </c>
      <c r="AA1545" t="s">
        <v>44</v>
      </c>
      <c r="AB1545" t="s">
        <v>44</v>
      </c>
      <c r="AC1545" s="4">
        <v>5.1163389600000002</v>
      </c>
      <c r="AD1545" s="4">
        <v>5.0001424999999999</v>
      </c>
      <c r="AE1545" s="2">
        <v>5.12</v>
      </c>
      <c r="AF1545" s="4">
        <v>5.0001424999999999</v>
      </c>
      <c r="AG1545" s="2">
        <v>-0.02</v>
      </c>
      <c r="AH1545" s="2">
        <v>-553226.22</v>
      </c>
      <c r="AI1545" s="2">
        <v>0</v>
      </c>
      <c r="AJ1545" s="5">
        <v>44673</v>
      </c>
      <c r="AK1545" t="s">
        <v>11115</v>
      </c>
      <c r="AL1545" s="2">
        <v>5.05</v>
      </c>
      <c r="AM1545" s="2">
        <v>0</v>
      </c>
      <c r="AN1545" s="2">
        <v>0</v>
      </c>
      <c r="AO1545" t="s">
        <v>44</v>
      </c>
      <c r="AP1545" t="s">
        <v>44</v>
      </c>
      <c r="AQ1545" t="s">
        <v>44</v>
      </c>
    </row>
    <row r="1546" spans="1:43" x14ac:dyDescent="0.2">
      <c r="A1546" t="s">
        <v>11113</v>
      </c>
      <c r="B1546" t="s">
        <v>45</v>
      </c>
      <c r="C1546" t="s">
        <v>11005</v>
      </c>
      <c r="D1546" t="s">
        <v>11011</v>
      </c>
      <c r="E1546" t="s">
        <v>11012</v>
      </c>
      <c r="F1546" t="s">
        <v>44</v>
      </c>
      <c r="G1546" s="1">
        <v>-49041.05</v>
      </c>
      <c r="H1546" s="2">
        <v>-49041.05</v>
      </c>
      <c r="I1546" s="2">
        <v>-49041.05</v>
      </c>
      <c r="J1546" s="2">
        <v>0</v>
      </c>
      <c r="K1546" s="2"/>
      <c r="L1546" s="2">
        <v>-49041.05</v>
      </c>
      <c r="M1546" s="3"/>
      <c r="N1546" s="4">
        <v>-1.1157E-4</v>
      </c>
      <c r="O1546" s="5" t="s">
        <v>44</v>
      </c>
      <c r="P1546" s="5">
        <v>73051</v>
      </c>
      <c r="Q1546" s="1">
        <v>0</v>
      </c>
      <c r="R1546" s="2">
        <v>0.08</v>
      </c>
      <c r="S1546" s="6"/>
      <c r="T1546" t="s">
        <v>45</v>
      </c>
      <c r="U1546" t="s">
        <v>44</v>
      </c>
      <c r="V1546" t="s">
        <v>44</v>
      </c>
      <c r="W1546" t="s">
        <v>43</v>
      </c>
      <c r="X1546" t="s">
        <v>44</v>
      </c>
      <c r="Y1546" t="s">
        <v>44</v>
      </c>
      <c r="Z1546" t="s">
        <v>44</v>
      </c>
      <c r="AA1546" t="s">
        <v>44</v>
      </c>
      <c r="AB1546" t="s">
        <v>44</v>
      </c>
      <c r="AC1546" s="4">
        <v>5.1163389600000002</v>
      </c>
      <c r="AD1546" s="4">
        <v>5.0001424999999999</v>
      </c>
      <c r="AE1546" s="2">
        <v>5.12</v>
      </c>
      <c r="AF1546" s="4">
        <v>5.0001424999999999</v>
      </c>
      <c r="AG1546" s="2">
        <v>0</v>
      </c>
      <c r="AH1546" s="2">
        <v>-49041.05</v>
      </c>
      <c r="AI1546" s="2">
        <v>0</v>
      </c>
      <c r="AJ1546" s="5">
        <v>44673</v>
      </c>
      <c r="AK1546" t="s">
        <v>11115</v>
      </c>
      <c r="AL1546" s="2">
        <v>5.05</v>
      </c>
      <c r="AM1546" s="2">
        <v>0</v>
      </c>
      <c r="AN1546" s="2">
        <v>0</v>
      </c>
      <c r="AO1546" t="s">
        <v>44</v>
      </c>
      <c r="AP1546" t="s">
        <v>44</v>
      </c>
      <c r="AQ1546" t="s">
        <v>44</v>
      </c>
    </row>
    <row r="1547" spans="1:43" x14ac:dyDescent="0.2">
      <c r="A1547" t="s">
        <v>11113</v>
      </c>
      <c r="B1547" t="s">
        <v>45</v>
      </c>
      <c r="C1547" t="s">
        <v>11005</v>
      </c>
      <c r="D1547" t="s">
        <v>11149</v>
      </c>
      <c r="E1547" t="s">
        <v>11150</v>
      </c>
      <c r="F1547" t="s">
        <v>44</v>
      </c>
      <c r="G1547" s="1">
        <v>-153050</v>
      </c>
      <c r="H1547" s="2">
        <v>-153050</v>
      </c>
      <c r="I1547" s="2">
        <v>-153050</v>
      </c>
      <c r="J1547" s="2">
        <v>0</v>
      </c>
      <c r="K1547" s="2"/>
      <c r="L1547" s="2">
        <v>-153050</v>
      </c>
      <c r="M1547" s="3"/>
      <c r="N1547" s="4">
        <v>-3.4821E-4</v>
      </c>
      <c r="O1547" s="5" t="s">
        <v>44</v>
      </c>
      <c r="P1547" s="5">
        <v>73051</v>
      </c>
      <c r="Q1547" s="1">
        <v>0</v>
      </c>
      <c r="R1547" s="2">
        <v>0.08</v>
      </c>
      <c r="S1547" s="6"/>
      <c r="T1547" t="s">
        <v>45</v>
      </c>
      <c r="U1547" t="s">
        <v>44</v>
      </c>
      <c r="V1547" t="s">
        <v>44</v>
      </c>
      <c r="W1547" t="s">
        <v>43</v>
      </c>
      <c r="X1547" t="s">
        <v>44</v>
      </c>
      <c r="Y1547" t="s">
        <v>44</v>
      </c>
      <c r="Z1547" t="s">
        <v>44</v>
      </c>
      <c r="AA1547" t="s">
        <v>44</v>
      </c>
      <c r="AB1547" t="s">
        <v>44</v>
      </c>
      <c r="AC1547" s="4">
        <v>5.1163389600000002</v>
      </c>
      <c r="AD1547" s="4">
        <v>5.0001424999999999</v>
      </c>
      <c r="AE1547" s="2">
        <v>5.12</v>
      </c>
      <c r="AF1547" s="4">
        <v>5.0001424999999999</v>
      </c>
      <c r="AG1547" s="2">
        <v>-0.01</v>
      </c>
      <c r="AH1547" s="2">
        <v>-153050</v>
      </c>
      <c r="AI1547" s="2">
        <v>0</v>
      </c>
      <c r="AJ1547" s="5">
        <v>44673</v>
      </c>
      <c r="AK1547" t="s">
        <v>11115</v>
      </c>
      <c r="AL1547" s="2">
        <v>5.05</v>
      </c>
      <c r="AM1547" s="2">
        <v>0</v>
      </c>
      <c r="AN1547" s="2">
        <v>0</v>
      </c>
      <c r="AO1547" t="s">
        <v>44</v>
      </c>
      <c r="AP1547" t="s">
        <v>44</v>
      </c>
      <c r="AQ1547" t="s">
        <v>44</v>
      </c>
    </row>
    <row r="1548" spans="1:43" x14ac:dyDescent="0.2">
      <c r="A1548" t="s">
        <v>11113</v>
      </c>
      <c r="B1548" t="s">
        <v>11013</v>
      </c>
      <c r="C1548" t="s">
        <v>11014</v>
      </c>
      <c r="D1548" t="s">
        <v>11083</v>
      </c>
      <c r="E1548" t="s">
        <v>11084</v>
      </c>
      <c r="F1548" t="s">
        <v>11083</v>
      </c>
      <c r="G1548" s="1">
        <v>246691349.85730001</v>
      </c>
      <c r="H1548" s="2">
        <v>275886158.30000001</v>
      </c>
      <c r="I1548" s="2">
        <v>318749893.14999998</v>
      </c>
      <c r="J1548" s="2">
        <v>0</v>
      </c>
      <c r="K1548" s="2">
        <v>0</v>
      </c>
      <c r="L1548" s="2">
        <v>318749893.14999998</v>
      </c>
      <c r="M1548" s="3">
        <v>1.2921</v>
      </c>
      <c r="N1548" s="4">
        <v>0.72519032999999999</v>
      </c>
      <c r="O1548" s="5" t="s">
        <v>44</v>
      </c>
      <c r="P1548" s="5" t="s">
        <v>44</v>
      </c>
      <c r="Q1548" s="1"/>
      <c r="R1548" s="2"/>
      <c r="S1548" s="6"/>
      <c r="T1548" t="s">
        <v>10902</v>
      </c>
      <c r="U1548" t="s">
        <v>11003</v>
      </c>
      <c r="V1548" t="s">
        <v>11003</v>
      </c>
      <c r="W1548" t="s">
        <v>43</v>
      </c>
      <c r="X1548" t="s">
        <v>44</v>
      </c>
      <c r="Y1548" t="s">
        <v>44</v>
      </c>
      <c r="Z1548" t="s">
        <v>44</v>
      </c>
      <c r="AA1548" t="s">
        <v>44</v>
      </c>
      <c r="AB1548" t="s">
        <v>44</v>
      </c>
      <c r="AC1548" s="4"/>
      <c r="AD1548" s="4"/>
      <c r="AE1548" s="2">
        <v>0</v>
      </c>
      <c r="AF1548" s="4">
        <v>0</v>
      </c>
      <c r="AG1548" s="2">
        <v>11.56</v>
      </c>
      <c r="AH1548" s="2">
        <v>318749893.14999998</v>
      </c>
      <c r="AI1548" s="2">
        <v>0.73</v>
      </c>
      <c r="AJ1548" s="5">
        <v>44673</v>
      </c>
      <c r="AK1548" t="s">
        <v>11115</v>
      </c>
      <c r="AL1548" s="2">
        <v>0</v>
      </c>
      <c r="AM1548" s="2">
        <v>0</v>
      </c>
      <c r="AN1548" s="2">
        <v>0</v>
      </c>
      <c r="AO1548" t="s">
        <v>44</v>
      </c>
      <c r="AP1548" t="s">
        <v>11085</v>
      </c>
      <c r="AQ1548" t="s">
        <v>11084</v>
      </c>
    </row>
    <row r="1549" spans="1:43" x14ac:dyDescent="0.2">
      <c r="A1549" t="s">
        <v>11113</v>
      </c>
      <c r="B1549" t="s">
        <v>11013</v>
      </c>
      <c r="C1549" t="s">
        <v>11014</v>
      </c>
      <c r="D1549" t="s">
        <v>11086</v>
      </c>
      <c r="E1549" t="s">
        <v>11087</v>
      </c>
      <c r="F1549" t="s">
        <v>11086</v>
      </c>
      <c r="G1549" s="1">
        <v>167159469.55970001</v>
      </c>
      <c r="H1549" s="2">
        <v>191545801.75999999</v>
      </c>
      <c r="I1549" s="2">
        <v>205923750.55000001</v>
      </c>
      <c r="J1549" s="2">
        <v>0</v>
      </c>
      <c r="K1549" s="2">
        <v>0</v>
      </c>
      <c r="L1549" s="2">
        <v>205923750.55000001</v>
      </c>
      <c r="M1549" s="3">
        <v>1.2319</v>
      </c>
      <c r="N1549" s="4">
        <v>0.46849869999999999</v>
      </c>
      <c r="O1549" s="5" t="s">
        <v>44</v>
      </c>
      <c r="P1549" s="5" t="s">
        <v>44</v>
      </c>
      <c r="Q1549" s="1"/>
      <c r="R1549" s="2"/>
      <c r="S1549" s="6"/>
      <c r="T1549" t="s">
        <v>10902</v>
      </c>
      <c r="U1549" t="s">
        <v>11003</v>
      </c>
      <c r="V1549" t="s">
        <v>11003</v>
      </c>
      <c r="W1549" t="s">
        <v>43</v>
      </c>
      <c r="X1549" t="s">
        <v>44</v>
      </c>
      <c r="Y1549" t="s">
        <v>44</v>
      </c>
      <c r="Z1549" t="s">
        <v>44</v>
      </c>
      <c r="AA1549" t="s">
        <v>44</v>
      </c>
      <c r="AB1549" t="s">
        <v>44</v>
      </c>
      <c r="AC1549" s="4"/>
      <c r="AD1549" s="4"/>
      <c r="AE1549" s="2">
        <v>0</v>
      </c>
      <c r="AF1549" s="4">
        <v>0</v>
      </c>
      <c r="AG1549" s="2">
        <v>7.47</v>
      </c>
      <c r="AH1549" s="2">
        <v>205923750.55000001</v>
      </c>
      <c r="AI1549" s="2">
        <v>0.47</v>
      </c>
      <c r="AJ1549" s="5">
        <v>44673</v>
      </c>
      <c r="AK1549" t="s">
        <v>11115</v>
      </c>
      <c r="AL1549" s="2">
        <v>0</v>
      </c>
      <c r="AM1549" s="2">
        <v>0</v>
      </c>
      <c r="AN1549" s="2">
        <v>0</v>
      </c>
      <c r="AO1549" t="s">
        <v>44</v>
      </c>
      <c r="AP1549" t="s">
        <v>11088</v>
      </c>
      <c r="AQ1549" t="s">
        <v>11087</v>
      </c>
    </row>
    <row r="1550" spans="1:43" x14ac:dyDescent="0.2">
      <c r="A1550" t="s">
        <v>11113</v>
      </c>
      <c r="B1550" t="s">
        <v>11013</v>
      </c>
      <c r="C1550" t="s">
        <v>11014</v>
      </c>
      <c r="D1550" t="s">
        <v>12854</v>
      </c>
      <c r="E1550" t="s">
        <v>12855</v>
      </c>
      <c r="F1550" t="s">
        <v>12854</v>
      </c>
      <c r="G1550" s="1">
        <v>17296779.738000002</v>
      </c>
      <c r="H1550" s="2">
        <v>175372049.75999999</v>
      </c>
      <c r="I1550" s="2">
        <v>170995964.49000001</v>
      </c>
      <c r="J1550" s="2">
        <v>0</v>
      </c>
      <c r="K1550" s="2">
        <v>0</v>
      </c>
      <c r="L1550" s="2">
        <v>170995964.49000001</v>
      </c>
      <c r="M1550" s="3">
        <v>9.8859999999999992</v>
      </c>
      <c r="N1550" s="4">
        <v>0.38903422999999998</v>
      </c>
      <c r="O1550" s="5" t="s">
        <v>44</v>
      </c>
      <c r="P1550" s="5" t="s">
        <v>44</v>
      </c>
      <c r="Q1550" s="1"/>
      <c r="R1550" s="2"/>
      <c r="S1550" s="6"/>
      <c r="T1550" t="s">
        <v>10902</v>
      </c>
      <c r="U1550" t="s">
        <v>11003</v>
      </c>
      <c r="V1550" t="s">
        <v>11003</v>
      </c>
      <c r="W1550" t="s">
        <v>43</v>
      </c>
      <c r="X1550" t="s">
        <v>44</v>
      </c>
      <c r="Y1550" t="s">
        <v>44</v>
      </c>
      <c r="Z1550" t="s">
        <v>44</v>
      </c>
      <c r="AA1550" t="s">
        <v>44</v>
      </c>
      <c r="AB1550" t="s">
        <v>44</v>
      </c>
      <c r="AC1550" s="4"/>
      <c r="AD1550" s="4"/>
      <c r="AE1550" s="2">
        <v>0</v>
      </c>
      <c r="AF1550" s="4">
        <v>0</v>
      </c>
      <c r="AG1550" s="2">
        <v>6.2</v>
      </c>
      <c r="AH1550" s="2">
        <v>170995964.49000001</v>
      </c>
      <c r="AI1550" s="2">
        <v>0.39</v>
      </c>
      <c r="AJ1550" s="5">
        <v>44673</v>
      </c>
      <c r="AK1550" t="s">
        <v>11115</v>
      </c>
      <c r="AL1550" s="2">
        <v>0</v>
      </c>
      <c r="AM1550" s="2">
        <v>0</v>
      </c>
      <c r="AN1550" s="2">
        <v>0</v>
      </c>
      <c r="AO1550" t="s">
        <v>44</v>
      </c>
      <c r="AP1550" t="s">
        <v>44</v>
      </c>
      <c r="AQ1550" t="s">
        <v>12855</v>
      </c>
    </row>
    <row r="1551" spans="1:43" x14ac:dyDescent="0.2">
      <c r="A1551" t="s">
        <v>11113</v>
      </c>
      <c r="B1551" t="s">
        <v>11013</v>
      </c>
      <c r="C1551" t="s">
        <v>11014</v>
      </c>
      <c r="D1551" t="s">
        <v>11018</v>
      </c>
      <c r="E1551" t="s">
        <v>11019</v>
      </c>
      <c r="F1551" t="s">
        <v>11018</v>
      </c>
      <c r="G1551" s="1">
        <v>140425356.82120001</v>
      </c>
      <c r="H1551" s="2">
        <v>141386114.96000001</v>
      </c>
      <c r="I1551" s="2">
        <v>141211738.81999999</v>
      </c>
      <c r="J1551" s="2">
        <v>0</v>
      </c>
      <c r="K1551" s="2">
        <v>0</v>
      </c>
      <c r="L1551" s="2">
        <v>141211738.81999999</v>
      </c>
      <c r="M1551" s="3">
        <v>1.0056</v>
      </c>
      <c r="N1551" s="4">
        <v>0.32127190999999999</v>
      </c>
      <c r="O1551" s="5" t="s">
        <v>44</v>
      </c>
      <c r="P1551" s="5" t="s">
        <v>44</v>
      </c>
      <c r="Q1551" s="1"/>
      <c r="R1551" s="2"/>
      <c r="S1551" s="6"/>
      <c r="T1551" t="s">
        <v>10902</v>
      </c>
      <c r="U1551" t="s">
        <v>11003</v>
      </c>
      <c r="V1551" t="s">
        <v>11003</v>
      </c>
      <c r="W1551" t="s">
        <v>43</v>
      </c>
      <c r="X1551" t="s">
        <v>44</v>
      </c>
      <c r="Y1551" t="s">
        <v>44</v>
      </c>
      <c r="Z1551" t="s">
        <v>44</v>
      </c>
      <c r="AA1551" t="s">
        <v>44</v>
      </c>
      <c r="AB1551" t="s">
        <v>44</v>
      </c>
      <c r="AC1551" s="4"/>
      <c r="AD1551" s="4"/>
      <c r="AE1551" s="2">
        <v>0</v>
      </c>
      <c r="AF1551" s="4">
        <v>0</v>
      </c>
      <c r="AG1551" s="2">
        <v>5.12</v>
      </c>
      <c r="AH1551" s="2">
        <v>141211738.81999999</v>
      </c>
      <c r="AI1551" s="2">
        <v>0.32</v>
      </c>
      <c r="AJ1551" s="5">
        <v>44673</v>
      </c>
      <c r="AK1551" t="s">
        <v>11115</v>
      </c>
      <c r="AL1551" s="2">
        <v>0</v>
      </c>
      <c r="AM1551" s="2">
        <v>0</v>
      </c>
      <c r="AN1551" s="2">
        <v>0</v>
      </c>
      <c r="AO1551" t="s">
        <v>44</v>
      </c>
      <c r="AP1551" t="s">
        <v>11020</v>
      </c>
      <c r="AQ1551" t="s">
        <v>11019</v>
      </c>
    </row>
    <row r="1552" spans="1:43" x14ac:dyDescent="0.2">
      <c r="A1552" t="s">
        <v>11113</v>
      </c>
      <c r="B1552" t="s">
        <v>11013</v>
      </c>
      <c r="C1552" t="s">
        <v>11014</v>
      </c>
      <c r="D1552" t="s">
        <v>11021</v>
      </c>
      <c r="E1552" t="s">
        <v>11022</v>
      </c>
      <c r="F1552" t="s">
        <v>11021</v>
      </c>
      <c r="G1552" s="1">
        <v>68813603.545699999</v>
      </c>
      <c r="H1552" s="2">
        <v>63757429.670000002</v>
      </c>
      <c r="I1552" s="2">
        <v>69088857.959999993</v>
      </c>
      <c r="J1552" s="2">
        <v>0</v>
      </c>
      <c r="K1552" s="2">
        <v>0</v>
      </c>
      <c r="L1552" s="2">
        <v>69088857.959999993</v>
      </c>
      <c r="M1552" s="3">
        <v>1.004</v>
      </c>
      <c r="N1552" s="4">
        <v>0.15718459000000001</v>
      </c>
      <c r="O1552" s="5" t="s">
        <v>44</v>
      </c>
      <c r="P1552" s="5" t="s">
        <v>44</v>
      </c>
      <c r="Q1552" s="1"/>
      <c r="R1552" s="2"/>
      <c r="S1552" s="6"/>
      <c r="T1552" t="s">
        <v>10902</v>
      </c>
      <c r="U1552" t="s">
        <v>11003</v>
      </c>
      <c r="V1552" t="s">
        <v>11003</v>
      </c>
      <c r="W1552" t="s">
        <v>43</v>
      </c>
      <c r="X1552" t="s">
        <v>44</v>
      </c>
      <c r="Y1552" t="s">
        <v>44</v>
      </c>
      <c r="Z1552" t="s">
        <v>44</v>
      </c>
      <c r="AA1552" t="s">
        <v>44</v>
      </c>
      <c r="AB1552" t="s">
        <v>44</v>
      </c>
      <c r="AC1552" s="4"/>
      <c r="AD1552" s="4"/>
      <c r="AE1552" s="2">
        <v>0</v>
      </c>
      <c r="AF1552" s="4">
        <v>0</v>
      </c>
      <c r="AG1552" s="2">
        <v>2.5099999999999998</v>
      </c>
      <c r="AH1552" s="2">
        <v>69088857.959999993</v>
      </c>
      <c r="AI1552" s="2">
        <v>0.16</v>
      </c>
      <c r="AJ1552" s="5">
        <v>44673</v>
      </c>
      <c r="AK1552" t="s">
        <v>11115</v>
      </c>
      <c r="AL1552" s="2">
        <v>0</v>
      </c>
      <c r="AM1552" s="2">
        <v>0</v>
      </c>
      <c r="AN1552" s="2">
        <v>0</v>
      </c>
      <c r="AO1552" t="s">
        <v>44</v>
      </c>
      <c r="AP1552" t="s">
        <v>11023</v>
      </c>
      <c r="AQ1552" t="s">
        <v>11022</v>
      </c>
    </row>
    <row r="1553" spans="1:43" x14ac:dyDescent="0.2">
      <c r="A1553" t="s">
        <v>11113</v>
      </c>
      <c r="B1553" t="s">
        <v>11013</v>
      </c>
      <c r="C1553" t="s">
        <v>11047</v>
      </c>
      <c r="D1553" t="s">
        <v>11119</v>
      </c>
      <c r="E1553" t="s">
        <v>11120</v>
      </c>
      <c r="F1553" t="s">
        <v>11119</v>
      </c>
      <c r="G1553" s="1">
        <v>1385898.8513</v>
      </c>
      <c r="H1553" s="2">
        <v>202370381.44999999</v>
      </c>
      <c r="I1553" s="2">
        <v>220268005.46000001</v>
      </c>
      <c r="J1553" s="2">
        <v>0</v>
      </c>
      <c r="K1553" s="2">
        <v>0</v>
      </c>
      <c r="L1553" s="2">
        <v>220268005.46000001</v>
      </c>
      <c r="M1553" s="3">
        <v>10.179</v>
      </c>
      <c r="N1553" s="4">
        <v>0.50113342999999999</v>
      </c>
      <c r="O1553" s="5" t="s">
        <v>44</v>
      </c>
      <c r="P1553" s="5" t="s">
        <v>44</v>
      </c>
      <c r="Q1553" s="1"/>
      <c r="R1553" s="2"/>
      <c r="S1553" s="6"/>
      <c r="T1553" t="s">
        <v>10902</v>
      </c>
      <c r="U1553" t="s">
        <v>11003</v>
      </c>
      <c r="V1553" t="s">
        <v>11003</v>
      </c>
      <c r="W1553" t="s">
        <v>113</v>
      </c>
      <c r="X1553" t="s">
        <v>44</v>
      </c>
      <c r="Y1553" t="s">
        <v>44</v>
      </c>
      <c r="Z1553" t="s">
        <v>44</v>
      </c>
      <c r="AA1553" t="s">
        <v>44</v>
      </c>
      <c r="AB1553" t="s">
        <v>44</v>
      </c>
      <c r="AC1553" s="4"/>
      <c r="AD1553" s="4"/>
      <c r="AE1553" s="2">
        <v>0</v>
      </c>
      <c r="AF1553" s="4">
        <v>0</v>
      </c>
      <c r="AG1553" s="2">
        <v>7.99</v>
      </c>
      <c r="AH1553" s="2">
        <v>220268005.46000001</v>
      </c>
      <c r="AI1553" s="2">
        <v>0.5</v>
      </c>
      <c r="AJ1553" s="5">
        <v>44673</v>
      </c>
      <c r="AK1553" t="s">
        <v>11115</v>
      </c>
      <c r="AL1553" s="2">
        <v>0</v>
      </c>
      <c r="AM1553" s="2">
        <v>0</v>
      </c>
      <c r="AN1553" s="2">
        <v>0</v>
      </c>
      <c r="AO1553" t="s">
        <v>44</v>
      </c>
      <c r="AP1553" t="s">
        <v>44</v>
      </c>
      <c r="AQ1553" t="s">
        <v>11120</v>
      </c>
    </row>
    <row r="1554" spans="1:43" x14ac:dyDescent="0.2">
      <c r="A1554" t="s">
        <v>11113</v>
      </c>
      <c r="B1554" t="s">
        <v>11013</v>
      </c>
      <c r="C1554" t="s">
        <v>11047</v>
      </c>
      <c r="D1554" t="s">
        <v>11092</v>
      </c>
      <c r="E1554" t="s">
        <v>11093</v>
      </c>
      <c r="F1554" t="s">
        <v>11092</v>
      </c>
      <c r="G1554" s="1">
        <v>1143495.9668000001</v>
      </c>
      <c r="H1554" s="2">
        <v>226438152.69999999</v>
      </c>
      <c r="I1554" s="2">
        <v>220753909.44</v>
      </c>
      <c r="J1554" s="2">
        <v>0</v>
      </c>
      <c r="K1554" s="2">
        <v>0</v>
      </c>
      <c r="L1554" s="2">
        <v>220753909.44</v>
      </c>
      <c r="M1554" s="3">
        <v>12.364000000000001</v>
      </c>
      <c r="N1554" s="4">
        <v>0.50223890999999998</v>
      </c>
      <c r="O1554" s="5" t="s">
        <v>44</v>
      </c>
      <c r="P1554" s="5" t="s">
        <v>44</v>
      </c>
      <c r="Q1554" s="1"/>
      <c r="R1554" s="2"/>
      <c r="S1554" s="6"/>
      <c r="T1554" t="s">
        <v>10902</v>
      </c>
      <c r="U1554" t="s">
        <v>11003</v>
      </c>
      <c r="V1554" t="s">
        <v>11003</v>
      </c>
      <c r="W1554" t="s">
        <v>113</v>
      </c>
      <c r="X1554" t="s">
        <v>44</v>
      </c>
      <c r="Y1554" t="s">
        <v>44</v>
      </c>
      <c r="Z1554" t="s">
        <v>44</v>
      </c>
      <c r="AA1554" t="s">
        <v>44</v>
      </c>
      <c r="AB1554" t="s">
        <v>44</v>
      </c>
      <c r="AC1554" s="4"/>
      <c r="AD1554" s="4"/>
      <c r="AE1554" s="2">
        <v>0</v>
      </c>
      <c r="AF1554" s="4">
        <v>0</v>
      </c>
      <c r="AG1554" s="2">
        <v>8</v>
      </c>
      <c r="AH1554" s="2">
        <v>220753909.44</v>
      </c>
      <c r="AI1554" s="2">
        <v>0.5</v>
      </c>
      <c r="AJ1554" s="5">
        <v>44673</v>
      </c>
      <c r="AK1554" t="s">
        <v>11115</v>
      </c>
      <c r="AL1554" s="2">
        <v>0</v>
      </c>
      <c r="AM1554" s="2">
        <v>0</v>
      </c>
      <c r="AN1554" s="2">
        <v>0</v>
      </c>
      <c r="AO1554" t="s">
        <v>44</v>
      </c>
      <c r="AP1554" t="s">
        <v>44</v>
      </c>
      <c r="AQ1554" t="s">
        <v>11093</v>
      </c>
    </row>
    <row r="1555" spans="1:43" x14ac:dyDescent="0.2">
      <c r="A1555" t="s">
        <v>11113</v>
      </c>
      <c r="B1555" t="s">
        <v>11013</v>
      </c>
      <c r="C1555" t="s">
        <v>11047</v>
      </c>
      <c r="D1555" t="s">
        <v>11070</v>
      </c>
      <c r="E1555" t="s">
        <v>11071</v>
      </c>
      <c r="F1555" t="s">
        <v>11070</v>
      </c>
      <c r="G1555" s="1">
        <v>15106853.91</v>
      </c>
      <c r="H1555" s="2">
        <v>206416861.87</v>
      </c>
      <c r="I1555" s="2">
        <v>196963161.28</v>
      </c>
      <c r="J1555" s="2">
        <v>0</v>
      </c>
      <c r="K1555" s="2">
        <v>0</v>
      </c>
      <c r="L1555" s="2">
        <v>196963161.28</v>
      </c>
      <c r="M1555" s="3">
        <v>13.038</v>
      </c>
      <c r="N1555" s="4">
        <v>0.44811240000000002</v>
      </c>
      <c r="O1555" s="5" t="s">
        <v>44</v>
      </c>
      <c r="P1555" s="5" t="s">
        <v>44</v>
      </c>
      <c r="Q1555" s="1"/>
      <c r="R1555" s="2"/>
      <c r="S1555" s="6"/>
      <c r="T1555" t="s">
        <v>10902</v>
      </c>
      <c r="U1555" t="s">
        <v>11003</v>
      </c>
      <c r="V1555" t="s">
        <v>11003</v>
      </c>
      <c r="W1555" t="s">
        <v>43</v>
      </c>
      <c r="X1555" t="s">
        <v>44</v>
      </c>
      <c r="Y1555" t="s">
        <v>44</v>
      </c>
      <c r="Z1555" t="s">
        <v>44</v>
      </c>
      <c r="AA1555" t="s">
        <v>44</v>
      </c>
      <c r="AB1555" t="s">
        <v>44</v>
      </c>
      <c r="AC1555" s="4"/>
      <c r="AD1555" s="4"/>
      <c r="AE1555" s="2">
        <v>0</v>
      </c>
      <c r="AF1555" s="4">
        <v>0</v>
      </c>
      <c r="AG1555" s="2">
        <v>7.14</v>
      </c>
      <c r="AH1555" s="2">
        <v>196963161.28</v>
      </c>
      <c r="AI1555" s="2">
        <v>0.45</v>
      </c>
      <c r="AJ1555" s="5">
        <v>44673</v>
      </c>
      <c r="AK1555" t="s">
        <v>11115</v>
      </c>
      <c r="AL1555" s="2">
        <v>0</v>
      </c>
      <c r="AM1555" s="2">
        <v>0</v>
      </c>
      <c r="AN1555" s="2">
        <v>0</v>
      </c>
      <c r="AO1555" t="s">
        <v>44</v>
      </c>
      <c r="AP1555" t="s">
        <v>44</v>
      </c>
      <c r="AQ1555" t="s">
        <v>11071</v>
      </c>
    </row>
    <row r="1556" spans="1:43" x14ac:dyDescent="0.2">
      <c r="A1556" t="s">
        <v>11113</v>
      </c>
      <c r="B1556" t="s">
        <v>11024</v>
      </c>
      <c r="C1556" t="s">
        <v>61</v>
      </c>
      <c r="D1556" t="s">
        <v>11094</v>
      </c>
      <c r="E1556" t="s">
        <v>11095</v>
      </c>
      <c r="F1556" t="s">
        <v>11094</v>
      </c>
      <c r="G1556" s="1">
        <v>1</v>
      </c>
      <c r="H1556" s="2">
        <v>0</v>
      </c>
      <c r="I1556" s="2">
        <v>-87174.35</v>
      </c>
      <c r="J1556" s="2">
        <v>0</v>
      </c>
      <c r="K1556" s="2">
        <v>0</v>
      </c>
      <c r="L1556" s="2">
        <v>-87174.35</v>
      </c>
      <c r="M1556" s="3">
        <v>118.02</v>
      </c>
      <c r="N1556" s="4">
        <v>-1.9833000000000001E-4</v>
      </c>
      <c r="O1556" s="5" t="s">
        <v>44</v>
      </c>
      <c r="P1556" s="5">
        <v>44740</v>
      </c>
      <c r="Q1556" s="1"/>
      <c r="R1556" s="2"/>
      <c r="S1556" s="6"/>
      <c r="T1556" t="s">
        <v>11026</v>
      </c>
      <c r="U1556" t="s">
        <v>11025</v>
      </c>
      <c r="V1556" t="s">
        <v>11072</v>
      </c>
      <c r="W1556" t="s">
        <v>481</v>
      </c>
      <c r="X1556" t="s">
        <v>44</v>
      </c>
      <c r="Y1556" t="s">
        <v>44</v>
      </c>
      <c r="Z1556" t="s">
        <v>44</v>
      </c>
      <c r="AA1556" t="s">
        <v>44</v>
      </c>
      <c r="AB1556" t="s">
        <v>44</v>
      </c>
      <c r="AC1556" s="4"/>
      <c r="AD1556" s="4"/>
      <c r="AE1556" s="2">
        <v>0</v>
      </c>
      <c r="AF1556" s="4">
        <v>0</v>
      </c>
      <c r="AG1556" s="2">
        <v>0</v>
      </c>
      <c r="AH1556" s="2">
        <v>2365130.2599999998</v>
      </c>
      <c r="AI1556" s="2">
        <v>0.01</v>
      </c>
      <c r="AJ1556" s="5">
        <v>44673</v>
      </c>
      <c r="AK1556" t="s">
        <v>11115</v>
      </c>
      <c r="AL1556" s="2">
        <v>0</v>
      </c>
      <c r="AM1556" s="2">
        <v>0</v>
      </c>
      <c r="AN1556" s="2">
        <v>0</v>
      </c>
      <c r="AO1556" t="s">
        <v>44</v>
      </c>
      <c r="AP1556" t="s">
        <v>11096</v>
      </c>
      <c r="AQ1556" t="s">
        <v>11095</v>
      </c>
    </row>
    <row r="1557" spans="1:43" x14ac:dyDescent="0.2">
      <c r="A1557" t="s">
        <v>11113</v>
      </c>
      <c r="B1557" t="s">
        <v>11024</v>
      </c>
      <c r="C1557" t="s">
        <v>61</v>
      </c>
      <c r="D1557" t="s">
        <v>11097</v>
      </c>
      <c r="E1557" t="s">
        <v>11098</v>
      </c>
      <c r="F1557" t="s">
        <v>11097</v>
      </c>
      <c r="G1557" s="1">
        <v>67</v>
      </c>
      <c r="H1557" s="2">
        <v>0</v>
      </c>
      <c r="I1557" s="2">
        <v>-2951548.13</v>
      </c>
      <c r="J1557" s="2">
        <v>0</v>
      </c>
      <c r="K1557" s="2">
        <v>0</v>
      </c>
      <c r="L1557" s="2">
        <v>-2951548.13</v>
      </c>
      <c r="M1557" s="3">
        <v>118.9375</v>
      </c>
      <c r="N1557" s="4">
        <v>-6.7150899999999999E-3</v>
      </c>
      <c r="O1557" s="5" t="s">
        <v>44</v>
      </c>
      <c r="P1557" s="5">
        <v>44733</v>
      </c>
      <c r="Q1557" s="1"/>
      <c r="R1557" s="2"/>
      <c r="S1557" s="6"/>
      <c r="T1557" t="s">
        <v>11026</v>
      </c>
      <c r="U1557" t="s">
        <v>11025</v>
      </c>
      <c r="V1557" t="s">
        <v>11072</v>
      </c>
      <c r="W1557" t="s">
        <v>113</v>
      </c>
      <c r="X1557" t="s">
        <v>44</v>
      </c>
      <c r="Y1557" t="s">
        <v>44</v>
      </c>
      <c r="Z1557" t="s">
        <v>44</v>
      </c>
      <c r="AA1557" t="s">
        <v>44</v>
      </c>
      <c r="AB1557" t="s">
        <v>44</v>
      </c>
      <c r="AC1557" s="4"/>
      <c r="AD1557" s="4"/>
      <c r="AE1557" s="2">
        <v>0</v>
      </c>
      <c r="AF1557" s="4">
        <v>0</v>
      </c>
      <c r="AG1557" s="2">
        <v>-0.11</v>
      </c>
      <c r="AH1557" s="2">
        <v>124425208.84</v>
      </c>
      <c r="AI1557" s="2">
        <v>0.28000000000000003</v>
      </c>
      <c r="AJ1557" s="5">
        <v>44673</v>
      </c>
      <c r="AK1557" t="s">
        <v>11115</v>
      </c>
      <c r="AL1557" s="2">
        <v>0</v>
      </c>
      <c r="AM1557" s="2">
        <v>0</v>
      </c>
      <c r="AN1557" s="2">
        <v>0</v>
      </c>
      <c r="AO1557" t="s">
        <v>44</v>
      </c>
      <c r="AP1557" t="s">
        <v>44</v>
      </c>
      <c r="AQ1557" t="s">
        <v>11098</v>
      </c>
    </row>
    <row r="1558" spans="1:43" x14ac:dyDescent="0.2">
      <c r="A1558" t="s">
        <v>11113</v>
      </c>
      <c r="B1558" t="s">
        <v>11024</v>
      </c>
      <c r="C1558" t="s">
        <v>57</v>
      </c>
      <c r="D1558" t="s">
        <v>11151</v>
      </c>
      <c r="E1558" t="s">
        <v>11151</v>
      </c>
      <c r="F1558" t="s">
        <v>11151</v>
      </c>
      <c r="G1558" s="1">
        <v>10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3">
        <v>65704</v>
      </c>
      <c r="N1558" s="4">
        <v>0</v>
      </c>
      <c r="O1558" s="5" t="s">
        <v>44</v>
      </c>
      <c r="P1558" s="5">
        <v>44727</v>
      </c>
      <c r="Q1558" s="1"/>
      <c r="R1558" s="2"/>
      <c r="S1558" s="6"/>
      <c r="T1558" t="s">
        <v>11026</v>
      </c>
      <c r="U1558" t="s">
        <v>11025</v>
      </c>
      <c r="V1558" t="s">
        <v>11027</v>
      </c>
      <c r="W1558" t="s">
        <v>43</v>
      </c>
      <c r="X1558" t="s">
        <v>44</v>
      </c>
      <c r="Y1558" t="s">
        <v>44</v>
      </c>
      <c r="Z1558" t="s">
        <v>44</v>
      </c>
      <c r="AA1558" t="s">
        <v>44</v>
      </c>
      <c r="AB1558" t="s">
        <v>44</v>
      </c>
      <c r="AC1558" s="4"/>
      <c r="AD1558" s="4"/>
      <c r="AE1558" s="2">
        <v>0</v>
      </c>
      <c r="AF1558" s="4">
        <v>0</v>
      </c>
      <c r="AG1558" s="2">
        <v>0</v>
      </c>
      <c r="AH1558" s="2">
        <v>6570400</v>
      </c>
      <c r="AI1558" s="2">
        <v>0.01</v>
      </c>
      <c r="AJ1558" s="5">
        <v>44673</v>
      </c>
      <c r="AK1558" t="s">
        <v>11115</v>
      </c>
      <c r="AL1558" s="2">
        <v>0</v>
      </c>
      <c r="AM1558" s="2">
        <v>0</v>
      </c>
      <c r="AN1558" s="2">
        <v>0</v>
      </c>
      <c r="AO1558" t="s">
        <v>44</v>
      </c>
      <c r="AP1558" t="s">
        <v>11152</v>
      </c>
      <c r="AQ1558" t="s">
        <v>11151</v>
      </c>
    </row>
    <row r="1559" spans="1:43" x14ac:dyDescent="0.2">
      <c r="A1559" t="s">
        <v>11113</v>
      </c>
      <c r="B1559" t="s">
        <v>11024</v>
      </c>
      <c r="C1559" t="s">
        <v>57</v>
      </c>
      <c r="D1559" t="s">
        <v>11754</v>
      </c>
      <c r="E1559" t="s">
        <v>11754</v>
      </c>
      <c r="F1559" t="s">
        <v>11754</v>
      </c>
      <c r="G1559" s="1">
        <v>15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3">
        <v>20012</v>
      </c>
      <c r="N1559" s="4">
        <v>0</v>
      </c>
      <c r="O1559" s="5" t="s">
        <v>44</v>
      </c>
      <c r="P1559" s="5">
        <v>44727</v>
      </c>
      <c r="Q1559" s="1"/>
      <c r="R1559" s="2"/>
      <c r="S1559" s="6"/>
      <c r="T1559" t="s">
        <v>11026</v>
      </c>
      <c r="U1559" t="s">
        <v>11025</v>
      </c>
      <c r="V1559" t="s">
        <v>11027</v>
      </c>
      <c r="W1559" t="s">
        <v>43</v>
      </c>
      <c r="X1559" t="s">
        <v>44</v>
      </c>
      <c r="Y1559" t="s">
        <v>44</v>
      </c>
      <c r="Z1559" t="s">
        <v>44</v>
      </c>
      <c r="AA1559" t="s">
        <v>44</v>
      </c>
      <c r="AB1559" t="s">
        <v>44</v>
      </c>
      <c r="AC1559" s="4"/>
      <c r="AD1559" s="4"/>
      <c r="AE1559" s="2">
        <v>0</v>
      </c>
      <c r="AF1559" s="4">
        <v>0</v>
      </c>
      <c r="AG1559" s="2">
        <v>0</v>
      </c>
      <c r="AH1559" s="2">
        <v>3001800</v>
      </c>
      <c r="AI1559" s="2">
        <v>0.01</v>
      </c>
      <c r="AJ1559" s="5">
        <v>44673</v>
      </c>
      <c r="AK1559" t="s">
        <v>11115</v>
      </c>
      <c r="AL1559" s="2">
        <v>0</v>
      </c>
      <c r="AM1559" s="2">
        <v>0</v>
      </c>
      <c r="AN1559" s="2">
        <v>0</v>
      </c>
      <c r="AO1559" t="s">
        <v>44</v>
      </c>
      <c r="AP1559" t="s">
        <v>11755</v>
      </c>
      <c r="AQ1559" t="s">
        <v>11754</v>
      </c>
    </row>
    <row r="1560" spans="1:43" x14ac:dyDescent="0.2">
      <c r="A1560" t="s">
        <v>11113</v>
      </c>
      <c r="B1560" t="s">
        <v>11024</v>
      </c>
      <c r="C1560" t="s">
        <v>57</v>
      </c>
      <c r="D1560" t="s">
        <v>12172</v>
      </c>
      <c r="E1560" t="s">
        <v>12173</v>
      </c>
      <c r="F1560" t="s">
        <v>12172</v>
      </c>
      <c r="G1560" s="1">
        <v>390</v>
      </c>
      <c r="H1560" s="2">
        <v>0</v>
      </c>
      <c r="I1560" s="2">
        <v>-16013364.199999999</v>
      </c>
      <c r="J1560" s="2">
        <v>0</v>
      </c>
      <c r="K1560" s="2">
        <v>0</v>
      </c>
      <c r="L1560" s="2">
        <v>-16013364.199999999</v>
      </c>
      <c r="M1560" s="3">
        <v>1055.8</v>
      </c>
      <c r="N1560" s="4">
        <v>-3.643213E-2</v>
      </c>
      <c r="O1560" s="5" t="s">
        <v>44</v>
      </c>
      <c r="P1560" s="5">
        <v>44729</v>
      </c>
      <c r="Q1560" s="1"/>
      <c r="R1560" s="2"/>
      <c r="S1560" s="6"/>
      <c r="T1560" t="s">
        <v>11026</v>
      </c>
      <c r="U1560" t="s">
        <v>11025</v>
      </c>
      <c r="V1560" t="s">
        <v>11027</v>
      </c>
      <c r="W1560" t="s">
        <v>113</v>
      </c>
      <c r="X1560" t="s">
        <v>44</v>
      </c>
      <c r="Y1560" t="s">
        <v>44</v>
      </c>
      <c r="Z1560" t="s">
        <v>44</v>
      </c>
      <c r="AA1560" t="s">
        <v>44</v>
      </c>
      <c r="AB1560" t="s">
        <v>44</v>
      </c>
      <c r="AC1560" s="4"/>
      <c r="AD1560" s="4"/>
      <c r="AE1560" s="2">
        <v>0</v>
      </c>
      <c r="AF1560" s="4">
        <v>0</v>
      </c>
      <c r="AG1560" s="2">
        <v>-0.57999999999999996</v>
      </c>
      <c r="AH1560" s="2">
        <v>321463033.80000001</v>
      </c>
      <c r="AI1560" s="2">
        <v>0.73</v>
      </c>
      <c r="AJ1560" s="5">
        <v>44673</v>
      </c>
      <c r="AK1560" t="s">
        <v>11115</v>
      </c>
      <c r="AL1560" s="2">
        <v>0</v>
      </c>
      <c r="AM1560" s="2">
        <v>0</v>
      </c>
      <c r="AN1560" s="2">
        <v>0</v>
      </c>
      <c r="AO1560" t="s">
        <v>44</v>
      </c>
      <c r="AP1560" t="s">
        <v>44</v>
      </c>
      <c r="AQ1560" t="s">
        <v>12173</v>
      </c>
    </row>
    <row r="1561" spans="1:43" x14ac:dyDescent="0.2">
      <c r="A1561" t="s">
        <v>11113</v>
      </c>
      <c r="B1561" t="s">
        <v>11024</v>
      </c>
      <c r="C1561" t="s">
        <v>57</v>
      </c>
      <c r="D1561" t="s">
        <v>12177</v>
      </c>
      <c r="E1561" t="s">
        <v>12178</v>
      </c>
      <c r="F1561" t="s">
        <v>12177</v>
      </c>
      <c r="G1561" s="1">
        <v>6</v>
      </c>
      <c r="H1561" s="2">
        <v>0</v>
      </c>
      <c r="I1561" s="2">
        <v>142634.09</v>
      </c>
      <c r="J1561" s="2">
        <v>0</v>
      </c>
      <c r="K1561" s="2">
        <v>0</v>
      </c>
      <c r="L1561" s="2">
        <v>142634.09</v>
      </c>
      <c r="M1561" s="3">
        <v>8847</v>
      </c>
      <c r="N1561" s="4">
        <v>3.2451000000000002E-4</v>
      </c>
      <c r="O1561" s="5" t="s">
        <v>44</v>
      </c>
      <c r="P1561" s="5">
        <v>44732</v>
      </c>
      <c r="Q1561" s="1"/>
      <c r="R1561" s="2"/>
      <c r="S1561" s="6"/>
      <c r="T1561" t="s">
        <v>11026</v>
      </c>
      <c r="U1561" t="s">
        <v>11025</v>
      </c>
      <c r="V1561" t="s">
        <v>11027</v>
      </c>
      <c r="W1561" t="s">
        <v>113</v>
      </c>
      <c r="X1561" t="s">
        <v>44</v>
      </c>
      <c r="Y1561" t="s">
        <v>44</v>
      </c>
      <c r="Z1561" t="s">
        <v>44</v>
      </c>
      <c r="AA1561" t="s">
        <v>44</v>
      </c>
      <c r="AB1561" t="s">
        <v>44</v>
      </c>
      <c r="AC1561" s="4"/>
      <c r="AD1561" s="4"/>
      <c r="AE1561" s="2">
        <v>0</v>
      </c>
      <c r="AF1561" s="4">
        <v>0</v>
      </c>
      <c r="AG1561" s="2">
        <v>0.01</v>
      </c>
      <c r="AH1561" s="2">
        <v>8288234.8300000001</v>
      </c>
      <c r="AI1561" s="2">
        <v>0.02</v>
      </c>
      <c r="AJ1561" s="5">
        <v>44673</v>
      </c>
      <c r="AK1561" t="s">
        <v>11115</v>
      </c>
      <c r="AL1561" s="2">
        <v>0</v>
      </c>
      <c r="AM1561" s="2">
        <v>0</v>
      </c>
      <c r="AN1561" s="2">
        <v>0</v>
      </c>
      <c r="AO1561" t="s">
        <v>44</v>
      </c>
      <c r="AP1561" t="s">
        <v>44</v>
      </c>
      <c r="AQ1561" t="s">
        <v>12178</v>
      </c>
    </row>
    <row r="1562" spans="1:43" x14ac:dyDescent="0.2">
      <c r="A1562" t="s">
        <v>11113</v>
      </c>
      <c r="B1562" t="s">
        <v>11037</v>
      </c>
      <c r="C1562" t="s">
        <v>11050</v>
      </c>
      <c r="D1562" t="s">
        <v>11121</v>
      </c>
      <c r="E1562" t="s">
        <v>11122</v>
      </c>
      <c r="F1562" t="s">
        <v>11121</v>
      </c>
      <c r="G1562" s="1">
        <v>166000000</v>
      </c>
      <c r="H1562" s="2">
        <v>166000000</v>
      </c>
      <c r="I1562" s="2">
        <v>273445558.73000002</v>
      </c>
      <c r="J1562" s="2">
        <v>0</v>
      </c>
      <c r="K1562" s="2">
        <v>0</v>
      </c>
      <c r="L1562" s="2">
        <v>273445558.73000002</v>
      </c>
      <c r="M1562" s="3">
        <v>164.72623999999999</v>
      </c>
      <c r="N1562" s="4">
        <v>0.62211808999999996</v>
      </c>
      <c r="O1562" s="5" t="s">
        <v>44</v>
      </c>
      <c r="P1562" s="5" t="s">
        <v>44</v>
      </c>
      <c r="Q1562" s="1"/>
      <c r="R1562" s="2"/>
      <c r="S1562" s="6"/>
      <c r="T1562" t="s">
        <v>10902</v>
      </c>
      <c r="U1562" t="s">
        <v>10902</v>
      </c>
      <c r="V1562" t="s">
        <v>11051</v>
      </c>
      <c r="W1562" t="s">
        <v>43</v>
      </c>
      <c r="X1562" t="s">
        <v>11050</v>
      </c>
      <c r="Y1562" t="s">
        <v>44</v>
      </c>
      <c r="Z1562" t="s">
        <v>11050</v>
      </c>
      <c r="AA1562" t="s">
        <v>44</v>
      </c>
      <c r="AB1562" t="s">
        <v>44</v>
      </c>
      <c r="AC1562" s="4"/>
      <c r="AD1562" s="4"/>
      <c r="AE1562" s="2">
        <v>0</v>
      </c>
      <c r="AF1562" s="4">
        <v>0</v>
      </c>
      <c r="AG1562" s="2">
        <v>9.92</v>
      </c>
      <c r="AH1562" s="2">
        <v>273445558.73000002</v>
      </c>
      <c r="AI1562" s="2">
        <v>0.62</v>
      </c>
      <c r="AJ1562" s="5">
        <v>44673</v>
      </c>
      <c r="AK1562" t="s">
        <v>11115</v>
      </c>
      <c r="AL1562" s="2">
        <v>0</v>
      </c>
      <c r="AM1562" s="2">
        <v>0</v>
      </c>
      <c r="AN1562" s="2">
        <v>0</v>
      </c>
      <c r="AO1562" t="s">
        <v>44</v>
      </c>
      <c r="AP1562" t="s">
        <v>11123</v>
      </c>
      <c r="AQ1562" t="s">
        <v>11122</v>
      </c>
    </row>
    <row r="1563" spans="1:43" x14ac:dyDescent="0.2">
      <c r="A1563" t="s">
        <v>11113</v>
      </c>
      <c r="B1563" t="s">
        <v>11038</v>
      </c>
      <c r="C1563" t="s">
        <v>11870</v>
      </c>
      <c r="D1563" t="s">
        <v>11056</v>
      </c>
      <c r="E1563" t="s">
        <v>11057</v>
      </c>
      <c r="F1563" t="s">
        <v>11056</v>
      </c>
      <c r="G1563" s="1">
        <v>731938</v>
      </c>
      <c r="H1563" s="2">
        <v>731763.19999999995</v>
      </c>
      <c r="I1563" s="2">
        <v>731938</v>
      </c>
      <c r="J1563" s="2">
        <v>18866.43</v>
      </c>
      <c r="K1563" s="2">
        <v>0</v>
      </c>
      <c r="L1563" s="2">
        <v>750804.43</v>
      </c>
      <c r="M1563" s="3"/>
      <c r="N1563" s="4">
        <v>1.70816E-3</v>
      </c>
      <c r="O1563" s="5">
        <v>44692</v>
      </c>
      <c r="P1563" s="5">
        <v>44692</v>
      </c>
      <c r="Q1563" s="1">
        <v>13.067</v>
      </c>
      <c r="R1563" s="2"/>
      <c r="S1563" s="6"/>
      <c r="T1563" t="s">
        <v>111</v>
      </c>
      <c r="U1563" t="s">
        <v>11040</v>
      </c>
      <c r="V1563" t="s">
        <v>115</v>
      </c>
      <c r="W1563" t="s">
        <v>43</v>
      </c>
      <c r="X1563" t="s">
        <v>44</v>
      </c>
      <c r="Y1563" t="s">
        <v>44</v>
      </c>
      <c r="Z1563" t="s">
        <v>44</v>
      </c>
      <c r="AA1563" t="s">
        <v>10979</v>
      </c>
      <c r="AB1563" t="s">
        <v>44</v>
      </c>
      <c r="AC1563" s="4"/>
      <c r="AD1563" s="4"/>
      <c r="AE1563" s="2">
        <v>0</v>
      </c>
      <c r="AF1563" s="4">
        <v>0</v>
      </c>
      <c r="AG1563" s="2">
        <v>0.03</v>
      </c>
      <c r="AH1563" s="2">
        <v>750804.43</v>
      </c>
      <c r="AI1563" s="2">
        <v>0</v>
      </c>
      <c r="AJ1563" s="5">
        <v>44673</v>
      </c>
      <c r="AK1563" t="s">
        <v>11115</v>
      </c>
      <c r="AL1563" s="2">
        <v>0</v>
      </c>
      <c r="AM1563" s="2">
        <v>13.07</v>
      </c>
      <c r="AN1563" s="2">
        <v>0</v>
      </c>
      <c r="AO1563" t="s">
        <v>10980</v>
      </c>
      <c r="AP1563" t="s">
        <v>11058</v>
      </c>
      <c r="AQ1563" t="s">
        <v>11057</v>
      </c>
    </row>
    <row r="1564" spans="1:43" x14ac:dyDescent="0.2">
      <c r="A1564" t="s">
        <v>11113</v>
      </c>
      <c r="B1564" t="s">
        <v>11038</v>
      </c>
      <c r="C1564" t="s">
        <v>11055</v>
      </c>
      <c r="D1564" t="s">
        <v>11124</v>
      </c>
      <c r="E1564" t="s">
        <v>11125</v>
      </c>
      <c r="F1564" t="s">
        <v>11124</v>
      </c>
      <c r="G1564" s="1">
        <v>4301668.33</v>
      </c>
      <c r="H1564" s="2">
        <v>62617993.950000003</v>
      </c>
      <c r="I1564" s="2">
        <v>67166341.319999993</v>
      </c>
      <c r="J1564" s="2">
        <v>470550.86</v>
      </c>
      <c r="K1564" s="2">
        <v>0</v>
      </c>
      <c r="L1564" s="2">
        <v>67636892.189999998</v>
      </c>
      <c r="M1564" s="3">
        <v>0.91</v>
      </c>
      <c r="N1564" s="4">
        <v>0.15388120999999999</v>
      </c>
      <c r="O1564" s="5" t="s">
        <v>44</v>
      </c>
      <c r="P1564" s="5">
        <v>44760</v>
      </c>
      <c r="Q1564" s="1">
        <v>0.91</v>
      </c>
      <c r="R1564" s="2">
        <v>0.24</v>
      </c>
      <c r="S1564" s="6"/>
      <c r="T1564" t="s">
        <v>112</v>
      </c>
      <c r="U1564" t="s">
        <v>11040</v>
      </c>
      <c r="V1564" t="s">
        <v>11107</v>
      </c>
      <c r="W1564" t="s">
        <v>113</v>
      </c>
      <c r="X1564" t="s">
        <v>44</v>
      </c>
      <c r="Y1564" t="s">
        <v>44</v>
      </c>
      <c r="Z1564" t="s">
        <v>44</v>
      </c>
      <c r="AA1564" t="s">
        <v>10979</v>
      </c>
      <c r="AB1564" t="s">
        <v>44</v>
      </c>
      <c r="AC1564" s="4"/>
      <c r="AD1564" s="4"/>
      <c r="AE1564" s="2">
        <v>0</v>
      </c>
      <c r="AF1564" s="4">
        <v>0</v>
      </c>
      <c r="AG1564" s="2">
        <v>2.4500000000000002</v>
      </c>
      <c r="AH1564" s="2">
        <v>67636892.189999998</v>
      </c>
      <c r="AI1564" s="2">
        <v>0.15</v>
      </c>
      <c r="AJ1564" s="5">
        <v>44673</v>
      </c>
      <c r="AK1564" t="s">
        <v>11115</v>
      </c>
      <c r="AL1564" s="2">
        <v>0</v>
      </c>
      <c r="AM1564" s="2">
        <v>0.91</v>
      </c>
      <c r="AN1564" s="2">
        <v>0</v>
      </c>
      <c r="AO1564" t="s">
        <v>11054</v>
      </c>
      <c r="AP1564" t="s">
        <v>44</v>
      </c>
      <c r="AQ1564" t="s">
        <v>11125</v>
      </c>
    </row>
    <row r="1565" spans="1:43" x14ac:dyDescent="0.2">
      <c r="A1565" t="s">
        <v>11113</v>
      </c>
      <c r="B1565" t="s">
        <v>11038</v>
      </c>
      <c r="C1565" t="s">
        <v>11052</v>
      </c>
      <c r="D1565" t="s">
        <v>11105</v>
      </c>
      <c r="E1565" t="s">
        <v>11106</v>
      </c>
      <c r="F1565" t="s">
        <v>11105</v>
      </c>
      <c r="G1565" s="1">
        <v>2000000</v>
      </c>
      <c r="H1565" s="2">
        <v>30159089.199999999</v>
      </c>
      <c r="I1565" s="2">
        <v>31228042.780000001</v>
      </c>
      <c r="J1565" s="2">
        <v>154155.35999999999</v>
      </c>
      <c r="K1565" s="2">
        <v>0</v>
      </c>
      <c r="L1565" s="2">
        <v>31382198.140000001</v>
      </c>
      <c r="M1565" s="3">
        <v>0.91</v>
      </c>
      <c r="N1565" s="4">
        <v>7.1397879999999997E-2</v>
      </c>
      <c r="O1565" s="5" t="s">
        <v>44</v>
      </c>
      <c r="P1565" s="5">
        <v>44841</v>
      </c>
      <c r="Q1565" s="1">
        <v>0.91</v>
      </c>
      <c r="R1565" s="2">
        <v>0.46</v>
      </c>
      <c r="S1565" s="6"/>
      <c r="T1565" t="s">
        <v>112</v>
      </c>
      <c r="U1565" t="s">
        <v>11040</v>
      </c>
      <c r="V1565" t="s">
        <v>11107</v>
      </c>
      <c r="W1565" t="s">
        <v>113</v>
      </c>
      <c r="X1565" t="s">
        <v>44</v>
      </c>
      <c r="Y1565" t="s">
        <v>44</v>
      </c>
      <c r="Z1565" t="s">
        <v>44</v>
      </c>
      <c r="AA1565" t="s">
        <v>10979</v>
      </c>
      <c r="AB1565" t="s">
        <v>44</v>
      </c>
      <c r="AC1565" s="4"/>
      <c r="AD1565" s="4"/>
      <c r="AE1565" s="2">
        <v>0</v>
      </c>
      <c r="AF1565" s="4">
        <v>0</v>
      </c>
      <c r="AG1565" s="2">
        <v>1.1399999999999999</v>
      </c>
      <c r="AH1565" s="2">
        <v>31382198.140000001</v>
      </c>
      <c r="AI1565" s="2">
        <v>7.0000000000000007E-2</v>
      </c>
      <c r="AJ1565" s="5">
        <v>44673</v>
      </c>
      <c r="AK1565" t="s">
        <v>11115</v>
      </c>
      <c r="AL1565" s="2">
        <v>0</v>
      </c>
      <c r="AM1565" s="2">
        <v>0.91</v>
      </c>
      <c r="AN1565" s="2">
        <v>0</v>
      </c>
      <c r="AO1565" t="s">
        <v>11054</v>
      </c>
      <c r="AP1565" t="s">
        <v>44</v>
      </c>
      <c r="AQ1565" t="s">
        <v>11106</v>
      </c>
    </row>
    <row r="1566" spans="1:43" x14ac:dyDescent="0.2">
      <c r="A1566" t="s">
        <v>11113</v>
      </c>
      <c r="B1566" t="s">
        <v>11038</v>
      </c>
      <c r="C1566" t="s">
        <v>11039</v>
      </c>
      <c r="D1566" t="s">
        <v>12858</v>
      </c>
      <c r="E1566" t="s">
        <v>12859</v>
      </c>
      <c r="F1566" t="s">
        <v>12858</v>
      </c>
      <c r="G1566" s="1">
        <v>150000000</v>
      </c>
      <c r="H1566" s="2">
        <v>150000000</v>
      </c>
      <c r="I1566" s="2">
        <v>150279569.16999999</v>
      </c>
      <c r="J1566" s="2">
        <v>635178.07999999996</v>
      </c>
      <c r="K1566" s="2">
        <v>0</v>
      </c>
      <c r="L1566" s="2">
        <v>150914747.25</v>
      </c>
      <c r="M1566" s="3">
        <v>6.1993330000000002</v>
      </c>
      <c r="N1566" s="4">
        <v>0.34334730000000002</v>
      </c>
      <c r="O1566" s="5">
        <v>45015</v>
      </c>
      <c r="P1566" s="5">
        <v>45015</v>
      </c>
      <c r="Q1566" s="1">
        <v>6.44</v>
      </c>
      <c r="R1566" s="2">
        <v>0.93</v>
      </c>
      <c r="S1566" s="6">
        <v>0.87820253481999999</v>
      </c>
      <c r="T1566" t="s">
        <v>111</v>
      </c>
      <c r="U1566" t="s">
        <v>11040</v>
      </c>
      <c r="V1566" t="s">
        <v>11041</v>
      </c>
      <c r="W1566" t="s">
        <v>43</v>
      </c>
      <c r="X1566" t="s">
        <v>11034</v>
      </c>
      <c r="Y1566" t="s">
        <v>44</v>
      </c>
      <c r="Z1566" t="s">
        <v>44</v>
      </c>
      <c r="AA1566" t="s">
        <v>10979</v>
      </c>
      <c r="AB1566" t="s">
        <v>44</v>
      </c>
      <c r="AC1566" s="4">
        <v>6.2127848300000004</v>
      </c>
      <c r="AD1566" s="4">
        <v>6.0425928500000001</v>
      </c>
      <c r="AE1566" s="2">
        <v>6.21</v>
      </c>
      <c r="AF1566" s="4">
        <v>6.0425928500000001</v>
      </c>
      <c r="AG1566" s="2">
        <v>5.47</v>
      </c>
      <c r="AH1566" s="2">
        <v>150914747.25</v>
      </c>
      <c r="AI1566" s="2">
        <v>0.34</v>
      </c>
      <c r="AJ1566" s="5">
        <v>44673</v>
      </c>
      <c r="AK1566" t="s">
        <v>11115</v>
      </c>
      <c r="AL1566" s="2">
        <v>6.12</v>
      </c>
      <c r="AM1566" s="2">
        <v>6.44</v>
      </c>
      <c r="AN1566" s="2">
        <v>0.88</v>
      </c>
      <c r="AO1566" t="s">
        <v>11165</v>
      </c>
      <c r="AP1566" t="s">
        <v>12860</v>
      </c>
      <c r="AQ1566" t="s">
        <v>12859</v>
      </c>
    </row>
    <row r="1567" spans="1:43" x14ac:dyDescent="0.2">
      <c r="A1567" t="s">
        <v>11113</v>
      </c>
      <c r="B1567" t="s">
        <v>11038</v>
      </c>
      <c r="C1567" t="s">
        <v>11039</v>
      </c>
      <c r="D1567" t="s">
        <v>11042</v>
      </c>
      <c r="E1567" t="s">
        <v>11043</v>
      </c>
      <c r="F1567" t="s">
        <v>11042</v>
      </c>
      <c r="G1567" s="1">
        <v>1000000</v>
      </c>
      <c r="H1567" s="2">
        <v>1000000</v>
      </c>
      <c r="I1567" s="2">
        <v>999296.63</v>
      </c>
      <c r="J1567" s="2">
        <v>11084.93</v>
      </c>
      <c r="K1567" s="2">
        <v>0</v>
      </c>
      <c r="L1567" s="2">
        <v>1010381.56</v>
      </c>
      <c r="M1567" s="3">
        <v>5.9730699999999999</v>
      </c>
      <c r="N1567" s="4">
        <v>2.2987300000000001E-3</v>
      </c>
      <c r="O1567" s="5">
        <v>44971</v>
      </c>
      <c r="P1567" s="5">
        <v>44971</v>
      </c>
      <c r="Q1567" s="1">
        <v>5.95</v>
      </c>
      <c r="R1567" s="2">
        <v>0.81</v>
      </c>
      <c r="S1567" s="6">
        <v>0.77099882388999996</v>
      </c>
      <c r="T1567" t="s">
        <v>111</v>
      </c>
      <c r="U1567" t="s">
        <v>11040</v>
      </c>
      <c r="V1567" t="s">
        <v>11041</v>
      </c>
      <c r="W1567" t="s">
        <v>43</v>
      </c>
      <c r="X1567" t="s">
        <v>11034</v>
      </c>
      <c r="Y1567" t="s">
        <v>44</v>
      </c>
      <c r="Z1567" t="s">
        <v>44</v>
      </c>
      <c r="AA1567" t="s">
        <v>11035</v>
      </c>
      <c r="AB1567" t="s">
        <v>44</v>
      </c>
      <c r="AC1567" s="4">
        <v>6.0068705900000001</v>
      </c>
      <c r="AD1567" s="4">
        <v>5.8475737299999997</v>
      </c>
      <c r="AE1567" s="2">
        <v>6.01</v>
      </c>
      <c r="AF1567" s="4">
        <v>5.8475737299999997</v>
      </c>
      <c r="AG1567" s="2">
        <v>0.04</v>
      </c>
      <c r="AH1567" s="2">
        <v>1010381.56</v>
      </c>
      <c r="AI1567" s="2">
        <v>0</v>
      </c>
      <c r="AJ1567" s="5">
        <v>44673</v>
      </c>
      <c r="AK1567" t="s">
        <v>11115</v>
      </c>
      <c r="AL1567" s="2">
        <v>5.92</v>
      </c>
      <c r="AM1567" s="2">
        <v>5.95</v>
      </c>
      <c r="AN1567" s="2">
        <v>0.77</v>
      </c>
      <c r="AO1567" t="s">
        <v>11036</v>
      </c>
      <c r="AP1567" t="s">
        <v>11044</v>
      </c>
      <c r="AQ1567" t="s">
        <v>11043</v>
      </c>
    </row>
    <row r="1568" spans="1:43" x14ac:dyDescent="0.2">
      <c r="A1568" t="s">
        <v>11113</v>
      </c>
      <c r="B1568" t="s">
        <v>11038</v>
      </c>
      <c r="C1568" t="s">
        <v>11039</v>
      </c>
      <c r="D1568" t="s">
        <v>12838</v>
      </c>
      <c r="E1568" t="s">
        <v>12839</v>
      </c>
      <c r="F1568" t="s">
        <v>12838</v>
      </c>
      <c r="G1568" s="1">
        <v>50000000</v>
      </c>
      <c r="H1568" s="2">
        <v>50000000</v>
      </c>
      <c r="I1568" s="2">
        <v>50052157.810000002</v>
      </c>
      <c r="J1568" s="2">
        <v>200068.49</v>
      </c>
      <c r="K1568" s="2">
        <v>0</v>
      </c>
      <c r="L1568" s="2">
        <v>50252226.299999997</v>
      </c>
      <c r="M1568" s="3">
        <v>6.2045560000000002</v>
      </c>
      <c r="N1568" s="4">
        <v>0.11432923</v>
      </c>
      <c r="O1568" s="5">
        <v>45016</v>
      </c>
      <c r="P1568" s="5">
        <v>45016</v>
      </c>
      <c r="Q1568" s="1">
        <v>6.35</v>
      </c>
      <c r="R1568" s="2">
        <v>0.93</v>
      </c>
      <c r="S1568" s="6">
        <v>0.88061116438999998</v>
      </c>
      <c r="T1568" t="s">
        <v>111</v>
      </c>
      <c r="U1568" t="s">
        <v>11040</v>
      </c>
      <c r="V1568" t="s">
        <v>11041</v>
      </c>
      <c r="W1568" t="s">
        <v>43</v>
      </c>
      <c r="X1568" t="s">
        <v>11034</v>
      </c>
      <c r="Y1568" t="s">
        <v>44</v>
      </c>
      <c r="Z1568" t="s">
        <v>44</v>
      </c>
      <c r="AA1568" t="s">
        <v>10979</v>
      </c>
      <c r="AB1568" t="s">
        <v>44</v>
      </c>
      <c r="AC1568" s="4">
        <v>6.2175109700000002</v>
      </c>
      <c r="AD1568" s="4">
        <v>6.0470648499999999</v>
      </c>
      <c r="AE1568" s="2">
        <v>6.22</v>
      </c>
      <c r="AF1568" s="4">
        <v>6.0470648499999999</v>
      </c>
      <c r="AG1568" s="2">
        <v>1.82</v>
      </c>
      <c r="AH1568" s="2">
        <v>50252226.299999997</v>
      </c>
      <c r="AI1568" s="2">
        <v>0.11</v>
      </c>
      <c r="AJ1568" s="5">
        <v>44673</v>
      </c>
      <c r="AK1568" t="s">
        <v>11115</v>
      </c>
      <c r="AL1568" s="2">
        <v>6.12</v>
      </c>
      <c r="AM1568" s="2">
        <v>6.35</v>
      </c>
      <c r="AN1568" s="2">
        <v>0.88</v>
      </c>
      <c r="AO1568" t="s">
        <v>11179</v>
      </c>
      <c r="AP1568" t="s">
        <v>12840</v>
      </c>
      <c r="AQ1568" t="s">
        <v>12839</v>
      </c>
    </row>
    <row r="1569" spans="1:43" x14ac:dyDescent="0.2">
      <c r="A1569" t="s">
        <v>11113</v>
      </c>
      <c r="B1569" t="s">
        <v>11038</v>
      </c>
      <c r="C1569" t="s">
        <v>11222</v>
      </c>
      <c r="D1569" t="s">
        <v>12965</v>
      </c>
      <c r="E1569" t="s">
        <v>12966</v>
      </c>
      <c r="F1569" t="s">
        <v>12965</v>
      </c>
      <c r="G1569" s="1">
        <v>67000000</v>
      </c>
      <c r="H1569" s="2">
        <v>67000000</v>
      </c>
      <c r="I1569" s="2">
        <v>67009791.509999998</v>
      </c>
      <c r="J1569" s="2">
        <v>129833.15</v>
      </c>
      <c r="K1569" s="2">
        <v>0</v>
      </c>
      <c r="L1569" s="2">
        <v>67139624.659999996</v>
      </c>
      <c r="M1569" s="3">
        <v>6.4004060000000003</v>
      </c>
      <c r="N1569" s="4">
        <v>0.15274987000000001</v>
      </c>
      <c r="O1569" s="5">
        <v>45057</v>
      </c>
      <c r="P1569" s="5">
        <v>45057</v>
      </c>
      <c r="Q1569" s="1">
        <v>6.43</v>
      </c>
      <c r="R1569" s="2">
        <v>1.04</v>
      </c>
      <c r="S1569" s="6">
        <v>0.97846466510999996</v>
      </c>
      <c r="T1569" t="s">
        <v>111</v>
      </c>
      <c r="U1569" t="s">
        <v>11040</v>
      </c>
      <c r="V1569" t="s">
        <v>11041</v>
      </c>
      <c r="W1569" t="s">
        <v>43</v>
      </c>
      <c r="X1569" t="s">
        <v>11034</v>
      </c>
      <c r="Y1569" t="s">
        <v>44</v>
      </c>
      <c r="Z1569" t="s">
        <v>44</v>
      </c>
      <c r="AA1569" t="s">
        <v>10979</v>
      </c>
      <c r="AB1569" t="s">
        <v>44</v>
      </c>
      <c r="AC1569" s="4">
        <v>6.3916291899999997</v>
      </c>
      <c r="AD1569" s="4">
        <v>6.2116933599999999</v>
      </c>
      <c r="AE1569" s="2">
        <v>6.39</v>
      </c>
      <c r="AF1569" s="4">
        <v>6.2116933599999999</v>
      </c>
      <c r="AG1569" s="2">
        <v>2.4300000000000002</v>
      </c>
      <c r="AH1569" s="2">
        <v>67139624.659999996</v>
      </c>
      <c r="AI1569" s="2">
        <v>0.15</v>
      </c>
      <c r="AJ1569" s="5">
        <v>44673</v>
      </c>
      <c r="AK1569" t="s">
        <v>11115</v>
      </c>
      <c r="AL1569" s="2">
        <v>6.29</v>
      </c>
      <c r="AM1569" s="2">
        <v>6.43</v>
      </c>
      <c r="AN1569" s="2">
        <v>0.98</v>
      </c>
      <c r="AO1569" t="s">
        <v>11054</v>
      </c>
      <c r="AP1569" t="s">
        <v>12967</v>
      </c>
      <c r="AQ1569" t="s">
        <v>12966</v>
      </c>
    </row>
    <row r="1570" spans="1:43" x14ac:dyDescent="0.2">
      <c r="A1570" t="s">
        <v>11113</v>
      </c>
      <c r="B1570" t="s">
        <v>10951</v>
      </c>
      <c r="C1570" t="s">
        <v>10952</v>
      </c>
      <c r="D1570" t="s">
        <v>11028</v>
      </c>
      <c r="E1570" t="s">
        <v>11029</v>
      </c>
      <c r="F1570" t="s">
        <v>11028</v>
      </c>
      <c r="G1570" s="1">
        <v>138885174.82789999</v>
      </c>
      <c r="H1570" s="2">
        <v>138879299.69999999</v>
      </c>
      <c r="I1570" s="2">
        <v>139065725.56</v>
      </c>
      <c r="J1570" s="2">
        <v>0</v>
      </c>
      <c r="K1570" s="2">
        <v>0</v>
      </c>
      <c r="L1570" s="2">
        <v>139065725.56</v>
      </c>
      <c r="M1570" s="3">
        <v>1.0013000000000001</v>
      </c>
      <c r="N1570" s="4">
        <v>0.31638949999999999</v>
      </c>
      <c r="O1570" s="5" t="s">
        <v>44</v>
      </c>
      <c r="P1570" s="5" t="s">
        <v>44</v>
      </c>
      <c r="Q1570" s="1"/>
      <c r="R1570" s="2"/>
      <c r="S1570" s="6"/>
      <c r="T1570" t="s">
        <v>10902</v>
      </c>
      <c r="U1570" t="s">
        <v>10953</v>
      </c>
      <c r="V1570" t="s">
        <v>10954</v>
      </c>
      <c r="W1570" t="s">
        <v>43</v>
      </c>
      <c r="X1570" t="s">
        <v>44</v>
      </c>
      <c r="Y1570" t="s">
        <v>44</v>
      </c>
      <c r="Z1570" t="s">
        <v>44</v>
      </c>
      <c r="AA1570" t="s">
        <v>44</v>
      </c>
      <c r="AB1570" t="s">
        <v>44</v>
      </c>
      <c r="AC1570" s="4"/>
      <c r="AD1570" s="4"/>
      <c r="AE1570" s="2">
        <v>0</v>
      </c>
      <c r="AF1570" s="4">
        <v>0</v>
      </c>
      <c r="AG1570" s="2">
        <v>5.04</v>
      </c>
      <c r="AH1570" s="2">
        <v>139065725.56</v>
      </c>
      <c r="AI1570" s="2">
        <v>0.32</v>
      </c>
      <c r="AJ1570" s="5">
        <v>44673</v>
      </c>
      <c r="AK1570" t="s">
        <v>11115</v>
      </c>
      <c r="AL1570" s="2">
        <v>0</v>
      </c>
      <c r="AM1570" s="2">
        <v>0</v>
      </c>
      <c r="AN1570" s="2">
        <v>0</v>
      </c>
      <c r="AO1570" t="s">
        <v>44</v>
      </c>
      <c r="AP1570" t="s">
        <v>44</v>
      </c>
      <c r="AQ1570" t="s">
        <v>11029</v>
      </c>
    </row>
    <row r="1571" spans="1:43" x14ac:dyDescent="0.2">
      <c r="A1571" t="s">
        <v>11113</v>
      </c>
      <c r="B1571" t="s">
        <v>11030</v>
      </c>
      <c r="C1571" t="s">
        <v>11030</v>
      </c>
      <c r="D1571" t="s">
        <v>11181</v>
      </c>
      <c r="E1571" t="s">
        <v>11151</v>
      </c>
      <c r="F1571" t="s">
        <v>11181</v>
      </c>
      <c r="G1571" s="1">
        <v>10</v>
      </c>
      <c r="H1571" s="2"/>
      <c r="I1571" s="2">
        <v>0</v>
      </c>
      <c r="J1571" s="2"/>
      <c r="K1571" s="2"/>
      <c r="L1571" s="2">
        <v>0</v>
      </c>
      <c r="M1571" s="3"/>
      <c r="N1571" s="4">
        <v>0</v>
      </c>
      <c r="O1571" s="5" t="s">
        <v>44</v>
      </c>
      <c r="P1571" s="5" t="s">
        <v>44</v>
      </c>
      <c r="Q1571" s="1"/>
      <c r="R1571" s="2"/>
      <c r="S1571" s="6"/>
      <c r="T1571" t="s">
        <v>11031</v>
      </c>
      <c r="U1571" t="s">
        <v>11032</v>
      </c>
      <c r="V1571" t="s">
        <v>45</v>
      </c>
      <c r="W1571" t="s">
        <v>43</v>
      </c>
      <c r="X1571" t="s">
        <v>44</v>
      </c>
      <c r="Y1571" t="s">
        <v>44</v>
      </c>
      <c r="Z1571" t="s">
        <v>44</v>
      </c>
      <c r="AA1571" t="s">
        <v>44</v>
      </c>
      <c r="AB1571" t="s">
        <v>44</v>
      </c>
      <c r="AC1571" s="4"/>
      <c r="AD1571" s="4"/>
      <c r="AE1571" s="2">
        <v>0</v>
      </c>
      <c r="AF1571" s="4">
        <v>0</v>
      </c>
      <c r="AG1571" s="2">
        <v>0</v>
      </c>
      <c r="AH1571" s="2">
        <v>-6570400</v>
      </c>
      <c r="AI1571" s="2">
        <v>-0.01</v>
      </c>
      <c r="AJ1571" s="5">
        <v>44673</v>
      </c>
      <c r="AK1571" t="s">
        <v>11115</v>
      </c>
      <c r="AL1571" s="2">
        <v>0</v>
      </c>
      <c r="AM1571" s="2">
        <v>0</v>
      </c>
      <c r="AN1571" s="2">
        <v>0</v>
      </c>
      <c r="AO1571" t="s">
        <v>44</v>
      </c>
      <c r="AP1571" t="s">
        <v>44</v>
      </c>
      <c r="AQ1571" t="s">
        <v>11182</v>
      </c>
    </row>
    <row r="1572" spans="1:43" x14ac:dyDescent="0.2">
      <c r="A1572" t="s">
        <v>11113</v>
      </c>
      <c r="B1572" t="s">
        <v>11030</v>
      </c>
      <c r="C1572" t="s">
        <v>11030</v>
      </c>
      <c r="D1572" t="s">
        <v>11775</v>
      </c>
      <c r="E1572" t="s">
        <v>11754</v>
      </c>
      <c r="F1572" t="s">
        <v>11775</v>
      </c>
      <c r="G1572" s="1">
        <v>15</v>
      </c>
      <c r="H1572" s="2"/>
      <c r="I1572" s="2">
        <v>0</v>
      </c>
      <c r="J1572" s="2"/>
      <c r="K1572" s="2"/>
      <c r="L1572" s="2">
        <v>0</v>
      </c>
      <c r="M1572" s="3"/>
      <c r="N1572" s="4">
        <v>0</v>
      </c>
      <c r="O1572" s="5" t="s">
        <v>44</v>
      </c>
      <c r="P1572" s="5" t="s">
        <v>44</v>
      </c>
      <c r="Q1572" s="1"/>
      <c r="R1572" s="2"/>
      <c r="S1572" s="6"/>
      <c r="T1572" t="s">
        <v>11031</v>
      </c>
      <c r="U1572" t="s">
        <v>11032</v>
      </c>
      <c r="V1572" t="s">
        <v>45</v>
      </c>
      <c r="W1572" t="s">
        <v>43</v>
      </c>
      <c r="X1572" t="s">
        <v>44</v>
      </c>
      <c r="Y1572" t="s">
        <v>44</v>
      </c>
      <c r="Z1572" t="s">
        <v>44</v>
      </c>
      <c r="AA1572" t="s">
        <v>44</v>
      </c>
      <c r="AB1572" t="s">
        <v>44</v>
      </c>
      <c r="AC1572" s="4"/>
      <c r="AD1572" s="4"/>
      <c r="AE1572" s="2">
        <v>0</v>
      </c>
      <c r="AF1572" s="4">
        <v>0</v>
      </c>
      <c r="AG1572" s="2">
        <v>0</v>
      </c>
      <c r="AH1572" s="2">
        <v>-3001800</v>
      </c>
      <c r="AI1572" s="2">
        <v>-0.01</v>
      </c>
      <c r="AJ1572" s="5">
        <v>44673</v>
      </c>
      <c r="AK1572" t="s">
        <v>11115</v>
      </c>
      <c r="AL1572" s="2">
        <v>0</v>
      </c>
      <c r="AM1572" s="2">
        <v>0</v>
      </c>
      <c r="AN1572" s="2">
        <v>0</v>
      </c>
      <c r="AO1572" t="s">
        <v>44</v>
      </c>
      <c r="AP1572" t="s">
        <v>44</v>
      </c>
      <c r="AQ1572" t="s">
        <v>11182</v>
      </c>
    </row>
    <row r="1573" spans="1:43" x14ac:dyDescent="0.2">
      <c r="A1573" t="s">
        <v>11113</v>
      </c>
      <c r="B1573" t="s">
        <v>11030</v>
      </c>
      <c r="C1573" t="s">
        <v>11030</v>
      </c>
      <c r="D1573" t="s">
        <v>12176</v>
      </c>
      <c r="E1573" t="s">
        <v>12173</v>
      </c>
      <c r="F1573" t="s">
        <v>12176</v>
      </c>
      <c r="G1573" s="1">
        <v>390</v>
      </c>
      <c r="H1573" s="2"/>
      <c r="I1573" s="2">
        <v>0</v>
      </c>
      <c r="J1573" s="2"/>
      <c r="K1573" s="2"/>
      <c r="L1573" s="2">
        <v>0</v>
      </c>
      <c r="M1573" s="3"/>
      <c r="N1573" s="4">
        <v>0</v>
      </c>
      <c r="O1573" s="5" t="s">
        <v>44</v>
      </c>
      <c r="P1573" s="5" t="s">
        <v>44</v>
      </c>
      <c r="Q1573" s="1"/>
      <c r="R1573" s="2"/>
      <c r="S1573" s="6"/>
      <c r="T1573" t="s">
        <v>11031</v>
      </c>
      <c r="U1573" t="s">
        <v>11032</v>
      </c>
      <c r="V1573" t="s">
        <v>45</v>
      </c>
      <c r="W1573" t="s">
        <v>113</v>
      </c>
      <c r="X1573" t="s">
        <v>44</v>
      </c>
      <c r="Y1573" t="s">
        <v>44</v>
      </c>
      <c r="Z1573" t="s">
        <v>44</v>
      </c>
      <c r="AA1573" t="s">
        <v>44</v>
      </c>
      <c r="AB1573" t="s">
        <v>44</v>
      </c>
      <c r="AC1573" s="4"/>
      <c r="AD1573" s="4"/>
      <c r="AE1573" s="2">
        <v>0</v>
      </c>
      <c r="AF1573" s="4">
        <v>0</v>
      </c>
      <c r="AG1573" s="2">
        <v>0</v>
      </c>
      <c r="AH1573" s="2">
        <v>-337476398</v>
      </c>
      <c r="AI1573" s="2">
        <v>-0.77</v>
      </c>
      <c r="AJ1573" s="5">
        <v>44673</v>
      </c>
      <c r="AK1573" t="s">
        <v>11115</v>
      </c>
      <c r="AL1573" s="2">
        <v>0</v>
      </c>
      <c r="AM1573" s="2">
        <v>0</v>
      </c>
      <c r="AN1573" s="2">
        <v>0</v>
      </c>
      <c r="AO1573" t="s">
        <v>44</v>
      </c>
      <c r="AP1573" t="s">
        <v>44</v>
      </c>
      <c r="AQ1573" t="s">
        <v>11111</v>
      </c>
    </row>
    <row r="1574" spans="1:43" x14ac:dyDescent="0.2">
      <c r="A1574" t="s">
        <v>11113</v>
      </c>
      <c r="B1574" t="s">
        <v>11030</v>
      </c>
      <c r="C1574" t="s">
        <v>11030</v>
      </c>
      <c r="D1574" t="s">
        <v>12179</v>
      </c>
      <c r="E1574" t="s">
        <v>12178</v>
      </c>
      <c r="F1574" t="s">
        <v>12179</v>
      </c>
      <c r="G1574" s="1">
        <v>6</v>
      </c>
      <c r="H1574" s="2"/>
      <c r="I1574" s="2">
        <v>0</v>
      </c>
      <c r="J1574" s="2"/>
      <c r="K1574" s="2"/>
      <c r="L1574" s="2">
        <v>0</v>
      </c>
      <c r="M1574" s="3"/>
      <c r="N1574" s="4">
        <v>0</v>
      </c>
      <c r="O1574" s="5" t="s">
        <v>44</v>
      </c>
      <c r="P1574" s="5" t="s">
        <v>44</v>
      </c>
      <c r="Q1574" s="1"/>
      <c r="R1574" s="2"/>
      <c r="S1574" s="6"/>
      <c r="T1574" t="s">
        <v>11031</v>
      </c>
      <c r="U1574" t="s">
        <v>11032</v>
      </c>
      <c r="V1574" t="s">
        <v>45</v>
      </c>
      <c r="W1574" t="s">
        <v>113</v>
      </c>
      <c r="X1574" t="s">
        <v>44</v>
      </c>
      <c r="Y1574" t="s">
        <v>44</v>
      </c>
      <c r="Z1574" t="s">
        <v>44</v>
      </c>
      <c r="AA1574" t="s">
        <v>44</v>
      </c>
      <c r="AB1574" t="s">
        <v>44</v>
      </c>
      <c r="AC1574" s="4"/>
      <c r="AD1574" s="4"/>
      <c r="AE1574" s="2">
        <v>0</v>
      </c>
      <c r="AF1574" s="4">
        <v>0</v>
      </c>
      <c r="AG1574" s="2">
        <v>0</v>
      </c>
      <c r="AH1574" s="2">
        <v>-8145600.7400000002</v>
      </c>
      <c r="AI1574" s="2">
        <v>-0.02</v>
      </c>
      <c r="AJ1574" s="5">
        <v>44673</v>
      </c>
      <c r="AK1574" t="s">
        <v>11115</v>
      </c>
      <c r="AL1574" s="2">
        <v>0</v>
      </c>
      <c r="AM1574" s="2">
        <v>0</v>
      </c>
      <c r="AN1574" s="2">
        <v>0</v>
      </c>
      <c r="AO1574" t="s">
        <v>44</v>
      </c>
      <c r="AP1574" t="s">
        <v>44</v>
      </c>
      <c r="AQ1574" t="s">
        <v>11111</v>
      </c>
    </row>
    <row r="1575" spans="1:43" x14ac:dyDescent="0.2">
      <c r="A1575" t="s">
        <v>11113</v>
      </c>
      <c r="B1575" t="s">
        <v>11030</v>
      </c>
      <c r="C1575" t="s">
        <v>11030</v>
      </c>
      <c r="D1575" t="s">
        <v>11110</v>
      </c>
      <c r="E1575" t="s">
        <v>11095</v>
      </c>
      <c r="F1575" t="s">
        <v>11110</v>
      </c>
      <c r="G1575" s="1">
        <v>1</v>
      </c>
      <c r="H1575" s="2"/>
      <c r="I1575" s="2">
        <v>0</v>
      </c>
      <c r="J1575" s="2"/>
      <c r="K1575" s="2"/>
      <c r="L1575" s="2">
        <v>0</v>
      </c>
      <c r="M1575" s="3"/>
      <c r="N1575" s="4">
        <v>0</v>
      </c>
      <c r="O1575" s="5" t="s">
        <v>44</v>
      </c>
      <c r="P1575" s="5" t="s">
        <v>44</v>
      </c>
      <c r="Q1575" s="1"/>
      <c r="R1575" s="2"/>
      <c r="S1575" s="6"/>
      <c r="T1575" t="s">
        <v>11031</v>
      </c>
      <c r="U1575" t="s">
        <v>11032</v>
      </c>
      <c r="V1575" t="s">
        <v>11073</v>
      </c>
      <c r="W1575" t="s">
        <v>481</v>
      </c>
      <c r="X1575" t="s">
        <v>44</v>
      </c>
      <c r="Y1575" t="s">
        <v>44</v>
      </c>
      <c r="Z1575" t="s">
        <v>44</v>
      </c>
      <c r="AA1575" t="s">
        <v>44</v>
      </c>
      <c r="AB1575" t="s">
        <v>44</v>
      </c>
      <c r="AC1575" s="4"/>
      <c r="AD1575" s="4"/>
      <c r="AE1575" s="2">
        <v>0</v>
      </c>
      <c r="AF1575" s="4">
        <v>0</v>
      </c>
      <c r="AG1575" s="2">
        <v>0</v>
      </c>
      <c r="AH1575" s="2">
        <v>-2452304.61</v>
      </c>
      <c r="AI1575" s="2">
        <v>-0.01</v>
      </c>
      <c r="AJ1575" s="5">
        <v>44673</v>
      </c>
      <c r="AK1575" t="s">
        <v>11115</v>
      </c>
      <c r="AL1575" s="2">
        <v>0</v>
      </c>
      <c r="AM1575" s="2">
        <v>0</v>
      </c>
      <c r="AN1575" s="2">
        <v>0</v>
      </c>
      <c r="AO1575" t="s">
        <v>44</v>
      </c>
      <c r="AP1575" t="s">
        <v>44</v>
      </c>
      <c r="AQ1575" t="s">
        <v>44</v>
      </c>
    </row>
    <row r="1576" spans="1:43" x14ac:dyDescent="0.2">
      <c r="A1576" t="s">
        <v>11113</v>
      </c>
      <c r="B1576" t="s">
        <v>11030</v>
      </c>
      <c r="C1576" t="s">
        <v>11030</v>
      </c>
      <c r="D1576" t="s">
        <v>11112</v>
      </c>
      <c r="E1576" t="s">
        <v>11098</v>
      </c>
      <c r="F1576" t="s">
        <v>11112</v>
      </c>
      <c r="G1576" s="1">
        <v>67</v>
      </c>
      <c r="H1576" s="2"/>
      <c r="I1576" s="2">
        <v>0</v>
      </c>
      <c r="J1576" s="2"/>
      <c r="K1576" s="2"/>
      <c r="L1576" s="2">
        <v>0</v>
      </c>
      <c r="M1576" s="3"/>
      <c r="N1576" s="4">
        <v>0</v>
      </c>
      <c r="O1576" s="5" t="s">
        <v>44</v>
      </c>
      <c r="P1576" s="5" t="s">
        <v>44</v>
      </c>
      <c r="Q1576" s="1"/>
      <c r="R1576" s="2"/>
      <c r="S1576" s="6"/>
      <c r="T1576" t="s">
        <v>11031</v>
      </c>
      <c r="U1576" t="s">
        <v>11032</v>
      </c>
      <c r="V1576" t="s">
        <v>11073</v>
      </c>
      <c r="W1576" t="s">
        <v>113</v>
      </c>
      <c r="X1576" t="s">
        <v>44</v>
      </c>
      <c r="Y1576" t="s">
        <v>44</v>
      </c>
      <c r="Z1576" t="s">
        <v>44</v>
      </c>
      <c r="AA1576" t="s">
        <v>44</v>
      </c>
      <c r="AB1576" t="s">
        <v>44</v>
      </c>
      <c r="AC1576" s="4"/>
      <c r="AD1576" s="4"/>
      <c r="AE1576" s="2">
        <v>0</v>
      </c>
      <c r="AF1576" s="4">
        <v>0</v>
      </c>
      <c r="AG1576" s="2">
        <v>0</v>
      </c>
      <c r="AH1576" s="2">
        <v>-127376756.97</v>
      </c>
      <c r="AI1576" s="2">
        <v>-0.28999999999999998</v>
      </c>
      <c r="AJ1576" s="5">
        <v>44673</v>
      </c>
      <c r="AK1576" t="s">
        <v>11115</v>
      </c>
      <c r="AL1576" s="2">
        <v>0</v>
      </c>
      <c r="AM1576" s="2">
        <v>0</v>
      </c>
      <c r="AN1576" s="2">
        <v>0</v>
      </c>
      <c r="AO1576" t="s">
        <v>44</v>
      </c>
      <c r="AP1576" t="s">
        <v>44</v>
      </c>
      <c r="AQ1576" t="s">
        <v>44</v>
      </c>
    </row>
    <row r="1577" spans="1:43" x14ac:dyDescent="0.2">
      <c r="A1577" t="s">
        <v>12180</v>
      </c>
      <c r="B1577" t="s">
        <v>10900</v>
      </c>
      <c r="C1577" t="s">
        <v>11049</v>
      </c>
      <c r="D1577" t="s">
        <v>11265</v>
      </c>
      <c r="E1577" t="s">
        <v>11266</v>
      </c>
      <c r="F1577" t="s">
        <v>11265</v>
      </c>
      <c r="G1577" s="1">
        <v>2900000</v>
      </c>
      <c r="H1577" s="2">
        <v>2761588.69</v>
      </c>
      <c r="I1577" s="2">
        <v>2761588.69</v>
      </c>
      <c r="J1577" s="2">
        <v>0</v>
      </c>
      <c r="K1577" s="2">
        <v>0</v>
      </c>
      <c r="L1577" s="2">
        <v>2761588.69</v>
      </c>
      <c r="M1577" s="3">
        <v>6.3099970000000001</v>
      </c>
      <c r="N1577" s="4">
        <v>6.2829100000000001E-3</v>
      </c>
      <c r="O1577" s="5" t="s">
        <v>44</v>
      </c>
      <c r="P1577" s="5">
        <v>44964</v>
      </c>
      <c r="Q1577" s="1">
        <v>0</v>
      </c>
      <c r="R1577" s="2">
        <v>0.79</v>
      </c>
      <c r="S1577" s="6">
        <v>0.75161913127000002</v>
      </c>
      <c r="T1577" t="s">
        <v>112</v>
      </c>
      <c r="U1577" t="s">
        <v>111</v>
      </c>
      <c r="V1577" t="s">
        <v>11238</v>
      </c>
      <c r="W1577" t="s">
        <v>43</v>
      </c>
      <c r="X1577" t="s">
        <v>44</v>
      </c>
      <c r="Y1577" t="s">
        <v>44</v>
      </c>
      <c r="Z1577" t="s">
        <v>44</v>
      </c>
      <c r="AA1577" t="s">
        <v>10979</v>
      </c>
      <c r="AB1577" t="s">
        <v>44</v>
      </c>
      <c r="AC1577" s="4">
        <v>6.4095368800000001</v>
      </c>
      <c r="AD1577" s="4">
        <v>6.2286110399999997</v>
      </c>
      <c r="AE1577" s="2">
        <v>6.41</v>
      </c>
      <c r="AF1577" s="4">
        <v>6.2286110399999997</v>
      </c>
      <c r="AG1577" s="2">
        <v>0.81</v>
      </c>
      <c r="AH1577" s="2">
        <v>2761588.69</v>
      </c>
      <c r="AI1577" s="2">
        <v>0.01</v>
      </c>
      <c r="AJ1577" s="5">
        <v>44673</v>
      </c>
      <c r="AK1577" t="s">
        <v>12181</v>
      </c>
      <c r="AL1577" s="2">
        <v>6.31</v>
      </c>
      <c r="AM1577" s="2">
        <v>0</v>
      </c>
      <c r="AN1577" s="2">
        <v>0.75</v>
      </c>
      <c r="AO1577" t="s">
        <v>10982</v>
      </c>
      <c r="AP1577" t="s">
        <v>11267</v>
      </c>
      <c r="AQ1577" t="s">
        <v>11266</v>
      </c>
    </row>
    <row r="1578" spans="1:43" x14ac:dyDescent="0.2">
      <c r="A1578" t="s">
        <v>12180</v>
      </c>
      <c r="B1578" t="s">
        <v>45</v>
      </c>
      <c r="C1578" t="s">
        <v>11000</v>
      </c>
      <c r="D1578" t="s">
        <v>11268</v>
      </c>
      <c r="E1578" t="s">
        <v>11269</v>
      </c>
      <c r="F1578" t="s">
        <v>11268</v>
      </c>
      <c r="G1578" s="1">
        <v>4311166.8600000003</v>
      </c>
      <c r="H1578" s="2">
        <v>4311166.8600000003</v>
      </c>
      <c r="I1578" s="2">
        <v>4311166.8600000003</v>
      </c>
      <c r="J1578" s="2">
        <v>13849.36</v>
      </c>
      <c r="K1578" s="2">
        <v>0</v>
      </c>
      <c r="L1578" s="2">
        <v>4325016.22</v>
      </c>
      <c r="M1578" s="3">
        <v>4.617</v>
      </c>
      <c r="N1578" s="4">
        <v>9.8398800000000005E-3</v>
      </c>
      <c r="O1578" s="5" t="s">
        <v>44</v>
      </c>
      <c r="P1578" s="5">
        <v>47848</v>
      </c>
      <c r="Q1578" s="1">
        <v>4.617</v>
      </c>
      <c r="R1578" s="2">
        <v>0.08</v>
      </c>
      <c r="S1578" s="6"/>
      <c r="T1578" t="s">
        <v>112</v>
      </c>
      <c r="U1578" t="s">
        <v>46</v>
      </c>
      <c r="V1578" t="s">
        <v>11270</v>
      </c>
      <c r="W1578" t="s">
        <v>43</v>
      </c>
      <c r="X1578" t="s">
        <v>44</v>
      </c>
      <c r="Y1578" t="s">
        <v>44</v>
      </c>
      <c r="Z1578" t="s">
        <v>44</v>
      </c>
      <c r="AA1578" t="s">
        <v>44</v>
      </c>
      <c r="AB1578" t="s">
        <v>44</v>
      </c>
      <c r="AC1578" s="4">
        <v>4.7160921900000004</v>
      </c>
      <c r="AD1578" s="4">
        <v>4.6171215200000004</v>
      </c>
      <c r="AE1578" s="2">
        <v>4.72</v>
      </c>
      <c r="AF1578" s="4">
        <v>4.6171215200000004</v>
      </c>
      <c r="AG1578" s="2">
        <v>1.27</v>
      </c>
      <c r="AH1578" s="2">
        <v>4325016.22</v>
      </c>
      <c r="AI1578" s="2">
        <v>0.01</v>
      </c>
      <c r="AJ1578" s="5">
        <v>44673</v>
      </c>
      <c r="AK1578" t="s">
        <v>12181</v>
      </c>
      <c r="AL1578" s="2">
        <v>4.66</v>
      </c>
      <c r="AM1578" s="2">
        <v>4.62</v>
      </c>
      <c r="AN1578" s="2">
        <v>0</v>
      </c>
      <c r="AO1578" t="s">
        <v>44</v>
      </c>
      <c r="AP1578" t="s">
        <v>44</v>
      </c>
      <c r="AQ1578" t="s">
        <v>11269</v>
      </c>
    </row>
    <row r="1579" spans="1:43" x14ac:dyDescent="0.2">
      <c r="A1579" t="s">
        <v>12180</v>
      </c>
      <c r="B1579" t="s">
        <v>45</v>
      </c>
      <c r="C1579" t="s">
        <v>11000</v>
      </c>
      <c r="D1579" t="s">
        <v>11271</v>
      </c>
      <c r="E1579" t="s">
        <v>11272</v>
      </c>
      <c r="F1579" t="s">
        <v>11271</v>
      </c>
      <c r="G1579" s="1">
        <v>7440000</v>
      </c>
      <c r="H1579" s="2">
        <v>7440000</v>
      </c>
      <c r="I1579" s="2">
        <v>7440000</v>
      </c>
      <c r="J1579" s="2">
        <v>23900.54</v>
      </c>
      <c r="K1579" s="2">
        <v>0</v>
      </c>
      <c r="L1579" s="2">
        <v>7463900.54</v>
      </c>
      <c r="M1579" s="3">
        <v>4.617</v>
      </c>
      <c r="N1579" s="4">
        <v>1.6981179999999998E-2</v>
      </c>
      <c r="O1579" s="5" t="s">
        <v>44</v>
      </c>
      <c r="P1579" s="5">
        <v>47848</v>
      </c>
      <c r="Q1579" s="1">
        <v>4.617</v>
      </c>
      <c r="R1579" s="2">
        <v>0.08</v>
      </c>
      <c r="S1579" s="6"/>
      <c r="T1579" t="s">
        <v>112</v>
      </c>
      <c r="U1579" t="s">
        <v>46</v>
      </c>
      <c r="V1579" t="s">
        <v>11270</v>
      </c>
      <c r="W1579" t="s">
        <v>43</v>
      </c>
      <c r="X1579" t="s">
        <v>44</v>
      </c>
      <c r="Y1579" t="s">
        <v>44</v>
      </c>
      <c r="Z1579" t="s">
        <v>44</v>
      </c>
      <c r="AA1579" t="s">
        <v>44</v>
      </c>
      <c r="AB1579" t="s">
        <v>44</v>
      </c>
      <c r="AC1579" s="4">
        <v>4.7160921900000004</v>
      </c>
      <c r="AD1579" s="4">
        <v>4.6171215200000004</v>
      </c>
      <c r="AE1579" s="2">
        <v>4.72</v>
      </c>
      <c r="AF1579" s="4">
        <v>4.6171215200000004</v>
      </c>
      <c r="AG1579" s="2">
        <v>2.19</v>
      </c>
      <c r="AH1579" s="2">
        <v>7463900.54</v>
      </c>
      <c r="AI1579" s="2">
        <v>0.02</v>
      </c>
      <c r="AJ1579" s="5">
        <v>44673</v>
      </c>
      <c r="AK1579" t="s">
        <v>12181</v>
      </c>
      <c r="AL1579" s="2">
        <v>4.66</v>
      </c>
      <c r="AM1579" s="2">
        <v>4.62</v>
      </c>
      <c r="AN1579" s="2">
        <v>0</v>
      </c>
      <c r="AO1579" t="s">
        <v>44</v>
      </c>
      <c r="AP1579" t="s">
        <v>44</v>
      </c>
      <c r="AQ1579" t="s">
        <v>11272</v>
      </c>
    </row>
    <row r="1580" spans="1:43" x14ac:dyDescent="0.2">
      <c r="A1580" t="s">
        <v>12180</v>
      </c>
      <c r="B1580" t="s">
        <v>45</v>
      </c>
      <c r="C1580" t="s">
        <v>11000</v>
      </c>
      <c r="D1580" t="s">
        <v>11273</v>
      </c>
      <c r="E1580" t="s">
        <v>11274</v>
      </c>
      <c r="F1580" t="s">
        <v>11273</v>
      </c>
      <c r="G1580" s="1">
        <v>4383.9799999999996</v>
      </c>
      <c r="H1580" s="2">
        <v>4383.9799999999996</v>
      </c>
      <c r="I1580" s="2">
        <v>4383.9799999999996</v>
      </c>
      <c r="J1580" s="2">
        <v>13.3</v>
      </c>
      <c r="K1580" s="2">
        <v>0</v>
      </c>
      <c r="L1580" s="2">
        <v>4397.28</v>
      </c>
      <c r="M1580" s="3"/>
      <c r="N1580" s="4">
        <v>1.0000000000000001E-5</v>
      </c>
      <c r="O1580" s="5">
        <v>44378</v>
      </c>
      <c r="P1580" s="5">
        <v>55153</v>
      </c>
      <c r="Q1580" s="1">
        <v>0</v>
      </c>
      <c r="R1580" s="2"/>
      <c r="S1580" s="6"/>
      <c r="T1580" t="s">
        <v>111</v>
      </c>
      <c r="U1580" t="s">
        <v>11003</v>
      </c>
      <c r="V1580" t="s">
        <v>46</v>
      </c>
      <c r="W1580" t="s">
        <v>43</v>
      </c>
      <c r="X1580" t="s">
        <v>44</v>
      </c>
      <c r="Y1580" t="s">
        <v>44</v>
      </c>
      <c r="Z1580" t="s">
        <v>44</v>
      </c>
      <c r="AA1580" t="s">
        <v>44</v>
      </c>
      <c r="AB1580" t="s">
        <v>44</v>
      </c>
      <c r="AC1580" s="4"/>
      <c r="AD1580" s="4"/>
      <c r="AE1580" s="2">
        <v>0</v>
      </c>
      <c r="AF1580" s="4">
        <v>0</v>
      </c>
      <c r="AG1580" s="2">
        <v>0</v>
      </c>
      <c r="AH1580" s="2">
        <v>4397.28</v>
      </c>
      <c r="AI1580" s="2">
        <v>0</v>
      </c>
      <c r="AJ1580" s="5">
        <v>44673</v>
      </c>
      <c r="AK1580" t="s">
        <v>12181</v>
      </c>
      <c r="AL1580" s="2">
        <v>0</v>
      </c>
      <c r="AM1580" s="2">
        <v>0</v>
      </c>
      <c r="AN1580" s="2">
        <v>0</v>
      </c>
      <c r="AO1580" t="s">
        <v>44</v>
      </c>
      <c r="AP1580" t="s">
        <v>11275</v>
      </c>
      <c r="AQ1580" t="s">
        <v>11274</v>
      </c>
    </row>
    <row r="1581" spans="1:43" x14ac:dyDescent="0.2">
      <c r="A1581" t="s">
        <v>12180</v>
      </c>
      <c r="B1581" t="s">
        <v>45</v>
      </c>
      <c r="C1581" t="s">
        <v>11000</v>
      </c>
      <c r="D1581" t="s">
        <v>11001</v>
      </c>
      <c r="E1581" t="s">
        <v>11002</v>
      </c>
      <c r="F1581" t="s">
        <v>11001</v>
      </c>
      <c r="G1581" s="1">
        <v>46342140.380000003</v>
      </c>
      <c r="H1581" s="2">
        <v>46342140.369999997</v>
      </c>
      <c r="I1581" s="2">
        <v>46342140.369999997</v>
      </c>
      <c r="J1581" s="2">
        <v>105051.99</v>
      </c>
      <c r="K1581" s="2">
        <v>0</v>
      </c>
      <c r="L1581" s="2">
        <v>46447192.359999999</v>
      </c>
      <c r="M1581" s="3"/>
      <c r="N1581" s="4">
        <v>0.10567236000000001</v>
      </c>
      <c r="O1581" s="5">
        <v>40756</v>
      </c>
      <c r="P1581" s="5">
        <v>73020</v>
      </c>
      <c r="Q1581" s="1">
        <v>0</v>
      </c>
      <c r="R1581" s="2"/>
      <c r="S1581" s="6"/>
      <c r="T1581" t="s">
        <v>111</v>
      </c>
      <c r="U1581" t="s">
        <v>11003</v>
      </c>
      <c r="V1581" t="s">
        <v>46</v>
      </c>
      <c r="W1581" t="s">
        <v>43</v>
      </c>
      <c r="X1581" t="s">
        <v>44</v>
      </c>
      <c r="Y1581" t="s">
        <v>44</v>
      </c>
      <c r="Z1581" t="s">
        <v>44</v>
      </c>
      <c r="AA1581" t="s">
        <v>44</v>
      </c>
      <c r="AB1581" t="s">
        <v>44</v>
      </c>
      <c r="AC1581" s="4"/>
      <c r="AD1581" s="4"/>
      <c r="AE1581" s="2">
        <v>0</v>
      </c>
      <c r="AF1581" s="4">
        <v>0</v>
      </c>
      <c r="AG1581" s="2">
        <v>13.61</v>
      </c>
      <c r="AH1581" s="2">
        <v>46447192.359999999</v>
      </c>
      <c r="AI1581" s="2">
        <v>0.11</v>
      </c>
      <c r="AJ1581" s="5">
        <v>44673</v>
      </c>
      <c r="AK1581" t="s">
        <v>12181</v>
      </c>
      <c r="AL1581" s="2">
        <v>0</v>
      </c>
      <c r="AM1581" s="2">
        <v>0</v>
      </c>
      <c r="AN1581" s="2">
        <v>0</v>
      </c>
      <c r="AO1581" t="s">
        <v>44</v>
      </c>
      <c r="AP1581" t="s">
        <v>11004</v>
      </c>
      <c r="AQ1581" t="s">
        <v>11002</v>
      </c>
    </row>
    <row r="1582" spans="1:43" x14ac:dyDescent="0.2">
      <c r="A1582" t="s">
        <v>12180</v>
      </c>
      <c r="B1582" t="s">
        <v>45</v>
      </c>
      <c r="C1582" t="s">
        <v>11144</v>
      </c>
      <c r="D1582" t="s">
        <v>11145</v>
      </c>
      <c r="E1582" t="s">
        <v>11146</v>
      </c>
      <c r="F1582" t="s">
        <v>11147</v>
      </c>
      <c r="G1582" s="1">
        <v>4732374</v>
      </c>
      <c r="H1582" s="2">
        <v>4732374</v>
      </c>
      <c r="I1582" s="2">
        <v>4732374</v>
      </c>
      <c r="J1582" s="2">
        <v>8510.09</v>
      </c>
      <c r="K1582" s="2">
        <v>0</v>
      </c>
      <c r="L1582" s="2">
        <v>4740884.09</v>
      </c>
      <c r="M1582" s="3">
        <v>6.88</v>
      </c>
      <c r="N1582" s="4">
        <v>1.078602E-2</v>
      </c>
      <c r="O1582" s="5" t="s">
        <v>44</v>
      </c>
      <c r="P1582" s="5">
        <v>55153</v>
      </c>
      <c r="Q1582" s="1">
        <v>6.88</v>
      </c>
      <c r="R1582" s="2">
        <v>0.08</v>
      </c>
      <c r="S1582" s="6">
        <v>2.6006750000000002E-3</v>
      </c>
      <c r="T1582" t="s">
        <v>112</v>
      </c>
      <c r="U1582" t="s">
        <v>46</v>
      </c>
      <c r="V1582" t="s">
        <v>11148</v>
      </c>
      <c r="W1582" t="s">
        <v>43</v>
      </c>
      <c r="X1582" t="s">
        <v>44</v>
      </c>
      <c r="Y1582" t="s">
        <v>44</v>
      </c>
      <c r="Z1582" t="s">
        <v>44</v>
      </c>
      <c r="AA1582" t="s">
        <v>44</v>
      </c>
      <c r="AB1582" t="s">
        <v>44</v>
      </c>
      <c r="AC1582" s="4"/>
      <c r="AD1582" s="4"/>
      <c r="AE1582" s="2">
        <v>0</v>
      </c>
      <c r="AF1582" s="4">
        <v>0</v>
      </c>
      <c r="AG1582" s="2">
        <v>1.39</v>
      </c>
      <c r="AH1582" s="2">
        <v>4740884.09</v>
      </c>
      <c r="AI1582" s="2">
        <v>0.01</v>
      </c>
      <c r="AJ1582" s="5">
        <v>44673</v>
      </c>
      <c r="AK1582" t="s">
        <v>12181</v>
      </c>
      <c r="AL1582" s="2">
        <v>0</v>
      </c>
      <c r="AM1582" s="2">
        <v>6.88</v>
      </c>
      <c r="AN1582" s="2">
        <v>0</v>
      </c>
      <c r="AO1582" t="s">
        <v>11146</v>
      </c>
      <c r="AP1582" t="s">
        <v>44</v>
      </c>
      <c r="AQ1582" t="s">
        <v>11146</v>
      </c>
    </row>
    <row r="1583" spans="1:43" x14ac:dyDescent="0.2">
      <c r="A1583" t="s">
        <v>12180</v>
      </c>
      <c r="B1583" t="s">
        <v>45</v>
      </c>
      <c r="C1583" t="s">
        <v>47</v>
      </c>
      <c r="D1583" t="s">
        <v>48</v>
      </c>
      <c r="E1583" t="s">
        <v>49</v>
      </c>
      <c r="F1583" t="s">
        <v>50</v>
      </c>
      <c r="G1583" s="1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350.94</v>
      </c>
      <c r="M1583" s="3"/>
      <c r="N1583" s="4">
        <v>7.9999999999999996E-7</v>
      </c>
      <c r="O1583" s="5" t="s">
        <v>44</v>
      </c>
      <c r="P1583" s="5" t="s">
        <v>44</v>
      </c>
      <c r="Q1583" s="1"/>
      <c r="R1583" s="2">
        <v>0.08</v>
      </c>
      <c r="S1583" s="6"/>
      <c r="T1583" t="s">
        <v>45</v>
      </c>
      <c r="U1583" t="s">
        <v>46</v>
      </c>
      <c r="V1583" t="s">
        <v>44</v>
      </c>
      <c r="W1583" t="s">
        <v>43</v>
      </c>
      <c r="X1583" t="s">
        <v>44</v>
      </c>
      <c r="Y1583" t="s">
        <v>44</v>
      </c>
      <c r="Z1583" t="s">
        <v>44</v>
      </c>
      <c r="AA1583" t="s">
        <v>44</v>
      </c>
      <c r="AB1583" t="s">
        <v>44</v>
      </c>
      <c r="AC1583" s="4">
        <v>5.1163389600000002</v>
      </c>
      <c r="AD1583" s="4">
        <v>5.0001424999999999</v>
      </c>
      <c r="AE1583" s="2">
        <v>5.12</v>
      </c>
      <c r="AF1583" s="4">
        <v>5.0001424999999999</v>
      </c>
      <c r="AG1583" s="2">
        <v>0</v>
      </c>
      <c r="AH1583" s="2">
        <v>350.94</v>
      </c>
      <c r="AI1583" s="2">
        <v>0</v>
      </c>
      <c r="AJ1583" s="5">
        <v>44673</v>
      </c>
      <c r="AK1583" t="s">
        <v>12181</v>
      </c>
      <c r="AL1583" s="2">
        <v>5.05</v>
      </c>
      <c r="AM1583" s="2">
        <v>0</v>
      </c>
      <c r="AN1583" s="2">
        <v>0</v>
      </c>
      <c r="AO1583" t="s">
        <v>44</v>
      </c>
      <c r="AP1583" t="s">
        <v>44</v>
      </c>
      <c r="AQ1583" t="s">
        <v>44</v>
      </c>
    </row>
    <row r="1584" spans="1:43" x14ac:dyDescent="0.2">
      <c r="A1584" t="s">
        <v>12180</v>
      </c>
      <c r="B1584" t="s">
        <v>45</v>
      </c>
      <c r="C1584" t="s">
        <v>47</v>
      </c>
      <c r="D1584" t="s">
        <v>51</v>
      </c>
      <c r="E1584" t="s">
        <v>52</v>
      </c>
      <c r="F1584" t="s">
        <v>51</v>
      </c>
      <c r="G1584" s="1">
        <v>581334.28</v>
      </c>
      <c r="H1584" s="2">
        <v>581334.28</v>
      </c>
      <c r="I1584" s="2">
        <v>581334.28</v>
      </c>
      <c r="J1584" s="2">
        <v>0</v>
      </c>
      <c r="K1584" s="2">
        <v>0</v>
      </c>
      <c r="L1584" s="2">
        <v>581334.28</v>
      </c>
      <c r="M1584" s="3"/>
      <c r="N1584" s="4">
        <v>1.3225999999999999E-3</v>
      </c>
      <c r="O1584" s="5" t="s">
        <v>44</v>
      </c>
      <c r="P1584" s="5" t="s">
        <v>44</v>
      </c>
      <c r="Q1584" s="1"/>
      <c r="R1584" s="2">
        <v>0.08</v>
      </c>
      <c r="S1584" s="6"/>
      <c r="T1584" t="s">
        <v>45</v>
      </c>
      <c r="U1584" t="s">
        <v>53</v>
      </c>
      <c r="V1584" t="s">
        <v>44</v>
      </c>
      <c r="W1584" t="s">
        <v>43</v>
      </c>
      <c r="X1584" t="s">
        <v>44</v>
      </c>
      <c r="Y1584" t="s">
        <v>44</v>
      </c>
      <c r="Z1584" t="s">
        <v>44</v>
      </c>
      <c r="AA1584" t="s">
        <v>44</v>
      </c>
      <c r="AB1584" t="s">
        <v>44</v>
      </c>
      <c r="AC1584" s="4">
        <v>5.1163389600000002</v>
      </c>
      <c r="AD1584" s="4">
        <v>5.0001424999999999</v>
      </c>
      <c r="AE1584" s="2">
        <v>5.12</v>
      </c>
      <c r="AF1584" s="4">
        <v>5.0001424999999999</v>
      </c>
      <c r="AG1584" s="2">
        <v>0.17</v>
      </c>
      <c r="AH1584" s="2">
        <v>581334.28</v>
      </c>
      <c r="AI1584" s="2">
        <v>0</v>
      </c>
      <c r="AJ1584" s="5">
        <v>44673</v>
      </c>
      <c r="AK1584" t="s">
        <v>12181</v>
      </c>
      <c r="AL1584" s="2">
        <v>5.05</v>
      </c>
      <c r="AM1584" s="2">
        <v>0</v>
      </c>
      <c r="AN1584" s="2">
        <v>0</v>
      </c>
      <c r="AO1584" t="s">
        <v>44</v>
      </c>
      <c r="AP1584" t="s">
        <v>44</v>
      </c>
      <c r="AQ1584" t="s">
        <v>43</v>
      </c>
    </row>
    <row r="1585" spans="1:43" x14ac:dyDescent="0.2">
      <c r="A1585" t="s">
        <v>12180</v>
      </c>
      <c r="B1585" t="s">
        <v>45</v>
      </c>
      <c r="C1585" t="s">
        <v>11005</v>
      </c>
      <c r="D1585" t="s">
        <v>11006</v>
      </c>
      <c r="E1585" t="s">
        <v>11007</v>
      </c>
      <c r="F1585" t="s">
        <v>11006</v>
      </c>
      <c r="G1585" s="1">
        <v>-103371.23</v>
      </c>
      <c r="H1585" s="2">
        <v>-103371.23</v>
      </c>
      <c r="I1585" s="2">
        <v>-103371.23</v>
      </c>
      <c r="J1585" s="2">
        <v>0</v>
      </c>
      <c r="K1585" s="2"/>
      <c r="L1585" s="2">
        <v>-103371.23</v>
      </c>
      <c r="M1585" s="3"/>
      <c r="N1585" s="4">
        <v>-2.3518000000000001E-4</v>
      </c>
      <c r="O1585" s="5" t="s">
        <v>44</v>
      </c>
      <c r="P1585" s="5">
        <v>73051</v>
      </c>
      <c r="Q1585" s="1">
        <v>0</v>
      </c>
      <c r="R1585" s="2">
        <v>0.08</v>
      </c>
      <c r="S1585" s="6"/>
      <c r="T1585" t="s">
        <v>45</v>
      </c>
      <c r="U1585" t="s">
        <v>11008</v>
      </c>
      <c r="V1585" t="s">
        <v>44</v>
      </c>
      <c r="W1585" t="s">
        <v>43</v>
      </c>
      <c r="X1585" t="s">
        <v>44</v>
      </c>
      <c r="Y1585" t="s">
        <v>44</v>
      </c>
      <c r="Z1585" t="s">
        <v>44</v>
      </c>
      <c r="AA1585" t="s">
        <v>44</v>
      </c>
      <c r="AB1585" t="s">
        <v>44</v>
      </c>
      <c r="AC1585" s="4">
        <v>5.1163389600000002</v>
      </c>
      <c r="AD1585" s="4">
        <v>5.0001424999999999</v>
      </c>
      <c r="AE1585" s="2">
        <v>5.12</v>
      </c>
      <c r="AF1585" s="4">
        <v>5.0001424999999999</v>
      </c>
      <c r="AG1585" s="2">
        <v>-0.03</v>
      </c>
      <c r="AH1585" s="2">
        <v>-103371.23</v>
      </c>
      <c r="AI1585" s="2">
        <v>0</v>
      </c>
      <c r="AJ1585" s="5">
        <v>44673</v>
      </c>
      <c r="AK1585" t="s">
        <v>12181</v>
      </c>
      <c r="AL1585" s="2">
        <v>5.05</v>
      </c>
      <c r="AM1585" s="2">
        <v>0</v>
      </c>
      <c r="AN1585" s="2">
        <v>0</v>
      </c>
      <c r="AO1585" t="s">
        <v>44</v>
      </c>
      <c r="AP1585" t="s">
        <v>44</v>
      </c>
      <c r="AQ1585" t="s">
        <v>44</v>
      </c>
    </row>
    <row r="1586" spans="1:43" x14ac:dyDescent="0.2">
      <c r="A1586" t="s">
        <v>12180</v>
      </c>
      <c r="B1586" t="s">
        <v>45</v>
      </c>
      <c r="C1586" t="s">
        <v>11005</v>
      </c>
      <c r="D1586" t="s">
        <v>11009</v>
      </c>
      <c r="E1586" t="s">
        <v>11010</v>
      </c>
      <c r="F1586" t="s">
        <v>44</v>
      </c>
      <c r="G1586" s="1">
        <v>-975.35</v>
      </c>
      <c r="H1586" s="2">
        <v>-975.35</v>
      </c>
      <c r="I1586" s="2">
        <v>-975.35</v>
      </c>
      <c r="J1586" s="2">
        <v>0</v>
      </c>
      <c r="K1586" s="2"/>
      <c r="L1586" s="2">
        <v>-975.35</v>
      </c>
      <c r="M1586" s="3"/>
      <c r="N1586" s="4">
        <v>-2.2199999999999999E-6</v>
      </c>
      <c r="O1586" s="5" t="s">
        <v>44</v>
      </c>
      <c r="P1586" s="5">
        <v>73051</v>
      </c>
      <c r="Q1586" s="1">
        <v>0</v>
      </c>
      <c r="R1586" s="2">
        <v>0.08</v>
      </c>
      <c r="S1586" s="6"/>
      <c r="T1586" t="s">
        <v>45</v>
      </c>
      <c r="U1586" t="s">
        <v>44</v>
      </c>
      <c r="V1586" t="s">
        <v>44</v>
      </c>
      <c r="W1586" t="s">
        <v>43</v>
      </c>
      <c r="X1586" t="s">
        <v>44</v>
      </c>
      <c r="Y1586" t="s">
        <v>44</v>
      </c>
      <c r="Z1586" t="s">
        <v>44</v>
      </c>
      <c r="AA1586" t="s">
        <v>44</v>
      </c>
      <c r="AB1586" t="s">
        <v>44</v>
      </c>
      <c r="AC1586" s="4">
        <v>5.1163389600000002</v>
      </c>
      <c r="AD1586" s="4">
        <v>5.0001424999999999</v>
      </c>
      <c r="AE1586" s="2">
        <v>5.12</v>
      </c>
      <c r="AF1586" s="4">
        <v>5.0001424999999999</v>
      </c>
      <c r="AG1586" s="2">
        <v>0</v>
      </c>
      <c r="AH1586" s="2">
        <v>-975.35</v>
      </c>
      <c r="AI1586" s="2">
        <v>0</v>
      </c>
      <c r="AJ1586" s="5">
        <v>44673</v>
      </c>
      <c r="AK1586" t="s">
        <v>12181</v>
      </c>
      <c r="AL1586" s="2">
        <v>5.05</v>
      </c>
      <c r="AM1586" s="2">
        <v>0</v>
      </c>
      <c r="AN1586" s="2">
        <v>0</v>
      </c>
      <c r="AO1586" t="s">
        <v>44</v>
      </c>
      <c r="AP1586" t="s">
        <v>44</v>
      </c>
      <c r="AQ1586" t="s">
        <v>44</v>
      </c>
    </row>
    <row r="1587" spans="1:43" x14ac:dyDescent="0.2">
      <c r="A1587" t="s">
        <v>12180</v>
      </c>
      <c r="B1587" t="s">
        <v>45</v>
      </c>
      <c r="C1587" t="s">
        <v>11005</v>
      </c>
      <c r="D1587" t="s">
        <v>11011</v>
      </c>
      <c r="E1587" t="s">
        <v>11012</v>
      </c>
      <c r="F1587" t="s">
        <v>44</v>
      </c>
      <c r="G1587" s="1">
        <v>-20198.66</v>
      </c>
      <c r="H1587" s="2">
        <v>-20198.66</v>
      </c>
      <c r="I1587" s="2">
        <v>-20198.66</v>
      </c>
      <c r="J1587" s="2">
        <v>0</v>
      </c>
      <c r="K1587" s="2"/>
      <c r="L1587" s="2">
        <v>-20198.66</v>
      </c>
      <c r="M1587" s="3"/>
      <c r="N1587" s="4">
        <v>-4.5949999999999999E-5</v>
      </c>
      <c r="O1587" s="5" t="s">
        <v>44</v>
      </c>
      <c r="P1587" s="5">
        <v>73051</v>
      </c>
      <c r="Q1587" s="1">
        <v>0</v>
      </c>
      <c r="R1587" s="2">
        <v>0.08</v>
      </c>
      <c r="S1587" s="6"/>
      <c r="T1587" t="s">
        <v>45</v>
      </c>
      <c r="U1587" t="s">
        <v>44</v>
      </c>
      <c r="V1587" t="s">
        <v>44</v>
      </c>
      <c r="W1587" t="s">
        <v>43</v>
      </c>
      <c r="X1587" t="s">
        <v>44</v>
      </c>
      <c r="Y1587" t="s">
        <v>44</v>
      </c>
      <c r="Z1587" t="s">
        <v>44</v>
      </c>
      <c r="AA1587" t="s">
        <v>44</v>
      </c>
      <c r="AB1587" t="s">
        <v>44</v>
      </c>
      <c r="AC1587" s="4">
        <v>5.1163389600000002</v>
      </c>
      <c r="AD1587" s="4">
        <v>5.0001424999999999</v>
      </c>
      <c r="AE1587" s="2">
        <v>5.12</v>
      </c>
      <c r="AF1587" s="4">
        <v>5.0001424999999999</v>
      </c>
      <c r="AG1587" s="2">
        <v>-0.01</v>
      </c>
      <c r="AH1587" s="2">
        <v>-20198.66</v>
      </c>
      <c r="AI1587" s="2">
        <v>0</v>
      </c>
      <c r="AJ1587" s="5">
        <v>44673</v>
      </c>
      <c r="AK1587" t="s">
        <v>12181</v>
      </c>
      <c r="AL1587" s="2">
        <v>5.05</v>
      </c>
      <c r="AM1587" s="2">
        <v>0</v>
      </c>
      <c r="AN1587" s="2">
        <v>0</v>
      </c>
      <c r="AO1587" t="s">
        <v>44</v>
      </c>
      <c r="AP1587" t="s">
        <v>44</v>
      </c>
      <c r="AQ1587" t="s">
        <v>44</v>
      </c>
    </row>
    <row r="1588" spans="1:43" x14ac:dyDescent="0.2">
      <c r="A1588" t="s">
        <v>12180</v>
      </c>
      <c r="B1588" t="s">
        <v>45</v>
      </c>
      <c r="C1588" t="s">
        <v>11005</v>
      </c>
      <c r="D1588" t="s">
        <v>11149</v>
      </c>
      <c r="E1588" t="s">
        <v>11150</v>
      </c>
      <c r="F1588" t="s">
        <v>44</v>
      </c>
      <c r="G1588" s="1">
        <v>-885040</v>
      </c>
      <c r="H1588" s="2">
        <v>-885040</v>
      </c>
      <c r="I1588" s="2">
        <v>-885040</v>
      </c>
      <c r="J1588" s="2">
        <v>0</v>
      </c>
      <c r="K1588" s="2"/>
      <c r="L1588" s="2">
        <v>-885040</v>
      </c>
      <c r="M1588" s="3"/>
      <c r="N1588" s="4">
        <v>-2.0135600000000002E-3</v>
      </c>
      <c r="O1588" s="5" t="s">
        <v>44</v>
      </c>
      <c r="P1588" s="5">
        <v>73051</v>
      </c>
      <c r="Q1588" s="1">
        <v>0</v>
      </c>
      <c r="R1588" s="2">
        <v>0.08</v>
      </c>
      <c r="S1588" s="6"/>
      <c r="T1588" t="s">
        <v>45</v>
      </c>
      <c r="U1588" t="s">
        <v>44</v>
      </c>
      <c r="V1588" t="s">
        <v>44</v>
      </c>
      <c r="W1588" t="s">
        <v>43</v>
      </c>
      <c r="X1588" t="s">
        <v>44</v>
      </c>
      <c r="Y1588" t="s">
        <v>44</v>
      </c>
      <c r="Z1588" t="s">
        <v>44</v>
      </c>
      <c r="AA1588" t="s">
        <v>44</v>
      </c>
      <c r="AB1588" t="s">
        <v>44</v>
      </c>
      <c r="AC1588" s="4">
        <v>5.1163389600000002</v>
      </c>
      <c r="AD1588" s="4">
        <v>5.0001424999999999</v>
      </c>
      <c r="AE1588" s="2">
        <v>5.12</v>
      </c>
      <c r="AF1588" s="4">
        <v>5.0001424999999999</v>
      </c>
      <c r="AG1588" s="2">
        <v>-0.26</v>
      </c>
      <c r="AH1588" s="2">
        <v>-885040</v>
      </c>
      <c r="AI1588" s="2">
        <v>0</v>
      </c>
      <c r="AJ1588" s="5">
        <v>44673</v>
      </c>
      <c r="AK1588" t="s">
        <v>12181</v>
      </c>
      <c r="AL1588" s="2">
        <v>5.05</v>
      </c>
      <c r="AM1588" s="2">
        <v>0</v>
      </c>
      <c r="AN1588" s="2">
        <v>0</v>
      </c>
      <c r="AO1588" t="s">
        <v>44</v>
      </c>
      <c r="AP1588" t="s">
        <v>44</v>
      </c>
      <c r="AQ1588" t="s">
        <v>44</v>
      </c>
    </row>
    <row r="1589" spans="1:43" x14ac:dyDescent="0.2">
      <c r="A1589" t="s">
        <v>12180</v>
      </c>
      <c r="B1589" t="s">
        <v>11024</v>
      </c>
      <c r="C1589" t="s">
        <v>57</v>
      </c>
      <c r="D1589" t="s">
        <v>11151</v>
      </c>
      <c r="E1589" t="s">
        <v>11151</v>
      </c>
      <c r="F1589" t="s">
        <v>11151</v>
      </c>
      <c r="G1589" s="1">
        <v>74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3">
        <v>65704</v>
      </c>
      <c r="N1589" s="4">
        <v>0</v>
      </c>
      <c r="O1589" s="5" t="s">
        <v>44</v>
      </c>
      <c r="P1589" s="5">
        <v>44727</v>
      </c>
      <c r="Q1589" s="1"/>
      <c r="R1589" s="2"/>
      <c r="S1589" s="6"/>
      <c r="T1589" t="s">
        <v>11026</v>
      </c>
      <c r="U1589" t="s">
        <v>11025</v>
      </c>
      <c r="V1589" t="s">
        <v>11027</v>
      </c>
      <c r="W1589" t="s">
        <v>43</v>
      </c>
      <c r="X1589" t="s">
        <v>44</v>
      </c>
      <c r="Y1589" t="s">
        <v>44</v>
      </c>
      <c r="Z1589" t="s">
        <v>44</v>
      </c>
      <c r="AA1589" t="s">
        <v>44</v>
      </c>
      <c r="AB1589" t="s">
        <v>44</v>
      </c>
      <c r="AC1589" s="4"/>
      <c r="AD1589" s="4"/>
      <c r="AE1589" s="2">
        <v>0</v>
      </c>
      <c r="AF1589" s="4">
        <v>0</v>
      </c>
      <c r="AG1589" s="2">
        <v>0</v>
      </c>
      <c r="AH1589" s="2">
        <v>48620960</v>
      </c>
      <c r="AI1589" s="2">
        <v>0.11</v>
      </c>
      <c r="AJ1589" s="5">
        <v>44673</v>
      </c>
      <c r="AK1589" t="s">
        <v>12181</v>
      </c>
      <c r="AL1589" s="2">
        <v>0</v>
      </c>
      <c r="AM1589" s="2">
        <v>0</v>
      </c>
      <c r="AN1589" s="2">
        <v>0</v>
      </c>
      <c r="AO1589" t="s">
        <v>44</v>
      </c>
      <c r="AP1589" t="s">
        <v>11152</v>
      </c>
      <c r="AQ1589" t="s">
        <v>11151</v>
      </c>
    </row>
    <row r="1590" spans="1:43" x14ac:dyDescent="0.2">
      <c r="A1590" t="s">
        <v>12180</v>
      </c>
      <c r="B1590" t="s">
        <v>11037</v>
      </c>
      <c r="C1590" t="s">
        <v>11276</v>
      </c>
      <c r="D1590" t="s">
        <v>6473</v>
      </c>
      <c r="E1590" t="s">
        <v>4464</v>
      </c>
      <c r="F1590" t="s">
        <v>6473</v>
      </c>
      <c r="G1590" s="1">
        <v>2890</v>
      </c>
      <c r="H1590" s="2">
        <v>294650.45</v>
      </c>
      <c r="I1590" s="2">
        <v>289000</v>
      </c>
      <c r="J1590" s="2">
        <v>0</v>
      </c>
      <c r="K1590" s="2">
        <v>0</v>
      </c>
      <c r="L1590" s="2">
        <v>289000</v>
      </c>
      <c r="M1590" s="3">
        <v>10000</v>
      </c>
      <c r="N1590" s="4">
        <v>6.5751000000000004E-4</v>
      </c>
      <c r="O1590" s="5" t="s">
        <v>44</v>
      </c>
      <c r="P1590" s="5" t="s">
        <v>44</v>
      </c>
      <c r="Q1590" s="1"/>
      <c r="R1590" s="2"/>
      <c r="S1590" s="6"/>
      <c r="T1590" t="s">
        <v>10902</v>
      </c>
      <c r="U1590" t="s">
        <v>10902</v>
      </c>
      <c r="V1590" t="s">
        <v>10902</v>
      </c>
      <c r="W1590" t="s">
        <v>43</v>
      </c>
      <c r="X1590" t="s">
        <v>11277</v>
      </c>
      <c r="Y1590" t="s">
        <v>11277</v>
      </c>
      <c r="Z1590" t="s">
        <v>11276</v>
      </c>
      <c r="AA1590" t="s">
        <v>44</v>
      </c>
      <c r="AB1590" t="s">
        <v>44</v>
      </c>
      <c r="AC1590" s="4"/>
      <c r="AD1590" s="4"/>
      <c r="AE1590" s="2">
        <v>0</v>
      </c>
      <c r="AF1590" s="4">
        <v>0</v>
      </c>
      <c r="AG1590" s="2">
        <v>0.08</v>
      </c>
      <c r="AH1590" s="2">
        <v>289000</v>
      </c>
      <c r="AI1590" s="2">
        <v>0</v>
      </c>
      <c r="AJ1590" s="5">
        <v>44673</v>
      </c>
      <c r="AK1590" t="s">
        <v>12181</v>
      </c>
      <c r="AL1590" s="2">
        <v>0</v>
      </c>
      <c r="AM1590" s="2">
        <v>0</v>
      </c>
      <c r="AN1590" s="2">
        <v>0</v>
      </c>
      <c r="AO1590" t="s">
        <v>44</v>
      </c>
      <c r="AP1590" t="s">
        <v>11278</v>
      </c>
      <c r="AQ1590" t="s">
        <v>4464</v>
      </c>
    </row>
    <row r="1591" spans="1:43" x14ac:dyDescent="0.2">
      <c r="A1591" t="s">
        <v>12180</v>
      </c>
      <c r="B1591" t="s">
        <v>11037</v>
      </c>
      <c r="C1591" t="s">
        <v>11276</v>
      </c>
      <c r="D1591" t="s">
        <v>6316</v>
      </c>
      <c r="E1591" t="s">
        <v>4585</v>
      </c>
      <c r="F1591" t="s">
        <v>6316</v>
      </c>
      <c r="G1591" s="1">
        <v>4840</v>
      </c>
      <c r="H1591" s="2">
        <v>1157330.3400000001</v>
      </c>
      <c r="I1591" s="2">
        <v>1173796.8</v>
      </c>
      <c r="J1591" s="2">
        <v>0</v>
      </c>
      <c r="K1591" s="2">
        <v>0</v>
      </c>
      <c r="L1591" s="2">
        <v>1173796.8</v>
      </c>
      <c r="M1591" s="3">
        <v>24252</v>
      </c>
      <c r="N1591" s="4">
        <v>2.6705100000000001E-3</v>
      </c>
      <c r="O1591" s="5" t="s">
        <v>44</v>
      </c>
      <c r="P1591" s="5" t="s">
        <v>44</v>
      </c>
      <c r="Q1591" s="1"/>
      <c r="R1591" s="2"/>
      <c r="S1591" s="6"/>
      <c r="T1591" t="s">
        <v>10902</v>
      </c>
      <c r="U1591" t="s">
        <v>10902</v>
      </c>
      <c r="V1591" t="s">
        <v>10902</v>
      </c>
      <c r="W1591" t="s">
        <v>43</v>
      </c>
      <c r="X1591" t="s">
        <v>11279</v>
      </c>
      <c r="Y1591" t="s">
        <v>11280</v>
      </c>
      <c r="Z1591" t="s">
        <v>11276</v>
      </c>
      <c r="AA1591" t="s">
        <v>44</v>
      </c>
      <c r="AB1591" t="s">
        <v>44</v>
      </c>
      <c r="AC1591" s="4"/>
      <c r="AD1591" s="4"/>
      <c r="AE1591" s="2">
        <v>0</v>
      </c>
      <c r="AF1591" s="4">
        <v>0</v>
      </c>
      <c r="AG1591" s="2">
        <v>0.34</v>
      </c>
      <c r="AH1591" s="2">
        <v>1173796.8</v>
      </c>
      <c r="AI1591" s="2">
        <v>0</v>
      </c>
      <c r="AJ1591" s="5">
        <v>44673</v>
      </c>
      <c r="AK1591" t="s">
        <v>12181</v>
      </c>
      <c r="AL1591" s="2">
        <v>0</v>
      </c>
      <c r="AM1591" s="2">
        <v>0</v>
      </c>
      <c r="AN1591" s="2">
        <v>0</v>
      </c>
      <c r="AO1591" t="s">
        <v>44</v>
      </c>
      <c r="AP1591" t="s">
        <v>11281</v>
      </c>
      <c r="AQ1591" t="s">
        <v>4585</v>
      </c>
    </row>
    <row r="1592" spans="1:43" x14ac:dyDescent="0.2">
      <c r="A1592" t="s">
        <v>12180</v>
      </c>
      <c r="B1592" t="s">
        <v>11037</v>
      </c>
      <c r="C1592" t="s">
        <v>11276</v>
      </c>
      <c r="D1592" t="s">
        <v>11282</v>
      </c>
      <c r="E1592" t="s">
        <v>7222</v>
      </c>
      <c r="F1592" t="s">
        <v>11282</v>
      </c>
      <c r="G1592" s="1">
        <v>13480</v>
      </c>
      <c r="H1592" s="2">
        <v>269196.5</v>
      </c>
      <c r="I1592" s="2">
        <v>182114.8</v>
      </c>
      <c r="J1592" s="2">
        <v>0</v>
      </c>
      <c r="K1592" s="2">
        <v>0</v>
      </c>
      <c r="L1592" s="2">
        <v>182114.8</v>
      </c>
      <c r="M1592" s="3">
        <v>1351</v>
      </c>
      <c r="N1592" s="4">
        <v>4.1433000000000003E-4</v>
      </c>
      <c r="O1592" s="5" t="s">
        <v>44</v>
      </c>
      <c r="P1592" s="5" t="s">
        <v>44</v>
      </c>
      <c r="Q1592" s="1"/>
      <c r="R1592" s="2"/>
      <c r="S1592" s="6"/>
      <c r="T1592" t="s">
        <v>10902</v>
      </c>
      <c r="U1592" t="s">
        <v>10902</v>
      </c>
      <c r="V1592" t="s">
        <v>10902</v>
      </c>
      <c r="W1592" t="s">
        <v>43</v>
      </c>
      <c r="X1592" t="s">
        <v>11279</v>
      </c>
      <c r="Y1592" t="s">
        <v>11280</v>
      </c>
      <c r="Z1592" t="s">
        <v>11276</v>
      </c>
      <c r="AA1592" t="s">
        <v>44</v>
      </c>
      <c r="AB1592" t="s">
        <v>44</v>
      </c>
      <c r="AC1592" s="4"/>
      <c r="AD1592" s="4"/>
      <c r="AE1592" s="2">
        <v>0</v>
      </c>
      <c r="AF1592" s="4">
        <v>0</v>
      </c>
      <c r="AG1592" s="2">
        <v>0.05</v>
      </c>
      <c r="AH1592" s="2">
        <v>182114.8</v>
      </c>
      <c r="AI1592" s="2">
        <v>0</v>
      </c>
      <c r="AJ1592" s="5">
        <v>44673</v>
      </c>
      <c r="AK1592" t="s">
        <v>12181</v>
      </c>
      <c r="AL1592" s="2">
        <v>0</v>
      </c>
      <c r="AM1592" s="2">
        <v>0</v>
      </c>
      <c r="AN1592" s="2">
        <v>0</v>
      </c>
      <c r="AO1592" t="s">
        <v>44</v>
      </c>
      <c r="AP1592" t="s">
        <v>11283</v>
      </c>
      <c r="AQ1592" t="s">
        <v>7222</v>
      </c>
    </row>
    <row r="1593" spans="1:43" x14ac:dyDescent="0.2">
      <c r="A1593" t="s">
        <v>12180</v>
      </c>
      <c r="B1593" t="s">
        <v>11037</v>
      </c>
      <c r="C1593" t="s">
        <v>11276</v>
      </c>
      <c r="D1593" t="s">
        <v>11284</v>
      </c>
      <c r="E1593" t="s">
        <v>4506</v>
      </c>
      <c r="F1593" t="s">
        <v>11284</v>
      </c>
      <c r="G1593" s="1">
        <v>24330</v>
      </c>
      <c r="H1593" s="2">
        <v>1542824.39</v>
      </c>
      <c r="I1593" s="2">
        <v>1600427.4</v>
      </c>
      <c r="J1593" s="2">
        <v>0</v>
      </c>
      <c r="K1593" s="2">
        <v>0</v>
      </c>
      <c r="L1593" s="2">
        <v>1600427.4</v>
      </c>
      <c r="M1593" s="3">
        <v>6578</v>
      </c>
      <c r="N1593" s="4">
        <v>3.6411400000000002E-3</v>
      </c>
      <c r="O1593" s="5" t="s">
        <v>44</v>
      </c>
      <c r="P1593" s="5" t="s">
        <v>44</v>
      </c>
      <c r="Q1593" s="1"/>
      <c r="R1593" s="2"/>
      <c r="S1593" s="6"/>
      <c r="T1593" t="s">
        <v>10902</v>
      </c>
      <c r="U1593" t="s">
        <v>10902</v>
      </c>
      <c r="V1593" t="s">
        <v>10902</v>
      </c>
      <c r="W1593" t="s">
        <v>43</v>
      </c>
      <c r="X1593" t="s">
        <v>11279</v>
      </c>
      <c r="Y1593" t="s">
        <v>11280</v>
      </c>
      <c r="Z1593" t="s">
        <v>11276</v>
      </c>
      <c r="AA1593" t="s">
        <v>44</v>
      </c>
      <c r="AB1593" t="s">
        <v>44</v>
      </c>
      <c r="AC1593" s="4"/>
      <c r="AD1593" s="4"/>
      <c r="AE1593" s="2">
        <v>0</v>
      </c>
      <c r="AF1593" s="4">
        <v>0</v>
      </c>
      <c r="AG1593" s="2">
        <v>0.47</v>
      </c>
      <c r="AH1593" s="2">
        <v>1600427.4</v>
      </c>
      <c r="AI1593" s="2">
        <v>0</v>
      </c>
      <c r="AJ1593" s="5">
        <v>44673</v>
      </c>
      <c r="AK1593" t="s">
        <v>12181</v>
      </c>
      <c r="AL1593" s="2">
        <v>0</v>
      </c>
      <c r="AM1593" s="2">
        <v>0</v>
      </c>
      <c r="AN1593" s="2">
        <v>0</v>
      </c>
      <c r="AO1593" t="s">
        <v>44</v>
      </c>
      <c r="AP1593" t="s">
        <v>11285</v>
      </c>
      <c r="AQ1593" t="s">
        <v>4506</v>
      </c>
    </row>
    <row r="1594" spans="1:43" x14ac:dyDescent="0.2">
      <c r="A1594" t="s">
        <v>12180</v>
      </c>
      <c r="B1594" t="s">
        <v>11037</v>
      </c>
      <c r="C1594" t="s">
        <v>11276</v>
      </c>
      <c r="D1594" t="s">
        <v>6278</v>
      </c>
      <c r="E1594" t="s">
        <v>4640</v>
      </c>
      <c r="F1594" t="s">
        <v>6278</v>
      </c>
      <c r="G1594" s="1">
        <v>2180</v>
      </c>
      <c r="H1594" s="2">
        <v>1075991.3999999999</v>
      </c>
      <c r="I1594" s="2">
        <v>1104606</v>
      </c>
      <c r="J1594" s="2">
        <v>0</v>
      </c>
      <c r="K1594" s="2">
        <v>0</v>
      </c>
      <c r="L1594" s="2">
        <v>1104606</v>
      </c>
      <c r="M1594" s="3">
        <v>50670</v>
      </c>
      <c r="N1594" s="4">
        <v>2.5130999999999999E-3</v>
      </c>
      <c r="O1594" s="5" t="s">
        <v>44</v>
      </c>
      <c r="P1594" s="5" t="s">
        <v>44</v>
      </c>
      <c r="Q1594" s="1"/>
      <c r="R1594" s="2"/>
      <c r="S1594" s="6"/>
      <c r="T1594" t="s">
        <v>10902</v>
      </c>
      <c r="U1594" t="s">
        <v>10902</v>
      </c>
      <c r="V1594" t="s">
        <v>10902</v>
      </c>
      <c r="W1594" t="s">
        <v>43</v>
      </c>
      <c r="X1594" t="s">
        <v>11286</v>
      </c>
      <c r="Y1594" t="s">
        <v>11280</v>
      </c>
      <c r="Z1594" t="s">
        <v>11276</v>
      </c>
      <c r="AA1594" t="s">
        <v>44</v>
      </c>
      <c r="AB1594" t="s">
        <v>44</v>
      </c>
      <c r="AC1594" s="4"/>
      <c r="AD1594" s="4"/>
      <c r="AE1594" s="2">
        <v>0</v>
      </c>
      <c r="AF1594" s="4">
        <v>0</v>
      </c>
      <c r="AG1594" s="2">
        <v>0.32</v>
      </c>
      <c r="AH1594" s="2">
        <v>1104606</v>
      </c>
      <c r="AI1594" s="2">
        <v>0</v>
      </c>
      <c r="AJ1594" s="5">
        <v>44673</v>
      </c>
      <c r="AK1594" t="s">
        <v>12181</v>
      </c>
      <c r="AL1594" s="2">
        <v>0</v>
      </c>
      <c r="AM1594" s="2">
        <v>0</v>
      </c>
      <c r="AN1594" s="2">
        <v>0</v>
      </c>
      <c r="AO1594" t="s">
        <v>44</v>
      </c>
      <c r="AP1594" t="s">
        <v>11287</v>
      </c>
      <c r="AQ1594" t="s">
        <v>4640</v>
      </c>
    </row>
    <row r="1595" spans="1:43" x14ac:dyDescent="0.2">
      <c r="A1595" t="s">
        <v>12180</v>
      </c>
      <c r="B1595" t="s">
        <v>11037</v>
      </c>
      <c r="C1595" t="s">
        <v>11276</v>
      </c>
      <c r="D1595" t="s">
        <v>11290</v>
      </c>
      <c r="E1595" t="s">
        <v>4478</v>
      </c>
      <c r="F1595" t="s">
        <v>11290</v>
      </c>
      <c r="G1595" s="1">
        <v>5460</v>
      </c>
      <c r="H1595" s="2">
        <v>288168.40000000002</v>
      </c>
      <c r="I1595" s="2">
        <v>428064</v>
      </c>
      <c r="J1595" s="2">
        <v>0</v>
      </c>
      <c r="K1595" s="2">
        <v>0</v>
      </c>
      <c r="L1595" s="2">
        <v>428064</v>
      </c>
      <c r="M1595" s="3">
        <v>7840</v>
      </c>
      <c r="N1595" s="4">
        <v>9.7389000000000004E-4</v>
      </c>
      <c r="O1595" s="5" t="s">
        <v>44</v>
      </c>
      <c r="P1595" s="5" t="s">
        <v>44</v>
      </c>
      <c r="Q1595" s="1"/>
      <c r="R1595" s="2"/>
      <c r="S1595" s="6"/>
      <c r="T1595" t="s">
        <v>10902</v>
      </c>
      <c r="U1595" t="s">
        <v>10902</v>
      </c>
      <c r="V1595" t="s">
        <v>10902</v>
      </c>
      <c r="W1595" t="s">
        <v>43</v>
      </c>
      <c r="X1595" t="s">
        <v>11277</v>
      </c>
      <c r="Y1595" t="s">
        <v>11277</v>
      </c>
      <c r="Z1595" t="s">
        <v>11276</v>
      </c>
      <c r="AA1595" t="s">
        <v>44</v>
      </c>
      <c r="AB1595" t="s">
        <v>44</v>
      </c>
      <c r="AC1595" s="4"/>
      <c r="AD1595" s="4"/>
      <c r="AE1595" s="2">
        <v>0</v>
      </c>
      <c r="AF1595" s="4">
        <v>0</v>
      </c>
      <c r="AG1595" s="2">
        <v>0.13</v>
      </c>
      <c r="AH1595" s="2">
        <v>428064</v>
      </c>
      <c r="AI1595" s="2">
        <v>0</v>
      </c>
      <c r="AJ1595" s="5">
        <v>44673</v>
      </c>
      <c r="AK1595" t="s">
        <v>12181</v>
      </c>
      <c r="AL1595" s="2">
        <v>0</v>
      </c>
      <c r="AM1595" s="2">
        <v>0</v>
      </c>
      <c r="AN1595" s="2">
        <v>0</v>
      </c>
      <c r="AO1595" t="s">
        <v>44</v>
      </c>
      <c r="AP1595" t="s">
        <v>11291</v>
      </c>
      <c r="AQ1595" t="s">
        <v>4478</v>
      </c>
    </row>
    <row r="1596" spans="1:43" x14ac:dyDescent="0.2">
      <c r="A1596" t="s">
        <v>12180</v>
      </c>
      <c r="B1596" t="s">
        <v>11037</v>
      </c>
      <c r="C1596" t="s">
        <v>11276</v>
      </c>
      <c r="D1596" t="s">
        <v>11292</v>
      </c>
      <c r="E1596" t="s">
        <v>4513</v>
      </c>
      <c r="F1596" t="s">
        <v>11292</v>
      </c>
      <c r="G1596" s="1">
        <v>38510</v>
      </c>
      <c r="H1596" s="2">
        <v>149940.10999999999</v>
      </c>
      <c r="I1596" s="2">
        <v>165207.9</v>
      </c>
      <c r="J1596" s="2">
        <v>0</v>
      </c>
      <c r="K1596" s="2">
        <v>0</v>
      </c>
      <c r="L1596" s="2">
        <v>165207.9</v>
      </c>
      <c r="M1596" s="3">
        <v>429</v>
      </c>
      <c r="N1596" s="4">
        <v>3.7586999999999999E-4</v>
      </c>
      <c r="O1596" s="5" t="s">
        <v>44</v>
      </c>
      <c r="P1596" s="5" t="s">
        <v>44</v>
      </c>
      <c r="Q1596" s="1"/>
      <c r="R1596" s="2"/>
      <c r="S1596" s="6"/>
      <c r="T1596" t="s">
        <v>10902</v>
      </c>
      <c r="U1596" t="s">
        <v>10902</v>
      </c>
      <c r="V1596" t="s">
        <v>10902</v>
      </c>
      <c r="W1596" t="s">
        <v>43</v>
      </c>
      <c r="X1596" t="s">
        <v>11279</v>
      </c>
      <c r="Y1596" t="s">
        <v>11280</v>
      </c>
      <c r="Z1596" t="s">
        <v>11276</v>
      </c>
      <c r="AA1596" t="s">
        <v>44</v>
      </c>
      <c r="AB1596" t="s">
        <v>44</v>
      </c>
      <c r="AC1596" s="4"/>
      <c r="AD1596" s="4"/>
      <c r="AE1596" s="2">
        <v>0</v>
      </c>
      <c r="AF1596" s="4">
        <v>0</v>
      </c>
      <c r="AG1596" s="2">
        <v>0.05</v>
      </c>
      <c r="AH1596" s="2">
        <v>165207.9</v>
      </c>
      <c r="AI1596" s="2">
        <v>0</v>
      </c>
      <c r="AJ1596" s="5">
        <v>44673</v>
      </c>
      <c r="AK1596" t="s">
        <v>12181</v>
      </c>
      <c r="AL1596" s="2">
        <v>0</v>
      </c>
      <c r="AM1596" s="2">
        <v>0</v>
      </c>
      <c r="AN1596" s="2">
        <v>0</v>
      </c>
      <c r="AO1596" t="s">
        <v>44</v>
      </c>
      <c r="AP1596" t="s">
        <v>11293</v>
      </c>
      <c r="AQ1596" t="s">
        <v>4513</v>
      </c>
    </row>
    <row r="1597" spans="1:43" x14ac:dyDescent="0.2">
      <c r="A1597" t="s">
        <v>12180</v>
      </c>
      <c r="B1597" t="s">
        <v>11037</v>
      </c>
      <c r="C1597" t="s">
        <v>11276</v>
      </c>
      <c r="D1597" t="s">
        <v>6743</v>
      </c>
      <c r="E1597" t="s">
        <v>4570</v>
      </c>
      <c r="F1597" t="s">
        <v>6743</v>
      </c>
      <c r="G1597" s="1">
        <v>6420</v>
      </c>
      <c r="H1597" s="2">
        <v>760713.22</v>
      </c>
      <c r="I1597" s="2">
        <v>992082.6</v>
      </c>
      <c r="J1597" s="2">
        <v>0</v>
      </c>
      <c r="K1597" s="2">
        <v>0</v>
      </c>
      <c r="L1597" s="2">
        <v>992082.6</v>
      </c>
      <c r="M1597" s="3">
        <v>15453</v>
      </c>
      <c r="N1597" s="4">
        <v>2.2570899999999998E-3</v>
      </c>
      <c r="O1597" s="5" t="s">
        <v>44</v>
      </c>
      <c r="P1597" s="5" t="s">
        <v>44</v>
      </c>
      <c r="Q1597" s="1"/>
      <c r="R1597" s="2"/>
      <c r="S1597" s="6"/>
      <c r="T1597" t="s">
        <v>10902</v>
      </c>
      <c r="U1597" t="s">
        <v>10902</v>
      </c>
      <c r="V1597" t="s">
        <v>10902</v>
      </c>
      <c r="W1597" t="s">
        <v>43</v>
      </c>
      <c r="X1597" t="s">
        <v>11279</v>
      </c>
      <c r="Y1597" t="s">
        <v>11280</v>
      </c>
      <c r="Z1597" t="s">
        <v>11276</v>
      </c>
      <c r="AA1597" t="s">
        <v>44</v>
      </c>
      <c r="AB1597" t="s">
        <v>44</v>
      </c>
      <c r="AC1597" s="4"/>
      <c r="AD1597" s="4"/>
      <c r="AE1597" s="2">
        <v>0</v>
      </c>
      <c r="AF1597" s="4">
        <v>0</v>
      </c>
      <c r="AG1597" s="2">
        <v>0.28999999999999998</v>
      </c>
      <c r="AH1597" s="2">
        <v>992082.6</v>
      </c>
      <c r="AI1597" s="2">
        <v>0</v>
      </c>
      <c r="AJ1597" s="5">
        <v>44673</v>
      </c>
      <c r="AK1597" t="s">
        <v>12181</v>
      </c>
      <c r="AL1597" s="2">
        <v>0</v>
      </c>
      <c r="AM1597" s="2">
        <v>0</v>
      </c>
      <c r="AN1597" s="2">
        <v>0</v>
      </c>
      <c r="AO1597" t="s">
        <v>44</v>
      </c>
      <c r="AP1597" t="s">
        <v>11294</v>
      </c>
      <c r="AQ1597" t="s">
        <v>4570</v>
      </c>
    </row>
    <row r="1598" spans="1:43" x14ac:dyDescent="0.2">
      <c r="A1598" t="s">
        <v>12180</v>
      </c>
      <c r="B1598" t="s">
        <v>11037</v>
      </c>
      <c r="C1598" t="s">
        <v>11276</v>
      </c>
      <c r="D1598" t="s">
        <v>6209</v>
      </c>
      <c r="E1598" t="s">
        <v>520</v>
      </c>
      <c r="F1598" t="s">
        <v>6209</v>
      </c>
      <c r="G1598" s="1">
        <v>25670</v>
      </c>
      <c r="H1598" s="2">
        <v>1060204.92</v>
      </c>
      <c r="I1598" s="2">
        <v>1400041.8</v>
      </c>
      <c r="J1598" s="2">
        <v>0</v>
      </c>
      <c r="K1598" s="2">
        <v>0</v>
      </c>
      <c r="L1598" s="2">
        <v>1400041.8</v>
      </c>
      <c r="M1598" s="3">
        <v>5454</v>
      </c>
      <c r="N1598" s="4">
        <v>3.1852500000000001E-3</v>
      </c>
      <c r="O1598" s="5" t="s">
        <v>44</v>
      </c>
      <c r="P1598" s="5" t="s">
        <v>44</v>
      </c>
      <c r="Q1598" s="1"/>
      <c r="R1598" s="2"/>
      <c r="S1598" s="6"/>
      <c r="T1598" t="s">
        <v>10902</v>
      </c>
      <c r="U1598" t="s">
        <v>10902</v>
      </c>
      <c r="V1598" t="s">
        <v>10902</v>
      </c>
      <c r="W1598" t="s">
        <v>43</v>
      </c>
      <c r="X1598" t="s">
        <v>11289</v>
      </c>
      <c r="Y1598" t="s">
        <v>11280</v>
      </c>
      <c r="Z1598" t="s">
        <v>11276</v>
      </c>
      <c r="AA1598" t="s">
        <v>44</v>
      </c>
      <c r="AB1598" t="s">
        <v>44</v>
      </c>
      <c r="AC1598" s="4"/>
      <c r="AD1598" s="4"/>
      <c r="AE1598" s="2">
        <v>0</v>
      </c>
      <c r="AF1598" s="4">
        <v>0</v>
      </c>
      <c r="AG1598" s="2">
        <v>0.41</v>
      </c>
      <c r="AH1598" s="2">
        <v>1400041.8</v>
      </c>
      <c r="AI1598" s="2">
        <v>0</v>
      </c>
      <c r="AJ1598" s="5">
        <v>44673</v>
      </c>
      <c r="AK1598" t="s">
        <v>12181</v>
      </c>
      <c r="AL1598" s="2">
        <v>0</v>
      </c>
      <c r="AM1598" s="2">
        <v>0</v>
      </c>
      <c r="AN1598" s="2">
        <v>0</v>
      </c>
      <c r="AO1598" t="s">
        <v>44</v>
      </c>
      <c r="AP1598" t="s">
        <v>11295</v>
      </c>
      <c r="AQ1598" t="s">
        <v>520</v>
      </c>
    </row>
    <row r="1599" spans="1:43" x14ac:dyDescent="0.2">
      <c r="A1599" t="s">
        <v>12180</v>
      </c>
      <c r="B1599" t="s">
        <v>11037</v>
      </c>
      <c r="C1599" t="s">
        <v>11276</v>
      </c>
      <c r="D1599" t="s">
        <v>11678</v>
      </c>
      <c r="E1599" t="s">
        <v>11679</v>
      </c>
      <c r="F1599" t="s">
        <v>11680</v>
      </c>
      <c r="G1599" s="1">
        <v>4490</v>
      </c>
      <c r="H1599" s="2">
        <v>752273.59</v>
      </c>
      <c r="I1599" s="2">
        <v>1056137.8</v>
      </c>
      <c r="J1599" s="2">
        <v>0</v>
      </c>
      <c r="K1599" s="2">
        <v>0</v>
      </c>
      <c r="L1599" s="2">
        <v>1056137.8</v>
      </c>
      <c r="M1599" s="3">
        <v>23522</v>
      </c>
      <c r="N1599" s="4">
        <v>2.4028299999999999E-3</v>
      </c>
      <c r="O1599" s="5" t="s">
        <v>44</v>
      </c>
      <c r="P1599" s="5" t="s">
        <v>44</v>
      </c>
      <c r="Q1599" s="1"/>
      <c r="R1599" s="2"/>
      <c r="S1599" s="6"/>
      <c r="T1599" t="s">
        <v>10902</v>
      </c>
      <c r="U1599" t="s">
        <v>10902</v>
      </c>
      <c r="V1599" t="s">
        <v>10902</v>
      </c>
      <c r="W1599" t="s">
        <v>43</v>
      </c>
      <c r="X1599" t="s">
        <v>11279</v>
      </c>
      <c r="Y1599" t="s">
        <v>11280</v>
      </c>
      <c r="Z1599" t="s">
        <v>11276</v>
      </c>
      <c r="AA1599" t="s">
        <v>44</v>
      </c>
      <c r="AB1599" t="s">
        <v>44</v>
      </c>
      <c r="AC1599" s="4"/>
      <c r="AD1599" s="4"/>
      <c r="AE1599" s="2">
        <v>0</v>
      </c>
      <c r="AF1599" s="4">
        <v>0</v>
      </c>
      <c r="AG1599" s="2">
        <v>0.31</v>
      </c>
      <c r="AH1599" s="2">
        <v>1056137.8</v>
      </c>
      <c r="AI1599" s="2">
        <v>0</v>
      </c>
      <c r="AJ1599" s="5">
        <v>44673</v>
      </c>
      <c r="AK1599" t="s">
        <v>12181</v>
      </c>
      <c r="AL1599" s="2">
        <v>0</v>
      </c>
      <c r="AM1599" s="2">
        <v>0</v>
      </c>
      <c r="AN1599" s="2">
        <v>0</v>
      </c>
      <c r="AO1599" t="s">
        <v>44</v>
      </c>
      <c r="AP1599" t="s">
        <v>11681</v>
      </c>
      <c r="AQ1599" t="s">
        <v>11679</v>
      </c>
    </row>
    <row r="1600" spans="1:43" x14ac:dyDescent="0.2">
      <c r="A1600" t="s">
        <v>12180</v>
      </c>
      <c r="B1600" t="s">
        <v>11037</v>
      </c>
      <c r="C1600" t="s">
        <v>11296</v>
      </c>
      <c r="D1600" t="s">
        <v>11297</v>
      </c>
      <c r="E1600" t="s">
        <v>5955</v>
      </c>
      <c r="F1600" t="s">
        <v>11297</v>
      </c>
      <c r="G1600" s="1">
        <v>224</v>
      </c>
      <c r="H1600" s="2">
        <v>225617.59</v>
      </c>
      <c r="I1600" s="2">
        <v>210217.28</v>
      </c>
      <c r="J1600" s="2">
        <v>0</v>
      </c>
      <c r="K1600" s="2">
        <v>0</v>
      </c>
      <c r="L1600" s="2">
        <v>210217.28</v>
      </c>
      <c r="M1600" s="3">
        <v>93847</v>
      </c>
      <c r="N1600" s="4">
        <v>4.7826999999999999E-4</v>
      </c>
      <c r="O1600" s="5" t="s">
        <v>44</v>
      </c>
      <c r="P1600" s="5" t="s">
        <v>44</v>
      </c>
      <c r="Q1600" s="1"/>
      <c r="R1600" s="2"/>
      <c r="S1600" s="6"/>
      <c r="T1600" t="s">
        <v>10902</v>
      </c>
      <c r="U1600" t="s">
        <v>10902</v>
      </c>
      <c r="V1600" t="s">
        <v>10902</v>
      </c>
      <c r="W1600" t="s">
        <v>43</v>
      </c>
      <c r="X1600" t="s">
        <v>11298</v>
      </c>
      <c r="Y1600" t="s">
        <v>11299</v>
      </c>
      <c r="Z1600" t="s">
        <v>11296</v>
      </c>
      <c r="AA1600" t="s">
        <v>44</v>
      </c>
      <c r="AB1600" t="s">
        <v>44</v>
      </c>
      <c r="AC1600" s="4"/>
      <c r="AD1600" s="4"/>
      <c r="AE1600" s="2">
        <v>0</v>
      </c>
      <c r="AF1600" s="4">
        <v>0</v>
      </c>
      <c r="AG1600" s="2">
        <v>0.06</v>
      </c>
      <c r="AH1600" s="2">
        <v>210217.28</v>
      </c>
      <c r="AI1600" s="2">
        <v>0</v>
      </c>
      <c r="AJ1600" s="5">
        <v>44673</v>
      </c>
      <c r="AK1600" t="s">
        <v>12181</v>
      </c>
      <c r="AL1600" s="2">
        <v>0</v>
      </c>
      <c r="AM1600" s="2">
        <v>0</v>
      </c>
      <c r="AN1600" s="2">
        <v>0</v>
      </c>
      <c r="AO1600" t="s">
        <v>44</v>
      </c>
      <c r="AP1600" t="s">
        <v>1276</v>
      </c>
      <c r="AQ1600" t="s">
        <v>5955</v>
      </c>
    </row>
    <row r="1601" spans="1:43" x14ac:dyDescent="0.2">
      <c r="A1601" t="s">
        <v>12180</v>
      </c>
      <c r="B1601" t="s">
        <v>11037</v>
      </c>
      <c r="C1601" t="s">
        <v>11296</v>
      </c>
      <c r="D1601" t="s">
        <v>6632</v>
      </c>
      <c r="E1601" t="s">
        <v>5444</v>
      </c>
      <c r="F1601" t="s">
        <v>6632</v>
      </c>
      <c r="G1601" s="1">
        <v>640</v>
      </c>
      <c r="H1601" s="2">
        <v>83497.240000000005</v>
      </c>
      <c r="I1601" s="2">
        <v>93024</v>
      </c>
      <c r="J1601" s="2">
        <v>0</v>
      </c>
      <c r="K1601" s="2">
        <v>0</v>
      </c>
      <c r="L1601" s="2">
        <v>93024</v>
      </c>
      <c r="M1601" s="3">
        <v>14535</v>
      </c>
      <c r="N1601" s="4">
        <v>2.1164E-4</v>
      </c>
      <c r="O1601" s="5" t="s">
        <v>44</v>
      </c>
      <c r="P1601" s="5" t="s">
        <v>44</v>
      </c>
      <c r="Q1601" s="1"/>
      <c r="R1601" s="2"/>
      <c r="S1601" s="6"/>
      <c r="T1601" t="s">
        <v>10902</v>
      </c>
      <c r="U1601" t="s">
        <v>10902</v>
      </c>
      <c r="V1601" t="s">
        <v>10902</v>
      </c>
      <c r="W1601" t="s">
        <v>43</v>
      </c>
      <c r="X1601" t="s">
        <v>11300</v>
      </c>
      <c r="Y1601" t="s">
        <v>11299</v>
      </c>
      <c r="Z1601" t="s">
        <v>11296</v>
      </c>
      <c r="AA1601" t="s">
        <v>44</v>
      </c>
      <c r="AB1601" t="s">
        <v>44</v>
      </c>
      <c r="AC1601" s="4"/>
      <c r="AD1601" s="4"/>
      <c r="AE1601" s="2">
        <v>0</v>
      </c>
      <c r="AF1601" s="4">
        <v>0</v>
      </c>
      <c r="AG1601" s="2">
        <v>0.03</v>
      </c>
      <c r="AH1601" s="2">
        <v>93024</v>
      </c>
      <c r="AI1601" s="2">
        <v>0</v>
      </c>
      <c r="AJ1601" s="5">
        <v>44673</v>
      </c>
      <c r="AK1601" t="s">
        <v>12181</v>
      </c>
      <c r="AL1601" s="2">
        <v>0</v>
      </c>
      <c r="AM1601" s="2">
        <v>0</v>
      </c>
      <c r="AN1601" s="2">
        <v>0</v>
      </c>
      <c r="AO1601" t="s">
        <v>44</v>
      </c>
      <c r="AP1601" t="s">
        <v>11758</v>
      </c>
      <c r="AQ1601" t="s">
        <v>5444</v>
      </c>
    </row>
    <row r="1602" spans="1:43" x14ac:dyDescent="0.2">
      <c r="A1602" t="s">
        <v>12180</v>
      </c>
      <c r="B1602" t="s">
        <v>11037</v>
      </c>
      <c r="C1602" t="s">
        <v>11296</v>
      </c>
      <c r="D1602" t="s">
        <v>6200</v>
      </c>
      <c r="E1602" t="s">
        <v>5051</v>
      </c>
      <c r="F1602" t="s">
        <v>6200</v>
      </c>
      <c r="G1602" s="1">
        <v>18878</v>
      </c>
      <c r="H1602" s="2">
        <v>1490240.99</v>
      </c>
      <c r="I1602" s="2">
        <v>1295030.8</v>
      </c>
      <c r="J1602" s="2">
        <v>0</v>
      </c>
      <c r="K1602" s="2">
        <v>0</v>
      </c>
      <c r="L1602" s="2">
        <v>1295030.8</v>
      </c>
      <c r="M1602" s="3">
        <v>6860</v>
      </c>
      <c r="N1602" s="4">
        <v>2.94633E-3</v>
      </c>
      <c r="O1602" s="5" t="s">
        <v>44</v>
      </c>
      <c r="P1602" s="5" t="s">
        <v>44</v>
      </c>
      <c r="Q1602" s="1"/>
      <c r="R1602" s="2"/>
      <c r="S1602" s="6"/>
      <c r="T1602" t="s">
        <v>10902</v>
      </c>
      <c r="U1602" t="s">
        <v>10902</v>
      </c>
      <c r="V1602" t="s">
        <v>10902</v>
      </c>
      <c r="W1602" t="s">
        <v>43</v>
      </c>
      <c r="X1602" t="s">
        <v>11300</v>
      </c>
      <c r="Y1602" t="s">
        <v>11299</v>
      </c>
      <c r="Z1602" t="s">
        <v>11296</v>
      </c>
      <c r="AA1602" t="s">
        <v>44</v>
      </c>
      <c r="AB1602" t="s">
        <v>44</v>
      </c>
      <c r="AC1602" s="4"/>
      <c r="AD1602" s="4"/>
      <c r="AE1602" s="2">
        <v>0</v>
      </c>
      <c r="AF1602" s="4">
        <v>0</v>
      </c>
      <c r="AG1602" s="2">
        <v>0.38</v>
      </c>
      <c r="AH1602" s="2">
        <v>1295030.8</v>
      </c>
      <c r="AI1602" s="2">
        <v>0</v>
      </c>
      <c r="AJ1602" s="5">
        <v>44673</v>
      </c>
      <c r="AK1602" t="s">
        <v>12181</v>
      </c>
      <c r="AL1602" s="2">
        <v>0</v>
      </c>
      <c r="AM1602" s="2">
        <v>0</v>
      </c>
      <c r="AN1602" s="2">
        <v>0</v>
      </c>
      <c r="AO1602" t="s">
        <v>44</v>
      </c>
      <c r="AP1602" t="s">
        <v>11301</v>
      </c>
      <c r="AQ1602" t="s">
        <v>5051</v>
      </c>
    </row>
    <row r="1603" spans="1:43" x14ac:dyDescent="0.2">
      <c r="A1603" t="s">
        <v>12180</v>
      </c>
      <c r="B1603" t="s">
        <v>11037</v>
      </c>
      <c r="C1603" t="s">
        <v>11296</v>
      </c>
      <c r="D1603" t="s">
        <v>11685</v>
      </c>
      <c r="E1603" t="s">
        <v>1942</v>
      </c>
      <c r="F1603" t="s">
        <v>11686</v>
      </c>
      <c r="G1603" s="1">
        <v>100</v>
      </c>
      <c r="H1603" s="2">
        <v>11071.79</v>
      </c>
      <c r="I1603" s="2">
        <v>19185</v>
      </c>
      <c r="J1603" s="2">
        <v>0</v>
      </c>
      <c r="K1603" s="2">
        <v>0</v>
      </c>
      <c r="L1603" s="2">
        <v>19185</v>
      </c>
      <c r="M1603" s="3">
        <v>19185</v>
      </c>
      <c r="N1603" s="4">
        <v>4.3649999999999997E-5</v>
      </c>
      <c r="O1603" s="5" t="s">
        <v>44</v>
      </c>
      <c r="P1603" s="5" t="s">
        <v>44</v>
      </c>
      <c r="Q1603" s="1"/>
      <c r="R1603" s="2"/>
      <c r="S1603" s="6"/>
      <c r="T1603" t="s">
        <v>10902</v>
      </c>
      <c r="U1603" t="s">
        <v>10902</v>
      </c>
      <c r="V1603" t="s">
        <v>10902</v>
      </c>
      <c r="W1603" t="s">
        <v>43</v>
      </c>
      <c r="X1603" t="s">
        <v>11687</v>
      </c>
      <c r="Y1603" t="s">
        <v>11684</v>
      </c>
      <c r="Z1603" t="s">
        <v>11296</v>
      </c>
      <c r="AA1603" t="s">
        <v>44</v>
      </c>
      <c r="AB1603" t="s">
        <v>44</v>
      </c>
      <c r="AC1603" s="4"/>
      <c r="AD1603" s="4"/>
      <c r="AE1603" s="2">
        <v>0</v>
      </c>
      <c r="AF1603" s="4">
        <v>0</v>
      </c>
      <c r="AG1603" s="2">
        <v>0.01</v>
      </c>
      <c r="AH1603" s="2">
        <v>19185</v>
      </c>
      <c r="AI1603" s="2">
        <v>0</v>
      </c>
      <c r="AJ1603" s="5">
        <v>44673</v>
      </c>
      <c r="AK1603" t="s">
        <v>12181</v>
      </c>
      <c r="AL1603" s="2">
        <v>0</v>
      </c>
      <c r="AM1603" s="2">
        <v>0</v>
      </c>
      <c r="AN1603" s="2">
        <v>0</v>
      </c>
      <c r="AO1603" t="s">
        <v>44</v>
      </c>
      <c r="AP1603" t="s">
        <v>11688</v>
      </c>
      <c r="AQ1603" t="s">
        <v>1942</v>
      </c>
    </row>
    <row r="1604" spans="1:43" x14ac:dyDescent="0.2">
      <c r="A1604" t="s">
        <v>12180</v>
      </c>
      <c r="B1604" t="s">
        <v>11037</v>
      </c>
      <c r="C1604" t="s">
        <v>11296</v>
      </c>
      <c r="D1604" t="s">
        <v>6458</v>
      </c>
      <c r="E1604" t="s">
        <v>5402</v>
      </c>
      <c r="F1604" t="s">
        <v>11302</v>
      </c>
      <c r="G1604" s="1">
        <v>3850</v>
      </c>
      <c r="H1604" s="2">
        <v>600653.79</v>
      </c>
      <c r="I1604" s="2">
        <v>666050</v>
      </c>
      <c r="J1604" s="2">
        <v>0</v>
      </c>
      <c r="K1604" s="2">
        <v>0</v>
      </c>
      <c r="L1604" s="2">
        <v>666050</v>
      </c>
      <c r="M1604" s="3">
        <v>17300</v>
      </c>
      <c r="N1604" s="4">
        <v>1.51534E-3</v>
      </c>
      <c r="O1604" s="5" t="s">
        <v>44</v>
      </c>
      <c r="P1604" s="5" t="s">
        <v>44</v>
      </c>
      <c r="Q1604" s="1"/>
      <c r="R1604" s="2"/>
      <c r="S1604" s="6"/>
      <c r="T1604" t="s">
        <v>10902</v>
      </c>
      <c r="U1604" t="s">
        <v>10902</v>
      </c>
      <c r="V1604" t="s">
        <v>10902</v>
      </c>
      <c r="W1604" t="s">
        <v>43</v>
      </c>
      <c r="X1604" t="s">
        <v>11298</v>
      </c>
      <c r="Y1604" t="s">
        <v>11299</v>
      </c>
      <c r="Z1604" t="s">
        <v>11296</v>
      </c>
      <c r="AA1604" t="s">
        <v>44</v>
      </c>
      <c r="AB1604" t="s">
        <v>44</v>
      </c>
      <c r="AC1604" s="4"/>
      <c r="AD1604" s="4"/>
      <c r="AE1604" s="2">
        <v>0</v>
      </c>
      <c r="AF1604" s="4">
        <v>0</v>
      </c>
      <c r="AG1604" s="2">
        <v>0.2</v>
      </c>
      <c r="AH1604" s="2">
        <v>666050</v>
      </c>
      <c r="AI1604" s="2">
        <v>0</v>
      </c>
      <c r="AJ1604" s="5">
        <v>44673</v>
      </c>
      <c r="AK1604" t="s">
        <v>12181</v>
      </c>
      <c r="AL1604" s="2">
        <v>0</v>
      </c>
      <c r="AM1604" s="2">
        <v>0</v>
      </c>
      <c r="AN1604" s="2">
        <v>0</v>
      </c>
      <c r="AO1604" t="s">
        <v>44</v>
      </c>
      <c r="AP1604" t="s">
        <v>11303</v>
      </c>
      <c r="AQ1604" t="s">
        <v>5402</v>
      </c>
    </row>
    <row r="1605" spans="1:43" x14ac:dyDescent="0.2">
      <c r="A1605" t="s">
        <v>12180</v>
      </c>
      <c r="B1605" t="s">
        <v>11037</v>
      </c>
      <c r="C1605" t="s">
        <v>11296</v>
      </c>
      <c r="D1605" t="s">
        <v>6137</v>
      </c>
      <c r="E1605" t="s">
        <v>4926</v>
      </c>
      <c r="F1605" t="s">
        <v>6137</v>
      </c>
      <c r="G1605" s="1">
        <v>9277</v>
      </c>
      <c r="H1605" s="2">
        <v>1629081.75</v>
      </c>
      <c r="I1605" s="2">
        <v>1444799.98</v>
      </c>
      <c r="J1605" s="2">
        <v>0</v>
      </c>
      <c r="K1605" s="2">
        <v>0</v>
      </c>
      <c r="L1605" s="2">
        <v>1444799.98</v>
      </c>
      <c r="M1605" s="3">
        <v>15574</v>
      </c>
      <c r="N1605" s="4">
        <v>3.2870799999999999E-3</v>
      </c>
      <c r="O1605" s="5" t="s">
        <v>44</v>
      </c>
      <c r="P1605" s="5" t="s">
        <v>44</v>
      </c>
      <c r="Q1605" s="1"/>
      <c r="R1605" s="2"/>
      <c r="S1605" s="6"/>
      <c r="T1605" t="s">
        <v>10902</v>
      </c>
      <c r="U1605" t="s">
        <v>10902</v>
      </c>
      <c r="V1605" t="s">
        <v>10902</v>
      </c>
      <c r="W1605" t="s">
        <v>43</v>
      </c>
      <c r="X1605" t="s">
        <v>11300</v>
      </c>
      <c r="Y1605" t="s">
        <v>11299</v>
      </c>
      <c r="Z1605" t="s">
        <v>11296</v>
      </c>
      <c r="AA1605" t="s">
        <v>44</v>
      </c>
      <c r="AB1605" t="s">
        <v>44</v>
      </c>
      <c r="AC1605" s="4"/>
      <c r="AD1605" s="4"/>
      <c r="AE1605" s="2">
        <v>0</v>
      </c>
      <c r="AF1605" s="4">
        <v>0</v>
      </c>
      <c r="AG1605" s="2">
        <v>0.42</v>
      </c>
      <c r="AH1605" s="2">
        <v>1444799.98</v>
      </c>
      <c r="AI1605" s="2">
        <v>0</v>
      </c>
      <c r="AJ1605" s="5">
        <v>44673</v>
      </c>
      <c r="AK1605" t="s">
        <v>12181</v>
      </c>
      <c r="AL1605" s="2">
        <v>0</v>
      </c>
      <c r="AM1605" s="2">
        <v>0</v>
      </c>
      <c r="AN1605" s="2">
        <v>0</v>
      </c>
      <c r="AO1605" t="s">
        <v>44</v>
      </c>
      <c r="AP1605" t="s">
        <v>11304</v>
      </c>
      <c r="AQ1605" t="s">
        <v>4926</v>
      </c>
    </row>
    <row r="1606" spans="1:43" x14ac:dyDescent="0.2">
      <c r="A1606" t="s">
        <v>12180</v>
      </c>
      <c r="B1606" t="s">
        <v>11037</v>
      </c>
      <c r="C1606" t="s">
        <v>11305</v>
      </c>
      <c r="D1606" t="s">
        <v>6592</v>
      </c>
      <c r="E1606" t="s">
        <v>5424</v>
      </c>
      <c r="F1606" t="s">
        <v>6592</v>
      </c>
      <c r="G1606" s="1">
        <v>15055</v>
      </c>
      <c r="H1606" s="2">
        <v>213884.95</v>
      </c>
      <c r="I1606" s="2">
        <v>261505.35</v>
      </c>
      <c r="J1606" s="2">
        <v>0</v>
      </c>
      <c r="K1606" s="2">
        <v>0</v>
      </c>
      <c r="L1606" s="2">
        <v>261505.35</v>
      </c>
      <c r="M1606" s="3">
        <v>1737</v>
      </c>
      <c r="N1606" s="4">
        <v>5.9495000000000001E-4</v>
      </c>
      <c r="O1606" s="5" t="s">
        <v>44</v>
      </c>
      <c r="P1606" s="5" t="s">
        <v>44</v>
      </c>
      <c r="Q1606" s="1"/>
      <c r="R1606" s="2"/>
      <c r="S1606" s="6"/>
      <c r="T1606" t="s">
        <v>10902</v>
      </c>
      <c r="U1606" t="s">
        <v>10902</v>
      </c>
      <c r="V1606" t="s">
        <v>10902</v>
      </c>
      <c r="W1606" t="s">
        <v>43</v>
      </c>
      <c r="X1606" t="s">
        <v>11306</v>
      </c>
      <c r="Y1606" t="s">
        <v>11307</v>
      </c>
      <c r="Z1606" t="s">
        <v>11305</v>
      </c>
      <c r="AA1606" t="s">
        <v>44</v>
      </c>
      <c r="AB1606" t="s">
        <v>44</v>
      </c>
      <c r="AC1606" s="4"/>
      <c r="AD1606" s="4"/>
      <c r="AE1606" s="2">
        <v>0</v>
      </c>
      <c r="AF1606" s="4">
        <v>0</v>
      </c>
      <c r="AG1606" s="2">
        <v>0.08</v>
      </c>
      <c r="AH1606" s="2">
        <v>261505.35</v>
      </c>
      <c r="AI1606" s="2">
        <v>0</v>
      </c>
      <c r="AJ1606" s="5">
        <v>44673</v>
      </c>
      <c r="AK1606" t="s">
        <v>12181</v>
      </c>
      <c r="AL1606" s="2">
        <v>0</v>
      </c>
      <c r="AM1606" s="2">
        <v>0</v>
      </c>
      <c r="AN1606" s="2">
        <v>0</v>
      </c>
      <c r="AO1606" t="s">
        <v>44</v>
      </c>
      <c r="AP1606" t="s">
        <v>11308</v>
      </c>
      <c r="AQ1606" t="s">
        <v>5424</v>
      </c>
    </row>
    <row r="1607" spans="1:43" x14ac:dyDescent="0.2">
      <c r="A1607" t="s">
        <v>12180</v>
      </c>
      <c r="B1607" t="s">
        <v>11037</v>
      </c>
      <c r="C1607" t="s">
        <v>11305</v>
      </c>
      <c r="D1607" t="s">
        <v>11309</v>
      </c>
      <c r="E1607" t="s">
        <v>5389</v>
      </c>
      <c r="F1607" t="s">
        <v>11309</v>
      </c>
      <c r="G1607" s="1">
        <v>18003</v>
      </c>
      <c r="H1607" s="2">
        <v>577257.63</v>
      </c>
      <c r="I1607" s="2">
        <v>677632.92</v>
      </c>
      <c r="J1607" s="2">
        <v>0</v>
      </c>
      <c r="K1607" s="2">
        <v>0</v>
      </c>
      <c r="L1607" s="2">
        <v>677632.92</v>
      </c>
      <c r="M1607" s="3">
        <v>3764</v>
      </c>
      <c r="N1607" s="4">
        <v>1.5416900000000001E-3</v>
      </c>
      <c r="O1607" s="5" t="s">
        <v>44</v>
      </c>
      <c r="P1607" s="5" t="s">
        <v>44</v>
      </c>
      <c r="Q1607" s="1"/>
      <c r="R1607" s="2"/>
      <c r="S1607" s="6"/>
      <c r="T1607" t="s">
        <v>10902</v>
      </c>
      <c r="U1607" t="s">
        <v>10902</v>
      </c>
      <c r="V1607" t="s">
        <v>10902</v>
      </c>
      <c r="W1607" t="s">
        <v>43</v>
      </c>
      <c r="X1607" t="s">
        <v>11310</v>
      </c>
      <c r="Y1607" t="s">
        <v>11307</v>
      </c>
      <c r="Z1607" t="s">
        <v>11305</v>
      </c>
      <c r="AA1607" t="s">
        <v>44</v>
      </c>
      <c r="AB1607" t="s">
        <v>44</v>
      </c>
      <c r="AC1607" s="4"/>
      <c r="AD1607" s="4"/>
      <c r="AE1607" s="2">
        <v>0</v>
      </c>
      <c r="AF1607" s="4">
        <v>0</v>
      </c>
      <c r="AG1607" s="2">
        <v>0.2</v>
      </c>
      <c r="AH1607" s="2">
        <v>677632.92</v>
      </c>
      <c r="AI1607" s="2">
        <v>0</v>
      </c>
      <c r="AJ1607" s="5">
        <v>44673</v>
      </c>
      <c r="AK1607" t="s">
        <v>12181</v>
      </c>
      <c r="AL1607" s="2">
        <v>0</v>
      </c>
      <c r="AM1607" s="2">
        <v>0</v>
      </c>
      <c r="AN1607" s="2">
        <v>0</v>
      </c>
      <c r="AO1607" t="s">
        <v>44</v>
      </c>
      <c r="AP1607" t="s">
        <v>11311</v>
      </c>
      <c r="AQ1607" t="s">
        <v>5389</v>
      </c>
    </row>
    <row r="1608" spans="1:43" x14ac:dyDescent="0.2">
      <c r="A1608" t="s">
        <v>12180</v>
      </c>
      <c r="B1608" t="s">
        <v>11037</v>
      </c>
      <c r="C1608" t="s">
        <v>11305</v>
      </c>
      <c r="D1608" t="s">
        <v>6609</v>
      </c>
      <c r="E1608" t="s">
        <v>5271</v>
      </c>
      <c r="F1608" t="s">
        <v>6609</v>
      </c>
      <c r="G1608" s="1">
        <v>14760</v>
      </c>
      <c r="H1608" s="2">
        <v>241142.83</v>
      </c>
      <c r="I1608" s="2">
        <v>249296.4</v>
      </c>
      <c r="J1608" s="2">
        <v>0</v>
      </c>
      <c r="K1608" s="2">
        <v>0</v>
      </c>
      <c r="L1608" s="2">
        <v>249296.4</v>
      </c>
      <c r="M1608" s="3">
        <v>1689</v>
      </c>
      <c r="N1608" s="4">
        <v>5.6718000000000003E-4</v>
      </c>
      <c r="O1608" s="5" t="s">
        <v>44</v>
      </c>
      <c r="P1608" s="5" t="s">
        <v>44</v>
      </c>
      <c r="Q1608" s="1"/>
      <c r="R1608" s="2"/>
      <c r="S1608" s="6"/>
      <c r="T1608" t="s">
        <v>10902</v>
      </c>
      <c r="U1608" t="s">
        <v>10902</v>
      </c>
      <c r="V1608" t="s">
        <v>10902</v>
      </c>
      <c r="W1608" t="s">
        <v>43</v>
      </c>
      <c r="X1608" t="s">
        <v>11306</v>
      </c>
      <c r="Y1608" t="s">
        <v>11307</v>
      </c>
      <c r="Z1608" t="s">
        <v>11305</v>
      </c>
      <c r="AA1608" t="s">
        <v>44</v>
      </c>
      <c r="AB1608" t="s">
        <v>44</v>
      </c>
      <c r="AC1608" s="4"/>
      <c r="AD1608" s="4"/>
      <c r="AE1608" s="2">
        <v>0</v>
      </c>
      <c r="AF1608" s="4">
        <v>0</v>
      </c>
      <c r="AG1608" s="2">
        <v>7.0000000000000007E-2</v>
      </c>
      <c r="AH1608" s="2">
        <v>249296.4</v>
      </c>
      <c r="AI1608" s="2">
        <v>0</v>
      </c>
      <c r="AJ1608" s="5">
        <v>44673</v>
      </c>
      <c r="AK1608" t="s">
        <v>12181</v>
      </c>
      <c r="AL1608" s="2">
        <v>0</v>
      </c>
      <c r="AM1608" s="2">
        <v>0</v>
      </c>
      <c r="AN1608" s="2">
        <v>0</v>
      </c>
      <c r="AO1608" t="s">
        <v>44</v>
      </c>
      <c r="AP1608" t="s">
        <v>11312</v>
      </c>
      <c r="AQ1608" t="s">
        <v>5271</v>
      </c>
    </row>
    <row r="1609" spans="1:43" x14ac:dyDescent="0.2">
      <c r="A1609" t="s">
        <v>12180</v>
      </c>
      <c r="B1609" t="s">
        <v>11037</v>
      </c>
      <c r="C1609" t="s">
        <v>11305</v>
      </c>
      <c r="D1609" t="s">
        <v>6372</v>
      </c>
      <c r="E1609" t="s">
        <v>6607</v>
      </c>
      <c r="F1609" t="s">
        <v>6372</v>
      </c>
      <c r="G1609" s="1">
        <v>8050</v>
      </c>
      <c r="H1609" s="2">
        <v>746744.49</v>
      </c>
      <c r="I1609" s="2">
        <v>899426.5</v>
      </c>
      <c r="J1609" s="2">
        <v>0</v>
      </c>
      <c r="K1609" s="2">
        <v>0</v>
      </c>
      <c r="L1609" s="2">
        <v>899426.5</v>
      </c>
      <c r="M1609" s="3">
        <v>11173</v>
      </c>
      <c r="N1609" s="4">
        <v>2.0462900000000001E-3</v>
      </c>
      <c r="O1609" s="5" t="s">
        <v>44</v>
      </c>
      <c r="P1609" s="5" t="s">
        <v>44</v>
      </c>
      <c r="Q1609" s="1"/>
      <c r="R1609" s="2"/>
      <c r="S1609" s="6"/>
      <c r="T1609" t="s">
        <v>10902</v>
      </c>
      <c r="U1609" t="s">
        <v>10902</v>
      </c>
      <c r="V1609" t="s">
        <v>10902</v>
      </c>
      <c r="W1609" t="s">
        <v>43</v>
      </c>
      <c r="X1609" t="s">
        <v>11306</v>
      </c>
      <c r="Y1609" t="s">
        <v>11307</v>
      </c>
      <c r="Z1609" t="s">
        <v>11305</v>
      </c>
      <c r="AA1609" t="s">
        <v>44</v>
      </c>
      <c r="AB1609" t="s">
        <v>44</v>
      </c>
      <c r="AC1609" s="4"/>
      <c r="AD1609" s="4"/>
      <c r="AE1609" s="2">
        <v>0</v>
      </c>
      <c r="AF1609" s="4">
        <v>0</v>
      </c>
      <c r="AG1609" s="2">
        <v>0.26</v>
      </c>
      <c r="AH1609" s="2">
        <v>899426.5</v>
      </c>
      <c r="AI1609" s="2">
        <v>0</v>
      </c>
      <c r="AJ1609" s="5">
        <v>44673</v>
      </c>
      <c r="AK1609" t="s">
        <v>12181</v>
      </c>
      <c r="AL1609" s="2">
        <v>0</v>
      </c>
      <c r="AM1609" s="2">
        <v>0</v>
      </c>
      <c r="AN1609" s="2">
        <v>0</v>
      </c>
      <c r="AO1609" t="s">
        <v>44</v>
      </c>
      <c r="AP1609" t="s">
        <v>11313</v>
      </c>
      <c r="AQ1609" t="s">
        <v>6607</v>
      </c>
    </row>
    <row r="1610" spans="1:43" x14ac:dyDescent="0.2">
      <c r="A1610" t="s">
        <v>12180</v>
      </c>
      <c r="B1610" t="s">
        <v>11037</v>
      </c>
      <c r="C1610" t="s">
        <v>11305</v>
      </c>
      <c r="D1610" t="s">
        <v>11314</v>
      </c>
      <c r="E1610" t="s">
        <v>6750</v>
      </c>
      <c r="F1610" t="s">
        <v>11314</v>
      </c>
      <c r="G1610" s="1">
        <v>76590</v>
      </c>
      <c r="H1610" s="2">
        <v>1554644.57</v>
      </c>
      <c r="I1610" s="2">
        <v>1670427.9</v>
      </c>
      <c r="J1610" s="2">
        <v>0</v>
      </c>
      <c r="K1610" s="2">
        <v>0</v>
      </c>
      <c r="L1610" s="2">
        <v>1670427.9</v>
      </c>
      <c r="M1610" s="3">
        <v>2181</v>
      </c>
      <c r="N1610" s="4">
        <v>3.8003999999999998E-3</v>
      </c>
      <c r="O1610" s="5" t="s">
        <v>44</v>
      </c>
      <c r="P1610" s="5" t="s">
        <v>44</v>
      </c>
      <c r="Q1610" s="1"/>
      <c r="R1610" s="2"/>
      <c r="S1610" s="6"/>
      <c r="T1610" t="s">
        <v>10902</v>
      </c>
      <c r="U1610" t="s">
        <v>10902</v>
      </c>
      <c r="V1610" t="s">
        <v>10902</v>
      </c>
      <c r="W1610" t="s">
        <v>43</v>
      </c>
      <c r="X1610" t="s">
        <v>11306</v>
      </c>
      <c r="Y1610" t="s">
        <v>11307</v>
      </c>
      <c r="Z1610" t="s">
        <v>11305</v>
      </c>
      <c r="AA1610" t="s">
        <v>44</v>
      </c>
      <c r="AB1610" t="s">
        <v>44</v>
      </c>
      <c r="AC1610" s="4"/>
      <c r="AD1610" s="4"/>
      <c r="AE1610" s="2">
        <v>0</v>
      </c>
      <c r="AF1610" s="4">
        <v>0</v>
      </c>
      <c r="AG1610" s="2">
        <v>0.49</v>
      </c>
      <c r="AH1610" s="2">
        <v>1670427.9</v>
      </c>
      <c r="AI1610" s="2">
        <v>0</v>
      </c>
      <c r="AJ1610" s="5">
        <v>44673</v>
      </c>
      <c r="AK1610" t="s">
        <v>12181</v>
      </c>
      <c r="AL1610" s="2">
        <v>0</v>
      </c>
      <c r="AM1610" s="2">
        <v>0</v>
      </c>
      <c r="AN1610" s="2">
        <v>0</v>
      </c>
      <c r="AO1610" t="s">
        <v>44</v>
      </c>
      <c r="AP1610" t="s">
        <v>11315</v>
      </c>
      <c r="AQ1610" t="s">
        <v>6750</v>
      </c>
    </row>
    <row r="1611" spans="1:43" x14ac:dyDescent="0.2">
      <c r="A1611" t="s">
        <v>12180</v>
      </c>
      <c r="B1611" t="s">
        <v>11037</v>
      </c>
      <c r="C1611" t="s">
        <v>11305</v>
      </c>
      <c r="D1611" t="s">
        <v>11316</v>
      </c>
      <c r="E1611" t="s">
        <v>5173</v>
      </c>
      <c r="F1611" t="s">
        <v>11316</v>
      </c>
      <c r="G1611" s="1">
        <v>17249</v>
      </c>
      <c r="H1611" s="2">
        <v>1015867.22</v>
      </c>
      <c r="I1611" s="2">
        <v>1031662.69</v>
      </c>
      <c r="J1611" s="2">
        <v>0</v>
      </c>
      <c r="K1611" s="2">
        <v>0</v>
      </c>
      <c r="L1611" s="2">
        <v>1031662.69</v>
      </c>
      <c r="M1611" s="3">
        <v>5981</v>
      </c>
      <c r="N1611" s="4">
        <v>2.3471400000000002E-3</v>
      </c>
      <c r="O1611" s="5" t="s">
        <v>44</v>
      </c>
      <c r="P1611" s="5" t="s">
        <v>44</v>
      </c>
      <c r="Q1611" s="1"/>
      <c r="R1611" s="2"/>
      <c r="S1611" s="6"/>
      <c r="T1611" t="s">
        <v>10902</v>
      </c>
      <c r="U1611" t="s">
        <v>10902</v>
      </c>
      <c r="V1611" t="s">
        <v>10902</v>
      </c>
      <c r="W1611" t="s">
        <v>43</v>
      </c>
      <c r="X1611" t="s">
        <v>11310</v>
      </c>
      <c r="Y1611" t="s">
        <v>11307</v>
      </c>
      <c r="Z1611" t="s">
        <v>11305</v>
      </c>
      <c r="AA1611" t="s">
        <v>44</v>
      </c>
      <c r="AB1611" t="s">
        <v>44</v>
      </c>
      <c r="AC1611" s="4"/>
      <c r="AD1611" s="4"/>
      <c r="AE1611" s="2">
        <v>0</v>
      </c>
      <c r="AF1611" s="4">
        <v>0</v>
      </c>
      <c r="AG1611" s="2">
        <v>0.3</v>
      </c>
      <c r="AH1611" s="2">
        <v>1031662.69</v>
      </c>
      <c r="AI1611" s="2">
        <v>0</v>
      </c>
      <c r="AJ1611" s="5">
        <v>44673</v>
      </c>
      <c r="AK1611" t="s">
        <v>12181</v>
      </c>
      <c r="AL1611" s="2">
        <v>0</v>
      </c>
      <c r="AM1611" s="2">
        <v>0</v>
      </c>
      <c r="AN1611" s="2">
        <v>0</v>
      </c>
      <c r="AO1611" t="s">
        <v>44</v>
      </c>
      <c r="AP1611" t="s">
        <v>11317</v>
      </c>
      <c r="AQ1611" t="s">
        <v>5173</v>
      </c>
    </row>
    <row r="1612" spans="1:43" x14ac:dyDescent="0.2">
      <c r="A1612" t="s">
        <v>12180</v>
      </c>
      <c r="B1612" t="s">
        <v>11037</v>
      </c>
      <c r="C1612" t="s">
        <v>11305</v>
      </c>
      <c r="D1612" t="s">
        <v>11318</v>
      </c>
      <c r="E1612" t="s">
        <v>4978</v>
      </c>
      <c r="F1612" t="s">
        <v>11318</v>
      </c>
      <c r="G1612" s="1">
        <v>15860</v>
      </c>
      <c r="H1612" s="2">
        <v>1891270.24</v>
      </c>
      <c r="I1612" s="2">
        <v>2211042.6</v>
      </c>
      <c r="J1612" s="2">
        <v>0</v>
      </c>
      <c r="K1612" s="2">
        <v>0</v>
      </c>
      <c r="L1612" s="2">
        <v>2211042.6</v>
      </c>
      <c r="M1612" s="3">
        <v>13941</v>
      </c>
      <c r="N1612" s="4">
        <v>5.0303600000000002E-3</v>
      </c>
      <c r="O1612" s="5" t="s">
        <v>44</v>
      </c>
      <c r="P1612" s="5" t="s">
        <v>44</v>
      </c>
      <c r="Q1612" s="1"/>
      <c r="R1612" s="2"/>
      <c r="S1612" s="6"/>
      <c r="T1612" t="s">
        <v>10902</v>
      </c>
      <c r="U1612" t="s">
        <v>10902</v>
      </c>
      <c r="V1612" t="s">
        <v>10902</v>
      </c>
      <c r="W1612" t="s">
        <v>43</v>
      </c>
      <c r="X1612" t="s">
        <v>11306</v>
      </c>
      <c r="Y1612" t="s">
        <v>11307</v>
      </c>
      <c r="Z1612" t="s">
        <v>11305</v>
      </c>
      <c r="AA1612" t="s">
        <v>44</v>
      </c>
      <c r="AB1612" t="s">
        <v>44</v>
      </c>
      <c r="AC1612" s="4"/>
      <c r="AD1612" s="4"/>
      <c r="AE1612" s="2">
        <v>0</v>
      </c>
      <c r="AF1612" s="4">
        <v>0</v>
      </c>
      <c r="AG1612" s="2">
        <v>0.65</v>
      </c>
      <c r="AH1612" s="2">
        <v>2211042.6</v>
      </c>
      <c r="AI1612" s="2">
        <v>0.01</v>
      </c>
      <c r="AJ1612" s="5">
        <v>44673</v>
      </c>
      <c r="AK1612" t="s">
        <v>12181</v>
      </c>
      <c r="AL1612" s="2">
        <v>0</v>
      </c>
      <c r="AM1612" s="2">
        <v>0</v>
      </c>
      <c r="AN1612" s="2">
        <v>0</v>
      </c>
      <c r="AO1612" t="s">
        <v>44</v>
      </c>
      <c r="AP1612" t="s">
        <v>11319</v>
      </c>
      <c r="AQ1612" t="s">
        <v>4978</v>
      </c>
    </row>
    <row r="1613" spans="1:43" x14ac:dyDescent="0.2">
      <c r="A1613" t="s">
        <v>12180</v>
      </c>
      <c r="B1613" t="s">
        <v>11037</v>
      </c>
      <c r="C1613" t="s">
        <v>11305</v>
      </c>
      <c r="D1613" t="s">
        <v>11698</v>
      </c>
      <c r="E1613" t="s">
        <v>4919</v>
      </c>
      <c r="F1613" t="s">
        <v>11698</v>
      </c>
      <c r="G1613" s="1">
        <v>9950</v>
      </c>
      <c r="H1613" s="2">
        <v>1552492.61</v>
      </c>
      <c r="I1613" s="2">
        <v>1653690</v>
      </c>
      <c r="J1613" s="2">
        <v>0</v>
      </c>
      <c r="K1613" s="2">
        <v>0</v>
      </c>
      <c r="L1613" s="2">
        <v>1653690</v>
      </c>
      <c r="M1613" s="3">
        <v>16620</v>
      </c>
      <c r="N1613" s="4">
        <v>3.76232E-3</v>
      </c>
      <c r="O1613" s="5" t="s">
        <v>44</v>
      </c>
      <c r="P1613" s="5" t="s">
        <v>44</v>
      </c>
      <c r="Q1613" s="1"/>
      <c r="R1613" s="2"/>
      <c r="S1613" s="6"/>
      <c r="T1613" t="s">
        <v>10902</v>
      </c>
      <c r="U1613" t="s">
        <v>10902</v>
      </c>
      <c r="V1613" t="s">
        <v>10902</v>
      </c>
      <c r="W1613" t="s">
        <v>43</v>
      </c>
      <c r="X1613" t="s">
        <v>11310</v>
      </c>
      <c r="Y1613" t="s">
        <v>11307</v>
      </c>
      <c r="Z1613" t="s">
        <v>11305</v>
      </c>
      <c r="AA1613" t="s">
        <v>44</v>
      </c>
      <c r="AB1613" t="s">
        <v>44</v>
      </c>
      <c r="AC1613" s="4"/>
      <c r="AD1613" s="4"/>
      <c r="AE1613" s="2">
        <v>0</v>
      </c>
      <c r="AF1613" s="4">
        <v>0</v>
      </c>
      <c r="AG1613" s="2">
        <v>0.48</v>
      </c>
      <c r="AH1613" s="2">
        <v>1653690</v>
      </c>
      <c r="AI1613" s="2">
        <v>0</v>
      </c>
      <c r="AJ1613" s="5">
        <v>44673</v>
      </c>
      <c r="AK1613" t="s">
        <v>12181</v>
      </c>
      <c r="AL1613" s="2">
        <v>0</v>
      </c>
      <c r="AM1613" s="2">
        <v>0</v>
      </c>
      <c r="AN1613" s="2">
        <v>0</v>
      </c>
      <c r="AO1613" t="s">
        <v>44</v>
      </c>
      <c r="AP1613" t="s">
        <v>11699</v>
      </c>
      <c r="AQ1613" t="s">
        <v>4919</v>
      </c>
    </row>
    <row r="1614" spans="1:43" x14ac:dyDescent="0.2">
      <c r="A1614" t="s">
        <v>12180</v>
      </c>
      <c r="B1614" t="s">
        <v>11037</v>
      </c>
      <c r="C1614" t="s">
        <v>11305</v>
      </c>
      <c r="D1614" t="s">
        <v>6224</v>
      </c>
      <c r="E1614" t="s">
        <v>3901</v>
      </c>
      <c r="F1614" t="s">
        <v>6224</v>
      </c>
      <c r="G1614" s="1">
        <v>22950</v>
      </c>
      <c r="H1614" s="2">
        <v>1198719.8</v>
      </c>
      <c r="I1614" s="2">
        <v>1278774</v>
      </c>
      <c r="J1614" s="2">
        <v>0</v>
      </c>
      <c r="K1614" s="2">
        <v>0</v>
      </c>
      <c r="L1614" s="2">
        <v>1278774</v>
      </c>
      <c r="M1614" s="3">
        <v>5572</v>
      </c>
      <c r="N1614" s="4">
        <v>2.9093499999999998E-3</v>
      </c>
      <c r="O1614" s="5" t="s">
        <v>44</v>
      </c>
      <c r="P1614" s="5" t="s">
        <v>44</v>
      </c>
      <c r="Q1614" s="1"/>
      <c r="R1614" s="2"/>
      <c r="S1614" s="6"/>
      <c r="T1614" t="s">
        <v>10902</v>
      </c>
      <c r="U1614" t="s">
        <v>10902</v>
      </c>
      <c r="V1614" t="s">
        <v>10902</v>
      </c>
      <c r="W1614" t="s">
        <v>43</v>
      </c>
      <c r="X1614" t="s">
        <v>11306</v>
      </c>
      <c r="Y1614" t="s">
        <v>11307</v>
      </c>
      <c r="Z1614" t="s">
        <v>11305</v>
      </c>
      <c r="AA1614" t="s">
        <v>44</v>
      </c>
      <c r="AB1614" t="s">
        <v>44</v>
      </c>
      <c r="AC1614" s="4"/>
      <c r="AD1614" s="4"/>
      <c r="AE1614" s="2">
        <v>0</v>
      </c>
      <c r="AF1614" s="4">
        <v>0</v>
      </c>
      <c r="AG1614" s="2">
        <v>0.37</v>
      </c>
      <c r="AH1614" s="2">
        <v>1278774</v>
      </c>
      <c r="AI1614" s="2">
        <v>0</v>
      </c>
      <c r="AJ1614" s="5">
        <v>44673</v>
      </c>
      <c r="AK1614" t="s">
        <v>12181</v>
      </c>
      <c r="AL1614" s="2">
        <v>0</v>
      </c>
      <c r="AM1614" s="2">
        <v>0</v>
      </c>
      <c r="AN1614" s="2">
        <v>0</v>
      </c>
      <c r="AO1614" t="s">
        <v>44</v>
      </c>
      <c r="AP1614" t="s">
        <v>11320</v>
      </c>
      <c r="AQ1614" t="s">
        <v>3901</v>
      </c>
    </row>
    <row r="1615" spans="1:43" x14ac:dyDescent="0.2">
      <c r="A1615" t="s">
        <v>12180</v>
      </c>
      <c r="B1615" t="s">
        <v>11037</v>
      </c>
      <c r="C1615" t="s">
        <v>11050</v>
      </c>
      <c r="D1615" t="s">
        <v>11781</v>
      </c>
      <c r="E1615" t="s">
        <v>11782</v>
      </c>
      <c r="F1615" t="s">
        <v>11781</v>
      </c>
      <c r="G1615" s="1">
        <v>256000</v>
      </c>
      <c r="H1615" s="2">
        <v>25600000</v>
      </c>
      <c r="I1615" s="2">
        <v>29651302.399999999</v>
      </c>
      <c r="J1615" s="2">
        <v>0</v>
      </c>
      <c r="K1615" s="2">
        <v>0</v>
      </c>
      <c r="L1615" s="2">
        <v>29651302.399999999</v>
      </c>
      <c r="M1615" s="3">
        <v>115.8254</v>
      </c>
      <c r="N1615" s="4">
        <v>6.7459909999999998E-2</v>
      </c>
      <c r="O1615" s="5" t="s">
        <v>44</v>
      </c>
      <c r="P1615" s="5" t="s">
        <v>44</v>
      </c>
      <c r="Q1615" s="1"/>
      <c r="R1615" s="2"/>
      <c r="S1615" s="6"/>
      <c r="T1615" t="s">
        <v>10902</v>
      </c>
      <c r="U1615" t="s">
        <v>10902</v>
      </c>
      <c r="V1615" t="s">
        <v>11051</v>
      </c>
      <c r="W1615" t="s">
        <v>43</v>
      </c>
      <c r="X1615" t="s">
        <v>11050</v>
      </c>
      <c r="Y1615" t="s">
        <v>44</v>
      </c>
      <c r="Z1615" t="s">
        <v>11050</v>
      </c>
      <c r="AA1615" t="s">
        <v>44</v>
      </c>
      <c r="AB1615" t="s">
        <v>44</v>
      </c>
      <c r="AC1615" s="4"/>
      <c r="AD1615" s="4"/>
      <c r="AE1615" s="2">
        <v>0</v>
      </c>
      <c r="AF1615" s="4">
        <v>0</v>
      </c>
      <c r="AG1615" s="2">
        <v>8.69</v>
      </c>
      <c r="AH1615" s="2">
        <v>29651302.399999999</v>
      </c>
      <c r="AI1615" s="2">
        <v>7.0000000000000007E-2</v>
      </c>
      <c r="AJ1615" s="5">
        <v>44673</v>
      </c>
      <c r="AK1615" t="s">
        <v>12181</v>
      </c>
      <c r="AL1615" s="2">
        <v>0</v>
      </c>
      <c r="AM1615" s="2">
        <v>0</v>
      </c>
      <c r="AN1615" s="2">
        <v>0</v>
      </c>
      <c r="AO1615" t="s">
        <v>44</v>
      </c>
      <c r="AP1615" t="s">
        <v>44</v>
      </c>
      <c r="AQ1615" t="s">
        <v>11782</v>
      </c>
    </row>
    <row r="1616" spans="1:43" x14ac:dyDescent="0.2">
      <c r="A1616" t="s">
        <v>12180</v>
      </c>
      <c r="B1616" t="s">
        <v>11037</v>
      </c>
      <c r="C1616" t="s">
        <v>11050</v>
      </c>
      <c r="D1616" t="s">
        <v>11099</v>
      </c>
      <c r="E1616" t="s">
        <v>11100</v>
      </c>
      <c r="F1616" t="s">
        <v>11099</v>
      </c>
      <c r="G1616" s="1">
        <v>23000000</v>
      </c>
      <c r="H1616" s="2">
        <v>23000000</v>
      </c>
      <c r="I1616" s="2">
        <v>36437771.090000004</v>
      </c>
      <c r="J1616" s="2">
        <v>0</v>
      </c>
      <c r="K1616" s="2">
        <v>0</v>
      </c>
      <c r="L1616" s="2">
        <v>36437771.090000004</v>
      </c>
      <c r="M1616" s="3">
        <v>158.42509200000001</v>
      </c>
      <c r="N1616" s="4">
        <v>8.2899849999999997E-2</v>
      </c>
      <c r="O1616" s="5" t="s">
        <v>44</v>
      </c>
      <c r="P1616" s="5" t="s">
        <v>44</v>
      </c>
      <c r="Q1616" s="1"/>
      <c r="R1616" s="2"/>
      <c r="S1616" s="6"/>
      <c r="T1616" t="s">
        <v>10902</v>
      </c>
      <c r="U1616" t="s">
        <v>10902</v>
      </c>
      <c r="V1616" t="s">
        <v>11051</v>
      </c>
      <c r="W1616" t="s">
        <v>43</v>
      </c>
      <c r="X1616" t="s">
        <v>11050</v>
      </c>
      <c r="Y1616" t="s">
        <v>44</v>
      </c>
      <c r="Z1616" t="s">
        <v>11050</v>
      </c>
      <c r="AA1616" t="s">
        <v>44</v>
      </c>
      <c r="AB1616" t="s">
        <v>44</v>
      </c>
      <c r="AC1616" s="4"/>
      <c r="AD1616" s="4"/>
      <c r="AE1616" s="2">
        <v>0</v>
      </c>
      <c r="AF1616" s="4">
        <v>0</v>
      </c>
      <c r="AG1616" s="2">
        <v>10.67</v>
      </c>
      <c r="AH1616" s="2">
        <v>36437771.090000004</v>
      </c>
      <c r="AI1616" s="2">
        <v>0.08</v>
      </c>
      <c r="AJ1616" s="5">
        <v>44673</v>
      </c>
      <c r="AK1616" t="s">
        <v>12181</v>
      </c>
      <c r="AL1616" s="2">
        <v>0</v>
      </c>
      <c r="AM1616" s="2">
        <v>0</v>
      </c>
      <c r="AN1616" s="2">
        <v>0</v>
      </c>
      <c r="AO1616" t="s">
        <v>44</v>
      </c>
      <c r="AP1616" t="s">
        <v>11101</v>
      </c>
      <c r="AQ1616" t="s">
        <v>11100</v>
      </c>
    </row>
    <row r="1617" spans="1:43" x14ac:dyDescent="0.2">
      <c r="A1617" t="s">
        <v>12180</v>
      </c>
      <c r="B1617" t="s">
        <v>11037</v>
      </c>
      <c r="C1617" t="s">
        <v>11050</v>
      </c>
      <c r="D1617" t="s">
        <v>11323</v>
      </c>
      <c r="E1617" t="s">
        <v>11324</v>
      </c>
      <c r="F1617" t="s">
        <v>11323</v>
      </c>
      <c r="G1617" s="1">
        <v>22000000</v>
      </c>
      <c r="H1617" s="2">
        <v>22000000</v>
      </c>
      <c r="I1617" s="2">
        <v>24619690</v>
      </c>
      <c r="J1617" s="2">
        <v>0</v>
      </c>
      <c r="K1617" s="2">
        <v>0</v>
      </c>
      <c r="L1617" s="2">
        <v>24619690</v>
      </c>
      <c r="M1617" s="3">
        <v>111.90768199999999</v>
      </c>
      <c r="N1617" s="4">
        <v>5.6012449999999998E-2</v>
      </c>
      <c r="O1617" s="5" t="s">
        <v>44</v>
      </c>
      <c r="P1617" s="5" t="s">
        <v>44</v>
      </c>
      <c r="Q1617" s="1"/>
      <c r="R1617" s="2"/>
      <c r="S1617" s="6"/>
      <c r="T1617" t="s">
        <v>10902</v>
      </c>
      <c r="U1617" t="s">
        <v>10902</v>
      </c>
      <c r="V1617" t="s">
        <v>11051</v>
      </c>
      <c r="W1617" t="s">
        <v>43</v>
      </c>
      <c r="X1617" t="s">
        <v>11050</v>
      </c>
      <c r="Y1617" t="s">
        <v>44</v>
      </c>
      <c r="Z1617" t="s">
        <v>11050</v>
      </c>
      <c r="AA1617" t="s">
        <v>11035</v>
      </c>
      <c r="AB1617" t="s">
        <v>44</v>
      </c>
      <c r="AC1617" s="4"/>
      <c r="AD1617" s="4"/>
      <c r="AE1617" s="2">
        <v>0</v>
      </c>
      <c r="AF1617" s="4">
        <v>0</v>
      </c>
      <c r="AG1617" s="2">
        <v>7.21</v>
      </c>
      <c r="AH1617" s="2">
        <v>24619690</v>
      </c>
      <c r="AI1617" s="2">
        <v>0.06</v>
      </c>
      <c r="AJ1617" s="5">
        <v>44673</v>
      </c>
      <c r="AK1617" t="s">
        <v>12181</v>
      </c>
      <c r="AL1617" s="2">
        <v>0</v>
      </c>
      <c r="AM1617" s="2">
        <v>0</v>
      </c>
      <c r="AN1617" s="2">
        <v>0</v>
      </c>
      <c r="AO1617" t="s">
        <v>11036</v>
      </c>
      <c r="AP1617" t="s">
        <v>44</v>
      </c>
      <c r="AQ1617" t="s">
        <v>11324</v>
      </c>
    </row>
    <row r="1618" spans="1:43" x14ac:dyDescent="0.2">
      <c r="A1618" t="s">
        <v>12180</v>
      </c>
      <c r="B1618" t="s">
        <v>11037</v>
      </c>
      <c r="C1618" t="s">
        <v>11195</v>
      </c>
      <c r="D1618" t="s">
        <v>11325</v>
      </c>
      <c r="E1618" t="s">
        <v>5284</v>
      </c>
      <c r="F1618" t="s">
        <v>11325</v>
      </c>
      <c r="G1618" s="1">
        <v>10386</v>
      </c>
      <c r="H1618" s="2">
        <v>426649.1</v>
      </c>
      <c r="I1618" s="2">
        <v>335260.08</v>
      </c>
      <c r="J1618" s="2">
        <v>0</v>
      </c>
      <c r="K1618" s="2">
        <v>0</v>
      </c>
      <c r="L1618" s="2">
        <v>335260.08</v>
      </c>
      <c r="M1618" s="3">
        <v>3228</v>
      </c>
      <c r="N1618" s="4">
        <v>7.6274999999999997E-4</v>
      </c>
      <c r="O1618" s="5" t="s">
        <v>44</v>
      </c>
      <c r="P1618" s="5" t="s">
        <v>44</v>
      </c>
      <c r="Q1618" s="1"/>
      <c r="R1618" s="2"/>
      <c r="S1618" s="6"/>
      <c r="T1618" t="s">
        <v>10902</v>
      </c>
      <c r="U1618" t="s">
        <v>10902</v>
      </c>
      <c r="V1618" t="s">
        <v>10902</v>
      </c>
      <c r="W1618" t="s">
        <v>43</v>
      </c>
      <c r="X1618" t="s">
        <v>11197</v>
      </c>
      <c r="Y1618" t="s">
        <v>11198</v>
      </c>
      <c r="Z1618" t="s">
        <v>11195</v>
      </c>
      <c r="AA1618" t="s">
        <v>44</v>
      </c>
      <c r="AB1618" t="s">
        <v>44</v>
      </c>
      <c r="AC1618" s="4"/>
      <c r="AD1618" s="4"/>
      <c r="AE1618" s="2">
        <v>0</v>
      </c>
      <c r="AF1618" s="4">
        <v>0</v>
      </c>
      <c r="AG1618" s="2">
        <v>0.1</v>
      </c>
      <c r="AH1618" s="2">
        <v>335260.08</v>
      </c>
      <c r="AI1618" s="2">
        <v>0</v>
      </c>
      <c r="AJ1618" s="5">
        <v>44673</v>
      </c>
      <c r="AK1618" t="s">
        <v>12181</v>
      </c>
      <c r="AL1618" s="2">
        <v>0</v>
      </c>
      <c r="AM1618" s="2">
        <v>0</v>
      </c>
      <c r="AN1618" s="2">
        <v>0</v>
      </c>
      <c r="AO1618" t="s">
        <v>44</v>
      </c>
      <c r="AP1618" t="s">
        <v>11326</v>
      </c>
      <c r="AQ1618" t="s">
        <v>5284</v>
      </c>
    </row>
    <row r="1619" spans="1:43" x14ac:dyDescent="0.2">
      <c r="A1619" t="s">
        <v>12180</v>
      </c>
      <c r="B1619" t="s">
        <v>11037</v>
      </c>
      <c r="C1619" t="s">
        <v>11195</v>
      </c>
      <c r="D1619" t="s">
        <v>6003</v>
      </c>
      <c r="E1619" t="s">
        <v>4789</v>
      </c>
      <c r="F1619" t="s">
        <v>6003</v>
      </c>
      <c r="G1619" s="1">
        <v>8</v>
      </c>
      <c r="H1619" s="2">
        <v>9970.26</v>
      </c>
      <c r="I1619" s="2">
        <v>17149.12</v>
      </c>
      <c r="J1619" s="2">
        <v>0</v>
      </c>
      <c r="K1619" s="2">
        <v>0</v>
      </c>
      <c r="L1619" s="2">
        <v>17149.12</v>
      </c>
      <c r="M1619" s="3">
        <v>214364</v>
      </c>
      <c r="N1619" s="4">
        <v>3.9020000000000002E-5</v>
      </c>
      <c r="O1619" s="5" t="s">
        <v>44</v>
      </c>
      <c r="P1619" s="5" t="s">
        <v>44</v>
      </c>
      <c r="Q1619" s="1"/>
      <c r="R1619" s="2"/>
      <c r="S1619" s="6"/>
      <c r="T1619" t="s">
        <v>10902</v>
      </c>
      <c r="U1619" t="s">
        <v>10902</v>
      </c>
      <c r="V1619" t="s">
        <v>10902</v>
      </c>
      <c r="W1619" t="s">
        <v>43</v>
      </c>
      <c r="X1619" t="s">
        <v>11034</v>
      </c>
      <c r="Y1619" t="s">
        <v>11034</v>
      </c>
      <c r="Z1619" t="s">
        <v>11195</v>
      </c>
      <c r="AA1619" t="s">
        <v>44</v>
      </c>
      <c r="AB1619" t="s">
        <v>44</v>
      </c>
      <c r="AC1619" s="4"/>
      <c r="AD1619" s="4"/>
      <c r="AE1619" s="2">
        <v>0</v>
      </c>
      <c r="AF1619" s="4">
        <v>0</v>
      </c>
      <c r="AG1619" s="2">
        <v>0.01</v>
      </c>
      <c r="AH1619" s="2">
        <v>17149.12</v>
      </c>
      <c r="AI1619" s="2">
        <v>0</v>
      </c>
      <c r="AJ1619" s="5">
        <v>44673</v>
      </c>
      <c r="AK1619" t="s">
        <v>12181</v>
      </c>
      <c r="AL1619" s="2">
        <v>0</v>
      </c>
      <c r="AM1619" s="2">
        <v>0</v>
      </c>
      <c r="AN1619" s="2">
        <v>0</v>
      </c>
      <c r="AO1619" t="s">
        <v>44</v>
      </c>
      <c r="AP1619" t="s">
        <v>11703</v>
      </c>
      <c r="AQ1619" t="s">
        <v>4789</v>
      </c>
    </row>
    <row r="1620" spans="1:43" x14ac:dyDescent="0.2">
      <c r="A1620" t="s">
        <v>12180</v>
      </c>
      <c r="B1620" t="s">
        <v>11037</v>
      </c>
      <c r="C1620" t="s">
        <v>11195</v>
      </c>
      <c r="D1620" t="s">
        <v>6419</v>
      </c>
      <c r="E1620" t="s">
        <v>5072</v>
      </c>
      <c r="F1620" t="s">
        <v>6419</v>
      </c>
      <c r="G1620" s="1">
        <v>10627</v>
      </c>
      <c r="H1620" s="2">
        <v>477524.85</v>
      </c>
      <c r="I1620" s="2">
        <v>445908.92</v>
      </c>
      <c r="J1620" s="2">
        <v>0</v>
      </c>
      <c r="K1620" s="2">
        <v>0</v>
      </c>
      <c r="L1620" s="2">
        <v>445908.92</v>
      </c>
      <c r="M1620" s="3">
        <v>4196</v>
      </c>
      <c r="N1620" s="4">
        <v>1.0144900000000001E-3</v>
      </c>
      <c r="O1620" s="5" t="s">
        <v>44</v>
      </c>
      <c r="P1620" s="5" t="s">
        <v>44</v>
      </c>
      <c r="Q1620" s="1"/>
      <c r="R1620" s="2"/>
      <c r="S1620" s="6"/>
      <c r="T1620" t="s">
        <v>10902</v>
      </c>
      <c r="U1620" t="s">
        <v>10902</v>
      </c>
      <c r="V1620" t="s">
        <v>10902</v>
      </c>
      <c r="W1620" t="s">
        <v>43</v>
      </c>
      <c r="X1620" t="s">
        <v>11327</v>
      </c>
      <c r="Y1620" t="s">
        <v>11198</v>
      </c>
      <c r="Z1620" t="s">
        <v>11195</v>
      </c>
      <c r="AA1620" t="s">
        <v>44</v>
      </c>
      <c r="AB1620" t="s">
        <v>44</v>
      </c>
      <c r="AC1620" s="4"/>
      <c r="AD1620" s="4"/>
      <c r="AE1620" s="2">
        <v>0</v>
      </c>
      <c r="AF1620" s="4">
        <v>0</v>
      </c>
      <c r="AG1620" s="2">
        <v>0.13</v>
      </c>
      <c r="AH1620" s="2">
        <v>445908.92</v>
      </c>
      <c r="AI1620" s="2">
        <v>0</v>
      </c>
      <c r="AJ1620" s="5">
        <v>44673</v>
      </c>
      <c r="AK1620" t="s">
        <v>12181</v>
      </c>
      <c r="AL1620" s="2">
        <v>0</v>
      </c>
      <c r="AM1620" s="2">
        <v>0</v>
      </c>
      <c r="AN1620" s="2">
        <v>0</v>
      </c>
      <c r="AO1620" t="s">
        <v>44</v>
      </c>
      <c r="AP1620" t="s">
        <v>11328</v>
      </c>
      <c r="AQ1620" t="s">
        <v>5072</v>
      </c>
    </row>
    <row r="1621" spans="1:43" x14ac:dyDescent="0.2">
      <c r="A1621" t="s">
        <v>12180</v>
      </c>
      <c r="B1621" t="s">
        <v>11037</v>
      </c>
      <c r="C1621" t="s">
        <v>11195</v>
      </c>
      <c r="D1621" t="s">
        <v>11704</v>
      </c>
      <c r="E1621" t="s">
        <v>3205</v>
      </c>
      <c r="F1621" t="s">
        <v>11704</v>
      </c>
      <c r="G1621" s="1">
        <v>4640</v>
      </c>
      <c r="H1621" s="2">
        <v>540505.07999999996</v>
      </c>
      <c r="I1621" s="2">
        <v>763744</v>
      </c>
      <c r="J1621" s="2">
        <v>0</v>
      </c>
      <c r="K1621" s="2">
        <v>0</v>
      </c>
      <c r="L1621" s="2">
        <v>763744</v>
      </c>
      <c r="M1621" s="3">
        <v>16460</v>
      </c>
      <c r="N1621" s="4">
        <v>1.7376E-3</v>
      </c>
      <c r="O1621" s="5" t="s">
        <v>44</v>
      </c>
      <c r="P1621" s="5" t="s">
        <v>44</v>
      </c>
      <c r="Q1621" s="1"/>
      <c r="R1621" s="2"/>
      <c r="S1621" s="6"/>
      <c r="T1621" t="s">
        <v>10902</v>
      </c>
      <c r="U1621" t="s">
        <v>10902</v>
      </c>
      <c r="V1621" t="s">
        <v>10902</v>
      </c>
      <c r="W1621" t="s">
        <v>43</v>
      </c>
      <c r="X1621" t="s">
        <v>11334</v>
      </c>
      <c r="Y1621" t="s">
        <v>11335</v>
      </c>
      <c r="Z1621" t="s">
        <v>11195</v>
      </c>
      <c r="AA1621" t="s">
        <v>44</v>
      </c>
      <c r="AB1621" t="s">
        <v>44</v>
      </c>
      <c r="AC1621" s="4"/>
      <c r="AD1621" s="4"/>
      <c r="AE1621" s="2">
        <v>0</v>
      </c>
      <c r="AF1621" s="4">
        <v>0</v>
      </c>
      <c r="AG1621" s="2">
        <v>0.22</v>
      </c>
      <c r="AH1621" s="2">
        <v>763744</v>
      </c>
      <c r="AI1621" s="2">
        <v>0</v>
      </c>
      <c r="AJ1621" s="5">
        <v>44673</v>
      </c>
      <c r="AK1621" t="s">
        <v>12181</v>
      </c>
      <c r="AL1621" s="2">
        <v>0</v>
      </c>
      <c r="AM1621" s="2">
        <v>0</v>
      </c>
      <c r="AN1621" s="2">
        <v>0</v>
      </c>
      <c r="AO1621" t="s">
        <v>44</v>
      </c>
      <c r="AP1621" t="s">
        <v>11705</v>
      </c>
      <c r="AQ1621" t="s">
        <v>3205</v>
      </c>
    </row>
    <row r="1622" spans="1:43" x14ac:dyDescent="0.2">
      <c r="A1622" t="s">
        <v>12180</v>
      </c>
      <c r="B1622" t="s">
        <v>11037</v>
      </c>
      <c r="C1622" t="s">
        <v>11195</v>
      </c>
      <c r="D1622" t="s">
        <v>11196</v>
      </c>
      <c r="E1622" t="s">
        <v>5755</v>
      </c>
      <c r="F1622" t="s">
        <v>11196</v>
      </c>
      <c r="G1622" s="1">
        <v>38343</v>
      </c>
      <c r="H1622" s="2">
        <v>769821.05</v>
      </c>
      <c r="I1622" s="2">
        <v>827441.94</v>
      </c>
      <c r="J1622" s="2">
        <v>0</v>
      </c>
      <c r="K1622" s="2">
        <v>0</v>
      </c>
      <c r="L1622" s="2">
        <v>827441.94</v>
      </c>
      <c r="M1622" s="3">
        <v>2158</v>
      </c>
      <c r="N1622" s="4">
        <v>1.8825199999999999E-3</v>
      </c>
      <c r="O1622" s="5" t="s">
        <v>44</v>
      </c>
      <c r="P1622" s="5" t="s">
        <v>44</v>
      </c>
      <c r="Q1622" s="1"/>
      <c r="R1622" s="2"/>
      <c r="S1622" s="6"/>
      <c r="T1622" t="s">
        <v>10902</v>
      </c>
      <c r="U1622" t="s">
        <v>10902</v>
      </c>
      <c r="V1622" t="s">
        <v>10902</v>
      </c>
      <c r="W1622" t="s">
        <v>43</v>
      </c>
      <c r="X1622" t="s">
        <v>11197</v>
      </c>
      <c r="Y1622" t="s">
        <v>11198</v>
      </c>
      <c r="Z1622" t="s">
        <v>11195</v>
      </c>
      <c r="AA1622" t="s">
        <v>44</v>
      </c>
      <c r="AB1622" t="s">
        <v>44</v>
      </c>
      <c r="AC1622" s="4"/>
      <c r="AD1622" s="4"/>
      <c r="AE1622" s="2">
        <v>0</v>
      </c>
      <c r="AF1622" s="4">
        <v>0</v>
      </c>
      <c r="AG1622" s="2">
        <v>0.24</v>
      </c>
      <c r="AH1622" s="2">
        <v>827441.94</v>
      </c>
      <c r="AI1622" s="2">
        <v>0</v>
      </c>
      <c r="AJ1622" s="5">
        <v>44673</v>
      </c>
      <c r="AK1622" t="s">
        <v>12181</v>
      </c>
      <c r="AL1622" s="2">
        <v>0</v>
      </c>
      <c r="AM1622" s="2">
        <v>0</v>
      </c>
      <c r="AN1622" s="2">
        <v>0</v>
      </c>
      <c r="AO1622" t="s">
        <v>44</v>
      </c>
      <c r="AP1622" t="s">
        <v>11199</v>
      </c>
      <c r="AQ1622" t="s">
        <v>5755</v>
      </c>
    </row>
    <row r="1623" spans="1:43" x14ac:dyDescent="0.2">
      <c r="A1623" t="s">
        <v>12180</v>
      </c>
      <c r="B1623" t="s">
        <v>11037</v>
      </c>
      <c r="C1623" t="s">
        <v>11195</v>
      </c>
      <c r="D1623" t="s">
        <v>11200</v>
      </c>
      <c r="E1623" t="s">
        <v>5277</v>
      </c>
      <c r="F1623" t="s">
        <v>11200</v>
      </c>
      <c r="G1623" s="1">
        <v>69320</v>
      </c>
      <c r="H1623" s="2">
        <v>1058650.01</v>
      </c>
      <c r="I1623" s="2">
        <v>864420.4</v>
      </c>
      <c r="J1623" s="2">
        <v>0</v>
      </c>
      <c r="K1623" s="2">
        <v>0</v>
      </c>
      <c r="L1623" s="2">
        <v>864420.4</v>
      </c>
      <c r="M1623" s="3">
        <v>1247</v>
      </c>
      <c r="N1623" s="4">
        <v>1.9666499999999999E-3</v>
      </c>
      <c r="O1623" s="5" t="s">
        <v>44</v>
      </c>
      <c r="P1623" s="5" t="s">
        <v>44</v>
      </c>
      <c r="Q1623" s="1"/>
      <c r="R1623" s="2"/>
      <c r="S1623" s="6"/>
      <c r="T1623" t="s">
        <v>10902</v>
      </c>
      <c r="U1623" t="s">
        <v>10902</v>
      </c>
      <c r="V1623" t="s">
        <v>10902</v>
      </c>
      <c r="W1623" t="s">
        <v>43</v>
      </c>
      <c r="X1623" t="s">
        <v>11197</v>
      </c>
      <c r="Y1623" t="s">
        <v>11198</v>
      </c>
      <c r="Z1623" t="s">
        <v>11195</v>
      </c>
      <c r="AA1623" t="s">
        <v>44</v>
      </c>
      <c r="AB1623" t="s">
        <v>44</v>
      </c>
      <c r="AC1623" s="4"/>
      <c r="AD1623" s="4"/>
      <c r="AE1623" s="2">
        <v>0</v>
      </c>
      <c r="AF1623" s="4">
        <v>0</v>
      </c>
      <c r="AG1623" s="2">
        <v>0.25</v>
      </c>
      <c r="AH1623" s="2">
        <v>864420.4</v>
      </c>
      <c r="AI1623" s="2">
        <v>0</v>
      </c>
      <c r="AJ1623" s="5">
        <v>44673</v>
      </c>
      <c r="AK1623" t="s">
        <v>12181</v>
      </c>
      <c r="AL1623" s="2">
        <v>0</v>
      </c>
      <c r="AM1623" s="2">
        <v>0</v>
      </c>
      <c r="AN1623" s="2">
        <v>0</v>
      </c>
      <c r="AO1623" t="s">
        <v>44</v>
      </c>
      <c r="AP1623" t="s">
        <v>11201</v>
      </c>
      <c r="AQ1623" t="s">
        <v>5277</v>
      </c>
    </row>
    <row r="1624" spans="1:43" x14ac:dyDescent="0.2">
      <c r="A1624" t="s">
        <v>12180</v>
      </c>
      <c r="B1624" t="s">
        <v>11037</v>
      </c>
      <c r="C1624" t="s">
        <v>11195</v>
      </c>
      <c r="D1624" t="s">
        <v>6332</v>
      </c>
      <c r="E1624" t="s">
        <v>3152</v>
      </c>
      <c r="F1624" t="s">
        <v>6332</v>
      </c>
      <c r="G1624" s="1">
        <v>16715</v>
      </c>
      <c r="H1624" s="2">
        <v>458145.35</v>
      </c>
      <c r="I1624" s="2">
        <v>603077.19999999995</v>
      </c>
      <c r="J1624" s="2">
        <v>0</v>
      </c>
      <c r="K1624" s="2">
        <v>0</v>
      </c>
      <c r="L1624" s="2">
        <v>603077.19999999995</v>
      </c>
      <c r="M1624" s="3">
        <v>3608</v>
      </c>
      <c r="N1624" s="4">
        <v>1.37207E-3</v>
      </c>
      <c r="O1624" s="5" t="s">
        <v>44</v>
      </c>
      <c r="P1624" s="5" t="s">
        <v>44</v>
      </c>
      <c r="Q1624" s="1"/>
      <c r="R1624" s="2"/>
      <c r="S1624" s="6"/>
      <c r="T1624" t="s">
        <v>10902</v>
      </c>
      <c r="U1624" t="s">
        <v>10902</v>
      </c>
      <c r="V1624" t="s">
        <v>10902</v>
      </c>
      <c r="W1624" t="s">
        <v>43</v>
      </c>
      <c r="X1624" t="s">
        <v>11197</v>
      </c>
      <c r="Y1624" t="s">
        <v>11198</v>
      </c>
      <c r="Z1624" t="s">
        <v>11195</v>
      </c>
      <c r="AA1624" t="s">
        <v>44</v>
      </c>
      <c r="AB1624" t="s">
        <v>44</v>
      </c>
      <c r="AC1624" s="4"/>
      <c r="AD1624" s="4"/>
      <c r="AE1624" s="2">
        <v>0</v>
      </c>
      <c r="AF1624" s="4">
        <v>0</v>
      </c>
      <c r="AG1624" s="2">
        <v>0.18</v>
      </c>
      <c r="AH1624" s="2">
        <v>603077.19999999995</v>
      </c>
      <c r="AI1624" s="2">
        <v>0</v>
      </c>
      <c r="AJ1624" s="5">
        <v>44673</v>
      </c>
      <c r="AK1624" t="s">
        <v>12181</v>
      </c>
      <c r="AL1624" s="2">
        <v>0</v>
      </c>
      <c r="AM1624" s="2">
        <v>0</v>
      </c>
      <c r="AN1624" s="2">
        <v>0</v>
      </c>
      <c r="AO1624" t="s">
        <v>44</v>
      </c>
      <c r="AP1624" t="s">
        <v>11203</v>
      </c>
      <c r="AQ1624" t="s">
        <v>3152</v>
      </c>
    </row>
    <row r="1625" spans="1:43" x14ac:dyDescent="0.2">
      <c r="A1625" t="s">
        <v>12180</v>
      </c>
      <c r="B1625" t="s">
        <v>11037</v>
      </c>
      <c r="C1625" t="s">
        <v>11195</v>
      </c>
      <c r="D1625" t="s">
        <v>11710</v>
      </c>
      <c r="E1625" t="s">
        <v>5671</v>
      </c>
      <c r="F1625" t="s">
        <v>11710</v>
      </c>
      <c r="G1625" s="1">
        <v>10270</v>
      </c>
      <c r="H1625" s="2">
        <v>94577.44</v>
      </c>
      <c r="I1625" s="2">
        <v>126321</v>
      </c>
      <c r="J1625" s="2">
        <v>0</v>
      </c>
      <c r="K1625" s="2">
        <v>0</v>
      </c>
      <c r="L1625" s="2">
        <v>126321</v>
      </c>
      <c r="M1625" s="3">
        <v>1230</v>
      </c>
      <c r="N1625" s="4">
        <v>2.8739E-4</v>
      </c>
      <c r="O1625" s="5" t="s">
        <v>44</v>
      </c>
      <c r="P1625" s="5" t="s">
        <v>44</v>
      </c>
      <c r="Q1625" s="1"/>
      <c r="R1625" s="2"/>
      <c r="S1625" s="6"/>
      <c r="T1625" t="s">
        <v>10902</v>
      </c>
      <c r="U1625" t="s">
        <v>10902</v>
      </c>
      <c r="V1625" t="s">
        <v>10902</v>
      </c>
      <c r="W1625" t="s">
        <v>43</v>
      </c>
      <c r="X1625" t="s">
        <v>11197</v>
      </c>
      <c r="Y1625" t="s">
        <v>11198</v>
      </c>
      <c r="Z1625" t="s">
        <v>11195</v>
      </c>
      <c r="AA1625" t="s">
        <v>44</v>
      </c>
      <c r="AB1625" t="s">
        <v>44</v>
      </c>
      <c r="AC1625" s="4"/>
      <c r="AD1625" s="4"/>
      <c r="AE1625" s="2">
        <v>0</v>
      </c>
      <c r="AF1625" s="4">
        <v>0</v>
      </c>
      <c r="AG1625" s="2">
        <v>0.04</v>
      </c>
      <c r="AH1625" s="2">
        <v>126321</v>
      </c>
      <c r="AI1625" s="2">
        <v>0</v>
      </c>
      <c r="AJ1625" s="5">
        <v>44673</v>
      </c>
      <c r="AK1625" t="s">
        <v>12181</v>
      </c>
      <c r="AL1625" s="2">
        <v>0</v>
      </c>
      <c r="AM1625" s="2">
        <v>0</v>
      </c>
      <c r="AN1625" s="2">
        <v>0</v>
      </c>
      <c r="AO1625" t="s">
        <v>44</v>
      </c>
      <c r="AP1625" t="s">
        <v>11711</v>
      </c>
      <c r="AQ1625" t="s">
        <v>5671</v>
      </c>
    </row>
    <row r="1626" spans="1:43" x14ac:dyDescent="0.2">
      <c r="A1626" t="s">
        <v>12180</v>
      </c>
      <c r="B1626" t="s">
        <v>11037</v>
      </c>
      <c r="C1626" t="s">
        <v>11195</v>
      </c>
      <c r="D1626" t="s">
        <v>11759</v>
      </c>
      <c r="E1626" t="s">
        <v>5719</v>
      </c>
      <c r="F1626" t="s">
        <v>11759</v>
      </c>
      <c r="G1626" s="1">
        <v>7700</v>
      </c>
      <c r="H1626" s="2">
        <v>124634.33</v>
      </c>
      <c r="I1626" s="2">
        <v>166320</v>
      </c>
      <c r="J1626" s="2">
        <v>0</v>
      </c>
      <c r="K1626" s="2">
        <v>0</v>
      </c>
      <c r="L1626" s="2">
        <v>166320</v>
      </c>
      <c r="M1626" s="3">
        <v>2160</v>
      </c>
      <c r="N1626" s="4">
        <v>3.7839999999999998E-4</v>
      </c>
      <c r="O1626" s="5" t="s">
        <v>44</v>
      </c>
      <c r="P1626" s="5" t="s">
        <v>44</v>
      </c>
      <c r="Q1626" s="1"/>
      <c r="R1626" s="2"/>
      <c r="S1626" s="6"/>
      <c r="T1626" t="s">
        <v>10902</v>
      </c>
      <c r="U1626" t="s">
        <v>10902</v>
      </c>
      <c r="V1626" t="s">
        <v>10902</v>
      </c>
      <c r="W1626" t="s">
        <v>43</v>
      </c>
      <c r="X1626" t="s">
        <v>11197</v>
      </c>
      <c r="Y1626" t="s">
        <v>11198</v>
      </c>
      <c r="Z1626" t="s">
        <v>11195</v>
      </c>
      <c r="AA1626" t="s">
        <v>44</v>
      </c>
      <c r="AB1626" t="s">
        <v>44</v>
      </c>
      <c r="AC1626" s="4"/>
      <c r="AD1626" s="4"/>
      <c r="AE1626" s="2">
        <v>0</v>
      </c>
      <c r="AF1626" s="4">
        <v>0</v>
      </c>
      <c r="AG1626" s="2">
        <v>0.05</v>
      </c>
      <c r="AH1626" s="2">
        <v>166320</v>
      </c>
      <c r="AI1626" s="2">
        <v>0</v>
      </c>
      <c r="AJ1626" s="5">
        <v>44673</v>
      </c>
      <c r="AK1626" t="s">
        <v>12181</v>
      </c>
      <c r="AL1626" s="2">
        <v>0</v>
      </c>
      <c r="AM1626" s="2">
        <v>0</v>
      </c>
      <c r="AN1626" s="2">
        <v>0</v>
      </c>
      <c r="AO1626" t="s">
        <v>44</v>
      </c>
      <c r="AP1626" t="s">
        <v>11760</v>
      </c>
      <c r="AQ1626" t="s">
        <v>5719</v>
      </c>
    </row>
    <row r="1627" spans="1:43" x14ac:dyDescent="0.2">
      <c r="A1627" t="s">
        <v>12180</v>
      </c>
      <c r="B1627" t="s">
        <v>11037</v>
      </c>
      <c r="C1627" t="s">
        <v>11195</v>
      </c>
      <c r="D1627" t="s">
        <v>6450</v>
      </c>
      <c r="E1627" t="s">
        <v>5121</v>
      </c>
      <c r="F1627" t="s">
        <v>6450</v>
      </c>
      <c r="G1627" s="1">
        <v>3160</v>
      </c>
      <c r="H1627" s="2">
        <v>346821.88</v>
      </c>
      <c r="I1627" s="2">
        <v>350412.4</v>
      </c>
      <c r="J1627" s="2">
        <v>0</v>
      </c>
      <c r="K1627" s="2">
        <v>0</v>
      </c>
      <c r="L1627" s="2">
        <v>350412.4</v>
      </c>
      <c r="M1627" s="3">
        <v>11089</v>
      </c>
      <c r="N1627" s="4">
        <v>7.9723000000000001E-4</v>
      </c>
      <c r="O1627" s="5" t="s">
        <v>44</v>
      </c>
      <c r="P1627" s="5" t="s">
        <v>44</v>
      </c>
      <c r="Q1627" s="1"/>
      <c r="R1627" s="2"/>
      <c r="S1627" s="6"/>
      <c r="T1627" t="s">
        <v>10902</v>
      </c>
      <c r="U1627" t="s">
        <v>10902</v>
      </c>
      <c r="V1627" t="s">
        <v>10902</v>
      </c>
      <c r="W1627" t="s">
        <v>43</v>
      </c>
      <c r="X1627" t="s">
        <v>11327</v>
      </c>
      <c r="Y1627" t="s">
        <v>11198</v>
      </c>
      <c r="Z1627" t="s">
        <v>11195</v>
      </c>
      <c r="AA1627" t="s">
        <v>44</v>
      </c>
      <c r="AB1627" t="s">
        <v>44</v>
      </c>
      <c r="AC1627" s="4"/>
      <c r="AD1627" s="4"/>
      <c r="AE1627" s="2">
        <v>0</v>
      </c>
      <c r="AF1627" s="4">
        <v>0</v>
      </c>
      <c r="AG1627" s="2">
        <v>0.1</v>
      </c>
      <c r="AH1627" s="2">
        <v>350412.4</v>
      </c>
      <c r="AI1627" s="2">
        <v>0</v>
      </c>
      <c r="AJ1627" s="5">
        <v>44673</v>
      </c>
      <c r="AK1627" t="s">
        <v>12181</v>
      </c>
      <c r="AL1627" s="2">
        <v>0</v>
      </c>
      <c r="AM1627" s="2">
        <v>0</v>
      </c>
      <c r="AN1627" s="2">
        <v>0</v>
      </c>
      <c r="AO1627" t="s">
        <v>44</v>
      </c>
      <c r="AP1627" t="s">
        <v>11331</v>
      </c>
      <c r="AQ1627" t="s">
        <v>5121</v>
      </c>
    </row>
    <row r="1628" spans="1:43" x14ac:dyDescent="0.2">
      <c r="A1628" t="s">
        <v>12180</v>
      </c>
      <c r="B1628" t="s">
        <v>11037</v>
      </c>
      <c r="C1628" t="s">
        <v>11195</v>
      </c>
      <c r="D1628" t="s">
        <v>11204</v>
      </c>
      <c r="E1628" t="s">
        <v>5699</v>
      </c>
      <c r="F1628" t="s">
        <v>11204</v>
      </c>
      <c r="G1628" s="1">
        <v>24120</v>
      </c>
      <c r="H1628" s="2">
        <v>459642.93</v>
      </c>
      <c r="I1628" s="2">
        <v>527745.6</v>
      </c>
      <c r="J1628" s="2">
        <v>0</v>
      </c>
      <c r="K1628" s="2">
        <v>0</v>
      </c>
      <c r="L1628" s="2">
        <v>527745.6</v>
      </c>
      <c r="M1628" s="3">
        <v>2188</v>
      </c>
      <c r="N1628" s="4">
        <v>1.20068E-3</v>
      </c>
      <c r="O1628" s="5" t="s">
        <v>44</v>
      </c>
      <c r="P1628" s="5" t="s">
        <v>44</v>
      </c>
      <c r="Q1628" s="1"/>
      <c r="R1628" s="2"/>
      <c r="S1628" s="6"/>
      <c r="T1628" t="s">
        <v>10902</v>
      </c>
      <c r="U1628" t="s">
        <v>10902</v>
      </c>
      <c r="V1628" t="s">
        <v>10902</v>
      </c>
      <c r="W1628" t="s">
        <v>43</v>
      </c>
      <c r="X1628" t="s">
        <v>11197</v>
      </c>
      <c r="Y1628" t="s">
        <v>11198</v>
      </c>
      <c r="Z1628" t="s">
        <v>11195</v>
      </c>
      <c r="AA1628" t="s">
        <v>44</v>
      </c>
      <c r="AB1628" t="s">
        <v>44</v>
      </c>
      <c r="AC1628" s="4"/>
      <c r="AD1628" s="4"/>
      <c r="AE1628" s="2">
        <v>0</v>
      </c>
      <c r="AF1628" s="4">
        <v>0</v>
      </c>
      <c r="AG1628" s="2">
        <v>0.15</v>
      </c>
      <c r="AH1628" s="2">
        <v>527745.6</v>
      </c>
      <c r="AI1628" s="2">
        <v>0</v>
      </c>
      <c r="AJ1628" s="5">
        <v>44673</v>
      </c>
      <c r="AK1628" t="s">
        <v>12181</v>
      </c>
      <c r="AL1628" s="2">
        <v>0</v>
      </c>
      <c r="AM1628" s="2">
        <v>0</v>
      </c>
      <c r="AN1628" s="2">
        <v>0</v>
      </c>
      <c r="AO1628" t="s">
        <v>44</v>
      </c>
      <c r="AP1628" t="s">
        <v>11205</v>
      </c>
      <c r="AQ1628" t="s">
        <v>5699</v>
      </c>
    </row>
    <row r="1629" spans="1:43" x14ac:dyDescent="0.2">
      <c r="A1629" t="s">
        <v>12180</v>
      </c>
      <c r="B1629" t="s">
        <v>11037</v>
      </c>
      <c r="C1629" t="s">
        <v>11195</v>
      </c>
      <c r="D1629" t="s">
        <v>11332</v>
      </c>
      <c r="E1629" t="s">
        <v>11333</v>
      </c>
      <c r="F1629" t="s">
        <v>11332</v>
      </c>
      <c r="G1629" s="1">
        <v>59977</v>
      </c>
      <c r="H1629" s="2">
        <v>1095354.24</v>
      </c>
      <c r="I1629" s="2">
        <v>1013011.53</v>
      </c>
      <c r="J1629" s="2">
        <v>0</v>
      </c>
      <c r="K1629" s="2">
        <v>0</v>
      </c>
      <c r="L1629" s="2">
        <v>1013011.53</v>
      </c>
      <c r="M1629" s="3">
        <v>1689</v>
      </c>
      <c r="N1629" s="4">
        <v>2.3047100000000002E-3</v>
      </c>
      <c r="O1629" s="5" t="s">
        <v>44</v>
      </c>
      <c r="P1629" s="5" t="s">
        <v>44</v>
      </c>
      <c r="Q1629" s="1"/>
      <c r="R1629" s="2"/>
      <c r="S1629" s="6"/>
      <c r="T1629" t="s">
        <v>10902</v>
      </c>
      <c r="U1629" t="s">
        <v>10902</v>
      </c>
      <c r="V1629" t="s">
        <v>10902</v>
      </c>
      <c r="W1629" t="s">
        <v>43</v>
      </c>
      <c r="X1629" t="s">
        <v>11334</v>
      </c>
      <c r="Y1629" t="s">
        <v>11335</v>
      </c>
      <c r="Z1629" t="s">
        <v>11195</v>
      </c>
      <c r="AA1629" t="s">
        <v>44</v>
      </c>
      <c r="AB1629" t="s">
        <v>44</v>
      </c>
      <c r="AC1629" s="4"/>
      <c r="AD1629" s="4"/>
      <c r="AE1629" s="2">
        <v>0</v>
      </c>
      <c r="AF1629" s="4">
        <v>0</v>
      </c>
      <c r="AG1629" s="2">
        <v>0.3</v>
      </c>
      <c r="AH1629" s="2">
        <v>1013011.53</v>
      </c>
      <c r="AI1629" s="2">
        <v>0</v>
      </c>
      <c r="AJ1629" s="5">
        <v>44673</v>
      </c>
      <c r="AK1629" t="s">
        <v>12181</v>
      </c>
      <c r="AL1629" s="2">
        <v>0</v>
      </c>
      <c r="AM1629" s="2">
        <v>0</v>
      </c>
      <c r="AN1629" s="2">
        <v>0</v>
      </c>
      <c r="AO1629" t="s">
        <v>44</v>
      </c>
      <c r="AP1629" t="s">
        <v>11336</v>
      </c>
      <c r="AQ1629" t="s">
        <v>11333</v>
      </c>
    </row>
    <row r="1630" spans="1:43" x14ac:dyDescent="0.2">
      <c r="A1630" t="s">
        <v>12180</v>
      </c>
      <c r="B1630" t="s">
        <v>11037</v>
      </c>
      <c r="C1630" t="s">
        <v>11195</v>
      </c>
      <c r="D1630" t="s">
        <v>11337</v>
      </c>
      <c r="E1630" t="s">
        <v>11338</v>
      </c>
      <c r="F1630" t="s">
        <v>11339</v>
      </c>
      <c r="G1630" s="1">
        <v>6011</v>
      </c>
      <c r="H1630" s="2">
        <v>255249.37</v>
      </c>
      <c r="I1630" s="2">
        <v>304036.38</v>
      </c>
      <c r="J1630" s="2">
        <v>0</v>
      </c>
      <c r="K1630" s="2">
        <v>0</v>
      </c>
      <c r="L1630" s="2">
        <v>304036.38</v>
      </c>
      <c r="M1630" s="3">
        <v>5058</v>
      </c>
      <c r="N1630" s="4">
        <v>6.9172000000000005E-4</v>
      </c>
      <c r="O1630" s="5" t="s">
        <v>44</v>
      </c>
      <c r="P1630" s="5" t="s">
        <v>44</v>
      </c>
      <c r="Q1630" s="1"/>
      <c r="R1630" s="2"/>
      <c r="S1630" s="6"/>
      <c r="T1630" t="s">
        <v>10902</v>
      </c>
      <c r="U1630" t="s">
        <v>10902</v>
      </c>
      <c r="V1630" t="s">
        <v>10902</v>
      </c>
      <c r="W1630" t="s">
        <v>43</v>
      </c>
      <c r="X1630" t="s">
        <v>11327</v>
      </c>
      <c r="Y1630" t="s">
        <v>11198</v>
      </c>
      <c r="Z1630" t="s">
        <v>11195</v>
      </c>
      <c r="AA1630" t="s">
        <v>44</v>
      </c>
      <c r="AB1630" t="s">
        <v>44</v>
      </c>
      <c r="AC1630" s="4"/>
      <c r="AD1630" s="4"/>
      <c r="AE1630" s="2">
        <v>0</v>
      </c>
      <c r="AF1630" s="4">
        <v>0</v>
      </c>
      <c r="AG1630" s="2">
        <v>0.09</v>
      </c>
      <c r="AH1630" s="2">
        <v>304036.38</v>
      </c>
      <c r="AI1630" s="2">
        <v>0</v>
      </c>
      <c r="AJ1630" s="5">
        <v>44673</v>
      </c>
      <c r="AK1630" t="s">
        <v>12181</v>
      </c>
      <c r="AL1630" s="2">
        <v>0</v>
      </c>
      <c r="AM1630" s="2">
        <v>0</v>
      </c>
      <c r="AN1630" s="2">
        <v>0</v>
      </c>
      <c r="AO1630" t="s">
        <v>44</v>
      </c>
      <c r="AP1630" t="s">
        <v>11340</v>
      </c>
      <c r="AQ1630" t="s">
        <v>11338</v>
      </c>
    </row>
    <row r="1631" spans="1:43" x14ac:dyDescent="0.2">
      <c r="A1631" t="s">
        <v>12180</v>
      </c>
      <c r="B1631" t="s">
        <v>11037</v>
      </c>
      <c r="C1631" t="s">
        <v>11195</v>
      </c>
      <c r="D1631" t="s">
        <v>11341</v>
      </c>
      <c r="E1631" t="s">
        <v>11342</v>
      </c>
      <c r="F1631" t="s">
        <v>11341</v>
      </c>
      <c r="G1631" s="1">
        <v>7178</v>
      </c>
      <c r="H1631" s="2">
        <v>300361.08</v>
      </c>
      <c r="I1631" s="2">
        <v>374404.48</v>
      </c>
      <c r="J1631" s="2">
        <v>0</v>
      </c>
      <c r="K1631" s="2">
        <v>0</v>
      </c>
      <c r="L1631" s="2">
        <v>374404.48</v>
      </c>
      <c r="M1631" s="3">
        <v>5216</v>
      </c>
      <c r="N1631" s="4">
        <v>8.5181000000000005E-4</v>
      </c>
      <c r="O1631" s="5" t="s">
        <v>44</v>
      </c>
      <c r="P1631" s="5" t="s">
        <v>44</v>
      </c>
      <c r="Q1631" s="1"/>
      <c r="R1631" s="2"/>
      <c r="S1631" s="6"/>
      <c r="T1631" t="s">
        <v>10902</v>
      </c>
      <c r="U1631" t="s">
        <v>10902</v>
      </c>
      <c r="V1631" t="s">
        <v>10902</v>
      </c>
      <c r="W1631" t="s">
        <v>43</v>
      </c>
      <c r="X1631" t="s">
        <v>11327</v>
      </c>
      <c r="Y1631" t="s">
        <v>11198</v>
      </c>
      <c r="Z1631" t="s">
        <v>11195</v>
      </c>
      <c r="AA1631" t="s">
        <v>44</v>
      </c>
      <c r="AB1631" t="s">
        <v>44</v>
      </c>
      <c r="AC1631" s="4"/>
      <c r="AD1631" s="4"/>
      <c r="AE1631" s="2">
        <v>0</v>
      </c>
      <c r="AF1631" s="4">
        <v>0</v>
      </c>
      <c r="AG1631" s="2">
        <v>0.11</v>
      </c>
      <c r="AH1631" s="2">
        <v>374404.48</v>
      </c>
      <c r="AI1631" s="2">
        <v>0</v>
      </c>
      <c r="AJ1631" s="5">
        <v>44673</v>
      </c>
      <c r="AK1631" t="s">
        <v>12181</v>
      </c>
      <c r="AL1631" s="2">
        <v>0</v>
      </c>
      <c r="AM1631" s="2">
        <v>0</v>
      </c>
      <c r="AN1631" s="2">
        <v>0</v>
      </c>
      <c r="AO1631" t="s">
        <v>44</v>
      </c>
      <c r="AP1631" t="s">
        <v>11343</v>
      </c>
      <c r="AQ1631" t="s">
        <v>11342</v>
      </c>
    </row>
    <row r="1632" spans="1:43" x14ac:dyDescent="0.2">
      <c r="A1632" t="s">
        <v>12180</v>
      </c>
      <c r="B1632" t="s">
        <v>11037</v>
      </c>
      <c r="C1632" t="s">
        <v>11195</v>
      </c>
      <c r="D1632" t="s">
        <v>6128</v>
      </c>
      <c r="E1632" t="s">
        <v>6759</v>
      </c>
      <c r="F1632" t="s">
        <v>6128</v>
      </c>
      <c r="G1632" s="1">
        <v>8596</v>
      </c>
      <c r="H1632" s="2">
        <v>634974.38</v>
      </c>
      <c r="I1632" s="2">
        <v>829514</v>
      </c>
      <c r="J1632" s="2">
        <v>0</v>
      </c>
      <c r="K1632" s="2">
        <v>0</v>
      </c>
      <c r="L1632" s="2">
        <v>829514</v>
      </c>
      <c r="M1632" s="3">
        <v>9650</v>
      </c>
      <c r="N1632" s="4">
        <v>1.8872299999999999E-3</v>
      </c>
      <c r="O1632" s="5" t="s">
        <v>44</v>
      </c>
      <c r="P1632" s="5" t="s">
        <v>44</v>
      </c>
      <c r="Q1632" s="1"/>
      <c r="R1632" s="2"/>
      <c r="S1632" s="6"/>
      <c r="T1632" t="s">
        <v>10902</v>
      </c>
      <c r="U1632" t="s">
        <v>10902</v>
      </c>
      <c r="V1632" t="s">
        <v>10902</v>
      </c>
      <c r="W1632" t="s">
        <v>43</v>
      </c>
      <c r="X1632" t="s">
        <v>11327</v>
      </c>
      <c r="Y1632" t="s">
        <v>11198</v>
      </c>
      <c r="Z1632" t="s">
        <v>11195</v>
      </c>
      <c r="AA1632" t="s">
        <v>44</v>
      </c>
      <c r="AB1632" t="s">
        <v>44</v>
      </c>
      <c r="AC1632" s="4"/>
      <c r="AD1632" s="4"/>
      <c r="AE1632" s="2">
        <v>0</v>
      </c>
      <c r="AF1632" s="4">
        <v>0</v>
      </c>
      <c r="AG1632" s="2">
        <v>0.24</v>
      </c>
      <c r="AH1632" s="2">
        <v>829514</v>
      </c>
      <c r="AI1632" s="2">
        <v>0</v>
      </c>
      <c r="AJ1632" s="5">
        <v>44673</v>
      </c>
      <c r="AK1632" t="s">
        <v>12181</v>
      </c>
      <c r="AL1632" s="2">
        <v>0</v>
      </c>
      <c r="AM1632" s="2">
        <v>0</v>
      </c>
      <c r="AN1632" s="2">
        <v>0</v>
      </c>
      <c r="AO1632" t="s">
        <v>44</v>
      </c>
      <c r="AP1632" t="s">
        <v>11344</v>
      </c>
      <c r="AQ1632" t="s">
        <v>6759</v>
      </c>
    </row>
    <row r="1633" spans="1:43" x14ac:dyDescent="0.2">
      <c r="A1633" t="s">
        <v>12180</v>
      </c>
      <c r="B1633" t="s">
        <v>11037</v>
      </c>
      <c r="C1633" t="s">
        <v>11195</v>
      </c>
      <c r="D1633" t="s">
        <v>11345</v>
      </c>
      <c r="E1633" t="s">
        <v>5409</v>
      </c>
      <c r="F1633" t="s">
        <v>11345</v>
      </c>
      <c r="G1633" s="1">
        <v>48850</v>
      </c>
      <c r="H1633" s="2">
        <v>1428645.88</v>
      </c>
      <c r="I1633" s="2">
        <v>1348260</v>
      </c>
      <c r="J1633" s="2">
        <v>0</v>
      </c>
      <c r="K1633" s="2">
        <v>38229.96</v>
      </c>
      <c r="L1633" s="2">
        <v>1386489.96</v>
      </c>
      <c r="M1633" s="3">
        <v>2760</v>
      </c>
      <c r="N1633" s="4">
        <v>3.1544099999999999E-3</v>
      </c>
      <c r="O1633" s="5" t="s">
        <v>44</v>
      </c>
      <c r="P1633" s="5" t="s">
        <v>44</v>
      </c>
      <c r="Q1633" s="1"/>
      <c r="R1633" s="2"/>
      <c r="S1633" s="6"/>
      <c r="T1633" t="s">
        <v>10902</v>
      </c>
      <c r="U1633" t="s">
        <v>10902</v>
      </c>
      <c r="V1633" t="s">
        <v>10902</v>
      </c>
      <c r="W1633" t="s">
        <v>43</v>
      </c>
      <c r="X1633" t="s">
        <v>11327</v>
      </c>
      <c r="Y1633" t="s">
        <v>11198</v>
      </c>
      <c r="Z1633" t="s">
        <v>11195</v>
      </c>
      <c r="AA1633" t="s">
        <v>44</v>
      </c>
      <c r="AB1633" t="s">
        <v>44</v>
      </c>
      <c r="AC1633" s="4"/>
      <c r="AD1633" s="4"/>
      <c r="AE1633" s="2">
        <v>0</v>
      </c>
      <c r="AF1633" s="4">
        <v>0</v>
      </c>
      <c r="AG1633" s="2">
        <v>0.41</v>
      </c>
      <c r="AH1633" s="2">
        <v>1386489.96</v>
      </c>
      <c r="AI1633" s="2">
        <v>0</v>
      </c>
      <c r="AJ1633" s="5">
        <v>44673</v>
      </c>
      <c r="AK1633" t="s">
        <v>12181</v>
      </c>
      <c r="AL1633" s="2">
        <v>0</v>
      </c>
      <c r="AM1633" s="2">
        <v>0</v>
      </c>
      <c r="AN1633" s="2">
        <v>0</v>
      </c>
      <c r="AO1633" t="s">
        <v>44</v>
      </c>
      <c r="AP1633" t="s">
        <v>11346</v>
      </c>
      <c r="AQ1633" t="s">
        <v>5409</v>
      </c>
    </row>
    <row r="1634" spans="1:43" x14ac:dyDescent="0.2">
      <c r="A1634" t="s">
        <v>12180</v>
      </c>
      <c r="B1634" t="s">
        <v>11037</v>
      </c>
      <c r="C1634" t="s">
        <v>11195</v>
      </c>
      <c r="D1634" t="s">
        <v>6263</v>
      </c>
      <c r="E1634" t="s">
        <v>6850</v>
      </c>
      <c r="F1634" t="s">
        <v>6263</v>
      </c>
      <c r="G1634" s="1">
        <v>42500</v>
      </c>
      <c r="H1634" s="2">
        <v>839199.99</v>
      </c>
      <c r="I1634" s="2">
        <v>1125825</v>
      </c>
      <c r="J1634" s="2">
        <v>0</v>
      </c>
      <c r="K1634" s="2">
        <v>70337.5</v>
      </c>
      <c r="L1634" s="2">
        <v>1196162.5</v>
      </c>
      <c r="M1634" s="3">
        <v>2649</v>
      </c>
      <c r="N1634" s="4">
        <v>2.7214000000000001E-3</v>
      </c>
      <c r="O1634" s="5" t="s">
        <v>44</v>
      </c>
      <c r="P1634" s="5" t="s">
        <v>44</v>
      </c>
      <c r="Q1634" s="1"/>
      <c r="R1634" s="2"/>
      <c r="S1634" s="6"/>
      <c r="T1634" t="s">
        <v>10902</v>
      </c>
      <c r="U1634" t="s">
        <v>10902</v>
      </c>
      <c r="V1634" t="s">
        <v>10902</v>
      </c>
      <c r="W1634" t="s">
        <v>43</v>
      </c>
      <c r="X1634" t="s">
        <v>11347</v>
      </c>
      <c r="Y1634" t="s">
        <v>11348</v>
      </c>
      <c r="Z1634" t="s">
        <v>11195</v>
      </c>
      <c r="AA1634" t="s">
        <v>44</v>
      </c>
      <c r="AB1634" t="s">
        <v>44</v>
      </c>
      <c r="AC1634" s="4"/>
      <c r="AD1634" s="4"/>
      <c r="AE1634" s="2">
        <v>0</v>
      </c>
      <c r="AF1634" s="4">
        <v>0</v>
      </c>
      <c r="AG1634" s="2">
        <v>0.35</v>
      </c>
      <c r="AH1634" s="2">
        <v>1196162.5</v>
      </c>
      <c r="AI1634" s="2">
        <v>0</v>
      </c>
      <c r="AJ1634" s="5">
        <v>44673</v>
      </c>
      <c r="AK1634" t="s">
        <v>12181</v>
      </c>
      <c r="AL1634" s="2">
        <v>0</v>
      </c>
      <c r="AM1634" s="2">
        <v>0</v>
      </c>
      <c r="AN1634" s="2">
        <v>0</v>
      </c>
      <c r="AO1634" t="s">
        <v>44</v>
      </c>
      <c r="AP1634" t="s">
        <v>11349</v>
      </c>
      <c r="AQ1634" t="s">
        <v>6850</v>
      </c>
    </row>
    <row r="1635" spans="1:43" x14ac:dyDescent="0.2">
      <c r="A1635" t="s">
        <v>12180</v>
      </c>
      <c r="B1635" t="s">
        <v>11037</v>
      </c>
      <c r="C1635" t="s">
        <v>11195</v>
      </c>
      <c r="D1635" t="s">
        <v>11208</v>
      </c>
      <c r="E1635" t="s">
        <v>3160</v>
      </c>
      <c r="F1635" t="s">
        <v>11208</v>
      </c>
      <c r="G1635" s="1">
        <v>379350</v>
      </c>
      <c r="H1635" s="2">
        <v>1496989.98</v>
      </c>
      <c r="I1635" s="2">
        <v>1680520.5</v>
      </c>
      <c r="J1635" s="2">
        <v>0</v>
      </c>
      <c r="K1635" s="2">
        <v>0</v>
      </c>
      <c r="L1635" s="2">
        <v>1680520.5</v>
      </c>
      <c r="M1635" s="3">
        <v>443</v>
      </c>
      <c r="N1635" s="4">
        <v>3.82337E-3</v>
      </c>
      <c r="O1635" s="5" t="s">
        <v>44</v>
      </c>
      <c r="P1635" s="5" t="s">
        <v>44</v>
      </c>
      <c r="Q1635" s="1"/>
      <c r="R1635" s="2"/>
      <c r="S1635" s="6"/>
      <c r="T1635" t="s">
        <v>10902</v>
      </c>
      <c r="U1635" t="s">
        <v>10902</v>
      </c>
      <c r="V1635" t="s">
        <v>10902</v>
      </c>
      <c r="W1635" t="s">
        <v>43</v>
      </c>
      <c r="X1635" t="s">
        <v>11197</v>
      </c>
      <c r="Y1635" t="s">
        <v>11198</v>
      </c>
      <c r="Z1635" t="s">
        <v>11195</v>
      </c>
      <c r="AA1635" t="s">
        <v>44</v>
      </c>
      <c r="AB1635" t="s">
        <v>44</v>
      </c>
      <c r="AC1635" s="4"/>
      <c r="AD1635" s="4"/>
      <c r="AE1635" s="2">
        <v>0</v>
      </c>
      <c r="AF1635" s="4">
        <v>0</v>
      </c>
      <c r="AG1635" s="2">
        <v>0.49</v>
      </c>
      <c r="AH1635" s="2">
        <v>1680520.5</v>
      </c>
      <c r="AI1635" s="2">
        <v>0</v>
      </c>
      <c r="AJ1635" s="5">
        <v>44673</v>
      </c>
      <c r="AK1635" t="s">
        <v>12181</v>
      </c>
      <c r="AL1635" s="2">
        <v>0</v>
      </c>
      <c r="AM1635" s="2">
        <v>0</v>
      </c>
      <c r="AN1635" s="2">
        <v>0</v>
      </c>
      <c r="AO1635" t="s">
        <v>44</v>
      </c>
      <c r="AP1635" t="s">
        <v>11209</v>
      </c>
      <c r="AQ1635" t="s">
        <v>3160</v>
      </c>
    </row>
    <row r="1636" spans="1:43" x14ac:dyDescent="0.2">
      <c r="A1636" t="s">
        <v>12180</v>
      </c>
      <c r="B1636" t="s">
        <v>11037</v>
      </c>
      <c r="C1636" t="s">
        <v>11195</v>
      </c>
      <c r="D1636" t="s">
        <v>11210</v>
      </c>
      <c r="E1636" t="s">
        <v>3167</v>
      </c>
      <c r="F1636" t="s">
        <v>11211</v>
      </c>
      <c r="G1636" s="1">
        <v>17646</v>
      </c>
      <c r="H1636" s="2">
        <v>1042276.55</v>
      </c>
      <c r="I1636" s="2">
        <v>1032291</v>
      </c>
      <c r="J1636" s="2">
        <v>0</v>
      </c>
      <c r="K1636" s="2">
        <v>0</v>
      </c>
      <c r="L1636" s="2">
        <v>1032291</v>
      </c>
      <c r="M1636" s="3">
        <v>5850</v>
      </c>
      <c r="N1636" s="4">
        <v>2.3485699999999999E-3</v>
      </c>
      <c r="O1636" s="5" t="s">
        <v>44</v>
      </c>
      <c r="P1636" s="5" t="s">
        <v>44</v>
      </c>
      <c r="Q1636" s="1"/>
      <c r="R1636" s="2"/>
      <c r="S1636" s="6"/>
      <c r="T1636" t="s">
        <v>10902</v>
      </c>
      <c r="U1636" t="s">
        <v>10902</v>
      </c>
      <c r="V1636" t="s">
        <v>11212</v>
      </c>
      <c r="W1636" t="s">
        <v>43</v>
      </c>
      <c r="X1636" t="s">
        <v>11197</v>
      </c>
      <c r="Y1636" t="s">
        <v>11198</v>
      </c>
      <c r="Z1636" t="s">
        <v>11195</v>
      </c>
      <c r="AA1636" t="s">
        <v>44</v>
      </c>
      <c r="AB1636" t="s">
        <v>44</v>
      </c>
      <c r="AC1636" s="4"/>
      <c r="AD1636" s="4"/>
      <c r="AE1636" s="2">
        <v>0</v>
      </c>
      <c r="AF1636" s="4">
        <v>0</v>
      </c>
      <c r="AG1636" s="2">
        <v>0.3</v>
      </c>
      <c r="AH1636" s="2">
        <v>1032291</v>
      </c>
      <c r="AI1636" s="2">
        <v>0</v>
      </c>
      <c r="AJ1636" s="5">
        <v>44673</v>
      </c>
      <c r="AK1636" t="s">
        <v>12181</v>
      </c>
      <c r="AL1636" s="2">
        <v>0</v>
      </c>
      <c r="AM1636" s="2">
        <v>0</v>
      </c>
      <c r="AN1636" s="2">
        <v>0</v>
      </c>
      <c r="AO1636" t="s">
        <v>44</v>
      </c>
      <c r="AP1636" t="s">
        <v>11213</v>
      </c>
      <c r="AQ1636" t="s">
        <v>3167</v>
      </c>
    </row>
    <row r="1637" spans="1:43" x14ac:dyDescent="0.2">
      <c r="A1637" t="s">
        <v>12180</v>
      </c>
      <c r="B1637" t="s">
        <v>11037</v>
      </c>
      <c r="C1637" t="s">
        <v>11195</v>
      </c>
      <c r="D1637" t="s">
        <v>6379</v>
      </c>
      <c r="E1637" t="s">
        <v>5199</v>
      </c>
      <c r="F1637" t="s">
        <v>6379</v>
      </c>
      <c r="G1637" s="1">
        <v>2289</v>
      </c>
      <c r="H1637" s="2">
        <v>622899.12</v>
      </c>
      <c r="I1637" s="2">
        <v>668388</v>
      </c>
      <c r="J1637" s="2">
        <v>0</v>
      </c>
      <c r="K1637" s="2">
        <v>0</v>
      </c>
      <c r="L1637" s="2">
        <v>668388</v>
      </c>
      <c r="M1637" s="3">
        <v>29200</v>
      </c>
      <c r="N1637" s="4">
        <v>1.5206499999999999E-3</v>
      </c>
      <c r="O1637" s="5" t="s">
        <v>44</v>
      </c>
      <c r="P1637" s="5" t="s">
        <v>44</v>
      </c>
      <c r="Q1637" s="1"/>
      <c r="R1637" s="2"/>
      <c r="S1637" s="6"/>
      <c r="T1637" t="s">
        <v>10902</v>
      </c>
      <c r="U1637" t="s">
        <v>10902</v>
      </c>
      <c r="V1637" t="s">
        <v>10902</v>
      </c>
      <c r="W1637" t="s">
        <v>43</v>
      </c>
      <c r="X1637" t="s">
        <v>11350</v>
      </c>
      <c r="Y1637" t="s">
        <v>11335</v>
      </c>
      <c r="Z1637" t="s">
        <v>11195</v>
      </c>
      <c r="AA1637" t="s">
        <v>44</v>
      </c>
      <c r="AB1637" t="s">
        <v>44</v>
      </c>
      <c r="AC1637" s="4"/>
      <c r="AD1637" s="4"/>
      <c r="AE1637" s="2">
        <v>0</v>
      </c>
      <c r="AF1637" s="4">
        <v>0</v>
      </c>
      <c r="AG1637" s="2">
        <v>0.2</v>
      </c>
      <c r="AH1637" s="2">
        <v>668388</v>
      </c>
      <c r="AI1637" s="2">
        <v>0</v>
      </c>
      <c r="AJ1637" s="5">
        <v>44673</v>
      </c>
      <c r="AK1637" t="s">
        <v>12181</v>
      </c>
      <c r="AL1637" s="2">
        <v>0</v>
      </c>
      <c r="AM1637" s="2">
        <v>0</v>
      </c>
      <c r="AN1637" s="2">
        <v>0</v>
      </c>
      <c r="AO1637" t="s">
        <v>44</v>
      </c>
      <c r="AP1637" t="s">
        <v>11351</v>
      </c>
      <c r="AQ1637" t="s">
        <v>5199</v>
      </c>
    </row>
    <row r="1638" spans="1:43" x14ac:dyDescent="0.2">
      <c r="A1638" t="s">
        <v>12180</v>
      </c>
      <c r="B1638" t="s">
        <v>11037</v>
      </c>
      <c r="C1638" t="s">
        <v>11195</v>
      </c>
      <c r="D1638" t="s">
        <v>6710</v>
      </c>
      <c r="E1638" t="s">
        <v>1780</v>
      </c>
      <c r="F1638" t="s">
        <v>6710</v>
      </c>
      <c r="G1638" s="1">
        <v>9630</v>
      </c>
      <c r="H1638" s="2">
        <v>222211.81</v>
      </c>
      <c r="I1638" s="2">
        <v>229194</v>
      </c>
      <c r="J1638" s="2">
        <v>0</v>
      </c>
      <c r="K1638" s="2">
        <v>0</v>
      </c>
      <c r="L1638" s="2">
        <v>229194</v>
      </c>
      <c r="M1638" s="3">
        <v>2380</v>
      </c>
      <c r="N1638" s="4">
        <v>5.2143999999999997E-4</v>
      </c>
      <c r="O1638" s="5" t="s">
        <v>44</v>
      </c>
      <c r="P1638" s="5" t="s">
        <v>44</v>
      </c>
      <c r="Q1638" s="1"/>
      <c r="R1638" s="2"/>
      <c r="S1638" s="6"/>
      <c r="T1638" t="s">
        <v>10902</v>
      </c>
      <c r="U1638" t="s">
        <v>10902</v>
      </c>
      <c r="V1638" t="s">
        <v>10902</v>
      </c>
      <c r="W1638" t="s">
        <v>43</v>
      </c>
      <c r="X1638" t="s">
        <v>11197</v>
      </c>
      <c r="Y1638" t="s">
        <v>11198</v>
      </c>
      <c r="Z1638" t="s">
        <v>11195</v>
      </c>
      <c r="AA1638" t="s">
        <v>44</v>
      </c>
      <c r="AB1638" t="s">
        <v>44</v>
      </c>
      <c r="AC1638" s="4"/>
      <c r="AD1638" s="4"/>
      <c r="AE1638" s="2">
        <v>0</v>
      </c>
      <c r="AF1638" s="4">
        <v>0</v>
      </c>
      <c r="AG1638" s="2">
        <v>7.0000000000000007E-2</v>
      </c>
      <c r="AH1638" s="2">
        <v>229194</v>
      </c>
      <c r="AI1638" s="2">
        <v>0</v>
      </c>
      <c r="AJ1638" s="5">
        <v>44673</v>
      </c>
      <c r="AK1638" t="s">
        <v>12181</v>
      </c>
      <c r="AL1638" s="2">
        <v>0</v>
      </c>
      <c r="AM1638" s="2">
        <v>0</v>
      </c>
      <c r="AN1638" s="2">
        <v>0</v>
      </c>
      <c r="AO1638" t="s">
        <v>44</v>
      </c>
      <c r="AP1638" t="s">
        <v>11214</v>
      </c>
      <c r="AQ1638" t="s">
        <v>1780</v>
      </c>
    </row>
    <row r="1639" spans="1:43" x14ac:dyDescent="0.2">
      <c r="A1639" t="s">
        <v>12180</v>
      </c>
      <c r="B1639" t="s">
        <v>11037</v>
      </c>
      <c r="C1639" t="s">
        <v>11195</v>
      </c>
      <c r="D1639" t="s">
        <v>5876</v>
      </c>
      <c r="E1639" t="s">
        <v>4893</v>
      </c>
      <c r="F1639" t="s">
        <v>5876</v>
      </c>
      <c r="G1639" s="1">
        <v>2148</v>
      </c>
      <c r="H1639" s="2">
        <v>290977.57</v>
      </c>
      <c r="I1639" s="2">
        <v>367179.12</v>
      </c>
      <c r="J1639" s="2">
        <v>0</v>
      </c>
      <c r="K1639" s="2">
        <v>0</v>
      </c>
      <c r="L1639" s="2">
        <v>367179.12</v>
      </c>
      <c r="M1639" s="3">
        <v>17094</v>
      </c>
      <c r="N1639" s="4">
        <v>8.3536999999999999E-4</v>
      </c>
      <c r="O1639" s="5" t="s">
        <v>44</v>
      </c>
      <c r="P1639" s="5" t="s">
        <v>44</v>
      </c>
      <c r="Q1639" s="1"/>
      <c r="R1639" s="2"/>
      <c r="S1639" s="6"/>
      <c r="T1639" t="s">
        <v>10902</v>
      </c>
      <c r="U1639" t="s">
        <v>10902</v>
      </c>
      <c r="V1639" t="s">
        <v>10902</v>
      </c>
      <c r="W1639" t="s">
        <v>43</v>
      </c>
      <c r="X1639" t="s">
        <v>11034</v>
      </c>
      <c r="Y1639" t="s">
        <v>11034</v>
      </c>
      <c r="Z1639" t="s">
        <v>11195</v>
      </c>
      <c r="AA1639" t="s">
        <v>44</v>
      </c>
      <c r="AB1639" t="s">
        <v>44</v>
      </c>
      <c r="AC1639" s="4"/>
      <c r="AD1639" s="4"/>
      <c r="AE1639" s="2">
        <v>0</v>
      </c>
      <c r="AF1639" s="4">
        <v>0</v>
      </c>
      <c r="AG1639" s="2">
        <v>0.11</v>
      </c>
      <c r="AH1639" s="2">
        <v>367179.12</v>
      </c>
      <c r="AI1639" s="2">
        <v>0</v>
      </c>
      <c r="AJ1639" s="5">
        <v>44673</v>
      </c>
      <c r="AK1639" t="s">
        <v>12181</v>
      </c>
      <c r="AL1639" s="2">
        <v>0</v>
      </c>
      <c r="AM1639" s="2">
        <v>0</v>
      </c>
      <c r="AN1639" s="2">
        <v>0</v>
      </c>
      <c r="AO1639" t="s">
        <v>44</v>
      </c>
      <c r="AP1639" t="s">
        <v>11352</v>
      </c>
      <c r="AQ1639" t="s">
        <v>4893</v>
      </c>
    </row>
    <row r="1640" spans="1:43" x14ac:dyDescent="0.2">
      <c r="A1640" t="s">
        <v>12180</v>
      </c>
      <c r="B1640" t="s">
        <v>11037</v>
      </c>
      <c r="C1640" t="s">
        <v>11195</v>
      </c>
      <c r="D1640" t="s">
        <v>11353</v>
      </c>
      <c r="E1640" t="s">
        <v>5706</v>
      </c>
      <c r="F1640" t="s">
        <v>11353</v>
      </c>
      <c r="G1640" s="1">
        <v>29750</v>
      </c>
      <c r="H1640" s="2">
        <v>1035836.37</v>
      </c>
      <c r="I1640" s="2">
        <v>1487500</v>
      </c>
      <c r="J1640" s="2">
        <v>0</v>
      </c>
      <c r="K1640" s="2">
        <v>0</v>
      </c>
      <c r="L1640" s="2">
        <v>1487500</v>
      </c>
      <c r="M1640" s="3">
        <v>5000</v>
      </c>
      <c r="N1640" s="4">
        <v>3.3842199999999998E-3</v>
      </c>
      <c r="O1640" s="5" t="s">
        <v>44</v>
      </c>
      <c r="P1640" s="5" t="s">
        <v>44</v>
      </c>
      <c r="Q1640" s="1"/>
      <c r="R1640" s="2"/>
      <c r="S1640" s="6"/>
      <c r="T1640" t="s">
        <v>10902</v>
      </c>
      <c r="U1640" t="s">
        <v>10902</v>
      </c>
      <c r="V1640" t="s">
        <v>10902</v>
      </c>
      <c r="W1640" t="s">
        <v>43</v>
      </c>
      <c r="X1640" t="s">
        <v>11327</v>
      </c>
      <c r="Y1640" t="s">
        <v>11198</v>
      </c>
      <c r="Z1640" t="s">
        <v>11195</v>
      </c>
      <c r="AA1640" t="s">
        <v>44</v>
      </c>
      <c r="AB1640" t="s">
        <v>44</v>
      </c>
      <c r="AC1640" s="4"/>
      <c r="AD1640" s="4"/>
      <c r="AE1640" s="2">
        <v>0</v>
      </c>
      <c r="AF1640" s="4">
        <v>0</v>
      </c>
      <c r="AG1640" s="2">
        <v>0.44</v>
      </c>
      <c r="AH1640" s="2">
        <v>1487500</v>
      </c>
      <c r="AI1640" s="2">
        <v>0</v>
      </c>
      <c r="AJ1640" s="5">
        <v>44673</v>
      </c>
      <c r="AK1640" t="s">
        <v>12181</v>
      </c>
      <c r="AL1640" s="2">
        <v>0</v>
      </c>
      <c r="AM1640" s="2">
        <v>0</v>
      </c>
      <c r="AN1640" s="2">
        <v>0</v>
      </c>
      <c r="AO1640" t="s">
        <v>44</v>
      </c>
      <c r="AP1640" t="s">
        <v>11354</v>
      </c>
      <c r="AQ1640" t="s">
        <v>5706</v>
      </c>
    </row>
    <row r="1641" spans="1:43" x14ac:dyDescent="0.2">
      <c r="A1641" t="s">
        <v>12180</v>
      </c>
      <c r="B1641" t="s">
        <v>11037</v>
      </c>
      <c r="C1641" t="s">
        <v>11195</v>
      </c>
      <c r="D1641" t="s">
        <v>6348</v>
      </c>
      <c r="E1641" t="s">
        <v>5241</v>
      </c>
      <c r="F1641" t="s">
        <v>6348</v>
      </c>
      <c r="G1641" s="1">
        <v>43010</v>
      </c>
      <c r="H1641" s="2">
        <v>483788.99</v>
      </c>
      <c r="I1641" s="2">
        <v>576334</v>
      </c>
      <c r="J1641" s="2">
        <v>0</v>
      </c>
      <c r="K1641" s="2">
        <v>0</v>
      </c>
      <c r="L1641" s="2">
        <v>576334</v>
      </c>
      <c r="M1641" s="3">
        <v>1340</v>
      </c>
      <c r="N1641" s="4">
        <v>1.3112200000000001E-3</v>
      </c>
      <c r="O1641" s="5" t="s">
        <v>44</v>
      </c>
      <c r="P1641" s="5" t="s">
        <v>44</v>
      </c>
      <c r="Q1641" s="1"/>
      <c r="R1641" s="2"/>
      <c r="S1641" s="6"/>
      <c r="T1641" t="s">
        <v>10902</v>
      </c>
      <c r="U1641" t="s">
        <v>10902</v>
      </c>
      <c r="V1641" t="s">
        <v>10902</v>
      </c>
      <c r="W1641" t="s">
        <v>43</v>
      </c>
      <c r="X1641" t="s">
        <v>11197</v>
      </c>
      <c r="Y1641" t="s">
        <v>11198</v>
      </c>
      <c r="Z1641" t="s">
        <v>11195</v>
      </c>
      <c r="AA1641" t="s">
        <v>44</v>
      </c>
      <c r="AB1641" t="s">
        <v>44</v>
      </c>
      <c r="AC1641" s="4"/>
      <c r="AD1641" s="4"/>
      <c r="AE1641" s="2">
        <v>0</v>
      </c>
      <c r="AF1641" s="4">
        <v>0</v>
      </c>
      <c r="AG1641" s="2">
        <v>0.17</v>
      </c>
      <c r="AH1641" s="2">
        <v>576334</v>
      </c>
      <c r="AI1641" s="2">
        <v>0</v>
      </c>
      <c r="AJ1641" s="5">
        <v>44673</v>
      </c>
      <c r="AK1641" t="s">
        <v>12181</v>
      </c>
      <c r="AL1641" s="2">
        <v>0</v>
      </c>
      <c r="AM1641" s="2">
        <v>0</v>
      </c>
      <c r="AN1641" s="2">
        <v>0</v>
      </c>
      <c r="AO1641" t="s">
        <v>44</v>
      </c>
      <c r="AP1641" t="s">
        <v>11215</v>
      </c>
      <c r="AQ1641" t="s">
        <v>5241</v>
      </c>
    </row>
    <row r="1642" spans="1:43" x14ac:dyDescent="0.2">
      <c r="A1642" t="s">
        <v>12180</v>
      </c>
      <c r="B1642" t="s">
        <v>11037</v>
      </c>
      <c r="C1642" t="s">
        <v>11355</v>
      </c>
      <c r="D1642" t="s">
        <v>11356</v>
      </c>
      <c r="E1642" t="s">
        <v>4971</v>
      </c>
      <c r="F1642" t="s">
        <v>6192</v>
      </c>
      <c r="G1642" s="1">
        <v>52700</v>
      </c>
      <c r="H1642" s="2">
        <v>1260227.99</v>
      </c>
      <c r="I1642" s="2">
        <v>1187331</v>
      </c>
      <c r="J1642" s="2">
        <v>0</v>
      </c>
      <c r="K1642" s="2">
        <v>0</v>
      </c>
      <c r="L1642" s="2">
        <v>1187331</v>
      </c>
      <c r="M1642" s="3">
        <v>2253</v>
      </c>
      <c r="N1642" s="4">
        <v>2.7013100000000002E-3</v>
      </c>
      <c r="O1642" s="5" t="s">
        <v>44</v>
      </c>
      <c r="P1642" s="5" t="s">
        <v>44</v>
      </c>
      <c r="Q1642" s="1"/>
      <c r="R1642" s="2"/>
      <c r="S1642" s="6"/>
      <c r="T1642" t="s">
        <v>10902</v>
      </c>
      <c r="U1642" t="s">
        <v>10902</v>
      </c>
      <c r="V1642" t="s">
        <v>10902</v>
      </c>
      <c r="W1642" t="s">
        <v>43</v>
      </c>
      <c r="X1642" t="s">
        <v>11357</v>
      </c>
      <c r="Y1642" t="s">
        <v>11358</v>
      </c>
      <c r="Z1642" t="s">
        <v>11355</v>
      </c>
      <c r="AA1642" t="s">
        <v>44</v>
      </c>
      <c r="AB1642" t="s">
        <v>44</v>
      </c>
      <c r="AC1642" s="4"/>
      <c r="AD1642" s="4"/>
      <c r="AE1642" s="2">
        <v>0</v>
      </c>
      <c r="AF1642" s="4">
        <v>0</v>
      </c>
      <c r="AG1642" s="2">
        <v>0.35</v>
      </c>
      <c r="AH1642" s="2">
        <v>1187331</v>
      </c>
      <c r="AI1642" s="2">
        <v>0</v>
      </c>
      <c r="AJ1642" s="5">
        <v>44673</v>
      </c>
      <c r="AK1642" t="s">
        <v>12181</v>
      </c>
      <c r="AL1642" s="2">
        <v>0</v>
      </c>
      <c r="AM1642" s="2">
        <v>0</v>
      </c>
      <c r="AN1642" s="2">
        <v>0</v>
      </c>
      <c r="AO1642" t="s">
        <v>44</v>
      </c>
      <c r="AP1642" t="s">
        <v>11359</v>
      </c>
      <c r="AQ1642" t="s">
        <v>4971</v>
      </c>
    </row>
    <row r="1643" spans="1:43" x14ac:dyDescent="0.2">
      <c r="A1643" t="s">
        <v>12180</v>
      </c>
      <c r="B1643" t="s">
        <v>11037</v>
      </c>
      <c r="C1643" t="s">
        <v>11355</v>
      </c>
      <c r="D1643" t="s">
        <v>11360</v>
      </c>
      <c r="E1643" t="s">
        <v>4991</v>
      </c>
      <c r="F1643" t="s">
        <v>11360</v>
      </c>
      <c r="G1643" s="1">
        <v>17510</v>
      </c>
      <c r="H1643" s="2">
        <v>1205443</v>
      </c>
      <c r="I1643" s="2">
        <v>1324281.3</v>
      </c>
      <c r="J1643" s="2">
        <v>0</v>
      </c>
      <c r="K1643" s="2">
        <v>0</v>
      </c>
      <c r="L1643" s="2">
        <v>1324281.3</v>
      </c>
      <c r="M1643" s="3">
        <v>7563</v>
      </c>
      <c r="N1643" s="4">
        <v>3.0128799999999999E-3</v>
      </c>
      <c r="O1643" s="5" t="s">
        <v>44</v>
      </c>
      <c r="P1643" s="5" t="s">
        <v>44</v>
      </c>
      <c r="Q1643" s="1"/>
      <c r="R1643" s="2"/>
      <c r="S1643" s="6"/>
      <c r="T1643" t="s">
        <v>10902</v>
      </c>
      <c r="U1643" t="s">
        <v>10902</v>
      </c>
      <c r="V1643" t="s">
        <v>10902</v>
      </c>
      <c r="W1643" t="s">
        <v>43</v>
      </c>
      <c r="X1643" t="s">
        <v>11357</v>
      </c>
      <c r="Y1643" t="s">
        <v>11358</v>
      </c>
      <c r="Z1643" t="s">
        <v>11355</v>
      </c>
      <c r="AA1643" t="s">
        <v>44</v>
      </c>
      <c r="AB1643" t="s">
        <v>44</v>
      </c>
      <c r="AC1643" s="4"/>
      <c r="AD1643" s="4"/>
      <c r="AE1643" s="2">
        <v>0</v>
      </c>
      <c r="AF1643" s="4">
        <v>0</v>
      </c>
      <c r="AG1643" s="2">
        <v>0.39</v>
      </c>
      <c r="AH1643" s="2">
        <v>1324281.3</v>
      </c>
      <c r="AI1643" s="2">
        <v>0</v>
      </c>
      <c r="AJ1643" s="5">
        <v>44673</v>
      </c>
      <c r="AK1643" t="s">
        <v>12181</v>
      </c>
      <c r="AL1643" s="2">
        <v>0</v>
      </c>
      <c r="AM1643" s="2">
        <v>0</v>
      </c>
      <c r="AN1643" s="2">
        <v>0</v>
      </c>
      <c r="AO1643" t="s">
        <v>44</v>
      </c>
      <c r="AP1643" t="s">
        <v>11361</v>
      </c>
      <c r="AQ1643" t="s">
        <v>4991</v>
      </c>
    </row>
    <row r="1644" spans="1:43" x14ac:dyDescent="0.2">
      <c r="A1644" t="s">
        <v>12180</v>
      </c>
      <c r="B1644" t="s">
        <v>11037</v>
      </c>
      <c r="C1644" t="s">
        <v>11355</v>
      </c>
      <c r="D1644" t="s">
        <v>11362</v>
      </c>
      <c r="E1644" t="s">
        <v>4862</v>
      </c>
      <c r="F1644" t="s">
        <v>11362</v>
      </c>
      <c r="G1644" s="1">
        <v>46210</v>
      </c>
      <c r="H1644" s="2">
        <v>823215.4</v>
      </c>
      <c r="I1644" s="2">
        <v>739360</v>
      </c>
      <c r="J1644" s="2">
        <v>0</v>
      </c>
      <c r="K1644" s="2">
        <v>0</v>
      </c>
      <c r="L1644" s="2">
        <v>739360</v>
      </c>
      <c r="M1644" s="3">
        <v>1600</v>
      </c>
      <c r="N1644" s="4">
        <v>1.6821200000000001E-3</v>
      </c>
      <c r="O1644" s="5" t="s">
        <v>44</v>
      </c>
      <c r="P1644" s="5" t="s">
        <v>44</v>
      </c>
      <c r="Q1644" s="1"/>
      <c r="R1644" s="2"/>
      <c r="S1644" s="6"/>
      <c r="T1644" t="s">
        <v>10902</v>
      </c>
      <c r="U1644" t="s">
        <v>10902</v>
      </c>
      <c r="V1644" t="s">
        <v>10902</v>
      </c>
      <c r="W1644" t="s">
        <v>43</v>
      </c>
      <c r="X1644" t="s">
        <v>11357</v>
      </c>
      <c r="Y1644" t="s">
        <v>11358</v>
      </c>
      <c r="Z1644" t="s">
        <v>11355</v>
      </c>
      <c r="AA1644" t="s">
        <v>44</v>
      </c>
      <c r="AB1644" t="s">
        <v>44</v>
      </c>
      <c r="AC1644" s="4"/>
      <c r="AD1644" s="4"/>
      <c r="AE1644" s="2">
        <v>0</v>
      </c>
      <c r="AF1644" s="4">
        <v>0</v>
      </c>
      <c r="AG1644" s="2">
        <v>0.22</v>
      </c>
      <c r="AH1644" s="2">
        <v>739360</v>
      </c>
      <c r="AI1644" s="2">
        <v>0</v>
      </c>
      <c r="AJ1644" s="5">
        <v>44673</v>
      </c>
      <c r="AK1644" t="s">
        <v>12181</v>
      </c>
      <c r="AL1644" s="2">
        <v>0</v>
      </c>
      <c r="AM1644" s="2">
        <v>0</v>
      </c>
      <c r="AN1644" s="2">
        <v>0</v>
      </c>
      <c r="AO1644" t="s">
        <v>44</v>
      </c>
      <c r="AP1644" t="s">
        <v>11363</v>
      </c>
      <c r="AQ1644" t="s">
        <v>4862</v>
      </c>
    </row>
    <row r="1645" spans="1:43" x14ac:dyDescent="0.2">
      <c r="A1645" t="s">
        <v>12180</v>
      </c>
      <c r="B1645" t="s">
        <v>11037</v>
      </c>
      <c r="C1645" t="s">
        <v>11364</v>
      </c>
      <c r="D1645" t="s">
        <v>11365</v>
      </c>
      <c r="E1645" t="s">
        <v>5762</v>
      </c>
      <c r="F1645" t="s">
        <v>11365</v>
      </c>
      <c r="G1645" s="1">
        <v>4490</v>
      </c>
      <c r="H1645" s="2">
        <v>103855.59</v>
      </c>
      <c r="I1645" s="2">
        <v>35336.300000000003</v>
      </c>
      <c r="J1645" s="2">
        <v>0</v>
      </c>
      <c r="K1645" s="2">
        <v>0</v>
      </c>
      <c r="L1645" s="2">
        <v>35336.300000000003</v>
      </c>
      <c r="M1645" s="3">
        <v>787</v>
      </c>
      <c r="N1645" s="4">
        <v>8.0389999999999994E-5</v>
      </c>
      <c r="O1645" s="5" t="s">
        <v>44</v>
      </c>
      <c r="P1645" s="5" t="s">
        <v>44</v>
      </c>
      <c r="Q1645" s="1"/>
      <c r="R1645" s="2"/>
      <c r="S1645" s="6"/>
      <c r="T1645" t="s">
        <v>10902</v>
      </c>
      <c r="U1645" t="s">
        <v>10902</v>
      </c>
      <c r="V1645" t="s">
        <v>10902</v>
      </c>
      <c r="W1645" t="s">
        <v>43</v>
      </c>
      <c r="X1645" t="s">
        <v>11366</v>
      </c>
      <c r="Y1645" t="s">
        <v>11367</v>
      </c>
      <c r="Z1645" t="s">
        <v>11364</v>
      </c>
      <c r="AA1645" t="s">
        <v>44</v>
      </c>
      <c r="AB1645" t="s">
        <v>44</v>
      </c>
      <c r="AC1645" s="4"/>
      <c r="AD1645" s="4"/>
      <c r="AE1645" s="2">
        <v>0</v>
      </c>
      <c r="AF1645" s="4">
        <v>0</v>
      </c>
      <c r="AG1645" s="2">
        <v>0.01</v>
      </c>
      <c r="AH1645" s="2">
        <v>35336.300000000003</v>
      </c>
      <c r="AI1645" s="2">
        <v>0</v>
      </c>
      <c r="AJ1645" s="5">
        <v>44673</v>
      </c>
      <c r="AK1645" t="s">
        <v>12181</v>
      </c>
      <c r="AL1645" s="2">
        <v>0</v>
      </c>
      <c r="AM1645" s="2">
        <v>0</v>
      </c>
      <c r="AN1645" s="2">
        <v>0</v>
      </c>
      <c r="AO1645" t="s">
        <v>44</v>
      </c>
      <c r="AP1645" t="s">
        <v>11368</v>
      </c>
      <c r="AQ1645" t="s">
        <v>5762</v>
      </c>
    </row>
    <row r="1646" spans="1:43" x14ac:dyDescent="0.2">
      <c r="A1646" t="s">
        <v>12180</v>
      </c>
      <c r="B1646" t="s">
        <v>11037</v>
      </c>
      <c r="C1646" t="s">
        <v>11364</v>
      </c>
      <c r="D1646" t="s">
        <v>6240</v>
      </c>
      <c r="E1646" t="s">
        <v>5065</v>
      </c>
      <c r="F1646" t="s">
        <v>6240</v>
      </c>
      <c r="G1646" s="1">
        <v>9691</v>
      </c>
      <c r="H1646" s="2">
        <v>1018279.42</v>
      </c>
      <c r="I1646" s="2">
        <v>1120764.1499999999</v>
      </c>
      <c r="J1646" s="2">
        <v>0</v>
      </c>
      <c r="K1646" s="2">
        <v>0</v>
      </c>
      <c r="L1646" s="2">
        <v>1120764.1499999999</v>
      </c>
      <c r="M1646" s="3">
        <v>11565</v>
      </c>
      <c r="N1646" s="4">
        <v>2.5498600000000001E-3</v>
      </c>
      <c r="O1646" s="5" t="s">
        <v>44</v>
      </c>
      <c r="P1646" s="5" t="s">
        <v>44</v>
      </c>
      <c r="Q1646" s="1"/>
      <c r="R1646" s="2"/>
      <c r="S1646" s="6"/>
      <c r="T1646" t="s">
        <v>10902</v>
      </c>
      <c r="U1646" t="s">
        <v>10902</v>
      </c>
      <c r="V1646" t="s">
        <v>10902</v>
      </c>
      <c r="W1646" t="s">
        <v>43</v>
      </c>
      <c r="X1646" t="s">
        <v>11369</v>
      </c>
      <c r="Y1646" t="s">
        <v>11367</v>
      </c>
      <c r="Z1646" t="s">
        <v>11364</v>
      </c>
      <c r="AA1646" t="s">
        <v>44</v>
      </c>
      <c r="AB1646" t="s">
        <v>44</v>
      </c>
      <c r="AC1646" s="4"/>
      <c r="AD1646" s="4"/>
      <c r="AE1646" s="2">
        <v>0</v>
      </c>
      <c r="AF1646" s="4">
        <v>0</v>
      </c>
      <c r="AG1646" s="2">
        <v>0.33</v>
      </c>
      <c r="AH1646" s="2">
        <v>1120764.1499999999</v>
      </c>
      <c r="AI1646" s="2">
        <v>0</v>
      </c>
      <c r="AJ1646" s="5">
        <v>44673</v>
      </c>
      <c r="AK1646" t="s">
        <v>12181</v>
      </c>
      <c r="AL1646" s="2">
        <v>0</v>
      </c>
      <c r="AM1646" s="2">
        <v>0</v>
      </c>
      <c r="AN1646" s="2">
        <v>0</v>
      </c>
      <c r="AO1646" t="s">
        <v>44</v>
      </c>
      <c r="AP1646" t="s">
        <v>11370</v>
      </c>
      <c r="AQ1646" t="s">
        <v>5065</v>
      </c>
    </row>
    <row r="1647" spans="1:43" x14ac:dyDescent="0.2">
      <c r="A1647" t="s">
        <v>12180</v>
      </c>
      <c r="B1647" t="s">
        <v>11037</v>
      </c>
      <c r="C1647" t="s">
        <v>11364</v>
      </c>
      <c r="D1647" t="s">
        <v>11371</v>
      </c>
      <c r="E1647" t="s">
        <v>5127</v>
      </c>
      <c r="F1647" t="s">
        <v>11371</v>
      </c>
      <c r="G1647" s="1">
        <v>129020</v>
      </c>
      <c r="H1647" s="2">
        <v>505494.35</v>
      </c>
      <c r="I1647" s="2">
        <v>664453</v>
      </c>
      <c r="J1647" s="2">
        <v>0</v>
      </c>
      <c r="K1647" s="2">
        <v>0</v>
      </c>
      <c r="L1647" s="2">
        <v>664453</v>
      </c>
      <c r="M1647" s="3">
        <v>515</v>
      </c>
      <c r="N1647" s="4">
        <v>1.5116999999999999E-3</v>
      </c>
      <c r="O1647" s="5" t="s">
        <v>44</v>
      </c>
      <c r="P1647" s="5" t="s">
        <v>44</v>
      </c>
      <c r="Q1647" s="1"/>
      <c r="R1647" s="2"/>
      <c r="S1647" s="6"/>
      <c r="T1647" t="s">
        <v>10902</v>
      </c>
      <c r="U1647" t="s">
        <v>10902</v>
      </c>
      <c r="V1647" t="s">
        <v>10902</v>
      </c>
      <c r="W1647" t="s">
        <v>43</v>
      </c>
      <c r="X1647" t="s">
        <v>11369</v>
      </c>
      <c r="Y1647" t="s">
        <v>11367</v>
      </c>
      <c r="Z1647" t="s">
        <v>11364</v>
      </c>
      <c r="AA1647" t="s">
        <v>44</v>
      </c>
      <c r="AB1647" t="s">
        <v>44</v>
      </c>
      <c r="AC1647" s="4"/>
      <c r="AD1647" s="4"/>
      <c r="AE1647" s="2">
        <v>0</v>
      </c>
      <c r="AF1647" s="4">
        <v>0</v>
      </c>
      <c r="AG1647" s="2">
        <v>0.19</v>
      </c>
      <c r="AH1647" s="2">
        <v>664453</v>
      </c>
      <c r="AI1647" s="2">
        <v>0</v>
      </c>
      <c r="AJ1647" s="5">
        <v>44673</v>
      </c>
      <c r="AK1647" t="s">
        <v>12181</v>
      </c>
      <c r="AL1647" s="2">
        <v>0</v>
      </c>
      <c r="AM1647" s="2">
        <v>0</v>
      </c>
      <c r="AN1647" s="2">
        <v>0</v>
      </c>
      <c r="AO1647" t="s">
        <v>44</v>
      </c>
      <c r="AP1647" t="s">
        <v>11372</v>
      </c>
      <c r="AQ1647" t="s">
        <v>5127</v>
      </c>
    </row>
    <row r="1648" spans="1:43" x14ac:dyDescent="0.2">
      <c r="A1648" t="s">
        <v>12180</v>
      </c>
      <c r="B1648" t="s">
        <v>11037</v>
      </c>
      <c r="C1648" t="s">
        <v>11364</v>
      </c>
      <c r="D1648" t="s">
        <v>6915</v>
      </c>
      <c r="E1648" t="s">
        <v>5570</v>
      </c>
      <c r="F1648" t="s">
        <v>6915</v>
      </c>
      <c r="G1648" s="1">
        <v>8340</v>
      </c>
      <c r="H1648" s="2">
        <v>351836.85</v>
      </c>
      <c r="I1648" s="2">
        <v>334600.8</v>
      </c>
      <c r="J1648" s="2">
        <v>0</v>
      </c>
      <c r="K1648" s="2">
        <v>0</v>
      </c>
      <c r="L1648" s="2">
        <v>334600.8</v>
      </c>
      <c r="M1648" s="3">
        <v>4012</v>
      </c>
      <c r="N1648" s="4">
        <v>7.6124999999999999E-4</v>
      </c>
      <c r="O1648" s="5" t="s">
        <v>44</v>
      </c>
      <c r="P1648" s="5" t="s">
        <v>44</v>
      </c>
      <c r="Q1648" s="1"/>
      <c r="R1648" s="2"/>
      <c r="S1648" s="6"/>
      <c r="T1648" t="s">
        <v>10902</v>
      </c>
      <c r="U1648" t="s">
        <v>10902</v>
      </c>
      <c r="V1648" t="s">
        <v>10902</v>
      </c>
      <c r="W1648" t="s">
        <v>43</v>
      </c>
      <c r="X1648" t="s">
        <v>11720</v>
      </c>
      <c r="Y1648" t="s">
        <v>11721</v>
      </c>
      <c r="Z1648" t="s">
        <v>11364</v>
      </c>
      <c r="AA1648" t="s">
        <v>44</v>
      </c>
      <c r="AB1648" t="s">
        <v>44</v>
      </c>
      <c r="AC1648" s="4"/>
      <c r="AD1648" s="4"/>
      <c r="AE1648" s="2">
        <v>0</v>
      </c>
      <c r="AF1648" s="4">
        <v>0</v>
      </c>
      <c r="AG1648" s="2">
        <v>0.1</v>
      </c>
      <c r="AH1648" s="2">
        <v>334600.8</v>
      </c>
      <c r="AI1648" s="2">
        <v>0</v>
      </c>
      <c r="AJ1648" s="5">
        <v>44673</v>
      </c>
      <c r="AK1648" t="s">
        <v>12181</v>
      </c>
      <c r="AL1648" s="2">
        <v>0</v>
      </c>
      <c r="AM1648" s="2">
        <v>0</v>
      </c>
      <c r="AN1648" s="2">
        <v>0</v>
      </c>
      <c r="AO1648" t="s">
        <v>44</v>
      </c>
      <c r="AP1648" t="s">
        <v>12498</v>
      </c>
      <c r="AQ1648" t="s">
        <v>5570</v>
      </c>
    </row>
    <row r="1649" spans="1:43" x14ac:dyDescent="0.2">
      <c r="A1649" t="s">
        <v>12180</v>
      </c>
      <c r="B1649" t="s">
        <v>11037</v>
      </c>
      <c r="C1649" t="s">
        <v>11364</v>
      </c>
      <c r="D1649" t="s">
        <v>6443</v>
      </c>
      <c r="E1649" t="s">
        <v>5186</v>
      </c>
      <c r="F1649" t="s">
        <v>6443</v>
      </c>
      <c r="G1649" s="1">
        <v>8043</v>
      </c>
      <c r="H1649" s="2">
        <v>459894.58</v>
      </c>
      <c r="I1649" s="2">
        <v>355178.88</v>
      </c>
      <c r="J1649" s="2">
        <v>0</v>
      </c>
      <c r="K1649" s="2">
        <v>0</v>
      </c>
      <c r="L1649" s="2">
        <v>355178.88</v>
      </c>
      <c r="M1649" s="3">
        <v>4416</v>
      </c>
      <c r="N1649" s="4">
        <v>8.0807000000000003E-4</v>
      </c>
      <c r="O1649" s="5" t="s">
        <v>44</v>
      </c>
      <c r="P1649" s="5" t="s">
        <v>44</v>
      </c>
      <c r="Q1649" s="1"/>
      <c r="R1649" s="2"/>
      <c r="S1649" s="6"/>
      <c r="T1649" t="s">
        <v>10902</v>
      </c>
      <c r="U1649" t="s">
        <v>10902</v>
      </c>
      <c r="V1649" t="s">
        <v>10902</v>
      </c>
      <c r="W1649" t="s">
        <v>43</v>
      </c>
      <c r="X1649" t="s">
        <v>11366</v>
      </c>
      <c r="Y1649" t="s">
        <v>11367</v>
      </c>
      <c r="Z1649" t="s">
        <v>11364</v>
      </c>
      <c r="AA1649" t="s">
        <v>44</v>
      </c>
      <c r="AB1649" t="s">
        <v>44</v>
      </c>
      <c r="AC1649" s="4"/>
      <c r="AD1649" s="4"/>
      <c r="AE1649" s="2">
        <v>0</v>
      </c>
      <c r="AF1649" s="4">
        <v>0</v>
      </c>
      <c r="AG1649" s="2">
        <v>0.1</v>
      </c>
      <c r="AH1649" s="2">
        <v>355178.88</v>
      </c>
      <c r="AI1649" s="2">
        <v>0</v>
      </c>
      <c r="AJ1649" s="5">
        <v>44673</v>
      </c>
      <c r="AK1649" t="s">
        <v>12181</v>
      </c>
      <c r="AL1649" s="2">
        <v>0</v>
      </c>
      <c r="AM1649" s="2">
        <v>0</v>
      </c>
      <c r="AN1649" s="2">
        <v>0</v>
      </c>
      <c r="AO1649" t="s">
        <v>44</v>
      </c>
      <c r="AP1649" t="s">
        <v>11373</v>
      </c>
      <c r="AQ1649" t="s">
        <v>5186</v>
      </c>
    </row>
    <row r="1650" spans="1:43" x14ac:dyDescent="0.2">
      <c r="A1650" t="s">
        <v>12180</v>
      </c>
      <c r="B1650" t="s">
        <v>11037</v>
      </c>
      <c r="C1650" t="s">
        <v>11364</v>
      </c>
      <c r="D1650" t="s">
        <v>11374</v>
      </c>
      <c r="E1650" t="s">
        <v>1786</v>
      </c>
      <c r="F1650" t="s">
        <v>11374</v>
      </c>
      <c r="G1650" s="1">
        <v>18747</v>
      </c>
      <c r="H1650" s="2">
        <v>534182.36</v>
      </c>
      <c r="I1650" s="2">
        <v>506169</v>
      </c>
      <c r="J1650" s="2">
        <v>0</v>
      </c>
      <c r="K1650" s="2">
        <v>0</v>
      </c>
      <c r="L1650" s="2">
        <v>506169</v>
      </c>
      <c r="M1650" s="3">
        <v>2700</v>
      </c>
      <c r="N1650" s="4">
        <v>1.1515900000000001E-3</v>
      </c>
      <c r="O1650" s="5" t="s">
        <v>44</v>
      </c>
      <c r="P1650" s="5" t="s">
        <v>44</v>
      </c>
      <c r="Q1650" s="1"/>
      <c r="R1650" s="2"/>
      <c r="S1650" s="6"/>
      <c r="T1650" t="s">
        <v>10902</v>
      </c>
      <c r="U1650" t="s">
        <v>10902</v>
      </c>
      <c r="V1650" t="s">
        <v>10902</v>
      </c>
      <c r="W1650" t="s">
        <v>43</v>
      </c>
      <c r="X1650" t="s">
        <v>11375</v>
      </c>
      <c r="Y1650" t="s">
        <v>11367</v>
      </c>
      <c r="Z1650" t="s">
        <v>11364</v>
      </c>
      <c r="AA1650" t="s">
        <v>44</v>
      </c>
      <c r="AB1650" t="s">
        <v>44</v>
      </c>
      <c r="AC1650" s="4"/>
      <c r="AD1650" s="4"/>
      <c r="AE1650" s="2">
        <v>0</v>
      </c>
      <c r="AF1650" s="4">
        <v>0</v>
      </c>
      <c r="AG1650" s="2">
        <v>0.15</v>
      </c>
      <c r="AH1650" s="2">
        <v>506169</v>
      </c>
      <c r="AI1650" s="2">
        <v>0</v>
      </c>
      <c r="AJ1650" s="5">
        <v>44673</v>
      </c>
      <c r="AK1650" t="s">
        <v>12181</v>
      </c>
      <c r="AL1650" s="2">
        <v>0</v>
      </c>
      <c r="AM1650" s="2">
        <v>0</v>
      </c>
      <c r="AN1650" s="2">
        <v>0</v>
      </c>
      <c r="AO1650" t="s">
        <v>44</v>
      </c>
      <c r="AP1650" t="s">
        <v>11376</v>
      </c>
      <c r="AQ1650" t="s">
        <v>1786</v>
      </c>
    </row>
    <row r="1651" spans="1:43" x14ac:dyDescent="0.2">
      <c r="A1651" t="s">
        <v>12180</v>
      </c>
      <c r="B1651" t="s">
        <v>11037</v>
      </c>
      <c r="C1651" t="s">
        <v>11364</v>
      </c>
      <c r="D1651" t="s">
        <v>11377</v>
      </c>
      <c r="E1651" t="s">
        <v>5599</v>
      </c>
      <c r="F1651" t="s">
        <v>11378</v>
      </c>
      <c r="G1651" s="1">
        <v>930</v>
      </c>
      <c r="H1651" s="2">
        <v>422020.86</v>
      </c>
      <c r="I1651" s="2">
        <v>502841.7</v>
      </c>
      <c r="J1651" s="2">
        <v>0</v>
      </c>
      <c r="K1651" s="2">
        <v>0</v>
      </c>
      <c r="L1651" s="2">
        <v>502841.7</v>
      </c>
      <c r="M1651" s="3">
        <v>54069</v>
      </c>
      <c r="N1651" s="4">
        <v>1.1440199999999999E-3</v>
      </c>
      <c r="O1651" s="5" t="s">
        <v>44</v>
      </c>
      <c r="P1651" s="5" t="s">
        <v>44</v>
      </c>
      <c r="Q1651" s="1"/>
      <c r="R1651" s="2"/>
      <c r="S1651" s="6"/>
      <c r="T1651" t="s">
        <v>10902</v>
      </c>
      <c r="U1651" t="s">
        <v>10902</v>
      </c>
      <c r="V1651" t="s">
        <v>10902</v>
      </c>
      <c r="W1651" t="s">
        <v>43</v>
      </c>
      <c r="X1651" t="s">
        <v>11375</v>
      </c>
      <c r="Y1651" t="s">
        <v>11367</v>
      </c>
      <c r="Z1651" t="s">
        <v>11364</v>
      </c>
      <c r="AA1651" t="s">
        <v>44</v>
      </c>
      <c r="AB1651" t="s">
        <v>44</v>
      </c>
      <c r="AC1651" s="4"/>
      <c r="AD1651" s="4"/>
      <c r="AE1651" s="2">
        <v>0</v>
      </c>
      <c r="AF1651" s="4">
        <v>0</v>
      </c>
      <c r="AG1651" s="2">
        <v>0.15</v>
      </c>
      <c r="AH1651" s="2">
        <v>502841.7</v>
      </c>
      <c r="AI1651" s="2">
        <v>0</v>
      </c>
      <c r="AJ1651" s="5">
        <v>44673</v>
      </c>
      <c r="AK1651" t="s">
        <v>12181</v>
      </c>
      <c r="AL1651" s="2">
        <v>0</v>
      </c>
      <c r="AM1651" s="2">
        <v>0</v>
      </c>
      <c r="AN1651" s="2">
        <v>0</v>
      </c>
      <c r="AO1651" t="s">
        <v>44</v>
      </c>
      <c r="AP1651" t="s">
        <v>11379</v>
      </c>
      <c r="AQ1651" t="s">
        <v>5599</v>
      </c>
    </row>
    <row r="1652" spans="1:43" x14ac:dyDescent="0.2">
      <c r="A1652" t="s">
        <v>12180</v>
      </c>
      <c r="B1652" t="s">
        <v>11037</v>
      </c>
      <c r="C1652" t="s">
        <v>11727</v>
      </c>
      <c r="D1652" t="s">
        <v>12182</v>
      </c>
      <c r="E1652" t="s">
        <v>12183</v>
      </c>
      <c r="F1652" t="s">
        <v>12184</v>
      </c>
      <c r="G1652" s="1">
        <v>1930</v>
      </c>
      <c r="H1652" s="2">
        <v>140994.20000000001</v>
      </c>
      <c r="I1652" s="2">
        <v>193000</v>
      </c>
      <c r="J1652" s="2">
        <v>0</v>
      </c>
      <c r="K1652" s="2">
        <v>0</v>
      </c>
      <c r="L1652" s="2">
        <v>193000</v>
      </c>
      <c r="M1652" s="3">
        <v>10000</v>
      </c>
      <c r="N1652" s="4">
        <v>4.3909999999999999E-4</v>
      </c>
      <c r="O1652" s="5" t="s">
        <v>44</v>
      </c>
      <c r="P1652" s="5" t="s">
        <v>44</v>
      </c>
      <c r="Q1652" s="1"/>
      <c r="R1652" s="2"/>
      <c r="S1652" s="6"/>
      <c r="T1652" t="s">
        <v>10902</v>
      </c>
      <c r="U1652" t="s">
        <v>10902</v>
      </c>
      <c r="V1652" t="s">
        <v>10902</v>
      </c>
      <c r="W1652" t="s">
        <v>43</v>
      </c>
      <c r="X1652" t="s">
        <v>11729</v>
      </c>
      <c r="Y1652" t="s">
        <v>11727</v>
      </c>
      <c r="Z1652" t="s">
        <v>11727</v>
      </c>
      <c r="AA1652" t="s">
        <v>44</v>
      </c>
      <c r="AB1652" t="s">
        <v>44</v>
      </c>
      <c r="AC1652" s="4"/>
      <c r="AD1652" s="4"/>
      <c r="AE1652" s="2">
        <v>0</v>
      </c>
      <c r="AF1652" s="4">
        <v>0</v>
      </c>
      <c r="AG1652" s="2">
        <v>0.06</v>
      </c>
      <c r="AH1652" s="2">
        <v>193000</v>
      </c>
      <c r="AI1652" s="2">
        <v>0</v>
      </c>
      <c r="AJ1652" s="5">
        <v>44673</v>
      </c>
      <c r="AK1652" t="s">
        <v>12181</v>
      </c>
      <c r="AL1652" s="2">
        <v>0</v>
      </c>
      <c r="AM1652" s="2">
        <v>0</v>
      </c>
      <c r="AN1652" s="2">
        <v>0</v>
      </c>
      <c r="AO1652" t="s">
        <v>44</v>
      </c>
      <c r="AP1652" t="s">
        <v>12185</v>
      </c>
      <c r="AQ1652" t="s">
        <v>12183</v>
      </c>
    </row>
    <row r="1653" spans="1:43" x14ac:dyDescent="0.2">
      <c r="A1653" t="s">
        <v>12180</v>
      </c>
      <c r="B1653" t="s">
        <v>11037</v>
      </c>
      <c r="C1653" t="s">
        <v>11727</v>
      </c>
      <c r="D1653" t="s">
        <v>12599</v>
      </c>
      <c r="E1653" t="s">
        <v>5470</v>
      </c>
      <c r="F1653" t="s">
        <v>12599</v>
      </c>
      <c r="G1653" s="1">
        <v>8500</v>
      </c>
      <c r="H1653" s="2">
        <v>337689.08</v>
      </c>
      <c r="I1653" s="2">
        <v>328355</v>
      </c>
      <c r="J1653" s="2">
        <v>0</v>
      </c>
      <c r="K1653" s="2">
        <v>0</v>
      </c>
      <c r="L1653" s="2">
        <v>328355</v>
      </c>
      <c r="M1653" s="3">
        <v>3863</v>
      </c>
      <c r="N1653" s="4">
        <v>7.4704000000000003E-4</v>
      </c>
      <c r="O1653" s="5" t="s">
        <v>44</v>
      </c>
      <c r="P1653" s="5" t="s">
        <v>44</v>
      </c>
      <c r="Q1653" s="1"/>
      <c r="R1653" s="2"/>
      <c r="S1653" s="6"/>
      <c r="T1653" t="s">
        <v>10902</v>
      </c>
      <c r="U1653" t="s">
        <v>10902</v>
      </c>
      <c r="V1653" t="s">
        <v>10902</v>
      </c>
      <c r="W1653" t="s">
        <v>43</v>
      </c>
      <c r="X1653" t="s">
        <v>11729</v>
      </c>
      <c r="Y1653" t="s">
        <v>11727</v>
      </c>
      <c r="Z1653" t="s">
        <v>11727</v>
      </c>
      <c r="AA1653" t="s">
        <v>44</v>
      </c>
      <c r="AB1653" t="s">
        <v>44</v>
      </c>
      <c r="AC1653" s="4"/>
      <c r="AD1653" s="4"/>
      <c r="AE1653" s="2">
        <v>0</v>
      </c>
      <c r="AF1653" s="4">
        <v>0</v>
      </c>
      <c r="AG1653" s="2">
        <v>0.1</v>
      </c>
      <c r="AH1653" s="2">
        <v>328355</v>
      </c>
      <c r="AI1653" s="2">
        <v>0</v>
      </c>
      <c r="AJ1653" s="5">
        <v>44673</v>
      </c>
      <c r="AK1653" t="s">
        <v>12181</v>
      </c>
      <c r="AL1653" s="2">
        <v>0</v>
      </c>
      <c r="AM1653" s="2">
        <v>0</v>
      </c>
      <c r="AN1653" s="2">
        <v>0</v>
      </c>
      <c r="AO1653" t="s">
        <v>44</v>
      </c>
      <c r="AP1653" t="s">
        <v>12600</v>
      </c>
      <c r="AQ1653" t="s">
        <v>5470</v>
      </c>
    </row>
    <row r="1654" spans="1:43" x14ac:dyDescent="0.2">
      <c r="A1654" t="s">
        <v>12180</v>
      </c>
      <c r="B1654" t="s">
        <v>11037</v>
      </c>
      <c r="C1654" t="s">
        <v>11380</v>
      </c>
      <c r="D1654" t="s">
        <v>11381</v>
      </c>
      <c r="E1654" t="s">
        <v>5221</v>
      </c>
      <c r="F1654" t="s">
        <v>11381</v>
      </c>
      <c r="G1654" s="1">
        <v>14120</v>
      </c>
      <c r="H1654" s="2">
        <v>593302.43999999994</v>
      </c>
      <c r="I1654" s="2">
        <v>628340</v>
      </c>
      <c r="J1654" s="2">
        <v>0</v>
      </c>
      <c r="K1654" s="2">
        <v>0</v>
      </c>
      <c r="L1654" s="2">
        <v>628340</v>
      </c>
      <c r="M1654" s="3">
        <v>4450</v>
      </c>
      <c r="N1654" s="4">
        <v>1.42954E-3</v>
      </c>
      <c r="O1654" s="5" t="s">
        <v>44</v>
      </c>
      <c r="P1654" s="5" t="s">
        <v>44</v>
      </c>
      <c r="Q1654" s="1"/>
      <c r="R1654" s="2"/>
      <c r="S1654" s="6"/>
      <c r="T1654" t="s">
        <v>10902</v>
      </c>
      <c r="U1654" t="s">
        <v>10902</v>
      </c>
      <c r="V1654" t="s">
        <v>10902</v>
      </c>
      <c r="W1654" t="s">
        <v>43</v>
      </c>
      <c r="X1654" t="s">
        <v>11382</v>
      </c>
      <c r="Y1654" t="s">
        <v>11380</v>
      </c>
      <c r="Z1654" t="s">
        <v>11380</v>
      </c>
      <c r="AA1654" t="s">
        <v>44</v>
      </c>
      <c r="AB1654" t="s">
        <v>44</v>
      </c>
      <c r="AC1654" s="4"/>
      <c r="AD1654" s="4"/>
      <c r="AE1654" s="2">
        <v>0</v>
      </c>
      <c r="AF1654" s="4">
        <v>0</v>
      </c>
      <c r="AG1654" s="2">
        <v>0.18</v>
      </c>
      <c r="AH1654" s="2">
        <v>628340</v>
      </c>
      <c r="AI1654" s="2">
        <v>0</v>
      </c>
      <c r="AJ1654" s="5">
        <v>44673</v>
      </c>
      <c r="AK1654" t="s">
        <v>12181</v>
      </c>
      <c r="AL1654" s="2">
        <v>0</v>
      </c>
      <c r="AM1654" s="2">
        <v>0</v>
      </c>
      <c r="AN1654" s="2">
        <v>0</v>
      </c>
      <c r="AO1654" t="s">
        <v>44</v>
      </c>
      <c r="AP1654" t="s">
        <v>11383</v>
      </c>
      <c r="AQ1654" t="s">
        <v>5221</v>
      </c>
    </row>
    <row r="1655" spans="1:43" x14ac:dyDescent="0.2">
      <c r="A1655" t="s">
        <v>12180</v>
      </c>
      <c r="B1655" t="s">
        <v>11037</v>
      </c>
      <c r="C1655" t="s">
        <v>11743</v>
      </c>
      <c r="D1655" t="s">
        <v>11744</v>
      </c>
      <c r="E1655" t="s">
        <v>11745</v>
      </c>
      <c r="F1655" t="s">
        <v>11746</v>
      </c>
      <c r="G1655" s="1">
        <v>1600</v>
      </c>
      <c r="H1655" s="2">
        <v>229370.45</v>
      </c>
      <c r="I1655" s="2">
        <v>260752</v>
      </c>
      <c r="J1655" s="2">
        <v>0</v>
      </c>
      <c r="K1655" s="2">
        <v>0</v>
      </c>
      <c r="L1655" s="2">
        <v>260752</v>
      </c>
      <c r="M1655" s="3">
        <v>16297</v>
      </c>
      <c r="N1655" s="4">
        <v>5.9323999999999998E-4</v>
      </c>
      <c r="O1655" s="5" t="s">
        <v>44</v>
      </c>
      <c r="P1655" s="5" t="s">
        <v>44</v>
      </c>
      <c r="Q1655" s="1"/>
      <c r="R1655" s="2"/>
      <c r="S1655" s="6"/>
      <c r="T1655" t="s">
        <v>10902</v>
      </c>
      <c r="U1655" t="s">
        <v>10902</v>
      </c>
      <c r="V1655" t="s">
        <v>10902</v>
      </c>
      <c r="W1655" t="s">
        <v>43</v>
      </c>
      <c r="X1655" t="s">
        <v>11747</v>
      </c>
      <c r="Y1655" t="s">
        <v>11743</v>
      </c>
      <c r="Z1655" t="s">
        <v>11743</v>
      </c>
      <c r="AA1655" t="s">
        <v>44</v>
      </c>
      <c r="AB1655" t="s">
        <v>44</v>
      </c>
      <c r="AC1655" s="4"/>
      <c r="AD1655" s="4"/>
      <c r="AE1655" s="2">
        <v>0</v>
      </c>
      <c r="AF1655" s="4">
        <v>0</v>
      </c>
      <c r="AG1655" s="2">
        <v>0.08</v>
      </c>
      <c r="AH1655" s="2">
        <v>260752</v>
      </c>
      <c r="AI1655" s="2">
        <v>0</v>
      </c>
      <c r="AJ1655" s="5">
        <v>44673</v>
      </c>
      <c r="AK1655" t="s">
        <v>12181</v>
      </c>
      <c r="AL1655" s="2">
        <v>0</v>
      </c>
      <c r="AM1655" s="2">
        <v>0</v>
      </c>
      <c r="AN1655" s="2">
        <v>0</v>
      </c>
      <c r="AO1655" t="s">
        <v>44</v>
      </c>
      <c r="AP1655" t="s">
        <v>11748</v>
      </c>
      <c r="AQ1655" t="s">
        <v>11745</v>
      </c>
    </row>
    <row r="1656" spans="1:43" x14ac:dyDescent="0.2">
      <c r="A1656" t="s">
        <v>12180</v>
      </c>
      <c r="B1656" t="s">
        <v>11038</v>
      </c>
      <c r="C1656" t="s">
        <v>11052</v>
      </c>
      <c r="D1656" t="s">
        <v>11236</v>
      </c>
      <c r="E1656" t="s">
        <v>11237</v>
      </c>
      <c r="F1656" t="s">
        <v>11236</v>
      </c>
      <c r="G1656" s="1">
        <v>12400000</v>
      </c>
      <c r="H1656" s="2">
        <v>12122973.43</v>
      </c>
      <c r="I1656" s="2">
        <v>12122973.43</v>
      </c>
      <c r="J1656" s="2">
        <v>0</v>
      </c>
      <c r="K1656" s="2">
        <v>0</v>
      </c>
      <c r="L1656" s="2">
        <v>12122973.43</v>
      </c>
      <c r="M1656" s="3">
        <v>5.0890709999999997</v>
      </c>
      <c r="N1656" s="4">
        <v>2.7581069999999999E-2</v>
      </c>
      <c r="O1656" s="5" t="s">
        <v>44</v>
      </c>
      <c r="P1656" s="5">
        <v>44839</v>
      </c>
      <c r="Q1656" s="1">
        <v>0</v>
      </c>
      <c r="R1656" s="2">
        <v>0.45</v>
      </c>
      <c r="S1656" s="6">
        <v>0.43665175967999997</v>
      </c>
      <c r="T1656" t="s">
        <v>112</v>
      </c>
      <c r="U1656" t="s">
        <v>11040</v>
      </c>
      <c r="V1656" t="s">
        <v>11238</v>
      </c>
      <c r="W1656" t="s">
        <v>43</v>
      </c>
      <c r="X1656" t="s">
        <v>44</v>
      </c>
      <c r="Y1656" t="s">
        <v>44</v>
      </c>
      <c r="Z1656" t="s">
        <v>44</v>
      </c>
      <c r="AA1656" t="s">
        <v>10913</v>
      </c>
      <c r="AB1656" t="s">
        <v>44</v>
      </c>
      <c r="AC1656" s="4">
        <v>5.1608654700000001</v>
      </c>
      <c r="AD1656" s="4">
        <v>5.0426700100000001</v>
      </c>
      <c r="AE1656" s="2">
        <v>5.16</v>
      </c>
      <c r="AF1656" s="4">
        <v>5.0426700100000001</v>
      </c>
      <c r="AG1656" s="2">
        <v>3.55</v>
      </c>
      <c r="AH1656" s="2">
        <v>12122973.43</v>
      </c>
      <c r="AI1656" s="2">
        <v>0.03</v>
      </c>
      <c r="AJ1656" s="5">
        <v>44673</v>
      </c>
      <c r="AK1656" t="s">
        <v>12181</v>
      </c>
      <c r="AL1656" s="2">
        <v>5.0999999999999996</v>
      </c>
      <c r="AM1656" s="2">
        <v>0</v>
      </c>
      <c r="AN1656" s="2">
        <v>0.44</v>
      </c>
      <c r="AO1656" t="s">
        <v>10922</v>
      </c>
      <c r="AP1656" t="s">
        <v>11239</v>
      </c>
      <c r="AQ1656" t="s">
        <v>11237</v>
      </c>
    </row>
    <row r="1657" spans="1:43" x14ac:dyDescent="0.2">
      <c r="A1657" t="s">
        <v>12180</v>
      </c>
      <c r="B1657" t="s">
        <v>11038</v>
      </c>
      <c r="C1657" t="s">
        <v>11052</v>
      </c>
      <c r="D1657" t="s">
        <v>12189</v>
      </c>
      <c r="E1657" t="s">
        <v>12190</v>
      </c>
      <c r="F1657" t="s">
        <v>12189</v>
      </c>
      <c r="G1657" s="1">
        <v>5000000</v>
      </c>
      <c r="H1657" s="2">
        <v>4881616.76</v>
      </c>
      <c r="I1657" s="2">
        <v>4881616.76</v>
      </c>
      <c r="J1657" s="2">
        <v>0</v>
      </c>
      <c r="K1657" s="2">
        <v>0</v>
      </c>
      <c r="L1657" s="2">
        <v>4881616.76</v>
      </c>
      <c r="M1657" s="3">
        <v>5.1450009999999997</v>
      </c>
      <c r="N1657" s="4">
        <v>1.11062E-2</v>
      </c>
      <c r="O1657" s="5" t="s">
        <v>44</v>
      </c>
      <c r="P1657" s="5">
        <v>44846</v>
      </c>
      <c r="Q1657" s="1">
        <v>0</v>
      </c>
      <c r="R1657" s="2">
        <v>0.47</v>
      </c>
      <c r="S1657" s="6">
        <v>0.45485375498000002</v>
      </c>
      <c r="T1657" t="s">
        <v>112</v>
      </c>
      <c r="U1657" t="s">
        <v>11040</v>
      </c>
      <c r="V1657" t="s">
        <v>11238</v>
      </c>
      <c r="W1657" t="s">
        <v>43</v>
      </c>
      <c r="X1657" t="s">
        <v>44</v>
      </c>
      <c r="Y1657" t="s">
        <v>44</v>
      </c>
      <c r="Z1657" t="s">
        <v>44</v>
      </c>
      <c r="AA1657" t="s">
        <v>10913</v>
      </c>
      <c r="AB1657" t="s">
        <v>44</v>
      </c>
      <c r="AC1657" s="4">
        <v>5.2157943299999996</v>
      </c>
      <c r="AD1657" s="4">
        <v>5.0951101300000001</v>
      </c>
      <c r="AE1657" s="2">
        <v>5.22</v>
      </c>
      <c r="AF1657" s="4">
        <v>5.0951101300000001</v>
      </c>
      <c r="AG1657" s="2">
        <v>1.43</v>
      </c>
      <c r="AH1657" s="2">
        <v>4881616.76</v>
      </c>
      <c r="AI1657" s="2">
        <v>0.01</v>
      </c>
      <c r="AJ1657" s="5">
        <v>44673</v>
      </c>
      <c r="AK1657" t="s">
        <v>12181</v>
      </c>
      <c r="AL1657" s="2">
        <v>5.15</v>
      </c>
      <c r="AM1657" s="2">
        <v>0</v>
      </c>
      <c r="AN1657" s="2">
        <v>0.45</v>
      </c>
      <c r="AO1657" t="s">
        <v>10922</v>
      </c>
      <c r="AP1657" t="s">
        <v>12191</v>
      </c>
      <c r="AQ1657" t="s">
        <v>12190</v>
      </c>
    </row>
    <row r="1658" spans="1:43" x14ac:dyDescent="0.2">
      <c r="A1658" t="s">
        <v>12180</v>
      </c>
      <c r="B1658" t="s">
        <v>11038</v>
      </c>
      <c r="C1658" t="s">
        <v>11052</v>
      </c>
      <c r="D1658" t="s">
        <v>11402</v>
      </c>
      <c r="E1658" t="s">
        <v>11403</v>
      </c>
      <c r="F1658" t="s">
        <v>11402</v>
      </c>
      <c r="G1658" s="1">
        <v>15300000</v>
      </c>
      <c r="H1658" s="2">
        <v>14987808.050000001</v>
      </c>
      <c r="I1658" s="2">
        <v>14987808.050000001</v>
      </c>
      <c r="J1658" s="2">
        <v>0</v>
      </c>
      <c r="K1658" s="2">
        <v>0</v>
      </c>
      <c r="L1658" s="2">
        <v>14987808.050000001</v>
      </c>
      <c r="M1658" s="3">
        <v>5.0350000000000001</v>
      </c>
      <c r="N1658" s="4">
        <v>3.4098879999999998E-2</v>
      </c>
      <c r="O1658" s="5" t="s">
        <v>44</v>
      </c>
      <c r="P1658" s="5">
        <v>44825</v>
      </c>
      <c r="Q1658" s="1">
        <v>0</v>
      </c>
      <c r="R1658" s="2">
        <v>0.41</v>
      </c>
      <c r="S1658" s="6">
        <v>0.39999769104999999</v>
      </c>
      <c r="T1658" t="s">
        <v>112</v>
      </c>
      <c r="U1658" t="s">
        <v>11040</v>
      </c>
      <c r="V1658" t="s">
        <v>11238</v>
      </c>
      <c r="W1658" t="s">
        <v>43</v>
      </c>
      <c r="X1658" t="s">
        <v>44</v>
      </c>
      <c r="Y1658" t="s">
        <v>44</v>
      </c>
      <c r="Z1658" t="s">
        <v>44</v>
      </c>
      <c r="AA1658" t="s">
        <v>10913</v>
      </c>
      <c r="AB1658" t="s">
        <v>44</v>
      </c>
      <c r="AC1658" s="4">
        <v>5.1102424400000004</v>
      </c>
      <c r="AD1658" s="4">
        <v>4.9943184</v>
      </c>
      <c r="AE1658" s="2">
        <v>5.1100000000000003</v>
      </c>
      <c r="AF1658" s="4">
        <v>4.9943184</v>
      </c>
      <c r="AG1658" s="2">
        <v>4.3899999999999997</v>
      </c>
      <c r="AH1658" s="2">
        <v>14987808.050000001</v>
      </c>
      <c r="AI1658" s="2">
        <v>0.03</v>
      </c>
      <c r="AJ1658" s="5">
        <v>44673</v>
      </c>
      <c r="AK1658" t="s">
        <v>12181</v>
      </c>
      <c r="AL1658" s="2">
        <v>5.05</v>
      </c>
      <c r="AM1658" s="2">
        <v>0</v>
      </c>
      <c r="AN1658" s="2">
        <v>0.4</v>
      </c>
      <c r="AO1658" t="s">
        <v>10922</v>
      </c>
      <c r="AP1658" t="s">
        <v>11404</v>
      </c>
      <c r="AQ1658" t="s">
        <v>11403</v>
      </c>
    </row>
    <row r="1659" spans="1:43" x14ac:dyDescent="0.2">
      <c r="A1659" t="s">
        <v>12180</v>
      </c>
      <c r="B1659" t="s">
        <v>11038</v>
      </c>
      <c r="C1659" t="s">
        <v>11039</v>
      </c>
      <c r="D1659" t="s">
        <v>11971</v>
      </c>
      <c r="E1659" t="s">
        <v>11972</v>
      </c>
      <c r="F1659" t="s">
        <v>11971</v>
      </c>
      <c r="G1659" s="1">
        <v>4000000</v>
      </c>
      <c r="H1659" s="2">
        <v>4000000</v>
      </c>
      <c r="I1659" s="2">
        <v>3995855.05</v>
      </c>
      <c r="J1659" s="2">
        <v>47441.1</v>
      </c>
      <c r="K1659" s="2">
        <v>0</v>
      </c>
      <c r="L1659" s="2">
        <v>4043296.15</v>
      </c>
      <c r="M1659" s="3">
        <v>5.914955</v>
      </c>
      <c r="N1659" s="4">
        <v>9.1989299999999993E-3</v>
      </c>
      <c r="O1659" s="5">
        <v>44965</v>
      </c>
      <c r="P1659" s="5">
        <v>44965</v>
      </c>
      <c r="Q1659" s="1">
        <v>5.85</v>
      </c>
      <c r="R1659" s="2">
        <v>0.79</v>
      </c>
      <c r="S1659" s="6">
        <v>0.75635794914999999</v>
      </c>
      <c r="T1659" t="s">
        <v>111</v>
      </c>
      <c r="U1659" t="s">
        <v>11040</v>
      </c>
      <c r="V1659" t="s">
        <v>11041</v>
      </c>
      <c r="W1659" t="s">
        <v>43</v>
      </c>
      <c r="X1659" t="s">
        <v>11034</v>
      </c>
      <c r="Y1659" t="s">
        <v>44</v>
      </c>
      <c r="Z1659" t="s">
        <v>44</v>
      </c>
      <c r="AA1659" t="s">
        <v>10979</v>
      </c>
      <c r="AB1659" t="s">
        <v>44</v>
      </c>
      <c r="AC1659" s="4">
        <v>5.9509684500000004</v>
      </c>
      <c r="AD1659" s="4">
        <v>5.7945694899999998</v>
      </c>
      <c r="AE1659" s="2">
        <v>5.95</v>
      </c>
      <c r="AF1659" s="4">
        <v>5.7945694899999998</v>
      </c>
      <c r="AG1659" s="2">
        <v>1.18</v>
      </c>
      <c r="AH1659" s="2">
        <v>4043296.15</v>
      </c>
      <c r="AI1659" s="2">
        <v>0.01</v>
      </c>
      <c r="AJ1659" s="5">
        <v>44673</v>
      </c>
      <c r="AK1659" t="s">
        <v>12181</v>
      </c>
      <c r="AL1659" s="2">
        <v>5.86</v>
      </c>
      <c r="AM1659" s="2">
        <v>5.85</v>
      </c>
      <c r="AN1659" s="2">
        <v>0.76</v>
      </c>
      <c r="AO1659" t="s">
        <v>11165</v>
      </c>
      <c r="AP1659" t="s">
        <v>11973</v>
      </c>
      <c r="AQ1659" t="s">
        <v>11972</v>
      </c>
    </row>
    <row r="1660" spans="1:43" x14ac:dyDescent="0.2">
      <c r="A1660" t="s">
        <v>12180</v>
      </c>
      <c r="B1660" t="s">
        <v>11038</v>
      </c>
      <c r="C1660" t="s">
        <v>11039</v>
      </c>
      <c r="D1660" t="s">
        <v>12090</v>
      </c>
      <c r="E1660" t="s">
        <v>12091</v>
      </c>
      <c r="F1660" t="s">
        <v>12090</v>
      </c>
      <c r="G1660" s="1">
        <v>7000000</v>
      </c>
      <c r="H1660" s="2">
        <v>7000000</v>
      </c>
      <c r="I1660" s="2">
        <v>6997871.1699999999</v>
      </c>
      <c r="J1660" s="2">
        <v>59663.01</v>
      </c>
      <c r="K1660" s="2">
        <v>0</v>
      </c>
      <c r="L1660" s="2">
        <v>7057534.1799999997</v>
      </c>
      <c r="M1660" s="3">
        <v>6.0835429999999997</v>
      </c>
      <c r="N1660" s="4">
        <v>1.6056649999999999E-2</v>
      </c>
      <c r="O1660" s="5">
        <v>44988</v>
      </c>
      <c r="P1660" s="5">
        <v>44988</v>
      </c>
      <c r="Q1660" s="1">
        <v>6.1</v>
      </c>
      <c r="R1660" s="2">
        <v>0.85</v>
      </c>
      <c r="S1660" s="6">
        <v>0.81254093581999998</v>
      </c>
      <c r="T1660" t="s">
        <v>111</v>
      </c>
      <c r="U1660" t="s">
        <v>11040</v>
      </c>
      <c r="V1660" t="s">
        <v>11041</v>
      </c>
      <c r="W1660" t="s">
        <v>43</v>
      </c>
      <c r="X1660" t="s">
        <v>11034</v>
      </c>
      <c r="Y1660" t="s">
        <v>44</v>
      </c>
      <c r="Z1660" t="s">
        <v>44</v>
      </c>
      <c r="AA1660" t="s">
        <v>10979</v>
      </c>
      <c r="AB1660" t="s">
        <v>44</v>
      </c>
      <c r="AC1660" s="4">
        <v>6.1100351799999997</v>
      </c>
      <c r="AD1660" s="4">
        <v>5.9453231400000002</v>
      </c>
      <c r="AE1660" s="2">
        <v>6.11</v>
      </c>
      <c r="AF1660" s="4">
        <v>5.9453231400000002</v>
      </c>
      <c r="AG1660" s="2">
        <v>2.0699999999999998</v>
      </c>
      <c r="AH1660" s="2">
        <v>7057534.1799999997</v>
      </c>
      <c r="AI1660" s="2">
        <v>0.02</v>
      </c>
      <c r="AJ1660" s="5">
        <v>44673</v>
      </c>
      <c r="AK1660" t="s">
        <v>12181</v>
      </c>
      <c r="AL1660" s="2">
        <v>6.02</v>
      </c>
      <c r="AM1660" s="2">
        <v>6.1</v>
      </c>
      <c r="AN1660" s="2">
        <v>0.81</v>
      </c>
      <c r="AO1660" t="s">
        <v>11165</v>
      </c>
      <c r="AP1660" t="s">
        <v>12092</v>
      </c>
      <c r="AQ1660" t="s">
        <v>12091</v>
      </c>
    </row>
    <row r="1661" spans="1:43" x14ac:dyDescent="0.2">
      <c r="A1661" t="s">
        <v>12180</v>
      </c>
      <c r="B1661" t="s">
        <v>11038</v>
      </c>
      <c r="C1661" t="s">
        <v>11039</v>
      </c>
      <c r="D1661" t="s">
        <v>12858</v>
      </c>
      <c r="E1661" t="s">
        <v>12859</v>
      </c>
      <c r="F1661" t="s">
        <v>12858</v>
      </c>
      <c r="G1661" s="1">
        <v>42000000</v>
      </c>
      <c r="H1661" s="2">
        <v>42000000</v>
      </c>
      <c r="I1661" s="2">
        <v>42078279.369999997</v>
      </c>
      <c r="J1661" s="2">
        <v>177849.86</v>
      </c>
      <c r="K1661" s="2">
        <v>0</v>
      </c>
      <c r="L1661" s="2">
        <v>42256129.229999997</v>
      </c>
      <c r="M1661" s="3">
        <v>6.1993330000000002</v>
      </c>
      <c r="N1661" s="4">
        <v>9.6137239999999999E-2</v>
      </c>
      <c r="O1661" s="5">
        <v>45015</v>
      </c>
      <c r="P1661" s="5">
        <v>45015</v>
      </c>
      <c r="Q1661" s="1">
        <v>6.44</v>
      </c>
      <c r="R1661" s="2">
        <v>0.93</v>
      </c>
      <c r="S1661" s="6">
        <v>0.87820253481999999</v>
      </c>
      <c r="T1661" t="s">
        <v>111</v>
      </c>
      <c r="U1661" t="s">
        <v>11040</v>
      </c>
      <c r="V1661" t="s">
        <v>11041</v>
      </c>
      <c r="W1661" t="s">
        <v>43</v>
      </c>
      <c r="X1661" t="s">
        <v>11034</v>
      </c>
      <c r="Y1661" t="s">
        <v>44</v>
      </c>
      <c r="Z1661" t="s">
        <v>44</v>
      </c>
      <c r="AA1661" t="s">
        <v>10979</v>
      </c>
      <c r="AB1661" t="s">
        <v>44</v>
      </c>
      <c r="AC1661" s="4">
        <v>6.2127848300000004</v>
      </c>
      <c r="AD1661" s="4">
        <v>6.0425928500000001</v>
      </c>
      <c r="AE1661" s="2">
        <v>6.21</v>
      </c>
      <c r="AF1661" s="4">
        <v>6.0425928500000001</v>
      </c>
      <c r="AG1661" s="2">
        <v>12.38</v>
      </c>
      <c r="AH1661" s="2">
        <v>42256129.229999997</v>
      </c>
      <c r="AI1661" s="2">
        <v>0.1</v>
      </c>
      <c r="AJ1661" s="5">
        <v>44673</v>
      </c>
      <c r="AK1661" t="s">
        <v>12181</v>
      </c>
      <c r="AL1661" s="2">
        <v>6.12</v>
      </c>
      <c r="AM1661" s="2">
        <v>6.44</v>
      </c>
      <c r="AN1661" s="2">
        <v>0.88</v>
      </c>
      <c r="AO1661" t="s">
        <v>11165</v>
      </c>
      <c r="AP1661" t="s">
        <v>12860</v>
      </c>
      <c r="AQ1661" t="s">
        <v>12859</v>
      </c>
    </row>
    <row r="1662" spans="1:43" x14ac:dyDescent="0.2">
      <c r="A1662" t="s">
        <v>12180</v>
      </c>
      <c r="B1662" t="s">
        <v>11038</v>
      </c>
      <c r="C1662" t="s">
        <v>11039</v>
      </c>
      <c r="D1662" t="s">
        <v>11390</v>
      </c>
      <c r="E1662" t="s">
        <v>11391</v>
      </c>
      <c r="F1662" t="s">
        <v>11390</v>
      </c>
      <c r="G1662" s="1">
        <v>9600000</v>
      </c>
      <c r="H1662" s="2">
        <v>9267703.3200000003</v>
      </c>
      <c r="I1662" s="2">
        <v>9267703.3200000003</v>
      </c>
      <c r="J1662" s="2">
        <v>0</v>
      </c>
      <c r="K1662" s="2">
        <v>0</v>
      </c>
      <c r="L1662" s="2">
        <v>9267703.3200000003</v>
      </c>
      <c r="M1662" s="3">
        <v>5.7867119999999996</v>
      </c>
      <c r="N1662" s="4">
        <v>2.1085019999999999E-2</v>
      </c>
      <c r="O1662" s="5" t="s">
        <v>44</v>
      </c>
      <c r="P1662" s="5">
        <v>44902</v>
      </c>
      <c r="Q1662" s="1">
        <v>0</v>
      </c>
      <c r="R1662" s="2">
        <v>0.62</v>
      </c>
      <c r="S1662" s="6">
        <v>0.59776029928999996</v>
      </c>
      <c r="T1662" t="s">
        <v>112</v>
      </c>
      <c r="U1662" t="s">
        <v>11040</v>
      </c>
      <c r="V1662" t="s">
        <v>11238</v>
      </c>
      <c r="W1662" t="s">
        <v>43</v>
      </c>
      <c r="X1662" t="s">
        <v>44</v>
      </c>
      <c r="Y1662" t="s">
        <v>44</v>
      </c>
      <c r="Z1662" t="s">
        <v>44</v>
      </c>
      <c r="AA1662" t="s">
        <v>10913</v>
      </c>
      <c r="AB1662" t="s">
        <v>44</v>
      </c>
      <c r="AC1662" s="4">
        <v>5.8501835199999999</v>
      </c>
      <c r="AD1662" s="4">
        <v>5.6989443299999998</v>
      </c>
      <c r="AE1662" s="2">
        <v>5.85</v>
      </c>
      <c r="AF1662" s="4">
        <v>5.6989443299999998</v>
      </c>
      <c r="AG1662" s="2">
        <v>2.71</v>
      </c>
      <c r="AH1662" s="2">
        <v>9267703.3200000003</v>
      </c>
      <c r="AI1662" s="2">
        <v>0.02</v>
      </c>
      <c r="AJ1662" s="5">
        <v>44673</v>
      </c>
      <c r="AK1662" t="s">
        <v>12181</v>
      </c>
      <c r="AL1662" s="2">
        <v>5.77</v>
      </c>
      <c r="AM1662" s="2">
        <v>0</v>
      </c>
      <c r="AN1662" s="2">
        <v>0.6</v>
      </c>
      <c r="AO1662" t="s">
        <v>10922</v>
      </c>
      <c r="AP1662" t="s">
        <v>11392</v>
      </c>
      <c r="AQ1662" t="s">
        <v>11391</v>
      </c>
    </row>
    <row r="1663" spans="1:43" x14ac:dyDescent="0.2">
      <c r="A1663" t="s">
        <v>12180</v>
      </c>
      <c r="B1663" t="s">
        <v>11038</v>
      </c>
      <c r="C1663" t="s">
        <v>11039</v>
      </c>
      <c r="D1663" t="s">
        <v>11396</v>
      </c>
      <c r="E1663" t="s">
        <v>11397</v>
      </c>
      <c r="F1663" t="s">
        <v>11396</v>
      </c>
      <c r="G1663" s="1">
        <v>27400000</v>
      </c>
      <c r="H1663" s="2">
        <v>26283571.960000001</v>
      </c>
      <c r="I1663" s="2">
        <v>26283571.960000001</v>
      </c>
      <c r="J1663" s="2">
        <v>0</v>
      </c>
      <c r="K1663" s="2">
        <v>0</v>
      </c>
      <c r="L1663" s="2">
        <v>26283571.960000001</v>
      </c>
      <c r="M1663" s="3">
        <v>5.9260000000000002</v>
      </c>
      <c r="N1663" s="4">
        <v>5.9797959999999997E-2</v>
      </c>
      <c r="O1663" s="5" t="s">
        <v>44</v>
      </c>
      <c r="P1663" s="5">
        <v>44937</v>
      </c>
      <c r="Q1663" s="1">
        <v>0</v>
      </c>
      <c r="R1663" s="2">
        <v>0.72</v>
      </c>
      <c r="S1663" s="6">
        <v>0.68599929861999998</v>
      </c>
      <c r="T1663" t="s">
        <v>112</v>
      </c>
      <c r="U1663" t="s">
        <v>11040</v>
      </c>
      <c r="V1663" t="s">
        <v>11238</v>
      </c>
      <c r="W1663" t="s">
        <v>43</v>
      </c>
      <c r="X1663" t="s">
        <v>44</v>
      </c>
      <c r="Y1663" t="s">
        <v>44</v>
      </c>
      <c r="Z1663" t="s">
        <v>44</v>
      </c>
      <c r="AA1663" t="s">
        <v>10913</v>
      </c>
      <c r="AB1663" t="s">
        <v>44</v>
      </c>
      <c r="AC1663" s="4">
        <v>5.9756128500000001</v>
      </c>
      <c r="AD1663" s="4">
        <v>5.8179395100000004</v>
      </c>
      <c r="AE1663" s="2">
        <v>5.98</v>
      </c>
      <c r="AF1663" s="4">
        <v>5.8179395100000004</v>
      </c>
      <c r="AG1663" s="2">
        <v>7.7</v>
      </c>
      <c r="AH1663" s="2">
        <v>26283571.960000001</v>
      </c>
      <c r="AI1663" s="2">
        <v>0.06</v>
      </c>
      <c r="AJ1663" s="5">
        <v>44673</v>
      </c>
      <c r="AK1663" t="s">
        <v>12181</v>
      </c>
      <c r="AL1663" s="2">
        <v>5.89</v>
      </c>
      <c r="AM1663" s="2">
        <v>0</v>
      </c>
      <c r="AN1663" s="2">
        <v>0.69</v>
      </c>
      <c r="AO1663" t="s">
        <v>10922</v>
      </c>
      <c r="AP1663" t="s">
        <v>11398</v>
      </c>
      <c r="AQ1663" t="s">
        <v>11397</v>
      </c>
    </row>
    <row r="1664" spans="1:43" x14ac:dyDescent="0.2">
      <c r="A1664" t="s">
        <v>12180</v>
      </c>
      <c r="B1664" t="s">
        <v>11038</v>
      </c>
      <c r="C1664" t="s">
        <v>11039</v>
      </c>
      <c r="D1664" t="s">
        <v>11399</v>
      </c>
      <c r="E1664" t="s">
        <v>11400</v>
      </c>
      <c r="F1664" t="s">
        <v>11399</v>
      </c>
      <c r="G1664" s="1">
        <v>3100000</v>
      </c>
      <c r="H1664" s="2">
        <v>3007567.06</v>
      </c>
      <c r="I1664" s="2">
        <v>3007567.06</v>
      </c>
      <c r="J1664" s="2">
        <v>0</v>
      </c>
      <c r="K1664" s="2">
        <v>0</v>
      </c>
      <c r="L1664" s="2">
        <v>3007567.06</v>
      </c>
      <c r="M1664" s="3">
        <v>5.4191849999999997</v>
      </c>
      <c r="N1664" s="4">
        <v>6.8425400000000003E-3</v>
      </c>
      <c r="O1664" s="5" t="s">
        <v>44</v>
      </c>
      <c r="P1664" s="5">
        <v>44881</v>
      </c>
      <c r="Q1664" s="1">
        <v>0</v>
      </c>
      <c r="R1664" s="2">
        <v>0.56000000000000005</v>
      </c>
      <c r="S1664" s="6">
        <v>0.54505428138000001</v>
      </c>
      <c r="T1664" t="s">
        <v>112</v>
      </c>
      <c r="U1664" t="s">
        <v>11040</v>
      </c>
      <c r="V1664" t="s">
        <v>11238</v>
      </c>
      <c r="W1664" t="s">
        <v>43</v>
      </c>
      <c r="X1664" t="s">
        <v>44</v>
      </c>
      <c r="Y1664" t="s">
        <v>44</v>
      </c>
      <c r="Z1664" t="s">
        <v>44</v>
      </c>
      <c r="AA1664" t="s">
        <v>10913</v>
      </c>
      <c r="AB1664" t="s">
        <v>44</v>
      </c>
      <c r="AC1664" s="4">
        <v>5.4834100699999997</v>
      </c>
      <c r="AD1664" s="4">
        <v>5.3502421900000003</v>
      </c>
      <c r="AE1664" s="2">
        <v>5.48</v>
      </c>
      <c r="AF1664" s="4">
        <v>5.3502421900000003</v>
      </c>
      <c r="AG1664" s="2">
        <v>0.88</v>
      </c>
      <c r="AH1664" s="2">
        <v>3007567.06</v>
      </c>
      <c r="AI1664" s="2">
        <v>0.01</v>
      </c>
      <c r="AJ1664" s="5">
        <v>44673</v>
      </c>
      <c r="AK1664" t="s">
        <v>12181</v>
      </c>
      <c r="AL1664" s="2">
        <v>5.41</v>
      </c>
      <c r="AM1664" s="2">
        <v>0</v>
      </c>
      <c r="AN1664" s="2">
        <v>0.55000000000000004</v>
      </c>
      <c r="AO1664" t="s">
        <v>10922</v>
      </c>
      <c r="AP1664" t="s">
        <v>11401</v>
      </c>
      <c r="AQ1664" t="s">
        <v>11400</v>
      </c>
    </row>
    <row r="1665" spans="1:43" x14ac:dyDescent="0.2">
      <c r="A1665" t="s">
        <v>12180</v>
      </c>
      <c r="B1665" t="s">
        <v>11038</v>
      </c>
      <c r="C1665" t="s">
        <v>11039</v>
      </c>
      <c r="D1665" t="s">
        <v>11405</v>
      </c>
      <c r="E1665" t="s">
        <v>11406</v>
      </c>
      <c r="F1665" t="s">
        <v>11405</v>
      </c>
      <c r="G1665" s="1">
        <v>9500000</v>
      </c>
      <c r="H1665" s="2">
        <v>9203488.8699999992</v>
      </c>
      <c r="I1665" s="2">
        <v>9203488.8699999992</v>
      </c>
      <c r="J1665" s="2">
        <v>0</v>
      </c>
      <c r="K1665" s="2">
        <v>0</v>
      </c>
      <c r="L1665" s="2">
        <v>9203488.8699999992</v>
      </c>
      <c r="M1665" s="3">
        <v>5.5672899999999998</v>
      </c>
      <c r="N1665" s="4">
        <v>2.0938930000000001E-2</v>
      </c>
      <c r="O1665" s="5" t="s">
        <v>44</v>
      </c>
      <c r="P1665" s="5">
        <v>44888</v>
      </c>
      <c r="Q1665" s="1">
        <v>0</v>
      </c>
      <c r="R1665" s="2">
        <v>0.57999999999999996</v>
      </c>
      <c r="S1665" s="6">
        <v>0.56262873229999999</v>
      </c>
      <c r="T1665" t="s">
        <v>112</v>
      </c>
      <c r="U1665" t="s">
        <v>11040</v>
      </c>
      <c r="V1665" t="s">
        <v>11238</v>
      </c>
      <c r="W1665" t="s">
        <v>43</v>
      </c>
      <c r="X1665" t="s">
        <v>44</v>
      </c>
      <c r="Y1665" t="s">
        <v>44</v>
      </c>
      <c r="Z1665" t="s">
        <v>44</v>
      </c>
      <c r="AA1665" t="s">
        <v>10913</v>
      </c>
      <c r="AB1665" t="s">
        <v>44</v>
      </c>
      <c r="AC1665" s="4">
        <v>5.6320586500000003</v>
      </c>
      <c r="AD1665" s="4">
        <v>5.4917004399999998</v>
      </c>
      <c r="AE1665" s="2">
        <v>5.63</v>
      </c>
      <c r="AF1665" s="4">
        <v>5.4917004399999998</v>
      </c>
      <c r="AG1665" s="2">
        <v>2.7</v>
      </c>
      <c r="AH1665" s="2">
        <v>9203488.8699999992</v>
      </c>
      <c r="AI1665" s="2">
        <v>0.02</v>
      </c>
      <c r="AJ1665" s="5">
        <v>44673</v>
      </c>
      <c r="AK1665" t="s">
        <v>12181</v>
      </c>
      <c r="AL1665" s="2">
        <v>5.55</v>
      </c>
      <c r="AM1665" s="2">
        <v>0</v>
      </c>
      <c r="AN1665" s="2">
        <v>0.56000000000000005</v>
      </c>
      <c r="AO1665" t="s">
        <v>10922</v>
      </c>
      <c r="AP1665" t="s">
        <v>11407</v>
      </c>
      <c r="AQ1665" t="s">
        <v>11406</v>
      </c>
    </row>
    <row r="1666" spans="1:43" x14ac:dyDescent="0.2">
      <c r="A1666" t="s">
        <v>12180</v>
      </c>
      <c r="B1666" t="s">
        <v>11038</v>
      </c>
      <c r="C1666" t="s">
        <v>11222</v>
      </c>
      <c r="D1666" t="s">
        <v>12965</v>
      </c>
      <c r="E1666" t="s">
        <v>12966</v>
      </c>
      <c r="F1666" t="s">
        <v>12965</v>
      </c>
      <c r="G1666" s="1">
        <v>13000000</v>
      </c>
      <c r="H1666" s="2">
        <v>13000000</v>
      </c>
      <c r="I1666" s="2">
        <v>13001899.85</v>
      </c>
      <c r="J1666" s="2">
        <v>25191.51</v>
      </c>
      <c r="K1666" s="2">
        <v>0</v>
      </c>
      <c r="L1666" s="2">
        <v>13027091.359999999</v>
      </c>
      <c r="M1666" s="3">
        <v>6.4004060000000003</v>
      </c>
      <c r="N1666" s="4">
        <v>2.9638040000000001E-2</v>
      </c>
      <c r="O1666" s="5">
        <v>45057</v>
      </c>
      <c r="P1666" s="5">
        <v>45057</v>
      </c>
      <c r="Q1666" s="1">
        <v>6.43</v>
      </c>
      <c r="R1666" s="2">
        <v>1.04</v>
      </c>
      <c r="S1666" s="6">
        <v>0.97846466510999996</v>
      </c>
      <c r="T1666" t="s">
        <v>111</v>
      </c>
      <c r="U1666" t="s">
        <v>11040</v>
      </c>
      <c r="V1666" t="s">
        <v>11041</v>
      </c>
      <c r="W1666" t="s">
        <v>43</v>
      </c>
      <c r="X1666" t="s">
        <v>11034</v>
      </c>
      <c r="Y1666" t="s">
        <v>44</v>
      </c>
      <c r="Z1666" t="s">
        <v>44</v>
      </c>
      <c r="AA1666" t="s">
        <v>10979</v>
      </c>
      <c r="AB1666" t="s">
        <v>44</v>
      </c>
      <c r="AC1666" s="4">
        <v>6.3916291899999997</v>
      </c>
      <c r="AD1666" s="4">
        <v>6.2116933599999999</v>
      </c>
      <c r="AE1666" s="2">
        <v>6.39</v>
      </c>
      <c r="AF1666" s="4">
        <v>6.2116933599999999</v>
      </c>
      <c r="AG1666" s="2">
        <v>3.82</v>
      </c>
      <c r="AH1666" s="2">
        <v>13027091.359999999</v>
      </c>
      <c r="AI1666" s="2">
        <v>0.03</v>
      </c>
      <c r="AJ1666" s="5">
        <v>44673</v>
      </c>
      <c r="AK1666" t="s">
        <v>12181</v>
      </c>
      <c r="AL1666" s="2">
        <v>6.29</v>
      </c>
      <c r="AM1666" s="2">
        <v>6.43</v>
      </c>
      <c r="AN1666" s="2">
        <v>0.98</v>
      </c>
      <c r="AO1666" t="s">
        <v>11054</v>
      </c>
      <c r="AP1666" t="s">
        <v>12967</v>
      </c>
      <c r="AQ1666" t="s">
        <v>12966</v>
      </c>
    </row>
    <row r="1667" spans="1:43" x14ac:dyDescent="0.2">
      <c r="A1667" t="s">
        <v>12180</v>
      </c>
      <c r="B1667" t="s">
        <v>11408</v>
      </c>
      <c r="C1667" t="s">
        <v>11408</v>
      </c>
      <c r="D1667" t="s">
        <v>12101</v>
      </c>
      <c r="E1667" t="s">
        <v>12102</v>
      </c>
      <c r="F1667" t="s">
        <v>12103</v>
      </c>
      <c r="G1667" s="1">
        <v>4145.7403999999997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3"/>
      <c r="N1667" s="4">
        <v>0</v>
      </c>
      <c r="O1667" s="5" t="s">
        <v>44</v>
      </c>
      <c r="P1667" s="5">
        <v>44777</v>
      </c>
      <c r="Q1667" s="1">
        <v>0</v>
      </c>
      <c r="R1667" s="2"/>
      <c r="S1667" s="6"/>
      <c r="T1667" t="s">
        <v>11412</v>
      </c>
      <c r="U1667" t="s">
        <v>11413</v>
      </c>
      <c r="V1667" t="s">
        <v>11414</v>
      </c>
      <c r="W1667" t="s">
        <v>43</v>
      </c>
      <c r="X1667" t="s">
        <v>44</v>
      </c>
      <c r="Y1667" t="s">
        <v>44</v>
      </c>
      <c r="Z1667" t="s">
        <v>44</v>
      </c>
      <c r="AA1667" t="s">
        <v>44</v>
      </c>
      <c r="AB1667" t="s">
        <v>44</v>
      </c>
      <c r="AC1667" s="4"/>
      <c r="AD1667" s="4"/>
      <c r="AE1667" s="2">
        <v>0</v>
      </c>
      <c r="AF1667" s="4">
        <v>0</v>
      </c>
      <c r="AG1667" s="2">
        <v>0</v>
      </c>
      <c r="AH1667" s="2">
        <v>0</v>
      </c>
      <c r="AI1667" s="2">
        <v>0</v>
      </c>
      <c r="AJ1667" s="5">
        <v>44673</v>
      </c>
      <c r="AK1667" t="s">
        <v>12181</v>
      </c>
      <c r="AL1667" s="2">
        <v>0</v>
      </c>
      <c r="AM1667" s="2">
        <v>0</v>
      </c>
      <c r="AN1667" s="2">
        <v>0</v>
      </c>
      <c r="AO1667" t="s">
        <v>44</v>
      </c>
      <c r="AP1667" t="s">
        <v>44</v>
      </c>
      <c r="AQ1667" t="s">
        <v>44</v>
      </c>
    </row>
    <row r="1668" spans="1:43" x14ac:dyDescent="0.2">
      <c r="A1668" t="s">
        <v>12180</v>
      </c>
      <c r="B1668" t="s">
        <v>11408</v>
      </c>
      <c r="C1668" t="s">
        <v>11408</v>
      </c>
      <c r="D1668" t="s">
        <v>12104</v>
      </c>
      <c r="E1668" t="s">
        <v>12102</v>
      </c>
      <c r="F1668" t="s">
        <v>12105</v>
      </c>
      <c r="G1668" s="1">
        <v>-46574781.710000001</v>
      </c>
      <c r="H1668" s="2">
        <v>0</v>
      </c>
      <c r="I1668" s="2">
        <v>0</v>
      </c>
      <c r="J1668" s="2">
        <v>-123455.07</v>
      </c>
      <c r="K1668" s="2">
        <v>0</v>
      </c>
      <c r="L1668" s="2">
        <v>-123455.07</v>
      </c>
      <c r="M1668" s="3"/>
      <c r="N1668" s="4">
        <v>-2.8087000000000001E-4</v>
      </c>
      <c r="O1668" s="5" t="s">
        <v>44</v>
      </c>
      <c r="P1668" s="5">
        <v>44777</v>
      </c>
      <c r="Q1668" s="1">
        <v>0</v>
      </c>
      <c r="R1668" s="2"/>
      <c r="S1668" s="6"/>
      <c r="T1668" t="s">
        <v>11412</v>
      </c>
      <c r="U1668" t="s">
        <v>11413</v>
      </c>
      <c r="V1668" t="s">
        <v>11414</v>
      </c>
      <c r="W1668" t="s">
        <v>43</v>
      </c>
      <c r="X1668" t="s">
        <v>44</v>
      </c>
      <c r="Y1668" t="s">
        <v>44</v>
      </c>
      <c r="Z1668" t="s">
        <v>44</v>
      </c>
      <c r="AA1668" t="s">
        <v>44</v>
      </c>
      <c r="AB1668" t="s">
        <v>44</v>
      </c>
      <c r="AC1668" s="4"/>
      <c r="AD1668" s="4"/>
      <c r="AE1668" s="2">
        <v>0</v>
      </c>
      <c r="AF1668" s="4">
        <v>0</v>
      </c>
      <c r="AG1668" s="2">
        <v>-0.04</v>
      </c>
      <c r="AH1668" s="2">
        <v>-46698236.780000001</v>
      </c>
      <c r="AI1668" s="2">
        <v>-0.11</v>
      </c>
      <c r="AJ1668" s="5">
        <v>44673</v>
      </c>
      <c r="AK1668" t="s">
        <v>12181</v>
      </c>
      <c r="AL1668" s="2">
        <v>0</v>
      </c>
      <c r="AM1668" s="2">
        <v>0</v>
      </c>
      <c r="AN1668" s="2">
        <v>0</v>
      </c>
      <c r="AO1668" t="s">
        <v>44</v>
      </c>
      <c r="AP1668" t="s">
        <v>44</v>
      </c>
      <c r="AQ1668" t="s">
        <v>44</v>
      </c>
    </row>
    <row r="1669" spans="1:43" x14ac:dyDescent="0.2">
      <c r="A1669" t="s">
        <v>12180</v>
      </c>
      <c r="B1669" t="s">
        <v>11408</v>
      </c>
      <c r="C1669" t="s">
        <v>11408</v>
      </c>
      <c r="D1669" t="s">
        <v>12106</v>
      </c>
      <c r="E1669" t="s">
        <v>12102</v>
      </c>
      <c r="F1669" t="s">
        <v>12107</v>
      </c>
      <c r="G1669" s="1">
        <v>4145.7403999999997</v>
      </c>
      <c r="H1669" s="2">
        <v>0</v>
      </c>
      <c r="I1669" s="2">
        <v>-1934195.19</v>
      </c>
      <c r="J1669" s="2">
        <v>0</v>
      </c>
      <c r="K1669" s="2">
        <v>0</v>
      </c>
      <c r="L1669" s="2">
        <v>-1934195.19</v>
      </c>
      <c r="M1669" s="3">
        <v>10767.82</v>
      </c>
      <c r="N1669" s="4">
        <v>-4.4004999999999999E-3</v>
      </c>
      <c r="O1669" s="5" t="s">
        <v>44</v>
      </c>
      <c r="P1669" s="5">
        <v>44777</v>
      </c>
      <c r="Q1669" s="1">
        <v>0</v>
      </c>
      <c r="R1669" s="2"/>
      <c r="S1669" s="6"/>
      <c r="T1669" t="s">
        <v>11412</v>
      </c>
      <c r="U1669" t="s">
        <v>11413</v>
      </c>
      <c r="V1669" t="s">
        <v>11414</v>
      </c>
      <c r="W1669" t="s">
        <v>43</v>
      </c>
      <c r="X1669" t="s">
        <v>44</v>
      </c>
      <c r="Y1669" t="s">
        <v>44</v>
      </c>
      <c r="Z1669" t="s">
        <v>44</v>
      </c>
      <c r="AA1669" t="s">
        <v>44</v>
      </c>
      <c r="AB1669" t="s">
        <v>44</v>
      </c>
      <c r="AC1669" s="4"/>
      <c r="AD1669" s="4"/>
      <c r="AE1669" s="2">
        <v>0</v>
      </c>
      <c r="AF1669" s="4">
        <v>0</v>
      </c>
      <c r="AG1669" s="2">
        <v>-0.56999999999999995</v>
      </c>
      <c r="AH1669" s="2">
        <v>44640586.520000003</v>
      </c>
      <c r="AI1669" s="2">
        <v>0.1</v>
      </c>
      <c r="AJ1669" s="5">
        <v>44673</v>
      </c>
      <c r="AK1669" t="s">
        <v>12181</v>
      </c>
      <c r="AL1669" s="2">
        <v>0</v>
      </c>
      <c r="AM1669" s="2">
        <v>0</v>
      </c>
      <c r="AN1669" s="2">
        <v>0</v>
      </c>
      <c r="AO1669" t="s">
        <v>44</v>
      </c>
      <c r="AP1669" t="s">
        <v>44</v>
      </c>
      <c r="AQ1669" t="s">
        <v>44</v>
      </c>
    </row>
    <row r="1670" spans="1:43" x14ac:dyDescent="0.2">
      <c r="A1670" t="s">
        <v>12180</v>
      </c>
      <c r="B1670" t="s">
        <v>11408</v>
      </c>
      <c r="C1670" t="s">
        <v>11408</v>
      </c>
      <c r="D1670" t="s">
        <v>12192</v>
      </c>
      <c r="E1670" t="s">
        <v>12193</v>
      </c>
      <c r="F1670" t="s">
        <v>12194</v>
      </c>
      <c r="G1670" s="1">
        <v>4592.8959000000004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3"/>
      <c r="N1670" s="4">
        <v>0</v>
      </c>
      <c r="O1670" s="5" t="s">
        <v>44</v>
      </c>
      <c r="P1670" s="5">
        <v>44777</v>
      </c>
      <c r="Q1670" s="1">
        <v>0</v>
      </c>
      <c r="R1670" s="2"/>
      <c r="S1670" s="6"/>
      <c r="T1670" t="s">
        <v>11412</v>
      </c>
      <c r="U1670" t="s">
        <v>11413</v>
      </c>
      <c r="V1670" t="s">
        <v>11414</v>
      </c>
      <c r="W1670" t="s">
        <v>43</v>
      </c>
      <c r="X1670" t="s">
        <v>44</v>
      </c>
      <c r="Y1670" t="s">
        <v>44</v>
      </c>
      <c r="Z1670" t="s">
        <v>44</v>
      </c>
      <c r="AA1670" t="s">
        <v>10979</v>
      </c>
      <c r="AB1670" t="s">
        <v>44</v>
      </c>
      <c r="AC1670" s="4"/>
      <c r="AD1670" s="4"/>
      <c r="AE1670" s="2">
        <v>0</v>
      </c>
      <c r="AF1670" s="4">
        <v>0</v>
      </c>
      <c r="AG1670" s="2">
        <v>0</v>
      </c>
      <c r="AH1670" s="2">
        <v>0</v>
      </c>
      <c r="AI1670" s="2">
        <v>0</v>
      </c>
      <c r="AJ1670" s="5">
        <v>44673</v>
      </c>
      <c r="AK1670" t="s">
        <v>12181</v>
      </c>
      <c r="AL1670" s="2">
        <v>0</v>
      </c>
      <c r="AM1670" s="2">
        <v>0</v>
      </c>
      <c r="AN1670" s="2">
        <v>0</v>
      </c>
      <c r="AO1670" t="s">
        <v>11165</v>
      </c>
      <c r="AP1670" t="s">
        <v>44</v>
      </c>
      <c r="AQ1670" t="s">
        <v>44</v>
      </c>
    </row>
    <row r="1671" spans="1:43" x14ac:dyDescent="0.2">
      <c r="A1671" t="s">
        <v>12180</v>
      </c>
      <c r="B1671" t="s">
        <v>11408</v>
      </c>
      <c r="C1671" t="s">
        <v>11408</v>
      </c>
      <c r="D1671" t="s">
        <v>12195</v>
      </c>
      <c r="E1671" t="s">
        <v>12193</v>
      </c>
      <c r="F1671" t="s">
        <v>12196</v>
      </c>
      <c r="G1671" s="1">
        <v>-51598291.5</v>
      </c>
      <c r="H1671" s="2">
        <v>0</v>
      </c>
      <c r="I1671" s="2">
        <v>0</v>
      </c>
      <c r="J1671" s="2">
        <v>-135498.53</v>
      </c>
      <c r="K1671" s="2">
        <v>0</v>
      </c>
      <c r="L1671" s="2">
        <v>-135498.53</v>
      </c>
      <c r="M1671" s="3"/>
      <c r="N1671" s="4">
        <v>-3.0826999999999997E-4</v>
      </c>
      <c r="O1671" s="5" t="s">
        <v>44</v>
      </c>
      <c r="P1671" s="5">
        <v>44777</v>
      </c>
      <c r="Q1671" s="1">
        <v>0</v>
      </c>
      <c r="R1671" s="2"/>
      <c r="S1671" s="6"/>
      <c r="T1671" t="s">
        <v>11412</v>
      </c>
      <c r="U1671" t="s">
        <v>11413</v>
      </c>
      <c r="V1671" t="s">
        <v>11414</v>
      </c>
      <c r="W1671" t="s">
        <v>43</v>
      </c>
      <c r="X1671" t="s">
        <v>44</v>
      </c>
      <c r="Y1671" t="s">
        <v>44</v>
      </c>
      <c r="Z1671" t="s">
        <v>44</v>
      </c>
      <c r="AA1671" t="s">
        <v>10979</v>
      </c>
      <c r="AB1671" t="s">
        <v>44</v>
      </c>
      <c r="AC1671" s="4"/>
      <c r="AD1671" s="4"/>
      <c r="AE1671" s="2">
        <v>0</v>
      </c>
      <c r="AF1671" s="4">
        <v>0</v>
      </c>
      <c r="AG1671" s="2">
        <v>-0.04</v>
      </c>
      <c r="AH1671" s="2">
        <v>-51733790.030000001</v>
      </c>
      <c r="AI1671" s="2">
        <v>-0.12</v>
      </c>
      <c r="AJ1671" s="5">
        <v>44673</v>
      </c>
      <c r="AK1671" t="s">
        <v>12181</v>
      </c>
      <c r="AL1671" s="2">
        <v>0</v>
      </c>
      <c r="AM1671" s="2">
        <v>0</v>
      </c>
      <c r="AN1671" s="2">
        <v>0</v>
      </c>
      <c r="AO1671" t="s">
        <v>11165</v>
      </c>
      <c r="AP1671" t="s">
        <v>44</v>
      </c>
      <c r="AQ1671" t="s">
        <v>44</v>
      </c>
    </row>
    <row r="1672" spans="1:43" x14ac:dyDescent="0.2">
      <c r="A1672" t="s">
        <v>12180</v>
      </c>
      <c r="B1672" t="s">
        <v>11408</v>
      </c>
      <c r="C1672" t="s">
        <v>11408</v>
      </c>
      <c r="D1672" t="s">
        <v>12197</v>
      </c>
      <c r="E1672" t="s">
        <v>12193</v>
      </c>
      <c r="F1672" t="s">
        <v>12198</v>
      </c>
      <c r="G1672" s="1">
        <v>4592.8959000000004</v>
      </c>
      <c r="H1672" s="2">
        <v>0</v>
      </c>
      <c r="I1672" s="2">
        <v>-2142815.5699999998</v>
      </c>
      <c r="J1672" s="2">
        <v>0</v>
      </c>
      <c r="K1672" s="2">
        <v>0</v>
      </c>
      <c r="L1672" s="2">
        <v>-2142815.5699999998</v>
      </c>
      <c r="M1672" s="3">
        <v>10767.82</v>
      </c>
      <c r="N1672" s="4">
        <v>-4.87514E-3</v>
      </c>
      <c r="O1672" s="5" t="s">
        <v>44</v>
      </c>
      <c r="P1672" s="5">
        <v>44777</v>
      </c>
      <c r="Q1672" s="1">
        <v>0</v>
      </c>
      <c r="R1672" s="2"/>
      <c r="S1672" s="6"/>
      <c r="T1672" t="s">
        <v>11412</v>
      </c>
      <c r="U1672" t="s">
        <v>11413</v>
      </c>
      <c r="V1672" t="s">
        <v>11414</v>
      </c>
      <c r="W1672" t="s">
        <v>43</v>
      </c>
      <c r="X1672" t="s">
        <v>44</v>
      </c>
      <c r="Y1672" t="s">
        <v>44</v>
      </c>
      <c r="Z1672" t="s">
        <v>44</v>
      </c>
      <c r="AA1672" t="s">
        <v>10979</v>
      </c>
      <c r="AB1672" t="s">
        <v>44</v>
      </c>
      <c r="AC1672" s="4"/>
      <c r="AD1672" s="4"/>
      <c r="AE1672" s="2">
        <v>0</v>
      </c>
      <c r="AF1672" s="4">
        <v>0</v>
      </c>
      <c r="AG1672" s="2">
        <v>-0.63</v>
      </c>
      <c r="AH1672" s="2">
        <v>49455475.93</v>
      </c>
      <c r="AI1672" s="2">
        <v>0.11</v>
      </c>
      <c r="AJ1672" s="5">
        <v>44673</v>
      </c>
      <c r="AK1672" t="s">
        <v>12181</v>
      </c>
      <c r="AL1672" s="2">
        <v>0</v>
      </c>
      <c r="AM1672" s="2">
        <v>0</v>
      </c>
      <c r="AN1672" s="2">
        <v>0</v>
      </c>
      <c r="AO1672" t="s">
        <v>11165</v>
      </c>
      <c r="AP1672" t="s">
        <v>44</v>
      </c>
      <c r="AQ1672" t="s">
        <v>44</v>
      </c>
    </row>
    <row r="1673" spans="1:43" x14ac:dyDescent="0.2">
      <c r="A1673" t="s">
        <v>12180</v>
      </c>
      <c r="B1673" t="s">
        <v>11408</v>
      </c>
      <c r="C1673" t="s">
        <v>11408</v>
      </c>
      <c r="D1673" t="s">
        <v>11409</v>
      </c>
      <c r="E1673" t="s">
        <v>11410</v>
      </c>
      <c r="F1673" t="s">
        <v>11411</v>
      </c>
      <c r="G1673" s="1">
        <v>5437.9297999999999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3"/>
      <c r="N1673" s="4">
        <v>0</v>
      </c>
      <c r="O1673" s="5" t="s">
        <v>44</v>
      </c>
      <c r="P1673" s="5">
        <v>44809</v>
      </c>
      <c r="Q1673" s="1">
        <v>0</v>
      </c>
      <c r="R1673" s="2"/>
      <c r="S1673" s="6"/>
      <c r="T1673" t="s">
        <v>11412</v>
      </c>
      <c r="U1673" t="s">
        <v>11413</v>
      </c>
      <c r="V1673" t="s">
        <v>11414</v>
      </c>
      <c r="W1673" t="s">
        <v>43</v>
      </c>
      <c r="X1673" t="s">
        <v>44</v>
      </c>
      <c r="Y1673" t="s">
        <v>44</v>
      </c>
      <c r="Z1673" t="s">
        <v>44</v>
      </c>
      <c r="AA1673" t="s">
        <v>11035</v>
      </c>
      <c r="AB1673" t="s">
        <v>44</v>
      </c>
      <c r="AC1673" s="4"/>
      <c r="AD1673" s="4"/>
      <c r="AE1673" s="2">
        <v>0</v>
      </c>
      <c r="AF1673" s="4">
        <v>0</v>
      </c>
      <c r="AG1673" s="2">
        <v>0</v>
      </c>
      <c r="AH1673" s="2">
        <v>0</v>
      </c>
      <c r="AI1673" s="2">
        <v>0</v>
      </c>
      <c r="AJ1673" s="5">
        <v>44673</v>
      </c>
      <c r="AK1673" t="s">
        <v>12181</v>
      </c>
      <c r="AL1673" s="2">
        <v>0</v>
      </c>
      <c r="AM1673" s="2">
        <v>0</v>
      </c>
      <c r="AN1673" s="2">
        <v>0</v>
      </c>
      <c r="AO1673" t="s">
        <v>11053</v>
      </c>
      <c r="AP1673" t="s">
        <v>44</v>
      </c>
      <c r="AQ1673" t="s">
        <v>44</v>
      </c>
    </row>
    <row r="1674" spans="1:43" x14ac:dyDescent="0.2">
      <c r="A1674" t="s">
        <v>12180</v>
      </c>
      <c r="B1674" t="s">
        <v>11408</v>
      </c>
      <c r="C1674" t="s">
        <v>11408</v>
      </c>
      <c r="D1674" t="s">
        <v>11415</v>
      </c>
      <c r="E1674" t="s">
        <v>11410</v>
      </c>
      <c r="F1674" t="s">
        <v>11416</v>
      </c>
      <c r="G1674" s="1">
        <v>-61091715.289999999</v>
      </c>
      <c r="H1674" s="2">
        <v>0</v>
      </c>
      <c r="I1674" s="2">
        <v>0</v>
      </c>
      <c r="J1674" s="2">
        <v>-160656.15</v>
      </c>
      <c r="K1674" s="2">
        <v>0</v>
      </c>
      <c r="L1674" s="2">
        <v>-160656.15</v>
      </c>
      <c r="M1674" s="3"/>
      <c r="N1674" s="4">
        <v>-3.6550999999999999E-4</v>
      </c>
      <c r="O1674" s="5" t="s">
        <v>44</v>
      </c>
      <c r="P1674" s="5">
        <v>44809</v>
      </c>
      <c r="Q1674" s="1">
        <v>0</v>
      </c>
      <c r="R1674" s="2"/>
      <c r="S1674" s="6"/>
      <c r="T1674" t="s">
        <v>11412</v>
      </c>
      <c r="U1674" t="s">
        <v>11413</v>
      </c>
      <c r="V1674" t="s">
        <v>11414</v>
      </c>
      <c r="W1674" t="s">
        <v>43</v>
      </c>
      <c r="X1674" t="s">
        <v>44</v>
      </c>
      <c r="Y1674" t="s">
        <v>44</v>
      </c>
      <c r="Z1674" t="s">
        <v>44</v>
      </c>
      <c r="AA1674" t="s">
        <v>11035</v>
      </c>
      <c r="AB1674" t="s">
        <v>44</v>
      </c>
      <c r="AC1674" s="4"/>
      <c r="AD1674" s="4"/>
      <c r="AE1674" s="2">
        <v>0</v>
      </c>
      <c r="AF1674" s="4">
        <v>0</v>
      </c>
      <c r="AG1674" s="2">
        <v>-0.05</v>
      </c>
      <c r="AH1674" s="2">
        <v>-61252371.439999998</v>
      </c>
      <c r="AI1674" s="2">
        <v>-0.14000000000000001</v>
      </c>
      <c r="AJ1674" s="5">
        <v>44673</v>
      </c>
      <c r="AK1674" t="s">
        <v>12181</v>
      </c>
      <c r="AL1674" s="2">
        <v>0</v>
      </c>
      <c r="AM1674" s="2">
        <v>0</v>
      </c>
      <c r="AN1674" s="2">
        <v>0</v>
      </c>
      <c r="AO1674" t="s">
        <v>11053</v>
      </c>
      <c r="AP1674" t="s">
        <v>44</v>
      </c>
      <c r="AQ1674" t="s">
        <v>44</v>
      </c>
    </row>
    <row r="1675" spans="1:43" x14ac:dyDescent="0.2">
      <c r="A1675" t="s">
        <v>12180</v>
      </c>
      <c r="B1675" t="s">
        <v>11408</v>
      </c>
      <c r="C1675" t="s">
        <v>11408</v>
      </c>
      <c r="D1675" t="s">
        <v>11417</v>
      </c>
      <c r="E1675" t="s">
        <v>11410</v>
      </c>
      <c r="F1675" t="s">
        <v>11418</v>
      </c>
      <c r="G1675" s="1">
        <v>5437.9297999999999</v>
      </c>
      <c r="H1675" s="2">
        <v>0</v>
      </c>
      <c r="I1675" s="2">
        <v>-2537066.14</v>
      </c>
      <c r="J1675" s="2">
        <v>0</v>
      </c>
      <c r="K1675" s="2">
        <v>0</v>
      </c>
      <c r="L1675" s="2">
        <v>-2537066.14</v>
      </c>
      <c r="M1675" s="3">
        <v>10767.82</v>
      </c>
      <c r="N1675" s="4">
        <v>-5.7720999999999996E-3</v>
      </c>
      <c r="O1675" s="5" t="s">
        <v>44</v>
      </c>
      <c r="P1675" s="5">
        <v>44809</v>
      </c>
      <c r="Q1675" s="1">
        <v>0</v>
      </c>
      <c r="R1675" s="2"/>
      <c r="S1675" s="6"/>
      <c r="T1675" t="s">
        <v>11412</v>
      </c>
      <c r="U1675" t="s">
        <v>11413</v>
      </c>
      <c r="V1675" t="s">
        <v>11414</v>
      </c>
      <c r="W1675" t="s">
        <v>43</v>
      </c>
      <c r="X1675" t="s">
        <v>44</v>
      </c>
      <c r="Y1675" t="s">
        <v>44</v>
      </c>
      <c r="Z1675" t="s">
        <v>44</v>
      </c>
      <c r="AA1675" t="s">
        <v>11035</v>
      </c>
      <c r="AB1675" t="s">
        <v>44</v>
      </c>
      <c r="AC1675" s="4"/>
      <c r="AD1675" s="4"/>
      <c r="AE1675" s="2">
        <v>0</v>
      </c>
      <c r="AF1675" s="4">
        <v>0</v>
      </c>
      <c r="AG1675" s="2">
        <v>-0.74</v>
      </c>
      <c r="AH1675" s="2">
        <v>58554649.149999999</v>
      </c>
      <c r="AI1675" s="2">
        <v>0.13</v>
      </c>
      <c r="AJ1675" s="5">
        <v>44673</v>
      </c>
      <c r="AK1675" t="s">
        <v>12181</v>
      </c>
      <c r="AL1675" s="2">
        <v>0</v>
      </c>
      <c r="AM1675" s="2">
        <v>0</v>
      </c>
      <c r="AN1675" s="2">
        <v>0</v>
      </c>
      <c r="AO1675" t="s">
        <v>11053</v>
      </c>
      <c r="AP1675" t="s">
        <v>44</v>
      </c>
      <c r="AQ1675" t="s">
        <v>44</v>
      </c>
    </row>
    <row r="1676" spans="1:43" x14ac:dyDescent="0.2">
      <c r="A1676" t="s">
        <v>12180</v>
      </c>
      <c r="B1676" t="s">
        <v>11030</v>
      </c>
      <c r="C1676" t="s">
        <v>11030</v>
      </c>
      <c r="D1676" t="s">
        <v>11181</v>
      </c>
      <c r="E1676" t="s">
        <v>11151</v>
      </c>
      <c r="F1676" t="s">
        <v>11181</v>
      </c>
      <c r="G1676" s="1">
        <v>74</v>
      </c>
      <c r="H1676" s="2"/>
      <c r="I1676" s="2">
        <v>0</v>
      </c>
      <c r="J1676" s="2"/>
      <c r="K1676" s="2"/>
      <c r="L1676" s="2">
        <v>0</v>
      </c>
      <c r="M1676" s="3"/>
      <c r="N1676" s="4">
        <v>0</v>
      </c>
      <c r="O1676" s="5" t="s">
        <v>44</v>
      </c>
      <c r="P1676" s="5" t="s">
        <v>44</v>
      </c>
      <c r="Q1676" s="1"/>
      <c r="R1676" s="2"/>
      <c r="S1676" s="6"/>
      <c r="T1676" t="s">
        <v>11031</v>
      </c>
      <c r="U1676" t="s">
        <v>11032</v>
      </c>
      <c r="V1676" t="s">
        <v>45</v>
      </c>
      <c r="W1676" t="s">
        <v>43</v>
      </c>
      <c r="X1676" t="s">
        <v>44</v>
      </c>
      <c r="Y1676" t="s">
        <v>44</v>
      </c>
      <c r="Z1676" t="s">
        <v>44</v>
      </c>
      <c r="AA1676" t="s">
        <v>44</v>
      </c>
      <c r="AB1676" t="s">
        <v>44</v>
      </c>
      <c r="AC1676" s="4"/>
      <c r="AD1676" s="4"/>
      <c r="AE1676" s="2">
        <v>0</v>
      </c>
      <c r="AF1676" s="4">
        <v>0</v>
      </c>
      <c r="AG1676" s="2">
        <v>0</v>
      </c>
      <c r="AH1676" s="2">
        <v>-48620960</v>
      </c>
      <c r="AI1676" s="2">
        <v>-0.11</v>
      </c>
      <c r="AJ1676" s="5">
        <v>44673</v>
      </c>
      <c r="AK1676" t="s">
        <v>12181</v>
      </c>
      <c r="AL1676" s="2">
        <v>0</v>
      </c>
      <c r="AM1676" s="2">
        <v>0</v>
      </c>
      <c r="AN1676" s="2">
        <v>0</v>
      </c>
      <c r="AO1676" t="s">
        <v>44</v>
      </c>
      <c r="AP1676" t="s">
        <v>44</v>
      </c>
      <c r="AQ1676" t="s">
        <v>11182</v>
      </c>
    </row>
    <row r="1677" spans="1:43" x14ac:dyDescent="0.2">
      <c r="A1677" t="s">
        <v>12199</v>
      </c>
      <c r="B1677" t="s">
        <v>10900</v>
      </c>
      <c r="C1677" t="s">
        <v>11049</v>
      </c>
      <c r="D1677" t="s">
        <v>11265</v>
      </c>
      <c r="E1677" t="s">
        <v>11266</v>
      </c>
      <c r="F1677" t="s">
        <v>11265</v>
      </c>
      <c r="G1677" s="1">
        <v>12000000</v>
      </c>
      <c r="H1677" s="2">
        <v>11427344.560000001</v>
      </c>
      <c r="I1677" s="2">
        <v>11427344.560000001</v>
      </c>
      <c r="J1677" s="2">
        <v>0</v>
      </c>
      <c r="K1677" s="2">
        <v>0</v>
      </c>
      <c r="L1677" s="2">
        <v>11427344.560000001</v>
      </c>
      <c r="M1677" s="3">
        <v>6.3099970000000001</v>
      </c>
      <c r="N1677" s="4">
        <v>2.5998440000000001E-2</v>
      </c>
      <c r="O1677" s="5" t="s">
        <v>44</v>
      </c>
      <c r="P1677" s="5">
        <v>44964</v>
      </c>
      <c r="Q1677" s="1">
        <v>0</v>
      </c>
      <c r="R1677" s="2">
        <v>0.79</v>
      </c>
      <c r="S1677" s="6">
        <v>0.75161913127000002</v>
      </c>
      <c r="T1677" t="s">
        <v>112</v>
      </c>
      <c r="U1677" t="s">
        <v>111</v>
      </c>
      <c r="V1677" t="s">
        <v>11238</v>
      </c>
      <c r="W1677" t="s">
        <v>43</v>
      </c>
      <c r="X1677" t="s">
        <v>44</v>
      </c>
      <c r="Y1677" t="s">
        <v>44</v>
      </c>
      <c r="Z1677" t="s">
        <v>44</v>
      </c>
      <c r="AA1677" t="s">
        <v>10979</v>
      </c>
      <c r="AB1677" t="s">
        <v>44</v>
      </c>
      <c r="AC1677" s="4">
        <v>6.4095368800000001</v>
      </c>
      <c r="AD1677" s="4">
        <v>6.2286110399999997</v>
      </c>
      <c r="AE1677" s="2">
        <v>6.41</v>
      </c>
      <c r="AF1677" s="4">
        <v>6.2286110399999997</v>
      </c>
      <c r="AG1677" s="2">
        <v>0.72</v>
      </c>
      <c r="AH1677" s="2">
        <v>11427344.560000001</v>
      </c>
      <c r="AI1677" s="2">
        <v>0.03</v>
      </c>
      <c r="AJ1677" s="5">
        <v>44673</v>
      </c>
      <c r="AK1677" t="s">
        <v>12200</v>
      </c>
      <c r="AL1677" s="2">
        <v>6.31</v>
      </c>
      <c r="AM1677" s="2">
        <v>0</v>
      </c>
      <c r="AN1677" s="2">
        <v>0.75</v>
      </c>
      <c r="AO1677" t="s">
        <v>10982</v>
      </c>
      <c r="AP1677" t="s">
        <v>11267</v>
      </c>
      <c r="AQ1677" t="s">
        <v>11266</v>
      </c>
    </row>
    <row r="1678" spans="1:43" x14ac:dyDescent="0.2">
      <c r="A1678" t="s">
        <v>12199</v>
      </c>
      <c r="B1678" t="s">
        <v>45</v>
      </c>
      <c r="C1678" t="s">
        <v>11000</v>
      </c>
      <c r="D1678" t="s">
        <v>11268</v>
      </c>
      <c r="E1678" t="s">
        <v>11269</v>
      </c>
      <c r="F1678" t="s">
        <v>11268</v>
      </c>
      <c r="G1678" s="1">
        <v>9979808.2799999993</v>
      </c>
      <c r="H1678" s="2">
        <v>9979808.2799999993</v>
      </c>
      <c r="I1678" s="2">
        <v>9979808.2799999993</v>
      </c>
      <c r="J1678" s="2">
        <v>32059.52</v>
      </c>
      <c r="K1678" s="2">
        <v>0</v>
      </c>
      <c r="L1678" s="2">
        <v>10011867.800000001</v>
      </c>
      <c r="M1678" s="3">
        <v>4.617</v>
      </c>
      <c r="N1678" s="4">
        <v>2.2778079999999999E-2</v>
      </c>
      <c r="O1678" s="5" t="s">
        <v>44</v>
      </c>
      <c r="P1678" s="5">
        <v>47848</v>
      </c>
      <c r="Q1678" s="1">
        <v>4.617</v>
      </c>
      <c r="R1678" s="2">
        <v>0.08</v>
      </c>
      <c r="S1678" s="6"/>
      <c r="T1678" t="s">
        <v>112</v>
      </c>
      <c r="U1678" t="s">
        <v>46</v>
      </c>
      <c r="V1678" t="s">
        <v>11270</v>
      </c>
      <c r="W1678" t="s">
        <v>43</v>
      </c>
      <c r="X1678" t="s">
        <v>44</v>
      </c>
      <c r="Y1678" t="s">
        <v>44</v>
      </c>
      <c r="Z1678" t="s">
        <v>44</v>
      </c>
      <c r="AA1678" t="s">
        <v>44</v>
      </c>
      <c r="AB1678" t="s">
        <v>44</v>
      </c>
      <c r="AC1678" s="4">
        <v>4.7160921900000004</v>
      </c>
      <c r="AD1678" s="4">
        <v>4.6171215200000004</v>
      </c>
      <c r="AE1678" s="2">
        <v>4.72</v>
      </c>
      <c r="AF1678" s="4">
        <v>4.6171215200000004</v>
      </c>
      <c r="AG1678" s="2">
        <v>0.63</v>
      </c>
      <c r="AH1678" s="2">
        <v>10011867.800000001</v>
      </c>
      <c r="AI1678" s="2">
        <v>0.02</v>
      </c>
      <c r="AJ1678" s="5">
        <v>44673</v>
      </c>
      <c r="AK1678" t="s">
        <v>12200</v>
      </c>
      <c r="AL1678" s="2">
        <v>4.66</v>
      </c>
      <c r="AM1678" s="2">
        <v>4.62</v>
      </c>
      <c r="AN1678" s="2">
        <v>0</v>
      </c>
      <c r="AO1678" t="s">
        <v>44</v>
      </c>
      <c r="AP1678" t="s">
        <v>44</v>
      </c>
      <c r="AQ1678" t="s">
        <v>11269</v>
      </c>
    </row>
    <row r="1679" spans="1:43" x14ac:dyDescent="0.2">
      <c r="A1679" t="s">
        <v>12199</v>
      </c>
      <c r="B1679" t="s">
        <v>45</v>
      </c>
      <c r="C1679" t="s">
        <v>11000</v>
      </c>
      <c r="D1679" t="s">
        <v>11271</v>
      </c>
      <c r="E1679" t="s">
        <v>11272</v>
      </c>
      <c r="F1679" t="s">
        <v>11271</v>
      </c>
      <c r="G1679" s="1">
        <v>10750000</v>
      </c>
      <c r="H1679" s="2">
        <v>10750000</v>
      </c>
      <c r="I1679" s="2">
        <v>10750000</v>
      </c>
      <c r="J1679" s="2">
        <v>34533.71</v>
      </c>
      <c r="K1679" s="2">
        <v>0</v>
      </c>
      <c r="L1679" s="2">
        <v>10784533.710000001</v>
      </c>
      <c r="M1679" s="3">
        <v>4.617</v>
      </c>
      <c r="N1679" s="4">
        <v>2.4535979999999999E-2</v>
      </c>
      <c r="O1679" s="5" t="s">
        <v>44</v>
      </c>
      <c r="P1679" s="5">
        <v>47848</v>
      </c>
      <c r="Q1679" s="1">
        <v>4.617</v>
      </c>
      <c r="R1679" s="2">
        <v>0.08</v>
      </c>
      <c r="S1679" s="6"/>
      <c r="T1679" t="s">
        <v>112</v>
      </c>
      <c r="U1679" t="s">
        <v>46</v>
      </c>
      <c r="V1679" t="s">
        <v>11270</v>
      </c>
      <c r="W1679" t="s">
        <v>43</v>
      </c>
      <c r="X1679" t="s">
        <v>44</v>
      </c>
      <c r="Y1679" t="s">
        <v>44</v>
      </c>
      <c r="Z1679" t="s">
        <v>44</v>
      </c>
      <c r="AA1679" t="s">
        <v>44</v>
      </c>
      <c r="AB1679" t="s">
        <v>44</v>
      </c>
      <c r="AC1679" s="4">
        <v>4.7160921900000004</v>
      </c>
      <c r="AD1679" s="4">
        <v>4.6171215200000004</v>
      </c>
      <c r="AE1679" s="2">
        <v>4.72</v>
      </c>
      <c r="AF1679" s="4">
        <v>4.6171215200000004</v>
      </c>
      <c r="AG1679" s="2">
        <v>0.68</v>
      </c>
      <c r="AH1679" s="2">
        <v>10784533.710000001</v>
      </c>
      <c r="AI1679" s="2">
        <v>0.02</v>
      </c>
      <c r="AJ1679" s="5">
        <v>44673</v>
      </c>
      <c r="AK1679" t="s">
        <v>12200</v>
      </c>
      <c r="AL1679" s="2">
        <v>4.66</v>
      </c>
      <c r="AM1679" s="2">
        <v>4.62</v>
      </c>
      <c r="AN1679" s="2">
        <v>0</v>
      </c>
      <c r="AO1679" t="s">
        <v>44</v>
      </c>
      <c r="AP1679" t="s">
        <v>44</v>
      </c>
      <c r="AQ1679" t="s">
        <v>11272</v>
      </c>
    </row>
    <row r="1680" spans="1:43" x14ac:dyDescent="0.2">
      <c r="A1680" t="s">
        <v>12199</v>
      </c>
      <c r="B1680" t="s">
        <v>45</v>
      </c>
      <c r="C1680" t="s">
        <v>11000</v>
      </c>
      <c r="D1680" t="s">
        <v>11273</v>
      </c>
      <c r="E1680" t="s">
        <v>11274</v>
      </c>
      <c r="F1680" t="s">
        <v>11273</v>
      </c>
      <c r="G1680" s="1">
        <v>1964.36</v>
      </c>
      <c r="H1680" s="2">
        <v>1964.36</v>
      </c>
      <c r="I1680" s="2">
        <v>1964.36</v>
      </c>
      <c r="J1680" s="2">
        <v>5.96</v>
      </c>
      <c r="K1680" s="2">
        <v>0</v>
      </c>
      <c r="L1680" s="2">
        <v>1970.32</v>
      </c>
      <c r="M1680" s="3"/>
      <c r="N1680" s="4">
        <v>4.4800000000000003E-6</v>
      </c>
      <c r="O1680" s="5">
        <v>44378</v>
      </c>
      <c r="P1680" s="5">
        <v>55153</v>
      </c>
      <c r="Q1680" s="1">
        <v>0</v>
      </c>
      <c r="R1680" s="2"/>
      <c r="S1680" s="6"/>
      <c r="T1680" t="s">
        <v>111</v>
      </c>
      <c r="U1680" t="s">
        <v>11003</v>
      </c>
      <c r="V1680" t="s">
        <v>46</v>
      </c>
      <c r="W1680" t="s">
        <v>43</v>
      </c>
      <c r="X1680" t="s">
        <v>44</v>
      </c>
      <c r="Y1680" t="s">
        <v>44</v>
      </c>
      <c r="Z1680" t="s">
        <v>44</v>
      </c>
      <c r="AA1680" t="s">
        <v>44</v>
      </c>
      <c r="AB1680" t="s">
        <v>44</v>
      </c>
      <c r="AC1680" s="4"/>
      <c r="AD1680" s="4"/>
      <c r="AE1680" s="2">
        <v>0</v>
      </c>
      <c r="AF1680" s="4">
        <v>0</v>
      </c>
      <c r="AG1680" s="2">
        <v>0</v>
      </c>
      <c r="AH1680" s="2">
        <v>1970.32</v>
      </c>
      <c r="AI1680" s="2">
        <v>0</v>
      </c>
      <c r="AJ1680" s="5">
        <v>44673</v>
      </c>
      <c r="AK1680" t="s">
        <v>12200</v>
      </c>
      <c r="AL1680" s="2">
        <v>0</v>
      </c>
      <c r="AM1680" s="2">
        <v>0</v>
      </c>
      <c r="AN1680" s="2">
        <v>0</v>
      </c>
      <c r="AO1680" t="s">
        <v>44</v>
      </c>
      <c r="AP1680" t="s">
        <v>11275</v>
      </c>
      <c r="AQ1680" t="s">
        <v>11274</v>
      </c>
    </row>
    <row r="1681" spans="1:43" x14ac:dyDescent="0.2">
      <c r="A1681" t="s">
        <v>12199</v>
      </c>
      <c r="B1681" t="s">
        <v>45</v>
      </c>
      <c r="C1681" t="s">
        <v>11000</v>
      </c>
      <c r="D1681" t="s">
        <v>11001</v>
      </c>
      <c r="E1681" t="s">
        <v>11002</v>
      </c>
      <c r="F1681" t="s">
        <v>11001</v>
      </c>
      <c r="G1681" s="1">
        <v>225025350.63</v>
      </c>
      <c r="H1681" s="2">
        <v>225025350.63999999</v>
      </c>
      <c r="I1681" s="2">
        <v>225025350.63999999</v>
      </c>
      <c r="J1681" s="2">
        <v>616956.9</v>
      </c>
      <c r="K1681" s="2">
        <v>0</v>
      </c>
      <c r="L1681" s="2">
        <v>225642307.53999999</v>
      </c>
      <c r="M1681" s="3"/>
      <c r="N1681" s="4">
        <v>0.51336053999999998</v>
      </c>
      <c r="O1681" s="5">
        <v>40756</v>
      </c>
      <c r="P1681" s="5">
        <v>73020</v>
      </c>
      <c r="Q1681" s="1">
        <v>0</v>
      </c>
      <c r="R1681" s="2"/>
      <c r="S1681" s="6"/>
      <c r="T1681" t="s">
        <v>111</v>
      </c>
      <c r="U1681" t="s">
        <v>11003</v>
      </c>
      <c r="V1681" t="s">
        <v>46</v>
      </c>
      <c r="W1681" t="s">
        <v>43</v>
      </c>
      <c r="X1681" t="s">
        <v>44</v>
      </c>
      <c r="Y1681" t="s">
        <v>44</v>
      </c>
      <c r="Z1681" t="s">
        <v>44</v>
      </c>
      <c r="AA1681" t="s">
        <v>44</v>
      </c>
      <c r="AB1681" t="s">
        <v>44</v>
      </c>
      <c r="AC1681" s="4"/>
      <c r="AD1681" s="4"/>
      <c r="AE1681" s="2">
        <v>0</v>
      </c>
      <c r="AF1681" s="4">
        <v>0</v>
      </c>
      <c r="AG1681" s="2">
        <v>14.26</v>
      </c>
      <c r="AH1681" s="2">
        <v>225642307.53999999</v>
      </c>
      <c r="AI1681" s="2">
        <v>0.51</v>
      </c>
      <c r="AJ1681" s="5">
        <v>44673</v>
      </c>
      <c r="AK1681" t="s">
        <v>12200</v>
      </c>
      <c r="AL1681" s="2">
        <v>0</v>
      </c>
      <c r="AM1681" s="2">
        <v>0</v>
      </c>
      <c r="AN1681" s="2">
        <v>0</v>
      </c>
      <c r="AO1681" t="s">
        <v>44</v>
      </c>
      <c r="AP1681" t="s">
        <v>11004</v>
      </c>
      <c r="AQ1681" t="s">
        <v>11002</v>
      </c>
    </row>
    <row r="1682" spans="1:43" x14ac:dyDescent="0.2">
      <c r="A1682" t="s">
        <v>12199</v>
      </c>
      <c r="B1682" t="s">
        <v>45</v>
      </c>
      <c r="C1682" t="s">
        <v>11144</v>
      </c>
      <c r="D1682" t="s">
        <v>11145</v>
      </c>
      <c r="E1682" t="s">
        <v>11146</v>
      </c>
      <c r="F1682" t="s">
        <v>11147</v>
      </c>
      <c r="G1682" s="1">
        <v>29464799</v>
      </c>
      <c r="H1682" s="2">
        <v>29464799</v>
      </c>
      <c r="I1682" s="2">
        <v>29464799</v>
      </c>
      <c r="J1682" s="2">
        <v>92474.57</v>
      </c>
      <c r="K1682" s="2">
        <v>0</v>
      </c>
      <c r="L1682" s="2">
        <v>29557273.57</v>
      </c>
      <c r="M1682" s="3">
        <v>6.88</v>
      </c>
      <c r="N1682" s="4">
        <v>6.7245979999999997E-2</v>
      </c>
      <c r="O1682" s="5" t="s">
        <v>44</v>
      </c>
      <c r="P1682" s="5">
        <v>55153</v>
      </c>
      <c r="Q1682" s="1">
        <v>6.88</v>
      </c>
      <c r="R1682" s="2">
        <v>0.08</v>
      </c>
      <c r="S1682" s="6">
        <v>2.6006750000000002E-3</v>
      </c>
      <c r="T1682" t="s">
        <v>112</v>
      </c>
      <c r="U1682" t="s">
        <v>46</v>
      </c>
      <c r="V1682" t="s">
        <v>11148</v>
      </c>
      <c r="W1682" t="s">
        <v>43</v>
      </c>
      <c r="X1682" t="s">
        <v>44</v>
      </c>
      <c r="Y1682" t="s">
        <v>44</v>
      </c>
      <c r="Z1682" t="s">
        <v>44</v>
      </c>
      <c r="AA1682" t="s">
        <v>44</v>
      </c>
      <c r="AB1682" t="s">
        <v>44</v>
      </c>
      <c r="AC1682" s="4"/>
      <c r="AD1682" s="4"/>
      <c r="AE1682" s="2">
        <v>0</v>
      </c>
      <c r="AF1682" s="4">
        <v>0</v>
      </c>
      <c r="AG1682" s="2">
        <v>1.87</v>
      </c>
      <c r="AH1682" s="2">
        <v>29557273.57</v>
      </c>
      <c r="AI1682" s="2">
        <v>7.0000000000000007E-2</v>
      </c>
      <c r="AJ1682" s="5">
        <v>44673</v>
      </c>
      <c r="AK1682" t="s">
        <v>12200</v>
      </c>
      <c r="AL1682" s="2">
        <v>0</v>
      </c>
      <c r="AM1682" s="2">
        <v>6.88</v>
      </c>
      <c r="AN1682" s="2">
        <v>0</v>
      </c>
      <c r="AO1682" t="s">
        <v>11146</v>
      </c>
      <c r="AP1682" t="s">
        <v>44</v>
      </c>
      <c r="AQ1682" t="s">
        <v>11146</v>
      </c>
    </row>
    <row r="1683" spans="1:43" x14ac:dyDescent="0.2">
      <c r="A1683" t="s">
        <v>12199</v>
      </c>
      <c r="B1683" t="s">
        <v>45</v>
      </c>
      <c r="C1683" t="s">
        <v>47</v>
      </c>
      <c r="D1683" t="s">
        <v>48</v>
      </c>
      <c r="E1683" t="s">
        <v>49</v>
      </c>
      <c r="F1683" t="s">
        <v>50</v>
      </c>
      <c r="G1683" s="1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-3459.32</v>
      </c>
      <c r="M1683" s="3"/>
      <c r="N1683" s="4">
        <v>-7.8699999999999992E-6</v>
      </c>
      <c r="O1683" s="5" t="s">
        <v>44</v>
      </c>
      <c r="P1683" s="5" t="s">
        <v>44</v>
      </c>
      <c r="Q1683" s="1"/>
      <c r="R1683" s="2">
        <v>0.08</v>
      </c>
      <c r="S1683" s="6"/>
      <c r="T1683" t="s">
        <v>45</v>
      </c>
      <c r="U1683" t="s">
        <v>46</v>
      </c>
      <c r="V1683" t="s">
        <v>44</v>
      </c>
      <c r="W1683" t="s">
        <v>43</v>
      </c>
      <c r="X1683" t="s">
        <v>44</v>
      </c>
      <c r="Y1683" t="s">
        <v>44</v>
      </c>
      <c r="Z1683" t="s">
        <v>44</v>
      </c>
      <c r="AA1683" t="s">
        <v>44</v>
      </c>
      <c r="AB1683" t="s">
        <v>44</v>
      </c>
      <c r="AC1683" s="4">
        <v>5.1163389600000002</v>
      </c>
      <c r="AD1683" s="4">
        <v>5.0001424999999999</v>
      </c>
      <c r="AE1683" s="2">
        <v>5.12</v>
      </c>
      <c r="AF1683" s="4">
        <v>5.0001424999999999</v>
      </c>
      <c r="AG1683" s="2">
        <v>0</v>
      </c>
      <c r="AH1683" s="2">
        <v>-3459.32</v>
      </c>
      <c r="AI1683" s="2">
        <v>0</v>
      </c>
      <c r="AJ1683" s="5">
        <v>44673</v>
      </c>
      <c r="AK1683" t="s">
        <v>12200</v>
      </c>
      <c r="AL1683" s="2">
        <v>5.05</v>
      </c>
      <c r="AM1683" s="2">
        <v>0</v>
      </c>
      <c r="AN1683" s="2">
        <v>0</v>
      </c>
      <c r="AO1683" t="s">
        <v>44</v>
      </c>
      <c r="AP1683" t="s">
        <v>44</v>
      </c>
      <c r="AQ1683" t="s">
        <v>44</v>
      </c>
    </row>
    <row r="1684" spans="1:43" x14ac:dyDescent="0.2">
      <c r="A1684" t="s">
        <v>12199</v>
      </c>
      <c r="B1684" t="s">
        <v>45</v>
      </c>
      <c r="C1684" t="s">
        <v>47</v>
      </c>
      <c r="D1684" t="s">
        <v>51</v>
      </c>
      <c r="E1684" t="s">
        <v>52</v>
      </c>
      <c r="F1684" t="s">
        <v>51</v>
      </c>
      <c r="G1684" s="1">
        <v>626401.39</v>
      </c>
      <c r="H1684" s="2">
        <v>626401.39</v>
      </c>
      <c r="I1684" s="2">
        <v>626401.39</v>
      </c>
      <c r="J1684" s="2">
        <v>0</v>
      </c>
      <c r="K1684" s="2">
        <v>0</v>
      </c>
      <c r="L1684" s="2">
        <v>626401.39</v>
      </c>
      <c r="M1684" s="3"/>
      <c r="N1684" s="4">
        <v>1.4251299999999999E-3</v>
      </c>
      <c r="O1684" s="5" t="s">
        <v>44</v>
      </c>
      <c r="P1684" s="5" t="s">
        <v>44</v>
      </c>
      <c r="Q1684" s="1"/>
      <c r="R1684" s="2">
        <v>0.08</v>
      </c>
      <c r="S1684" s="6"/>
      <c r="T1684" t="s">
        <v>45</v>
      </c>
      <c r="U1684" t="s">
        <v>53</v>
      </c>
      <c r="V1684" t="s">
        <v>44</v>
      </c>
      <c r="W1684" t="s">
        <v>43</v>
      </c>
      <c r="X1684" t="s">
        <v>44</v>
      </c>
      <c r="Y1684" t="s">
        <v>44</v>
      </c>
      <c r="Z1684" t="s">
        <v>44</v>
      </c>
      <c r="AA1684" t="s">
        <v>44</v>
      </c>
      <c r="AB1684" t="s">
        <v>44</v>
      </c>
      <c r="AC1684" s="4">
        <v>5.1163389600000002</v>
      </c>
      <c r="AD1684" s="4">
        <v>5.0001424999999999</v>
      </c>
      <c r="AE1684" s="2">
        <v>5.12</v>
      </c>
      <c r="AF1684" s="4">
        <v>5.0001424999999999</v>
      </c>
      <c r="AG1684" s="2">
        <v>0.04</v>
      </c>
      <c r="AH1684" s="2">
        <v>626401.39</v>
      </c>
      <c r="AI1684" s="2">
        <v>0</v>
      </c>
      <c r="AJ1684" s="5">
        <v>44673</v>
      </c>
      <c r="AK1684" t="s">
        <v>12200</v>
      </c>
      <c r="AL1684" s="2">
        <v>5.05</v>
      </c>
      <c r="AM1684" s="2">
        <v>0</v>
      </c>
      <c r="AN1684" s="2">
        <v>0</v>
      </c>
      <c r="AO1684" t="s">
        <v>44</v>
      </c>
      <c r="AP1684" t="s">
        <v>44</v>
      </c>
      <c r="AQ1684" t="s">
        <v>43</v>
      </c>
    </row>
    <row r="1685" spans="1:43" x14ac:dyDescent="0.2">
      <c r="A1685" t="s">
        <v>12199</v>
      </c>
      <c r="B1685" t="s">
        <v>45</v>
      </c>
      <c r="C1685" t="s">
        <v>11005</v>
      </c>
      <c r="D1685" t="s">
        <v>11006</v>
      </c>
      <c r="E1685" t="s">
        <v>11007</v>
      </c>
      <c r="F1685" t="s">
        <v>11006</v>
      </c>
      <c r="G1685" s="1">
        <v>-103373</v>
      </c>
      <c r="H1685" s="2">
        <v>-103373</v>
      </c>
      <c r="I1685" s="2">
        <v>-103373</v>
      </c>
      <c r="J1685" s="2">
        <v>0</v>
      </c>
      <c r="K1685" s="2"/>
      <c r="L1685" s="2">
        <v>-103373</v>
      </c>
      <c r="M1685" s="3"/>
      <c r="N1685" s="4">
        <v>-2.3518000000000001E-4</v>
      </c>
      <c r="O1685" s="5" t="s">
        <v>44</v>
      </c>
      <c r="P1685" s="5">
        <v>73051</v>
      </c>
      <c r="Q1685" s="1">
        <v>0</v>
      </c>
      <c r="R1685" s="2">
        <v>0.08</v>
      </c>
      <c r="S1685" s="6"/>
      <c r="T1685" t="s">
        <v>45</v>
      </c>
      <c r="U1685" t="s">
        <v>11008</v>
      </c>
      <c r="V1685" t="s">
        <v>44</v>
      </c>
      <c r="W1685" t="s">
        <v>43</v>
      </c>
      <c r="X1685" t="s">
        <v>44</v>
      </c>
      <c r="Y1685" t="s">
        <v>44</v>
      </c>
      <c r="Z1685" t="s">
        <v>44</v>
      </c>
      <c r="AA1685" t="s">
        <v>44</v>
      </c>
      <c r="AB1685" t="s">
        <v>44</v>
      </c>
      <c r="AC1685" s="4">
        <v>5.1163389600000002</v>
      </c>
      <c r="AD1685" s="4">
        <v>5.0001424999999999</v>
      </c>
      <c r="AE1685" s="2">
        <v>5.12</v>
      </c>
      <c r="AF1685" s="4">
        <v>5.0001424999999999</v>
      </c>
      <c r="AG1685" s="2">
        <v>-0.01</v>
      </c>
      <c r="AH1685" s="2">
        <v>-103373</v>
      </c>
      <c r="AI1685" s="2">
        <v>0</v>
      </c>
      <c r="AJ1685" s="5">
        <v>44673</v>
      </c>
      <c r="AK1685" t="s">
        <v>12200</v>
      </c>
      <c r="AL1685" s="2">
        <v>5.05</v>
      </c>
      <c r="AM1685" s="2">
        <v>0</v>
      </c>
      <c r="AN1685" s="2">
        <v>0</v>
      </c>
      <c r="AO1685" t="s">
        <v>44</v>
      </c>
      <c r="AP1685" t="s">
        <v>44</v>
      </c>
      <c r="AQ1685" t="s">
        <v>44</v>
      </c>
    </row>
    <row r="1686" spans="1:43" x14ac:dyDescent="0.2">
      <c r="A1686" t="s">
        <v>12199</v>
      </c>
      <c r="B1686" t="s">
        <v>45</v>
      </c>
      <c r="C1686" t="s">
        <v>11005</v>
      </c>
      <c r="D1686" t="s">
        <v>11009</v>
      </c>
      <c r="E1686" t="s">
        <v>11010</v>
      </c>
      <c r="F1686" t="s">
        <v>44</v>
      </c>
      <c r="G1686" s="1">
        <v>-103009.8</v>
      </c>
      <c r="H1686" s="2">
        <v>-103009.8</v>
      </c>
      <c r="I1686" s="2">
        <v>-103009.8</v>
      </c>
      <c r="J1686" s="2">
        <v>0</v>
      </c>
      <c r="K1686" s="2"/>
      <c r="L1686" s="2">
        <v>-103009.8</v>
      </c>
      <c r="M1686" s="3"/>
      <c r="N1686" s="4">
        <v>-2.3436E-4</v>
      </c>
      <c r="O1686" s="5" t="s">
        <v>44</v>
      </c>
      <c r="P1686" s="5">
        <v>73051</v>
      </c>
      <c r="Q1686" s="1">
        <v>0</v>
      </c>
      <c r="R1686" s="2">
        <v>0.08</v>
      </c>
      <c r="S1686" s="6"/>
      <c r="T1686" t="s">
        <v>45</v>
      </c>
      <c r="U1686" t="s">
        <v>44</v>
      </c>
      <c r="V1686" t="s">
        <v>44</v>
      </c>
      <c r="W1686" t="s">
        <v>43</v>
      </c>
      <c r="X1686" t="s">
        <v>44</v>
      </c>
      <c r="Y1686" t="s">
        <v>44</v>
      </c>
      <c r="Z1686" t="s">
        <v>44</v>
      </c>
      <c r="AA1686" t="s">
        <v>44</v>
      </c>
      <c r="AB1686" t="s">
        <v>44</v>
      </c>
      <c r="AC1686" s="4">
        <v>5.1163389600000002</v>
      </c>
      <c r="AD1686" s="4">
        <v>5.0001424999999999</v>
      </c>
      <c r="AE1686" s="2">
        <v>5.12</v>
      </c>
      <c r="AF1686" s="4">
        <v>5.0001424999999999</v>
      </c>
      <c r="AG1686" s="2">
        <v>-0.01</v>
      </c>
      <c r="AH1686" s="2">
        <v>-103009.8</v>
      </c>
      <c r="AI1686" s="2">
        <v>0</v>
      </c>
      <c r="AJ1686" s="5">
        <v>44673</v>
      </c>
      <c r="AK1686" t="s">
        <v>12200</v>
      </c>
      <c r="AL1686" s="2">
        <v>5.05</v>
      </c>
      <c r="AM1686" s="2">
        <v>0</v>
      </c>
      <c r="AN1686" s="2">
        <v>0</v>
      </c>
      <c r="AO1686" t="s">
        <v>44</v>
      </c>
      <c r="AP1686" t="s">
        <v>44</v>
      </c>
      <c r="AQ1686" t="s">
        <v>44</v>
      </c>
    </row>
    <row r="1687" spans="1:43" x14ac:dyDescent="0.2">
      <c r="A1687" t="s">
        <v>12199</v>
      </c>
      <c r="B1687" t="s">
        <v>45</v>
      </c>
      <c r="C1687" t="s">
        <v>11005</v>
      </c>
      <c r="D1687" t="s">
        <v>11011</v>
      </c>
      <c r="E1687" t="s">
        <v>11012</v>
      </c>
      <c r="F1687" t="s">
        <v>44</v>
      </c>
      <c r="G1687" s="1">
        <v>-38921.85</v>
      </c>
      <c r="H1687" s="2">
        <v>-38921.85</v>
      </c>
      <c r="I1687" s="2">
        <v>-38921.85</v>
      </c>
      <c r="J1687" s="2">
        <v>0</v>
      </c>
      <c r="K1687" s="2"/>
      <c r="L1687" s="2">
        <v>-38921.85</v>
      </c>
      <c r="M1687" s="3"/>
      <c r="N1687" s="4">
        <v>-8.8549999999999998E-5</v>
      </c>
      <c r="O1687" s="5" t="s">
        <v>44</v>
      </c>
      <c r="P1687" s="5">
        <v>73051</v>
      </c>
      <c r="Q1687" s="1">
        <v>0</v>
      </c>
      <c r="R1687" s="2">
        <v>0.08</v>
      </c>
      <c r="S1687" s="6"/>
      <c r="T1687" t="s">
        <v>45</v>
      </c>
      <c r="U1687" t="s">
        <v>44</v>
      </c>
      <c r="V1687" t="s">
        <v>44</v>
      </c>
      <c r="W1687" t="s">
        <v>43</v>
      </c>
      <c r="X1687" t="s">
        <v>44</v>
      </c>
      <c r="Y1687" t="s">
        <v>44</v>
      </c>
      <c r="Z1687" t="s">
        <v>44</v>
      </c>
      <c r="AA1687" t="s">
        <v>44</v>
      </c>
      <c r="AB1687" t="s">
        <v>44</v>
      </c>
      <c r="AC1687" s="4">
        <v>5.1163389600000002</v>
      </c>
      <c r="AD1687" s="4">
        <v>5.0001424999999999</v>
      </c>
      <c r="AE1687" s="2">
        <v>5.12</v>
      </c>
      <c r="AF1687" s="4">
        <v>5.0001424999999999</v>
      </c>
      <c r="AG1687" s="2">
        <v>0</v>
      </c>
      <c r="AH1687" s="2">
        <v>-38921.85</v>
      </c>
      <c r="AI1687" s="2">
        <v>0</v>
      </c>
      <c r="AJ1687" s="5">
        <v>44673</v>
      </c>
      <c r="AK1687" t="s">
        <v>12200</v>
      </c>
      <c r="AL1687" s="2">
        <v>5.05</v>
      </c>
      <c r="AM1687" s="2">
        <v>0</v>
      </c>
      <c r="AN1687" s="2">
        <v>0</v>
      </c>
      <c r="AO1687" t="s">
        <v>44</v>
      </c>
      <c r="AP1687" t="s">
        <v>44</v>
      </c>
      <c r="AQ1687" t="s">
        <v>44</v>
      </c>
    </row>
    <row r="1688" spans="1:43" x14ac:dyDescent="0.2">
      <c r="A1688" t="s">
        <v>12199</v>
      </c>
      <c r="B1688" t="s">
        <v>45</v>
      </c>
      <c r="C1688" t="s">
        <v>11005</v>
      </c>
      <c r="D1688" t="s">
        <v>11149</v>
      </c>
      <c r="E1688" t="s">
        <v>11150</v>
      </c>
      <c r="F1688" t="s">
        <v>44</v>
      </c>
      <c r="G1688" s="1">
        <v>-3078640</v>
      </c>
      <c r="H1688" s="2">
        <v>-3078640</v>
      </c>
      <c r="I1688" s="2">
        <v>-3078640</v>
      </c>
      <c r="J1688" s="2">
        <v>0</v>
      </c>
      <c r="K1688" s="2"/>
      <c r="L1688" s="2">
        <v>-3078640</v>
      </c>
      <c r="M1688" s="3"/>
      <c r="N1688" s="4">
        <v>-7.0042400000000001E-3</v>
      </c>
      <c r="O1688" s="5" t="s">
        <v>44</v>
      </c>
      <c r="P1688" s="5">
        <v>73051</v>
      </c>
      <c r="Q1688" s="1">
        <v>0</v>
      </c>
      <c r="R1688" s="2">
        <v>0.08</v>
      </c>
      <c r="S1688" s="6"/>
      <c r="T1688" t="s">
        <v>45</v>
      </c>
      <c r="U1688" t="s">
        <v>44</v>
      </c>
      <c r="V1688" t="s">
        <v>44</v>
      </c>
      <c r="W1688" t="s">
        <v>43</v>
      </c>
      <c r="X1688" t="s">
        <v>44</v>
      </c>
      <c r="Y1688" t="s">
        <v>44</v>
      </c>
      <c r="Z1688" t="s">
        <v>44</v>
      </c>
      <c r="AA1688" t="s">
        <v>44</v>
      </c>
      <c r="AB1688" t="s">
        <v>44</v>
      </c>
      <c r="AC1688" s="4">
        <v>5.1163389600000002</v>
      </c>
      <c r="AD1688" s="4">
        <v>5.0001424999999999</v>
      </c>
      <c r="AE1688" s="2">
        <v>5.12</v>
      </c>
      <c r="AF1688" s="4">
        <v>5.0001424999999999</v>
      </c>
      <c r="AG1688" s="2">
        <v>-0.19</v>
      </c>
      <c r="AH1688" s="2">
        <v>-3078640</v>
      </c>
      <c r="AI1688" s="2">
        <v>-0.01</v>
      </c>
      <c r="AJ1688" s="5">
        <v>44673</v>
      </c>
      <c r="AK1688" t="s">
        <v>12200</v>
      </c>
      <c r="AL1688" s="2">
        <v>5.05</v>
      </c>
      <c r="AM1688" s="2">
        <v>0</v>
      </c>
      <c r="AN1688" s="2">
        <v>0</v>
      </c>
      <c r="AO1688" t="s">
        <v>44</v>
      </c>
      <c r="AP1688" t="s">
        <v>44</v>
      </c>
      <c r="AQ1688" t="s">
        <v>44</v>
      </c>
    </row>
    <row r="1689" spans="1:43" x14ac:dyDescent="0.2">
      <c r="A1689" t="s">
        <v>12199</v>
      </c>
      <c r="B1689" t="s">
        <v>11024</v>
      </c>
      <c r="C1689" t="s">
        <v>57</v>
      </c>
      <c r="D1689" t="s">
        <v>11754</v>
      </c>
      <c r="E1689" t="s">
        <v>11754</v>
      </c>
      <c r="F1689" t="s">
        <v>11754</v>
      </c>
      <c r="G1689" s="1">
        <v>1017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3">
        <v>20012</v>
      </c>
      <c r="N1689" s="4">
        <v>0</v>
      </c>
      <c r="O1689" s="5" t="s">
        <v>44</v>
      </c>
      <c r="P1689" s="5">
        <v>44727</v>
      </c>
      <c r="Q1689" s="1"/>
      <c r="R1689" s="2"/>
      <c r="S1689" s="6"/>
      <c r="T1689" t="s">
        <v>11026</v>
      </c>
      <c r="U1689" t="s">
        <v>11025</v>
      </c>
      <c r="V1689" t="s">
        <v>11027</v>
      </c>
      <c r="W1689" t="s">
        <v>43</v>
      </c>
      <c r="X1689" t="s">
        <v>44</v>
      </c>
      <c r="Y1689" t="s">
        <v>44</v>
      </c>
      <c r="Z1689" t="s">
        <v>44</v>
      </c>
      <c r="AA1689" t="s">
        <v>44</v>
      </c>
      <c r="AB1689" t="s">
        <v>44</v>
      </c>
      <c r="AC1689" s="4"/>
      <c r="AD1689" s="4"/>
      <c r="AE1689" s="2">
        <v>0</v>
      </c>
      <c r="AF1689" s="4">
        <v>0</v>
      </c>
      <c r="AG1689" s="2">
        <v>0</v>
      </c>
      <c r="AH1689" s="2">
        <v>203522040</v>
      </c>
      <c r="AI1689" s="2">
        <v>0.46</v>
      </c>
      <c r="AJ1689" s="5">
        <v>44673</v>
      </c>
      <c r="AK1689" t="s">
        <v>12200</v>
      </c>
      <c r="AL1689" s="2">
        <v>0</v>
      </c>
      <c r="AM1689" s="2">
        <v>0</v>
      </c>
      <c r="AN1689" s="2">
        <v>0</v>
      </c>
      <c r="AO1689" t="s">
        <v>44</v>
      </c>
      <c r="AP1689" t="s">
        <v>11755</v>
      </c>
      <c r="AQ1689" t="s">
        <v>11754</v>
      </c>
    </row>
    <row r="1690" spans="1:43" x14ac:dyDescent="0.2">
      <c r="A1690" t="s">
        <v>12199</v>
      </c>
      <c r="B1690" t="s">
        <v>11024</v>
      </c>
      <c r="C1690" t="s">
        <v>57</v>
      </c>
      <c r="D1690" t="s">
        <v>11756</v>
      </c>
      <c r="E1690" t="s">
        <v>11756</v>
      </c>
      <c r="F1690" t="s">
        <v>11756</v>
      </c>
      <c r="G1690" s="1">
        <v>251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3">
        <v>29067</v>
      </c>
      <c r="N1690" s="4">
        <v>0</v>
      </c>
      <c r="O1690" s="5" t="s">
        <v>44</v>
      </c>
      <c r="P1690" s="5">
        <v>44727</v>
      </c>
      <c r="Q1690" s="1"/>
      <c r="R1690" s="2"/>
      <c r="S1690" s="6"/>
      <c r="T1690" t="s">
        <v>11026</v>
      </c>
      <c r="U1690" t="s">
        <v>11025</v>
      </c>
      <c r="V1690" t="s">
        <v>11027</v>
      </c>
      <c r="W1690" t="s">
        <v>43</v>
      </c>
      <c r="X1690" t="s">
        <v>44</v>
      </c>
      <c r="Y1690" t="s">
        <v>44</v>
      </c>
      <c r="Z1690" t="s">
        <v>44</v>
      </c>
      <c r="AA1690" t="s">
        <v>44</v>
      </c>
      <c r="AB1690" t="s">
        <v>44</v>
      </c>
      <c r="AC1690" s="4"/>
      <c r="AD1690" s="4"/>
      <c r="AE1690" s="2">
        <v>0</v>
      </c>
      <c r="AF1690" s="4">
        <v>0</v>
      </c>
      <c r="AG1690" s="2">
        <v>0</v>
      </c>
      <c r="AH1690" s="2">
        <v>72958170</v>
      </c>
      <c r="AI1690" s="2">
        <v>0.17</v>
      </c>
      <c r="AJ1690" s="5">
        <v>44673</v>
      </c>
      <c r="AK1690" t="s">
        <v>12200</v>
      </c>
      <c r="AL1690" s="2">
        <v>0</v>
      </c>
      <c r="AM1690" s="2">
        <v>0</v>
      </c>
      <c r="AN1690" s="2">
        <v>0</v>
      </c>
      <c r="AO1690" t="s">
        <v>44</v>
      </c>
      <c r="AP1690" t="s">
        <v>11757</v>
      </c>
      <c r="AQ1690" t="s">
        <v>11756</v>
      </c>
    </row>
    <row r="1691" spans="1:43" x14ac:dyDescent="0.2">
      <c r="A1691" t="s">
        <v>12199</v>
      </c>
      <c r="B1691" t="s">
        <v>11037</v>
      </c>
      <c r="C1691" t="s">
        <v>11276</v>
      </c>
      <c r="D1691" t="s">
        <v>6473</v>
      </c>
      <c r="E1691" t="s">
        <v>4464</v>
      </c>
      <c r="F1691" t="s">
        <v>6473</v>
      </c>
      <c r="G1691" s="1">
        <v>21333</v>
      </c>
      <c r="H1691" s="2">
        <v>1988875.22</v>
      </c>
      <c r="I1691" s="2">
        <v>2133300</v>
      </c>
      <c r="J1691" s="2">
        <v>0</v>
      </c>
      <c r="K1691" s="2">
        <v>0</v>
      </c>
      <c r="L1691" s="2">
        <v>2133300</v>
      </c>
      <c r="M1691" s="3">
        <v>10000</v>
      </c>
      <c r="N1691" s="4">
        <v>4.8534900000000002E-3</v>
      </c>
      <c r="O1691" s="5" t="s">
        <v>44</v>
      </c>
      <c r="P1691" s="5" t="s">
        <v>44</v>
      </c>
      <c r="Q1691" s="1"/>
      <c r="R1691" s="2"/>
      <c r="S1691" s="6"/>
      <c r="T1691" t="s">
        <v>10902</v>
      </c>
      <c r="U1691" t="s">
        <v>10902</v>
      </c>
      <c r="V1691" t="s">
        <v>10902</v>
      </c>
      <c r="W1691" t="s">
        <v>43</v>
      </c>
      <c r="X1691" t="s">
        <v>11277</v>
      </c>
      <c r="Y1691" t="s">
        <v>11277</v>
      </c>
      <c r="Z1691" t="s">
        <v>11276</v>
      </c>
      <c r="AA1691" t="s">
        <v>44</v>
      </c>
      <c r="AB1691" t="s">
        <v>44</v>
      </c>
      <c r="AC1691" s="4"/>
      <c r="AD1691" s="4"/>
      <c r="AE1691" s="2">
        <v>0</v>
      </c>
      <c r="AF1691" s="4">
        <v>0</v>
      </c>
      <c r="AG1691" s="2">
        <v>0.13</v>
      </c>
      <c r="AH1691" s="2">
        <v>2133300</v>
      </c>
      <c r="AI1691" s="2">
        <v>0</v>
      </c>
      <c r="AJ1691" s="5">
        <v>44673</v>
      </c>
      <c r="AK1691" t="s">
        <v>12200</v>
      </c>
      <c r="AL1691" s="2">
        <v>0</v>
      </c>
      <c r="AM1691" s="2">
        <v>0</v>
      </c>
      <c r="AN1691" s="2">
        <v>0</v>
      </c>
      <c r="AO1691" t="s">
        <v>44</v>
      </c>
      <c r="AP1691" t="s">
        <v>11278</v>
      </c>
      <c r="AQ1691" t="s">
        <v>4464</v>
      </c>
    </row>
    <row r="1692" spans="1:43" x14ac:dyDescent="0.2">
      <c r="A1692" t="s">
        <v>12199</v>
      </c>
      <c r="B1692" t="s">
        <v>11037</v>
      </c>
      <c r="C1692" t="s">
        <v>11276</v>
      </c>
      <c r="D1692" t="s">
        <v>6316</v>
      </c>
      <c r="E1692" t="s">
        <v>4585</v>
      </c>
      <c r="F1692" t="s">
        <v>6316</v>
      </c>
      <c r="G1692" s="1">
        <v>21173</v>
      </c>
      <c r="H1692" s="2">
        <v>4222017.62</v>
      </c>
      <c r="I1692" s="2">
        <v>5134875.96</v>
      </c>
      <c r="J1692" s="2">
        <v>0</v>
      </c>
      <c r="K1692" s="2">
        <v>0</v>
      </c>
      <c r="L1692" s="2">
        <v>5134875.96</v>
      </c>
      <c r="M1692" s="3">
        <v>24252</v>
      </c>
      <c r="N1692" s="4">
        <v>1.1682400000000001E-2</v>
      </c>
      <c r="O1692" s="5" t="s">
        <v>44</v>
      </c>
      <c r="P1692" s="5" t="s">
        <v>44</v>
      </c>
      <c r="Q1692" s="1"/>
      <c r="R1692" s="2"/>
      <c r="S1692" s="6"/>
      <c r="T1692" t="s">
        <v>10902</v>
      </c>
      <c r="U1692" t="s">
        <v>10902</v>
      </c>
      <c r="V1692" t="s">
        <v>10902</v>
      </c>
      <c r="W1692" t="s">
        <v>43</v>
      </c>
      <c r="X1692" t="s">
        <v>11279</v>
      </c>
      <c r="Y1692" t="s">
        <v>11280</v>
      </c>
      <c r="Z1692" t="s">
        <v>11276</v>
      </c>
      <c r="AA1692" t="s">
        <v>44</v>
      </c>
      <c r="AB1692" t="s">
        <v>44</v>
      </c>
      <c r="AC1692" s="4"/>
      <c r="AD1692" s="4"/>
      <c r="AE1692" s="2">
        <v>0</v>
      </c>
      <c r="AF1692" s="4">
        <v>0</v>
      </c>
      <c r="AG1692" s="2">
        <v>0.32</v>
      </c>
      <c r="AH1692" s="2">
        <v>5134875.96</v>
      </c>
      <c r="AI1692" s="2">
        <v>0.01</v>
      </c>
      <c r="AJ1692" s="5">
        <v>44673</v>
      </c>
      <c r="AK1692" t="s">
        <v>12200</v>
      </c>
      <c r="AL1692" s="2">
        <v>0</v>
      </c>
      <c r="AM1692" s="2">
        <v>0</v>
      </c>
      <c r="AN1692" s="2">
        <v>0</v>
      </c>
      <c r="AO1692" t="s">
        <v>44</v>
      </c>
      <c r="AP1692" t="s">
        <v>11281</v>
      </c>
      <c r="AQ1692" t="s">
        <v>4585</v>
      </c>
    </row>
    <row r="1693" spans="1:43" x14ac:dyDescent="0.2">
      <c r="A1693" t="s">
        <v>12199</v>
      </c>
      <c r="B1693" t="s">
        <v>11037</v>
      </c>
      <c r="C1693" t="s">
        <v>11276</v>
      </c>
      <c r="D1693" t="s">
        <v>11661</v>
      </c>
      <c r="E1693" t="s">
        <v>4578</v>
      </c>
      <c r="F1693" t="s">
        <v>11661</v>
      </c>
      <c r="G1693" s="1">
        <v>8790</v>
      </c>
      <c r="H1693" s="2">
        <v>6340637.2000000002</v>
      </c>
      <c r="I1693" s="2">
        <v>6183501.2999999998</v>
      </c>
      <c r="J1693" s="2">
        <v>0</v>
      </c>
      <c r="K1693" s="2">
        <v>0</v>
      </c>
      <c r="L1693" s="2">
        <v>6183501.2999999998</v>
      </c>
      <c r="M1693" s="3">
        <v>70347</v>
      </c>
      <c r="N1693" s="4">
        <v>1.406813E-2</v>
      </c>
      <c r="O1693" s="5" t="s">
        <v>44</v>
      </c>
      <c r="P1693" s="5" t="s">
        <v>44</v>
      </c>
      <c r="Q1693" s="1"/>
      <c r="R1693" s="2"/>
      <c r="S1693" s="6"/>
      <c r="T1693" t="s">
        <v>10902</v>
      </c>
      <c r="U1693" t="s">
        <v>10902</v>
      </c>
      <c r="V1693" t="s">
        <v>10902</v>
      </c>
      <c r="W1693" t="s">
        <v>43</v>
      </c>
      <c r="X1693" t="s">
        <v>11279</v>
      </c>
      <c r="Y1693" t="s">
        <v>11280</v>
      </c>
      <c r="Z1693" t="s">
        <v>11276</v>
      </c>
      <c r="AA1693" t="s">
        <v>44</v>
      </c>
      <c r="AB1693" t="s">
        <v>44</v>
      </c>
      <c r="AC1693" s="4"/>
      <c r="AD1693" s="4"/>
      <c r="AE1693" s="2">
        <v>0</v>
      </c>
      <c r="AF1693" s="4">
        <v>0</v>
      </c>
      <c r="AG1693" s="2">
        <v>0.39</v>
      </c>
      <c r="AH1693" s="2">
        <v>6183501.2999999998</v>
      </c>
      <c r="AI1693" s="2">
        <v>0.01</v>
      </c>
      <c r="AJ1693" s="5">
        <v>44673</v>
      </c>
      <c r="AK1693" t="s">
        <v>12200</v>
      </c>
      <c r="AL1693" s="2">
        <v>0</v>
      </c>
      <c r="AM1693" s="2">
        <v>0</v>
      </c>
      <c r="AN1693" s="2">
        <v>0</v>
      </c>
      <c r="AO1693" t="s">
        <v>44</v>
      </c>
      <c r="AP1693" t="s">
        <v>2559</v>
      </c>
      <c r="AQ1693" t="s">
        <v>4578</v>
      </c>
    </row>
    <row r="1694" spans="1:43" x14ac:dyDescent="0.2">
      <c r="A1694" t="s">
        <v>12199</v>
      </c>
      <c r="B1694" t="s">
        <v>11037</v>
      </c>
      <c r="C1694" t="s">
        <v>11276</v>
      </c>
      <c r="D1694" t="s">
        <v>11736</v>
      </c>
      <c r="E1694" t="s">
        <v>11737</v>
      </c>
      <c r="F1694" t="s">
        <v>985</v>
      </c>
      <c r="G1694" s="1">
        <v>50</v>
      </c>
      <c r="H1694" s="2">
        <v>25750</v>
      </c>
      <c r="I1694" s="2">
        <v>27051.5</v>
      </c>
      <c r="J1694" s="2">
        <v>0</v>
      </c>
      <c r="K1694" s="2">
        <v>0</v>
      </c>
      <c r="L1694" s="2">
        <v>27051.5</v>
      </c>
      <c r="M1694" s="3">
        <v>54103</v>
      </c>
      <c r="N1694" s="4">
        <v>6.1550000000000005E-5</v>
      </c>
      <c r="O1694" s="5" t="s">
        <v>44</v>
      </c>
      <c r="P1694" s="5" t="s">
        <v>44</v>
      </c>
      <c r="Q1694" s="1"/>
      <c r="R1694" s="2"/>
      <c r="S1694" s="6"/>
      <c r="T1694" t="s">
        <v>10902</v>
      </c>
      <c r="U1694" t="s">
        <v>10902</v>
      </c>
      <c r="V1694" t="s">
        <v>10902</v>
      </c>
      <c r="W1694" t="s">
        <v>43</v>
      </c>
      <c r="X1694" t="s">
        <v>11279</v>
      </c>
      <c r="Y1694" t="s">
        <v>11280</v>
      </c>
      <c r="Z1694" t="s">
        <v>11276</v>
      </c>
      <c r="AA1694" t="s">
        <v>44</v>
      </c>
      <c r="AB1694" t="s">
        <v>44</v>
      </c>
      <c r="AC1694" s="4"/>
      <c r="AD1694" s="4"/>
      <c r="AE1694" s="2">
        <v>0</v>
      </c>
      <c r="AF1694" s="4">
        <v>0</v>
      </c>
      <c r="AG1694" s="2">
        <v>0</v>
      </c>
      <c r="AH1694" s="2">
        <v>27051.5</v>
      </c>
      <c r="AI1694" s="2">
        <v>0</v>
      </c>
      <c r="AJ1694" s="5">
        <v>44673</v>
      </c>
      <c r="AK1694" t="s">
        <v>12200</v>
      </c>
      <c r="AL1694" s="2">
        <v>0</v>
      </c>
      <c r="AM1694" s="2">
        <v>0</v>
      </c>
      <c r="AN1694" s="2">
        <v>0</v>
      </c>
      <c r="AO1694" t="s">
        <v>44</v>
      </c>
      <c r="AP1694" t="s">
        <v>990</v>
      </c>
      <c r="AQ1694" t="s">
        <v>11737</v>
      </c>
    </row>
    <row r="1695" spans="1:43" x14ac:dyDescent="0.2">
      <c r="A1695" t="s">
        <v>12199</v>
      </c>
      <c r="B1695" t="s">
        <v>11037</v>
      </c>
      <c r="C1695" t="s">
        <v>11276</v>
      </c>
      <c r="D1695" t="s">
        <v>11284</v>
      </c>
      <c r="E1695" t="s">
        <v>4506</v>
      </c>
      <c r="F1695" t="s">
        <v>11284</v>
      </c>
      <c r="G1695" s="1">
        <v>73534</v>
      </c>
      <c r="H1695" s="2">
        <v>3665104.07</v>
      </c>
      <c r="I1695" s="2">
        <v>4837066.5199999996</v>
      </c>
      <c r="J1695" s="2">
        <v>0</v>
      </c>
      <c r="K1695" s="2">
        <v>0</v>
      </c>
      <c r="L1695" s="2">
        <v>4837066.5199999996</v>
      </c>
      <c r="M1695" s="3">
        <v>6578</v>
      </c>
      <c r="N1695" s="4">
        <v>1.100485E-2</v>
      </c>
      <c r="O1695" s="5" t="s">
        <v>44</v>
      </c>
      <c r="P1695" s="5" t="s">
        <v>44</v>
      </c>
      <c r="Q1695" s="1"/>
      <c r="R1695" s="2"/>
      <c r="S1695" s="6"/>
      <c r="T1695" t="s">
        <v>10902</v>
      </c>
      <c r="U1695" t="s">
        <v>10902</v>
      </c>
      <c r="V1695" t="s">
        <v>10902</v>
      </c>
      <c r="W1695" t="s">
        <v>43</v>
      </c>
      <c r="X1695" t="s">
        <v>11279</v>
      </c>
      <c r="Y1695" t="s">
        <v>11280</v>
      </c>
      <c r="Z1695" t="s">
        <v>11276</v>
      </c>
      <c r="AA1695" t="s">
        <v>44</v>
      </c>
      <c r="AB1695" t="s">
        <v>44</v>
      </c>
      <c r="AC1695" s="4"/>
      <c r="AD1695" s="4"/>
      <c r="AE1695" s="2">
        <v>0</v>
      </c>
      <c r="AF1695" s="4">
        <v>0</v>
      </c>
      <c r="AG1695" s="2">
        <v>0.31</v>
      </c>
      <c r="AH1695" s="2">
        <v>4837066.5199999996</v>
      </c>
      <c r="AI1695" s="2">
        <v>0.01</v>
      </c>
      <c r="AJ1695" s="5">
        <v>44673</v>
      </c>
      <c r="AK1695" t="s">
        <v>12200</v>
      </c>
      <c r="AL1695" s="2">
        <v>0</v>
      </c>
      <c r="AM1695" s="2">
        <v>0</v>
      </c>
      <c r="AN1695" s="2">
        <v>0</v>
      </c>
      <c r="AO1695" t="s">
        <v>44</v>
      </c>
      <c r="AP1695" t="s">
        <v>11285</v>
      </c>
      <c r="AQ1695" t="s">
        <v>4506</v>
      </c>
    </row>
    <row r="1696" spans="1:43" x14ac:dyDescent="0.2">
      <c r="A1696" t="s">
        <v>12199</v>
      </c>
      <c r="B1696" t="s">
        <v>11037</v>
      </c>
      <c r="C1696" t="s">
        <v>11276</v>
      </c>
      <c r="D1696" t="s">
        <v>6278</v>
      </c>
      <c r="E1696" t="s">
        <v>4640</v>
      </c>
      <c r="F1696" t="s">
        <v>6278</v>
      </c>
      <c r="G1696" s="1">
        <v>10758</v>
      </c>
      <c r="H1696" s="2">
        <v>5935797.9900000002</v>
      </c>
      <c r="I1696" s="2">
        <v>5451078.5999999996</v>
      </c>
      <c r="J1696" s="2">
        <v>0</v>
      </c>
      <c r="K1696" s="2">
        <v>0</v>
      </c>
      <c r="L1696" s="2">
        <v>5451078.5999999996</v>
      </c>
      <c r="M1696" s="3">
        <v>50670</v>
      </c>
      <c r="N1696" s="4">
        <v>1.2401789999999999E-2</v>
      </c>
      <c r="O1696" s="5" t="s">
        <v>44</v>
      </c>
      <c r="P1696" s="5" t="s">
        <v>44</v>
      </c>
      <c r="Q1696" s="1"/>
      <c r="R1696" s="2"/>
      <c r="S1696" s="6"/>
      <c r="T1696" t="s">
        <v>10902</v>
      </c>
      <c r="U1696" t="s">
        <v>10902</v>
      </c>
      <c r="V1696" t="s">
        <v>10902</v>
      </c>
      <c r="W1696" t="s">
        <v>43</v>
      </c>
      <c r="X1696" t="s">
        <v>11286</v>
      </c>
      <c r="Y1696" t="s">
        <v>11280</v>
      </c>
      <c r="Z1696" t="s">
        <v>11276</v>
      </c>
      <c r="AA1696" t="s">
        <v>44</v>
      </c>
      <c r="AB1696" t="s">
        <v>44</v>
      </c>
      <c r="AC1696" s="4"/>
      <c r="AD1696" s="4"/>
      <c r="AE1696" s="2">
        <v>0</v>
      </c>
      <c r="AF1696" s="4">
        <v>0</v>
      </c>
      <c r="AG1696" s="2">
        <v>0.34</v>
      </c>
      <c r="AH1696" s="2">
        <v>5451078.5999999996</v>
      </c>
      <c r="AI1696" s="2">
        <v>0.01</v>
      </c>
      <c r="AJ1696" s="5">
        <v>44673</v>
      </c>
      <c r="AK1696" t="s">
        <v>12200</v>
      </c>
      <c r="AL1696" s="2">
        <v>0</v>
      </c>
      <c r="AM1696" s="2">
        <v>0</v>
      </c>
      <c r="AN1696" s="2">
        <v>0</v>
      </c>
      <c r="AO1696" t="s">
        <v>44</v>
      </c>
      <c r="AP1696" t="s">
        <v>11287</v>
      </c>
      <c r="AQ1696" t="s">
        <v>4640</v>
      </c>
    </row>
    <row r="1697" spans="1:43" x14ac:dyDescent="0.2">
      <c r="A1697" t="s">
        <v>12199</v>
      </c>
      <c r="B1697" t="s">
        <v>11037</v>
      </c>
      <c r="C1697" t="s">
        <v>11276</v>
      </c>
      <c r="D1697" t="s">
        <v>11290</v>
      </c>
      <c r="E1697" t="s">
        <v>4478</v>
      </c>
      <c r="F1697" t="s">
        <v>11290</v>
      </c>
      <c r="G1697" s="1">
        <v>31650</v>
      </c>
      <c r="H1697" s="2">
        <v>1483455.14</v>
      </c>
      <c r="I1697" s="2">
        <v>2481360</v>
      </c>
      <c r="J1697" s="2">
        <v>0</v>
      </c>
      <c r="K1697" s="2">
        <v>0</v>
      </c>
      <c r="L1697" s="2">
        <v>2481360</v>
      </c>
      <c r="M1697" s="3">
        <v>7840</v>
      </c>
      <c r="N1697" s="4">
        <v>5.6453600000000003E-3</v>
      </c>
      <c r="O1697" s="5" t="s">
        <v>44</v>
      </c>
      <c r="P1697" s="5" t="s">
        <v>44</v>
      </c>
      <c r="Q1697" s="1"/>
      <c r="R1697" s="2"/>
      <c r="S1697" s="6"/>
      <c r="T1697" t="s">
        <v>10902</v>
      </c>
      <c r="U1697" t="s">
        <v>10902</v>
      </c>
      <c r="V1697" t="s">
        <v>10902</v>
      </c>
      <c r="W1697" t="s">
        <v>43</v>
      </c>
      <c r="X1697" t="s">
        <v>11277</v>
      </c>
      <c r="Y1697" t="s">
        <v>11277</v>
      </c>
      <c r="Z1697" t="s">
        <v>11276</v>
      </c>
      <c r="AA1697" t="s">
        <v>44</v>
      </c>
      <c r="AB1697" t="s">
        <v>44</v>
      </c>
      <c r="AC1697" s="4"/>
      <c r="AD1697" s="4"/>
      <c r="AE1697" s="2">
        <v>0</v>
      </c>
      <c r="AF1697" s="4">
        <v>0</v>
      </c>
      <c r="AG1697" s="2">
        <v>0.16</v>
      </c>
      <c r="AH1697" s="2">
        <v>2481360</v>
      </c>
      <c r="AI1697" s="2">
        <v>0.01</v>
      </c>
      <c r="AJ1697" s="5">
        <v>44673</v>
      </c>
      <c r="AK1697" t="s">
        <v>12200</v>
      </c>
      <c r="AL1697" s="2">
        <v>0</v>
      </c>
      <c r="AM1697" s="2">
        <v>0</v>
      </c>
      <c r="AN1697" s="2">
        <v>0</v>
      </c>
      <c r="AO1697" t="s">
        <v>44</v>
      </c>
      <c r="AP1697" t="s">
        <v>11291</v>
      </c>
      <c r="AQ1697" t="s">
        <v>4478</v>
      </c>
    </row>
    <row r="1698" spans="1:43" x14ac:dyDescent="0.2">
      <c r="A1698" t="s">
        <v>12199</v>
      </c>
      <c r="B1698" t="s">
        <v>11037</v>
      </c>
      <c r="C1698" t="s">
        <v>11276</v>
      </c>
      <c r="D1698" t="s">
        <v>6743</v>
      </c>
      <c r="E1698" t="s">
        <v>4570</v>
      </c>
      <c r="F1698" t="s">
        <v>6743</v>
      </c>
      <c r="G1698" s="1">
        <v>18783</v>
      </c>
      <c r="H1698" s="2">
        <v>1674157.31</v>
      </c>
      <c r="I1698" s="2">
        <v>2902536.99</v>
      </c>
      <c r="J1698" s="2">
        <v>0</v>
      </c>
      <c r="K1698" s="2">
        <v>0</v>
      </c>
      <c r="L1698" s="2">
        <v>2902536.99</v>
      </c>
      <c r="M1698" s="3">
        <v>15453</v>
      </c>
      <c r="N1698" s="4">
        <v>6.6035800000000004E-3</v>
      </c>
      <c r="O1698" s="5" t="s">
        <v>44</v>
      </c>
      <c r="P1698" s="5" t="s">
        <v>44</v>
      </c>
      <c r="Q1698" s="1"/>
      <c r="R1698" s="2"/>
      <c r="S1698" s="6"/>
      <c r="T1698" t="s">
        <v>10902</v>
      </c>
      <c r="U1698" t="s">
        <v>10902</v>
      </c>
      <c r="V1698" t="s">
        <v>10902</v>
      </c>
      <c r="W1698" t="s">
        <v>43</v>
      </c>
      <c r="X1698" t="s">
        <v>11279</v>
      </c>
      <c r="Y1698" t="s">
        <v>11280</v>
      </c>
      <c r="Z1698" t="s">
        <v>11276</v>
      </c>
      <c r="AA1698" t="s">
        <v>44</v>
      </c>
      <c r="AB1698" t="s">
        <v>44</v>
      </c>
      <c r="AC1698" s="4"/>
      <c r="AD1698" s="4"/>
      <c r="AE1698" s="2">
        <v>0</v>
      </c>
      <c r="AF1698" s="4">
        <v>0</v>
      </c>
      <c r="AG1698" s="2">
        <v>0.18</v>
      </c>
      <c r="AH1698" s="2">
        <v>2902536.99</v>
      </c>
      <c r="AI1698" s="2">
        <v>0.01</v>
      </c>
      <c r="AJ1698" s="5">
        <v>44673</v>
      </c>
      <c r="AK1698" t="s">
        <v>12200</v>
      </c>
      <c r="AL1698" s="2">
        <v>0</v>
      </c>
      <c r="AM1698" s="2">
        <v>0</v>
      </c>
      <c r="AN1698" s="2">
        <v>0</v>
      </c>
      <c r="AO1698" t="s">
        <v>44</v>
      </c>
      <c r="AP1698" t="s">
        <v>11294</v>
      </c>
      <c r="AQ1698" t="s">
        <v>4570</v>
      </c>
    </row>
    <row r="1699" spans="1:43" x14ac:dyDescent="0.2">
      <c r="A1699" t="s">
        <v>12199</v>
      </c>
      <c r="B1699" t="s">
        <v>11037</v>
      </c>
      <c r="C1699" t="s">
        <v>11276</v>
      </c>
      <c r="D1699" t="s">
        <v>6209</v>
      </c>
      <c r="E1699" t="s">
        <v>520</v>
      </c>
      <c r="F1699" t="s">
        <v>6209</v>
      </c>
      <c r="G1699" s="1">
        <v>149553</v>
      </c>
      <c r="H1699" s="2">
        <v>6693394</v>
      </c>
      <c r="I1699" s="2">
        <v>8156620.6200000001</v>
      </c>
      <c r="J1699" s="2">
        <v>0</v>
      </c>
      <c r="K1699" s="2">
        <v>0</v>
      </c>
      <c r="L1699" s="2">
        <v>8156620.6200000001</v>
      </c>
      <c r="M1699" s="3">
        <v>5454</v>
      </c>
      <c r="N1699" s="4">
        <v>1.8557190000000001E-2</v>
      </c>
      <c r="O1699" s="5" t="s">
        <v>44</v>
      </c>
      <c r="P1699" s="5" t="s">
        <v>44</v>
      </c>
      <c r="Q1699" s="1"/>
      <c r="R1699" s="2"/>
      <c r="S1699" s="6"/>
      <c r="T1699" t="s">
        <v>10902</v>
      </c>
      <c r="U1699" t="s">
        <v>10902</v>
      </c>
      <c r="V1699" t="s">
        <v>10902</v>
      </c>
      <c r="W1699" t="s">
        <v>43</v>
      </c>
      <c r="X1699" t="s">
        <v>11289</v>
      </c>
      <c r="Y1699" t="s">
        <v>11280</v>
      </c>
      <c r="Z1699" t="s">
        <v>11276</v>
      </c>
      <c r="AA1699" t="s">
        <v>44</v>
      </c>
      <c r="AB1699" t="s">
        <v>44</v>
      </c>
      <c r="AC1699" s="4"/>
      <c r="AD1699" s="4"/>
      <c r="AE1699" s="2">
        <v>0</v>
      </c>
      <c r="AF1699" s="4">
        <v>0</v>
      </c>
      <c r="AG1699" s="2">
        <v>0.52</v>
      </c>
      <c r="AH1699" s="2">
        <v>8156620.6200000001</v>
      </c>
      <c r="AI1699" s="2">
        <v>0.02</v>
      </c>
      <c r="AJ1699" s="5">
        <v>44673</v>
      </c>
      <c r="AK1699" t="s">
        <v>12200</v>
      </c>
      <c r="AL1699" s="2">
        <v>0</v>
      </c>
      <c r="AM1699" s="2">
        <v>0</v>
      </c>
      <c r="AN1699" s="2">
        <v>0</v>
      </c>
      <c r="AO1699" t="s">
        <v>44</v>
      </c>
      <c r="AP1699" t="s">
        <v>11295</v>
      </c>
      <c r="AQ1699" t="s">
        <v>520</v>
      </c>
    </row>
    <row r="1700" spans="1:43" x14ac:dyDescent="0.2">
      <c r="A1700" t="s">
        <v>12199</v>
      </c>
      <c r="B1700" t="s">
        <v>11037</v>
      </c>
      <c r="C1700" t="s">
        <v>11276</v>
      </c>
      <c r="D1700" t="s">
        <v>11678</v>
      </c>
      <c r="E1700" t="s">
        <v>11679</v>
      </c>
      <c r="F1700" t="s">
        <v>11680</v>
      </c>
      <c r="G1700" s="1">
        <v>18460</v>
      </c>
      <c r="H1700" s="2">
        <v>2883601.88</v>
      </c>
      <c r="I1700" s="2">
        <v>4342161.2</v>
      </c>
      <c r="J1700" s="2">
        <v>0</v>
      </c>
      <c r="K1700" s="2">
        <v>0</v>
      </c>
      <c r="L1700" s="2">
        <v>4342161.2</v>
      </c>
      <c r="M1700" s="3">
        <v>23522</v>
      </c>
      <c r="N1700" s="4">
        <v>9.8788799999999996E-3</v>
      </c>
      <c r="O1700" s="5" t="s">
        <v>44</v>
      </c>
      <c r="P1700" s="5" t="s">
        <v>44</v>
      </c>
      <c r="Q1700" s="1"/>
      <c r="R1700" s="2"/>
      <c r="S1700" s="6"/>
      <c r="T1700" t="s">
        <v>10902</v>
      </c>
      <c r="U1700" t="s">
        <v>10902</v>
      </c>
      <c r="V1700" t="s">
        <v>10902</v>
      </c>
      <c r="W1700" t="s">
        <v>43</v>
      </c>
      <c r="X1700" t="s">
        <v>11279</v>
      </c>
      <c r="Y1700" t="s">
        <v>11280</v>
      </c>
      <c r="Z1700" t="s">
        <v>11276</v>
      </c>
      <c r="AA1700" t="s">
        <v>44</v>
      </c>
      <c r="AB1700" t="s">
        <v>44</v>
      </c>
      <c r="AC1700" s="4"/>
      <c r="AD1700" s="4"/>
      <c r="AE1700" s="2">
        <v>0</v>
      </c>
      <c r="AF1700" s="4">
        <v>0</v>
      </c>
      <c r="AG1700" s="2">
        <v>0.27</v>
      </c>
      <c r="AH1700" s="2">
        <v>4342161.2</v>
      </c>
      <c r="AI1700" s="2">
        <v>0.01</v>
      </c>
      <c r="AJ1700" s="5">
        <v>44673</v>
      </c>
      <c r="AK1700" t="s">
        <v>12200</v>
      </c>
      <c r="AL1700" s="2">
        <v>0</v>
      </c>
      <c r="AM1700" s="2">
        <v>0</v>
      </c>
      <c r="AN1700" s="2">
        <v>0</v>
      </c>
      <c r="AO1700" t="s">
        <v>44</v>
      </c>
      <c r="AP1700" t="s">
        <v>11681</v>
      </c>
      <c r="AQ1700" t="s">
        <v>11679</v>
      </c>
    </row>
    <row r="1701" spans="1:43" x14ac:dyDescent="0.2">
      <c r="A1701" t="s">
        <v>12199</v>
      </c>
      <c r="B1701" t="s">
        <v>11037</v>
      </c>
      <c r="C1701" t="s">
        <v>11296</v>
      </c>
      <c r="D1701" t="s">
        <v>6200</v>
      </c>
      <c r="E1701" t="s">
        <v>5051</v>
      </c>
      <c r="F1701" t="s">
        <v>6200</v>
      </c>
      <c r="G1701" s="1">
        <v>86076</v>
      </c>
      <c r="H1701" s="2">
        <v>6431544.6399999997</v>
      </c>
      <c r="I1701" s="2">
        <v>5904813.5999999996</v>
      </c>
      <c r="J1701" s="2">
        <v>0</v>
      </c>
      <c r="K1701" s="2">
        <v>0</v>
      </c>
      <c r="L1701" s="2">
        <v>5904813.5999999996</v>
      </c>
      <c r="M1701" s="3">
        <v>6860</v>
      </c>
      <c r="N1701" s="4">
        <v>1.3434089999999999E-2</v>
      </c>
      <c r="O1701" s="5" t="s">
        <v>44</v>
      </c>
      <c r="P1701" s="5" t="s">
        <v>44</v>
      </c>
      <c r="Q1701" s="1"/>
      <c r="R1701" s="2"/>
      <c r="S1701" s="6"/>
      <c r="T1701" t="s">
        <v>10902</v>
      </c>
      <c r="U1701" t="s">
        <v>10902</v>
      </c>
      <c r="V1701" t="s">
        <v>10902</v>
      </c>
      <c r="W1701" t="s">
        <v>43</v>
      </c>
      <c r="X1701" t="s">
        <v>11300</v>
      </c>
      <c r="Y1701" t="s">
        <v>11299</v>
      </c>
      <c r="Z1701" t="s">
        <v>11296</v>
      </c>
      <c r="AA1701" t="s">
        <v>44</v>
      </c>
      <c r="AB1701" t="s">
        <v>44</v>
      </c>
      <c r="AC1701" s="4"/>
      <c r="AD1701" s="4"/>
      <c r="AE1701" s="2">
        <v>0</v>
      </c>
      <c r="AF1701" s="4">
        <v>0</v>
      </c>
      <c r="AG1701" s="2">
        <v>0.37</v>
      </c>
      <c r="AH1701" s="2">
        <v>5904813.5999999996</v>
      </c>
      <c r="AI1701" s="2">
        <v>0.01</v>
      </c>
      <c r="AJ1701" s="5">
        <v>44673</v>
      </c>
      <c r="AK1701" t="s">
        <v>12200</v>
      </c>
      <c r="AL1701" s="2">
        <v>0</v>
      </c>
      <c r="AM1701" s="2">
        <v>0</v>
      </c>
      <c r="AN1701" s="2">
        <v>0</v>
      </c>
      <c r="AO1701" t="s">
        <v>44</v>
      </c>
      <c r="AP1701" t="s">
        <v>11301</v>
      </c>
      <c r="AQ1701" t="s">
        <v>5051</v>
      </c>
    </row>
    <row r="1702" spans="1:43" x14ac:dyDescent="0.2">
      <c r="A1702" t="s">
        <v>12199</v>
      </c>
      <c r="B1702" t="s">
        <v>11037</v>
      </c>
      <c r="C1702" t="s">
        <v>11296</v>
      </c>
      <c r="D1702" t="s">
        <v>6458</v>
      </c>
      <c r="E1702" t="s">
        <v>5402</v>
      </c>
      <c r="F1702" t="s">
        <v>11302</v>
      </c>
      <c r="G1702" s="1">
        <v>20477</v>
      </c>
      <c r="H1702" s="2">
        <v>3170595.51</v>
      </c>
      <c r="I1702" s="2">
        <v>3542521</v>
      </c>
      <c r="J1702" s="2">
        <v>0</v>
      </c>
      <c r="K1702" s="2">
        <v>0</v>
      </c>
      <c r="L1702" s="2">
        <v>3542521</v>
      </c>
      <c r="M1702" s="3">
        <v>17300</v>
      </c>
      <c r="N1702" s="4">
        <v>8.05962E-3</v>
      </c>
      <c r="O1702" s="5" t="s">
        <v>44</v>
      </c>
      <c r="P1702" s="5" t="s">
        <v>44</v>
      </c>
      <c r="Q1702" s="1"/>
      <c r="R1702" s="2"/>
      <c r="S1702" s="6"/>
      <c r="T1702" t="s">
        <v>10902</v>
      </c>
      <c r="U1702" t="s">
        <v>10902</v>
      </c>
      <c r="V1702" t="s">
        <v>10902</v>
      </c>
      <c r="W1702" t="s">
        <v>43</v>
      </c>
      <c r="X1702" t="s">
        <v>11298</v>
      </c>
      <c r="Y1702" t="s">
        <v>11299</v>
      </c>
      <c r="Z1702" t="s">
        <v>11296</v>
      </c>
      <c r="AA1702" t="s">
        <v>44</v>
      </c>
      <c r="AB1702" t="s">
        <v>44</v>
      </c>
      <c r="AC1702" s="4"/>
      <c r="AD1702" s="4"/>
      <c r="AE1702" s="2">
        <v>0</v>
      </c>
      <c r="AF1702" s="4">
        <v>0</v>
      </c>
      <c r="AG1702" s="2">
        <v>0.22</v>
      </c>
      <c r="AH1702" s="2">
        <v>3542521</v>
      </c>
      <c r="AI1702" s="2">
        <v>0.01</v>
      </c>
      <c r="AJ1702" s="5">
        <v>44673</v>
      </c>
      <c r="AK1702" t="s">
        <v>12200</v>
      </c>
      <c r="AL1702" s="2">
        <v>0</v>
      </c>
      <c r="AM1702" s="2">
        <v>0</v>
      </c>
      <c r="AN1702" s="2">
        <v>0</v>
      </c>
      <c r="AO1702" t="s">
        <v>44</v>
      </c>
      <c r="AP1702" t="s">
        <v>11303</v>
      </c>
      <c r="AQ1702" t="s">
        <v>5402</v>
      </c>
    </row>
    <row r="1703" spans="1:43" x14ac:dyDescent="0.2">
      <c r="A1703" t="s">
        <v>12199</v>
      </c>
      <c r="B1703" t="s">
        <v>11037</v>
      </c>
      <c r="C1703" t="s">
        <v>11296</v>
      </c>
      <c r="D1703" t="s">
        <v>6137</v>
      </c>
      <c r="E1703" t="s">
        <v>4926</v>
      </c>
      <c r="F1703" t="s">
        <v>6137</v>
      </c>
      <c r="G1703" s="1">
        <v>46391</v>
      </c>
      <c r="H1703" s="2">
        <v>9047257.0899999999</v>
      </c>
      <c r="I1703" s="2">
        <v>7224934.3399999999</v>
      </c>
      <c r="J1703" s="2">
        <v>0</v>
      </c>
      <c r="K1703" s="2">
        <v>0</v>
      </c>
      <c r="L1703" s="2">
        <v>7224934.3399999999</v>
      </c>
      <c r="M1703" s="3">
        <v>15574</v>
      </c>
      <c r="N1703" s="4">
        <v>1.6437500000000001E-2</v>
      </c>
      <c r="O1703" s="5" t="s">
        <v>44</v>
      </c>
      <c r="P1703" s="5" t="s">
        <v>44</v>
      </c>
      <c r="Q1703" s="1"/>
      <c r="R1703" s="2"/>
      <c r="S1703" s="6"/>
      <c r="T1703" t="s">
        <v>10902</v>
      </c>
      <c r="U1703" t="s">
        <v>10902</v>
      </c>
      <c r="V1703" t="s">
        <v>10902</v>
      </c>
      <c r="W1703" t="s">
        <v>43</v>
      </c>
      <c r="X1703" t="s">
        <v>11300</v>
      </c>
      <c r="Y1703" t="s">
        <v>11299</v>
      </c>
      <c r="Z1703" t="s">
        <v>11296</v>
      </c>
      <c r="AA1703" t="s">
        <v>44</v>
      </c>
      <c r="AB1703" t="s">
        <v>44</v>
      </c>
      <c r="AC1703" s="4"/>
      <c r="AD1703" s="4"/>
      <c r="AE1703" s="2">
        <v>0</v>
      </c>
      <c r="AF1703" s="4">
        <v>0</v>
      </c>
      <c r="AG1703" s="2">
        <v>0.46</v>
      </c>
      <c r="AH1703" s="2">
        <v>7224934.3399999999</v>
      </c>
      <c r="AI1703" s="2">
        <v>0.02</v>
      </c>
      <c r="AJ1703" s="5">
        <v>44673</v>
      </c>
      <c r="AK1703" t="s">
        <v>12200</v>
      </c>
      <c r="AL1703" s="2">
        <v>0</v>
      </c>
      <c r="AM1703" s="2">
        <v>0</v>
      </c>
      <c r="AN1703" s="2">
        <v>0</v>
      </c>
      <c r="AO1703" t="s">
        <v>44</v>
      </c>
      <c r="AP1703" t="s">
        <v>11304</v>
      </c>
      <c r="AQ1703" t="s">
        <v>4926</v>
      </c>
    </row>
    <row r="1704" spans="1:43" x14ac:dyDescent="0.2">
      <c r="A1704" t="s">
        <v>12199</v>
      </c>
      <c r="B1704" t="s">
        <v>11037</v>
      </c>
      <c r="C1704" t="s">
        <v>11305</v>
      </c>
      <c r="D1704" t="s">
        <v>6592</v>
      </c>
      <c r="E1704" t="s">
        <v>5424</v>
      </c>
      <c r="F1704" t="s">
        <v>6592</v>
      </c>
      <c r="G1704" s="1">
        <v>117739</v>
      </c>
      <c r="H1704" s="2">
        <v>1606019.19</v>
      </c>
      <c r="I1704" s="2">
        <v>2045126.43</v>
      </c>
      <c r="J1704" s="2">
        <v>0</v>
      </c>
      <c r="K1704" s="2">
        <v>0</v>
      </c>
      <c r="L1704" s="2">
        <v>2045126.43</v>
      </c>
      <c r="M1704" s="3">
        <v>1737</v>
      </c>
      <c r="N1704" s="4">
        <v>4.6528799999999999E-3</v>
      </c>
      <c r="O1704" s="5" t="s">
        <v>44</v>
      </c>
      <c r="P1704" s="5" t="s">
        <v>44</v>
      </c>
      <c r="Q1704" s="1"/>
      <c r="R1704" s="2"/>
      <c r="S1704" s="6"/>
      <c r="T1704" t="s">
        <v>10902</v>
      </c>
      <c r="U1704" t="s">
        <v>10902</v>
      </c>
      <c r="V1704" t="s">
        <v>10902</v>
      </c>
      <c r="W1704" t="s">
        <v>43</v>
      </c>
      <c r="X1704" t="s">
        <v>11306</v>
      </c>
      <c r="Y1704" t="s">
        <v>11307</v>
      </c>
      <c r="Z1704" t="s">
        <v>11305</v>
      </c>
      <c r="AA1704" t="s">
        <v>44</v>
      </c>
      <c r="AB1704" t="s">
        <v>44</v>
      </c>
      <c r="AC1704" s="4"/>
      <c r="AD1704" s="4"/>
      <c r="AE1704" s="2">
        <v>0</v>
      </c>
      <c r="AF1704" s="4">
        <v>0</v>
      </c>
      <c r="AG1704" s="2">
        <v>0.13</v>
      </c>
      <c r="AH1704" s="2">
        <v>2045126.43</v>
      </c>
      <c r="AI1704" s="2">
        <v>0</v>
      </c>
      <c r="AJ1704" s="5">
        <v>44673</v>
      </c>
      <c r="AK1704" t="s">
        <v>12200</v>
      </c>
      <c r="AL1704" s="2">
        <v>0</v>
      </c>
      <c r="AM1704" s="2">
        <v>0</v>
      </c>
      <c r="AN1704" s="2">
        <v>0</v>
      </c>
      <c r="AO1704" t="s">
        <v>44</v>
      </c>
      <c r="AP1704" t="s">
        <v>11308</v>
      </c>
      <c r="AQ1704" t="s">
        <v>5424</v>
      </c>
    </row>
    <row r="1705" spans="1:43" x14ac:dyDescent="0.2">
      <c r="A1705" t="s">
        <v>12199</v>
      </c>
      <c r="B1705" t="s">
        <v>11037</v>
      </c>
      <c r="C1705" t="s">
        <v>11305</v>
      </c>
      <c r="D1705" t="s">
        <v>11309</v>
      </c>
      <c r="E1705" t="s">
        <v>5389</v>
      </c>
      <c r="F1705" t="s">
        <v>11309</v>
      </c>
      <c r="G1705" s="1">
        <v>111662</v>
      </c>
      <c r="H1705" s="2">
        <v>3587775.78</v>
      </c>
      <c r="I1705" s="2">
        <v>4202957.68</v>
      </c>
      <c r="J1705" s="2">
        <v>0</v>
      </c>
      <c r="K1705" s="2">
        <v>0</v>
      </c>
      <c r="L1705" s="2">
        <v>4202957.68</v>
      </c>
      <c r="M1705" s="3">
        <v>3764</v>
      </c>
      <c r="N1705" s="4">
        <v>9.56218E-3</v>
      </c>
      <c r="O1705" s="5" t="s">
        <v>44</v>
      </c>
      <c r="P1705" s="5" t="s">
        <v>44</v>
      </c>
      <c r="Q1705" s="1"/>
      <c r="R1705" s="2"/>
      <c r="S1705" s="6"/>
      <c r="T1705" t="s">
        <v>10902</v>
      </c>
      <c r="U1705" t="s">
        <v>10902</v>
      </c>
      <c r="V1705" t="s">
        <v>10902</v>
      </c>
      <c r="W1705" t="s">
        <v>43</v>
      </c>
      <c r="X1705" t="s">
        <v>11310</v>
      </c>
      <c r="Y1705" t="s">
        <v>11307</v>
      </c>
      <c r="Z1705" t="s">
        <v>11305</v>
      </c>
      <c r="AA1705" t="s">
        <v>44</v>
      </c>
      <c r="AB1705" t="s">
        <v>44</v>
      </c>
      <c r="AC1705" s="4"/>
      <c r="AD1705" s="4"/>
      <c r="AE1705" s="2">
        <v>0</v>
      </c>
      <c r="AF1705" s="4">
        <v>0</v>
      </c>
      <c r="AG1705" s="2">
        <v>0.27</v>
      </c>
      <c r="AH1705" s="2">
        <v>4202957.68</v>
      </c>
      <c r="AI1705" s="2">
        <v>0.01</v>
      </c>
      <c r="AJ1705" s="5">
        <v>44673</v>
      </c>
      <c r="AK1705" t="s">
        <v>12200</v>
      </c>
      <c r="AL1705" s="2">
        <v>0</v>
      </c>
      <c r="AM1705" s="2">
        <v>0</v>
      </c>
      <c r="AN1705" s="2">
        <v>0</v>
      </c>
      <c r="AO1705" t="s">
        <v>44</v>
      </c>
      <c r="AP1705" t="s">
        <v>11311</v>
      </c>
      <c r="AQ1705" t="s">
        <v>5389</v>
      </c>
    </row>
    <row r="1706" spans="1:43" x14ac:dyDescent="0.2">
      <c r="A1706" t="s">
        <v>12199</v>
      </c>
      <c r="B1706" t="s">
        <v>11037</v>
      </c>
      <c r="C1706" t="s">
        <v>11305</v>
      </c>
      <c r="D1706" t="s">
        <v>6609</v>
      </c>
      <c r="E1706" t="s">
        <v>5271</v>
      </c>
      <c r="F1706" t="s">
        <v>6609</v>
      </c>
      <c r="G1706" s="1">
        <v>95405</v>
      </c>
      <c r="H1706" s="2">
        <v>1422162.33</v>
      </c>
      <c r="I1706" s="2">
        <v>1611390.45</v>
      </c>
      <c r="J1706" s="2">
        <v>0</v>
      </c>
      <c r="K1706" s="2">
        <v>0</v>
      </c>
      <c r="L1706" s="2">
        <v>1611390.45</v>
      </c>
      <c r="M1706" s="3">
        <v>1689</v>
      </c>
      <c r="N1706" s="4">
        <v>3.6660899999999999E-3</v>
      </c>
      <c r="O1706" s="5" t="s">
        <v>44</v>
      </c>
      <c r="P1706" s="5" t="s">
        <v>44</v>
      </c>
      <c r="Q1706" s="1"/>
      <c r="R1706" s="2"/>
      <c r="S1706" s="6"/>
      <c r="T1706" t="s">
        <v>10902</v>
      </c>
      <c r="U1706" t="s">
        <v>10902</v>
      </c>
      <c r="V1706" t="s">
        <v>10902</v>
      </c>
      <c r="W1706" t="s">
        <v>43</v>
      </c>
      <c r="X1706" t="s">
        <v>11306</v>
      </c>
      <c r="Y1706" t="s">
        <v>11307</v>
      </c>
      <c r="Z1706" t="s">
        <v>11305</v>
      </c>
      <c r="AA1706" t="s">
        <v>44</v>
      </c>
      <c r="AB1706" t="s">
        <v>44</v>
      </c>
      <c r="AC1706" s="4"/>
      <c r="AD1706" s="4"/>
      <c r="AE1706" s="2">
        <v>0</v>
      </c>
      <c r="AF1706" s="4">
        <v>0</v>
      </c>
      <c r="AG1706" s="2">
        <v>0.1</v>
      </c>
      <c r="AH1706" s="2">
        <v>1611390.45</v>
      </c>
      <c r="AI1706" s="2">
        <v>0</v>
      </c>
      <c r="AJ1706" s="5">
        <v>44673</v>
      </c>
      <c r="AK1706" t="s">
        <v>12200</v>
      </c>
      <c r="AL1706" s="2">
        <v>0</v>
      </c>
      <c r="AM1706" s="2">
        <v>0</v>
      </c>
      <c r="AN1706" s="2">
        <v>0</v>
      </c>
      <c r="AO1706" t="s">
        <v>44</v>
      </c>
      <c r="AP1706" t="s">
        <v>11312</v>
      </c>
      <c r="AQ1706" t="s">
        <v>5271</v>
      </c>
    </row>
    <row r="1707" spans="1:43" x14ac:dyDescent="0.2">
      <c r="A1707" t="s">
        <v>12199</v>
      </c>
      <c r="B1707" t="s">
        <v>11037</v>
      </c>
      <c r="C1707" t="s">
        <v>11305</v>
      </c>
      <c r="D1707" t="s">
        <v>6372</v>
      </c>
      <c r="E1707" t="s">
        <v>6607</v>
      </c>
      <c r="F1707" t="s">
        <v>6372</v>
      </c>
      <c r="G1707" s="1">
        <v>36095</v>
      </c>
      <c r="H1707" s="2">
        <v>2709422.92</v>
      </c>
      <c r="I1707" s="2">
        <v>4032894.35</v>
      </c>
      <c r="J1707" s="2">
        <v>0</v>
      </c>
      <c r="K1707" s="2">
        <v>0</v>
      </c>
      <c r="L1707" s="2">
        <v>4032894.35</v>
      </c>
      <c r="M1707" s="3">
        <v>11173</v>
      </c>
      <c r="N1707" s="4">
        <v>9.1752699999999993E-3</v>
      </c>
      <c r="O1707" s="5" t="s">
        <v>44</v>
      </c>
      <c r="P1707" s="5" t="s">
        <v>44</v>
      </c>
      <c r="Q1707" s="1"/>
      <c r="R1707" s="2"/>
      <c r="S1707" s="6"/>
      <c r="T1707" t="s">
        <v>10902</v>
      </c>
      <c r="U1707" t="s">
        <v>10902</v>
      </c>
      <c r="V1707" t="s">
        <v>10902</v>
      </c>
      <c r="W1707" t="s">
        <v>43</v>
      </c>
      <c r="X1707" t="s">
        <v>11306</v>
      </c>
      <c r="Y1707" t="s">
        <v>11307</v>
      </c>
      <c r="Z1707" t="s">
        <v>11305</v>
      </c>
      <c r="AA1707" t="s">
        <v>44</v>
      </c>
      <c r="AB1707" t="s">
        <v>44</v>
      </c>
      <c r="AC1707" s="4"/>
      <c r="AD1707" s="4"/>
      <c r="AE1707" s="2">
        <v>0</v>
      </c>
      <c r="AF1707" s="4">
        <v>0</v>
      </c>
      <c r="AG1707" s="2">
        <v>0.25</v>
      </c>
      <c r="AH1707" s="2">
        <v>4032894.35</v>
      </c>
      <c r="AI1707" s="2">
        <v>0.01</v>
      </c>
      <c r="AJ1707" s="5">
        <v>44673</v>
      </c>
      <c r="AK1707" t="s">
        <v>12200</v>
      </c>
      <c r="AL1707" s="2">
        <v>0</v>
      </c>
      <c r="AM1707" s="2">
        <v>0</v>
      </c>
      <c r="AN1707" s="2">
        <v>0</v>
      </c>
      <c r="AO1707" t="s">
        <v>44</v>
      </c>
      <c r="AP1707" t="s">
        <v>11313</v>
      </c>
      <c r="AQ1707" t="s">
        <v>6607</v>
      </c>
    </row>
    <row r="1708" spans="1:43" x14ac:dyDescent="0.2">
      <c r="A1708" t="s">
        <v>12199</v>
      </c>
      <c r="B1708" t="s">
        <v>11037</v>
      </c>
      <c r="C1708" t="s">
        <v>11305</v>
      </c>
      <c r="D1708" t="s">
        <v>11314</v>
      </c>
      <c r="E1708" t="s">
        <v>6750</v>
      </c>
      <c r="F1708" t="s">
        <v>11314</v>
      </c>
      <c r="G1708" s="1">
        <v>438912</v>
      </c>
      <c r="H1708" s="2">
        <v>8570801.5999999996</v>
      </c>
      <c r="I1708" s="2">
        <v>9572670.7200000007</v>
      </c>
      <c r="J1708" s="2">
        <v>0</v>
      </c>
      <c r="K1708" s="2">
        <v>0</v>
      </c>
      <c r="L1708" s="2">
        <v>9572670.7200000007</v>
      </c>
      <c r="M1708" s="3">
        <v>2181</v>
      </c>
      <c r="N1708" s="4">
        <v>2.1778860000000001E-2</v>
      </c>
      <c r="O1708" s="5" t="s">
        <v>44</v>
      </c>
      <c r="P1708" s="5" t="s">
        <v>44</v>
      </c>
      <c r="Q1708" s="1"/>
      <c r="R1708" s="2"/>
      <c r="S1708" s="6"/>
      <c r="T1708" t="s">
        <v>10902</v>
      </c>
      <c r="U1708" t="s">
        <v>10902</v>
      </c>
      <c r="V1708" t="s">
        <v>10902</v>
      </c>
      <c r="W1708" t="s">
        <v>43</v>
      </c>
      <c r="X1708" t="s">
        <v>11306</v>
      </c>
      <c r="Y1708" t="s">
        <v>11307</v>
      </c>
      <c r="Z1708" t="s">
        <v>11305</v>
      </c>
      <c r="AA1708" t="s">
        <v>44</v>
      </c>
      <c r="AB1708" t="s">
        <v>44</v>
      </c>
      <c r="AC1708" s="4"/>
      <c r="AD1708" s="4"/>
      <c r="AE1708" s="2">
        <v>0</v>
      </c>
      <c r="AF1708" s="4">
        <v>0</v>
      </c>
      <c r="AG1708" s="2">
        <v>0.6</v>
      </c>
      <c r="AH1708" s="2">
        <v>9572670.7200000007</v>
      </c>
      <c r="AI1708" s="2">
        <v>0.02</v>
      </c>
      <c r="AJ1708" s="5">
        <v>44673</v>
      </c>
      <c r="AK1708" t="s">
        <v>12200</v>
      </c>
      <c r="AL1708" s="2">
        <v>0</v>
      </c>
      <c r="AM1708" s="2">
        <v>0</v>
      </c>
      <c r="AN1708" s="2">
        <v>0</v>
      </c>
      <c r="AO1708" t="s">
        <v>44</v>
      </c>
      <c r="AP1708" t="s">
        <v>11315</v>
      </c>
      <c r="AQ1708" t="s">
        <v>6750</v>
      </c>
    </row>
    <row r="1709" spans="1:43" x14ac:dyDescent="0.2">
      <c r="A1709" t="s">
        <v>12199</v>
      </c>
      <c r="B1709" t="s">
        <v>11037</v>
      </c>
      <c r="C1709" t="s">
        <v>11305</v>
      </c>
      <c r="D1709" t="s">
        <v>11316</v>
      </c>
      <c r="E1709" t="s">
        <v>5173</v>
      </c>
      <c r="F1709" t="s">
        <v>11316</v>
      </c>
      <c r="G1709" s="1">
        <v>83687</v>
      </c>
      <c r="H1709" s="2">
        <v>4731971.7</v>
      </c>
      <c r="I1709" s="2">
        <v>5005319.47</v>
      </c>
      <c r="J1709" s="2">
        <v>0</v>
      </c>
      <c r="K1709" s="2">
        <v>0</v>
      </c>
      <c r="L1709" s="2">
        <v>5005319.47</v>
      </c>
      <c r="M1709" s="3">
        <v>5981</v>
      </c>
      <c r="N1709" s="4">
        <v>1.1387639999999999E-2</v>
      </c>
      <c r="O1709" s="5" t="s">
        <v>44</v>
      </c>
      <c r="P1709" s="5" t="s">
        <v>44</v>
      </c>
      <c r="Q1709" s="1"/>
      <c r="R1709" s="2"/>
      <c r="S1709" s="6"/>
      <c r="T1709" t="s">
        <v>10902</v>
      </c>
      <c r="U1709" t="s">
        <v>10902</v>
      </c>
      <c r="V1709" t="s">
        <v>10902</v>
      </c>
      <c r="W1709" t="s">
        <v>43</v>
      </c>
      <c r="X1709" t="s">
        <v>11310</v>
      </c>
      <c r="Y1709" t="s">
        <v>11307</v>
      </c>
      <c r="Z1709" t="s">
        <v>11305</v>
      </c>
      <c r="AA1709" t="s">
        <v>44</v>
      </c>
      <c r="AB1709" t="s">
        <v>44</v>
      </c>
      <c r="AC1709" s="4"/>
      <c r="AD1709" s="4"/>
      <c r="AE1709" s="2">
        <v>0</v>
      </c>
      <c r="AF1709" s="4">
        <v>0</v>
      </c>
      <c r="AG1709" s="2">
        <v>0.32</v>
      </c>
      <c r="AH1709" s="2">
        <v>5005319.47</v>
      </c>
      <c r="AI1709" s="2">
        <v>0.01</v>
      </c>
      <c r="AJ1709" s="5">
        <v>44673</v>
      </c>
      <c r="AK1709" t="s">
        <v>12200</v>
      </c>
      <c r="AL1709" s="2">
        <v>0</v>
      </c>
      <c r="AM1709" s="2">
        <v>0</v>
      </c>
      <c r="AN1709" s="2">
        <v>0</v>
      </c>
      <c r="AO1709" t="s">
        <v>44</v>
      </c>
      <c r="AP1709" t="s">
        <v>11317</v>
      </c>
      <c r="AQ1709" t="s">
        <v>5173</v>
      </c>
    </row>
    <row r="1710" spans="1:43" x14ac:dyDescent="0.2">
      <c r="A1710" t="s">
        <v>12199</v>
      </c>
      <c r="B1710" t="s">
        <v>11037</v>
      </c>
      <c r="C1710" t="s">
        <v>11305</v>
      </c>
      <c r="D1710" t="s">
        <v>11698</v>
      </c>
      <c r="E1710" t="s">
        <v>4919</v>
      </c>
      <c r="F1710" t="s">
        <v>11698</v>
      </c>
      <c r="G1710" s="1">
        <v>64710</v>
      </c>
      <c r="H1710" s="2">
        <v>10536460.449999999</v>
      </c>
      <c r="I1710" s="2">
        <v>10754802</v>
      </c>
      <c r="J1710" s="2">
        <v>0</v>
      </c>
      <c r="K1710" s="2">
        <v>0</v>
      </c>
      <c r="L1710" s="2">
        <v>10754802</v>
      </c>
      <c r="M1710" s="3">
        <v>16620</v>
      </c>
      <c r="N1710" s="4">
        <v>2.446833E-2</v>
      </c>
      <c r="O1710" s="5" t="s">
        <v>44</v>
      </c>
      <c r="P1710" s="5" t="s">
        <v>44</v>
      </c>
      <c r="Q1710" s="1"/>
      <c r="R1710" s="2"/>
      <c r="S1710" s="6"/>
      <c r="T1710" t="s">
        <v>10902</v>
      </c>
      <c r="U1710" t="s">
        <v>10902</v>
      </c>
      <c r="V1710" t="s">
        <v>10902</v>
      </c>
      <c r="W1710" t="s">
        <v>43</v>
      </c>
      <c r="X1710" t="s">
        <v>11310</v>
      </c>
      <c r="Y1710" t="s">
        <v>11307</v>
      </c>
      <c r="Z1710" t="s">
        <v>11305</v>
      </c>
      <c r="AA1710" t="s">
        <v>44</v>
      </c>
      <c r="AB1710" t="s">
        <v>44</v>
      </c>
      <c r="AC1710" s="4"/>
      <c r="AD1710" s="4"/>
      <c r="AE1710" s="2">
        <v>0</v>
      </c>
      <c r="AF1710" s="4">
        <v>0</v>
      </c>
      <c r="AG1710" s="2">
        <v>0.68</v>
      </c>
      <c r="AH1710" s="2">
        <v>10754802</v>
      </c>
      <c r="AI1710" s="2">
        <v>0.02</v>
      </c>
      <c r="AJ1710" s="5">
        <v>44673</v>
      </c>
      <c r="AK1710" t="s">
        <v>12200</v>
      </c>
      <c r="AL1710" s="2">
        <v>0</v>
      </c>
      <c r="AM1710" s="2">
        <v>0</v>
      </c>
      <c r="AN1710" s="2">
        <v>0</v>
      </c>
      <c r="AO1710" t="s">
        <v>44</v>
      </c>
      <c r="AP1710" t="s">
        <v>11699</v>
      </c>
      <c r="AQ1710" t="s">
        <v>4919</v>
      </c>
    </row>
    <row r="1711" spans="1:43" x14ac:dyDescent="0.2">
      <c r="A1711" t="s">
        <v>12199</v>
      </c>
      <c r="B1711" t="s">
        <v>11037</v>
      </c>
      <c r="C1711" t="s">
        <v>11305</v>
      </c>
      <c r="D1711" t="s">
        <v>6224</v>
      </c>
      <c r="E1711" t="s">
        <v>3901</v>
      </c>
      <c r="F1711" t="s">
        <v>6224</v>
      </c>
      <c r="G1711" s="1">
        <v>103347</v>
      </c>
      <c r="H1711" s="2">
        <v>5856332.71</v>
      </c>
      <c r="I1711" s="2">
        <v>5758494.8399999999</v>
      </c>
      <c r="J1711" s="2">
        <v>0</v>
      </c>
      <c r="K1711" s="2">
        <v>0</v>
      </c>
      <c r="L1711" s="2">
        <v>5758494.8399999999</v>
      </c>
      <c r="M1711" s="3">
        <v>5572</v>
      </c>
      <c r="N1711" s="4">
        <v>1.31012E-2</v>
      </c>
      <c r="O1711" s="5" t="s">
        <v>44</v>
      </c>
      <c r="P1711" s="5" t="s">
        <v>44</v>
      </c>
      <c r="Q1711" s="1"/>
      <c r="R1711" s="2"/>
      <c r="S1711" s="6"/>
      <c r="T1711" t="s">
        <v>10902</v>
      </c>
      <c r="U1711" t="s">
        <v>10902</v>
      </c>
      <c r="V1711" t="s">
        <v>10902</v>
      </c>
      <c r="W1711" t="s">
        <v>43</v>
      </c>
      <c r="X1711" t="s">
        <v>11306</v>
      </c>
      <c r="Y1711" t="s">
        <v>11307</v>
      </c>
      <c r="Z1711" t="s">
        <v>11305</v>
      </c>
      <c r="AA1711" t="s">
        <v>44</v>
      </c>
      <c r="AB1711" t="s">
        <v>44</v>
      </c>
      <c r="AC1711" s="4"/>
      <c r="AD1711" s="4"/>
      <c r="AE1711" s="2">
        <v>0</v>
      </c>
      <c r="AF1711" s="4">
        <v>0</v>
      </c>
      <c r="AG1711" s="2">
        <v>0.36</v>
      </c>
      <c r="AH1711" s="2">
        <v>5758494.8399999999</v>
      </c>
      <c r="AI1711" s="2">
        <v>0.01</v>
      </c>
      <c r="AJ1711" s="5">
        <v>44673</v>
      </c>
      <c r="AK1711" t="s">
        <v>12200</v>
      </c>
      <c r="AL1711" s="2">
        <v>0</v>
      </c>
      <c r="AM1711" s="2">
        <v>0</v>
      </c>
      <c r="AN1711" s="2">
        <v>0</v>
      </c>
      <c r="AO1711" t="s">
        <v>44</v>
      </c>
      <c r="AP1711" t="s">
        <v>11320</v>
      </c>
      <c r="AQ1711" t="s">
        <v>3901</v>
      </c>
    </row>
    <row r="1712" spans="1:43" x14ac:dyDescent="0.2">
      <c r="A1712" t="s">
        <v>12199</v>
      </c>
      <c r="B1712" t="s">
        <v>11037</v>
      </c>
      <c r="C1712" t="s">
        <v>11050</v>
      </c>
      <c r="D1712" t="s">
        <v>12201</v>
      </c>
      <c r="E1712" t="s">
        <v>12202</v>
      </c>
      <c r="F1712" t="s">
        <v>12201</v>
      </c>
      <c r="G1712" s="1">
        <v>1765000</v>
      </c>
      <c r="H1712" s="2">
        <v>176500000</v>
      </c>
      <c r="I1712" s="2">
        <v>211029754</v>
      </c>
      <c r="J1712" s="2">
        <v>0</v>
      </c>
      <c r="K1712" s="2">
        <v>0</v>
      </c>
      <c r="L1712" s="2">
        <v>211029754</v>
      </c>
      <c r="M1712" s="3">
        <v>119.56359999999999</v>
      </c>
      <c r="N1712" s="4">
        <v>0.48011541000000002</v>
      </c>
      <c r="O1712" s="5" t="s">
        <v>44</v>
      </c>
      <c r="P1712" s="5" t="s">
        <v>44</v>
      </c>
      <c r="Q1712" s="1"/>
      <c r="R1712" s="2"/>
      <c r="S1712" s="6"/>
      <c r="T1712" t="s">
        <v>10902</v>
      </c>
      <c r="U1712" t="s">
        <v>10902</v>
      </c>
      <c r="V1712" t="s">
        <v>11051</v>
      </c>
      <c r="W1712" t="s">
        <v>43</v>
      </c>
      <c r="X1712" t="s">
        <v>11050</v>
      </c>
      <c r="Y1712" t="s">
        <v>44</v>
      </c>
      <c r="Z1712" t="s">
        <v>11050</v>
      </c>
      <c r="AA1712" t="s">
        <v>44</v>
      </c>
      <c r="AB1712" t="s">
        <v>44</v>
      </c>
      <c r="AC1712" s="4"/>
      <c r="AD1712" s="4"/>
      <c r="AE1712" s="2">
        <v>0</v>
      </c>
      <c r="AF1712" s="4">
        <v>0</v>
      </c>
      <c r="AG1712" s="2">
        <v>13.34</v>
      </c>
      <c r="AH1712" s="2">
        <v>211029754</v>
      </c>
      <c r="AI1712" s="2">
        <v>0.48</v>
      </c>
      <c r="AJ1712" s="5">
        <v>44673</v>
      </c>
      <c r="AK1712" t="s">
        <v>12200</v>
      </c>
      <c r="AL1712" s="2">
        <v>0</v>
      </c>
      <c r="AM1712" s="2">
        <v>0</v>
      </c>
      <c r="AN1712" s="2">
        <v>0</v>
      </c>
      <c r="AO1712" t="s">
        <v>44</v>
      </c>
      <c r="AP1712" t="s">
        <v>44</v>
      </c>
      <c r="AQ1712" t="s">
        <v>12202</v>
      </c>
    </row>
    <row r="1713" spans="1:43" x14ac:dyDescent="0.2">
      <c r="A1713" t="s">
        <v>12199</v>
      </c>
      <c r="B1713" t="s">
        <v>11037</v>
      </c>
      <c r="C1713" t="s">
        <v>11050</v>
      </c>
      <c r="D1713" t="s">
        <v>12203</v>
      </c>
      <c r="E1713" t="s">
        <v>12204</v>
      </c>
      <c r="F1713" t="s">
        <v>12203</v>
      </c>
      <c r="G1713" s="1">
        <v>360000</v>
      </c>
      <c r="H1713" s="2">
        <v>36000000</v>
      </c>
      <c r="I1713" s="2">
        <v>40258872</v>
      </c>
      <c r="J1713" s="2">
        <v>0</v>
      </c>
      <c r="K1713" s="2">
        <v>0</v>
      </c>
      <c r="L1713" s="2">
        <v>40258872</v>
      </c>
      <c r="M1713" s="3">
        <v>111.8302</v>
      </c>
      <c r="N1713" s="4">
        <v>9.1593270000000004E-2</v>
      </c>
      <c r="O1713" s="5" t="s">
        <v>44</v>
      </c>
      <c r="P1713" s="5" t="s">
        <v>44</v>
      </c>
      <c r="Q1713" s="1"/>
      <c r="R1713" s="2"/>
      <c r="S1713" s="6"/>
      <c r="T1713" t="s">
        <v>10902</v>
      </c>
      <c r="U1713" t="s">
        <v>10902</v>
      </c>
      <c r="V1713" t="s">
        <v>11051</v>
      </c>
      <c r="W1713" t="s">
        <v>43</v>
      </c>
      <c r="X1713" t="s">
        <v>11050</v>
      </c>
      <c r="Y1713" t="s">
        <v>44</v>
      </c>
      <c r="Z1713" t="s">
        <v>11050</v>
      </c>
      <c r="AA1713" t="s">
        <v>11035</v>
      </c>
      <c r="AB1713" t="s">
        <v>44</v>
      </c>
      <c r="AC1713" s="4"/>
      <c r="AD1713" s="4"/>
      <c r="AE1713" s="2">
        <v>0</v>
      </c>
      <c r="AF1713" s="4">
        <v>0</v>
      </c>
      <c r="AG1713" s="2">
        <v>2.54</v>
      </c>
      <c r="AH1713" s="2">
        <v>40258872</v>
      </c>
      <c r="AI1713" s="2">
        <v>0.09</v>
      </c>
      <c r="AJ1713" s="5">
        <v>44673</v>
      </c>
      <c r="AK1713" t="s">
        <v>12200</v>
      </c>
      <c r="AL1713" s="2">
        <v>0</v>
      </c>
      <c r="AM1713" s="2">
        <v>0</v>
      </c>
      <c r="AN1713" s="2">
        <v>0</v>
      </c>
      <c r="AO1713" t="s">
        <v>11053</v>
      </c>
      <c r="AP1713" t="s">
        <v>44</v>
      </c>
      <c r="AQ1713" t="s">
        <v>12204</v>
      </c>
    </row>
    <row r="1714" spans="1:43" x14ac:dyDescent="0.2">
      <c r="A1714" t="s">
        <v>12199</v>
      </c>
      <c r="B1714" t="s">
        <v>11037</v>
      </c>
      <c r="C1714" t="s">
        <v>11050</v>
      </c>
      <c r="D1714" t="s">
        <v>11102</v>
      </c>
      <c r="E1714" t="s">
        <v>11103</v>
      </c>
      <c r="F1714" t="s">
        <v>11102</v>
      </c>
      <c r="G1714" s="1">
        <v>47500000</v>
      </c>
      <c r="H1714" s="2">
        <v>48164256</v>
      </c>
      <c r="I1714" s="2">
        <v>78131435.25</v>
      </c>
      <c r="J1714" s="2">
        <v>0</v>
      </c>
      <c r="K1714" s="2">
        <v>0</v>
      </c>
      <c r="L1714" s="2">
        <v>78131435.25</v>
      </c>
      <c r="M1714" s="3">
        <v>164.48723200000001</v>
      </c>
      <c r="N1714" s="4">
        <v>0.17775742999999999</v>
      </c>
      <c r="O1714" s="5" t="s">
        <v>44</v>
      </c>
      <c r="P1714" s="5" t="s">
        <v>44</v>
      </c>
      <c r="Q1714" s="1"/>
      <c r="R1714" s="2"/>
      <c r="S1714" s="6"/>
      <c r="T1714" t="s">
        <v>10902</v>
      </c>
      <c r="U1714" t="s">
        <v>10902</v>
      </c>
      <c r="V1714" t="s">
        <v>11051</v>
      </c>
      <c r="W1714" t="s">
        <v>43</v>
      </c>
      <c r="X1714" t="s">
        <v>11050</v>
      </c>
      <c r="Y1714" t="s">
        <v>44</v>
      </c>
      <c r="Z1714" t="s">
        <v>11050</v>
      </c>
      <c r="AA1714" t="s">
        <v>44</v>
      </c>
      <c r="AB1714" t="s">
        <v>44</v>
      </c>
      <c r="AC1714" s="4"/>
      <c r="AD1714" s="4"/>
      <c r="AE1714" s="2">
        <v>0</v>
      </c>
      <c r="AF1714" s="4">
        <v>0</v>
      </c>
      <c r="AG1714" s="2">
        <v>4.9400000000000004</v>
      </c>
      <c r="AH1714" s="2">
        <v>78131435.25</v>
      </c>
      <c r="AI1714" s="2">
        <v>0.18</v>
      </c>
      <c r="AJ1714" s="5">
        <v>44673</v>
      </c>
      <c r="AK1714" t="s">
        <v>12200</v>
      </c>
      <c r="AL1714" s="2">
        <v>0</v>
      </c>
      <c r="AM1714" s="2">
        <v>0</v>
      </c>
      <c r="AN1714" s="2">
        <v>0</v>
      </c>
      <c r="AO1714" t="s">
        <v>44</v>
      </c>
      <c r="AP1714" t="s">
        <v>11104</v>
      </c>
      <c r="AQ1714" t="s">
        <v>11103</v>
      </c>
    </row>
    <row r="1715" spans="1:43" x14ac:dyDescent="0.2">
      <c r="A1715" t="s">
        <v>12199</v>
      </c>
      <c r="B1715" t="s">
        <v>11037</v>
      </c>
      <c r="C1715" t="s">
        <v>11050</v>
      </c>
      <c r="D1715" t="s">
        <v>12137</v>
      </c>
      <c r="E1715" t="s">
        <v>12138</v>
      </c>
      <c r="F1715" t="s">
        <v>12137</v>
      </c>
      <c r="G1715" s="1">
        <v>149000000</v>
      </c>
      <c r="H1715" s="2">
        <v>149000000</v>
      </c>
      <c r="I1715" s="2">
        <v>165825932.58000001</v>
      </c>
      <c r="J1715" s="2">
        <v>0</v>
      </c>
      <c r="K1715" s="2">
        <v>0</v>
      </c>
      <c r="L1715" s="2">
        <v>165825932.58000001</v>
      </c>
      <c r="M1715" s="3">
        <v>111.29257200000001</v>
      </c>
      <c r="N1715" s="4">
        <v>0.37727185000000002</v>
      </c>
      <c r="O1715" s="5" t="s">
        <v>44</v>
      </c>
      <c r="P1715" s="5" t="s">
        <v>44</v>
      </c>
      <c r="Q1715" s="1"/>
      <c r="R1715" s="2"/>
      <c r="S1715" s="6"/>
      <c r="T1715" t="s">
        <v>10902</v>
      </c>
      <c r="U1715" t="s">
        <v>10902</v>
      </c>
      <c r="V1715" t="s">
        <v>11051</v>
      </c>
      <c r="W1715" t="s">
        <v>43</v>
      </c>
      <c r="X1715" t="s">
        <v>11050</v>
      </c>
      <c r="Y1715" t="s">
        <v>44</v>
      </c>
      <c r="Z1715" t="s">
        <v>11050</v>
      </c>
      <c r="AA1715" t="s">
        <v>11035</v>
      </c>
      <c r="AB1715" t="s">
        <v>44</v>
      </c>
      <c r="AC1715" s="4"/>
      <c r="AD1715" s="4"/>
      <c r="AE1715" s="2">
        <v>0</v>
      </c>
      <c r="AF1715" s="4">
        <v>0</v>
      </c>
      <c r="AG1715" s="2">
        <v>10.48</v>
      </c>
      <c r="AH1715" s="2">
        <v>165825932.58000001</v>
      </c>
      <c r="AI1715" s="2">
        <v>0.38</v>
      </c>
      <c r="AJ1715" s="5">
        <v>44673</v>
      </c>
      <c r="AK1715" t="s">
        <v>12200</v>
      </c>
      <c r="AL1715" s="2">
        <v>0</v>
      </c>
      <c r="AM1715" s="2">
        <v>0</v>
      </c>
      <c r="AN1715" s="2">
        <v>0</v>
      </c>
      <c r="AO1715" t="s">
        <v>11036</v>
      </c>
      <c r="AP1715" t="s">
        <v>44</v>
      </c>
      <c r="AQ1715" t="s">
        <v>12138</v>
      </c>
    </row>
    <row r="1716" spans="1:43" x14ac:dyDescent="0.2">
      <c r="A1716" t="s">
        <v>12199</v>
      </c>
      <c r="B1716" t="s">
        <v>11037</v>
      </c>
      <c r="C1716" t="s">
        <v>11195</v>
      </c>
      <c r="D1716" t="s">
        <v>11325</v>
      </c>
      <c r="E1716" t="s">
        <v>5284</v>
      </c>
      <c r="F1716" t="s">
        <v>11325</v>
      </c>
      <c r="G1716" s="1">
        <v>43960</v>
      </c>
      <c r="H1716" s="2">
        <v>1449950.42</v>
      </c>
      <c r="I1716" s="2">
        <v>1419028.8</v>
      </c>
      <c r="J1716" s="2">
        <v>0</v>
      </c>
      <c r="K1716" s="2">
        <v>0</v>
      </c>
      <c r="L1716" s="2">
        <v>1419028.8</v>
      </c>
      <c r="M1716" s="3">
        <v>3228</v>
      </c>
      <c r="N1716" s="4">
        <v>3.22844E-3</v>
      </c>
      <c r="O1716" s="5" t="s">
        <v>44</v>
      </c>
      <c r="P1716" s="5" t="s">
        <v>44</v>
      </c>
      <c r="Q1716" s="1"/>
      <c r="R1716" s="2"/>
      <c r="S1716" s="6"/>
      <c r="T1716" t="s">
        <v>10902</v>
      </c>
      <c r="U1716" t="s">
        <v>10902</v>
      </c>
      <c r="V1716" t="s">
        <v>10902</v>
      </c>
      <c r="W1716" t="s">
        <v>43</v>
      </c>
      <c r="X1716" t="s">
        <v>11197</v>
      </c>
      <c r="Y1716" t="s">
        <v>11198</v>
      </c>
      <c r="Z1716" t="s">
        <v>11195</v>
      </c>
      <c r="AA1716" t="s">
        <v>44</v>
      </c>
      <c r="AB1716" t="s">
        <v>44</v>
      </c>
      <c r="AC1716" s="4"/>
      <c r="AD1716" s="4"/>
      <c r="AE1716" s="2">
        <v>0</v>
      </c>
      <c r="AF1716" s="4">
        <v>0</v>
      </c>
      <c r="AG1716" s="2">
        <v>0.09</v>
      </c>
      <c r="AH1716" s="2">
        <v>1419028.8</v>
      </c>
      <c r="AI1716" s="2">
        <v>0</v>
      </c>
      <c r="AJ1716" s="5">
        <v>44673</v>
      </c>
      <c r="AK1716" t="s">
        <v>12200</v>
      </c>
      <c r="AL1716" s="2">
        <v>0</v>
      </c>
      <c r="AM1716" s="2">
        <v>0</v>
      </c>
      <c r="AN1716" s="2">
        <v>0</v>
      </c>
      <c r="AO1716" t="s">
        <v>44</v>
      </c>
      <c r="AP1716" t="s">
        <v>11326</v>
      </c>
      <c r="AQ1716" t="s">
        <v>5284</v>
      </c>
    </row>
    <row r="1717" spans="1:43" x14ac:dyDescent="0.2">
      <c r="A1717" t="s">
        <v>12199</v>
      </c>
      <c r="B1717" t="s">
        <v>11037</v>
      </c>
      <c r="C1717" t="s">
        <v>11195</v>
      </c>
      <c r="D1717" t="s">
        <v>6419</v>
      </c>
      <c r="E1717" t="s">
        <v>5072</v>
      </c>
      <c r="F1717" t="s">
        <v>6419</v>
      </c>
      <c r="G1717" s="1">
        <v>57583</v>
      </c>
      <c r="H1717" s="2">
        <v>2607085.61</v>
      </c>
      <c r="I1717" s="2">
        <v>2416182.6800000002</v>
      </c>
      <c r="J1717" s="2">
        <v>0</v>
      </c>
      <c r="K1717" s="2">
        <v>0</v>
      </c>
      <c r="L1717" s="2">
        <v>2416182.6800000002</v>
      </c>
      <c r="M1717" s="3">
        <v>4196</v>
      </c>
      <c r="N1717" s="4">
        <v>5.4970799999999997E-3</v>
      </c>
      <c r="O1717" s="5" t="s">
        <v>44</v>
      </c>
      <c r="P1717" s="5" t="s">
        <v>44</v>
      </c>
      <c r="Q1717" s="1"/>
      <c r="R1717" s="2"/>
      <c r="S1717" s="6"/>
      <c r="T1717" t="s">
        <v>10902</v>
      </c>
      <c r="U1717" t="s">
        <v>10902</v>
      </c>
      <c r="V1717" t="s">
        <v>10902</v>
      </c>
      <c r="W1717" t="s">
        <v>43</v>
      </c>
      <c r="X1717" t="s">
        <v>11327</v>
      </c>
      <c r="Y1717" t="s">
        <v>11198</v>
      </c>
      <c r="Z1717" t="s">
        <v>11195</v>
      </c>
      <c r="AA1717" t="s">
        <v>44</v>
      </c>
      <c r="AB1717" t="s">
        <v>44</v>
      </c>
      <c r="AC1717" s="4"/>
      <c r="AD1717" s="4"/>
      <c r="AE1717" s="2">
        <v>0</v>
      </c>
      <c r="AF1717" s="4">
        <v>0</v>
      </c>
      <c r="AG1717" s="2">
        <v>0.15</v>
      </c>
      <c r="AH1717" s="2">
        <v>2416182.6800000002</v>
      </c>
      <c r="AI1717" s="2">
        <v>0.01</v>
      </c>
      <c r="AJ1717" s="5">
        <v>44673</v>
      </c>
      <c r="AK1717" t="s">
        <v>12200</v>
      </c>
      <c r="AL1717" s="2">
        <v>0</v>
      </c>
      <c r="AM1717" s="2">
        <v>0</v>
      </c>
      <c r="AN1717" s="2">
        <v>0</v>
      </c>
      <c r="AO1717" t="s">
        <v>44</v>
      </c>
      <c r="AP1717" t="s">
        <v>11328</v>
      </c>
      <c r="AQ1717" t="s">
        <v>5072</v>
      </c>
    </row>
    <row r="1718" spans="1:43" x14ac:dyDescent="0.2">
      <c r="A1718" t="s">
        <v>12199</v>
      </c>
      <c r="B1718" t="s">
        <v>11037</v>
      </c>
      <c r="C1718" t="s">
        <v>11195</v>
      </c>
      <c r="D1718" t="s">
        <v>11704</v>
      </c>
      <c r="E1718" t="s">
        <v>3205</v>
      </c>
      <c r="F1718" t="s">
        <v>11704</v>
      </c>
      <c r="G1718" s="1">
        <v>24579</v>
      </c>
      <c r="H1718" s="2">
        <v>2772666.4</v>
      </c>
      <c r="I1718" s="2">
        <v>4045703.4</v>
      </c>
      <c r="J1718" s="2">
        <v>0</v>
      </c>
      <c r="K1718" s="2">
        <v>0</v>
      </c>
      <c r="L1718" s="2">
        <v>4045703.4</v>
      </c>
      <c r="M1718" s="3">
        <v>16460</v>
      </c>
      <c r="N1718" s="4">
        <v>9.2044099999999997E-3</v>
      </c>
      <c r="O1718" s="5" t="s">
        <v>44</v>
      </c>
      <c r="P1718" s="5" t="s">
        <v>44</v>
      </c>
      <c r="Q1718" s="1"/>
      <c r="R1718" s="2"/>
      <c r="S1718" s="6"/>
      <c r="T1718" t="s">
        <v>10902</v>
      </c>
      <c r="U1718" t="s">
        <v>10902</v>
      </c>
      <c r="V1718" t="s">
        <v>10902</v>
      </c>
      <c r="W1718" t="s">
        <v>43</v>
      </c>
      <c r="X1718" t="s">
        <v>11334</v>
      </c>
      <c r="Y1718" t="s">
        <v>11335</v>
      </c>
      <c r="Z1718" t="s">
        <v>11195</v>
      </c>
      <c r="AA1718" t="s">
        <v>44</v>
      </c>
      <c r="AB1718" t="s">
        <v>44</v>
      </c>
      <c r="AC1718" s="4"/>
      <c r="AD1718" s="4"/>
      <c r="AE1718" s="2">
        <v>0</v>
      </c>
      <c r="AF1718" s="4">
        <v>0</v>
      </c>
      <c r="AG1718" s="2">
        <v>0.26</v>
      </c>
      <c r="AH1718" s="2">
        <v>4045703.4</v>
      </c>
      <c r="AI1718" s="2">
        <v>0.01</v>
      </c>
      <c r="AJ1718" s="5">
        <v>44673</v>
      </c>
      <c r="AK1718" t="s">
        <v>12200</v>
      </c>
      <c r="AL1718" s="2">
        <v>0</v>
      </c>
      <c r="AM1718" s="2">
        <v>0</v>
      </c>
      <c r="AN1718" s="2">
        <v>0</v>
      </c>
      <c r="AO1718" t="s">
        <v>44</v>
      </c>
      <c r="AP1718" t="s">
        <v>11705</v>
      </c>
      <c r="AQ1718" t="s">
        <v>3205</v>
      </c>
    </row>
    <row r="1719" spans="1:43" x14ac:dyDescent="0.2">
      <c r="A1719" t="s">
        <v>12199</v>
      </c>
      <c r="B1719" t="s">
        <v>11037</v>
      </c>
      <c r="C1719" t="s">
        <v>11195</v>
      </c>
      <c r="D1719" t="s">
        <v>11196</v>
      </c>
      <c r="E1719" t="s">
        <v>5755</v>
      </c>
      <c r="F1719" t="s">
        <v>11196</v>
      </c>
      <c r="G1719" s="1">
        <v>197647</v>
      </c>
      <c r="H1719" s="2">
        <v>3914324.36</v>
      </c>
      <c r="I1719" s="2">
        <v>4265222.26</v>
      </c>
      <c r="J1719" s="2">
        <v>0</v>
      </c>
      <c r="K1719" s="2">
        <v>0</v>
      </c>
      <c r="L1719" s="2">
        <v>4265222.26</v>
      </c>
      <c r="M1719" s="3">
        <v>2158</v>
      </c>
      <c r="N1719" s="4">
        <v>9.70384E-3</v>
      </c>
      <c r="O1719" s="5" t="s">
        <v>44</v>
      </c>
      <c r="P1719" s="5" t="s">
        <v>44</v>
      </c>
      <c r="Q1719" s="1"/>
      <c r="R1719" s="2"/>
      <c r="S1719" s="6"/>
      <c r="T1719" t="s">
        <v>10902</v>
      </c>
      <c r="U1719" t="s">
        <v>10902</v>
      </c>
      <c r="V1719" t="s">
        <v>10902</v>
      </c>
      <c r="W1719" t="s">
        <v>43</v>
      </c>
      <c r="X1719" t="s">
        <v>11197</v>
      </c>
      <c r="Y1719" t="s">
        <v>11198</v>
      </c>
      <c r="Z1719" t="s">
        <v>11195</v>
      </c>
      <c r="AA1719" t="s">
        <v>44</v>
      </c>
      <c r="AB1719" t="s">
        <v>44</v>
      </c>
      <c r="AC1719" s="4"/>
      <c r="AD1719" s="4"/>
      <c r="AE1719" s="2">
        <v>0</v>
      </c>
      <c r="AF1719" s="4">
        <v>0</v>
      </c>
      <c r="AG1719" s="2">
        <v>0.27</v>
      </c>
      <c r="AH1719" s="2">
        <v>4265222.26</v>
      </c>
      <c r="AI1719" s="2">
        <v>0.01</v>
      </c>
      <c r="AJ1719" s="5">
        <v>44673</v>
      </c>
      <c r="AK1719" t="s">
        <v>12200</v>
      </c>
      <c r="AL1719" s="2">
        <v>0</v>
      </c>
      <c r="AM1719" s="2">
        <v>0</v>
      </c>
      <c r="AN1719" s="2">
        <v>0</v>
      </c>
      <c r="AO1719" t="s">
        <v>44</v>
      </c>
      <c r="AP1719" t="s">
        <v>11199</v>
      </c>
      <c r="AQ1719" t="s">
        <v>5755</v>
      </c>
    </row>
    <row r="1720" spans="1:43" x14ac:dyDescent="0.2">
      <c r="A1720" t="s">
        <v>12199</v>
      </c>
      <c r="B1720" t="s">
        <v>11037</v>
      </c>
      <c r="C1720" t="s">
        <v>11195</v>
      </c>
      <c r="D1720" t="s">
        <v>11706</v>
      </c>
      <c r="E1720" t="s">
        <v>4801</v>
      </c>
      <c r="F1720" t="s">
        <v>11706</v>
      </c>
      <c r="G1720" s="1">
        <v>212697</v>
      </c>
      <c r="H1720" s="2">
        <v>14935258.99</v>
      </c>
      <c r="I1720" s="2">
        <v>14797330.289999999</v>
      </c>
      <c r="J1720" s="2">
        <v>0</v>
      </c>
      <c r="K1720" s="2">
        <v>0</v>
      </c>
      <c r="L1720" s="2">
        <v>14797330.289999999</v>
      </c>
      <c r="M1720" s="3">
        <v>6957</v>
      </c>
      <c r="N1720" s="4">
        <v>3.3665519999999997E-2</v>
      </c>
      <c r="O1720" s="5" t="s">
        <v>44</v>
      </c>
      <c r="P1720" s="5" t="s">
        <v>44</v>
      </c>
      <c r="Q1720" s="1"/>
      <c r="R1720" s="2"/>
      <c r="S1720" s="6"/>
      <c r="T1720" t="s">
        <v>10902</v>
      </c>
      <c r="U1720" t="s">
        <v>10902</v>
      </c>
      <c r="V1720" t="s">
        <v>10902</v>
      </c>
      <c r="W1720" t="s">
        <v>43</v>
      </c>
      <c r="X1720" t="s">
        <v>11034</v>
      </c>
      <c r="Y1720" t="s">
        <v>11034</v>
      </c>
      <c r="Z1720" t="s">
        <v>11195</v>
      </c>
      <c r="AA1720" t="s">
        <v>44</v>
      </c>
      <c r="AB1720" t="s">
        <v>44</v>
      </c>
      <c r="AC1720" s="4"/>
      <c r="AD1720" s="4"/>
      <c r="AE1720" s="2">
        <v>0</v>
      </c>
      <c r="AF1720" s="4">
        <v>0</v>
      </c>
      <c r="AG1720" s="2">
        <v>0.94</v>
      </c>
      <c r="AH1720" s="2">
        <v>14797330.289999999</v>
      </c>
      <c r="AI1720" s="2">
        <v>0.03</v>
      </c>
      <c r="AJ1720" s="5">
        <v>44673</v>
      </c>
      <c r="AK1720" t="s">
        <v>12200</v>
      </c>
      <c r="AL1720" s="2">
        <v>0</v>
      </c>
      <c r="AM1720" s="2">
        <v>0</v>
      </c>
      <c r="AN1720" s="2">
        <v>0</v>
      </c>
      <c r="AO1720" t="s">
        <v>44</v>
      </c>
      <c r="AP1720" t="s">
        <v>11707</v>
      </c>
      <c r="AQ1720" t="s">
        <v>4801</v>
      </c>
    </row>
    <row r="1721" spans="1:43" x14ac:dyDescent="0.2">
      <c r="A1721" t="s">
        <v>12199</v>
      </c>
      <c r="B1721" t="s">
        <v>11037</v>
      </c>
      <c r="C1721" t="s">
        <v>11195</v>
      </c>
      <c r="D1721" t="s">
        <v>11200</v>
      </c>
      <c r="E1721" t="s">
        <v>5277</v>
      </c>
      <c r="F1721" t="s">
        <v>11200</v>
      </c>
      <c r="G1721" s="1">
        <v>309262</v>
      </c>
      <c r="H1721" s="2">
        <v>4641508.7</v>
      </c>
      <c r="I1721" s="2">
        <v>3856497.14</v>
      </c>
      <c r="J1721" s="2">
        <v>0</v>
      </c>
      <c r="K1721" s="2">
        <v>0</v>
      </c>
      <c r="L1721" s="2">
        <v>3856497.14</v>
      </c>
      <c r="M1721" s="3">
        <v>1247</v>
      </c>
      <c r="N1721" s="4">
        <v>8.7739500000000008E-3</v>
      </c>
      <c r="O1721" s="5" t="s">
        <v>44</v>
      </c>
      <c r="P1721" s="5" t="s">
        <v>44</v>
      </c>
      <c r="Q1721" s="1"/>
      <c r="R1721" s="2"/>
      <c r="S1721" s="6"/>
      <c r="T1721" t="s">
        <v>10902</v>
      </c>
      <c r="U1721" t="s">
        <v>10902</v>
      </c>
      <c r="V1721" t="s">
        <v>10902</v>
      </c>
      <c r="W1721" t="s">
        <v>43</v>
      </c>
      <c r="X1721" t="s">
        <v>11197</v>
      </c>
      <c r="Y1721" t="s">
        <v>11198</v>
      </c>
      <c r="Z1721" t="s">
        <v>11195</v>
      </c>
      <c r="AA1721" t="s">
        <v>44</v>
      </c>
      <c r="AB1721" t="s">
        <v>44</v>
      </c>
      <c r="AC1721" s="4"/>
      <c r="AD1721" s="4"/>
      <c r="AE1721" s="2">
        <v>0</v>
      </c>
      <c r="AF1721" s="4">
        <v>0</v>
      </c>
      <c r="AG1721" s="2">
        <v>0.24</v>
      </c>
      <c r="AH1721" s="2">
        <v>3856497.14</v>
      </c>
      <c r="AI1721" s="2">
        <v>0.01</v>
      </c>
      <c r="AJ1721" s="5">
        <v>44673</v>
      </c>
      <c r="AK1721" t="s">
        <v>12200</v>
      </c>
      <c r="AL1721" s="2">
        <v>0</v>
      </c>
      <c r="AM1721" s="2">
        <v>0</v>
      </c>
      <c r="AN1721" s="2">
        <v>0</v>
      </c>
      <c r="AO1721" t="s">
        <v>44</v>
      </c>
      <c r="AP1721" t="s">
        <v>11201</v>
      </c>
      <c r="AQ1721" t="s">
        <v>5277</v>
      </c>
    </row>
    <row r="1722" spans="1:43" x14ac:dyDescent="0.2">
      <c r="A1722" t="s">
        <v>12199</v>
      </c>
      <c r="B1722" t="s">
        <v>11037</v>
      </c>
      <c r="C1722" t="s">
        <v>11195</v>
      </c>
      <c r="D1722" t="s">
        <v>6332</v>
      </c>
      <c r="E1722" t="s">
        <v>3152</v>
      </c>
      <c r="F1722" t="s">
        <v>6332</v>
      </c>
      <c r="G1722" s="1">
        <v>77138</v>
      </c>
      <c r="H1722" s="2">
        <v>2106839.94</v>
      </c>
      <c r="I1722" s="2">
        <v>2783139.04</v>
      </c>
      <c r="J1722" s="2">
        <v>0</v>
      </c>
      <c r="K1722" s="2">
        <v>0</v>
      </c>
      <c r="L1722" s="2">
        <v>2783139.04</v>
      </c>
      <c r="M1722" s="3">
        <v>3608</v>
      </c>
      <c r="N1722" s="4">
        <v>6.3319400000000003E-3</v>
      </c>
      <c r="O1722" s="5" t="s">
        <v>44</v>
      </c>
      <c r="P1722" s="5" t="s">
        <v>44</v>
      </c>
      <c r="Q1722" s="1"/>
      <c r="R1722" s="2"/>
      <c r="S1722" s="6"/>
      <c r="T1722" t="s">
        <v>10902</v>
      </c>
      <c r="U1722" t="s">
        <v>10902</v>
      </c>
      <c r="V1722" t="s">
        <v>10902</v>
      </c>
      <c r="W1722" t="s">
        <v>43</v>
      </c>
      <c r="X1722" t="s">
        <v>11197</v>
      </c>
      <c r="Y1722" t="s">
        <v>11198</v>
      </c>
      <c r="Z1722" t="s">
        <v>11195</v>
      </c>
      <c r="AA1722" t="s">
        <v>44</v>
      </c>
      <c r="AB1722" t="s">
        <v>44</v>
      </c>
      <c r="AC1722" s="4"/>
      <c r="AD1722" s="4"/>
      <c r="AE1722" s="2">
        <v>0</v>
      </c>
      <c r="AF1722" s="4">
        <v>0</v>
      </c>
      <c r="AG1722" s="2">
        <v>0.18</v>
      </c>
      <c r="AH1722" s="2">
        <v>2783139.04</v>
      </c>
      <c r="AI1722" s="2">
        <v>0.01</v>
      </c>
      <c r="AJ1722" s="5">
        <v>44673</v>
      </c>
      <c r="AK1722" t="s">
        <v>12200</v>
      </c>
      <c r="AL1722" s="2">
        <v>0</v>
      </c>
      <c r="AM1722" s="2">
        <v>0</v>
      </c>
      <c r="AN1722" s="2">
        <v>0</v>
      </c>
      <c r="AO1722" t="s">
        <v>44</v>
      </c>
      <c r="AP1722" t="s">
        <v>11203</v>
      </c>
      <c r="AQ1722" t="s">
        <v>3152</v>
      </c>
    </row>
    <row r="1723" spans="1:43" x14ac:dyDescent="0.2">
      <c r="A1723" t="s">
        <v>12199</v>
      </c>
      <c r="B1723" t="s">
        <v>11037</v>
      </c>
      <c r="C1723" t="s">
        <v>11195</v>
      </c>
      <c r="D1723" t="s">
        <v>11708</v>
      </c>
      <c r="E1723" t="s">
        <v>4821</v>
      </c>
      <c r="F1723" t="s">
        <v>11708</v>
      </c>
      <c r="G1723" s="1">
        <v>1980</v>
      </c>
      <c r="H1723" s="2">
        <v>101611.42</v>
      </c>
      <c r="I1723" s="2">
        <v>191584.8</v>
      </c>
      <c r="J1723" s="2">
        <v>0</v>
      </c>
      <c r="K1723" s="2">
        <v>0</v>
      </c>
      <c r="L1723" s="2">
        <v>191584.8</v>
      </c>
      <c r="M1723" s="3">
        <v>9676</v>
      </c>
      <c r="N1723" s="4">
        <v>4.3587999999999998E-4</v>
      </c>
      <c r="O1723" s="5" t="s">
        <v>44</v>
      </c>
      <c r="P1723" s="5" t="s">
        <v>44</v>
      </c>
      <c r="Q1723" s="1"/>
      <c r="R1723" s="2"/>
      <c r="S1723" s="6"/>
      <c r="T1723" t="s">
        <v>10902</v>
      </c>
      <c r="U1723" t="s">
        <v>10902</v>
      </c>
      <c r="V1723" t="s">
        <v>10902</v>
      </c>
      <c r="W1723" t="s">
        <v>43</v>
      </c>
      <c r="X1723" t="s">
        <v>11327</v>
      </c>
      <c r="Y1723" t="s">
        <v>11198</v>
      </c>
      <c r="Z1723" t="s">
        <v>11195</v>
      </c>
      <c r="AA1723" t="s">
        <v>44</v>
      </c>
      <c r="AB1723" t="s">
        <v>44</v>
      </c>
      <c r="AC1723" s="4"/>
      <c r="AD1723" s="4"/>
      <c r="AE1723" s="2">
        <v>0</v>
      </c>
      <c r="AF1723" s="4">
        <v>0</v>
      </c>
      <c r="AG1723" s="2">
        <v>0.01</v>
      </c>
      <c r="AH1723" s="2">
        <v>191584.8</v>
      </c>
      <c r="AI1723" s="2">
        <v>0</v>
      </c>
      <c r="AJ1723" s="5">
        <v>44673</v>
      </c>
      <c r="AK1723" t="s">
        <v>12200</v>
      </c>
      <c r="AL1723" s="2">
        <v>0</v>
      </c>
      <c r="AM1723" s="2">
        <v>0</v>
      </c>
      <c r="AN1723" s="2">
        <v>0</v>
      </c>
      <c r="AO1723" t="s">
        <v>44</v>
      </c>
      <c r="AP1723" t="s">
        <v>11709</v>
      </c>
      <c r="AQ1723" t="s">
        <v>4821</v>
      </c>
    </row>
    <row r="1724" spans="1:43" x14ac:dyDescent="0.2">
      <c r="A1724" t="s">
        <v>12199</v>
      </c>
      <c r="B1724" t="s">
        <v>11037</v>
      </c>
      <c r="C1724" t="s">
        <v>11195</v>
      </c>
      <c r="D1724" t="s">
        <v>6450</v>
      </c>
      <c r="E1724" t="s">
        <v>5121</v>
      </c>
      <c r="F1724" t="s">
        <v>6450</v>
      </c>
      <c r="G1724" s="1">
        <v>17127</v>
      </c>
      <c r="H1724" s="2">
        <v>2203854.02</v>
      </c>
      <c r="I1724" s="2">
        <v>1899213.03</v>
      </c>
      <c r="J1724" s="2">
        <v>0</v>
      </c>
      <c r="K1724" s="2">
        <v>0</v>
      </c>
      <c r="L1724" s="2">
        <v>1899213.03</v>
      </c>
      <c r="M1724" s="3">
        <v>11089</v>
      </c>
      <c r="N1724" s="4">
        <v>4.3209099999999999E-3</v>
      </c>
      <c r="O1724" s="5" t="s">
        <v>44</v>
      </c>
      <c r="P1724" s="5" t="s">
        <v>44</v>
      </c>
      <c r="Q1724" s="1"/>
      <c r="R1724" s="2"/>
      <c r="S1724" s="6"/>
      <c r="T1724" t="s">
        <v>10902</v>
      </c>
      <c r="U1724" t="s">
        <v>10902</v>
      </c>
      <c r="V1724" t="s">
        <v>10902</v>
      </c>
      <c r="W1724" t="s">
        <v>43</v>
      </c>
      <c r="X1724" t="s">
        <v>11327</v>
      </c>
      <c r="Y1724" t="s">
        <v>11198</v>
      </c>
      <c r="Z1724" t="s">
        <v>11195</v>
      </c>
      <c r="AA1724" t="s">
        <v>44</v>
      </c>
      <c r="AB1724" t="s">
        <v>44</v>
      </c>
      <c r="AC1724" s="4"/>
      <c r="AD1724" s="4"/>
      <c r="AE1724" s="2">
        <v>0</v>
      </c>
      <c r="AF1724" s="4">
        <v>0</v>
      </c>
      <c r="AG1724" s="2">
        <v>0.12</v>
      </c>
      <c r="AH1724" s="2">
        <v>1899213.03</v>
      </c>
      <c r="AI1724" s="2">
        <v>0</v>
      </c>
      <c r="AJ1724" s="5">
        <v>44673</v>
      </c>
      <c r="AK1724" t="s">
        <v>12200</v>
      </c>
      <c r="AL1724" s="2">
        <v>0</v>
      </c>
      <c r="AM1724" s="2">
        <v>0</v>
      </c>
      <c r="AN1724" s="2">
        <v>0</v>
      </c>
      <c r="AO1724" t="s">
        <v>44</v>
      </c>
      <c r="AP1724" t="s">
        <v>11331</v>
      </c>
      <c r="AQ1724" t="s">
        <v>5121</v>
      </c>
    </row>
    <row r="1725" spans="1:43" x14ac:dyDescent="0.2">
      <c r="A1725" t="s">
        <v>12199</v>
      </c>
      <c r="B1725" t="s">
        <v>11037</v>
      </c>
      <c r="C1725" t="s">
        <v>11195</v>
      </c>
      <c r="D1725" t="s">
        <v>12333</v>
      </c>
      <c r="E1725" t="s">
        <v>6510</v>
      </c>
      <c r="F1725" t="s">
        <v>12333</v>
      </c>
      <c r="G1725" s="1">
        <v>200000</v>
      </c>
      <c r="H1725" s="2">
        <v>1760000</v>
      </c>
      <c r="I1725" s="2">
        <v>1750000</v>
      </c>
      <c r="J1725" s="2">
        <v>0</v>
      </c>
      <c r="K1725" s="2">
        <v>0</v>
      </c>
      <c r="L1725" s="2">
        <v>1750000</v>
      </c>
      <c r="M1725" s="3">
        <v>875</v>
      </c>
      <c r="N1725" s="4">
        <v>3.9814400000000002E-3</v>
      </c>
      <c r="O1725" s="5" t="s">
        <v>44</v>
      </c>
      <c r="P1725" s="5" t="s">
        <v>44</v>
      </c>
      <c r="Q1725" s="1"/>
      <c r="R1725" s="2"/>
      <c r="S1725" s="6"/>
      <c r="T1725" t="s">
        <v>10902</v>
      </c>
      <c r="U1725" t="s">
        <v>10902</v>
      </c>
      <c r="V1725" t="s">
        <v>10902</v>
      </c>
      <c r="W1725" t="s">
        <v>43</v>
      </c>
      <c r="X1725" t="s">
        <v>11197</v>
      </c>
      <c r="Y1725" t="s">
        <v>11198</v>
      </c>
      <c r="Z1725" t="s">
        <v>11195</v>
      </c>
      <c r="AA1725" t="s">
        <v>44</v>
      </c>
      <c r="AB1725" t="s">
        <v>44</v>
      </c>
      <c r="AC1725" s="4"/>
      <c r="AD1725" s="4"/>
      <c r="AE1725" s="2">
        <v>0</v>
      </c>
      <c r="AF1725" s="4">
        <v>0</v>
      </c>
      <c r="AG1725" s="2">
        <v>0.11</v>
      </c>
      <c r="AH1725" s="2">
        <v>1750000</v>
      </c>
      <c r="AI1725" s="2">
        <v>0</v>
      </c>
      <c r="AJ1725" s="5">
        <v>44673</v>
      </c>
      <c r="AK1725" t="s">
        <v>12200</v>
      </c>
      <c r="AL1725" s="2">
        <v>0</v>
      </c>
      <c r="AM1725" s="2">
        <v>0</v>
      </c>
      <c r="AN1725" s="2">
        <v>0</v>
      </c>
      <c r="AO1725" t="s">
        <v>44</v>
      </c>
      <c r="AP1725" t="s">
        <v>12334</v>
      </c>
      <c r="AQ1725" t="s">
        <v>6510</v>
      </c>
    </row>
    <row r="1726" spans="1:43" x14ac:dyDescent="0.2">
      <c r="A1726" t="s">
        <v>12199</v>
      </c>
      <c r="B1726" t="s">
        <v>11037</v>
      </c>
      <c r="C1726" t="s">
        <v>11195</v>
      </c>
      <c r="D1726" t="s">
        <v>11204</v>
      </c>
      <c r="E1726" t="s">
        <v>5699</v>
      </c>
      <c r="F1726" t="s">
        <v>11204</v>
      </c>
      <c r="G1726" s="1">
        <v>81760</v>
      </c>
      <c r="H1726" s="2">
        <v>1463172.95</v>
      </c>
      <c r="I1726" s="2">
        <v>1788908.8</v>
      </c>
      <c r="J1726" s="2">
        <v>0</v>
      </c>
      <c r="K1726" s="2">
        <v>0</v>
      </c>
      <c r="L1726" s="2">
        <v>1788908.8</v>
      </c>
      <c r="M1726" s="3">
        <v>2188</v>
      </c>
      <c r="N1726" s="4">
        <v>4.0699600000000001E-3</v>
      </c>
      <c r="O1726" s="5" t="s">
        <v>44</v>
      </c>
      <c r="P1726" s="5" t="s">
        <v>44</v>
      </c>
      <c r="Q1726" s="1"/>
      <c r="R1726" s="2"/>
      <c r="S1726" s="6"/>
      <c r="T1726" t="s">
        <v>10902</v>
      </c>
      <c r="U1726" t="s">
        <v>10902</v>
      </c>
      <c r="V1726" t="s">
        <v>10902</v>
      </c>
      <c r="W1726" t="s">
        <v>43</v>
      </c>
      <c r="X1726" t="s">
        <v>11197</v>
      </c>
      <c r="Y1726" t="s">
        <v>11198</v>
      </c>
      <c r="Z1726" t="s">
        <v>11195</v>
      </c>
      <c r="AA1726" t="s">
        <v>44</v>
      </c>
      <c r="AB1726" t="s">
        <v>44</v>
      </c>
      <c r="AC1726" s="4"/>
      <c r="AD1726" s="4"/>
      <c r="AE1726" s="2">
        <v>0</v>
      </c>
      <c r="AF1726" s="4">
        <v>0</v>
      </c>
      <c r="AG1726" s="2">
        <v>0.11</v>
      </c>
      <c r="AH1726" s="2">
        <v>1788908.8</v>
      </c>
      <c r="AI1726" s="2">
        <v>0</v>
      </c>
      <c r="AJ1726" s="5">
        <v>44673</v>
      </c>
      <c r="AK1726" t="s">
        <v>12200</v>
      </c>
      <c r="AL1726" s="2">
        <v>0</v>
      </c>
      <c r="AM1726" s="2">
        <v>0</v>
      </c>
      <c r="AN1726" s="2">
        <v>0</v>
      </c>
      <c r="AO1726" t="s">
        <v>44</v>
      </c>
      <c r="AP1726" t="s">
        <v>11205</v>
      </c>
      <c r="AQ1726" t="s">
        <v>5699</v>
      </c>
    </row>
    <row r="1727" spans="1:43" x14ac:dyDescent="0.2">
      <c r="A1727" t="s">
        <v>12199</v>
      </c>
      <c r="B1727" t="s">
        <v>11037</v>
      </c>
      <c r="C1727" t="s">
        <v>11195</v>
      </c>
      <c r="D1727" t="s">
        <v>11332</v>
      </c>
      <c r="E1727" t="s">
        <v>11333</v>
      </c>
      <c r="F1727" t="s">
        <v>11332</v>
      </c>
      <c r="G1727" s="1">
        <v>294039</v>
      </c>
      <c r="H1727" s="2">
        <v>4688689.22</v>
      </c>
      <c r="I1727" s="2">
        <v>4966318.71</v>
      </c>
      <c r="J1727" s="2">
        <v>0</v>
      </c>
      <c r="K1727" s="2">
        <v>0</v>
      </c>
      <c r="L1727" s="2">
        <v>4966318.71</v>
      </c>
      <c r="M1727" s="3">
        <v>1689</v>
      </c>
      <c r="N1727" s="4">
        <v>1.1298910000000001E-2</v>
      </c>
      <c r="O1727" s="5" t="s">
        <v>44</v>
      </c>
      <c r="P1727" s="5" t="s">
        <v>44</v>
      </c>
      <c r="Q1727" s="1"/>
      <c r="R1727" s="2"/>
      <c r="S1727" s="6"/>
      <c r="T1727" t="s">
        <v>10902</v>
      </c>
      <c r="U1727" t="s">
        <v>10902</v>
      </c>
      <c r="V1727" t="s">
        <v>10902</v>
      </c>
      <c r="W1727" t="s">
        <v>43</v>
      </c>
      <c r="X1727" t="s">
        <v>11334</v>
      </c>
      <c r="Y1727" t="s">
        <v>11335</v>
      </c>
      <c r="Z1727" t="s">
        <v>11195</v>
      </c>
      <c r="AA1727" t="s">
        <v>44</v>
      </c>
      <c r="AB1727" t="s">
        <v>44</v>
      </c>
      <c r="AC1727" s="4"/>
      <c r="AD1727" s="4"/>
      <c r="AE1727" s="2">
        <v>0</v>
      </c>
      <c r="AF1727" s="4">
        <v>0</v>
      </c>
      <c r="AG1727" s="2">
        <v>0.31</v>
      </c>
      <c r="AH1727" s="2">
        <v>4966318.71</v>
      </c>
      <c r="AI1727" s="2">
        <v>0.01</v>
      </c>
      <c r="AJ1727" s="5">
        <v>44673</v>
      </c>
      <c r="AK1727" t="s">
        <v>12200</v>
      </c>
      <c r="AL1727" s="2">
        <v>0</v>
      </c>
      <c r="AM1727" s="2">
        <v>0</v>
      </c>
      <c r="AN1727" s="2">
        <v>0</v>
      </c>
      <c r="AO1727" t="s">
        <v>44</v>
      </c>
      <c r="AP1727" t="s">
        <v>11336</v>
      </c>
      <c r="AQ1727" t="s">
        <v>11333</v>
      </c>
    </row>
    <row r="1728" spans="1:43" x14ac:dyDescent="0.2">
      <c r="A1728" t="s">
        <v>12199</v>
      </c>
      <c r="B1728" t="s">
        <v>11037</v>
      </c>
      <c r="C1728" t="s">
        <v>11195</v>
      </c>
      <c r="D1728" t="s">
        <v>11337</v>
      </c>
      <c r="E1728" t="s">
        <v>11338</v>
      </c>
      <c r="F1728" t="s">
        <v>11339</v>
      </c>
      <c r="G1728" s="1">
        <v>32507</v>
      </c>
      <c r="H1728" s="2">
        <v>1444673.13</v>
      </c>
      <c r="I1728" s="2">
        <v>1644204.06</v>
      </c>
      <c r="J1728" s="2">
        <v>0</v>
      </c>
      <c r="K1728" s="2">
        <v>0</v>
      </c>
      <c r="L1728" s="2">
        <v>1644204.06</v>
      </c>
      <c r="M1728" s="3">
        <v>5058</v>
      </c>
      <c r="N1728" s="4">
        <v>3.7407400000000002E-3</v>
      </c>
      <c r="O1728" s="5" t="s">
        <v>44</v>
      </c>
      <c r="P1728" s="5" t="s">
        <v>44</v>
      </c>
      <c r="Q1728" s="1"/>
      <c r="R1728" s="2"/>
      <c r="S1728" s="6"/>
      <c r="T1728" t="s">
        <v>10902</v>
      </c>
      <c r="U1728" t="s">
        <v>10902</v>
      </c>
      <c r="V1728" t="s">
        <v>10902</v>
      </c>
      <c r="W1728" t="s">
        <v>43</v>
      </c>
      <c r="X1728" t="s">
        <v>11327</v>
      </c>
      <c r="Y1728" t="s">
        <v>11198</v>
      </c>
      <c r="Z1728" t="s">
        <v>11195</v>
      </c>
      <c r="AA1728" t="s">
        <v>44</v>
      </c>
      <c r="AB1728" t="s">
        <v>44</v>
      </c>
      <c r="AC1728" s="4"/>
      <c r="AD1728" s="4"/>
      <c r="AE1728" s="2">
        <v>0</v>
      </c>
      <c r="AF1728" s="4">
        <v>0</v>
      </c>
      <c r="AG1728" s="2">
        <v>0.1</v>
      </c>
      <c r="AH1728" s="2">
        <v>1644204.06</v>
      </c>
      <c r="AI1728" s="2">
        <v>0</v>
      </c>
      <c r="AJ1728" s="5">
        <v>44673</v>
      </c>
      <c r="AK1728" t="s">
        <v>12200</v>
      </c>
      <c r="AL1728" s="2">
        <v>0</v>
      </c>
      <c r="AM1728" s="2">
        <v>0</v>
      </c>
      <c r="AN1728" s="2">
        <v>0</v>
      </c>
      <c r="AO1728" t="s">
        <v>44</v>
      </c>
      <c r="AP1728" t="s">
        <v>11340</v>
      </c>
      <c r="AQ1728" t="s">
        <v>11338</v>
      </c>
    </row>
    <row r="1729" spans="1:43" x14ac:dyDescent="0.2">
      <c r="A1729" t="s">
        <v>12199</v>
      </c>
      <c r="B1729" t="s">
        <v>11037</v>
      </c>
      <c r="C1729" t="s">
        <v>11195</v>
      </c>
      <c r="D1729" t="s">
        <v>11341</v>
      </c>
      <c r="E1729" t="s">
        <v>11342</v>
      </c>
      <c r="F1729" t="s">
        <v>11341</v>
      </c>
      <c r="G1729" s="1">
        <v>37867</v>
      </c>
      <c r="H1729" s="2">
        <v>1501551.53</v>
      </c>
      <c r="I1729" s="2">
        <v>1975142.72</v>
      </c>
      <c r="J1729" s="2">
        <v>0</v>
      </c>
      <c r="K1729" s="2">
        <v>0</v>
      </c>
      <c r="L1729" s="2">
        <v>1975142.72</v>
      </c>
      <c r="M1729" s="3">
        <v>5216</v>
      </c>
      <c r="N1729" s="4">
        <v>4.49366E-3</v>
      </c>
      <c r="O1729" s="5" t="s">
        <v>44</v>
      </c>
      <c r="P1729" s="5" t="s">
        <v>44</v>
      </c>
      <c r="Q1729" s="1"/>
      <c r="R1729" s="2"/>
      <c r="S1729" s="6"/>
      <c r="T1729" t="s">
        <v>10902</v>
      </c>
      <c r="U1729" t="s">
        <v>10902</v>
      </c>
      <c r="V1729" t="s">
        <v>10902</v>
      </c>
      <c r="W1729" t="s">
        <v>43</v>
      </c>
      <c r="X1729" t="s">
        <v>11327</v>
      </c>
      <c r="Y1729" t="s">
        <v>11198</v>
      </c>
      <c r="Z1729" t="s">
        <v>11195</v>
      </c>
      <c r="AA1729" t="s">
        <v>44</v>
      </c>
      <c r="AB1729" t="s">
        <v>44</v>
      </c>
      <c r="AC1729" s="4"/>
      <c r="AD1729" s="4"/>
      <c r="AE1729" s="2">
        <v>0</v>
      </c>
      <c r="AF1729" s="4">
        <v>0</v>
      </c>
      <c r="AG1729" s="2">
        <v>0.12</v>
      </c>
      <c r="AH1729" s="2">
        <v>1975142.72</v>
      </c>
      <c r="AI1729" s="2">
        <v>0</v>
      </c>
      <c r="AJ1729" s="5">
        <v>44673</v>
      </c>
      <c r="AK1729" t="s">
        <v>12200</v>
      </c>
      <c r="AL1729" s="2">
        <v>0</v>
      </c>
      <c r="AM1729" s="2">
        <v>0</v>
      </c>
      <c r="AN1729" s="2">
        <v>0</v>
      </c>
      <c r="AO1729" t="s">
        <v>44</v>
      </c>
      <c r="AP1729" t="s">
        <v>11343</v>
      </c>
      <c r="AQ1729" t="s">
        <v>11342</v>
      </c>
    </row>
    <row r="1730" spans="1:43" x14ac:dyDescent="0.2">
      <c r="A1730" t="s">
        <v>12199</v>
      </c>
      <c r="B1730" t="s">
        <v>11037</v>
      </c>
      <c r="C1730" t="s">
        <v>11195</v>
      </c>
      <c r="D1730" t="s">
        <v>6128</v>
      </c>
      <c r="E1730" t="s">
        <v>6759</v>
      </c>
      <c r="F1730" t="s">
        <v>6128</v>
      </c>
      <c r="G1730" s="1">
        <v>36040</v>
      </c>
      <c r="H1730" s="2">
        <v>2384029.1</v>
      </c>
      <c r="I1730" s="2">
        <v>3477860</v>
      </c>
      <c r="J1730" s="2">
        <v>0</v>
      </c>
      <c r="K1730" s="2">
        <v>0</v>
      </c>
      <c r="L1730" s="2">
        <v>3477860</v>
      </c>
      <c r="M1730" s="3">
        <v>9650</v>
      </c>
      <c r="N1730" s="4">
        <v>7.9125099999999993E-3</v>
      </c>
      <c r="O1730" s="5" t="s">
        <v>44</v>
      </c>
      <c r="P1730" s="5" t="s">
        <v>44</v>
      </c>
      <c r="Q1730" s="1"/>
      <c r="R1730" s="2"/>
      <c r="S1730" s="6"/>
      <c r="T1730" t="s">
        <v>10902</v>
      </c>
      <c r="U1730" t="s">
        <v>10902</v>
      </c>
      <c r="V1730" t="s">
        <v>10902</v>
      </c>
      <c r="W1730" t="s">
        <v>43</v>
      </c>
      <c r="X1730" t="s">
        <v>11327</v>
      </c>
      <c r="Y1730" t="s">
        <v>11198</v>
      </c>
      <c r="Z1730" t="s">
        <v>11195</v>
      </c>
      <c r="AA1730" t="s">
        <v>44</v>
      </c>
      <c r="AB1730" t="s">
        <v>44</v>
      </c>
      <c r="AC1730" s="4"/>
      <c r="AD1730" s="4"/>
      <c r="AE1730" s="2">
        <v>0</v>
      </c>
      <c r="AF1730" s="4">
        <v>0</v>
      </c>
      <c r="AG1730" s="2">
        <v>0.22</v>
      </c>
      <c r="AH1730" s="2">
        <v>3477860</v>
      </c>
      <c r="AI1730" s="2">
        <v>0.01</v>
      </c>
      <c r="AJ1730" s="5">
        <v>44673</v>
      </c>
      <c r="AK1730" t="s">
        <v>12200</v>
      </c>
      <c r="AL1730" s="2">
        <v>0</v>
      </c>
      <c r="AM1730" s="2">
        <v>0</v>
      </c>
      <c r="AN1730" s="2">
        <v>0</v>
      </c>
      <c r="AO1730" t="s">
        <v>44</v>
      </c>
      <c r="AP1730" t="s">
        <v>11344</v>
      </c>
      <c r="AQ1730" t="s">
        <v>6759</v>
      </c>
    </row>
    <row r="1731" spans="1:43" x14ac:dyDescent="0.2">
      <c r="A1731" t="s">
        <v>12199</v>
      </c>
      <c r="B1731" t="s">
        <v>11037</v>
      </c>
      <c r="C1731" t="s">
        <v>11195</v>
      </c>
      <c r="D1731" t="s">
        <v>11345</v>
      </c>
      <c r="E1731" t="s">
        <v>5409</v>
      </c>
      <c r="F1731" t="s">
        <v>11345</v>
      </c>
      <c r="G1731" s="1">
        <v>238753</v>
      </c>
      <c r="H1731" s="2">
        <v>7340485.6799999997</v>
      </c>
      <c r="I1731" s="2">
        <v>6589582.7999999998</v>
      </c>
      <c r="J1731" s="2">
        <v>0</v>
      </c>
      <c r="K1731" s="2">
        <v>186847.86</v>
      </c>
      <c r="L1731" s="2">
        <v>6776430.6600000001</v>
      </c>
      <c r="M1731" s="3">
        <v>2760</v>
      </c>
      <c r="N1731" s="4">
        <v>1.5417109999999999E-2</v>
      </c>
      <c r="O1731" s="5" t="s">
        <v>44</v>
      </c>
      <c r="P1731" s="5" t="s">
        <v>44</v>
      </c>
      <c r="Q1731" s="1"/>
      <c r="R1731" s="2"/>
      <c r="S1731" s="6"/>
      <c r="T1731" t="s">
        <v>10902</v>
      </c>
      <c r="U1731" t="s">
        <v>10902</v>
      </c>
      <c r="V1731" t="s">
        <v>10902</v>
      </c>
      <c r="W1731" t="s">
        <v>43</v>
      </c>
      <c r="X1731" t="s">
        <v>11327</v>
      </c>
      <c r="Y1731" t="s">
        <v>11198</v>
      </c>
      <c r="Z1731" t="s">
        <v>11195</v>
      </c>
      <c r="AA1731" t="s">
        <v>44</v>
      </c>
      <c r="AB1731" t="s">
        <v>44</v>
      </c>
      <c r="AC1731" s="4"/>
      <c r="AD1731" s="4"/>
      <c r="AE1731" s="2">
        <v>0</v>
      </c>
      <c r="AF1731" s="4">
        <v>0</v>
      </c>
      <c r="AG1731" s="2">
        <v>0.43</v>
      </c>
      <c r="AH1731" s="2">
        <v>6776430.6600000001</v>
      </c>
      <c r="AI1731" s="2">
        <v>0.02</v>
      </c>
      <c r="AJ1731" s="5">
        <v>44673</v>
      </c>
      <c r="AK1731" t="s">
        <v>12200</v>
      </c>
      <c r="AL1731" s="2">
        <v>0</v>
      </c>
      <c r="AM1731" s="2">
        <v>0</v>
      </c>
      <c r="AN1731" s="2">
        <v>0</v>
      </c>
      <c r="AO1731" t="s">
        <v>44</v>
      </c>
      <c r="AP1731" t="s">
        <v>11346</v>
      </c>
      <c r="AQ1731" t="s">
        <v>5409</v>
      </c>
    </row>
    <row r="1732" spans="1:43" x14ac:dyDescent="0.2">
      <c r="A1732" t="s">
        <v>12199</v>
      </c>
      <c r="B1732" t="s">
        <v>11037</v>
      </c>
      <c r="C1732" t="s">
        <v>11195</v>
      </c>
      <c r="D1732" t="s">
        <v>6263</v>
      </c>
      <c r="E1732" t="s">
        <v>6850</v>
      </c>
      <c r="F1732" t="s">
        <v>6263</v>
      </c>
      <c r="G1732" s="1">
        <v>225131</v>
      </c>
      <c r="H1732" s="2">
        <v>4304902.4000000004</v>
      </c>
      <c r="I1732" s="2">
        <v>5963720.1900000004</v>
      </c>
      <c r="J1732" s="2">
        <v>0</v>
      </c>
      <c r="K1732" s="2">
        <v>372591.81</v>
      </c>
      <c r="L1732" s="2">
        <v>6336312</v>
      </c>
      <c r="M1732" s="3">
        <v>2649</v>
      </c>
      <c r="N1732" s="4">
        <v>1.441579E-2</v>
      </c>
      <c r="O1732" s="5" t="s">
        <v>44</v>
      </c>
      <c r="P1732" s="5" t="s">
        <v>44</v>
      </c>
      <c r="Q1732" s="1"/>
      <c r="R1732" s="2"/>
      <c r="S1732" s="6"/>
      <c r="T1732" t="s">
        <v>10902</v>
      </c>
      <c r="U1732" t="s">
        <v>10902</v>
      </c>
      <c r="V1732" t="s">
        <v>10902</v>
      </c>
      <c r="W1732" t="s">
        <v>43</v>
      </c>
      <c r="X1732" t="s">
        <v>11347</v>
      </c>
      <c r="Y1732" t="s">
        <v>11348</v>
      </c>
      <c r="Z1732" t="s">
        <v>11195</v>
      </c>
      <c r="AA1732" t="s">
        <v>44</v>
      </c>
      <c r="AB1732" t="s">
        <v>44</v>
      </c>
      <c r="AC1732" s="4"/>
      <c r="AD1732" s="4"/>
      <c r="AE1732" s="2">
        <v>0</v>
      </c>
      <c r="AF1732" s="4">
        <v>0</v>
      </c>
      <c r="AG1732" s="2">
        <v>0.4</v>
      </c>
      <c r="AH1732" s="2">
        <v>6336312</v>
      </c>
      <c r="AI1732" s="2">
        <v>0.01</v>
      </c>
      <c r="AJ1732" s="5">
        <v>44673</v>
      </c>
      <c r="AK1732" t="s">
        <v>12200</v>
      </c>
      <c r="AL1732" s="2">
        <v>0</v>
      </c>
      <c r="AM1732" s="2">
        <v>0</v>
      </c>
      <c r="AN1732" s="2">
        <v>0</v>
      </c>
      <c r="AO1732" t="s">
        <v>44</v>
      </c>
      <c r="AP1732" t="s">
        <v>11349</v>
      </c>
      <c r="AQ1732" t="s">
        <v>6850</v>
      </c>
    </row>
    <row r="1733" spans="1:43" x14ac:dyDescent="0.2">
      <c r="A1733" t="s">
        <v>12199</v>
      </c>
      <c r="B1733" t="s">
        <v>11037</v>
      </c>
      <c r="C1733" t="s">
        <v>11195</v>
      </c>
      <c r="D1733" t="s">
        <v>11208</v>
      </c>
      <c r="E1733" t="s">
        <v>3160</v>
      </c>
      <c r="F1733" t="s">
        <v>11208</v>
      </c>
      <c r="G1733" s="1">
        <v>2208148</v>
      </c>
      <c r="H1733" s="2">
        <v>8915559.8699999992</v>
      </c>
      <c r="I1733" s="2">
        <v>9782095.6400000006</v>
      </c>
      <c r="J1733" s="2">
        <v>0</v>
      </c>
      <c r="K1733" s="2">
        <v>0</v>
      </c>
      <c r="L1733" s="2">
        <v>9782095.6400000006</v>
      </c>
      <c r="M1733" s="3">
        <v>443</v>
      </c>
      <c r="N1733" s="4">
        <v>2.2255319999999999E-2</v>
      </c>
      <c r="O1733" s="5" t="s">
        <v>44</v>
      </c>
      <c r="P1733" s="5" t="s">
        <v>44</v>
      </c>
      <c r="Q1733" s="1"/>
      <c r="R1733" s="2"/>
      <c r="S1733" s="6"/>
      <c r="T1733" t="s">
        <v>10902</v>
      </c>
      <c r="U1733" t="s">
        <v>10902</v>
      </c>
      <c r="V1733" t="s">
        <v>10902</v>
      </c>
      <c r="W1733" t="s">
        <v>43</v>
      </c>
      <c r="X1733" t="s">
        <v>11197</v>
      </c>
      <c r="Y1733" t="s">
        <v>11198</v>
      </c>
      <c r="Z1733" t="s">
        <v>11195</v>
      </c>
      <c r="AA1733" t="s">
        <v>44</v>
      </c>
      <c r="AB1733" t="s">
        <v>44</v>
      </c>
      <c r="AC1733" s="4"/>
      <c r="AD1733" s="4"/>
      <c r="AE1733" s="2">
        <v>0</v>
      </c>
      <c r="AF1733" s="4">
        <v>0</v>
      </c>
      <c r="AG1733" s="2">
        <v>0.62</v>
      </c>
      <c r="AH1733" s="2">
        <v>9782095.6400000006</v>
      </c>
      <c r="AI1733" s="2">
        <v>0.02</v>
      </c>
      <c r="AJ1733" s="5">
        <v>44673</v>
      </c>
      <c r="AK1733" t="s">
        <v>12200</v>
      </c>
      <c r="AL1733" s="2">
        <v>0</v>
      </c>
      <c r="AM1733" s="2">
        <v>0</v>
      </c>
      <c r="AN1733" s="2">
        <v>0</v>
      </c>
      <c r="AO1733" t="s">
        <v>44</v>
      </c>
      <c r="AP1733" t="s">
        <v>11209</v>
      </c>
      <c r="AQ1733" t="s">
        <v>3160</v>
      </c>
    </row>
    <row r="1734" spans="1:43" x14ac:dyDescent="0.2">
      <c r="A1734" t="s">
        <v>12199</v>
      </c>
      <c r="B1734" t="s">
        <v>11037</v>
      </c>
      <c r="C1734" t="s">
        <v>11195</v>
      </c>
      <c r="D1734" t="s">
        <v>11714</v>
      </c>
      <c r="E1734" t="s">
        <v>5012</v>
      </c>
      <c r="F1734" t="s">
        <v>11714</v>
      </c>
      <c r="G1734" s="1">
        <v>40170</v>
      </c>
      <c r="H1734" s="2">
        <v>12662643.16</v>
      </c>
      <c r="I1734" s="2">
        <v>12848374.5</v>
      </c>
      <c r="J1734" s="2">
        <v>0</v>
      </c>
      <c r="K1734" s="2">
        <v>0</v>
      </c>
      <c r="L1734" s="2">
        <v>12848374.5</v>
      </c>
      <c r="M1734" s="3">
        <v>31985</v>
      </c>
      <c r="N1734" s="4">
        <v>2.9231440000000001E-2</v>
      </c>
      <c r="O1734" s="5" t="s">
        <v>44</v>
      </c>
      <c r="P1734" s="5" t="s">
        <v>44</v>
      </c>
      <c r="Q1734" s="1"/>
      <c r="R1734" s="2"/>
      <c r="S1734" s="6"/>
      <c r="T1734" t="s">
        <v>10902</v>
      </c>
      <c r="U1734" t="s">
        <v>10902</v>
      </c>
      <c r="V1734" t="s">
        <v>10902</v>
      </c>
      <c r="W1734" t="s">
        <v>43</v>
      </c>
      <c r="X1734" t="s">
        <v>11327</v>
      </c>
      <c r="Y1734" t="s">
        <v>11198</v>
      </c>
      <c r="Z1734" t="s">
        <v>11195</v>
      </c>
      <c r="AA1734" t="s">
        <v>44</v>
      </c>
      <c r="AB1734" t="s">
        <v>44</v>
      </c>
      <c r="AC1734" s="4"/>
      <c r="AD1734" s="4"/>
      <c r="AE1734" s="2">
        <v>0</v>
      </c>
      <c r="AF1734" s="4">
        <v>0</v>
      </c>
      <c r="AG1734" s="2">
        <v>0.81</v>
      </c>
      <c r="AH1734" s="2">
        <v>12848374.5</v>
      </c>
      <c r="AI1734" s="2">
        <v>0.03</v>
      </c>
      <c r="AJ1734" s="5">
        <v>44673</v>
      </c>
      <c r="AK1734" t="s">
        <v>12200</v>
      </c>
      <c r="AL1734" s="2">
        <v>0</v>
      </c>
      <c r="AM1734" s="2">
        <v>0</v>
      </c>
      <c r="AN1734" s="2">
        <v>0</v>
      </c>
      <c r="AO1734" t="s">
        <v>44</v>
      </c>
      <c r="AP1734" t="s">
        <v>11715</v>
      </c>
      <c r="AQ1734" t="s">
        <v>5012</v>
      </c>
    </row>
    <row r="1735" spans="1:43" x14ac:dyDescent="0.2">
      <c r="A1735" t="s">
        <v>12199</v>
      </c>
      <c r="B1735" t="s">
        <v>11037</v>
      </c>
      <c r="C1735" t="s">
        <v>11195</v>
      </c>
      <c r="D1735" t="s">
        <v>11210</v>
      </c>
      <c r="E1735" t="s">
        <v>3167</v>
      </c>
      <c r="F1735" t="s">
        <v>11211</v>
      </c>
      <c r="G1735" s="1">
        <v>96688</v>
      </c>
      <c r="H1735" s="2">
        <v>5252370.79</v>
      </c>
      <c r="I1735" s="2">
        <v>5656248</v>
      </c>
      <c r="J1735" s="2">
        <v>0</v>
      </c>
      <c r="K1735" s="2">
        <v>0</v>
      </c>
      <c r="L1735" s="2">
        <v>5656248</v>
      </c>
      <c r="M1735" s="3">
        <v>5850</v>
      </c>
      <c r="N1735" s="4">
        <v>1.2868569999999999E-2</v>
      </c>
      <c r="O1735" s="5" t="s">
        <v>44</v>
      </c>
      <c r="P1735" s="5" t="s">
        <v>44</v>
      </c>
      <c r="Q1735" s="1"/>
      <c r="R1735" s="2"/>
      <c r="S1735" s="6"/>
      <c r="T1735" t="s">
        <v>10902</v>
      </c>
      <c r="U1735" t="s">
        <v>10902</v>
      </c>
      <c r="V1735" t="s">
        <v>11212</v>
      </c>
      <c r="W1735" t="s">
        <v>43</v>
      </c>
      <c r="X1735" t="s">
        <v>11197</v>
      </c>
      <c r="Y1735" t="s">
        <v>11198</v>
      </c>
      <c r="Z1735" t="s">
        <v>11195</v>
      </c>
      <c r="AA1735" t="s">
        <v>44</v>
      </c>
      <c r="AB1735" t="s">
        <v>44</v>
      </c>
      <c r="AC1735" s="4"/>
      <c r="AD1735" s="4"/>
      <c r="AE1735" s="2">
        <v>0</v>
      </c>
      <c r="AF1735" s="4">
        <v>0</v>
      </c>
      <c r="AG1735" s="2">
        <v>0.36</v>
      </c>
      <c r="AH1735" s="2">
        <v>5656248</v>
      </c>
      <c r="AI1735" s="2">
        <v>0.01</v>
      </c>
      <c r="AJ1735" s="5">
        <v>44673</v>
      </c>
      <c r="AK1735" t="s">
        <v>12200</v>
      </c>
      <c r="AL1735" s="2">
        <v>0</v>
      </c>
      <c r="AM1735" s="2">
        <v>0</v>
      </c>
      <c r="AN1735" s="2">
        <v>0</v>
      </c>
      <c r="AO1735" t="s">
        <v>44</v>
      </c>
      <c r="AP1735" t="s">
        <v>11213</v>
      </c>
      <c r="AQ1735" t="s">
        <v>3167</v>
      </c>
    </row>
    <row r="1736" spans="1:43" x14ac:dyDescent="0.2">
      <c r="A1736" t="s">
        <v>12199</v>
      </c>
      <c r="B1736" t="s">
        <v>11037</v>
      </c>
      <c r="C1736" t="s">
        <v>11195</v>
      </c>
      <c r="D1736" t="s">
        <v>6379</v>
      </c>
      <c r="E1736" t="s">
        <v>5199</v>
      </c>
      <c r="F1736" t="s">
        <v>6379</v>
      </c>
      <c r="G1736" s="1">
        <v>9491</v>
      </c>
      <c r="H1736" s="2">
        <v>2519568.81</v>
      </c>
      <c r="I1736" s="2">
        <v>2771372</v>
      </c>
      <c r="J1736" s="2">
        <v>0</v>
      </c>
      <c r="K1736" s="2">
        <v>0</v>
      </c>
      <c r="L1736" s="2">
        <v>2771372</v>
      </c>
      <c r="M1736" s="3">
        <v>29200</v>
      </c>
      <c r="N1736" s="4">
        <v>6.3051699999999997E-3</v>
      </c>
      <c r="O1736" s="5" t="s">
        <v>44</v>
      </c>
      <c r="P1736" s="5" t="s">
        <v>44</v>
      </c>
      <c r="Q1736" s="1"/>
      <c r="R1736" s="2"/>
      <c r="S1736" s="6"/>
      <c r="T1736" t="s">
        <v>10902</v>
      </c>
      <c r="U1736" t="s">
        <v>10902</v>
      </c>
      <c r="V1736" t="s">
        <v>10902</v>
      </c>
      <c r="W1736" t="s">
        <v>43</v>
      </c>
      <c r="X1736" t="s">
        <v>11350</v>
      </c>
      <c r="Y1736" t="s">
        <v>11335</v>
      </c>
      <c r="Z1736" t="s">
        <v>11195</v>
      </c>
      <c r="AA1736" t="s">
        <v>44</v>
      </c>
      <c r="AB1736" t="s">
        <v>44</v>
      </c>
      <c r="AC1736" s="4"/>
      <c r="AD1736" s="4"/>
      <c r="AE1736" s="2">
        <v>0</v>
      </c>
      <c r="AF1736" s="4">
        <v>0</v>
      </c>
      <c r="AG1736" s="2">
        <v>0.18</v>
      </c>
      <c r="AH1736" s="2">
        <v>2771372</v>
      </c>
      <c r="AI1736" s="2">
        <v>0.01</v>
      </c>
      <c r="AJ1736" s="5">
        <v>44673</v>
      </c>
      <c r="AK1736" t="s">
        <v>12200</v>
      </c>
      <c r="AL1736" s="2">
        <v>0</v>
      </c>
      <c r="AM1736" s="2">
        <v>0</v>
      </c>
      <c r="AN1736" s="2">
        <v>0</v>
      </c>
      <c r="AO1736" t="s">
        <v>44</v>
      </c>
      <c r="AP1736" t="s">
        <v>11351</v>
      </c>
      <c r="AQ1736" t="s">
        <v>5199</v>
      </c>
    </row>
    <row r="1737" spans="1:43" x14ac:dyDescent="0.2">
      <c r="A1737" t="s">
        <v>12199</v>
      </c>
      <c r="B1737" t="s">
        <v>11037</v>
      </c>
      <c r="C1737" t="s">
        <v>11195</v>
      </c>
      <c r="D1737" t="s">
        <v>6710</v>
      </c>
      <c r="E1737" t="s">
        <v>1780</v>
      </c>
      <c r="F1737" t="s">
        <v>6710</v>
      </c>
      <c r="G1737" s="1">
        <v>8660</v>
      </c>
      <c r="H1737" s="2">
        <v>194860.41</v>
      </c>
      <c r="I1737" s="2">
        <v>206108</v>
      </c>
      <c r="J1737" s="2">
        <v>0</v>
      </c>
      <c r="K1737" s="2">
        <v>0</v>
      </c>
      <c r="L1737" s="2">
        <v>206108</v>
      </c>
      <c r="M1737" s="3">
        <v>2380</v>
      </c>
      <c r="N1737" s="4">
        <v>4.6892E-4</v>
      </c>
      <c r="O1737" s="5" t="s">
        <v>44</v>
      </c>
      <c r="P1737" s="5" t="s">
        <v>44</v>
      </c>
      <c r="Q1737" s="1"/>
      <c r="R1737" s="2"/>
      <c r="S1737" s="6"/>
      <c r="T1737" t="s">
        <v>10902</v>
      </c>
      <c r="U1737" t="s">
        <v>10902</v>
      </c>
      <c r="V1737" t="s">
        <v>10902</v>
      </c>
      <c r="W1737" t="s">
        <v>43</v>
      </c>
      <c r="X1737" t="s">
        <v>11197</v>
      </c>
      <c r="Y1737" t="s">
        <v>11198</v>
      </c>
      <c r="Z1737" t="s">
        <v>11195</v>
      </c>
      <c r="AA1737" t="s">
        <v>44</v>
      </c>
      <c r="AB1737" t="s">
        <v>44</v>
      </c>
      <c r="AC1737" s="4"/>
      <c r="AD1737" s="4"/>
      <c r="AE1737" s="2">
        <v>0</v>
      </c>
      <c r="AF1737" s="4">
        <v>0</v>
      </c>
      <c r="AG1737" s="2">
        <v>0.01</v>
      </c>
      <c r="AH1737" s="2">
        <v>206108</v>
      </c>
      <c r="AI1737" s="2">
        <v>0</v>
      </c>
      <c r="AJ1737" s="5">
        <v>44673</v>
      </c>
      <c r="AK1737" t="s">
        <v>12200</v>
      </c>
      <c r="AL1737" s="2">
        <v>0</v>
      </c>
      <c r="AM1737" s="2">
        <v>0</v>
      </c>
      <c r="AN1737" s="2">
        <v>0</v>
      </c>
      <c r="AO1737" t="s">
        <v>44</v>
      </c>
      <c r="AP1737" t="s">
        <v>11214</v>
      </c>
      <c r="AQ1737" t="s">
        <v>1780</v>
      </c>
    </row>
    <row r="1738" spans="1:43" x14ac:dyDescent="0.2">
      <c r="A1738" t="s">
        <v>12199</v>
      </c>
      <c r="B1738" t="s">
        <v>11037</v>
      </c>
      <c r="C1738" t="s">
        <v>11195</v>
      </c>
      <c r="D1738" t="s">
        <v>11353</v>
      </c>
      <c r="E1738" t="s">
        <v>5706</v>
      </c>
      <c r="F1738" t="s">
        <v>11353</v>
      </c>
      <c r="G1738" s="1">
        <v>177224</v>
      </c>
      <c r="H1738" s="2">
        <v>6247071.2599999998</v>
      </c>
      <c r="I1738" s="2">
        <v>8861200</v>
      </c>
      <c r="J1738" s="2">
        <v>0</v>
      </c>
      <c r="K1738" s="2">
        <v>0</v>
      </c>
      <c r="L1738" s="2">
        <v>8861200</v>
      </c>
      <c r="M1738" s="3">
        <v>5000</v>
      </c>
      <c r="N1738" s="4">
        <v>2.016018E-2</v>
      </c>
      <c r="O1738" s="5" t="s">
        <v>44</v>
      </c>
      <c r="P1738" s="5" t="s">
        <v>44</v>
      </c>
      <c r="Q1738" s="1"/>
      <c r="R1738" s="2"/>
      <c r="S1738" s="6"/>
      <c r="T1738" t="s">
        <v>10902</v>
      </c>
      <c r="U1738" t="s">
        <v>10902</v>
      </c>
      <c r="V1738" t="s">
        <v>10902</v>
      </c>
      <c r="W1738" t="s">
        <v>43</v>
      </c>
      <c r="X1738" t="s">
        <v>11327</v>
      </c>
      <c r="Y1738" t="s">
        <v>11198</v>
      </c>
      <c r="Z1738" t="s">
        <v>11195</v>
      </c>
      <c r="AA1738" t="s">
        <v>44</v>
      </c>
      <c r="AB1738" t="s">
        <v>44</v>
      </c>
      <c r="AC1738" s="4"/>
      <c r="AD1738" s="4"/>
      <c r="AE1738" s="2">
        <v>0</v>
      </c>
      <c r="AF1738" s="4">
        <v>0</v>
      </c>
      <c r="AG1738" s="2">
        <v>0.56000000000000005</v>
      </c>
      <c r="AH1738" s="2">
        <v>8861200</v>
      </c>
      <c r="AI1738" s="2">
        <v>0.02</v>
      </c>
      <c r="AJ1738" s="5">
        <v>44673</v>
      </c>
      <c r="AK1738" t="s">
        <v>12200</v>
      </c>
      <c r="AL1738" s="2">
        <v>0</v>
      </c>
      <c r="AM1738" s="2">
        <v>0</v>
      </c>
      <c r="AN1738" s="2">
        <v>0</v>
      </c>
      <c r="AO1738" t="s">
        <v>44</v>
      </c>
      <c r="AP1738" t="s">
        <v>11354</v>
      </c>
      <c r="AQ1738" t="s">
        <v>5706</v>
      </c>
    </row>
    <row r="1739" spans="1:43" x14ac:dyDescent="0.2">
      <c r="A1739" t="s">
        <v>12199</v>
      </c>
      <c r="B1739" t="s">
        <v>11037</v>
      </c>
      <c r="C1739" t="s">
        <v>11195</v>
      </c>
      <c r="D1739" t="s">
        <v>6348</v>
      </c>
      <c r="E1739" t="s">
        <v>5241</v>
      </c>
      <c r="F1739" t="s">
        <v>6348</v>
      </c>
      <c r="G1739" s="1">
        <v>204322</v>
      </c>
      <c r="H1739" s="2">
        <v>2069432.47</v>
      </c>
      <c r="I1739" s="2">
        <v>2737914.8</v>
      </c>
      <c r="J1739" s="2">
        <v>0</v>
      </c>
      <c r="K1739" s="2">
        <v>0</v>
      </c>
      <c r="L1739" s="2">
        <v>2737914.8</v>
      </c>
      <c r="M1739" s="3">
        <v>1340</v>
      </c>
      <c r="N1739" s="4">
        <v>6.2290499999999999E-3</v>
      </c>
      <c r="O1739" s="5" t="s">
        <v>44</v>
      </c>
      <c r="P1739" s="5" t="s">
        <v>44</v>
      </c>
      <c r="Q1739" s="1"/>
      <c r="R1739" s="2"/>
      <c r="S1739" s="6"/>
      <c r="T1739" t="s">
        <v>10902</v>
      </c>
      <c r="U1739" t="s">
        <v>10902</v>
      </c>
      <c r="V1739" t="s">
        <v>10902</v>
      </c>
      <c r="W1739" t="s">
        <v>43</v>
      </c>
      <c r="X1739" t="s">
        <v>11197</v>
      </c>
      <c r="Y1739" t="s">
        <v>11198</v>
      </c>
      <c r="Z1739" t="s">
        <v>11195</v>
      </c>
      <c r="AA1739" t="s">
        <v>44</v>
      </c>
      <c r="AB1739" t="s">
        <v>44</v>
      </c>
      <c r="AC1739" s="4"/>
      <c r="AD1739" s="4"/>
      <c r="AE1739" s="2">
        <v>0</v>
      </c>
      <c r="AF1739" s="4">
        <v>0</v>
      </c>
      <c r="AG1739" s="2">
        <v>0.17</v>
      </c>
      <c r="AH1739" s="2">
        <v>2737914.8</v>
      </c>
      <c r="AI1739" s="2">
        <v>0.01</v>
      </c>
      <c r="AJ1739" s="5">
        <v>44673</v>
      </c>
      <c r="AK1739" t="s">
        <v>12200</v>
      </c>
      <c r="AL1739" s="2">
        <v>0</v>
      </c>
      <c r="AM1739" s="2">
        <v>0</v>
      </c>
      <c r="AN1739" s="2">
        <v>0</v>
      </c>
      <c r="AO1739" t="s">
        <v>44</v>
      </c>
      <c r="AP1739" t="s">
        <v>11215</v>
      </c>
      <c r="AQ1739" t="s">
        <v>5241</v>
      </c>
    </row>
    <row r="1740" spans="1:43" x14ac:dyDescent="0.2">
      <c r="A1740" t="s">
        <v>12199</v>
      </c>
      <c r="B1740" t="s">
        <v>11037</v>
      </c>
      <c r="C1740" t="s">
        <v>11355</v>
      </c>
      <c r="D1740" t="s">
        <v>11356</v>
      </c>
      <c r="E1740" t="s">
        <v>4971</v>
      </c>
      <c r="F1740" t="s">
        <v>6192</v>
      </c>
      <c r="G1740" s="1">
        <v>299736</v>
      </c>
      <c r="H1740" s="2">
        <v>6774079.4900000002</v>
      </c>
      <c r="I1740" s="2">
        <v>6753052.0800000001</v>
      </c>
      <c r="J1740" s="2">
        <v>0</v>
      </c>
      <c r="K1740" s="2">
        <v>0</v>
      </c>
      <c r="L1740" s="2">
        <v>6753052.0800000001</v>
      </c>
      <c r="M1740" s="3">
        <v>2253</v>
      </c>
      <c r="N1740" s="4">
        <v>1.536392E-2</v>
      </c>
      <c r="O1740" s="5" t="s">
        <v>44</v>
      </c>
      <c r="P1740" s="5" t="s">
        <v>44</v>
      </c>
      <c r="Q1740" s="1"/>
      <c r="R1740" s="2"/>
      <c r="S1740" s="6"/>
      <c r="T1740" t="s">
        <v>10902</v>
      </c>
      <c r="U1740" t="s">
        <v>10902</v>
      </c>
      <c r="V1740" t="s">
        <v>10902</v>
      </c>
      <c r="W1740" t="s">
        <v>43</v>
      </c>
      <c r="X1740" t="s">
        <v>11357</v>
      </c>
      <c r="Y1740" t="s">
        <v>11358</v>
      </c>
      <c r="Z1740" t="s">
        <v>11355</v>
      </c>
      <c r="AA1740" t="s">
        <v>44</v>
      </c>
      <c r="AB1740" t="s">
        <v>44</v>
      </c>
      <c r="AC1740" s="4"/>
      <c r="AD1740" s="4"/>
      <c r="AE1740" s="2">
        <v>0</v>
      </c>
      <c r="AF1740" s="4">
        <v>0</v>
      </c>
      <c r="AG1740" s="2">
        <v>0.43</v>
      </c>
      <c r="AH1740" s="2">
        <v>6753052.0800000001</v>
      </c>
      <c r="AI1740" s="2">
        <v>0.02</v>
      </c>
      <c r="AJ1740" s="5">
        <v>44673</v>
      </c>
      <c r="AK1740" t="s">
        <v>12200</v>
      </c>
      <c r="AL1740" s="2">
        <v>0</v>
      </c>
      <c r="AM1740" s="2">
        <v>0</v>
      </c>
      <c r="AN1740" s="2">
        <v>0</v>
      </c>
      <c r="AO1740" t="s">
        <v>44</v>
      </c>
      <c r="AP1740" t="s">
        <v>11359</v>
      </c>
      <c r="AQ1740" t="s">
        <v>4971</v>
      </c>
    </row>
    <row r="1741" spans="1:43" x14ac:dyDescent="0.2">
      <c r="A1741" t="s">
        <v>12199</v>
      </c>
      <c r="B1741" t="s">
        <v>11037</v>
      </c>
      <c r="C1741" t="s">
        <v>11355</v>
      </c>
      <c r="D1741" t="s">
        <v>11360</v>
      </c>
      <c r="E1741" t="s">
        <v>4991</v>
      </c>
      <c r="F1741" t="s">
        <v>11360</v>
      </c>
      <c r="G1741" s="1">
        <v>97792</v>
      </c>
      <c r="H1741" s="2">
        <v>6035205.7699999996</v>
      </c>
      <c r="I1741" s="2">
        <v>7396008.96</v>
      </c>
      <c r="J1741" s="2">
        <v>0</v>
      </c>
      <c r="K1741" s="2">
        <v>0</v>
      </c>
      <c r="L1741" s="2">
        <v>7396008.96</v>
      </c>
      <c r="M1741" s="3">
        <v>7563</v>
      </c>
      <c r="N1741" s="4">
        <v>1.682672E-2</v>
      </c>
      <c r="O1741" s="5" t="s">
        <v>44</v>
      </c>
      <c r="P1741" s="5" t="s">
        <v>44</v>
      </c>
      <c r="Q1741" s="1"/>
      <c r="R1741" s="2"/>
      <c r="S1741" s="6"/>
      <c r="T1741" t="s">
        <v>10902</v>
      </c>
      <c r="U1741" t="s">
        <v>10902</v>
      </c>
      <c r="V1741" t="s">
        <v>10902</v>
      </c>
      <c r="W1741" t="s">
        <v>43</v>
      </c>
      <c r="X1741" t="s">
        <v>11357</v>
      </c>
      <c r="Y1741" t="s">
        <v>11358</v>
      </c>
      <c r="Z1741" t="s">
        <v>11355</v>
      </c>
      <c r="AA1741" t="s">
        <v>44</v>
      </c>
      <c r="AB1741" t="s">
        <v>44</v>
      </c>
      <c r="AC1741" s="4"/>
      <c r="AD1741" s="4"/>
      <c r="AE1741" s="2">
        <v>0</v>
      </c>
      <c r="AF1741" s="4">
        <v>0</v>
      </c>
      <c r="AG1741" s="2">
        <v>0.47</v>
      </c>
      <c r="AH1741" s="2">
        <v>7396008.96</v>
      </c>
      <c r="AI1741" s="2">
        <v>0.02</v>
      </c>
      <c r="AJ1741" s="5">
        <v>44673</v>
      </c>
      <c r="AK1741" t="s">
        <v>12200</v>
      </c>
      <c r="AL1741" s="2">
        <v>0</v>
      </c>
      <c r="AM1741" s="2">
        <v>0</v>
      </c>
      <c r="AN1741" s="2">
        <v>0</v>
      </c>
      <c r="AO1741" t="s">
        <v>44</v>
      </c>
      <c r="AP1741" t="s">
        <v>11361</v>
      </c>
      <c r="AQ1741" t="s">
        <v>4991</v>
      </c>
    </row>
    <row r="1742" spans="1:43" x14ac:dyDescent="0.2">
      <c r="A1742" t="s">
        <v>12199</v>
      </c>
      <c r="B1742" t="s">
        <v>11037</v>
      </c>
      <c r="C1742" t="s">
        <v>11355</v>
      </c>
      <c r="D1742" t="s">
        <v>11362</v>
      </c>
      <c r="E1742" t="s">
        <v>4862</v>
      </c>
      <c r="F1742" t="s">
        <v>11362</v>
      </c>
      <c r="G1742" s="1">
        <v>375224</v>
      </c>
      <c r="H1742" s="2">
        <v>5680301.3700000001</v>
      </c>
      <c r="I1742" s="2">
        <v>6003584</v>
      </c>
      <c r="J1742" s="2">
        <v>0</v>
      </c>
      <c r="K1742" s="2">
        <v>0</v>
      </c>
      <c r="L1742" s="2">
        <v>6003584</v>
      </c>
      <c r="M1742" s="3">
        <v>1600</v>
      </c>
      <c r="N1742" s="4">
        <v>1.36588E-2</v>
      </c>
      <c r="O1742" s="5" t="s">
        <v>44</v>
      </c>
      <c r="P1742" s="5" t="s">
        <v>44</v>
      </c>
      <c r="Q1742" s="1"/>
      <c r="R1742" s="2"/>
      <c r="S1742" s="6"/>
      <c r="T1742" t="s">
        <v>10902</v>
      </c>
      <c r="U1742" t="s">
        <v>10902</v>
      </c>
      <c r="V1742" t="s">
        <v>10902</v>
      </c>
      <c r="W1742" t="s">
        <v>43</v>
      </c>
      <c r="X1742" t="s">
        <v>11357</v>
      </c>
      <c r="Y1742" t="s">
        <v>11358</v>
      </c>
      <c r="Z1742" t="s">
        <v>11355</v>
      </c>
      <c r="AA1742" t="s">
        <v>44</v>
      </c>
      <c r="AB1742" t="s">
        <v>44</v>
      </c>
      <c r="AC1742" s="4"/>
      <c r="AD1742" s="4"/>
      <c r="AE1742" s="2">
        <v>0</v>
      </c>
      <c r="AF1742" s="4">
        <v>0</v>
      </c>
      <c r="AG1742" s="2">
        <v>0.38</v>
      </c>
      <c r="AH1742" s="2">
        <v>6003584</v>
      </c>
      <c r="AI1742" s="2">
        <v>0.01</v>
      </c>
      <c r="AJ1742" s="5">
        <v>44673</v>
      </c>
      <c r="AK1742" t="s">
        <v>12200</v>
      </c>
      <c r="AL1742" s="2">
        <v>0</v>
      </c>
      <c r="AM1742" s="2">
        <v>0</v>
      </c>
      <c r="AN1742" s="2">
        <v>0</v>
      </c>
      <c r="AO1742" t="s">
        <v>44</v>
      </c>
      <c r="AP1742" t="s">
        <v>11363</v>
      </c>
      <c r="AQ1742" t="s">
        <v>4862</v>
      </c>
    </row>
    <row r="1743" spans="1:43" x14ac:dyDescent="0.2">
      <c r="A1743" t="s">
        <v>12199</v>
      </c>
      <c r="B1743" t="s">
        <v>11037</v>
      </c>
      <c r="C1743" t="s">
        <v>11364</v>
      </c>
      <c r="D1743" t="s">
        <v>6240</v>
      </c>
      <c r="E1743" t="s">
        <v>5065</v>
      </c>
      <c r="F1743" t="s">
        <v>6240</v>
      </c>
      <c r="G1743" s="1">
        <v>76128</v>
      </c>
      <c r="H1743" s="2">
        <v>8325655.8399999999</v>
      </c>
      <c r="I1743" s="2">
        <v>8804203.1999999993</v>
      </c>
      <c r="J1743" s="2">
        <v>0</v>
      </c>
      <c r="K1743" s="2">
        <v>0</v>
      </c>
      <c r="L1743" s="2">
        <v>8804203.1999999993</v>
      </c>
      <c r="M1743" s="3">
        <v>11565</v>
      </c>
      <c r="N1743" s="4">
        <v>2.0030510000000001E-2</v>
      </c>
      <c r="O1743" s="5" t="s">
        <v>44</v>
      </c>
      <c r="P1743" s="5" t="s">
        <v>44</v>
      </c>
      <c r="Q1743" s="1"/>
      <c r="R1743" s="2"/>
      <c r="S1743" s="6"/>
      <c r="T1743" t="s">
        <v>10902</v>
      </c>
      <c r="U1743" t="s">
        <v>10902</v>
      </c>
      <c r="V1743" t="s">
        <v>10902</v>
      </c>
      <c r="W1743" t="s">
        <v>43</v>
      </c>
      <c r="X1743" t="s">
        <v>11369</v>
      </c>
      <c r="Y1743" t="s">
        <v>11367</v>
      </c>
      <c r="Z1743" t="s">
        <v>11364</v>
      </c>
      <c r="AA1743" t="s">
        <v>44</v>
      </c>
      <c r="AB1743" t="s">
        <v>44</v>
      </c>
      <c r="AC1743" s="4"/>
      <c r="AD1743" s="4"/>
      <c r="AE1743" s="2">
        <v>0</v>
      </c>
      <c r="AF1743" s="4">
        <v>0</v>
      </c>
      <c r="AG1743" s="2">
        <v>0.56000000000000005</v>
      </c>
      <c r="AH1743" s="2">
        <v>8804203.1999999993</v>
      </c>
      <c r="AI1743" s="2">
        <v>0.02</v>
      </c>
      <c r="AJ1743" s="5">
        <v>44673</v>
      </c>
      <c r="AK1743" t="s">
        <v>12200</v>
      </c>
      <c r="AL1743" s="2">
        <v>0</v>
      </c>
      <c r="AM1743" s="2">
        <v>0</v>
      </c>
      <c r="AN1743" s="2">
        <v>0</v>
      </c>
      <c r="AO1743" t="s">
        <v>44</v>
      </c>
      <c r="AP1743" t="s">
        <v>11370</v>
      </c>
      <c r="AQ1743" t="s">
        <v>5065</v>
      </c>
    </row>
    <row r="1744" spans="1:43" x14ac:dyDescent="0.2">
      <c r="A1744" t="s">
        <v>12199</v>
      </c>
      <c r="B1744" t="s">
        <v>11037</v>
      </c>
      <c r="C1744" t="s">
        <v>11364</v>
      </c>
      <c r="D1744" t="s">
        <v>11371</v>
      </c>
      <c r="E1744" t="s">
        <v>5127</v>
      </c>
      <c r="F1744" t="s">
        <v>11371</v>
      </c>
      <c r="G1744" s="1">
        <v>814946</v>
      </c>
      <c r="H1744" s="2">
        <v>3878673.15</v>
      </c>
      <c r="I1744" s="2">
        <v>4196971.9000000004</v>
      </c>
      <c r="J1744" s="2">
        <v>0</v>
      </c>
      <c r="K1744" s="2">
        <v>0</v>
      </c>
      <c r="L1744" s="2">
        <v>4196971.9000000004</v>
      </c>
      <c r="M1744" s="3">
        <v>515</v>
      </c>
      <c r="N1744" s="4">
        <v>9.5485599999999993E-3</v>
      </c>
      <c r="O1744" s="5" t="s">
        <v>44</v>
      </c>
      <c r="P1744" s="5" t="s">
        <v>44</v>
      </c>
      <c r="Q1744" s="1"/>
      <c r="R1744" s="2"/>
      <c r="S1744" s="6"/>
      <c r="T1744" t="s">
        <v>10902</v>
      </c>
      <c r="U1744" t="s">
        <v>10902</v>
      </c>
      <c r="V1744" t="s">
        <v>10902</v>
      </c>
      <c r="W1744" t="s">
        <v>43</v>
      </c>
      <c r="X1744" t="s">
        <v>11369</v>
      </c>
      <c r="Y1744" t="s">
        <v>11367</v>
      </c>
      <c r="Z1744" t="s">
        <v>11364</v>
      </c>
      <c r="AA1744" t="s">
        <v>44</v>
      </c>
      <c r="AB1744" t="s">
        <v>44</v>
      </c>
      <c r="AC1744" s="4"/>
      <c r="AD1744" s="4"/>
      <c r="AE1744" s="2">
        <v>0</v>
      </c>
      <c r="AF1744" s="4">
        <v>0</v>
      </c>
      <c r="AG1744" s="2">
        <v>0.27</v>
      </c>
      <c r="AH1744" s="2">
        <v>4196971.9000000004</v>
      </c>
      <c r="AI1744" s="2">
        <v>0.01</v>
      </c>
      <c r="AJ1744" s="5">
        <v>44673</v>
      </c>
      <c r="AK1744" t="s">
        <v>12200</v>
      </c>
      <c r="AL1744" s="2">
        <v>0</v>
      </c>
      <c r="AM1744" s="2">
        <v>0</v>
      </c>
      <c r="AN1744" s="2">
        <v>0</v>
      </c>
      <c r="AO1744" t="s">
        <v>44</v>
      </c>
      <c r="AP1744" t="s">
        <v>11372</v>
      </c>
      <c r="AQ1744" t="s">
        <v>5127</v>
      </c>
    </row>
    <row r="1745" spans="1:43" x14ac:dyDescent="0.2">
      <c r="A1745" t="s">
        <v>12199</v>
      </c>
      <c r="B1745" t="s">
        <v>11037</v>
      </c>
      <c r="C1745" t="s">
        <v>11364</v>
      </c>
      <c r="D1745" t="s">
        <v>6443</v>
      </c>
      <c r="E1745" t="s">
        <v>5186</v>
      </c>
      <c r="F1745" t="s">
        <v>6443</v>
      </c>
      <c r="G1745" s="1">
        <v>54216</v>
      </c>
      <c r="H1745" s="2">
        <v>2820039.81</v>
      </c>
      <c r="I1745" s="2">
        <v>2394178.5600000001</v>
      </c>
      <c r="J1745" s="2">
        <v>0</v>
      </c>
      <c r="K1745" s="2">
        <v>0</v>
      </c>
      <c r="L1745" s="2">
        <v>2394178.5600000001</v>
      </c>
      <c r="M1745" s="3">
        <v>4416</v>
      </c>
      <c r="N1745" s="4">
        <v>5.4470100000000004E-3</v>
      </c>
      <c r="O1745" s="5" t="s">
        <v>44</v>
      </c>
      <c r="P1745" s="5" t="s">
        <v>44</v>
      </c>
      <c r="Q1745" s="1"/>
      <c r="R1745" s="2"/>
      <c r="S1745" s="6"/>
      <c r="T1745" t="s">
        <v>10902</v>
      </c>
      <c r="U1745" t="s">
        <v>10902</v>
      </c>
      <c r="V1745" t="s">
        <v>10902</v>
      </c>
      <c r="W1745" t="s">
        <v>43</v>
      </c>
      <c r="X1745" t="s">
        <v>11366</v>
      </c>
      <c r="Y1745" t="s">
        <v>11367</v>
      </c>
      <c r="Z1745" t="s">
        <v>11364</v>
      </c>
      <c r="AA1745" t="s">
        <v>44</v>
      </c>
      <c r="AB1745" t="s">
        <v>44</v>
      </c>
      <c r="AC1745" s="4"/>
      <c r="AD1745" s="4"/>
      <c r="AE1745" s="2">
        <v>0</v>
      </c>
      <c r="AF1745" s="4">
        <v>0</v>
      </c>
      <c r="AG1745" s="2">
        <v>0.15</v>
      </c>
      <c r="AH1745" s="2">
        <v>2394178.5600000001</v>
      </c>
      <c r="AI1745" s="2">
        <v>0.01</v>
      </c>
      <c r="AJ1745" s="5">
        <v>44673</v>
      </c>
      <c r="AK1745" t="s">
        <v>12200</v>
      </c>
      <c r="AL1745" s="2">
        <v>0</v>
      </c>
      <c r="AM1745" s="2">
        <v>0</v>
      </c>
      <c r="AN1745" s="2">
        <v>0</v>
      </c>
      <c r="AO1745" t="s">
        <v>44</v>
      </c>
      <c r="AP1745" t="s">
        <v>11373</v>
      </c>
      <c r="AQ1745" t="s">
        <v>5186</v>
      </c>
    </row>
    <row r="1746" spans="1:43" x14ac:dyDescent="0.2">
      <c r="A1746" t="s">
        <v>12199</v>
      </c>
      <c r="B1746" t="s">
        <v>11037</v>
      </c>
      <c r="C1746" t="s">
        <v>11364</v>
      </c>
      <c r="D1746" t="s">
        <v>11374</v>
      </c>
      <c r="E1746" t="s">
        <v>1786</v>
      </c>
      <c r="F1746" t="s">
        <v>11374</v>
      </c>
      <c r="G1746" s="1">
        <v>141725</v>
      </c>
      <c r="H1746" s="2">
        <v>4239596.01</v>
      </c>
      <c r="I1746" s="2">
        <v>3826575</v>
      </c>
      <c r="J1746" s="2">
        <v>0</v>
      </c>
      <c r="K1746" s="2">
        <v>0</v>
      </c>
      <c r="L1746" s="2">
        <v>3826575</v>
      </c>
      <c r="M1746" s="3">
        <v>2700</v>
      </c>
      <c r="N1746" s="4">
        <v>8.7058699999999992E-3</v>
      </c>
      <c r="O1746" s="5" t="s">
        <v>44</v>
      </c>
      <c r="P1746" s="5" t="s">
        <v>44</v>
      </c>
      <c r="Q1746" s="1"/>
      <c r="R1746" s="2"/>
      <c r="S1746" s="6"/>
      <c r="T1746" t="s">
        <v>10902</v>
      </c>
      <c r="U1746" t="s">
        <v>10902</v>
      </c>
      <c r="V1746" t="s">
        <v>10902</v>
      </c>
      <c r="W1746" t="s">
        <v>43</v>
      </c>
      <c r="X1746" t="s">
        <v>11375</v>
      </c>
      <c r="Y1746" t="s">
        <v>11367</v>
      </c>
      <c r="Z1746" t="s">
        <v>11364</v>
      </c>
      <c r="AA1746" t="s">
        <v>44</v>
      </c>
      <c r="AB1746" t="s">
        <v>44</v>
      </c>
      <c r="AC1746" s="4"/>
      <c r="AD1746" s="4"/>
      <c r="AE1746" s="2">
        <v>0</v>
      </c>
      <c r="AF1746" s="4">
        <v>0</v>
      </c>
      <c r="AG1746" s="2">
        <v>0.24</v>
      </c>
      <c r="AH1746" s="2">
        <v>3826575</v>
      </c>
      <c r="AI1746" s="2">
        <v>0.01</v>
      </c>
      <c r="AJ1746" s="5">
        <v>44673</v>
      </c>
      <c r="AK1746" t="s">
        <v>12200</v>
      </c>
      <c r="AL1746" s="2">
        <v>0</v>
      </c>
      <c r="AM1746" s="2">
        <v>0</v>
      </c>
      <c r="AN1746" s="2">
        <v>0</v>
      </c>
      <c r="AO1746" t="s">
        <v>44</v>
      </c>
      <c r="AP1746" t="s">
        <v>11376</v>
      </c>
      <c r="AQ1746" t="s">
        <v>1786</v>
      </c>
    </row>
    <row r="1747" spans="1:43" x14ac:dyDescent="0.2">
      <c r="A1747" t="s">
        <v>12199</v>
      </c>
      <c r="B1747" t="s">
        <v>11037</v>
      </c>
      <c r="C1747" t="s">
        <v>11364</v>
      </c>
      <c r="D1747" t="s">
        <v>11377</v>
      </c>
      <c r="E1747" t="s">
        <v>5599</v>
      </c>
      <c r="F1747" t="s">
        <v>11378</v>
      </c>
      <c r="G1747" s="1">
        <v>4318</v>
      </c>
      <c r="H1747" s="2">
        <v>1636249.84</v>
      </c>
      <c r="I1747" s="2">
        <v>2334699.42</v>
      </c>
      <c r="J1747" s="2">
        <v>0</v>
      </c>
      <c r="K1747" s="2">
        <v>0</v>
      </c>
      <c r="L1747" s="2">
        <v>2334699.42</v>
      </c>
      <c r="M1747" s="3">
        <v>54069</v>
      </c>
      <c r="N1747" s="4">
        <v>5.31169E-3</v>
      </c>
      <c r="O1747" s="5" t="s">
        <v>44</v>
      </c>
      <c r="P1747" s="5" t="s">
        <v>44</v>
      </c>
      <c r="Q1747" s="1"/>
      <c r="R1747" s="2"/>
      <c r="S1747" s="6"/>
      <c r="T1747" t="s">
        <v>10902</v>
      </c>
      <c r="U1747" t="s">
        <v>10902</v>
      </c>
      <c r="V1747" t="s">
        <v>10902</v>
      </c>
      <c r="W1747" t="s">
        <v>43</v>
      </c>
      <c r="X1747" t="s">
        <v>11375</v>
      </c>
      <c r="Y1747" t="s">
        <v>11367</v>
      </c>
      <c r="Z1747" t="s">
        <v>11364</v>
      </c>
      <c r="AA1747" t="s">
        <v>44</v>
      </c>
      <c r="AB1747" t="s">
        <v>44</v>
      </c>
      <c r="AC1747" s="4"/>
      <c r="AD1747" s="4"/>
      <c r="AE1747" s="2">
        <v>0</v>
      </c>
      <c r="AF1747" s="4">
        <v>0</v>
      </c>
      <c r="AG1747" s="2">
        <v>0.15</v>
      </c>
      <c r="AH1747" s="2">
        <v>2334699.42</v>
      </c>
      <c r="AI1747" s="2">
        <v>0.01</v>
      </c>
      <c r="AJ1747" s="5">
        <v>44673</v>
      </c>
      <c r="AK1747" t="s">
        <v>12200</v>
      </c>
      <c r="AL1747" s="2">
        <v>0</v>
      </c>
      <c r="AM1747" s="2">
        <v>0</v>
      </c>
      <c r="AN1747" s="2">
        <v>0</v>
      </c>
      <c r="AO1747" t="s">
        <v>44</v>
      </c>
      <c r="AP1747" t="s">
        <v>11379</v>
      </c>
      <c r="AQ1747" t="s">
        <v>5599</v>
      </c>
    </row>
    <row r="1748" spans="1:43" x14ac:dyDescent="0.2">
      <c r="A1748" t="s">
        <v>12199</v>
      </c>
      <c r="B1748" t="s">
        <v>11037</v>
      </c>
      <c r="C1748" t="s">
        <v>11727</v>
      </c>
      <c r="D1748" t="s">
        <v>12599</v>
      </c>
      <c r="E1748" t="s">
        <v>5470</v>
      </c>
      <c r="F1748" t="s">
        <v>12599</v>
      </c>
      <c r="G1748" s="1">
        <v>45000</v>
      </c>
      <c r="H1748" s="2">
        <v>1837350</v>
      </c>
      <c r="I1748" s="2">
        <v>1738350</v>
      </c>
      <c r="J1748" s="2">
        <v>0</v>
      </c>
      <c r="K1748" s="2">
        <v>0</v>
      </c>
      <c r="L1748" s="2">
        <v>1738350</v>
      </c>
      <c r="M1748" s="3">
        <v>3863</v>
      </c>
      <c r="N1748" s="4">
        <v>3.9549299999999997E-3</v>
      </c>
      <c r="O1748" s="5" t="s">
        <v>44</v>
      </c>
      <c r="P1748" s="5" t="s">
        <v>44</v>
      </c>
      <c r="Q1748" s="1"/>
      <c r="R1748" s="2"/>
      <c r="S1748" s="6"/>
      <c r="T1748" t="s">
        <v>10902</v>
      </c>
      <c r="U1748" t="s">
        <v>10902</v>
      </c>
      <c r="V1748" t="s">
        <v>10902</v>
      </c>
      <c r="W1748" t="s">
        <v>43</v>
      </c>
      <c r="X1748" t="s">
        <v>11729</v>
      </c>
      <c r="Y1748" t="s">
        <v>11727</v>
      </c>
      <c r="Z1748" t="s">
        <v>11727</v>
      </c>
      <c r="AA1748" t="s">
        <v>44</v>
      </c>
      <c r="AB1748" t="s">
        <v>44</v>
      </c>
      <c r="AC1748" s="4"/>
      <c r="AD1748" s="4"/>
      <c r="AE1748" s="2">
        <v>0</v>
      </c>
      <c r="AF1748" s="4">
        <v>0</v>
      </c>
      <c r="AG1748" s="2">
        <v>0.11</v>
      </c>
      <c r="AH1748" s="2">
        <v>1738350</v>
      </c>
      <c r="AI1748" s="2">
        <v>0</v>
      </c>
      <c r="AJ1748" s="5">
        <v>44673</v>
      </c>
      <c r="AK1748" t="s">
        <v>12200</v>
      </c>
      <c r="AL1748" s="2">
        <v>0</v>
      </c>
      <c r="AM1748" s="2">
        <v>0</v>
      </c>
      <c r="AN1748" s="2">
        <v>0</v>
      </c>
      <c r="AO1748" t="s">
        <v>44</v>
      </c>
      <c r="AP1748" t="s">
        <v>12600</v>
      </c>
      <c r="AQ1748" t="s">
        <v>5470</v>
      </c>
    </row>
    <row r="1749" spans="1:43" x14ac:dyDescent="0.2">
      <c r="A1749" t="s">
        <v>12199</v>
      </c>
      <c r="B1749" t="s">
        <v>11037</v>
      </c>
      <c r="C1749" t="s">
        <v>11727</v>
      </c>
      <c r="D1749" t="s">
        <v>11728</v>
      </c>
      <c r="E1749" t="s">
        <v>4855</v>
      </c>
      <c r="F1749" t="s">
        <v>11728</v>
      </c>
      <c r="G1749" s="1">
        <v>10062</v>
      </c>
      <c r="H1749" s="2">
        <v>23458854.190000001</v>
      </c>
      <c r="I1749" s="2">
        <v>15166251.359999999</v>
      </c>
      <c r="J1749" s="2">
        <v>0</v>
      </c>
      <c r="K1749" s="2">
        <v>0</v>
      </c>
      <c r="L1749" s="2">
        <v>15166251.359999999</v>
      </c>
      <c r="M1749" s="3">
        <v>150728</v>
      </c>
      <c r="N1749" s="4">
        <v>3.4504849999999997E-2</v>
      </c>
      <c r="O1749" s="5" t="s">
        <v>44</v>
      </c>
      <c r="P1749" s="5" t="s">
        <v>44</v>
      </c>
      <c r="Q1749" s="1"/>
      <c r="R1749" s="2"/>
      <c r="S1749" s="6"/>
      <c r="T1749" t="s">
        <v>10902</v>
      </c>
      <c r="U1749" t="s">
        <v>10902</v>
      </c>
      <c r="V1749" t="s">
        <v>10902</v>
      </c>
      <c r="W1749" t="s">
        <v>43</v>
      </c>
      <c r="X1749" t="s">
        <v>11729</v>
      </c>
      <c r="Y1749" t="s">
        <v>11727</v>
      </c>
      <c r="Z1749" t="s">
        <v>11727</v>
      </c>
      <c r="AA1749" t="s">
        <v>44</v>
      </c>
      <c r="AB1749" t="s">
        <v>44</v>
      </c>
      <c r="AC1749" s="4"/>
      <c r="AD1749" s="4"/>
      <c r="AE1749" s="2">
        <v>0</v>
      </c>
      <c r="AF1749" s="4">
        <v>0</v>
      </c>
      <c r="AG1749" s="2">
        <v>0.96</v>
      </c>
      <c r="AH1749" s="2">
        <v>15166251.359999999</v>
      </c>
      <c r="AI1749" s="2">
        <v>0.03</v>
      </c>
      <c r="AJ1749" s="5">
        <v>44673</v>
      </c>
      <c r="AK1749" t="s">
        <v>12200</v>
      </c>
      <c r="AL1749" s="2">
        <v>0</v>
      </c>
      <c r="AM1749" s="2">
        <v>0</v>
      </c>
      <c r="AN1749" s="2">
        <v>0</v>
      </c>
      <c r="AO1749" t="s">
        <v>44</v>
      </c>
      <c r="AP1749" t="s">
        <v>11730</v>
      </c>
      <c r="AQ1749" t="s">
        <v>4855</v>
      </c>
    </row>
    <row r="1750" spans="1:43" x14ac:dyDescent="0.2">
      <c r="A1750" t="s">
        <v>12199</v>
      </c>
      <c r="B1750" t="s">
        <v>11037</v>
      </c>
      <c r="C1750" t="s">
        <v>11380</v>
      </c>
      <c r="D1750" t="s">
        <v>5901</v>
      </c>
      <c r="E1750" t="s">
        <v>4841</v>
      </c>
      <c r="F1750" t="s">
        <v>5901</v>
      </c>
      <c r="G1750" s="1">
        <v>85011</v>
      </c>
      <c r="H1750" s="2">
        <v>16180453.050000001</v>
      </c>
      <c r="I1750" s="2">
        <v>14706903</v>
      </c>
      <c r="J1750" s="2">
        <v>0</v>
      </c>
      <c r="K1750" s="2">
        <v>0</v>
      </c>
      <c r="L1750" s="2">
        <v>14706903</v>
      </c>
      <c r="M1750" s="3">
        <v>17300</v>
      </c>
      <c r="N1750" s="4">
        <v>3.3459790000000003E-2</v>
      </c>
      <c r="O1750" s="5" t="s">
        <v>44</v>
      </c>
      <c r="P1750" s="5" t="s">
        <v>44</v>
      </c>
      <c r="Q1750" s="1"/>
      <c r="R1750" s="2"/>
      <c r="S1750" s="6"/>
      <c r="T1750" t="s">
        <v>10902</v>
      </c>
      <c r="U1750" t="s">
        <v>10902</v>
      </c>
      <c r="V1750" t="s">
        <v>10902</v>
      </c>
      <c r="W1750" t="s">
        <v>43</v>
      </c>
      <c r="X1750" t="s">
        <v>11732</v>
      </c>
      <c r="Y1750" t="s">
        <v>11380</v>
      </c>
      <c r="Z1750" t="s">
        <v>11380</v>
      </c>
      <c r="AA1750" t="s">
        <v>44</v>
      </c>
      <c r="AB1750" t="s">
        <v>44</v>
      </c>
      <c r="AC1750" s="4"/>
      <c r="AD1750" s="4"/>
      <c r="AE1750" s="2">
        <v>0</v>
      </c>
      <c r="AF1750" s="4">
        <v>0</v>
      </c>
      <c r="AG1750" s="2">
        <v>0.93</v>
      </c>
      <c r="AH1750" s="2">
        <v>14706903</v>
      </c>
      <c r="AI1750" s="2">
        <v>0.03</v>
      </c>
      <c r="AJ1750" s="5">
        <v>44673</v>
      </c>
      <c r="AK1750" t="s">
        <v>12200</v>
      </c>
      <c r="AL1750" s="2">
        <v>0</v>
      </c>
      <c r="AM1750" s="2">
        <v>0</v>
      </c>
      <c r="AN1750" s="2">
        <v>0</v>
      </c>
      <c r="AO1750" t="s">
        <v>44</v>
      </c>
      <c r="AP1750" t="s">
        <v>11733</v>
      </c>
      <c r="AQ1750" t="s">
        <v>4841</v>
      </c>
    </row>
    <row r="1751" spans="1:43" x14ac:dyDescent="0.2">
      <c r="A1751" t="s">
        <v>12199</v>
      </c>
      <c r="B1751" t="s">
        <v>11037</v>
      </c>
      <c r="C1751" t="s">
        <v>11380</v>
      </c>
      <c r="D1751" t="s">
        <v>11381</v>
      </c>
      <c r="E1751" t="s">
        <v>5221</v>
      </c>
      <c r="F1751" t="s">
        <v>11381</v>
      </c>
      <c r="G1751" s="1">
        <v>64776</v>
      </c>
      <c r="H1751" s="2">
        <v>2699486.62</v>
      </c>
      <c r="I1751" s="2">
        <v>2882532</v>
      </c>
      <c r="J1751" s="2">
        <v>0</v>
      </c>
      <c r="K1751" s="2">
        <v>0</v>
      </c>
      <c r="L1751" s="2">
        <v>2882532</v>
      </c>
      <c r="M1751" s="3">
        <v>4450</v>
      </c>
      <c r="N1751" s="4">
        <v>6.55807E-3</v>
      </c>
      <c r="O1751" s="5" t="s">
        <v>44</v>
      </c>
      <c r="P1751" s="5" t="s">
        <v>44</v>
      </c>
      <c r="Q1751" s="1"/>
      <c r="R1751" s="2"/>
      <c r="S1751" s="6"/>
      <c r="T1751" t="s">
        <v>10902</v>
      </c>
      <c r="U1751" t="s">
        <v>10902</v>
      </c>
      <c r="V1751" t="s">
        <v>10902</v>
      </c>
      <c r="W1751" t="s">
        <v>43</v>
      </c>
      <c r="X1751" t="s">
        <v>11382</v>
      </c>
      <c r="Y1751" t="s">
        <v>11380</v>
      </c>
      <c r="Z1751" t="s">
        <v>11380</v>
      </c>
      <c r="AA1751" t="s">
        <v>44</v>
      </c>
      <c r="AB1751" t="s">
        <v>44</v>
      </c>
      <c r="AC1751" s="4"/>
      <c r="AD1751" s="4"/>
      <c r="AE1751" s="2">
        <v>0</v>
      </c>
      <c r="AF1751" s="4">
        <v>0</v>
      </c>
      <c r="AG1751" s="2">
        <v>0.18</v>
      </c>
      <c r="AH1751" s="2">
        <v>2882532</v>
      </c>
      <c r="AI1751" s="2">
        <v>0.01</v>
      </c>
      <c r="AJ1751" s="5">
        <v>44673</v>
      </c>
      <c r="AK1751" t="s">
        <v>12200</v>
      </c>
      <c r="AL1751" s="2">
        <v>0</v>
      </c>
      <c r="AM1751" s="2">
        <v>0</v>
      </c>
      <c r="AN1751" s="2">
        <v>0</v>
      </c>
      <c r="AO1751" t="s">
        <v>44</v>
      </c>
      <c r="AP1751" t="s">
        <v>11383</v>
      </c>
      <c r="AQ1751" t="s">
        <v>5221</v>
      </c>
    </row>
    <row r="1752" spans="1:43" x14ac:dyDescent="0.2">
      <c r="A1752" t="s">
        <v>12199</v>
      </c>
      <c r="B1752" t="s">
        <v>11037</v>
      </c>
      <c r="C1752" t="s">
        <v>11743</v>
      </c>
      <c r="D1752" t="s">
        <v>11744</v>
      </c>
      <c r="E1752" t="s">
        <v>11745</v>
      </c>
      <c r="F1752" t="s">
        <v>11746</v>
      </c>
      <c r="G1752" s="1">
        <v>13000</v>
      </c>
      <c r="H1752" s="2">
        <v>2161250</v>
      </c>
      <c r="I1752" s="2">
        <v>2118610</v>
      </c>
      <c r="J1752" s="2">
        <v>0</v>
      </c>
      <c r="K1752" s="2">
        <v>0</v>
      </c>
      <c r="L1752" s="2">
        <v>2118610</v>
      </c>
      <c r="M1752" s="3">
        <v>16297</v>
      </c>
      <c r="N1752" s="4">
        <v>4.8200700000000001E-3</v>
      </c>
      <c r="O1752" s="5" t="s">
        <v>44</v>
      </c>
      <c r="P1752" s="5" t="s">
        <v>44</v>
      </c>
      <c r="Q1752" s="1"/>
      <c r="R1752" s="2"/>
      <c r="S1752" s="6"/>
      <c r="T1752" t="s">
        <v>10902</v>
      </c>
      <c r="U1752" t="s">
        <v>10902</v>
      </c>
      <c r="V1752" t="s">
        <v>10902</v>
      </c>
      <c r="W1752" t="s">
        <v>43</v>
      </c>
      <c r="X1752" t="s">
        <v>11747</v>
      </c>
      <c r="Y1752" t="s">
        <v>11743</v>
      </c>
      <c r="Z1752" t="s">
        <v>11743</v>
      </c>
      <c r="AA1752" t="s">
        <v>44</v>
      </c>
      <c r="AB1752" t="s">
        <v>44</v>
      </c>
      <c r="AC1752" s="4"/>
      <c r="AD1752" s="4"/>
      <c r="AE1752" s="2">
        <v>0</v>
      </c>
      <c r="AF1752" s="4">
        <v>0</v>
      </c>
      <c r="AG1752" s="2">
        <v>0.13</v>
      </c>
      <c r="AH1752" s="2">
        <v>2118610</v>
      </c>
      <c r="AI1752" s="2">
        <v>0</v>
      </c>
      <c r="AJ1752" s="5">
        <v>44673</v>
      </c>
      <c r="AK1752" t="s">
        <v>12200</v>
      </c>
      <c r="AL1752" s="2">
        <v>0</v>
      </c>
      <c r="AM1752" s="2">
        <v>0</v>
      </c>
      <c r="AN1752" s="2">
        <v>0</v>
      </c>
      <c r="AO1752" t="s">
        <v>44</v>
      </c>
      <c r="AP1752" t="s">
        <v>11748</v>
      </c>
      <c r="AQ1752" t="s">
        <v>11745</v>
      </c>
    </row>
    <row r="1753" spans="1:43" x14ac:dyDescent="0.2">
      <c r="A1753" t="s">
        <v>12199</v>
      </c>
      <c r="B1753" t="s">
        <v>11038</v>
      </c>
      <c r="C1753" t="s">
        <v>11870</v>
      </c>
      <c r="D1753" t="s">
        <v>11056</v>
      </c>
      <c r="E1753" t="s">
        <v>11057</v>
      </c>
      <c r="F1753" t="s">
        <v>11056</v>
      </c>
      <c r="G1753" s="1">
        <v>3659686</v>
      </c>
      <c r="H1753" s="2">
        <v>3658812.01</v>
      </c>
      <c r="I1753" s="2">
        <v>3659686</v>
      </c>
      <c r="J1753" s="2">
        <v>94332.07</v>
      </c>
      <c r="K1753" s="2">
        <v>0</v>
      </c>
      <c r="L1753" s="2">
        <v>3754018.07</v>
      </c>
      <c r="M1753" s="3"/>
      <c r="N1753" s="4">
        <v>8.5407999999999994E-3</v>
      </c>
      <c r="O1753" s="5">
        <v>44692</v>
      </c>
      <c r="P1753" s="5">
        <v>44692</v>
      </c>
      <c r="Q1753" s="1">
        <v>13.067</v>
      </c>
      <c r="R1753" s="2"/>
      <c r="S1753" s="6"/>
      <c r="T1753" t="s">
        <v>111</v>
      </c>
      <c r="U1753" t="s">
        <v>11040</v>
      </c>
      <c r="V1753" t="s">
        <v>115</v>
      </c>
      <c r="W1753" t="s">
        <v>43</v>
      </c>
      <c r="X1753" t="s">
        <v>44</v>
      </c>
      <c r="Y1753" t="s">
        <v>44</v>
      </c>
      <c r="Z1753" t="s">
        <v>44</v>
      </c>
      <c r="AA1753" t="s">
        <v>10979</v>
      </c>
      <c r="AB1753" t="s">
        <v>44</v>
      </c>
      <c r="AC1753" s="4"/>
      <c r="AD1753" s="4"/>
      <c r="AE1753" s="2">
        <v>0</v>
      </c>
      <c r="AF1753" s="4">
        <v>0</v>
      </c>
      <c r="AG1753" s="2">
        <v>0.24</v>
      </c>
      <c r="AH1753" s="2">
        <v>3754018.07</v>
      </c>
      <c r="AI1753" s="2">
        <v>0.01</v>
      </c>
      <c r="AJ1753" s="5">
        <v>44673</v>
      </c>
      <c r="AK1753" t="s">
        <v>12200</v>
      </c>
      <c r="AL1753" s="2">
        <v>0</v>
      </c>
      <c r="AM1753" s="2">
        <v>13.07</v>
      </c>
      <c r="AN1753" s="2">
        <v>0</v>
      </c>
      <c r="AO1753" t="s">
        <v>10980</v>
      </c>
      <c r="AP1753" t="s">
        <v>11058</v>
      </c>
      <c r="AQ1753" t="s">
        <v>11057</v>
      </c>
    </row>
    <row r="1754" spans="1:43" x14ac:dyDescent="0.2">
      <c r="A1754" t="s">
        <v>12199</v>
      </c>
      <c r="B1754" t="s">
        <v>11038</v>
      </c>
      <c r="C1754" t="s">
        <v>11052</v>
      </c>
      <c r="D1754" t="s">
        <v>12205</v>
      </c>
      <c r="E1754" t="s">
        <v>12206</v>
      </c>
      <c r="F1754" t="s">
        <v>12205</v>
      </c>
      <c r="G1754" s="1">
        <v>33500000</v>
      </c>
      <c r="H1754" s="2">
        <v>33027899.890000001</v>
      </c>
      <c r="I1754" s="2">
        <v>33027899.890000001</v>
      </c>
      <c r="J1754" s="2">
        <v>0</v>
      </c>
      <c r="K1754" s="2">
        <v>0</v>
      </c>
      <c r="L1754" s="2">
        <v>33027899.890000001</v>
      </c>
      <c r="M1754" s="3">
        <v>5.1150019999999996</v>
      </c>
      <c r="N1754" s="4">
        <v>7.5142029999999999E-2</v>
      </c>
      <c r="O1754" s="5" t="s">
        <v>44</v>
      </c>
      <c r="P1754" s="5">
        <v>44776</v>
      </c>
      <c r="Q1754" s="1">
        <v>0</v>
      </c>
      <c r="R1754" s="2">
        <v>0.27</v>
      </c>
      <c r="S1754" s="6">
        <v>0.27018629171000003</v>
      </c>
      <c r="T1754" t="s">
        <v>112</v>
      </c>
      <c r="U1754" t="s">
        <v>11040</v>
      </c>
      <c r="V1754" t="s">
        <v>11238</v>
      </c>
      <c r="W1754" t="s">
        <v>43</v>
      </c>
      <c r="X1754" t="s">
        <v>44</v>
      </c>
      <c r="Y1754" t="s">
        <v>44</v>
      </c>
      <c r="Z1754" t="s">
        <v>44</v>
      </c>
      <c r="AA1754" t="s">
        <v>10913</v>
      </c>
      <c r="AB1754" t="s">
        <v>44</v>
      </c>
      <c r="AC1754" s="4">
        <v>5.2107122600000002</v>
      </c>
      <c r="AD1754" s="4">
        <v>5.0902593700000001</v>
      </c>
      <c r="AE1754" s="2">
        <v>5.21</v>
      </c>
      <c r="AF1754" s="4">
        <v>5.0902593700000001</v>
      </c>
      <c r="AG1754" s="2">
        <v>2.09</v>
      </c>
      <c r="AH1754" s="2">
        <v>33027899.890000001</v>
      </c>
      <c r="AI1754" s="2">
        <v>0.08</v>
      </c>
      <c r="AJ1754" s="5">
        <v>44673</v>
      </c>
      <c r="AK1754" t="s">
        <v>12200</v>
      </c>
      <c r="AL1754" s="2">
        <v>5.14</v>
      </c>
      <c r="AM1754" s="2">
        <v>0</v>
      </c>
      <c r="AN1754" s="2">
        <v>0.27</v>
      </c>
      <c r="AO1754" t="s">
        <v>10922</v>
      </c>
      <c r="AP1754" t="s">
        <v>12207</v>
      </c>
      <c r="AQ1754" t="s">
        <v>12206</v>
      </c>
    </row>
    <row r="1755" spans="1:43" x14ac:dyDescent="0.2">
      <c r="A1755" t="s">
        <v>12199</v>
      </c>
      <c r="B1755" t="s">
        <v>11038</v>
      </c>
      <c r="C1755" t="s">
        <v>11052</v>
      </c>
      <c r="D1755" t="s">
        <v>11236</v>
      </c>
      <c r="E1755" t="s">
        <v>11237</v>
      </c>
      <c r="F1755" t="s">
        <v>11236</v>
      </c>
      <c r="G1755" s="1">
        <v>7000000</v>
      </c>
      <c r="H1755" s="2">
        <v>6843614.0300000003</v>
      </c>
      <c r="I1755" s="2">
        <v>6843614.0300000003</v>
      </c>
      <c r="J1755" s="2">
        <v>0</v>
      </c>
      <c r="K1755" s="2">
        <v>0</v>
      </c>
      <c r="L1755" s="2">
        <v>6843614.0300000003</v>
      </c>
      <c r="M1755" s="3">
        <v>5.0890709999999997</v>
      </c>
      <c r="N1755" s="4">
        <v>1.5569960000000001E-2</v>
      </c>
      <c r="O1755" s="5" t="s">
        <v>44</v>
      </c>
      <c r="P1755" s="5">
        <v>44839</v>
      </c>
      <c r="Q1755" s="1">
        <v>0</v>
      </c>
      <c r="R1755" s="2">
        <v>0.45</v>
      </c>
      <c r="S1755" s="6">
        <v>0.43665175967999997</v>
      </c>
      <c r="T1755" t="s">
        <v>112</v>
      </c>
      <c r="U1755" t="s">
        <v>11040</v>
      </c>
      <c r="V1755" t="s">
        <v>11238</v>
      </c>
      <c r="W1755" t="s">
        <v>43</v>
      </c>
      <c r="X1755" t="s">
        <v>44</v>
      </c>
      <c r="Y1755" t="s">
        <v>44</v>
      </c>
      <c r="Z1755" t="s">
        <v>44</v>
      </c>
      <c r="AA1755" t="s">
        <v>10913</v>
      </c>
      <c r="AB1755" t="s">
        <v>44</v>
      </c>
      <c r="AC1755" s="4">
        <v>5.1608654700000001</v>
      </c>
      <c r="AD1755" s="4">
        <v>5.0426700100000001</v>
      </c>
      <c r="AE1755" s="2">
        <v>5.16</v>
      </c>
      <c r="AF1755" s="4">
        <v>5.0426700100000001</v>
      </c>
      <c r="AG1755" s="2">
        <v>0.43</v>
      </c>
      <c r="AH1755" s="2">
        <v>6843614.0300000003</v>
      </c>
      <c r="AI1755" s="2">
        <v>0.02</v>
      </c>
      <c r="AJ1755" s="5">
        <v>44673</v>
      </c>
      <c r="AK1755" t="s">
        <v>12200</v>
      </c>
      <c r="AL1755" s="2">
        <v>5.0999999999999996</v>
      </c>
      <c r="AM1755" s="2">
        <v>0</v>
      </c>
      <c r="AN1755" s="2">
        <v>0.44</v>
      </c>
      <c r="AO1755" t="s">
        <v>10922</v>
      </c>
      <c r="AP1755" t="s">
        <v>11239</v>
      </c>
      <c r="AQ1755" t="s">
        <v>11237</v>
      </c>
    </row>
    <row r="1756" spans="1:43" x14ac:dyDescent="0.2">
      <c r="A1756" t="s">
        <v>12199</v>
      </c>
      <c r="B1756" t="s">
        <v>11038</v>
      </c>
      <c r="C1756" t="s">
        <v>11052</v>
      </c>
      <c r="D1756" t="s">
        <v>12189</v>
      </c>
      <c r="E1756" t="s">
        <v>12190</v>
      </c>
      <c r="F1756" t="s">
        <v>12189</v>
      </c>
      <c r="G1756" s="1">
        <v>3000000</v>
      </c>
      <c r="H1756" s="2">
        <v>2928970.05</v>
      </c>
      <c r="I1756" s="2">
        <v>2928970.05</v>
      </c>
      <c r="J1756" s="2">
        <v>0</v>
      </c>
      <c r="K1756" s="2">
        <v>0</v>
      </c>
      <c r="L1756" s="2">
        <v>2928970.05</v>
      </c>
      <c r="M1756" s="3">
        <v>5.1450009999999997</v>
      </c>
      <c r="N1756" s="4">
        <v>6.6637199999999997E-3</v>
      </c>
      <c r="O1756" s="5" t="s">
        <v>44</v>
      </c>
      <c r="P1756" s="5">
        <v>44846</v>
      </c>
      <c r="Q1756" s="1">
        <v>0</v>
      </c>
      <c r="R1756" s="2">
        <v>0.47</v>
      </c>
      <c r="S1756" s="6">
        <v>0.45485375498000002</v>
      </c>
      <c r="T1756" t="s">
        <v>112</v>
      </c>
      <c r="U1756" t="s">
        <v>11040</v>
      </c>
      <c r="V1756" t="s">
        <v>11238</v>
      </c>
      <c r="W1756" t="s">
        <v>43</v>
      </c>
      <c r="X1756" t="s">
        <v>44</v>
      </c>
      <c r="Y1756" t="s">
        <v>44</v>
      </c>
      <c r="Z1756" t="s">
        <v>44</v>
      </c>
      <c r="AA1756" t="s">
        <v>10913</v>
      </c>
      <c r="AB1756" t="s">
        <v>44</v>
      </c>
      <c r="AC1756" s="4">
        <v>5.2157943299999996</v>
      </c>
      <c r="AD1756" s="4">
        <v>5.0951101300000001</v>
      </c>
      <c r="AE1756" s="2">
        <v>5.22</v>
      </c>
      <c r="AF1756" s="4">
        <v>5.0951101300000001</v>
      </c>
      <c r="AG1756" s="2">
        <v>0.19</v>
      </c>
      <c r="AH1756" s="2">
        <v>2928970.05</v>
      </c>
      <c r="AI1756" s="2">
        <v>0.01</v>
      </c>
      <c r="AJ1756" s="5">
        <v>44673</v>
      </c>
      <c r="AK1756" t="s">
        <v>12200</v>
      </c>
      <c r="AL1756" s="2">
        <v>5.15</v>
      </c>
      <c r="AM1756" s="2">
        <v>0</v>
      </c>
      <c r="AN1756" s="2">
        <v>0.45</v>
      </c>
      <c r="AO1756" t="s">
        <v>10922</v>
      </c>
      <c r="AP1756" t="s">
        <v>12191</v>
      </c>
      <c r="AQ1756" t="s">
        <v>12190</v>
      </c>
    </row>
    <row r="1757" spans="1:43" x14ac:dyDescent="0.2">
      <c r="A1757" t="s">
        <v>12199</v>
      </c>
      <c r="B1757" t="s">
        <v>11038</v>
      </c>
      <c r="C1757" t="s">
        <v>11052</v>
      </c>
      <c r="D1757" t="s">
        <v>11384</v>
      </c>
      <c r="E1757" t="s">
        <v>11385</v>
      </c>
      <c r="F1757" t="s">
        <v>11384</v>
      </c>
      <c r="G1757" s="1">
        <v>47800000</v>
      </c>
      <c r="H1757" s="2">
        <v>47042018.18</v>
      </c>
      <c r="I1757" s="2">
        <v>47042018.18</v>
      </c>
      <c r="J1757" s="2">
        <v>0</v>
      </c>
      <c r="K1757" s="2">
        <v>0</v>
      </c>
      <c r="L1757" s="2">
        <v>47042018.18</v>
      </c>
      <c r="M1757" s="3">
        <v>5.0558690000000004</v>
      </c>
      <c r="N1757" s="4">
        <v>0.10702565999999999</v>
      </c>
      <c r="O1757" s="5" t="s">
        <v>44</v>
      </c>
      <c r="P1757" s="5">
        <v>44790</v>
      </c>
      <c r="Q1757" s="1">
        <v>0</v>
      </c>
      <c r="R1757" s="2">
        <v>0.31</v>
      </c>
      <c r="S1757" s="6">
        <v>0.30747347447000001</v>
      </c>
      <c r="T1757" t="s">
        <v>112</v>
      </c>
      <c r="U1757" t="s">
        <v>11040</v>
      </c>
      <c r="V1757" t="s">
        <v>11238</v>
      </c>
      <c r="W1757" t="s">
        <v>43</v>
      </c>
      <c r="X1757" t="s">
        <v>44</v>
      </c>
      <c r="Y1757" t="s">
        <v>44</v>
      </c>
      <c r="Z1757" t="s">
        <v>44</v>
      </c>
      <c r="AA1757" t="s">
        <v>10913</v>
      </c>
      <c r="AB1757" t="s">
        <v>44</v>
      </c>
      <c r="AC1757" s="4">
        <v>5.1443155000000003</v>
      </c>
      <c r="AD1757" s="4">
        <v>5.0268649700000001</v>
      </c>
      <c r="AE1757" s="2">
        <v>5.14</v>
      </c>
      <c r="AF1757" s="4">
        <v>5.0268649700000001</v>
      </c>
      <c r="AG1757" s="2">
        <v>2.97</v>
      </c>
      <c r="AH1757" s="2">
        <v>47042018.18</v>
      </c>
      <c r="AI1757" s="2">
        <v>0.11</v>
      </c>
      <c r="AJ1757" s="5">
        <v>44673</v>
      </c>
      <c r="AK1757" t="s">
        <v>12200</v>
      </c>
      <c r="AL1757" s="2">
        <v>5.08</v>
      </c>
      <c r="AM1757" s="2">
        <v>0</v>
      </c>
      <c r="AN1757" s="2">
        <v>0.31</v>
      </c>
      <c r="AO1757" t="s">
        <v>10922</v>
      </c>
      <c r="AP1757" t="s">
        <v>11386</v>
      </c>
      <c r="AQ1757" t="s">
        <v>11385</v>
      </c>
    </row>
    <row r="1758" spans="1:43" x14ac:dyDescent="0.2">
      <c r="A1758" t="s">
        <v>12199</v>
      </c>
      <c r="B1758" t="s">
        <v>11038</v>
      </c>
      <c r="C1758" t="s">
        <v>11052</v>
      </c>
      <c r="D1758" t="s">
        <v>11402</v>
      </c>
      <c r="E1758" t="s">
        <v>11403</v>
      </c>
      <c r="F1758" t="s">
        <v>11402</v>
      </c>
      <c r="G1758" s="1">
        <v>77300000</v>
      </c>
      <c r="H1758" s="2">
        <v>75722716.530000001</v>
      </c>
      <c r="I1758" s="2">
        <v>75722716.530000001</v>
      </c>
      <c r="J1758" s="2">
        <v>0</v>
      </c>
      <c r="K1758" s="2">
        <v>0</v>
      </c>
      <c r="L1758" s="2">
        <v>75722716.530000001</v>
      </c>
      <c r="M1758" s="3">
        <v>5.0350000000000001</v>
      </c>
      <c r="N1758" s="4">
        <v>0.17227733000000001</v>
      </c>
      <c r="O1758" s="5" t="s">
        <v>44</v>
      </c>
      <c r="P1758" s="5">
        <v>44825</v>
      </c>
      <c r="Q1758" s="1">
        <v>0</v>
      </c>
      <c r="R1758" s="2">
        <v>0.41</v>
      </c>
      <c r="S1758" s="6">
        <v>0.39999769104999999</v>
      </c>
      <c r="T1758" t="s">
        <v>112</v>
      </c>
      <c r="U1758" t="s">
        <v>11040</v>
      </c>
      <c r="V1758" t="s">
        <v>11238</v>
      </c>
      <c r="W1758" t="s">
        <v>43</v>
      </c>
      <c r="X1758" t="s">
        <v>44</v>
      </c>
      <c r="Y1758" t="s">
        <v>44</v>
      </c>
      <c r="Z1758" t="s">
        <v>44</v>
      </c>
      <c r="AA1758" t="s">
        <v>10913</v>
      </c>
      <c r="AB1758" t="s">
        <v>44</v>
      </c>
      <c r="AC1758" s="4">
        <v>5.1102424400000004</v>
      </c>
      <c r="AD1758" s="4">
        <v>4.9943184</v>
      </c>
      <c r="AE1758" s="2">
        <v>5.1100000000000003</v>
      </c>
      <c r="AF1758" s="4">
        <v>4.9943184</v>
      </c>
      <c r="AG1758" s="2">
        <v>4.79</v>
      </c>
      <c r="AH1758" s="2">
        <v>75722716.530000001</v>
      </c>
      <c r="AI1758" s="2">
        <v>0.17</v>
      </c>
      <c r="AJ1758" s="5">
        <v>44673</v>
      </c>
      <c r="AK1758" t="s">
        <v>12200</v>
      </c>
      <c r="AL1758" s="2">
        <v>5.05</v>
      </c>
      <c r="AM1758" s="2">
        <v>0</v>
      </c>
      <c r="AN1758" s="2">
        <v>0.4</v>
      </c>
      <c r="AO1758" t="s">
        <v>10922</v>
      </c>
      <c r="AP1758" t="s">
        <v>11404</v>
      </c>
      <c r="AQ1758" t="s">
        <v>11403</v>
      </c>
    </row>
    <row r="1759" spans="1:43" x14ac:dyDescent="0.2">
      <c r="A1759" t="s">
        <v>12199</v>
      </c>
      <c r="B1759" t="s">
        <v>11038</v>
      </c>
      <c r="C1759" t="s">
        <v>11052</v>
      </c>
      <c r="D1759" t="s">
        <v>12186</v>
      </c>
      <c r="E1759" t="s">
        <v>12187</v>
      </c>
      <c r="F1759" t="s">
        <v>12186</v>
      </c>
      <c r="G1759" s="1">
        <v>7000000</v>
      </c>
      <c r="H1759" s="2">
        <v>6876440.6100000003</v>
      </c>
      <c r="I1759" s="2">
        <v>6876440.6100000003</v>
      </c>
      <c r="J1759" s="2">
        <v>0</v>
      </c>
      <c r="K1759" s="2">
        <v>0</v>
      </c>
      <c r="L1759" s="2">
        <v>6876440.6100000003</v>
      </c>
      <c r="M1759" s="3">
        <v>5.0337449999999997</v>
      </c>
      <c r="N1759" s="4">
        <v>1.5644640000000001E-2</v>
      </c>
      <c r="O1759" s="5" t="s">
        <v>44</v>
      </c>
      <c r="P1759" s="5">
        <v>44804</v>
      </c>
      <c r="Q1759" s="1">
        <v>0</v>
      </c>
      <c r="R1759" s="2">
        <v>0.35</v>
      </c>
      <c r="S1759" s="6">
        <v>0.34460181869000001</v>
      </c>
      <c r="T1759" t="s">
        <v>112</v>
      </c>
      <c r="U1759" t="s">
        <v>11040</v>
      </c>
      <c r="V1759" t="s">
        <v>11238</v>
      </c>
      <c r="W1759" t="s">
        <v>43</v>
      </c>
      <c r="X1759" t="s">
        <v>44</v>
      </c>
      <c r="Y1759" t="s">
        <v>44</v>
      </c>
      <c r="Z1759" t="s">
        <v>44</v>
      </c>
      <c r="AA1759" t="s">
        <v>10913</v>
      </c>
      <c r="AB1759" t="s">
        <v>44</v>
      </c>
      <c r="AC1759" s="4">
        <v>5.1164204399999997</v>
      </c>
      <c r="AD1759" s="4">
        <v>5.0002203400000003</v>
      </c>
      <c r="AE1759" s="2">
        <v>5.12</v>
      </c>
      <c r="AF1759" s="4">
        <v>5.0002203400000003</v>
      </c>
      <c r="AG1759" s="2">
        <v>0.43</v>
      </c>
      <c r="AH1759" s="2">
        <v>6876440.6100000003</v>
      </c>
      <c r="AI1759" s="2">
        <v>0.02</v>
      </c>
      <c r="AJ1759" s="5">
        <v>44673</v>
      </c>
      <c r="AK1759" t="s">
        <v>12200</v>
      </c>
      <c r="AL1759" s="2">
        <v>5.05</v>
      </c>
      <c r="AM1759" s="2">
        <v>0</v>
      </c>
      <c r="AN1759" s="2">
        <v>0.34</v>
      </c>
      <c r="AO1759" t="s">
        <v>10922</v>
      </c>
      <c r="AP1759" t="s">
        <v>12188</v>
      </c>
      <c r="AQ1759" t="s">
        <v>12187</v>
      </c>
    </row>
    <row r="1760" spans="1:43" x14ac:dyDescent="0.2">
      <c r="A1760" t="s">
        <v>12199</v>
      </c>
      <c r="B1760" t="s">
        <v>11038</v>
      </c>
      <c r="C1760" t="s">
        <v>11039</v>
      </c>
      <c r="D1760" t="s">
        <v>11971</v>
      </c>
      <c r="E1760" t="s">
        <v>11972</v>
      </c>
      <c r="F1760" t="s">
        <v>11971</v>
      </c>
      <c r="G1760" s="1">
        <v>31000000</v>
      </c>
      <c r="H1760" s="2">
        <v>30985239.039999999</v>
      </c>
      <c r="I1760" s="2">
        <v>30967876.600000001</v>
      </c>
      <c r="J1760" s="2">
        <v>367668.49</v>
      </c>
      <c r="K1760" s="2">
        <v>0</v>
      </c>
      <c r="L1760" s="2">
        <v>31335545.09</v>
      </c>
      <c r="M1760" s="3">
        <v>5.914955</v>
      </c>
      <c r="N1760" s="4">
        <v>7.1291740000000006E-2</v>
      </c>
      <c r="O1760" s="5">
        <v>44965</v>
      </c>
      <c r="P1760" s="5">
        <v>44965</v>
      </c>
      <c r="Q1760" s="1">
        <v>5.85</v>
      </c>
      <c r="R1760" s="2">
        <v>0.79</v>
      </c>
      <c r="S1760" s="6">
        <v>0.75635794914999999</v>
      </c>
      <c r="T1760" t="s">
        <v>111</v>
      </c>
      <c r="U1760" t="s">
        <v>11040</v>
      </c>
      <c r="V1760" t="s">
        <v>11041</v>
      </c>
      <c r="W1760" t="s">
        <v>43</v>
      </c>
      <c r="X1760" t="s">
        <v>11034</v>
      </c>
      <c r="Y1760" t="s">
        <v>44</v>
      </c>
      <c r="Z1760" t="s">
        <v>44</v>
      </c>
      <c r="AA1760" t="s">
        <v>10979</v>
      </c>
      <c r="AB1760" t="s">
        <v>44</v>
      </c>
      <c r="AC1760" s="4">
        <v>5.9509684500000004</v>
      </c>
      <c r="AD1760" s="4">
        <v>5.7945694899999998</v>
      </c>
      <c r="AE1760" s="2">
        <v>5.95</v>
      </c>
      <c r="AF1760" s="4">
        <v>5.7945694899999998</v>
      </c>
      <c r="AG1760" s="2">
        <v>1.98</v>
      </c>
      <c r="AH1760" s="2">
        <v>31335545.09</v>
      </c>
      <c r="AI1760" s="2">
        <v>7.0000000000000007E-2</v>
      </c>
      <c r="AJ1760" s="5">
        <v>44673</v>
      </c>
      <c r="AK1760" t="s">
        <v>12200</v>
      </c>
      <c r="AL1760" s="2">
        <v>5.86</v>
      </c>
      <c r="AM1760" s="2">
        <v>5.85</v>
      </c>
      <c r="AN1760" s="2">
        <v>0.76</v>
      </c>
      <c r="AO1760" t="s">
        <v>11165</v>
      </c>
      <c r="AP1760" t="s">
        <v>11973</v>
      </c>
      <c r="AQ1760" t="s">
        <v>11972</v>
      </c>
    </row>
    <row r="1761" spans="1:43" x14ac:dyDescent="0.2">
      <c r="A1761" t="s">
        <v>12199</v>
      </c>
      <c r="B1761" t="s">
        <v>11038</v>
      </c>
      <c r="C1761" t="s">
        <v>11039</v>
      </c>
      <c r="D1761" t="s">
        <v>12090</v>
      </c>
      <c r="E1761" t="s">
        <v>12091</v>
      </c>
      <c r="F1761" t="s">
        <v>12090</v>
      </c>
      <c r="G1761" s="1">
        <v>28000000</v>
      </c>
      <c r="H1761" s="2">
        <v>27986263.170000002</v>
      </c>
      <c r="I1761" s="2">
        <v>27991484.66</v>
      </c>
      <c r="J1761" s="2">
        <v>238652.05</v>
      </c>
      <c r="K1761" s="2">
        <v>0</v>
      </c>
      <c r="L1761" s="2">
        <v>28230136.710000001</v>
      </c>
      <c r="M1761" s="3">
        <v>6.0835429999999997</v>
      </c>
      <c r="N1761" s="4">
        <v>6.4226599999999995E-2</v>
      </c>
      <c r="O1761" s="5">
        <v>44988</v>
      </c>
      <c r="P1761" s="5">
        <v>44988</v>
      </c>
      <c r="Q1761" s="1">
        <v>6.1</v>
      </c>
      <c r="R1761" s="2">
        <v>0.85</v>
      </c>
      <c r="S1761" s="6">
        <v>0.81254093581999998</v>
      </c>
      <c r="T1761" t="s">
        <v>111</v>
      </c>
      <c r="U1761" t="s">
        <v>11040</v>
      </c>
      <c r="V1761" t="s">
        <v>11041</v>
      </c>
      <c r="W1761" t="s">
        <v>43</v>
      </c>
      <c r="X1761" t="s">
        <v>11034</v>
      </c>
      <c r="Y1761" t="s">
        <v>44</v>
      </c>
      <c r="Z1761" t="s">
        <v>44</v>
      </c>
      <c r="AA1761" t="s">
        <v>10979</v>
      </c>
      <c r="AB1761" t="s">
        <v>44</v>
      </c>
      <c r="AC1761" s="4">
        <v>6.1100351799999997</v>
      </c>
      <c r="AD1761" s="4">
        <v>5.9453231400000002</v>
      </c>
      <c r="AE1761" s="2">
        <v>6.11</v>
      </c>
      <c r="AF1761" s="4">
        <v>5.9453231400000002</v>
      </c>
      <c r="AG1761" s="2">
        <v>1.78</v>
      </c>
      <c r="AH1761" s="2">
        <v>28230136.710000001</v>
      </c>
      <c r="AI1761" s="2">
        <v>0.06</v>
      </c>
      <c r="AJ1761" s="5">
        <v>44673</v>
      </c>
      <c r="AK1761" t="s">
        <v>12200</v>
      </c>
      <c r="AL1761" s="2">
        <v>6.02</v>
      </c>
      <c r="AM1761" s="2">
        <v>6.1</v>
      </c>
      <c r="AN1761" s="2">
        <v>0.81</v>
      </c>
      <c r="AO1761" t="s">
        <v>11165</v>
      </c>
      <c r="AP1761" t="s">
        <v>12092</v>
      </c>
      <c r="AQ1761" t="s">
        <v>12091</v>
      </c>
    </row>
    <row r="1762" spans="1:43" x14ac:dyDescent="0.2">
      <c r="A1762" t="s">
        <v>12199</v>
      </c>
      <c r="B1762" t="s">
        <v>11038</v>
      </c>
      <c r="C1762" t="s">
        <v>11039</v>
      </c>
      <c r="D1762" t="s">
        <v>13003</v>
      </c>
      <c r="E1762" t="s">
        <v>13004</v>
      </c>
      <c r="F1762" t="s">
        <v>13003</v>
      </c>
      <c r="G1762" s="1">
        <v>112000000</v>
      </c>
      <c r="H1762" s="2">
        <v>112000000</v>
      </c>
      <c r="I1762" s="2">
        <v>112005790.06999999</v>
      </c>
      <c r="J1762" s="2">
        <v>58224.66</v>
      </c>
      <c r="K1762" s="2">
        <v>0</v>
      </c>
      <c r="L1762" s="2">
        <v>112064014.73</v>
      </c>
      <c r="M1762" s="3">
        <v>6.3139609999999999</v>
      </c>
      <c r="N1762" s="4">
        <v>0.25495770000000001</v>
      </c>
      <c r="O1762" s="5">
        <v>45036</v>
      </c>
      <c r="P1762" s="5">
        <v>45036</v>
      </c>
      <c r="Q1762" s="1">
        <v>6.3250000000000002</v>
      </c>
      <c r="R1762" s="2">
        <v>0.99</v>
      </c>
      <c r="S1762" s="6">
        <v>0.92848053425999999</v>
      </c>
      <c r="T1762" t="s">
        <v>111</v>
      </c>
      <c r="U1762" t="s">
        <v>11040</v>
      </c>
      <c r="V1762" t="s">
        <v>11041</v>
      </c>
      <c r="W1762" t="s">
        <v>43</v>
      </c>
      <c r="X1762" t="s">
        <v>11034</v>
      </c>
      <c r="Y1762" t="s">
        <v>44</v>
      </c>
      <c r="Z1762" t="s">
        <v>44</v>
      </c>
      <c r="AA1762" t="s">
        <v>10979</v>
      </c>
      <c r="AB1762" t="s">
        <v>44</v>
      </c>
      <c r="AC1762" s="4">
        <v>6.3166377499999999</v>
      </c>
      <c r="AD1762" s="4">
        <v>6.14081937</v>
      </c>
      <c r="AE1762" s="2">
        <v>6.32</v>
      </c>
      <c r="AF1762" s="4">
        <v>6.14081937</v>
      </c>
      <c r="AG1762" s="2">
        <v>7.08</v>
      </c>
      <c r="AH1762" s="2">
        <v>112064014.73</v>
      </c>
      <c r="AI1762" s="2">
        <v>0.25</v>
      </c>
      <c r="AJ1762" s="5">
        <v>44673</v>
      </c>
      <c r="AK1762" t="s">
        <v>12200</v>
      </c>
      <c r="AL1762" s="2">
        <v>6.22</v>
      </c>
      <c r="AM1762" s="2">
        <v>6.33</v>
      </c>
      <c r="AN1762" s="2">
        <v>0.93</v>
      </c>
      <c r="AO1762" t="s">
        <v>11165</v>
      </c>
      <c r="AP1762" t="s">
        <v>13005</v>
      </c>
      <c r="AQ1762" t="s">
        <v>13004</v>
      </c>
    </row>
    <row r="1763" spans="1:43" x14ac:dyDescent="0.2">
      <c r="A1763" t="s">
        <v>12199</v>
      </c>
      <c r="B1763" t="s">
        <v>11038</v>
      </c>
      <c r="C1763" t="s">
        <v>11039</v>
      </c>
      <c r="D1763" t="s">
        <v>11390</v>
      </c>
      <c r="E1763" t="s">
        <v>11391</v>
      </c>
      <c r="F1763" t="s">
        <v>11390</v>
      </c>
      <c r="G1763" s="1">
        <v>6000000</v>
      </c>
      <c r="H1763" s="2">
        <v>5792314.5800000001</v>
      </c>
      <c r="I1763" s="2">
        <v>5792314.5800000001</v>
      </c>
      <c r="J1763" s="2">
        <v>0</v>
      </c>
      <c r="K1763" s="2">
        <v>0</v>
      </c>
      <c r="L1763" s="2">
        <v>5792314.5800000001</v>
      </c>
      <c r="M1763" s="3">
        <v>5.7867119999999996</v>
      </c>
      <c r="N1763" s="4">
        <v>1.317814E-2</v>
      </c>
      <c r="O1763" s="5" t="s">
        <v>44</v>
      </c>
      <c r="P1763" s="5">
        <v>44902</v>
      </c>
      <c r="Q1763" s="1">
        <v>0</v>
      </c>
      <c r="R1763" s="2">
        <v>0.62</v>
      </c>
      <c r="S1763" s="6">
        <v>0.59776029928999996</v>
      </c>
      <c r="T1763" t="s">
        <v>112</v>
      </c>
      <c r="U1763" t="s">
        <v>11040</v>
      </c>
      <c r="V1763" t="s">
        <v>11238</v>
      </c>
      <c r="W1763" t="s">
        <v>43</v>
      </c>
      <c r="X1763" t="s">
        <v>44</v>
      </c>
      <c r="Y1763" t="s">
        <v>44</v>
      </c>
      <c r="Z1763" t="s">
        <v>44</v>
      </c>
      <c r="AA1763" t="s">
        <v>10913</v>
      </c>
      <c r="AB1763" t="s">
        <v>44</v>
      </c>
      <c r="AC1763" s="4">
        <v>5.8501835199999999</v>
      </c>
      <c r="AD1763" s="4">
        <v>5.6989443299999998</v>
      </c>
      <c r="AE1763" s="2">
        <v>5.85</v>
      </c>
      <c r="AF1763" s="4">
        <v>5.6989443299999998</v>
      </c>
      <c r="AG1763" s="2">
        <v>0.37</v>
      </c>
      <c r="AH1763" s="2">
        <v>5792314.5800000001</v>
      </c>
      <c r="AI1763" s="2">
        <v>0.01</v>
      </c>
      <c r="AJ1763" s="5">
        <v>44673</v>
      </c>
      <c r="AK1763" t="s">
        <v>12200</v>
      </c>
      <c r="AL1763" s="2">
        <v>5.77</v>
      </c>
      <c r="AM1763" s="2">
        <v>0</v>
      </c>
      <c r="AN1763" s="2">
        <v>0.6</v>
      </c>
      <c r="AO1763" t="s">
        <v>10922</v>
      </c>
      <c r="AP1763" t="s">
        <v>11392</v>
      </c>
      <c r="AQ1763" t="s">
        <v>11391</v>
      </c>
    </row>
    <row r="1764" spans="1:43" x14ac:dyDescent="0.2">
      <c r="A1764" t="s">
        <v>12199</v>
      </c>
      <c r="B1764" t="s">
        <v>11038</v>
      </c>
      <c r="C1764" t="s">
        <v>11039</v>
      </c>
      <c r="D1764" t="s">
        <v>11393</v>
      </c>
      <c r="E1764" t="s">
        <v>11394</v>
      </c>
      <c r="F1764" t="s">
        <v>11393</v>
      </c>
      <c r="G1764" s="1">
        <v>22000000</v>
      </c>
      <c r="H1764" s="2">
        <v>21375939.210000001</v>
      </c>
      <c r="I1764" s="2">
        <v>21375939.210000001</v>
      </c>
      <c r="J1764" s="2">
        <v>0</v>
      </c>
      <c r="K1764" s="2">
        <v>0</v>
      </c>
      <c r="L1764" s="2">
        <v>21375939.210000001</v>
      </c>
      <c r="M1764" s="3">
        <v>5.3700010000000002</v>
      </c>
      <c r="N1764" s="4">
        <v>4.8632559999999998E-2</v>
      </c>
      <c r="O1764" s="5" t="s">
        <v>44</v>
      </c>
      <c r="P1764" s="5">
        <v>44874</v>
      </c>
      <c r="Q1764" s="1">
        <v>0</v>
      </c>
      <c r="R1764" s="2">
        <v>0.54</v>
      </c>
      <c r="S1764" s="6">
        <v>0.52711079582999998</v>
      </c>
      <c r="T1764" t="s">
        <v>112</v>
      </c>
      <c r="U1764" t="s">
        <v>11040</v>
      </c>
      <c r="V1764" t="s">
        <v>11238</v>
      </c>
      <c r="W1764" t="s">
        <v>43</v>
      </c>
      <c r="X1764" t="s">
        <v>44</v>
      </c>
      <c r="Y1764" t="s">
        <v>44</v>
      </c>
      <c r="Z1764" t="s">
        <v>44</v>
      </c>
      <c r="AA1764" t="s">
        <v>10913</v>
      </c>
      <c r="AB1764" t="s">
        <v>44</v>
      </c>
      <c r="AC1764" s="4">
        <v>5.4358711399999997</v>
      </c>
      <c r="AD1764" s="4">
        <v>5.3049642199999996</v>
      </c>
      <c r="AE1764" s="2">
        <v>5.44</v>
      </c>
      <c r="AF1764" s="4">
        <v>5.3049642199999996</v>
      </c>
      <c r="AG1764" s="2">
        <v>1.35</v>
      </c>
      <c r="AH1764" s="2">
        <v>21375939.210000001</v>
      </c>
      <c r="AI1764" s="2">
        <v>0.05</v>
      </c>
      <c r="AJ1764" s="5">
        <v>44673</v>
      </c>
      <c r="AK1764" t="s">
        <v>12200</v>
      </c>
      <c r="AL1764" s="2">
        <v>5.36</v>
      </c>
      <c r="AM1764" s="2">
        <v>0</v>
      </c>
      <c r="AN1764" s="2">
        <v>0.53</v>
      </c>
      <c r="AO1764" t="s">
        <v>10922</v>
      </c>
      <c r="AP1764" t="s">
        <v>11395</v>
      </c>
      <c r="AQ1764" t="s">
        <v>11394</v>
      </c>
    </row>
    <row r="1765" spans="1:43" x14ac:dyDescent="0.2">
      <c r="A1765" t="s">
        <v>12199</v>
      </c>
      <c r="B1765" t="s">
        <v>11038</v>
      </c>
      <c r="C1765" t="s">
        <v>11039</v>
      </c>
      <c r="D1765" t="s">
        <v>11396</v>
      </c>
      <c r="E1765" t="s">
        <v>11397</v>
      </c>
      <c r="F1765" t="s">
        <v>11396</v>
      </c>
      <c r="G1765" s="1">
        <v>67600000</v>
      </c>
      <c r="H1765" s="2">
        <v>64845600.920000002</v>
      </c>
      <c r="I1765" s="2">
        <v>64845600.920000002</v>
      </c>
      <c r="J1765" s="2">
        <v>0</v>
      </c>
      <c r="K1765" s="2">
        <v>0</v>
      </c>
      <c r="L1765" s="2">
        <v>64845600.920000002</v>
      </c>
      <c r="M1765" s="3">
        <v>5.9260000000000002</v>
      </c>
      <c r="N1765" s="4">
        <v>0.14753072</v>
      </c>
      <c r="O1765" s="5" t="s">
        <v>44</v>
      </c>
      <c r="P1765" s="5">
        <v>44937</v>
      </c>
      <c r="Q1765" s="1">
        <v>0</v>
      </c>
      <c r="R1765" s="2">
        <v>0.72</v>
      </c>
      <c r="S1765" s="6">
        <v>0.68599929861999998</v>
      </c>
      <c r="T1765" t="s">
        <v>112</v>
      </c>
      <c r="U1765" t="s">
        <v>11040</v>
      </c>
      <c r="V1765" t="s">
        <v>11238</v>
      </c>
      <c r="W1765" t="s">
        <v>43</v>
      </c>
      <c r="X1765" t="s">
        <v>44</v>
      </c>
      <c r="Y1765" t="s">
        <v>44</v>
      </c>
      <c r="Z1765" t="s">
        <v>44</v>
      </c>
      <c r="AA1765" t="s">
        <v>10913</v>
      </c>
      <c r="AB1765" t="s">
        <v>44</v>
      </c>
      <c r="AC1765" s="4">
        <v>5.9756128500000001</v>
      </c>
      <c r="AD1765" s="4">
        <v>5.8179395100000004</v>
      </c>
      <c r="AE1765" s="2">
        <v>5.98</v>
      </c>
      <c r="AF1765" s="4">
        <v>5.8179395100000004</v>
      </c>
      <c r="AG1765" s="2">
        <v>4.0999999999999996</v>
      </c>
      <c r="AH1765" s="2">
        <v>64845600.920000002</v>
      </c>
      <c r="AI1765" s="2">
        <v>0.15</v>
      </c>
      <c r="AJ1765" s="5">
        <v>44673</v>
      </c>
      <c r="AK1765" t="s">
        <v>12200</v>
      </c>
      <c r="AL1765" s="2">
        <v>5.89</v>
      </c>
      <c r="AM1765" s="2">
        <v>0</v>
      </c>
      <c r="AN1765" s="2">
        <v>0.69</v>
      </c>
      <c r="AO1765" t="s">
        <v>10922</v>
      </c>
      <c r="AP1765" t="s">
        <v>11398</v>
      </c>
      <c r="AQ1765" t="s">
        <v>11397</v>
      </c>
    </row>
    <row r="1766" spans="1:43" x14ac:dyDescent="0.2">
      <c r="A1766" t="s">
        <v>12199</v>
      </c>
      <c r="B1766" t="s">
        <v>11038</v>
      </c>
      <c r="C1766" t="s">
        <v>11039</v>
      </c>
      <c r="D1766" t="s">
        <v>11399</v>
      </c>
      <c r="E1766" t="s">
        <v>11400</v>
      </c>
      <c r="F1766" t="s">
        <v>11399</v>
      </c>
      <c r="G1766" s="1">
        <v>39480000</v>
      </c>
      <c r="H1766" s="2">
        <v>38302821.789999999</v>
      </c>
      <c r="I1766" s="2">
        <v>38302821.789999999</v>
      </c>
      <c r="J1766" s="2">
        <v>0</v>
      </c>
      <c r="K1766" s="2">
        <v>0</v>
      </c>
      <c r="L1766" s="2">
        <v>38302821.789999999</v>
      </c>
      <c r="M1766" s="3">
        <v>5.4191849999999997</v>
      </c>
      <c r="N1766" s="4">
        <v>8.7143040000000005E-2</v>
      </c>
      <c r="O1766" s="5" t="s">
        <v>44</v>
      </c>
      <c r="P1766" s="5">
        <v>44881</v>
      </c>
      <c r="Q1766" s="1">
        <v>0</v>
      </c>
      <c r="R1766" s="2">
        <v>0.56000000000000005</v>
      </c>
      <c r="S1766" s="6">
        <v>0.54505428138000001</v>
      </c>
      <c r="T1766" t="s">
        <v>112</v>
      </c>
      <c r="U1766" t="s">
        <v>11040</v>
      </c>
      <c r="V1766" t="s">
        <v>11238</v>
      </c>
      <c r="W1766" t="s">
        <v>43</v>
      </c>
      <c r="X1766" t="s">
        <v>44</v>
      </c>
      <c r="Y1766" t="s">
        <v>44</v>
      </c>
      <c r="Z1766" t="s">
        <v>44</v>
      </c>
      <c r="AA1766" t="s">
        <v>10913</v>
      </c>
      <c r="AB1766" t="s">
        <v>44</v>
      </c>
      <c r="AC1766" s="4">
        <v>5.4834100699999997</v>
      </c>
      <c r="AD1766" s="4">
        <v>5.3502421900000003</v>
      </c>
      <c r="AE1766" s="2">
        <v>5.48</v>
      </c>
      <c r="AF1766" s="4">
        <v>5.3502421900000003</v>
      </c>
      <c r="AG1766" s="2">
        <v>2.42</v>
      </c>
      <c r="AH1766" s="2">
        <v>38302821.789999999</v>
      </c>
      <c r="AI1766" s="2">
        <v>0.09</v>
      </c>
      <c r="AJ1766" s="5">
        <v>44673</v>
      </c>
      <c r="AK1766" t="s">
        <v>12200</v>
      </c>
      <c r="AL1766" s="2">
        <v>5.41</v>
      </c>
      <c r="AM1766" s="2">
        <v>0</v>
      </c>
      <c r="AN1766" s="2">
        <v>0.55000000000000004</v>
      </c>
      <c r="AO1766" t="s">
        <v>10922</v>
      </c>
      <c r="AP1766" t="s">
        <v>11401</v>
      </c>
      <c r="AQ1766" t="s">
        <v>11400</v>
      </c>
    </row>
    <row r="1767" spans="1:43" x14ac:dyDescent="0.2">
      <c r="A1767" t="s">
        <v>12199</v>
      </c>
      <c r="B1767" t="s">
        <v>11038</v>
      </c>
      <c r="C1767" t="s">
        <v>11039</v>
      </c>
      <c r="D1767" t="s">
        <v>11405</v>
      </c>
      <c r="E1767" t="s">
        <v>11406</v>
      </c>
      <c r="F1767" t="s">
        <v>11405</v>
      </c>
      <c r="G1767" s="1">
        <v>61600000</v>
      </c>
      <c r="H1767" s="2">
        <v>60325722.030000001</v>
      </c>
      <c r="I1767" s="2">
        <v>60325722.030000001</v>
      </c>
      <c r="J1767" s="2">
        <v>0</v>
      </c>
      <c r="K1767" s="2">
        <v>0</v>
      </c>
      <c r="L1767" s="2">
        <v>60325722.030000001</v>
      </c>
      <c r="M1767" s="3">
        <v>5.5672899999999998</v>
      </c>
      <c r="N1767" s="4">
        <v>0.13724750999999999</v>
      </c>
      <c r="O1767" s="5" t="s">
        <v>44</v>
      </c>
      <c r="P1767" s="5">
        <v>44888</v>
      </c>
      <c r="Q1767" s="1">
        <v>0</v>
      </c>
      <c r="R1767" s="2">
        <v>0.57999999999999996</v>
      </c>
      <c r="S1767" s="6">
        <v>0.56262873229999999</v>
      </c>
      <c r="T1767" t="s">
        <v>112</v>
      </c>
      <c r="U1767" t="s">
        <v>11040</v>
      </c>
      <c r="V1767" t="s">
        <v>11238</v>
      </c>
      <c r="W1767" t="s">
        <v>43</v>
      </c>
      <c r="X1767" t="s">
        <v>44</v>
      </c>
      <c r="Y1767" t="s">
        <v>44</v>
      </c>
      <c r="Z1767" t="s">
        <v>44</v>
      </c>
      <c r="AA1767" t="s">
        <v>10913</v>
      </c>
      <c r="AB1767" t="s">
        <v>44</v>
      </c>
      <c r="AC1767" s="4">
        <v>5.6320586500000003</v>
      </c>
      <c r="AD1767" s="4">
        <v>5.4917004399999998</v>
      </c>
      <c r="AE1767" s="2">
        <v>5.63</v>
      </c>
      <c r="AF1767" s="4">
        <v>5.4917004399999998</v>
      </c>
      <c r="AG1767" s="2">
        <v>3.81</v>
      </c>
      <c r="AH1767" s="2">
        <v>60325722.030000001</v>
      </c>
      <c r="AI1767" s="2">
        <v>0.14000000000000001</v>
      </c>
      <c r="AJ1767" s="5">
        <v>44673</v>
      </c>
      <c r="AK1767" t="s">
        <v>12200</v>
      </c>
      <c r="AL1767" s="2">
        <v>5.55</v>
      </c>
      <c r="AM1767" s="2">
        <v>0</v>
      </c>
      <c r="AN1767" s="2">
        <v>0.56000000000000005</v>
      </c>
      <c r="AO1767" t="s">
        <v>10922</v>
      </c>
      <c r="AP1767" t="s">
        <v>11407</v>
      </c>
      <c r="AQ1767" t="s">
        <v>11406</v>
      </c>
    </row>
    <row r="1768" spans="1:43" x14ac:dyDescent="0.2">
      <c r="A1768" t="s">
        <v>12199</v>
      </c>
      <c r="B1768" t="s">
        <v>11408</v>
      </c>
      <c r="C1768" t="s">
        <v>11408</v>
      </c>
      <c r="D1768" t="s">
        <v>11761</v>
      </c>
      <c r="E1768" t="s">
        <v>11762</v>
      </c>
      <c r="F1768" t="s">
        <v>11763</v>
      </c>
      <c r="G1768" s="1">
        <v>8083.9467000000004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3"/>
      <c r="N1768" s="4">
        <v>0</v>
      </c>
      <c r="O1768" s="5" t="s">
        <v>44</v>
      </c>
      <c r="P1768" s="5">
        <v>44777</v>
      </c>
      <c r="Q1768" s="1">
        <v>0</v>
      </c>
      <c r="R1768" s="2"/>
      <c r="S1768" s="6"/>
      <c r="T1768" t="s">
        <v>11412</v>
      </c>
      <c r="U1768" t="s">
        <v>11413</v>
      </c>
      <c r="V1768" t="s">
        <v>11414</v>
      </c>
      <c r="W1768" t="s">
        <v>43</v>
      </c>
      <c r="X1768" t="s">
        <v>44</v>
      </c>
      <c r="Y1768" t="s">
        <v>44</v>
      </c>
      <c r="Z1768" t="s">
        <v>44</v>
      </c>
      <c r="AA1768" t="s">
        <v>10979</v>
      </c>
      <c r="AB1768" t="s">
        <v>44</v>
      </c>
      <c r="AC1768" s="4"/>
      <c r="AD1768" s="4"/>
      <c r="AE1768" s="2">
        <v>0</v>
      </c>
      <c r="AF1768" s="4">
        <v>0</v>
      </c>
      <c r="AG1768" s="2">
        <v>0</v>
      </c>
      <c r="AH1768" s="2">
        <v>0</v>
      </c>
      <c r="AI1768" s="2">
        <v>0</v>
      </c>
      <c r="AJ1768" s="5">
        <v>44673</v>
      </c>
      <c r="AK1768" t="s">
        <v>12200</v>
      </c>
      <c r="AL1768" s="2">
        <v>0</v>
      </c>
      <c r="AM1768" s="2">
        <v>0</v>
      </c>
      <c r="AN1768" s="2">
        <v>0</v>
      </c>
      <c r="AO1768" t="s">
        <v>11165</v>
      </c>
      <c r="AP1768" t="s">
        <v>44</v>
      </c>
      <c r="AQ1768" t="s">
        <v>44</v>
      </c>
    </row>
    <row r="1769" spans="1:43" x14ac:dyDescent="0.2">
      <c r="A1769" t="s">
        <v>12199</v>
      </c>
      <c r="B1769" t="s">
        <v>11408</v>
      </c>
      <c r="C1769" t="s">
        <v>11408</v>
      </c>
      <c r="D1769" t="s">
        <v>11764</v>
      </c>
      <c r="E1769" t="s">
        <v>11762</v>
      </c>
      <c r="F1769" t="s">
        <v>11765</v>
      </c>
      <c r="G1769" s="1">
        <v>-244363481.15000001</v>
      </c>
      <c r="H1769" s="2">
        <v>0</v>
      </c>
      <c r="I1769" s="2">
        <v>0</v>
      </c>
      <c r="J1769" s="2">
        <v>-647730.6</v>
      </c>
      <c r="K1769" s="2">
        <v>0</v>
      </c>
      <c r="L1769" s="2">
        <v>-647730.6</v>
      </c>
      <c r="M1769" s="3"/>
      <c r="N1769" s="4">
        <v>-1.4736599999999999E-3</v>
      </c>
      <c r="O1769" s="5" t="s">
        <v>44</v>
      </c>
      <c r="P1769" s="5">
        <v>44777</v>
      </c>
      <c r="Q1769" s="1">
        <v>0</v>
      </c>
      <c r="R1769" s="2"/>
      <c r="S1769" s="6"/>
      <c r="T1769" t="s">
        <v>11412</v>
      </c>
      <c r="U1769" t="s">
        <v>11413</v>
      </c>
      <c r="V1769" t="s">
        <v>11414</v>
      </c>
      <c r="W1769" t="s">
        <v>43</v>
      </c>
      <c r="X1769" t="s">
        <v>44</v>
      </c>
      <c r="Y1769" t="s">
        <v>44</v>
      </c>
      <c r="Z1769" t="s">
        <v>44</v>
      </c>
      <c r="AA1769" t="s">
        <v>10979</v>
      </c>
      <c r="AB1769" t="s">
        <v>44</v>
      </c>
      <c r="AC1769" s="4"/>
      <c r="AD1769" s="4"/>
      <c r="AE1769" s="2">
        <v>0</v>
      </c>
      <c r="AF1769" s="4">
        <v>0</v>
      </c>
      <c r="AG1769" s="2">
        <v>-0.04</v>
      </c>
      <c r="AH1769" s="2">
        <v>-245011211.75</v>
      </c>
      <c r="AI1769" s="2">
        <v>-0.56000000000000005</v>
      </c>
      <c r="AJ1769" s="5">
        <v>44673</v>
      </c>
      <c r="AK1769" t="s">
        <v>12200</v>
      </c>
      <c r="AL1769" s="2">
        <v>0</v>
      </c>
      <c r="AM1769" s="2">
        <v>0</v>
      </c>
      <c r="AN1769" s="2">
        <v>0</v>
      </c>
      <c r="AO1769" t="s">
        <v>11165</v>
      </c>
      <c r="AP1769" t="s">
        <v>44</v>
      </c>
      <c r="AQ1769" t="s">
        <v>44</v>
      </c>
    </row>
    <row r="1770" spans="1:43" x14ac:dyDescent="0.2">
      <c r="A1770" t="s">
        <v>12199</v>
      </c>
      <c r="B1770" t="s">
        <v>11408</v>
      </c>
      <c r="C1770" t="s">
        <v>11408</v>
      </c>
      <c r="D1770" t="s">
        <v>11766</v>
      </c>
      <c r="E1770" t="s">
        <v>11762</v>
      </c>
      <c r="F1770" t="s">
        <v>11767</v>
      </c>
      <c r="G1770" s="1">
        <v>8083.9467000000004</v>
      </c>
      <c r="H1770" s="2">
        <v>0</v>
      </c>
      <c r="I1770" s="2">
        <v>-10879537.16</v>
      </c>
      <c r="J1770" s="2">
        <v>0</v>
      </c>
      <c r="K1770" s="2">
        <v>0</v>
      </c>
      <c r="L1770" s="2">
        <v>-10879537.16</v>
      </c>
      <c r="M1770" s="3">
        <v>28882.42</v>
      </c>
      <c r="N1770" s="4">
        <v>-2.4752119999999999E-2</v>
      </c>
      <c r="O1770" s="5" t="s">
        <v>44</v>
      </c>
      <c r="P1770" s="5">
        <v>44777</v>
      </c>
      <c r="Q1770" s="1">
        <v>0</v>
      </c>
      <c r="R1770" s="2"/>
      <c r="S1770" s="6"/>
      <c r="T1770" t="s">
        <v>11412</v>
      </c>
      <c r="U1770" t="s">
        <v>11413</v>
      </c>
      <c r="V1770" t="s">
        <v>11414</v>
      </c>
      <c r="W1770" t="s">
        <v>43</v>
      </c>
      <c r="X1770" t="s">
        <v>44</v>
      </c>
      <c r="Y1770" t="s">
        <v>44</v>
      </c>
      <c r="Z1770" t="s">
        <v>44</v>
      </c>
      <c r="AA1770" t="s">
        <v>10979</v>
      </c>
      <c r="AB1770" t="s">
        <v>44</v>
      </c>
      <c r="AC1770" s="4"/>
      <c r="AD1770" s="4"/>
      <c r="AE1770" s="2">
        <v>0</v>
      </c>
      <c r="AF1770" s="4">
        <v>0</v>
      </c>
      <c r="AG1770" s="2">
        <v>-0.69</v>
      </c>
      <c r="AH1770" s="2">
        <v>233483943.99000001</v>
      </c>
      <c r="AI1770" s="2">
        <v>0.53</v>
      </c>
      <c r="AJ1770" s="5">
        <v>44673</v>
      </c>
      <c r="AK1770" t="s">
        <v>12200</v>
      </c>
      <c r="AL1770" s="2">
        <v>0</v>
      </c>
      <c r="AM1770" s="2">
        <v>0</v>
      </c>
      <c r="AN1770" s="2">
        <v>0</v>
      </c>
      <c r="AO1770" t="s">
        <v>11165</v>
      </c>
      <c r="AP1770" t="s">
        <v>44</v>
      </c>
      <c r="AQ1770" t="s">
        <v>44</v>
      </c>
    </row>
    <row r="1771" spans="1:43" x14ac:dyDescent="0.2">
      <c r="A1771" t="s">
        <v>12199</v>
      </c>
      <c r="B1771" t="s">
        <v>11408</v>
      </c>
      <c r="C1771" t="s">
        <v>11408</v>
      </c>
      <c r="D1771" t="s">
        <v>12971</v>
      </c>
      <c r="E1771" t="s">
        <v>12972</v>
      </c>
      <c r="F1771" t="s">
        <v>12973</v>
      </c>
      <c r="G1771" s="1">
        <v>4893.5748999999996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3"/>
      <c r="N1771" s="4">
        <v>0</v>
      </c>
      <c r="O1771" s="5" t="s">
        <v>44</v>
      </c>
      <c r="P1771" s="5">
        <v>44777</v>
      </c>
      <c r="Q1771" s="1">
        <v>0</v>
      </c>
      <c r="R1771" s="2"/>
      <c r="S1771" s="6"/>
      <c r="T1771" t="s">
        <v>11412</v>
      </c>
      <c r="U1771" t="s">
        <v>11413</v>
      </c>
      <c r="V1771" t="s">
        <v>11414</v>
      </c>
      <c r="W1771" t="s">
        <v>43</v>
      </c>
      <c r="X1771" t="s">
        <v>44</v>
      </c>
      <c r="Y1771" t="s">
        <v>44</v>
      </c>
      <c r="Z1771" t="s">
        <v>44</v>
      </c>
      <c r="AA1771" t="s">
        <v>10979</v>
      </c>
      <c r="AB1771" t="s">
        <v>44</v>
      </c>
      <c r="AC1771" s="4"/>
      <c r="AD1771" s="4"/>
      <c r="AE1771" s="2">
        <v>0</v>
      </c>
      <c r="AF1771" s="4">
        <v>0</v>
      </c>
      <c r="AG1771" s="2">
        <v>0</v>
      </c>
      <c r="AH1771" s="2">
        <v>0</v>
      </c>
      <c r="AI1771" s="2">
        <v>0</v>
      </c>
      <c r="AJ1771" s="5">
        <v>44673</v>
      </c>
      <c r="AK1771" t="s">
        <v>12200</v>
      </c>
      <c r="AL1771" s="2">
        <v>0</v>
      </c>
      <c r="AM1771" s="2">
        <v>0</v>
      </c>
      <c r="AN1771" s="2">
        <v>0</v>
      </c>
      <c r="AO1771" t="s">
        <v>11165</v>
      </c>
      <c r="AP1771" t="s">
        <v>44</v>
      </c>
      <c r="AQ1771" t="s">
        <v>44</v>
      </c>
    </row>
    <row r="1772" spans="1:43" x14ac:dyDescent="0.2">
      <c r="A1772" t="s">
        <v>12199</v>
      </c>
      <c r="B1772" t="s">
        <v>11408</v>
      </c>
      <c r="C1772" t="s">
        <v>11408</v>
      </c>
      <c r="D1772" t="s">
        <v>12974</v>
      </c>
      <c r="E1772" t="s">
        <v>12972</v>
      </c>
      <c r="F1772" t="s">
        <v>12975</v>
      </c>
      <c r="G1772" s="1">
        <v>-145000000.84999999</v>
      </c>
      <c r="H1772" s="2">
        <v>0</v>
      </c>
      <c r="I1772" s="2">
        <v>0</v>
      </c>
      <c r="J1772" s="2">
        <v>-83949.04</v>
      </c>
      <c r="K1772" s="2">
        <v>0</v>
      </c>
      <c r="L1772" s="2">
        <v>-83949.04</v>
      </c>
      <c r="M1772" s="3"/>
      <c r="N1772" s="4">
        <v>-1.9099000000000001E-4</v>
      </c>
      <c r="O1772" s="5" t="s">
        <v>44</v>
      </c>
      <c r="P1772" s="5">
        <v>44777</v>
      </c>
      <c r="Q1772" s="1">
        <v>0</v>
      </c>
      <c r="R1772" s="2"/>
      <c r="S1772" s="6"/>
      <c r="T1772" t="s">
        <v>11412</v>
      </c>
      <c r="U1772" t="s">
        <v>11413</v>
      </c>
      <c r="V1772" t="s">
        <v>11414</v>
      </c>
      <c r="W1772" t="s">
        <v>43</v>
      </c>
      <c r="X1772" t="s">
        <v>44</v>
      </c>
      <c r="Y1772" t="s">
        <v>44</v>
      </c>
      <c r="Z1772" t="s">
        <v>44</v>
      </c>
      <c r="AA1772" t="s">
        <v>10979</v>
      </c>
      <c r="AB1772" t="s">
        <v>44</v>
      </c>
      <c r="AC1772" s="4"/>
      <c r="AD1772" s="4"/>
      <c r="AE1772" s="2">
        <v>0</v>
      </c>
      <c r="AF1772" s="4">
        <v>0</v>
      </c>
      <c r="AG1772" s="2">
        <v>-0.01</v>
      </c>
      <c r="AH1772" s="2">
        <v>-145083949.88999999</v>
      </c>
      <c r="AI1772" s="2">
        <v>-0.33</v>
      </c>
      <c r="AJ1772" s="5">
        <v>44673</v>
      </c>
      <c r="AK1772" t="s">
        <v>12200</v>
      </c>
      <c r="AL1772" s="2">
        <v>0</v>
      </c>
      <c r="AM1772" s="2">
        <v>0</v>
      </c>
      <c r="AN1772" s="2">
        <v>0</v>
      </c>
      <c r="AO1772" t="s">
        <v>11165</v>
      </c>
      <c r="AP1772" t="s">
        <v>44</v>
      </c>
      <c r="AQ1772" t="s">
        <v>44</v>
      </c>
    </row>
    <row r="1773" spans="1:43" x14ac:dyDescent="0.2">
      <c r="A1773" t="s">
        <v>12199</v>
      </c>
      <c r="B1773" t="s">
        <v>11408</v>
      </c>
      <c r="C1773" t="s">
        <v>11408</v>
      </c>
      <c r="D1773" t="s">
        <v>12976</v>
      </c>
      <c r="E1773" t="s">
        <v>12972</v>
      </c>
      <c r="F1773" t="s">
        <v>12977</v>
      </c>
      <c r="G1773" s="1">
        <v>4893.5748999999996</v>
      </c>
      <c r="H1773" s="2">
        <v>0</v>
      </c>
      <c r="I1773" s="2">
        <v>-3661715.29</v>
      </c>
      <c r="J1773" s="2">
        <v>0</v>
      </c>
      <c r="K1773" s="2">
        <v>0</v>
      </c>
      <c r="L1773" s="2">
        <v>-3661715.29</v>
      </c>
      <c r="M1773" s="3">
        <v>28882.42</v>
      </c>
      <c r="N1773" s="4">
        <v>-8.3307999999999993E-3</v>
      </c>
      <c r="O1773" s="5" t="s">
        <v>44</v>
      </c>
      <c r="P1773" s="5">
        <v>44777</v>
      </c>
      <c r="Q1773" s="1">
        <v>0</v>
      </c>
      <c r="R1773" s="2"/>
      <c r="S1773" s="6"/>
      <c r="T1773" t="s">
        <v>11412</v>
      </c>
      <c r="U1773" t="s">
        <v>11413</v>
      </c>
      <c r="V1773" t="s">
        <v>11414</v>
      </c>
      <c r="W1773" t="s">
        <v>43</v>
      </c>
      <c r="X1773" t="s">
        <v>44</v>
      </c>
      <c r="Y1773" t="s">
        <v>44</v>
      </c>
      <c r="Z1773" t="s">
        <v>44</v>
      </c>
      <c r="AA1773" t="s">
        <v>10979</v>
      </c>
      <c r="AB1773" t="s">
        <v>44</v>
      </c>
      <c r="AC1773" s="4"/>
      <c r="AD1773" s="4"/>
      <c r="AE1773" s="2">
        <v>0</v>
      </c>
      <c r="AF1773" s="4">
        <v>0</v>
      </c>
      <c r="AG1773" s="2">
        <v>-0.23</v>
      </c>
      <c r="AH1773" s="2">
        <v>141338285.56</v>
      </c>
      <c r="AI1773" s="2">
        <v>0.32</v>
      </c>
      <c r="AJ1773" s="5">
        <v>44673</v>
      </c>
      <c r="AK1773" t="s">
        <v>12200</v>
      </c>
      <c r="AL1773" s="2">
        <v>0</v>
      </c>
      <c r="AM1773" s="2">
        <v>0</v>
      </c>
      <c r="AN1773" s="2">
        <v>0</v>
      </c>
      <c r="AO1773" t="s">
        <v>11165</v>
      </c>
      <c r="AP1773" t="s">
        <v>44</v>
      </c>
      <c r="AQ1773" t="s">
        <v>44</v>
      </c>
    </row>
    <row r="1774" spans="1:43" x14ac:dyDescent="0.2">
      <c r="A1774" t="s">
        <v>12199</v>
      </c>
      <c r="B1774" t="s">
        <v>11408</v>
      </c>
      <c r="C1774" t="s">
        <v>11408</v>
      </c>
      <c r="D1774" t="s">
        <v>11768</v>
      </c>
      <c r="E1774" t="s">
        <v>11769</v>
      </c>
      <c r="F1774" t="s">
        <v>11770</v>
      </c>
      <c r="G1774" s="1">
        <v>4761.5937999999996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3"/>
      <c r="N1774" s="4">
        <v>0</v>
      </c>
      <c r="O1774" s="5" t="s">
        <v>44</v>
      </c>
      <c r="P1774" s="5">
        <v>44809</v>
      </c>
      <c r="Q1774" s="1">
        <v>0</v>
      </c>
      <c r="R1774" s="2"/>
      <c r="S1774" s="6"/>
      <c r="T1774" t="s">
        <v>11412</v>
      </c>
      <c r="U1774" t="s">
        <v>11413</v>
      </c>
      <c r="V1774" t="s">
        <v>11414</v>
      </c>
      <c r="W1774" t="s">
        <v>43</v>
      </c>
      <c r="X1774" t="s">
        <v>44</v>
      </c>
      <c r="Y1774" t="s">
        <v>44</v>
      </c>
      <c r="Z1774" t="s">
        <v>44</v>
      </c>
      <c r="AA1774" t="s">
        <v>11035</v>
      </c>
      <c r="AB1774" t="s">
        <v>44</v>
      </c>
      <c r="AC1774" s="4"/>
      <c r="AD1774" s="4"/>
      <c r="AE1774" s="2">
        <v>0</v>
      </c>
      <c r="AF1774" s="4">
        <v>0</v>
      </c>
      <c r="AG1774" s="2">
        <v>0</v>
      </c>
      <c r="AH1774" s="2">
        <v>0</v>
      </c>
      <c r="AI1774" s="2">
        <v>0</v>
      </c>
      <c r="AJ1774" s="5">
        <v>44673</v>
      </c>
      <c r="AK1774" t="s">
        <v>12200</v>
      </c>
      <c r="AL1774" s="2">
        <v>0</v>
      </c>
      <c r="AM1774" s="2">
        <v>0</v>
      </c>
      <c r="AN1774" s="2">
        <v>0</v>
      </c>
      <c r="AO1774" t="s">
        <v>11053</v>
      </c>
      <c r="AP1774" t="s">
        <v>44</v>
      </c>
      <c r="AQ1774" t="s">
        <v>44</v>
      </c>
    </row>
    <row r="1775" spans="1:43" x14ac:dyDescent="0.2">
      <c r="A1775" t="s">
        <v>12199</v>
      </c>
      <c r="B1775" t="s">
        <v>11408</v>
      </c>
      <c r="C1775" t="s">
        <v>11408</v>
      </c>
      <c r="D1775" t="s">
        <v>11771</v>
      </c>
      <c r="E1775" t="s">
        <v>11769</v>
      </c>
      <c r="F1775" t="s">
        <v>11772</v>
      </c>
      <c r="G1775" s="1">
        <v>-143934600.47</v>
      </c>
      <c r="H1775" s="2">
        <v>0</v>
      </c>
      <c r="I1775" s="2">
        <v>0</v>
      </c>
      <c r="J1775" s="2">
        <v>-378512.51</v>
      </c>
      <c r="K1775" s="2">
        <v>0</v>
      </c>
      <c r="L1775" s="2">
        <v>-378512.51</v>
      </c>
      <c r="M1775" s="3"/>
      <c r="N1775" s="4">
        <v>-8.6116000000000003E-4</v>
      </c>
      <c r="O1775" s="5" t="s">
        <v>44</v>
      </c>
      <c r="P1775" s="5">
        <v>44809</v>
      </c>
      <c r="Q1775" s="1">
        <v>0</v>
      </c>
      <c r="R1775" s="2"/>
      <c r="S1775" s="6"/>
      <c r="T1775" t="s">
        <v>11412</v>
      </c>
      <c r="U1775" t="s">
        <v>11413</v>
      </c>
      <c r="V1775" t="s">
        <v>11414</v>
      </c>
      <c r="W1775" t="s">
        <v>43</v>
      </c>
      <c r="X1775" t="s">
        <v>44</v>
      </c>
      <c r="Y1775" t="s">
        <v>44</v>
      </c>
      <c r="Z1775" t="s">
        <v>44</v>
      </c>
      <c r="AA1775" t="s">
        <v>11035</v>
      </c>
      <c r="AB1775" t="s">
        <v>44</v>
      </c>
      <c r="AC1775" s="4"/>
      <c r="AD1775" s="4"/>
      <c r="AE1775" s="2">
        <v>0</v>
      </c>
      <c r="AF1775" s="4">
        <v>0</v>
      </c>
      <c r="AG1775" s="2">
        <v>-0.02</v>
      </c>
      <c r="AH1775" s="2">
        <v>-144313112.97999999</v>
      </c>
      <c r="AI1775" s="2">
        <v>-0.33</v>
      </c>
      <c r="AJ1775" s="5">
        <v>44673</v>
      </c>
      <c r="AK1775" t="s">
        <v>12200</v>
      </c>
      <c r="AL1775" s="2">
        <v>0</v>
      </c>
      <c r="AM1775" s="2">
        <v>0</v>
      </c>
      <c r="AN1775" s="2">
        <v>0</v>
      </c>
      <c r="AO1775" t="s">
        <v>11053</v>
      </c>
      <c r="AP1775" t="s">
        <v>44</v>
      </c>
      <c r="AQ1775" t="s">
        <v>44</v>
      </c>
    </row>
    <row r="1776" spans="1:43" x14ac:dyDescent="0.2">
      <c r="A1776" t="s">
        <v>12199</v>
      </c>
      <c r="B1776" t="s">
        <v>11408</v>
      </c>
      <c r="C1776" t="s">
        <v>11408</v>
      </c>
      <c r="D1776" t="s">
        <v>11773</v>
      </c>
      <c r="E1776" t="s">
        <v>11769</v>
      </c>
      <c r="F1776" t="s">
        <v>11774</v>
      </c>
      <c r="G1776" s="1">
        <v>4761.5937999999996</v>
      </c>
      <c r="H1776" s="2">
        <v>0</v>
      </c>
      <c r="I1776" s="2">
        <v>-6408248.1799999997</v>
      </c>
      <c r="J1776" s="2">
        <v>0</v>
      </c>
      <c r="K1776" s="2">
        <v>0</v>
      </c>
      <c r="L1776" s="2">
        <v>-6408248.1799999997</v>
      </c>
      <c r="M1776" s="3">
        <v>28882.42</v>
      </c>
      <c r="N1776" s="4">
        <v>-1.4579450000000001E-2</v>
      </c>
      <c r="O1776" s="5" t="s">
        <v>44</v>
      </c>
      <c r="P1776" s="5">
        <v>44809</v>
      </c>
      <c r="Q1776" s="1">
        <v>0</v>
      </c>
      <c r="R1776" s="2"/>
      <c r="S1776" s="6"/>
      <c r="T1776" t="s">
        <v>11412</v>
      </c>
      <c r="U1776" t="s">
        <v>11413</v>
      </c>
      <c r="V1776" t="s">
        <v>11414</v>
      </c>
      <c r="W1776" t="s">
        <v>43</v>
      </c>
      <c r="X1776" t="s">
        <v>44</v>
      </c>
      <c r="Y1776" t="s">
        <v>44</v>
      </c>
      <c r="Z1776" t="s">
        <v>44</v>
      </c>
      <c r="AA1776" t="s">
        <v>11035</v>
      </c>
      <c r="AB1776" t="s">
        <v>44</v>
      </c>
      <c r="AC1776" s="4"/>
      <c r="AD1776" s="4"/>
      <c r="AE1776" s="2">
        <v>0</v>
      </c>
      <c r="AF1776" s="4">
        <v>0</v>
      </c>
      <c r="AG1776" s="2">
        <v>-0.41</v>
      </c>
      <c r="AH1776" s="2">
        <v>137526352.28999999</v>
      </c>
      <c r="AI1776" s="2">
        <v>0.31</v>
      </c>
      <c r="AJ1776" s="5">
        <v>44673</v>
      </c>
      <c r="AK1776" t="s">
        <v>12200</v>
      </c>
      <c r="AL1776" s="2">
        <v>0</v>
      </c>
      <c r="AM1776" s="2">
        <v>0</v>
      </c>
      <c r="AN1776" s="2">
        <v>0</v>
      </c>
      <c r="AO1776" t="s">
        <v>11053</v>
      </c>
      <c r="AP1776" t="s">
        <v>44</v>
      </c>
      <c r="AQ1776" t="s">
        <v>44</v>
      </c>
    </row>
    <row r="1777" spans="1:43" x14ac:dyDescent="0.2">
      <c r="A1777" t="s">
        <v>12199</v>
      </c>
      <c r="B1777" t="s">
        <v>11030</v>
      </c>
      <c r="C1777" t="s">
        <v>11030</v>
      </c>
      <c r="D1777" t="s">
        <v>11775</v>
      </c>
      <c r="E1777" t="s">
        <v>11754</v>
      </c>
      <c r="F1777" t="s">
        <v>11775</v>
      </c>
      <c r="G1777" s="1">
        <v>1017</v>
      </c>
      <c r="H1777" s="2"/>
      <c r="I1777" s="2">
        <v>0</v>
      </c>
      <c r="J1777" s="2"/>
      <c r="K1777" s="2"/>
      <c r="L1777" s="2">
        <v>0</v>
      </c>
      <c r="M1777" s="3"/>
      <c r="N1777" s="4">
        <v>0</v>
      </c>
      <c r="O1777" s="5" t="s">
        <v>44</v>
      </c>
      <c r="P1777" s="5" t="s">
        <v>44</v>
      </c>
      <c r="Q1777" s="1"/>
      <c r="R1777" s="2"/>
      <c r="S1777" s="6"/>
      <c r="T1777" t="s">
        <v>11031</v>
      </c>
      <c r="U1777" t="s">
        <v>11032</v>
      </c>
      <c r="V1777" t="s">
        <v>45</v>
      </c>
      <c r="W1777" t="s">
        <v>43</v>
      </c>
      <c r="X1777" t="s">
        <v>44</v>
      </c>
      <c r="Y1777" t="s">
        <v>44</v>
      </c>
      <c r="Z1777" t="s">
        <v>44</v>
      </c>
      <c r="AA1777" t="s">
        <v>44</v>
      </c>
      <c r="AB1777" t="s">
        <v>44</v>
      </c>
      <c r="AC1777" s="4"/>
      <c r="AD1777" s="4"/>
      <c r="AE1777" s="2">
        <v>0</v>
      </c>
      <c r="AF1777" s="4">
        <v>0</v>
      </c>
      <c r="AG1777" s="2">
        <v>0</v>
      </c>
      <c r="AH1777" s="2">
        <v>-203522040</v>
      </c>
      <c r="AI1777" s="2">
        <v>-0.46</v>
      </c>
      <c r="AJ1777" s="5">
        <v>44673</v>
      </c>
      <c r="AK1777" t="s">
        <v>12200</v>
      </c>
      <c r="AL1777" s="2">
        <v>0</v>
      </c>
      <c r="AM1777" s="2">
        <v>0</v>
      </c>
      <c r="AN1777" s="2">
        <v>0</v>
      </c>
      <c r="AO1777" t="s">
        <v>44</v>
      </c>
      <c r="AP1777" t="s">
        <v>44</v>
      </c>
      <c r="AQ1777" t="s">
        <v>11182</v>
      </c>
    </row>
    <row r="1778" spans="1:43" x14ac:dyDescent="0.2">
      <c r="A1778" t="s">
        <v>12199</v>
      </c>
      <c r="B1778" t="s">
        <v>11030</v>
      </c>
      <c r="C1778" t="s">
        <v>11030</v>
      </c>
      <c r="D1778" t="s">
        <v>11776</v>
      </c>
      <c r="E1778" t="s">
        <v>11756</v>
      </c>
      <c r="F1778" t="s">
        <v>11776</v>
      </c>
      <c r="G1778" s="1">
        <v>251</v>
      </c>
      <c r="H1778" s="2"/>
      <c r="I1778" s="2">
        <v>0</v>
      </c>
      <c r="J1778" s="2"/>
      <c r="K1778" s="2"/>
      <c r="L1778" s="2">
        <v>0</v>
      </c>
      <c r="M1778" s="3"/>
      <c r="N1778" s="4">
        <v>0</v>
      </c>
      <c r="O1778" s="5" t="s">
        <v>44</v>
      </c>
      <c r="P1778" s="5" t="s">
        <v>44</v>
      </c>
      <c r="Q1778" s="1"/>
      <c r="R1778" s="2"/>
      <c r="S1778" s="6"/>
      <c r="T1778" t="s">
        <v>11031</v>
      </c>
      <c r="U1778" t="s">
        <v>11032</v>
      </c>
      <c r="V1778" t="s">
        <v>45</v>
      </c>
      <c r="W1778" t="s">
        <v>43</v>
      </c>
      <c r="X1778" t="s">
        <v>44</v>
      </c>
      <c r="Y1778" t="s">
        <v>44</v>
      </c>
      <c r="Z1778" t="s">
        <v>44</v>
      </c>
      <c r="AA1778" t="s">
        <v>44</v>
      </c>
      <c r="AB1778" t="s">
        <v>44</v>
      </c>
      <c r="AC1778" s="4"/>
      <c r="AD1778" s="4"/>
      <c r="AE1778" s="2">
        <v>0</v>
      </c>
      <c r="AF1778" s="4">
        <v>0</v>
      </c>
      <c r="AG1778" s="2">
        <v>0</v>
      </c>
      <c r="AH1778" s="2">
        <v>-72958170</v>
      </c>
      <c r="AI1778" s="2">
        <v>-0.17</v>
      </c>
      <c r="AJ1778" s="5">
        <v>44673</v>
      </c>
      <c r="AK1778" t="s">
        <v>12200</v>
      </c>
      <c r="AL1778" s="2">
        <v>0</v>
      </c>
      <c r="AM1778" s="2">
        <v>0</v>
      </c>
      <c r="AN1778" s="2">
        <v>0</v>
      </c>
      <c r="AO1778" t="s">
        <v>44</v>
      </c>
      <c r="AP1778" t="s">
        <v>44</v>
      </c>
      <c r="AQ1778" t="s">
        <v>11182</v>
      </c>
    </row>
    <row r="1779" spans="1:43" x14ac:dyDescent="0.2">
      <c r="A1779" t="s">
        <v>12208</v>
      </c>
      <c r="B1779" t="s">
        <v>10900</v>
      </c>
      <c r="C1779" t="s">
        <v>11049</v>
      </c>
      <c r="D1779" t="s">
        <v>11265</v>
      </c>
      <c r="E1779" t="s">
        <v>11266</v>
      </c>
      <c r="F1779" t="s">
        <v>11265</v>
      </c>
      <c r="G1779" s="1">
        <v>9230000</v>
      </c>
      <c r="H1779" s="2">
        <v>8789352.6600000001</v>
      </c>
      <c r="I1779" s="2">
        <v>8789352.6600000001</v>
      </c>
      <c r="J1779" s="2">
        <v>0</v>
      </c>
      <c r="K1779" s="2">
        <v>0</v>
      </c>
      <c r="L1779" s="2">
        <v>8789352.6600000001</v>
      </c>
      <c r="M1779" s="3">
        <v>6.3099970000000001</v>
      </c>
      <c r="N1779" s="4">
        <v>1.9996719999999999E-2</v>
      </c>
      <c r="O1779" s="5" t="s">
        <v>44</v>
      </c>
      <c r="P1779" s="5">
        <v>44964</v>
      </c>
      <c r="Q1779" s="1">
        <v>0</v>
      </c>
      <c r="R1779" s="2">
        <v>0.79</v>
      </c>
      <c r="S1779" s="6">
        <v>0.75161913127000002</v>
      </c>
      <c r="T1779" t="s">
        <v>112</v>
      </c>
      <c r="U1779" t="s">
        <v>111</v>
      </c>
      <c r="V1779" t="s">
        <v>11238</v>
      </c>
      <c r="W1779" t="s">
        <v>43</v>
      </c>
      <c r="X1779" t="s">
        <v>44</v>
      </c>
      <c r="Y1779" t="s">
        <v>44</v>
      </c>
      <c r="Z1779" t="s">
        <v>44</v>
      </c>
      <c r="AA1779" t="s">
        <v>10979</v>
      </c>
      <c r="AB1779" t="s">
        <v>44</v>
      </c>
      <c r="AC1779" s="4">
        <v>6.4095368800000001</v>
      </c>
      <c r="AD1779" s="4">
        <v>6.2286110399999997</v>
      </c>
      <c r="AE1779" s="2">
        <v>6.41</v>
      </c>
      <c r="AF1779" s="4">
        <v>6.2286110399999997</v>
      </c>
      <c r="AG1779" s="2">
        <v>0.95</v>
      </c>
      <c r="AH1779" s="2">
        <v>8789352.6600000001</v>
      </c>
      <c r="AI1779" s="2">
        <v>0.02</v>
      </c>
      <c r="AJ1779" s="5">
        <v>44673</v>
      </c>
      <c r="AK1779" t="s">
        <v>12209</v>
      </c>
      <c r="AL1779" s="2">
        <v>6.31</v>
      </c>
      <c r="AM1779" s="2">
        <v>0</v>
      </c>
      <c r="AN1779" s="2">
        <v>0.75</v>
      </c>
      <c r="AO1779" t="s">
        <v>10982</v>
      </c>
      <c r="AP1779" t="s">
        <v>11267</v>
      </c>
      <c r="AQ1779" t="s">
        <v>11266</v>
      </c>
    </row>
    <row r="1780" spans="1:43" x14ac:dyDescent="0.2">
      <c r="A1780" t="s">
        <v>12208</v>
      </c>
      <c r="B1780" t="s">
        <v>45</v>
      </c>
      <c r="C1780" t="s">
        <v>11000</v>
      </c>
      <c r="D1780" t="s">
        <v>11268</v>
      </c>
      <c r="E1780" t="s">
        <v>11269</v>
      </c>
      <c r="F1780" t="s">
        <v>11268</v>
      </c>
      <c r="G1780" s="1">
        <v>17324822.350000001</v>
      </c>
      <c r="H1780" s="2">
        <v>17324822.350000001</v>
      </c>
      <c r="I1780" s="2">
        <v>17324822.350000001</v>
      </c>
      <c r="J1780" s="2">
        <v>55654.92</v>
      </c>
      <c r="K1780" s="2">
        <v>0</v>
      </c>
      <c r="L1780" s="2">
        <v>17380477.27</v>
      </c>
      <c r="M1780" s="3">
        <v>4.617</v>
      </c>
      <c r="N1780" s="4">
        <v>3.9542460000000001E-2</v>
      </c>
      <c r="O1780" s="5" t="s">
        <v>44</v>
      </c>
      <c r="P1780" s="5">
        <v>47848</v>
      </c>
      <c r="Q1780" s="1">
        <v>4.617</v>
      </c>
      <c r="R1780" s="2">
        <v>0.08</v>
      </c>
      <c r="S1780" s="6"/>
      <c r="T1780" t="s">
        <v>112</v>
      </c>
      <c r="U1780" t="s">
        <v>46</v>
      </c>
      <c r="V1780" t="s">
        <v>11270</v>
      </c>
      <c r="W1780" t="s">
        <v>43</v>
      </c>
      <c r="X1780" t="s">
        <v>44</v>
      </c>
      <c r="Y1780" t="s">
        <v>44</v>
      </c>
      <c r="Z1780" t="s">
        <v>44</v>
      </c>
      <c r="AA1780" t="s">
        <v>44</v>
      </c>
      <c r="AB1780" t="s">
        <v>44</v>
      </c>
      <c r="AC1780" s="4">
        <v>4.7160921900000004</v>
      </c>
      <c r="AD1780" s="4">
        <v>4.6171215200000004</v>
      </c>
      <c r="AE1780" s="2">
        <v>4.72</v>
      </c>
      <c r="AF1780" s="4">
        <v>4.6171215200000004</v>
      </c>
      <c r="AG1780" s="2">
        <v>1.87</v>
      </c>
      <c r="AH1780" s="2">
        <v>17380477.27</v>
      </c>
      <c r="AI1780" s="2">
        <v>0.04</v>
      </c>
      <c r="AJ1780" s="5">
        <v>44673</v>
      </c>
      <c r="AK1780" t="s">
        <v>12209</v>
      </c>
      <c r="AL1780" s="2">
        <v>4.66</v>
      </c>
      <c r="AM1780" s="2">
        <v>4.62</v>
      </c>
      <c r="AN1780" s="2">
        <v>0</v>
      </c>
      <c r="AO1780" t="s">
        <v>44</v>
      </c>
      <c r="AP1780" t="s">
        <v>44</v>
      </c>
      <c r="AQ1780" t="s">
        <v>11269</v>
      </c>
    </row>
    <row r="1781" spans="1:43" x14ac:dyDescent="0.2">
      <c r="A1781" t="s">
        <v>12208</v>
      </c>
      <c r="B1781" t="s">
        <v>45</v>
      </c>
      <c r="C1781" t="s">
        <v>11000</v>
      </c>
      <c r="D1781" t="s">
        <v>11271</v>
      </c>
      <c r="E1781" t="s">
        <v>11272</v>
      </c>
      <c r="F1781" t="s">
        <v>11271</v>
      </c>
      <c r="G1781" s="1">
        <v>16970000</v>
      </c>
      <c r="H1781" s="2">
        <v>16970000</v>
      </c>
      <c r="I1781" s="2">
        <v>16970000</v>
      </c>
      <c r="J1781" s="2">
        <v>54515.08</v>
      </c>
      <c r="K1781" s="2">
        <v>0</v>
      </c>
      <c r="L1781" s="2">
        <v>17024515.079999998</v>
      </c>
      <c r="M1781" s="3">
        <v>4.617</v>
      </c>
      <c r="N1781" s="4">
        <v>3.8732599999999999E-2</v>
      </c>
      <c r="O1781" s="5" t="s">
        <v>44</v>
      </c>
      <c r="P1781" s="5">
        <v>47848</v>
      </c>
      <c r="Q1781" s="1">
        <v>4.617</v>
      </c>
      <c r="R1781" s="2">
        <v>0.08</v>
      </c>
      <c r="S1781" s="6"/>
      <c r="T1781" t="s">
        <v>112</v>
      </c>
      <c r="U1781" t="s">
        <v>46</v>
      </c>
      <c r="V1781" t="s">
        <v>11270</v>
      </c>
      <c r="W1781" t="s">
        <v>43</v>
      </c>
      <c r="X1781" t="s">
        <v>44</v>
      </c>
      <c r="Y1781" t="s">
        <v>44</v>
      </c>
      <c r="Z1781" t="s">
        <v>44</v>
      </c>
      <c r="AA1781" t="s">
        <v>44</v>
      </c>
      <c r="AB1781" t="s">
        <v>44</v>
      </c>
      <c r="AC1781" s="4">
        <v>4.7160921900000004</v>
      </c>
      <c r="AD1781" s="4">
        <v>4.6171215200000004</v>
      </c>
      <c r="AE1781" s="2">
        <v>4.72</v>
      </c>
      <c r="AF1781" s="4">
        <v>4.6171215200000004</v>
      </c>
      <c r="AG1781" s="2">
        <v>1.83</v>
      </c>
      <c r="AH1781" s="2">
        <v>17024515.079999998</v>
      </c>
      <c r="AI1781" s="2">
        <v>0.04</v>
      </c>
      <c r="AJ1781" s="5">
        <v>44673</v>
      </c>
      <c r="AK1781" t="s">
        <v>12209</v>
      </c>
      <c r="AL1781" s="2">
        <v>4.66</v>
      </c>
      <c r="AM1781" s="2">
        <v>4.62</v>
      </c>
      <c r="AN1781" s="2">
        <v>0</v>
      </c>
      <c r="AO1781" t="s">
        <v>44</v>
      </c>
      <c r="AP1781" t="s">
        <v>44</v>
      </c>
      <c r="AQ1781" t="s">
        <v>11272</v>
      </c>
    </row>
    <row r="1782" spans="1:43" x14ac:dyDescent="0.2">
      <c r="A1782" t="s">
        <v>12208</v>
      </c>
      <c r="B1782" t="s">
        <v>45</v>
      </c>
      <c r="C1782" t="s">
        <v>11000</v>
      </c>
      <c r="D1782" t="s">
        <v>11001</v>
      </c>
      <c r="E1782" t="s">
        <v>11002</v>
      </c>
      <c r="F1782" t="s">
        <v>11001</v>
      </c>
      <c r="G1782" s="1">
        <v>107385353.63</v>
      </c>
      <c r="H1782" s="2">
        <v>107385353.68000001</v>
      </c>
      <c r="I1782" s="2">
        <v>107385353.68000001</v>
      </c>
      <c r="J1782" s="2">
        <v>303955.58</v>
      </c>
      <c r="K1782" s="2">
        <v>0</v>
      </c>
      <c r="L1782" s="2">
        <v>107689309.26000001</v>
      </c>
      <c r="M1782" s="3"/>
      <c r="N1782" s="4">
        <v>0.24500477000000001</v>
      </c>
      <c r="O1782" s="5">
        <v>40756</v>
      </c>
      <c r="P1782" s="5">
        <v>73020</v>
      </c>
      <c r="Q1782" s="1">
        <v>0</v>
      </c>
      <c r="R1782" s="2"/>
      <c r="S1782" s="6"/>
      <c r="T1782" t="s">
        <v>111</v>
      </c>
      <c r="U1782" t="s">
        <v>11003</v>
      </c>
      <c r="V1782" t="s">
        <v>46</v>
      </c>
      <c r="W1782" t="s">
        <v>43</v>
      </c>
      <c r="X1782" t="s">
        <v>44</v>
      </c>
      <c r="Y1782" t="s">
        <v>44</v>
      </c>
      <c r="Z1782" t="s">
        <v>44</v>
      </c>
      <c r="AA1782" t="s">
        <v>44</v>
      </c>
      <c r="AB1782" t="s">
        <v>44</v>
      </c>
      <c r="AC1782" s="4"/>
      <c r="AD1782" s="4"/>
      <c r="AE1782" s="2">
        <v>0</v>
      </c>
      <c r="AF1782" s="4">
        <v>0</v>
      </c>
      <c r="AG1782" s="2">
        <v>11.59</v>
      </c>
      <c r="AH1782" s="2">
        <v>107689309.26000001</v>
      </c>
      <c r="AI1782" s="2">
        <v>0.25</v>
      </c>
      <c r="AJ1782" s="5">
        <v>44673</v>
      </c>
      <c r="AK1782" t="s">
        <v>12209</v>
      </c>
      <c r="AL1782" s="2">
        <v>0</v>
      </c>
      <c r="AM1782" s="2">
        <v>0</v>
      </c>
      <c r="AN1782" s="2">
        <v>0</v>
      </c>
      <c r="AO1782" t="s">
        <v>44</v>
      </c>
      <c r="AP1782" t="s">
        <v>11004</v>
      </c>
      <c r="AQ1782" t="s">
        <v>11002</v>
      </c>
    </row>
    <row r="1783" spans="1:43" x14ac:dyDescent="0.2">
      <c r="A1783" t="s">
        <v>12208</v>
      </c>
      <c r="B1783" t="s">
        <v>45</v>
      </c>
      <c r="C1783" t="s">
        <v>11144</v>
      </c>
      <c r="D1783" t="s">
        <v>11145</v>
      </c>
      <c r="E1783" t="s">
        <v>11146</v>
      </c>
      <c r="F1783" t="s">
        <v>11147</v>
      </c>
      <c r="G1783" s="1">
        <v>9314320</v>
      </c>
      <c r="H1783" s="2">
        <v>9314320</v>
      </c>
      <c r="I1783" s="2">
        <v>9314320</v>
      </c>
      <c r="J1783" s="2">
        <v>27802.41</v>
      </c>
      <c r="K1783" s="2">
        <v>0</v>
      </c>
      <c r="L1783" s="2">
        <v>9342122.4100000001</v>
      </c>
      <c r="M1783" s="3">
        <v>6.88</v>
      </c>
      <c r="N1783" s="4">
        <v>2.1254329999999998E-2</v>
      </c>
      <c r="O1783" s="5" t="s">
        <v>44</v>
      </c>
      <c r="P1783" s="5">
        <v>55153</v>
      </c>
      <c r="Q1783" s="1">
        <v>6.88</v>
      </c>
      <c r="R1783" s="2">
        <v>0.08</v>
      </c>
      <c r="S1783" s="6">
        <v>2.6006750000000002E-3</v>
      </c>
      <c r="T1783" t="s">
        <v>112</v>
      </c>
      <c r="U1783" t="s">
        <v>46</v>
      </c>
      <c r="V1783" t="s">
        <v>11148</v>
      </c>
      <c r="W1783" t="s">
        <v>43</v>
      </c>
      <c r="X1783" t="s">
        <v>44</v>
      </c>
      <c r="Y1783" t="s">
        <v>44</v>
      </c>
      <c r="Z1783" t="s">
        <v>44</v>
      </c>
      <c r="AA1783" t="s">
        <v>44</v>
      </c>
      <c r="AB1783" t="s">
        <v>44</v>
      </c>
      <c r="AC1783" s="4"/>
      <c r="AD1783" s="4"/>
      <c r="AE1783" s="2">
        <v>0</v>
      </c>
      <c r="AF1783" s="4">
        <v>0</v>
      </c>
      <c r="AG1783" s="2">
        <v>1.01</v>
      </c>
      <c r="AH1783" s="2">
        <v>9342122.4100000001</v>
      </c>
      <c r="AI1783" s="2">
        <v>0.02</v>
      </c>
      <c r="AJ1783" s="5">
        <v>44673</v>
      </c>
      <c r="AK1783" t="s">
        <v>12209</v>
      </c>
      <c r="AL1783" s="2">
        <v>0</v>
      </c>
      <c r="AM1783" s="2">
        <v>6.88</v>
      </c>
      <c r="AN1783" s="2">
        <v>0</v>
      </c>
      <c r="AO1783" t="s">
        <v>11146</v>
      </c>
      <c r="AP1783" t="s">
        <v>44</v>
      </c>
      <c r="AQ1783" t="s">
        <v>11146</v>
      </c>
    </row>
    <row r="1784" spans="1:43" x14ac:dyDescent="0.2">
      <c r="A1784" t="s">
        <v>12208</v>
      </c>
      <c r="B1784" t="s">
        <v>45</v>
      </c>
      <c r="C1784" t="s">
        <v>47</v>
      </c>
      <c r="D1784" t="s">
        <v>48</v>
      </c>
      <c r="E1784" t="s">
        <v>49</v>
      </c>
      <c r="F1784" t="s">
        <v>50</v>
      </c>
      <c r="G1784" s="1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-1511.09</v>
      </c>
      <c r="M1784" s="3"/>
      <c r="N1784" s="4">
        <v>-3.4400000000000001E-6</v>
      </c>
      <c r="O1784" s="5" t="s">
        <v>44</v>
      </c>
      <c r="P1784" s="5" t="s">
        <v>44</v>
      </c>
      <c r="Q1784" s="1"/>
      <c r="R1784" s="2">
        <v>0.08</v>
      </c>
      <c r="S1784" s="6"/>
      <c r="T1784" t="s">
        <v>45</v>
      </c>
      <c r="U1784" t="s">
        <v>46</v>
      </c>
      <c r="V1784" t="s">
        <v>44</v>
      </c>
      <c r="W1784" t="s">
        <v>43</v>
      </c>
      <c r="X1784" t="s">
        <v>44</v>
      </c>
      <c r="Y1784" t="s">
        <v>44</v>
      </c>
      <c r="Z1784" t="s">
        <v>44</v>
      </c>
      <c r="AA1784" t="s">
        <v>44</v>
      </c>
      <c r="AB1784" t="s">
        <v>44</v>
      </c>
      <c r="AC1784" s="4">
        <v>5.1163389600000002</v>
      </c>
      <c r="AD1784" s="4">
        <v>5.0001424999999999</v>
      </c>
      <c r="AE1784" s="2">
        <v>5.12</v>
      </c>
      <c r="AF1784" s="4">
        <v>5.0001424999999999</v>
      </c>
      <c r="AG1784" s="2">
        <v>0</v>
      </c>
      <c r="AH1784" s="2">
        <v>-1511.09</v>
      </c>
      <c r="AI1784" s="2">
        <v>0</v>
      </c>
      <c r="AJ1784" s="5">
        <v>44673</v>
      </c>
      <c r="AK1784" t="s">
        <v>12209</v>
      </c>
      <c r="AL1784" s="2">
        <v>5.05</v>
      </c>
      <c r="AM1784" s="2">
        <v>0</v>
      </c>
      <c r="AN1784" s="2">
        <v>0</v>
      </c>
      <c r="AO1784" t="s">
        <v>44</v>
      </c>
      <c r="AP1784" t="s">
        <v>44</v>
      </c>
      <c r="AQ1784" t="s">
        <v>44</v>
      </c>
    </row>
    <row r="1785" spans="1:43" x14ac:dyDescent="0.2">
      <c r="A1785" t="s">
        <v>12208</v>
      </c>
      <c r="B1785" t="s">
        <v>45</v>
      </c>
      <c r="C1785" t="s">
        <v>47</v>
      </c>
      <c r="D1785" t="s">
        <v>51</v>
      </c>
      <c r="E1785" t="s">
        <v>52</v>
      </c>
      <c r="F1785" t="s">
        <v>51</v>
      </c>
      <c r="G1785" s="1">
        <v>1032869.94</v>
      </c>
      <c r="H1785" s="2">
        <v>1032869.94</v>
      </c>
      <c r="I1785" s="2">
        <v>1032869.94</v>
      </c>
      <c r="J1785" s="2">
        <v>0</v>
      </c>
      <c r="K1785" s="2">
        <v>0</v>
      </c>
      <c r="L1785" s="2">
        <v>1032869.94</v>
      </c>
      <c r="M1785" s="3"/>
      <c r="N1785" s="4">
        <v>2.3498899999999999E-3</v>
      </c>
      <c r="O1785" s="5" t="s">
        <v>44</v>
      </c>
      <c r="P1785" s="5" t="s">
        <v>44</v>
      </c>
      <c r="Q1785" s="1"/>
      <c r="R1785" s="2">
        <v>0.08</v>
      </c>
      <c r="S1785" s="6"/>
      <c r="T1785" t="s">
        <v>45</v>
      </c>
      <c r="U1785" t="s">
        <v>53</v>
      </c>
      <c r="V1785" t="s">
        <v>44</v>
      </c>
      <c r="W1785" t="s">
        <v>43</v>
      </c>
      <c r="X1785" t="s">
        <v>44</v>
      </c>
      <c r="Y1785" t="s">
        <v>44</v>
      </c>
      <c r="Z1785" t="s">
        <v>44</v>
      </c>
      <c r="AA1785" t="s">
        <v>44</v>
      </c>
      <c r="AB1785" t="s">
        <v>44</v>
      </c>
      <c r="AC1785" s="4">
        <v>5.1163389600000002</v>
      </c>
      <c r="AD1785" s="4">
        <v>5.0001424999999999</v>
      </c>
      <c r="AE1785" s="2">
        <v>5.12</v>
      </c>
      <c r="AF1785" s="4">
        <v>5.0001424999999999</v>
      </c>
      <c r="AG1785" s="2">
        <v>0.11</v>
      </c>
      <c r="AH1785" s="2">
        <v>1032869.94</v>
      </c>
      <c r="AI1785" s="2">
        <v>0</v>
      </c>
      <c r="AJ1785" s="5">
        <v>44673</v>
      </c>
      <c r="AK1785" t="s">
        <v>12209</v>
      </c>
      <c r="AL1785" s="2">
        <v>5.05</v>
      </c>
      <c r="AM1785" s="2">
        <v>0</v>
      </c>
      <c r="AN1785" s="2">
        <v>0</v>
      </c>
      <c r="AO1785" t="s">
        <v>44</v>
      </c>
      <c r="AP1785" t="s">
        <v>44</v>
      </c>
      <c r="AQ1785" t="s">
        <v>43</v>
      </c>
    </row>
    <row r="1786" spans="1:43" x14ac:dyDescent="0.2">
      <c r="A1786" t="s">
        <v>12208</v>
      </c>
      <c r="B1786" t="s">
        <v>45</v>
      </c>
      <c r="C1786" t="s">
        <v>11005</v>
      </c>
      <c r="D1786" t="s">
        <v>11006</v>
      </c>
      <c r="E1786" t="s">
        <v>11007</v>
      </c>
      <c r="F1786" t="s">
        <v>11006</v>
      </c>
      <c r="G1786" s="1">
        <v>-75566.38</v>
      </c>
      <c r="H1786" s="2">
        <v>-75566.38</v>
      </c>
      <c r="I1786" s="2">
        <v>-75566.38</v>
      </c>
      <c r="J1786" s="2">
        <v>0</v>
      </c>
      <c r="K1786" s="2"/>
      <c r="L1786" s="2">
        <v>-75566.38</v>
      </c>
      <c r="M1786" s="3"/>
      <c r="N1786" s="4">
        <v>-1.7191999999999999E-4</v>
      </c>
      <c r="O1786" s="5" t="s">
        <v>44</v>
      </c>
      <c r="P1786" s="5">
        <v>73051</v>
      </c>
      <c r="Q1786" s="1">
        <v>0</v>
      </c>
      <c r="R1786" s="2">
        <v>0.08</v>
      </c>
      <c r="S1786" s="6"/>
      <c r="T1786" t="s">
        <v>45</v>
      </c>
      <c r="U1786" t="s">
        <v>11008</v>
      </c>
      <c r="V1786" t="s">
        <v>44</v>
      </c>
      <c r="W1786" t="s">
        <v>43</v>
      </c>
      <c r="X1786" t="s">
        <v>44</v>
      </c>
      <c r="Y1786" t="s">
        <v>44</v>
      </c>
      <c r="Z1786" t="s">
        <v>44</v>
      </c>
      <c r="AA1786" t="s">
        <v>44</v>
      </c>
      <c r="AB1786" t="s">
        <v>44</v>
      </c>
      <c r="AC1786" s="4">
        <v>5.1163389600000002</v>
      </c>
      <c r="AD1786" s="4">
        <v>5.0001424999999999</v>
      </c>
      <c r="AE1786" s="2">
        <v>5.12</v>
      </c>
      <c r="AF1786" s="4">
        <v>5.0001424999999999</v>
      </c>
      <c r="AG1786" s="2">
        <v>-0.01</v>
      </c>
      <c r="AH1786" s="2">
        <v>-75566.38</v>
      </c>
      <c r="AI1786" s="2">
        <v>0</v>
      </c>
      <c r="AJ1786" s="5">
        <v>44673</v>
      </c>
      <c r="AK1786" t="s">
        <v>12209</v>
      </c>
      <c r="AL1786" s="2">
        <v>5.05</v>
      </c>
      <c r="AM1786" s="2">
        <v>0</v>
      </c>
      <c r="AN1786" s="2">
        <v>0</v>
      </c>
      <c r="AO1786" t="s">
        <v>44</v>
      </c>
      <c r="AP1786" t="s">
        <v>44</v>
      </c>
      <c r="AQ1786" t="s">
        <v>44</v>
      </c>
    </row>
    <row r="1787" spans="1:43" x14ac:dyDescent="0.2">
      <c r="A1787" t="s">
        <v>12208</v>
      </c>
      <c r="B1787" t="s">
        <v>45</v>
      </c>
      <c r="C1787" t="s">
        <v>11005</v>
      </c>
      <c r="D1787" t="s">
        <v>11009</v>
      </c>
      <c r="E1787" t="s">
        <v>11010</v>
      </c>
      <c r="F1787" t="s">
        <v>44</v>
      </c>
      <c r="G1787" s="1">
        <v>-87978</v>
      </c>
      <c r="H1787" s="2">
        <v>-87978</v>
      </c>
      <c r="I1787" s="2">
        <v>-87978</v>
      </c>
      <c r="J1787" s="2">
        <v>0</v>
      </c>
      <c r="K1787" s="2"/>
      <c r="L1787" s="2">
        <v>-87978</v>
      </c>
      <c r="M1787" s="3"/>
      <c r="N1787" s="4">
        <v>-2.0016000000000001E-4</v>
      </c>
      <c r="O1787" s="5" t="s">
        <v>44</v>
      </c>
      <c r="P1787" s="5">
        <v>73051</v>
      </c>
      <c r="Q1787" s="1">
        <v>0</v>
      </c>
      <c r="R1787" s="2">
        <v>0.08</v>
      </c>
      <c r="S1787" s="6"/>
      <c r="T1787" t="s">
        <v>45</v>
      </c>
      <c r="U1787" t="s">
        <v>44</v>
      </c>
      <c r="V1787" t="s">
        <v>44</v>
      </c>
      <c r="W1787" t="s">
        <v>43</v>
      </c>
      <c r="X1787" t="s">
        <v>44</v>
      </c>
      <c r="Y1787" t="s">
        <v>44</v>
      </c>
      <c r="Z1787" t="s">
        <v>44</v>
      </c>
      <c r="AA1787" t="s">
        <v>44</v>
      </c>
      <c r="AB1787" t="s">
        <v>44</v>
      </c>
      <c r="AC1787" s="4">
        <v>5.1163389600000002</v>
      </c>
      <c r="AD1787" s="4">
        <v>5.0001424999999999</v>
      </c>
      <c r="AE1787" s="2">
        <v>5.12</v>
      </c>
      <c r="AF1787" s="4">
        <v>5.0001424999999999</v>
      </c>
      <c r="AG1787" s="2">
        <v>-0.01</v>
      </c>
      <c r="AH1787" s="2">
        <v>-87978</v>
      </c>
      <c r="AI1787" s="2">
        <v>0</v>
      </c>
      <c r="AJ1787" s="5">
        <v>44673</v>
      </c>
      <c r="AK1787" t="s">
        <v>12209</v>
      </c>
      <c r="AL1787" s="2">
        <v>5.05</v>
      </c>
      <c r="AM1787" s="2">
        <v>0</v>
      </c>
      <c r="AN1787" s="2">
        <v>0</v>
      </c>
      <c r="AO1787" t="s">
        <v>44</v>
      </c>
      <c r="AP1787" t="s">
        <v>44</v>
      </c>
      <c r="AQ1787" t="s">
        <v>44</v>
      </c>
    </row>
    <row r="1788" spans="1:43" x14ac:dyDescent="0.2">
      <c r="A1788" t="s">
        <v>12208</v>
      </c>
      <c r="B1788" t="s">
        <v>45</v>
      </c>
      <c r="C1788" t="s">
        <v>11005</v>
      </c>
      <c r="D1788" t="s">
        <v>11011</v>
      </c>
      <c r="E1788" t="s">
        <v>11012</v>
      </c>
      <c r="F1788" t="s">
        <v>44</v>
      </c>
      <c r="G1788" s="1">
        <v>-25403.73</v>
      </c>
      <c r="H1788" s="2">
        <v>-25403.73</v>
      </c>
      <c r="I1788" s="2">
        <v>-25403.73</v>
      </c>
      <c r="J1788" s="2">
        <v>0</v>
      </c>
      <c r="K1788" s="2"/>
      <c r="L1788" s="2">
        <v>-25403.73</v>
      </c>
      <c r="M1788" s="3"/>
      <c r="N1788" s="4">
        <v>-5.7800000000000002E-5</v>
      </c>
      <c r="O1788" s="5" t="s">
        <v>44</v>
      </c>
      <c r="P1788" s="5">
        <v>73051</v>
      </c>
      <c r="Q1788" s="1">
        <v>0</v>
      </c>
      <c r="R1788" s="2">
        <v>0.08</v>
      </c>
      <c r="S1788" s="6"/>
      <c r="T1788" t="s">
        <v>45</v>
      </c>
      <c r="U1788" t="s">
        <v>44</v>
      </c>
      <c r="V1788" t="s">
        <v>44</v>
      </c>
      <c r="W1788" t="s">
        <v>43</v>
      </c>
      <c r="X1788" t="s">
        <v>44</v>
      </c>
      <c r="Y1788" t="s">
        <v>44</v>
      </c>
      <c r="Z1788" t="s">
        <v>44</v>
      </c>
      <c r="AA1788" t="s">
        <v>44</v>
      </c>
      <c r="AB1788" t="s">
        <v>44</v>
      </c>
      <c r="AC1788" s="4">
        <v>5.1163389600000002</v>
      </c>
      <c r="AD1788" s="4">
        <v>5.0001424999999999</v>
      </c>
      <c r="AE1788" s="2">
        <v>5.12</v>
      </c>
      <c r="AF1788" s="4">
        <v>5.0001424999999999</v>
      </c>
      <c r="AG1788" s="2">
        <v>0</v>
      </c>
      <c r="AH1788" s="2">
        <v>-25403.73</v>
      </c>
      <c r="AI1788" s="2">
        <v>0</v>
      </c>
      <c r="AJ1788" s="5">
        <v>44673</v>
      </c>
      <c r="AK1788" t="s">
        <v>12209</v>
      </c>
      <c r="AL1788" s="2">
        <v>5.05</v>
      </c>
      <c r="AM1788" s="2">
        <v>0</v>
      </c>
      <c r="AN1788" s="2">
        <v>0</v>
      </c>
      <c r="AO1788" t="s">
        <v>44</v>
      </c>
      <c r="AP1788" t="s">
        <v>44</v>
      </c>
      <c r="AQ1788" t="s">
        <v>44</v>
      </c>
    </row>
    <row r="1789" spans="1:43" x14ac:dyDescent="0.2">
      <c r="A1789" t="s">
        <v>12208</v>
      </c>
      <c r="B1789" t="s">
        <v>45</v>
      </c>
      <c r="C1789" t="s">
        <v>11005</v>
      </c>
      <c r="D1789" t="s">
        <v>11149</v>
      </c>
      <c r="E1789" t="s">
        <v>11150</v>
      </c>
      <c r="F1789" t="s">
        <v>44</v>
      </c>
      <c r="G1789" s="1">
        <v>-939508.57</v>
      </c>
      <c r="H1789" s="2">
        <v>-939508.57</v>
      </c>
      <c r="I1789" s="2">
        <v>-939508.57</v>
      </c>
      <c r="J1789" s="2">
        <v>0</v>
      </c>
      <c r="K1789" s="2"/>
      <c r="L1789" s="2">
        <v>-939508.57</v>
      </c>
      <c r="M1789" s="3"/>
      <c r="N1789" s="4">
        <v>-2.1374800000000002E-3</v>
      </c>
      <c r="O1789" s="5" t="s">
        <v>44</v>
      </c>
      <c r="P1789" s="5">
        <v>73051</v>
      </c>
      <c r="Q1789" s="1">
        <v>0</v>
      </c>
      <c r="R1789" s="2">
        <v>0.08</v>
      </c>
      <c r="S1789" s="6"/>
      <c r="T1789" t="s">
        <v>45</v>
      </c>
      <c r="U1789" t="s">
        <v>44</v>
      </c>
      <c r="V1789" t="s">
        <v>44</v>
      </c>
      <c r="W1789" t="s">
        <v>43</v>
      </c>
      <c r="X1789" t="s">
        <v>44</v>
      </c>
      <c r="Y1789" t="s">
        <v>44</v>
      </c>
      <c r="Z1789" t="s">
        <v>44</v>
      </c>
      <c r="AA1789" t="s">
        <v>44</v>
      </c>
      <c r="AB1789" t="s">
        <v>44</v>
      </c>
      <c r="AC1789" s="4">
        <v>5.1163389600000002</v>
      </c>
      <c r="AD1789" s="4">
        <v>5.0001424999999999</v>
      </c>
      <c r="AE1789" s="2">
        <v>5.12</v>
      </c>
      <c r="AF1789" s="4">
        <v>5.0001424999999999</v>
      </c>
      <c r="AG1789" s="2">
        <v>-0.1</v>
      </c>
      <c r="AH1789" s="2">
        <v>-939508.57</v>
      </c>
      <c r="AI1789" s="2">
        <v>0</v>
      </c>
      <c r="AJ1789" s="5">
        <v>44673</v>
      </c>
      <c r="AK1789" t="s">
        <v>12209</v>
      </c>
      <c r="AL1789" s="2">
        <v>5.05</v>
      </c>
      <c r="AM1789" s="2">
        <v>0</v>
      </c>
      <c r="AN1789" s="2">
        <v>0</v>
      </c>
      <c r="AO1789" t="s">
        <v>44</v>
      </c>
      <c r="AP1789" t="s">
        <v>44</v>
      </c>
      <c r="AQ1789" t="s">
        <v>44</v>
      </c>
    </row>
    <row r="1790" spans="1:43" x14ac:dyDescent="0.2">
      <c r="A1790" t="s">
        <v>12208</v>
      </c>
      <c r="B1790" t="s">
        <v>11024</v>
      </c>
      <c r="C1790" t="s">
        <v>57</v>
      </c>
      <c r="D1790" t="s">
        <v>12210</v>
      </c>
      <c r="E1790" t="s">
        <v>12210</v>
      </c>
      <c r="F1790" t="s">
        <v>12210</v>
      </c>
      <c r="G1790" s="1">
        <v>692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3">
        <v>12631</v>
      </c>
      <c r="N1790" s="4">
        <v>0</v>
      </c>
      <c r="O1790" s="5" t="s">
        <v>44</v>
      </c>
      <c r="P1790" s="5">
        <v>44727</v>
      </c>
      <c r="Q1790" s="1"/>
      <c r="R1790" s="2"/>
      <c r="S1790" s="6"/>
      <c r="T1790" t="s">
        <v>11026</v>
      </c>
      <c r="U1790" t="s">
        <v>11025</v>
      </c>
      <c r="V1790" t="s">
        <v>11027</v>
      </c>
      <c r="W1790" t="s">
        <v>43</v>
      </c>
      <c r="X1790" t="s">
        <v>44</v>
      </c>
      <c r="Y1790" t="s">
        <v>44</v>
      </c>
      <c r="Z1790" t="s">
        <v>44</v>
      </c>
      <c r="AA1790" t="s">
        <v>44</v>
      </c>
      <c r="AB1790" t="s">
        <v>44</v>
      </c>
      <c r="AC1790" s="4"/>
      <c r="AD1790" s="4"/>
      <c r="AE1790" s="2">
        <v>0</v>
      </c>
      <c r="AF1790" s="4">
        <v>0</v>
      </c>
      <c r="AG1790" s="2">
        <v>0</v>
      </c>
      <c r="AH1790" s="2">
        <v>87406520</v>
      </c>
      <c r="AI1790" s="2">
        <v>0.2</v>
      </c>
      <c r="AJ1790" s="5">
        <v>44673</v>
      </c>
      <c r="AK1790" t="s">
        <v>12209</v>
      </c>
      <c r="AL1790" s="2">
        <v>0</v>
      </c>
      <c r="AM1790" s="2">
        <v>0</v>
      </c>
      <c r="AN1790" s="2">
        <v>0</v>
      </c>
      <c r="AO1790" t="s">
        <v>44</v>
      </c>
      <c r="AP1790" t="s">
        <v>12211</v>
      </c>
      <c r="AQ1790" t="s">
        <v>12210</v>
      </c>
    </row>
    <row r="1791" spans="1:43" x14ac:dyDescent="0.2">
      <c r="A1791" t="s">
        <v>12208</v>
      </c>
      <c r="B1791" t="s">
        <v>11037</v>
      </c>
      <c r="C1791" t="s">
        <v>11276</v>
      </c>
      <c r="D1791" t="s">
        <v>6473</v>
      </c>
      <c r="E1791" t="s">
        <v>4464</v>
      </c>
      <c r="F1791" t="s">
        <v>6473</v>
      </c>
      <c r="G1791" s="1">
        <v>16623</v>
      </c>
      <c r="H1791" s="2">
        <v>1587565.49</v>
      </c>
      <c r="I1791" s="2">
        <v>1662300</v>
      </c>
      <c r="J1791" s="2">
        <v>0</v>
      </c>
      <c r="K1791" s="2">
        <v>0</v>
      </c>
      <c r="L1791" s="2">
        <v>1662300</v>
      </c>
      <c r="M1791" s="3">
        <v>10000</v>
      </c>
      <c r="N1791" s="4">
        <v>3.7819099999999999E-3</v>
      </c>
      <c r="O1791" s="5" t="s">
        <v>44</v>
      </c>
      <c r="P1791" s="5" t="s">
        <v>44</v>
      </c>
      <c r="Q1791" s="1"/>
      <c r="R1791" s="2"/>
      <c r="S1791" s="6"/>
      <c r="T1791" t="s">
        <v>10902</v>
      </c>
      <c r="U1791" t="s">
        <v>10902</v>
      </c>
      <c r="V1791" t="s">
        <v>10902</v>
      </c>
      <c r="W1791" t="s">
        <v>43</v>
      </c>
      <c r="X1791" t="s">
        <v>11277</v>
      </c>
      <c r="Y1791" t="s">
        <v>11277</v>
      </c>
      <c r="Z1791" t="s">
        <v>11276</v>
      </c>
      <c r="AA1791" t="s">
        <v>44</v>
      </c>
      <c r="AB1791" t="s">
        <v>44</v>
      </c>
      <c r="AC1791" s="4"/>
      <c r="AD1791" s="4"/>
      <c r="AE1791" s="2">
        <v>0</v>
      </c>
      <c r="AF1791" s="4">
        <v>0</v>
      </c>
      <c r="AG1791" s="2">
        <v>0.18</v>
      </c>
      <c r="AH1791" s="2">
        <v>1662300</v>
      </c>
      <c r="AI1791" s="2">
        <v>0</v>
      </c>
      <c r="AJ1791" s="5">
        <v>44673</v>
      </c>
      <c r="AK1791" t="s">
        <v>12209</v>
      </c>
      <c r="AL1791" s="2">
        <v>0</v>
      </c>
      <c r="AM1791" s="2">
        <v>0</v>
      </c>
      <c r="AN1791" s="2">
        <v>0</v>
      </c>
      <c r="AO1791" t="s">
        <v>44</v>
      </c>
      <c r="AP1791" t="s">
        <v>11278</v>
      </c>
      <c r="AQ1791" t="s">
        <v>4464</v>
      </c>
    </row>
    <row r="1792" spans="1:43" x14ac:dyDescent="0.2">
      <c r="A1792" t="s">
        <v>12208</v>
      </c>
      <c r="B1792" t="s">
        <v>11037</v>
      </c>
      <c r="C1792" t="s">
        <v>11276</v>
      </c>
      <c r="D1792" t="s">
        <v>6316</v>
      </c>
      <c r="E1792" t="s">
        <v>4585</v>
      </c>
      <c r="F1792" t="s">
        <v>6316</v>
      </c>
      <c r="G1792" s="1">
        <v>16777</v>
      </c>
      <c r="H1792" s="2">
        <v>1734003.31</v>
      </c>
      <c r="I1792" s="2">
        <v>4068758.04</v>
      </c>
      <c r="J1792" s="2">
        <v>0</v>
      </c>
      <c r="K1792" s="2">
        <v>0</v>
      </c>
      <c r="L1792" s="2">
        <v>4068758.04</v>
      </c>
      <c r="M1792" s="3">
        <v>24252</v>
      </c>
      <c r="N1792" s="4">
        <v>9.2568600000000004E-3</v>
      </c>
      <c r="O1792" s="5" t="s">
        <v>44</v>
      </c>
      <c r="P1792" s="5" t="s">
        <v>44</v>
      </c>
      <c r="Q1792" s="1"/>
      <c r="R1792" s="2"/>
      <c r="S1792" s="6"/>
      <c r="T1792" t="s">
        <v>10902</v>
      </c>
      <c r="U1792" t="s">
        <v>10902</v>
      </c>
      <c r="V1792" t="s">
        <v>10902</v>
      </c>
      <c r="W1792" t="s">
        <v>43</v>
      </c>
      <c r="X1792" t="s">
        <v>11279</v>
      </c>
      <c r="Y1792" t="s">
        <v>11280</v>
      </c>
      <c r="Z1792" t="s">
        <v>11276</v>
      </c>
      <c r="AA1792" t="s">
        <v>44</v>
      </c>
      <c r="AB1792" t="s">
        <v>44</v>
      </c>
      <c r="AC1792" s="4"/>
      <c r="AD1792" s="4"/>
      <c r="AE1792" s="2">
        <v>0</v>
      </c>
      <c r="AF1792" s="4">
        <v>0</v>
      </c>
      <c r="AG1792" s="2">
        <v>0.44</v>
      </c>
      <c r="AH1792" s="2">
        <v>4068758.04</v>
      </c>
      <c r="AI1792" s="2">
        <v>0.01</v>
      </c>
      <c r="AJ1792" s="5">
        <v>44673</v>
      </c>
      <c r="AK1792" t="s">
        <v>12209</v>
      </c>
      <c r="AL1792" s="2">
        <v>0</v>
      </c>
      <c r="AM1792" s="2">
        <v>0</v>
      </c>
      <c r="AN1792" s="2">
        <v>0</v>
      </c>
      <c r="AO1792" t="s">
        <v>44</v>
      </c>
      <c r="AP1792" t="s">
        <v>11281</v>
      </c>
      <c r="AQ1792" t="s">
        <v>4585</v>
      </c>
    </row>
    <row r="1793" spans="1:43" x14ac:dyDescent="0.2">
      <c r="A1793" t="s">
        <v>12208</v>
      </c>
      <c r="B1793" t="s">
        <v>11037</v>
      </c>
      <c r="C1793" t="s">
        <v>11276</v>
      </c>
      <c r="D1793" t="s">
        <v>11661</v>
      </c>
      <c r="E1793" t="s">
        <v>4578</v>
      </c>
      <c r="F1793" t="s">
        <v>11661</v>
      </c>
      <c r="G1793" s="1">
        <v>0</v>
      </c>
      <c r="H1793" s="2">
        <v>0</v>
      </c>
      <c r="I1793" s="2">
        <v>0</v>
      </c>
      <c r="J1793" s="2">
        <v>0</v>
      </c>
      <c r="K1793" s="2">
        <v>15294.05</v>
      </c>
      <c r="L1793" s="2">
        <v>15294.05</v>
      </c>
      <c r="M1793" s="3">
        <v>70347</v>
      </c>
      <c r="N1793" s="4">
        <v>3.4799999999999999E-5</v>
      </c>
      <c r="O1793" s="5" t="s">
        <v>44</v>
      </c>
      <c r="P1793" s="5" t="s">
        <v>44</v>
      </c>
      <c r="Q1793" s="1"/>
      <c r="R1793" s="2"/>
      <c r="S1793" s="6"/>
      <c r="T1793" t="s">
        <v>10902</v>
      </c>
      <c r="U1793" t="s">
        <v>10902</v>
      </c>
      <c r="V1793" t="s">
        <v>10902</v>
      </c>
      <c r="W1793" t="s">
        <v>43</v>
      </c>
      <c r="X1793" t="s">
        <v>11279</v>
      </c>
      <c r="Y1793" t="s">
        <v>11280</v>
      </c>
      <c r="Z1793" t="s">
        <v>11276</v>
      </c>
      <c r="AA1793" t="s">
        <v>44</v>
      </c>
      <c r="AB1793" t="s">
        <v>44</v>
      </c>
      <c r="AC1793" s="4"/>
      <c r="AD1793" s="4"/>
      <c r="AE1793" s="2">
        <v>0</v>
      </c>
      <c r="AF1793" s="4">
        <v>0</v>
      </c>
      <c r="AG1793" s="2">
        <v>0</v>
      </c>
      <c r="AH1793" s="2">
        <v>15294.05</v>
      </c>
      <c r="AI1793" s="2">
        <v>0</v>
      </c>
      <c r="AJ1793" s="5">
        <v>44673</v>
      </c>
      <c r="AK1793" t="s">
        <v>12209</v>
      </c>
      <c r="AL1793" s="2">
        <v>0</v>
      </c>
      <c r="AM1793" s="2">
        <v>0</v>
      </c>
      <c r="AN1793" s="2">
        <v>0</v>
      </c>
      <c r="AO1793" t="s">
        <v>44</v>
      </c>
      <c r="AP1793" t="s">
        <v>2559</v>
      </c>
      <c r="AQ1793" t="s">
        <v>4578</v>
      </c>
    </row>
    <row r="1794" spans="1:43" x14ac:dyDescent="0.2">
      <c r="A1794" t="s">
        <v>12208</v>
      </c>
      <c r="B1794" t="s">
        <v>11037</v>
      </c>
      <c r="C1794" t="s">
        <v>11276</v>
      </c>
      <c r="D1794" t="s">
        <v>11284</v>
      </c>
      <c r="E1794" t="s">
        <v>4506</v>
      </c>
      <c r="F1794" t="s">
        <v>11284</v>
      </c>
      <c r="G1794" s="1">
        <v>64966</v>
      </c>
      <c r="H1794" s="2">
        <v>2840019.55</v>
      </c>
      <c r="I1794" s="2">
        <v>4273463.4800000004</v>
      </c>
      <c r="J1794" s="2">
        <v>0</v>
      </c>
      <c r="K1794" s="2">
        <v>0</v>
      </c>
      <c r="L1794" s="2">
        <v>4273463.4800000004</v>
      </c>
      <c r="M1794" s="3">
        <v>6578</v>
      </c>
      <c r="N1794" s="4">
        <v>9.7225899999999997E-3</v>
      </c>
      <c r="O1794" s="5" t="s">
        <v>44</v>
      </c>
      <c r="P1794" s="5" t="s">
        <v>44</v>
      </c>
      <c r="Q1794" s="1"/>
      <c r="R1794" s="2"/>
      <c r="S1794" s="6"/>
      <c r="T1794" t="s">
        <v>10902</v>
      </c>
      <c r="U1794" t="s">
        <v>10902</v>
      </c>
      <c r="V1794" t="s">
        <v>10902</v>
      </c>
      <c r="W1794" t="s">
        <v>43</v>
      </c>
      <c r="X1794" t="s">
        <v>11279</v>
      </c>
      <c r="Y1794" t="s">
        <v>11280</v>
      </c>
      <c r="Z1794" t="s">
        <v>11276</v>
      </c>
      <c r="AA1794" t="s">
        <v>44</v>
      </c>
      <c r="AB1794" t="s">
        <v>44</v>
      </c>
      <c r="AC1794" s="4"/>
      <c r="AD1794" s="4"/>
      <c r="AE1794" s="2">
        <v>0</v>
      </c>
      <c r="AF1794" s="4">
        <v>0</v>
      </c>
      <c r="AG1794" s="2">
        <v>0.46</v>
      </c>
      <c r="AH1794" s="2">
        <v>4273463.4800000004</v>
      </c>
      <c r="AI1794" s="2">
        <v>0.01</v>
      </c>
      <c r="AJ1794" s="5">
        <v>44673</v>
      </c>
      <c r="AK1794" t="s">
        <v>12209</v>
      </c>
      <c r="AL1794" s="2">
        <v>0</v>
      </c>
      <c r="AM1794" s="2">
        <v>0</v>
      </c>
      <c r="AN1794" s="2">
        <v>0</v>
      </c>
      <c r="AO1794" t="s">
        <v>44</v>
      </c>
      <c r="AP1794" t="s">
        <v>11285</v>
      </c>
      <c r="AQ1794" t="s">
        <v>4506</v>
      </c>
    </row>
    <row r="1795" spans="1:43" x14ac:dyDescent="0.2">
      <c r="A1795" t="s">
        <v>12208</v>
      </c>
      <c r="B1795" t="s">
        <v>11037</v>
      </c>
      <c r="C1795" t="s">
        <v>11276</v>
      </c>
      <c r="D1795" t="s">
        <v>6278</v>
      </c>
      <c r="E1795" t="s">
        <v>4640</v>
      </c>
      <c r="F1795" t="s">
        <v>6278</v>
      </c>
      <c r="G1795" s="1">
        <v>7000</v>
      </c>
      <c r="H1795" s="2">
        <v>1953404.04</v>
      </c>
      <c r="I1795" s="2">
        <v>3546900</v>
      </c>
      <c r="J1795" s="2">
        <v>0</v>
      </c>
      <c r="K1795" s="2">
        <v>0</v>
      </c>
      <c r="L1795" s="2">
        <v>3546900</v>
      </c>
      <c r="M1795" s="3">
        <v>50670</v>
      </c>
      <c r="N1795" s="4">
        <v>8.0695799999999998E-3</v>
      </c>
      <c r="O1795" s="5" t="s">
        <v>44</v>
      </c>
      <c r="P1795" s="5" t="s">
        <v>44</v>
      </c>
      <c r="Q1795" s="1"/>
      <c r="R1795" s="2"/>
      <c r="S1795" s="6"/>
      <c r="T1795" t="s">
        <v>10902</v>
      </c>
      <c r="U1795" t="s">
        <v>10902</v>
      </c>
      <c r="V1795" t="s">
        <v>10902</v>
      </c>
      <c r="W1795" t="s">
        <v>43</v>
      </c>
      <c r="X1795" t="s">
        <v>11286</v>
      </c>
      <c r="Y1795" t="s">
        <v>11280</v>
      </c>
      <c r="Z1795" t="s">
        <v>11276</v>
      </c>
      <c r="AA1795" t="s">
        <v>44</v>
      </c>
      <c r="AB1795" t="s">
        <v>44</v>
      </c>
      <c r="AC1795" s="4"/>
      <c r="AD1795" s="4"/>
      <c r="AE1795" s="2">
        <v>0</v>
      </c>
      <c r="AF1795" s="4">
        <v>0</v>
      </c>
      <c r="AG1795" s="2">
        <v>0.38</v>
      </c>
      <c r="AH1795" s="2">
        <v>3546900</v>
      </c>
      <c r="AI1795" s="2">
        <v>0.01</v>
      </c>
      <c r="AJ1795" s="5">
        <v>44673</v>
      </c>
      <c r="AK1795" t="s">
        <v>12209</v>
      </c>
      <c r="AL1795" s="2">
        <v>0</v>
      </c>
      <c r="AM1795" s="2">
        <v>0</v>
      </c>
      <c r="AN1795" s="2">
        <v>0</v>
      </c>
      <c r="AO1795" t="s">
        <v>44</v>
      </c>
      <c r="AP1795" t="s">
        <v>11287</v>
      </c>
      <c r="AQ1795" t="s">
        <v>4640</v>
      </c>
    </row>
    <row r="1796" spans="1:43" x14ac:dyDescent="0.2">
      <c r="A1796" t="s">
        <v>12208</v>
      </c>
      <c r="B1796" t="s">
        <v>11037</v>
      </c>
      <c r="C1796" t="s">
        <v>11276</v>
      </c>
      <c r="D1796" t="s">
        <v>11670</v>
      </c>
      <c r="E1796" t="s">
        <v>11671</v>
      </c>
      <c r="F1796" t="s">
        <v>11672</v>
      </c>
      <c r="G1796" s="1">
        <v>1500</v>
      </c>
      <c r="H1796" s="2">
        <v>334357.49</v>
      </c>
      <c r="I1796" s="2">
        <v>276120</v>
      </c>
      <c r="J1796" s="2">
        <v>0</v>
      </c>
      <c r="K1796" s="2">
        <v>0</v>
      </c>
      <c r="L1796" s="2">
        <v>276120</v>
      </c>
      <c r="M1796" s="3">
        <v>18408</v>
      </c>
      <c r="N1796" s="4">
        <v>6.2819999999999998E-4</v>
      </c>
      <c r="O1796" s="5" t="s">
        <v>44</v>
      </c>
      <c r="P1796" s="5" t="s">
        <v>44</v>
      </c>
      <c r="Q1796" s="1"/>
      <c r="R1796" s="2"/>
      <c r="S1796" s="6"/>
      <c r="T1796" t="s">
        <v>10902</v>
      </c>
      <c r="U1796" t="s">
        <v>10902</v>
      </c>
      <c r="V1796" t="s">
        <v>10902</v>
      </c>
      <c r="W1796" t="s">
        <v>43</v>
      </c>
      <c r="X1796" t="s">
        <v>11279</v>
      </c>
      <c r="Y1796" t="s">
        <v>11280</v>
      </c>
      <c r="Z1796" t="s">
        <v>11276</v>
      </c>
      <c r="AA1796" t="s">
        <v>44</v>
      </c>
      <c r="AB1796" t="s">
        <v>44</v>
      </c>
      <c r="AC1796" s="4"/>
      <c r="AD1796" s="4"/>
      <c r="AE1796" s="2">
        <v>0</v>
      </c>
      <c r="AF1796" s="4">
        <v>0</v>
      </c>
      <c r="AG1796" s="2">
        <v>0.03</v>
      </c>
      <c r="AH1796" s="2">
        <v>276120</v>
      </c>
      <c r="AI1796" s="2">
        <v>0</v>
      </c>
      <c r="AJ1796" s="5">
        <v>44673</v>
      </c>
      <c r="AK1796" t="s">
        <v>12209</v>
      </c>
      <c r="AL1796" s="2">
        <v>0</v>
      </c>
      <c r="AM1796" s="2">
        <v>0</v>
      </c>
      <c r="AN1796" s="2">
        <v>0</v>
      </c>
      <c r="AO1796" t="s">
        <v>44</v>
      </c>
      <c r="AP1796" t="s">
        <v>11673</v>
      </c>
      <c r="AQ1796" t="s">
        <v>11671</v>
      </c>
    </row>
    <row r="1797" spans="1:43" x14ac:dyDescent="0.2">
      <c r="A1797" t="s">
        <v>12208</v>
      </c>
      <c r="B1797" t="s">
        <v>11037</v>
      </c>
      <c r="C1797" t="s">
        <v>11276</v>
      </c>
      <c r="D1797" t="s">
        <v>11290</v>
      </c>
      <c r="E1797" t="s">
        <v>4478</v>
      </c>
      <c r="F1797" t="s">
        <v>11290</v>
      </c>
      <c r="G1797" s="1">
        <v>30000</v>
      </c>
      <c r="H1797" s="2">
        <v>1413221.39</v>
      </c>
      <c r="I1797" s="2">
        <v>2352000</v>
      </c>
      <c r="J1797" s="2">
        <v>0</v>
      </c>
      <c r="K1797" s="2">
        <v>0</v>
      </c>
      <c r="L1797" s="2">
        <v>2352000</v>
      </c>
      <c r="M1797" s="3">
        <v>7840</v>
      </c>
      <c r="N1797" s="4">
        <v>5.3510500000000004E-3</v>
      </c>
      <c r="O1797" s="5" t="s">
        <v>44</v>
      </c>
      <c r="P1797" s="5" t="s">
        <v>44</v>
      </c>
      <c r="Q1797" s="1"/>
      <c r="R1797" s="2"/>
      <c r="S1797" s="6"/>
      <c r="T1797" t="s">
        <v>10902</v>
      </c>
      <c r="U1797" t="s">
        <v>10902</v>
      </c>
      <c r="V1797" t="s">
        <v>10902</v>
      </c>
      <c r="W1797" t="s">
        <v>43</v>
      </c>
      <c r="X1797" t="s">
        <v>11277</v>
      </c>
      <c r="Y1797" t="s">
        <v>11277</v>
      </c>
      <c r="Z1797" t="s">
        <v>11276</v>
      </c>
      <c r="AA1797" t="s">
        <v>44</v>
      </c>
      <c r="AB1797" t="s">
        <v>44</v>
      </c>
      <c r="AC1797" s="4"/>
      <c r="AD1797" s="4"/>
      <c r="AE1797" s="2">
        <v>0</v>
      </c>
      <c r="AF1797" s="4">
        <v>0</v>
      </c>
      <c r="AG1797" s="2">
        <v>0.25</v>
      </c>
      <c r="AH1797" s="2">
        <v>2352000</v>
      </c>
      <c r="AI1797" s="2">
        <v>0.01</v>
      </c>
      <c r="AJ1797" s="5">
        <v>44673</v>
      </c>
      <c r="AK1797" t="s">
        <v>12209</v>
      </c>
      <c r="AL1797" s="2">
        <v>0</v>
      </c>
      <c r="AM1797" s="2">
        <v>0</v>
      </c>
      <c r="AN1797" s="2">
        <v>0</v>
      </c>
      <c r="AO1797" t="s">
        <v>44</v>
      </c>
      <c r="AP1797" t="s">
        <v>11291</v>
      </c>
      <c r="AQ1797" t="s">
        <v>4478</v>
      </c>
    </row>
    <row r="1798" spans="1:43" x14ac:dyDescent="0.2">
      <c r="A1798" t="s">
        <v>12208</v>
      </c>
      <c r="B1798" t="s">
        <v>11037</v>
      </c>
      <c r="C1798" t="s">
        <v>11276</v>
      </c>
      <c r="D1798" t="s">
        <v>11292</v>
      </c>
      <c r="E1798" t="s">
        <v>4513</v>
      </c>
      <c r="F1798" t="s">
        <v>11292</v>
      </c>
      <c r="G1798" s="1">
        <v>100000</v>
      </c>
      <c r="H1798" s="2">
        <v>625173</v>
      </c>
      <c r="I1798" s="2">
        <v>429000</v>
      </c>
      <c r="J1798" s="2">
        <v>0</v>
      </c>
      <c r="K1798" s="2">
        <v>0</v>
      </c>
      <c r="L1798" s="2">
        <v>429000</v>
      </c>
      <c r="M1798" s="3">
        <v>429</v>
      </c>
      <c r="N1798" s="4">
        <v>9.7601999999999997E-4</v>
      </c>
      <c r="O1798" s="5" t="s">
        <v>44</v>
      </c>
      <c r="P1798" s="5" t="s">
        <v>44</v>
      </c>
      <c r="Q1798" s="1"/>
      <c r="R1798" s="2"/>
      <c r="S1798" s="6"/>
      <c r="T1798" t="s">
        <v>10902</v>
      </c>
      <c r="U1798" t="s">
        <v>10902</v>
      </c>
      <c r="V1798" t="s">
        <v>10902</v>
      </c>
      <c r="W1798" t="s">
        <v>43</v>
      </c>
      <c r="X1798" t="s">
        <v>11279</v>
      </c>
      <c r="Y1798" t="s">
        <v>11280</v>
      </c>
      <c r="Z1798" t="s">
        <v>11276</v>
      </c>
      <c r="AA1798" t="s">
        <v>44</v>
      </c>
      <c r="AB1798" t="s">
        <v>44</v>
      </c>
      <c r="AC1798" s="4"/>
      <c r="AD1798" s="4"/>
      <c r="AE1798" s="2">
        <v>0</v>
      </c>
      <c r="AF1798" s="4">
        <v>0</v>
      </c>
      <c r="AG1798" s="2">
        <v>0.05</v>
      </c>
      <c r="AH1798" s="2">
        <v>429000</v>
      </c>
      <c r="AI1798" s="2">
        <v>0</v>
      </c>
      <c r="AJ1798" s="5">
        <v>44673</v>
      </c>
      <c r="AK1798" t="s">
        <v>12209</v>
      </c>
      <c r="AL1798" s="2">
        <v>0</v>
      </c>
      <c r="AM1798" s="2">
        <v>0</v>
      </c>
      <c r="AN1798" s="2">
        <v>0</v>
      </c>
      <c r="AO1798" t="s">
        <v>44</v>
      </c>
      <c r="AP1798" t="s">
        <v>11293</v>
      </c>
      <c r="AQ1798" t="s">
        <v>4513</v>
      </c>
    </row>
    <row r="1799" spans="1:43" x14ac:dyDescent="0.2">
      <c r="A1799" t="s">
        <v>12208</v>
      </c>
      <c r="B1799" t="s">
        <v>11037</v>
      </c>
      <c r="C1799" t="s">
        <v>11276</v>
      </c>
      <c r="D1799" t="s">
        <v>6743</v>
      </c>
      <c r="E1799" t="s">
        <v>4570</v>
      </c>
      <c r="F1799" t="s">
        <v>6743</v>
      </c>
      <c r="G1799" s="1">
        <v>14500</v>
      </c>
      <c r="H1799" s="2">
        <v>628786.12</v>
      </c>
      <c r="I1799" s="2">
        <v>2240685</v>
      </c>
      <c r="J1799" s="2">
        <v>0</v>
      </c>
      <c r="K1799" s="2">
        <v>0</v>
      </c>
      <c r="L1799" s="2">
        <v>2240685</v>
      </c>
      <c r="M1799" s="3">
        <v>15453</v>
      </c>
      <c r="N1799" s="4">
        <v>5.0978000000000004E-3</v>
      </c>
      <c r="O1799" s="5" t="s">
        <v>44</v>
      </c>
      <c r="P1799" s="5" t="s">
        <v>44</v>
      </c>
      <c r="Q1799" s="1"/>
      <c r="R1799" s="2"/>
      <c r="S1799" s="6"/>
      <c r="T1799" t="s">
        <v>10902</v>
      </c>
      <c r="U1799" t="s">
        <v>10902</v>
      </c>
      <c r="V1799" t="s">
        <v>10902</v>
      </c>
      <c r="W1799" t="s">
        <v>43</v>
      </c>
      <c r="X1799" t="s">
        <v>11279</v>
      </c>
      <c r="Y1799" t="s">
        <v>11280</v>
      </c>
      <c r="Z1799" t="s">
        <v>11276</v>
      </c>
      <c r="AA1799" t="s">
        <v>44</v>
      </c>
      <c r="AB1799" t="s">
        <v>44</v>
      </c>
      <c r="AC1799" s="4"/>
      <c r="AD1799" s="4"/>
      <c r="AE1799" s="2">
        <v>0</v>
      </c>
      <c r="AF1799" s="4">
        <v>0</v>
      </c>
      <c r="AG1799" s="2">
        <v>0.24</v>
      </c>
      <c r="AH1799" s="2">
        <v>2240685</v>
      </c>
      <c r="AI1799" s="2">
        <v>0.01</v>
      </c>
      <c r="AJ1799" s="5">
        <v>44673</v>
      </c>
      <c r="AK1799" t="s">
        <v>12209</v>
      </c>
      <c r="AL1799" s="2">
        <v>0</v>
      </c>
      <c r="AM1799" s="2">
        <v>0</v>
      </c>
      <c r="AN1799" s="2">
        <v>0</v>
      </c>
      <c r="AO1799" t="s">
        <v>44</v>
      </c>
      <c r="AP1799" t="s">
        <v>11294</v>
      </c>
      <c r="AQ1799" t="s">
        <v>4570</v>
      </c>
    </row>
    <row r="1800" spans="1:43" x14ac:dyDescent="0.2">
      <c r="A1800" t="s">
        <v>12208</v>
      </c>
      <c r="B1800" t="s">
        <v>11037</v>
      </c>
      <c r="C1800" t="s">
        <v>11276</v>
      </c>
      <c r="D1800" t="s">
        <v>6209</v>
      </c>
      <c r="E1800" t="s">
        <v>520</v>
      </c>
      <c r="F1800" t="s">
        <v>6209</v>
      </c>
      <c r="G1800" s="1">
        <v>88310</v>
      </c>
      <c r="H1800" s="2">
        <v>3454889.84</v>
      </c>
      <c r="I1800" s="2">
        <v>4816427.4000000004</v>
      </c>
      <c r="J1800" s="2">
        <v>0</v>
      </c>
      <c r="K1800" s="2">
        <v>0</v>
      </c>
      <c r="L1800" s="2">
        <v>4816427.4000000004</v>
      </c>
      <c r="M1800" s="3">
        <v>5454</v>
      </c>
      <c r="N1800" s="4">
        <v>1.095789E-2</v>
      </c>
      <c r="O1800" s="5" t="s">
        <v>44</v>
      </c>
      <c r="P1800" s="5" t="s">
        <v>44</v>
      </c>
      <c r="Q1800" s="1"/>
      <c r="R1800" s="2"/>
      <c r="S1800" s="6"/>
      <c r="T1800" t="s">
        <v>10902</v>
      </c>
      <c r="U1800" t="s">
        <v>10902</v>
      </c>
      <c r="V1800" t="s">
        <v>10902</v>
      </c>
      <c r="W1800" t="s">
        <v>43</v>
      </c>
      <c r="X1800" t="s">
        <v>11289</v>
      </c>
      <c r="Y1800" t="s">
        <v>11280</v>
      </c>
      <c r="Z1800" t="s">
        <v>11276</v>
      </c>
      <c r="AA1800" t="s">
        <v>44</v>
      </c>
      <c r="AB1800" t="s">
        <v>44</v>
      </c>
      <c r="AC1800" s="4"/>
      <c r="AD1800" s="4"/>
      <c r="AE1800" s="2">
        <v>0</v>
      </c>
      <c r="AF1800" s="4">
        <v>0</v>
      </c>
      <c r="AG1800" s="2">
        <v>0.52</v>
      </c>
      <c r="AH1800" s="2">
        <v>4816427.4000000004</v>
      </c>
      <c r="AI1800" s="2">
        <v>0.01</v>
      </c>
      <c r="AJ1800" s="5">
        <v>44673</v>
      </c>
      <c r="AK1800" t="s">
        <v>12209</v>
      </c>
      <c r="AL1800" s="2">
        <v>0</v>
      </c>
      <c r="AM1800" s="2">
        <v>0</v>
      </c>
      <c r="AN1800" s="2">
        <v>0</v>
      </c>
      <c r="AO1800" t="s">
        <v>44</v>
      </c>
      <c r="AP1800" t="s">
        <v>11295</v>
      </c>
      <c r="AQ1800" t="s">
        <v>520</v>
      </c>
    </row>
    <row r="1801" spans="1:43" x14ac:dyDescent="0.2">
      <c r="A1801" t="s">
        <v>12208</v>
      </c>
      <c r="B1801" t="s">
        <v>11037</v>
      </c>
      <c r="C1801" t="s">
        <v>11276</v>
      </c>
      <c r="D1801" t="s">
        <v>11678</v>
      </c>
      <c r="E1801" t="s">
        <v>11679</v>
      </c>
      <c r="F1801" t="s">
        <v>11680</v>
      </c>
      <c r="G1801" s="1">
        <v>14220</v>
      </c>
      <c r="H1801" s="2">
        <v>2251056.12</v>
      </c>
      <c r="I1801" s="2">
        <v>3344828.4</v>
      </c>
      <c r="J1801" s="2">
        <v>0</v>
      </c>
      <c r="K1801" s="2">
        <v>0</v>
      </c>
      <c r="L1801" s="2">
        <v>3344828.4</v>
      </c>
      <c r="M1801" s="3">
        <v>23522</v>
      </c>
      <c r="N1801" s="4">
        <v>7.6098399999999997E-3</v>
      </c>
      <c r="O1801" s="5" t="s">
        <v>44</v>
      </c>
      <c r="P1801" s="5" t="s">
        <v>44</v>
      </c>
      <c r="Q1801" s="1"/>
      <c r="R1801" s="2"/>
      <c r="S1801" s="6"/>
      <c r="T1801" t="s">
        <v>10902</v>
      </c>
      <c r="U1801" t="s">
        <v>10902</v>
      </c>
      <c r="V1801" t="s">
        <v>10902</v>
      </c>
      <c r="W1801" t="s">
        <v>43</v>
      </c>
      <c r="X1801" t="s">
        <v>11279</v>
      </c>
      <c r="Y1801" t="s">
        <v>11280</v>
      </c>
      <c r="Z1801" t="s">
        <v>11276</v>
      </c>
      <c r="AA1801" t="s">
        <v>44</v>
      </c>
      <c r="AB1801" t="s">
        <v>44</v>
      </c>
      <c r="AC1801" s="4"/>
      <c r="AD1801" s="4"/>
      <c r="AE1801" s="2">
        <v>0</v>
      </c>
      <c r="AF1801" s="4">
        <v>0</v>
      </c>
      <c r="AG1801" s="2">
        <v>0.36</v>
      </c>
      <c r="AH1801" s="2">
        <v>3344828.4</v>
      </c>
      <c r="AI1801" s="2">
        <v>0.01</v>
      </c>
      <c r="AJ1801" s="5">
        <v>44673</v>
      </c>
      <c r="AK1801" t="s">
        <v>12209</v>
      </c>
      <c r="AL1801" s="2">
        <v>0</v>
      </c>
      <c r="AM1801" s="2">
        <v>0</v>
      </c>
      <c r="AN1801" s="2">
        <v>0</v>
      </c>
      <c r="AO1801" t="s">
        <v>44</v>
      </c>
      <c r="AP1801" t="s">
        <v>11681</v>
      </c>
      <c r="AQ1801" t="s">
        <v>11679</v>
      </c>
    </row>
    <row r="1802" spans="1:43" x14ac:dyDescent="0.2">
      <c r="A1802" t="s">
        <v>12208</v>
      </c>
      <c r="B1802" t="s">
        <v>11037</v>
      </c>
      <c r="C1802" t="s">
        <v>11296</v>
      </c>
      <c r="D1802" t="s">
        <v>11297</v>
      </c>
      <c r="E1802" t="s">
        <v>5955</v>
      </c>
      <c r="F1802" t="s">
        <v>11297</v>
      </c>
      <c r="G1802" s="1">
        <v>93</v>
      </c>
      <c r="H1802" s="2">
        <v>81325.05</v>
      </c>
      <c r="I1802" s="2">
        <v>87277.71</v>
      </c>
      <c r="J1802" s="2">
        <v>0</v>
      </c>
      <c r="K1802" s="2">
        <v>0</v>
      </c>
      <c r="L1802" s="2">
        <v>87277.71</v>
      </c>
      <c r="M1802" s="3">
        <v>93847</v>
      </c>
      <c r="N1802" s="4">
        <v>1.9856999999999999E-4</v>
      </c>
      <c r="O1802" s="5" t="s">
        <v>44</v>
      </c>
      <c r="P1802" s="5" t="s">
        <v>44</v>
      </c>
      <c r="Q1802" s="1"/>
      <c r="R1802" s="2"/>
      <c r="S1802" s="6"/>
      <c r="T1802" t="s">
        <v>10902</v>
      </c>
      <c r="U1802" t="s">
        <v>10902</v>
      </c>
      <c r="V1802" t="s">
        <v>10902</v>
      </c>
      <c r="W1802" t="s">
        <v>43</v>
      </c>
      <c r="X1802" t="s">
        <v>11298</v>
      </c>
      <c r="Y1802" t="s">
        <v>11299</v>
      </c>
      <c r="Z1802" t="s">
        <v>11296</v>
      </c>
      <c r="AA1802" t="s">
        <v>44</v>
      </c>
      <c r="AB1802" t="s">
        <v>44</v>
      </c>
      <c r="AC1802" s="4"/>
      <c r="AD1802" s="4"/>
      <c r="AE1802" s="2">
        <v>0</v>
      </c>
      <c r="AF1802" s="4">
        <v>0</v>
      </c>
      <c r="AG1802" s="2">
        <v>0.01</v>
      </c>
      <c r="AH1802" s="2">
        <v>87277.71</v>
      </c>
      <c r="AI1802" s="2">
        <v>0</v>
      </c>
      <c r="AJ1802" s="5">
        <v>44673</v>
      </c>
      <c r="AK1802" t="s">
        <v>12209</v>
      </c>
      <c r="AL1802" s="2">
        <v>0</v>
      </c>
      <c r="AM1802" s="2">
        <v>0</v>
      </c>
      <c r="AN1802" s="2">
        <v>0</v>
      </c>
      <c r="AO1802" t="s">
        <v>44</v>
      </c>
      <c r="AP1802" t="s">
        <v>1276</v>
      </c>
      <c r="AQ1802" t="s">
        <v>5955</v>
      </c>
    </row>
    <row r="1803" spans="1:43" x14ac:dyDescent="0.2">
      <c r="A1803" t="s">
        <v>12208</v>
      </c>
      <c r="B1803" t="s">
        <v>11037</v>
      </c>
      <c r="C1803" t="s">
        <v>11296</v>
      </c>
      <c r="D1803" t="s">
        <v>6200</v>
      </c>
      <c r="E1803" t="s">
        <v>5051</v>
      </c>
      <c r="F1803" t="s">
        <v>6200</v>
      </c>
      <c r="G1803" s="1">
        <v>61570</v>
      </c>
      <c r="H1803" s="2">
        <v>5203497.99</v>
      </c>
      <c r="I1803" s="2">
        <v>4223702</v>
      </c>
      <c r="J1803" s="2">
        <v>0</v>
      </c>
      <c r="K1803" s="2">
        <v>0</v>
      </c>
      <c r="L1803" s="2">
        <v>4223702</v>
      </c>
      <c r="M1803" s="3">
        <v>6860</v>
      </c>
      <c r="N1803" s="4">
        <v>9.6093800000000007E-3</v>
      </c>
      <c r="O1803" s="5" t="s">
        <v>44</v>
      </c>
      <c r="P1803" s="5" t="s">
        <v>44</v>
      </c>
      <c r="Q1803" s="1"/>
      <c r="R1803" s="2"/>
      <c r="S1803" s="6"/>
      <c r="T1803" t="s">
        <v>10902</v>
      </c>
      <c r="U1803" t="s">
        <v>10902</v>
      </c>
      <c r="V1803" t="s">
        <v>10902</v>
      </c>
      <c r="W1803" t="s">
        <v>43</v>
      </c>
      <c r="X1803" t="s">
        <v>11300</v>
      </c>
      <c r="Y1803" t="s">
        <v>11299</v>
      </c>
      <c r="Z1803" t="s">
        <v>11296</v>
      </c>
      <c r="AA1803" t="s">
        <v>44</v>
      </c>
      <c r="AB1803" t="s">
        <v>44</v>
      </c>
      <c r="AC1803" s="4"/>
      <c r="AD1803" s="4"/>
      <c r="AE1803" s="2">
        <v>0</v>
      </c>
      <c r="AF1803" s="4">
        <v>0</v>
      </c>
      <c r="AG1803" s="2">
        <v>0.45</v>
      </c>
      <c r="AH1803" s="2">
        <v>4223702</v>
      </c>
      <c r="AI1803" s="2">
        <v>0.01</v>
      </c>
      <c r="AJ1803" s="5">
        <v>44673</v>
      </c>
      <c r="AK1803" t="s">
        <v>12209</v>
      </c>
      <c r="AL1803" s="2">
        <v>0</v>
      </c>
      <c r="AM1803" s="2">
        <v>0</v>
      </c>
      <c r="AN1803" s="2">
        <v>0</v>
      </c>
      <c r="AO1803" t="s">
        <v>44</v>
      </c>
      <c r="AP1803" t="s">
        <v>11301</v>
      </c>
      <c r="AQ1803" t="s">
        <v>5051</v>
      </c>
    </row>
    <row r="1804" spans="1:43" x14ac:dyDescent="0.2">
      <c r="A1804" t="s">
        <v>12208</v>
      </c>
      <c r="B1804" t="s">
        <v>11037</v>
      </c>
      <c r="C1804" t="s">
        <v>11296</v>
      </c>
      <c r="D1804" t="s">
        <v>11682</v>
      </c>
      <c r="E1804" t="s">
        <v>4951</v>
      </c>
      <c r="F1804" t="s">
        <v>11682</v>
      </c>
      <c r="G1804" s="1">
        <v>0</v>
      </c>
      <c r="H1804" s="2">
        <v>0</v>
      </c>
      <c r="I1804" s="2">
        <v>0</v>
      </c>
      <c r="J1804" s="2">
        <v>0</v>
      </c>
      <c r="K1804" s="2">
        <v>9356.9500000000007</v>
      </c>
      <c r="L1804" s="2">
        <v>9356.9500000000007</v>
      </c>
      <c r="M1804" s="3">
        <v>67165</v>
      </c>
      <c r="N1804" s="4">
        <v>2.1290000000000001E-5</v>
      </c>
      <c r="O1804" s="5" t="s">
        <v>44</v>
      </c>
      <c r="P1804" s="5" t="s">
        <v>44</v>
      </c>
      <c r="Q1804" s="1"/>
      <c r="R1804" s="2"/>
      <c r="S1804" s="6"/>
      <c r="T1804" t="s">
        <v>10902</v>
      </c>
      <c r="U1804" t="s">
        <v>10902</v>
      </c>
      <c r="V1804" t="s">
        <v>10902</v>
      </c>
      <c r="W1804" t="s">
        <v>43</v>
      </c>
      <c r="X1804" t="s">
        <v>11683</v>
      </c>
      <c r="Y1804" t="s">
        <v>11684</v>
      </c>
      <c r="Z1804" t="s">
        <v>11296</v>
      </c>
      <c r="AA1804" t="s">
        <v>44</v>
      </c>
      <c r="AB1804" t="s">
        <v>44</v>
      </c>
      <c r="AC1804" s="4"/>
      <c r="AD1804" s="4"/>
      <c r="AE1804" s="2">
        <v>0</v>
      </c>
      <c r="AF1804" s="4">
        <v>0</v>
      </c>
      <c r="AG1804" s="2">
        <v>0</v>
      </c>
      <c r="AH1804" s="2">
        <v>9356.9500000000007</v>
      </c>
      <c r="AI1804" s="2">
        <v>0</v>
      </c>
      <c r="AJ1804" s="5">
        <v>44673</v>
      </c>
      <c r="AK1804" t="s">
        <v>12209</v>
      </c>
      <c r="AL1804" s="2">
        <v>0</v>
      </c>
      <c r="AM1804" s="2">
        <v>0</v>
      </c>
      <c r="AN1804" s="2">
        <v>0</v>
      </c>
      <c r="AO1804" t="s">
        <v>44</v>
      </c>
      <c r="AP1804" t="s">
        <v>819</v>
      </c>
      <c r="AQ1804" t="s">
        <v>4951</v>
      </c>
    </row>
    <row r="1805" spans="1:43" x14ac:dyDescent="0.2">
      <c r="A1805" t="s">
        <v>12208</v>
      </c>
      <c r="B1805" t="s">
        <v>11037</v>
      </c>
      <c r="C1805" t="s">
        <v>11296</v>
      </c>
      <c r="D1805" t="s">
        <v>6458</v>
      </c>
      <c r="E1805" t="s">
        <v>5402</v>
      </c>
      <c r="F1805" t="s">
        <v>11302</v>
      </c>
      <c r="G1805" s="1">
        <v>15001</v>
      </c>
      <c r="H1805" s="2">
        <v>2128297.1</v>
      </c>
      <c r="I1805" s="2">
        <v>2595173</v>
      </c>
      <c r="J1805" s="2">
        <v>0</v>
      </c>
      <c r="K1805" s="2">
        <v>0</v>
      </c>
      <c r="L1805" s="2">
        <v>2595173</v>
      </c>
      <c r="M1805" s="3">
        <v>17300</v>
      </c>
      <c r="N1805" s="4">
        <v>5.9043000000000003E-3</v>
      </c>
      <c r="O1805" s="5" t="s">
        <v>44</v>
      </c>
      <c r="P1805" s="5" t="s">
        <v>44</v>
      </c>
      <c r="Q1805" s="1"/>
      <c r="R1805" s="2"/>
      <c r="S1805" s="6"/>
      <c r="T1805" t="s">
        <v>10902</v>
      </c>
      <c r="U1805" t="s">
        <v>10902</v>
      </c>
      <c r="V1805" t="s">
        <v>10902</v>
      </c>
      <c r="W1805" t="s">
        <v>43</v>
      </c>
      <c r="X1805" t="s">
        <v>11298</v>
      </c>
      <c r="Y1805" t="s">
        <v>11299</v>
      </c>
      <c r="Z1805" t="s">
        <v>11296</v>
      </c>
      <c r="AA1805" t="s">
        <v>44</v>
      </c>
      <c r="AB1805" t="s">
        <v>44</v>
      </c>
      <c r="AC1805" s="4"/>
      <c r="AD1805" s="4"/>
      <c r="AE1805" s="2">
        <v>0</v>
      </c>
      <c r="AF1805" s="4">
        <v>0</v>
      </c>
      <c r="AG1805" s="2">
        <v>0.28000000000000003</v>
      </c>
      <c r="AH1805" s="2">
        <v>2595173</v>
      </c>
      <c r="AI1805" s="2">
        <v>0.01</v>
      </c>
      <c r="AJ1805" s="5">
        <v>44673</v>
      </c>
      <c r="AK1805" t="s">
        <v>12209</v>
      </c>
      <c r="AL1805" s="2">
        <v>0</v>
      </c>
      <c r="AM1805" s="2">
        <v>0</v>
      </c>
      <c r="AN1805" s="2">
        <v>0</v>
      </c>
      <c r="AO1805" t="s">
        <v>44</v>
      </c>
      <c r="AP1805" t="s">
        <v>11303</v>
      </c>
      <c r="AQ1805" t="s">
        <v>5402</v>
      </c>
    </row>
    <row r="1806" spans="1:43" x14ac:dyDescent="0.2">
      <c r="A1806" t="s">
        <v>12208</v>
      </c>
      <c r="B1806" t="s">
        <v>11037</v>
      </c>
      <c r="C1806" t="s">
        <v>11296</v>
      </c>
      <c r="D1806" t="s">
        <v>6137</v>
      </c>
      <c r="E1806" t="s">
        <v>4926</v>
      </c>
      <c r="F1806" t="s">
        <v>6137</v>
      </c>
      <c r="G1806" s="1">
        <v>32306</v>
      </c>
      <c r="H1806" s="2">
        <v>5582873.4900000002</v>
      </c>
      <c r="I1806" s="2">
        <v>5031336.4400000004</v>
      </c>
      <c r="J1806" s="2">
        <v>0</v>
      </c>
      <c r="K1806" s="2">
        <v>0</v>
      </c>
      <c r="L1806" s="2">
        <v>5031336.4400000004</v>
      </c>
      <c r="M1806" s="3">
        <v>15574</v>
      </c>
      <c r="N1806" s="4">
        <v>1.144683E-2</v>
      </c>
      <c r="O1806" s="5" t="s">
        <v>44</v>
      </c>
      <c r="P1806" s="5" t="s">
        <v>44</v>
      </c>
      <c r="Q1806" s="1"/>
      <c r="R1806" s="2"/>
      <c r="S1806" s="6"/>
      <c r="T1806" t="s">
        <v>10902</v>
      </c>
      <c r="U1806" t="s">
        <v>10902</v>
      </c>
      <c r="V1806" t="s">
        <v>10902</v>
      </c>
      <c r="W1806" t="s">
        <v>43</v>
      </c>
      <c r="X1806" t="s">
        <v>11300</v>
      </c>
      <c r="Y1806" t="s">
        <v>11299</v>
      </c>
      <c r="Z1806" t="s">
        <v>11296</v>
      </c>
      <c r="AA1806" t="s">
        <v>44</v>
      </c>
      <c r="AB1806" t="s">
        <v>44</v>
      </c>
      <c r="AC1806" s="4"/>
      <c r="AD1806" s="4"/>
      <c r="AE1806" s="2">
        <v>0</v>
      </c>
      <c r="AF1806" s="4">
        <v>0</v>
      </c>
      <c r="AG1806" s="2">
        <v>0.54</v>
      </c>
      <c r="AH1806" s="2">
        <v>5031336.4400000004</v>
      </c>
      <c r="AI1806" s="2">
        <v>0.01</v>
      </c>
      <c r="AJ1806" s="5">
        <v>44673</v>
      </c>
      <c r="AK1806" t="s">
        <v>12209</v>
      </c>
      <c r="AL1806" s="2">
        <v>0</v>
      </c>
      <c r="AM1806" s="2">
        <v>0</v>
      </c>
      <c r="AN1806" s="2">
        <v>0</v>
      </c>
      <c r="AO1806" t="s">
        <v>44</v>
      </c>
      <c r="AP1806" t="s">
        <v>11304</v>
      </c>
      <c r="AQ1806" t="s">
        <v>4926</v>
      </c>
    </row>
    <row r="1807" spans="1:43" x14ac:dyDescent="0.2">
      <c r="A1807" t="s">
        <v>12208</v>
      </c>
      <c r="B1807" t="s">
        <v>11037</v>
      </c>
      <c r="C1807" t="s">
        <v>11305</v>
      </c>
      <c r="D1807" t="s">
        <v>6592</v>
      </c>
      <c r="E1807" t="s">
        <v>5424</v>
      </c>
      <c r="F1807" t="s">
        <v>6592</v>
      </c>
      <c r="G1807" s="1">
        <v>100501</v>
      </c>
      <c r="H1807" s="2">
        <v>1261431.6100000001</v>
      </c>
      <c r="I1807" s="2">
        <v>1745702.37</v>
      </c>
      <c r="J1807" s="2">
        <v>0</v>
      </c>
      <c r="K1807" s="2">
        <v>0</v>
      </c>
      <c r="L1807" s="2">
        <v>1745702.37</v>
      </c>
      <c r="M1807" s="3">
        <v>1737</v>
      </c>
      <c r="N1807" s="4">
        <v>3.9716600000000001E-3</v>
      </c>
      <c r="O1807" s="5" t="s">
        <v>44</v>
      </c>
      <c r="P1807" s="5" t="s">
        <v>44</v>
      </c>
      <c r="Q1807" s="1"/>
      <c r="R1807" s="2"/>
      <c r="S1807" s="6"/>
      <c r="T1807" t="s">
        <v>10902</v>
      </c>
      <c r="U1807" t="s">
        <v>10902</v>
      </c>
      <c r="V1807" t="s">
        <v>10902</v>
      </c>
      <c r="W1807" t="s">
        <v>43</v>
      </c>
      <c r="X1807" t="s">
        <v>11306</v>
      </c>
      <c r="Y1807" t="s">
        <v>11307</v>
      </c>
      <c r="Z1807" t="s">
        <v>11305</v>
      </c>
      <c r="AA1807" t="s">
        <v>44</v>
      </c>
      <c r="AB1807" t="s">
        <v>44</v>
      </c>
      <c r="AC1807" s="4"/>
      <c r="AD1807" s="4"/>
      <c r="AE1807" s="2">
        <v>0</v>
      </c>
      <c r="AF1807" s="4">
        <v>0</v>
      </c>
      <c r="AG1807" s="2">
        <v>0.19</v>
      </c>
      <c r="AH1807" s="2">
        <v>1745702.37</v>
      </c>
      <c r="AI1807" s="2">
        <v>0</v>
      </c>
      <c r="AJ1807" s="5">
        <v>44673</v>
      </c>
      <c r="AK1807" t="s">
        <v>12209</v>
      </c>
      <c r="AL1807" s="2">
        <v>0</v>
      </c>
      <c r="AM1807" s="2">
        <v>0</v>
      </c>
      <c r="AN1807" s="2">
        <v>0</v>
      </c>
      <c r="AO1807" t="s">
        <v>44</v>
      </c>
      <c r="AP1807" t="s">
        <v>11308</v>
      </c>
      <c r="AQ1807" t="s">
        <v>5424</v>
      </c>
    </row>
    <row r="1808" spans="1:43" x14ac:dyDescent="0.2">
      <c r="A1808" t="s">
        <v>12208</v>
      </c>
      <c r="B1808" t="s">
        <v>11037</v>
      </c>
      <c r="C1808" t="s">
        <v>11305</v>
      </c>
      <c r="D1808" t="s">
        <v>11689</v>
      </c>
      <c r="E1808" t="s">
        <v>4998</v>
      </c>
      <c r="F1808" t="s">
        <v>11689</v>
      </c>
      <c r="G1808" s="1">
        <v>1001</v>
      </c>
      <c r="H1808" s="2">
        <v>287426.06</v>
      </c>
      <c r="I1808" s="2">
        <v>330330</v>
      </c>
      <c r="J1808" s="2">
        <v>0</v>
      </c>
      <c r="K1808" s="2">
        <v>0</v>
      </c>
      <c r="L1808" s="2">
        <v>330330</v>
      </c>
      <c r="M1808" s="3">
        <v>33000</v>
      </c>
      <c r="N1808" s="4">
        <v>7.5153999999999998E-4</v>
      </c>
      <c r="O1808" s="5" t="s">
        <v>44</v>
      </c>
      <c r="P1808" s="5" t="s">
        <v>44</v>
      </c>
      <c r="Q1808" s="1"/>
      <c r="R1808" s="2"/>
      <c r="S1808" s="6"/>
      <c r="T1808" t="s">
        <v>10902</v>
      </c>
      <c r="U1808" t="s">
        <v>10902</v>
      </c>
      <c r="V1808" t="s">
        <v>10902</v>
      </c>
      <c r="W1808" t="s">
        <v>43</v>
      </c>
      <c r="X1808" t="s">
        <v>11310</v>
      </c>
      <c r="Y1808" t="s">
        <v>11307</v>
      </c>
      <c r="Z1808" t="s">
        <v>11305</v>
      </c>
      <c r="AA1808" t="s">
        <v>44</v>
      </c>
      <c r="AB1808" t="s">
        <v>44</v>
      </c>
      <c r="AC1808" s="4"/>
      <c r="AD1808" s="4"/>
      <c r="AE1808" s="2">
        <v>0</v>
      </c>
      <c r="AF1808" s="4">
        <v>0</v>
      </c>
      <c r="AG1808" s="2">
        <v>0.04</v>
      </c>
      <c r="AH1808" s="2">
        <v>330330</v>
      </c>
      <c r="AI1808" s="2">
        <v>0</v>
      </c>
      <c r="AJ1808" s="5">
        <v>44673</v>
      </c>
      <c r="AK1808" t="s">
        <v>12209</v>
      </c>
      <c r="AL1808" s="2">
        <v>0</v>
      </c>
      <c r="AM1808" s="2">
        <v>0</v>
      </c>
      <c r="AN1808" s="2">
        <v>0</v>
      </c>
      <c r="AO1808" t="s">
        <v>44</v>
      </c>
      <c r="AP1808" t="s">
        <v>11690</v>
      </c>
      <c r="AQ1808" t="s">
        <v>4998</v>
      </c>
    </row>
    <row r="1809" spans="1:43" x14ac:dyDescent="0.2">
      <c r="A1809" t="s">
        <v>12208</v>
      </c>
      <c r="B1809" t="s">
        <v>11037</v>
      </c>
      <c r="C1809" t="s">
        <v>11305</v>
      </c>
      <c r="D1809" t="s">
        <v>11309</v>
      </c>
      <c r="E1809" t="s">
        <v>5389</v>
      </c>
      <c r="F1809" t="s">
        <v>11309</v>
      </c>
      <c r="G1809" s="1">
        <v>71309</v>
      </c>
      <c r="H1809" s="2">
        <v>2311716.2999999998</v>
      </c>
      <c r="I1809" s="2">
        <v>2684070.7599999998</v>
      </c>
      <c r="J1809" s="2">
        <v>0</v>
      </c>
      <c r="K1809" s="2">
        <v>0</v>
      </c>
      <c r="L1809" s="2">
        <v>2684070.7599999998</v>
      </c>
      <c r="M1809" s="3">
        <v>3764</v>
      </c>
      <c r="N1809" s="4">
        <v>6.1065499999999997E-3</v>
      </c>
      <c r="O1809" s="5" t="s">
        <v>44</v>
      </c>
      <c r="P1809" s="5" t="s">
        <v>44</v>
      </c>
      <c r="Q1809" s="1"/>
      <c r="R1809" s="2"/>
      <c r="S1809" s="6"/>
      <c r="T1809" t="s">
        <v>10902</v>
      </c>
      <c r="U1809" t="s">
        <v>10902</v>
      </c>
      <c r="V1809" t="s">
        <v>10902</v>
      </c>
      <c r="W1809" t="s">
        <v>43</v>
      </c>
      <c r="X1809" t="s">
        <v>11310</v>
      </c>
      <c r="Y1809" t="s">
        <v>11307</v>
      </c>
      <c r="Z1809" t="s">
        <v>11305</v>
      </c>
      <c r="AA1809" t="s">
        <v>44</v>
      </c>
      <c r="AB1809" t="s">
        <v>44</v>
      </c>
      <c r="AC1809" s="4"/>
      <c r="AD1809" s="4"/>
      <c r="AE1809" s="2">
        <v>0</v>
      </c>
      <c r="AF1809" s="4">
        <v>0</v>
      </c>
      <c r="AG1809" s="2">
        <v>0.28999999999999998</v>
      </c>
      <c r="AH1809" s="2">
        <v>2684070.7599999998</v>
      </c>
      <c r="AI1809" s="2">
        <v>0.01</v>
      </c>
      <c r="AJ1809" s="5">
        <v>44673</v>
      </c>
      <c r="AK1809" t="s">
        <v>12209</v>
      </c>
      <c r="AL1809" s="2">
        <v>0</v>
      </c>
      <c r="AM1809" s="2">
        <v>0</v>
      </c>
      <c r="AN1809" s="2">
        <v>0</v>
      </c>
      <c r="AO1809" t="s">
        <v>44</v>
      </c>
      <c r="AP1809" t="s">
        <v>11311</v>
      </c>
      <c r="AQ1809" t="s">
        <v>5389</v>
      </c>
    </row>
    <row r="1810" spans="1:43" x14ac:dyDescent="0.2">
      <c r="A1810" t="s">
        <v>12208</v>
      </c>
      <c r="B1810" t="s">
        <v>11037</v>
      </c>
      <c r="C1810" t="s">
        <v>11305</v>
      </c>
      <c r="D1810" t="s">
        <v>6609</v>
      </c>
      <c r="E1810" t="s">
        <v>5271</v>
      </c>
      <c r="F1810" t="s">
        <v>6609</v>
      </c>
      <c r="G1810" s="1">
        <v>64644</v>
      </c>
      <c r="H1810" s="2">
        <v>874424.57</v>
      </c>
      <c r="I1810" s="2">
        <v>1091837.1599999999</v>
      </c>
      <c r="J1810" s="2">
        <v>0</v>
      </c>
      <c r="K1810" s="2">
        <v>0</v>
      </c>
      <c r="L1810" s="2">
        <v>1091837.1599999999</v>
      </c>
      <c r="M1810" s="3">
        <v>1689</v>
      </c>
      <c r="N1810" s="4">
        <v>2.4840499999999998E-3</v>
      </c>
      <c r="O1810" s="5" t="s">
        <v>44</v>
      </c>
      <c r="P1810" s="5" t="s">
        <v>44</v>
      </c>
      <c r="Q1810" s="1"/>
      <c r="R1810" s="2"/>
      <c r="S1810" s="6"/>
      <c r="T1810" t="s">
        <v>10902</v>
      </c>
      <c r="U1810" t="s">
        <v>10902</v>
      </c>
      <c r="V1810" t="s">
        <v>10902</v>
      </c>
      <c r="W1810" t="s">
        <v>43</v>
      </c>
      <c r="X1810" t="s">
        <v>11306</v>
      </c>
      <c r="Y1810" t="s">
        <v>11307</v>
      </c>
      <c r="Z1810" t="s">
        <v>11305</v>
      </c>
      <c r="AA1810" t="s">
        <v>44</v>
      </c>
      <c r="AB1810" t="s">
        <v>44</v>
      </c>
      <c r="AC1810" s="4"/>
      <c r="AD1810" s="4"/>
      <c r="AE1810" s="2">
        <v>0</v>
      </c>
      <c r="AF1810" s="4">
        <v>0</v>
      </c>
      <c r="AG1810" s="2">
        <v>0.12</v>
      </c>
      <c r="AH1810" s="2">
        <v>1091837.1599999999</v>
      </c>
      <c r="AI1810" s="2">
        <v>0</v>
      </c>
      <c r="AJ1810" s="5">
        <v>44673</v>
      </c>
      <c r="AK1810" t="s">
        <v>12209</v>
      </c>
      <c r="AL1810" s="2">
        <v>0</v>
      </c>
      <c r="AM1810" s="2">
        <v>0</v>
      </c>
      <c r="AN1810" s="2">
        <v>0</v>
      </c>
      <c r="AO1810" t="s">
        <v>44</v>
      </c>
      <c r="AP1810" t="s">
        <v>11312</v>
      </c>
      <c r="AQ1810" t="s">
        <v>5271</v>
      </c>
    </row>
    <row r="1811" spans="1:43" x14ac:dyDescent="0.2">
      <c r="A1811" t="s">
        <v>12208</v>
      </c>
      <c r="B1811" t="s">
        <v>11037</v>
      </c>
      <c r="C1811" t="s">
        <v>11305</v>
      </c>
      <c r="D1811" t="s">
        <v>6372</v>
      </c>
      <c r="E1811" t="s">
        <v>6607</v>
      </c>
      <c r="F1811" t="s">
        <v>6372</v>
      </c>
      <c r="G1811" s="1">
        <v>28522</v>
      </c>
      <c r="H1811" s="2">
        <v>1984746.33</v>
      </c>
      <c r="I1811" s="2">
        <v>3186763.06</v>
      </c>
      <c r="J1811" s="2">
        <v>0</v>
      </c>
      <c r="K1811" s="2">
        <v>0</v>
      </c>
      <c r="L1811" s="2">
        <v>3186763.06</v>
      </c>
      <c r="M1811" s="3">
        <v>11173</v>
      </c>
      <c r="N1811" s="4">
        <v>7.2502299999999999E-3</v>
      </c>
      <c r="O1811" s="5" t="s">
        <v>44</v>
      </c>
      <c r="P1811" s="5" t="s">
        <v>44</v>
      </c>
      <c r="Q1811" s="1"/>
      <c r="R1811" s="2"/>
      <c r="S1811" s="6"/>
      <c r="T1811" t="s">
        <v>10902</v>
      </c>
      <c r="U1811" t="s">
        <v>10902</v>
      </c>
      <c r="V1811" t="s">
        <v>10902</v>
      </c>
      <c r="W1811" t="s">
        <v>43</v>
      </c>
      <c r="X1811" t="s">
        <v>11306</v>
      </c>
      <c r="Y1811" t="s">
        <v>11307</v>
      </c>
      <c r="Z1811" t="s">
        <v>11305</v>
      </c>
      <c r="AA1811" t="s">
        <v>44</v>
      </c>
      <c r="AB1811" t="s">
        <v>44</v>
      </c>
      <c r="AC1811" s="4"/>
      <c r="AD1811" s="4"/>
      <c r="AE1811" s="2">
        <v>0</v>
      </c>
      <c r="AF1811" s="4">
        <v>0</v>
      </c>
      <c r="AG1811" s="2">
        <v>0.34</v>
      </c>
      <c r="AH1811" s="2">
        <v>3186763.06</v>
      </c>
      <c r="AI1811" s="2">
        <v>0.01</v>
      </c>
      <c r="AJ1811" s="5">
        <v>44673</v>
      </c>
      <c r="AK1811" t="s">
        <v>12209</v>
      </c>
      <c r="AL1811" s="2">
        <v>0</v>
      </c>
      <c r="AM1811" s="2">
        <v>0</v>
      </c>
      <c r="AN1811" s="2">
        <v>0</v>
      </c>
      <c r="AO1811" t="s">
        <v>44</v>
      </c>
      <c r="AP1811" t="s">
        <v>11313</v>
      </c>
      <c r="AQ1811" t="s">
        <v>6607</v>
      </c>
    </row>
    <row r="1812" spans="1:43" x14ac:dyDescent="0.2">
      <c r="A1812" t="s">
        <v>12208</v>
      </c>
      <c r="B1812" t="s">
        <v>11037</v>
      </c>
      <c r="C1812" t="s">
        <v>11305</v>
      </c>
      <c r="D1812" t="s">
        <v>11314</v>
      </c>
      <c r="E1812" t="s">
        <v>6750</v>
      </c>
      <c r="F1812" t="s">
        <v>11314</v>
      </c>
      <c r="G1812" s="1">
        <v>243065</v>
      </c>
      <c r="H1812" s="2">
        <v>4659140.9400000004</v>
      </c>
      <c r="I1812" s="2">
        <v>5301247.6500000004</v>
      </c>
      <c r="J1812" s="2">
        <v>0</v>
      </c>
      <c r="K1812" s="2">
        <v>0</v>
      </c>
      <c r="L1812" s="2">
        <v>5301247.6500000004</v>
      </c>
      <c r="M1812" s="3">
        <v>2181</v>
      </c>
      <c r="N1812" s="4">
        <v>1.2060909999999999E-2</v>
      </c>
      <c r="O1812" s="5" t="s">
        <v>44</v>
      </c>
      <c r="P1812" s="5" t="s">
        <v>44</v>
      </c>
      <c r="Q1812" s="1"/>
      <c r="R1812" s="2"/>
      <c r="S1812" s="6"/>
      <c r="T1812" t="s">
        <v>10902</v>
      </c>
      <c r="U1812" t="s">
        <v>10902</v>
      </c>
      <c r="V1812" t="s">
        <v>10902</v>
      </c>
      <c r="W1812" t="s">
        <v>43</v>
      </c>
      <c r="X1812" t="s">
        <v>11306</v>
      </c>
      <c r="Y1812" t="s">
        <v>11307</v>
      </c>
      <c r="Z1812" t="s">
        <v>11305</v>
      </c>
      <c r="AA1812" t="s">
        <v>44</v>
      </c>
      <c r="AB1812" t="s">
        <v>44</v>
      </c>
      <c r="AC1812" s="4"/>
      <c r="AD1812" s="4"/>
      <c r="AE1812" s="2">
        <v>0</v>
      </c>
      <c r="AF1812" s="4">
        <v>0</v>
      </c>
      <c r="AG1812" s="2">
        <v>0.56999999999999995</v>
      </c>
      <c r="AH1812" s="2">
        <v>5301247.6500000004</v>
      </c>
      <c r="AI1812" s="2">
        <v>0.01</v>
      </c>
      <c r="AJ1812" s="5">
        <v>44673</v>
      </c>
      <c r="AK1812" t="s">
        <v>12209</v>
      </c>
      <c r="AL1812" s="2">
        <v>0</v>
      </c>
      <c r="AM1812" s="2">
        <v>0</v>
      </c>
      <c r="AN1812" s="2">
        <v>0</v>
      </c>
      <c r="AO1812" t="s">
        <v>44</v>
      </c>
      <c r="AP1812" t="s">
        <v>11315</v>
      </c>
      <c r="AQ1812" t="s">
        <v>6750</v>
      </c>
    </row>
    <row r="1813" spans="1:43" x14ac:dyDescent="0.2">
      <c r="A1813" t="s">
        <v>12208</v>
      </c>
      <c r="B1813" t="s">
        <v>11037</v>
      </c>
      <c r="C1813" t="s">
        <v>11305</v>
      </c>
      <c r="D1813" t="s">
        <v>11316</v>
      </c>
      <c r="E1813" t="s">
        <v>5173</v>
      </c>
      <c r="F1813" t="s">
        <v>11316</v>
      </c>
      <c r="G1813" s="1">
        <v>69148</v>
      </c>
      <c r="H1813" s="2">
        <v>4287834.79</v>
      </c>
      <c r="I1813" s="2">
        <v>4135741.88</v>
      </c>
      <c r="J1813" s="2">
        <v>0</v>
      </c>
      <c r="K1813" s="2">
        <v>0</v>
      </c>
      <c r="L1813" s="2">
        <v>4135741.88</v>
      </c>
      <c r="M1813" s="3">
        <v>5981</v>
      </c>
      <c r="N1813" s="4">
        <v>9.4092599999999992E-3</v>
      </c>
      <c r="O1813" s="5" t="s">
        <v>44</v>
      </c>
      <c r="P1813" s="5" t="s">
        <v>44</v>
      </c>
      <c r="Q1813" s="1"/>
      <c r="R1813" s="2"/>
      <c r="S1813" s="6"/>
      <c r="T1813" t="s">
        <v>10902</v>
      </c>
      <c r="U1813" t="s">
        <v>10902</v>
      </c>
      <c r="V1813" t="s">
        <v>10902</v>
      </c>
      <c r="W1813" t="s">
        <v>43</v>
      </c>
      <c r="X1813" t="s">
        <v>11310</v>
      </c>
      <c r="Y1813" t="s">
        <v>11307</v>
      </c>
      <c r="Z1813" t="s">
        <v>11305</v>
      </c>
      <c r="AA1813" t="s">
        <v>44</v>
      </c>
      <c r="AB1813" t="s">
        <v>44</v>
      </c>
      <c r="AC1813" s="4"/>
      <c r="AD1813" s="4"/>
      <c r="AE1813" s="2">
        <v>0</v>
      </c>
      <c r="AF1813" s="4">
        <v>0</v>
      </c>
      <c r="AG1813" s="2">
        <v>0.45</v>
      </c>
      <c r="AH1813" s="2">
        <v>4135741.88</v>
      </c>
      <c r="AI1813" s="2">
        <v>0.01</v>
      </c>
      <c r="AJ1813" s="5">
        <v>44673</v>
      </c>
      <c r="AK1813" t="s">
        <v>12209</v>
      </c>
      <c r="AL1813" s="2">
        <v>0</v>
      </c>
      <c r="AM1813" s="2">
        <v>0</v>
      </c>
      <c r="AN1813" s="2">
        <v>0</v>
      </c>
      <c r="AO1813" t="s">
        <v>44</v>
      </c>
      <c r="AP1813" t="s">
        <v>11317</v>
      </c>
      <c r="AQ1813" t="s">
        <v>5173</v>
      </c>
    </row>
    <row r="1814" spans="1:43" x14ac:dyDescent="0.2">
      <c r="A1814" t="s">
        <v>12208</v>
      </c>
      <c r="B1814" t="s">
        <v>11037</v>
      </c>
      <c r="C1814" t="s">
        <v>11305</v>
      </c>
      <c r="D1814" t="s">
        <v>5981</v>
      </c>
      <c r="E1814" t="s">
        <v>4900</v>
      </c>
      <c r="F1814" t="s">
        <v>5981</v>
      </c>
      <c r="G1814" s="1">
        <v>1345</v>
      </c>
      <c r="H1814" s="2">
        <v>302395.78999999998</v>
      </c>
      <c r="I1814" s="2">
        <v>321414.65000000002</v>
      </c>
      <c r="J1814" s="2">
        <v>0</v>
      </c>
      <c r="K1814" s="2">
        <v>0</v>
      </c>
      <c r="L1814" s="2">
        <v>321414.65000000002</v>
      </c>
      <c r="M1814" s="3">
        <v>23897</v>
      </c>
      <c r="N1814" s="4">
        <v>7.3125000000000002E-4</v>
      </c>
      <c r="O1814" s="5" t="s">
        <v>44</v>
      </c>
      <c r="P1814" s="5" t="s">
        <v>44</v>
      </c>
      <c r="Q1814" s="1"/>
      <c r="R1814" s="2"/>
      <c r="S1814" s="6"/>
      <c r="T1814" t="s">
        <v>10902</v>
      </c>
      <c r="U1814" t="s">
        <v>10902</v>
      </c>
      <c r="V1814" t="s">
        <v>10902</v>
      </c>
      <c r="W1814" t="s">
        <v>43</v>
      </c>
      <c r="X1814" t="s">
        <v>11310</v>
      </c>
      <c r="Y1814" t="s">
        <v>11307</v>
      </c>
      <c r="Z1814" t="s">
        <v>11305</v>
      </c>
      <c r="AA1814" t="s">
        <v>44</v>
      </c>
      <c r="AB1814" t="s">
        <v>44</v>
      </c>
      <c r="AC1814" s="4"/>
      <c r="AD1814" s="4"/>
      <c r="AE1814" s="2">
        <v>0</v>
      </c>
      <c r="AF1814" s="4">
        <v>0</v>
      </c>
      <c r="AG1814" s="2">
        <v>0.03</v>
      </c>
      <c r="AH1814" s="2">
        <v>321414.65000000002</v>
      </c>
      <c r="AI1814" s="2">
        <v>0</v>
      </c>
      <c r="AJ1814" s="5">
        <v>44673</v>
      </c>
      <c r="AK1814" t="s">
        <v>12209</v>
      </c>
      <c r="AL1814" s="2">
        <v>0</v>
      </c>
      <c r="AM1814" s="2">
        <v>0</v>
      </c>
      <c r="AN1814" s="2">
        <v>0</v>
      </c>
      <c r="AO1814" t="s">
        <v>44</v>
      </c>
      <c r="AP1814" t="s">
        <v>11697</v>
      </c>
      <c r="AQ1814" t="s">
        <v>4900</v>
      </c>
    </row>
    <row r="1815" spans="1:43" x14ac:dyDescent="0.2">
      <c r="A1815" t="s">
        <v>12208</v>
      </c>
      <c r="B1815" t="s">
        <v>11037</v>
      </c>
      <c r="C1815" t="s">
        <v>11305</v>
      </c>
      <c r="D1815" t="s">
        <v>11318</v>
      </c>
      <c r="E1815" t="s">
        <v>4978</v>
      </c>
      <c r="F1815" t="s">
        <v>11318</v>
      </c>
      <c r="G1815" s="1">
        <v>204</v>
      </c>
      <c r="H1815" s="2">
        <v>15076.05</v>
      </c>
      <c r="I1815" s="2">
        <v>28439.64</v>
      </c>
      <c r="J1815" s="2">
        <v>0</v>
      </c>
      <c r="K1815" s="2">
        <v>0</v>
      </c>
      <c r="L1815" s="2">
        <v>28439.64</v>
      </c>
      <c r="M1815" s="3">
        <v>13941</v>
      </c>
      <c r="N1815" s="4">
        <v>6.4700000000000001E-5</v>
      </c>
      <c r="O1815" s="5" t="s">
        <v>44</v>
      </c>
      <c r="P1815" s="5" t="s">
        <v>44</v>
      </c>
      <c r="Q1815" s="1"/>
      <c r="R1815" s="2"/>
      <c r="S1815" s="6"/>
      <c r="T1815" t="s">
        <v>10902</v>
      </c>
      <c r="U1815" t="s">
        <v>10902</v>
      </c>
      <c r="V1815" t="s">
        <v>10902</v>
      </c>
      <c r="W1815" t="s">
        <v>43</v>
      </c>
      <c r="X1815" t="s">
        <v>11306</v>
      </c>
      <c r="Y1815" t="s">
        <v>11307</v>
      </c>
      <c r="Z1815" t="s">
        <v>11305</v>
      </c>
      <c r="AA1815" t="s">
        <v>44</v>
      </c>
      <c r="AB1815" t="s">
        <v>44</v>
      </c>
      <c r="AC1815" s="4"/>
      <c r="AD1815" s="4"/>
      <c r="AE1815" s="2">
        <v>0</v>
      </c>
      <c r="AF1815" s="4">
        <v>0</v>
      </c>
      <c r="AG1815" s="2">
        <v>0</v>
      </c>
      <c r="AH1815" s="2">
        <v>28439.64</v>
      </c>
      <c r="AI1815" s="2">
        <v>0</v>
      </c>
      <c r="AJ1815" s="5">
        <v>44673</v>
      </c>
      <c r="AK1815" t="s">
        <v>12209</v>
      </c>
      <c r="AL1815" s="2">
        <v>0</v>
      </c>
      <c r="AM1815" s="2">
        <v>0</v>
      </c>
      <c r="AN1815" s="2">
        <v>0</v>
      </c>
      <c r="AO1815" t="s">
        <v>44</v>
      </c>
      <c r="AP1815" t="s">
        <v>11319</v>
      </c>
      <c r="AQ1815" t="s">
        <v>4978</v>
      </c>
    </row>
    <row r="1816" spans="1:43" x14ac:dyDescent="0.2">
      <c r="A1816" t="s">
        <v>12208</v>
      </c>
      <c r="B1816" t="s">
        <v>11037</v>
      </c>
      <c r="C1816" t="s">
        <v>11305</v>
      </c>
      <c r="D1816" t="s">
        <v>11698</v>
      </c>
      <c r="E1816" t="s">
        <v>4919</v>
      </c>
      <c r="F1816" t="s">
        <v>11698</v>
      </c>
      <c r="G1816" s="1">
        <v>35708</v>
      </c>
      <c r="H1816" s="2">
        <v>5761595.29</v>
      </c>
      <c r="I1816" s="2">
        <v>5934669.5999999996</v>
      </c>
      <c r="J1816" s="2">
        <v>0</v>
      </c>
      <c r="K1816" s="2">
        <v>0</v>
      </c>
      <c r="L1816" s="2">
        <v>5934669.5999999996</v>
      </c>
      <c r="M1816" s="3">
        <v>16620</v>
      </c>
      <c r="N1816" s="4">
        <v>1.350201E-2</v>
      </c>
      <c r="O1816" s="5" t="s">
        <v>44</v>
      </c>
      <c r="P1816" s="5" t="s">
        <v>44</v>
      </c>
      <c r="Q1816" s="1"/>
      <c r="R1816" s="2"/>
      <c r="S1816" s="6"/>
      <c r="T1816" t="s">
        <v>10902</v>
      </c>
      <c r="U1816" t="s">
        <v>10902</v>
      </c>
      <c r="V1816" t="s">
        <v>10902</v>
      </c>
      <c r="W1816" t="s">
        <v>43</v>
      </c>
      <c r="X1816" t="s">
        <v>11310</v>
      </c>
      <c r="Y1816" t="s">
        <v>11307</v>
      </c>
      <c r="Z1816" t="s">
        <v>11305</v>
      </c>
      <c r="AA1816" t="s">
        <v>44</v>
      </c>
      <c r="AB1816" t="s">
        <v>44</v>
      </c>
      <c r="AC1816" s="4"/>
      <c r="AD1816" s="4"/>
      <c r="AE1816" s="2">
        <v>0</v>
      </c>
      <c r="AF1816" s="4">
        <v>0</v>
      </c>
      <c r="AG1816" s="2">
        <v>0.64</v>
      </c>
      <c r="AH1816" s="2">
        <v>5934669.5999999996</v>
      </c>
      <c r="AI1816" s="2">
        <v>0.01</v>
      </c>
      <c r="AJ1816" s="5">
        <v>44673</v>
      </c>
      <c r="AK1816" t="s">
        <v>12209</v>
      </c>
      <c r="AL1816" s="2">
        <v>0</v>
      </c>
      <c r="AM1816" s="2">
        <v>0</v>
      </c>
      <c r="AN1816" s="2">
        <v>0</v>
      </c>
      <c r="AO1816" t="s">
        <v>44</v>
      </c>
      <c r="AP1816" t="s">
        <v>11699</v>
      </c>
      <c r="AQ1816" t="s">
        <v>4919</v>
      </c>
    </row>
    <row r="1817" spans="1:43" x14ac:dyDescent="0.2">
      <c r="A1817" t="s">
        <v>12208</v>
      </c>
      <c r="B1817" t="s">
        <v>11037</v>
      </c>
      <c r="C1817" t="s">
        <v>11305</v>
      </c>
      <c r="D1817" t="s">
        <v>6224</v>
      </c>
      <c r="E1817" t="s">
        <v>3901</v>
      </c>
      <c r="F1817" t="s">
        <v>6224</v>
      </c>
      <c r="G1817" s="1">
        <v>73041</v>
      </c>
      <c r="H1817" s="2">
        <v>4324966.71</v>
      </c>
      <c r="I1817" s="2">
        <v>4069844.52</v>
      </c>
      <c r="J1817" s="2">
        <v>0</v>
      </c>
      <c r="K1817" s="2">
        <v>0</v>
      </c>
      <c r="L1817" s="2">
        <v>4069844.52</v>
      </c>
      <c r="M1817" s="3">
        <v>5572</v>
      </c>
      <c r="N1817" s="4">
        <v>9.2593299999999996E-3</v>
      </c>
      <c r="O1817" s="5" t="s">
        <v>44</v>
      </c>
      <c r="P1817" s="5" t="s">
        <v>44</v>
      </c>
      <c r="Q1817" s="1"/>
      <c r="R1817" s="2"/>
      <c r="S1817" s="6"/>
      <c r="T1817" t="s">
        <v>10902</v>
      </c>
      <c r="U1817" t="s">
        <v>10902</v>
      </c>
      <c r="V1817" t="s">
        <v>10902</v>
      </c>
      <c r="W1817" t="s">
        <v>43</v>
      </c>
      <c r="X1817" t="s">
        <v>11306</v>
      </c>
      <c r="Y1817" t="s">
        <v>11307</v>
      </c>
      <c r="Z1817" t="s">
        <v>11305</v>
      </c>
      <c r="AA1817" t="s">
        <v>44</v>
      </c>
      <c r="AB1817" t="s">
        <v>44</v>
      </c>
      <c r="AC1817" s="4"/>
      <c r="AD1817" s="4"/>
      <c r="AE1817" s="2">
        <v>0</v>
      </c>
      <c r="AF1817" s="4">
        <v>0</v>
      </c>
      <c r="AG1817" s="2">
        <v>0.44</v>
      </c>
      <c r="AH1817" s="2">
        <v>4069844.52</v>
      </c>
      <c r="AI1817" s="2">
        <v>0.01</v>
      </c>
      <c r="AJ1817" s="5">
        <v>44673</v>
      </c>
      <c r="AK1817" t="s">
        <v>12209</v>
      </c>
      <c r="AL1817" s="2">
        <v>0</v>
      </c>
      <c r="AM1817" s="2">
        <v>0</v>
      </c>
      <c r="AN1817" s="2">
        <v>0</v>
      </c>
      <c r="AO1817" t="s">
        <v>44</v>
      </c>
      <c r="AP1817" t="s">
        <v>11320</v>
      </c>
      <c r="AQ1817" t="s">
        <v>3901</v>
      </c>
    </row>
    <row r="1818" spans="1:43" x14ac:dyDescent="0.2">
      <c r="A1818" t="s">
        <v>12208</v>
      </c>
      <c r="B1818" t="s">
        <v>11037</v>
      </c>
      <c r="C1818" t="s">
        <v>11050</v>
      </c>
      <c r="D1818" t="s">
        <v>12212</v>
      </c>
      <c r="E1818" t="s">
        <v>12213</v>
      </c>
      <c r="F1818" t="s">
        <v>12212</v>
      </c>
      <c r="G1818" s="1">
        <v>1750000</v>
      </c>
      <c r="H1818" s="2">
        <v>175000000</v>
      </c>
      <c r="I1818" s="2">
        <v>194786375</v>
      </c>
      <c r="J1818" s="2">
        <v>0</v>
      </c>
      <c r="K1818" s="2">
        <v>0</v>
      </c>
      <c r="L1818" s="2">
        <v>194786375</v>
      </c>
      <c r="M1818" s="3">
        <v>111.3065</v>
      </c>
      <c r="N1818" s="4">
        <v>0.44315998000000001</v>
      </c>
      <c r="O1818" s="5" t="s">
        <v>44</v>
      </c>
      <c r="P1818" s="5" t="s">
        <v>44</v>
      </c>
      <c r="Q1818" s="1"/>
      <c r="R1818" s="2"/>
      <c r="S1818" s="6"/>
      <c r="T1818" t="s">
        <v>10902</v>
      </c>
      <c r="U1818" t="s">
        <v>10902</v>
      </c>
      <c r="V1818" t="s">
        <v>11051</v>
      </c>
      <c r="W1818" t="s">
        <v>43</v>
      </c>
      <c r="X1818" t="s">
        <v>11050</v>
      </c>
      <c r="Y1818" t="s">
        <v>44</v>
      </c>
      <c r="Z1818" t="s">
        <v>11050</v>
      </c>
      <c r="AA1818" t="s">
        <v>44</v>
      </c>
      <c r="AB1818" t="s">
        <v>44</v>
      </c>
      <c r="AC1818" s="4"/>
      <c r="AD1818" s="4"/>
      <c r="AE1818" s="2">
        <v>0</v>
      </c>
      <c r="AF1818" s="4">
        <v>0</v>
      </c>
      <c r="AG1818" s="2">
        <v>20.97</v>
      </c>
      <c r="AH1818" s="2">
        <v>194786375</v>
      </c>
      <c r="AI1818" s="2">
        <v>0.44</v>
      </c>
      <c r="AJ1818" s="5">
        <v>44673</v>
      </c>
      <c r="AK1818" t="s">
        <v>12209</v>
      </c>
      <c r="AL1818" s="2">
        <v>0</v>
      </c>
      <c r="AM1818" s="2">
        <v>0</v>
      </c>
      <c r="AN1818" s="2">
        <v>0</v>
      </c>
      <c r="AO1818" t="s">
        <v>44</v>
      </c>
      <c r="AP1818" t="s">
        <v>44</v>
      </c>
      <c r="AQ1818" t="s">
        <v>12213</v>
      </c>
    </row>
    <row r="1819" spans="1:43" x14ac:dyDescent="0.2">
      <c r="A1819" t="s">
        <v>12208</v>
      </c>
      <c r="B1819" t="s">
        <v>11037</v>
      </c>
      <c r="C1819" t="s">
        <v>11050</v>
      </c>
      <c r="D1819" t="s">
        <v>12214</v>
      </c>
      <c r="E1819" t="s">
        <v>12215</v>
      </c>
      <c r="F1819" t="s">
        <v>12214</v>
      </c>
      <c r="G1819" s="1">
        <v>50000000</v>
      </c>
      <c r="H1819" s="2">
        <v>50000000</v>
      </c>
      <c r="I1819" s="2">
        <v>66158097.200000003</v>
      </c>
      <c r="J1819" s="2">
        <v>0</v>
      </c>
      <c r="K1819" s="2">
        <v>0</v>
      </c>
      <c r="L1819" s="2">
        <v>66158097.200000003</v>
      </c>
      <c r="M1819" s="3">
        <v>132.316194</v>
      </c>
      <c r="N1819" s="4">
        <v>0.15051679000000001</v>
      </c>
      <c r="O1819" s="5" t="s">
        <v>44</v>
      </c>
      <c r="P1819" s="5" t="s">
        <v>44</v>
      </c>
      <c r="Q1819" s="1"/>
      <c r="R1819" s="2"/>
      <c r="S1819" s="6"/>
      <c r="T1819" t="s">
        <v>10902</v>
      </c>
      <c r="U1819" t="s">
        <v>10902</v>
      </c>
      <c r="V1819" t="s">
        <v>11051</v>
      </c>
      <c r="W1819" t="s">
        <v>43</v>
      </c>
      <c r="X1819" t="s">
        <v>11050</v>
      </c>
      <c r="Y1819" t="s">
        <v>44</v>
      </c>
      <c r="Z1819" t="s">
        <v>11050</v>
      </c>
      <c r="AA1819" t="s">
        <v>44</v>
      </c>
      <c r="AB1819" t="s">
        <v>44</v>
      </c>
      <c r="AC1819" s="4"/>
      <c r="AD1819" s="4"/>
      <c r="AE1819" s="2">
        <v>0</v>
      </c>
      <c r="AF1819" s="4">
        <v>0</v>
      </c>
      <c r="AG1819" s="2">
        <v>7.12</v>
      </c>
      <c r="AH1819" s="2">
        <v>66158097.200000003</v>
      </c>
      <c r="AI1819" s="2">
        <v>0.15</v>
      </c>
      <c r="AJ1819" s="5">
        <v>44673</v>
      </c>
      <c r="AK1819" t="s">
        <v>12209</v>
      </c>
      <c r="AL1819" s="2">
        <v>0</v>
      </c>
      <c r="AM1819" s="2">
        <v>0</v>
      </c>
      <c r="AN1819" s="2">
        <v>0</v>
      </c>
      <c r="AO1819" t="s">
        <v>44</v>
      </c>
      <c r="AP1819" t="s">
        <v>12216</v>
      </c>
      <c r="AQ1819" t="s">
        <v>12215</v>
      </c>
    </row>
    <row r="1820" spans="1:43" x14ac:dyDescent="0.2">
      <c r="A1820" t="s">
        <v>12208</v>
      </c>
      <c r="B1820" t="s">
        <v>11037</v>
      </c>
      <c r="C1820" t="s">
        <v>11050</v>
      </c>
      <c r="D1820" t="s">
        <v>12217</v>
      </c>
      <c r="E1820" t="s">
        <v>12218</v>
      </c>
      <c r="F1820" t="s">
        <v>12217</v>
      </c>
      <c r="G1820" s="1">
        <v>100000000</v>
      </c>
      <c r="H1820" s="2">
        <v>100000000</v>
      </c>
      <c r="I1820" s="2">
        <v>136897895.59999999</v>
      </c>
      <c r="J1820" s="2">
        <v>0</v>
      </c>
      <c r="K1820" s="2">
        <v>0</v>
      </c>
      <c r="L1820" s="2">
        <v>136897895.59999999</v>
      </c>
      <c r="M1820" s="3">
        <v>136.897896</v>
      </c>
      <c r="N1820" s="4">
        <v>0.31145745000000002</v>
      </c>
      <c r="O1820" s="5" t="s">
        <v>44</v>
      </c>
      <c r="P1820" s="5" t="s">
        <v>44</v>
      </c>
      <c r="Q1820" s="1"/>
      <c r="R1820" s="2"/>
      <c r="S1820" s="6"/>
      <c r="T1820" t="s">
        <v>10902</v>
      </c>
      <c r="U1820" t="s">
        <v>10902</v>
      </c>
      <c r="V1820" t="s">
        <v>11051</v>
      </c>
      <c r="W1820" t="s">
        <v>43</v>
      </c>
      <c r="X1820" t="s">
        <v>11050</v>
      </c>
      <c r="Y1820" t="s">
        <v>44</v>
      </c>
      <c r="Z1820" t="s">
        <v>11050</v>
      </c>
      <c r="AA1820" t="s">
        <v>44</v>
      </c>
      <c r="AB1820" t="s">
        <v>44</v>
      </c>
      <c r="AC1820" s="4"/>
      <c r="AD1820" s="4"/>
      <c r="AE1820" s="2">
        <v>0</v>
      </c>
      <c r="AF1820" s="4">
        <v>0</v>
      </c>
      <c r="AG1820" s="2">
        <v>14.74</v>
      </c>
      <c r="AH1820" s="2">
        <v>136897895.59999999</v>
      </c>
      <c r="AI1820" s="2">
        <v>0.31</v>
      </c>
      <c r="AJ1820" s="5">
        <v>44673</v>
      </c>
      <c r="AK1820" t="s">
        <v>12209</v>
      </c>
      <c r="AL1820" s="2">
        <v>0</v>
      </c>
      <c r="AM1820" s="2">
        <v>0</v>
      </c>
      <c r="AN1820" s="2">
        <v>0</v>
      </c>
      <c r="AO1820" t="s">
        <v>44</v>
      </c>
      <c r="AP1820" t="s">
        <v>12219</v>
      </c>
      <c r="AQ1820" t="s">
        <v>12218</v>
      </c>
    </row>
    <row r="1821" spans="1:43" x14ac:dyDescent="0.2">
      <c r="A1821" t="s">
        <v>12208</v>
      </c>
      <c r="B1821" t="s">
        <v>11037</v>
      </c>
      <c r="C1821" t="s">
        <v>11195</v>
      </c>
      <c r="D1821" t="s">
        <v>5925</v>
      </c>
      <c r="E1821" t="s">
        <v>5026</v>
      </c>
      <c r="F1821" t="s">
        <v>5925</v>
      </c>
      <c r="G1821" s="1">
        <v>2083</v>
      </c>
      <c r="H1821" s="2">
        <v>382548.9</v>
      </c>
      <c r="I1821" s="2">
        <v>345882.15</v>
      </c>
      <c r="J1821" s="2">
        <v>0</v>
      </c>
      <c r="K1821" s="2">
        <v>9894.25</v>
      </c>
      <c r="L1821" s="2">
        <v>355776.4</v>
      </c>
      <c r="M1821" s="3">
        <v>16605</v>
      </c>
      <c r="N1821" s="4">
        <v>8.0942999999999998E-4</v>
      </c>
      <c r="O1821" s="5" t="s">
        <v>44</v>
      </c>
      <c r="P1821" s="5" t="s">
        <v>44</v>
      </c>
      <c r="Q1821" s="1"/>
      <c r="R1821" s="2"/>
      <c r="S1821" s="6"/>
      <c r="T1821" t="s">
        <v>10902</v>
      </c>
      <c r="U1821" t="s">
        <v>10902</v>
      </c>
      <c r="V1821" t="s">
        <v>10902</v>
      </c>
      <c r="W1821" t="s">
        <v>43</v>
      </c>
      <c r="X1821" t="s">
        <v>11034</v>
      </c>
      <c r="Y1821" t="s">
        <v>11034</v>
      </c>
      <c r="Z1821" t="s">
        <v>11195</v>
      </c>
      <c r="AA1821" t="s">
        <v>44</v>
      </c>
      <c r="AB1821" t="s">
        <v>44</v>
      </c>
      <c r="AC1821" s="4"/>
      <c r="AD1821" s="4"/>
      <c r="AE1821" s="2">
        <v>0</v>
      </c>
      <c r="AF1821" s="4">
        <v>0</v>
      </c>
      <c r="AG1821" s="2">
        <v>0.04</v>
      </c>
      <c r="AH1821" s="2">
        <v>355776.4</v>
      </c>
      <c r="AI1821" s="2">
        <v>0</v>
      </c>
      <c r="AJ1821" s="5">
        <v>44673</v>
      </c>
      <c r="AK1821" t="s">
        <v>12209</v>
      </c>
      <c r="AL1821" s="2">
        <v>0</v>
      </c>
      <c r="AM1821" s="2">
        <v>0</v>
      </c>
      <c r="AN1821" s="2">
        <v>0</v>
      </c>
      <c r="AO1821" t="s">
        <v>44</v>
      </c>
      <c r="AP1821" t="s">
        <v>11702</v>
      </c>
      <c r="AQ1821" t="s">
        <v>5026</v>
      </c>
    </row>
    <row r="1822" spans="1:43" x14ac:dyDescent="0.2">
      <c r="A1822" t="s">
        <v>12208</v>
      </c>
      <c r="B1822" t="s">
        <v>11037</v>
      </c>
      <c r="C1822" t="s">
        <v>11195</v>
      </c>
      <c r="D1822" t="s">
        <v>6419</v>
      </c>
      <c r="E1822" t="s">
        <v>5072</v>
      </c>
      <c r="F1822" t="s">
        <v>6419</v>
      </c>
      <c r="G1822" s="1">
        <v>55006</v>
      </c>
      <c r="H1822" s="2">
        <v>3337039.25</v>
      </c>
      <c r="I1822" s="2">
        <v>2308051.7599999998</v>
      </c>
      <c r="J1822" s="2">
        <v>0</v>
      </c>
      <c r="K1822" s="2">
        <v>0</v>
      </c>
      <c r="L1822" s="2">
        <v>2308051.7599999998</v>
      </c>
      <c r="M1822" s="3">
        <v>4196</v>
      </c>
      <c r="N1822" s="4">
        <v>5.25107E-3</v>
      </c>
      <c r="O1822" s="5" t="s">
        <v>44</v>
      </c>
      <c r="P1822" s="5" t="s">
        <v>44</v>
      </c>
      <c r="Q1822" s="1"/>
      <c r="R1822" s="2"/>
      <c r="S1822" s="6"/>
      <c r="T1822" t="s">
        <v>10902</v>
      </c>
      <c r="U1822" t="s">
        <v>10902</v>
      </c>
      <c r="V1822" t="s">
        <v>10902</v>
      </c>
      <c r="W1822" t="s">
        <v>43</v>
      </c>
      <c r="X1822" t="s">
        <v>11327</v>
      </c>
      <c r="Y1822" t="s">
        <v>11198</v>
      </c>
      <c r="Z1822" t="s">
        <v>11195</v>
      </c>
      <c r="AA1822" t="s">
        <v>44</v>
      </c>
      <c r="AB1822" t="s">
        <v>44</v>
      </c>
      <c r="AC1822" s="4"/>
      <c r="AD1822" s="4"/>
      <c r="AE1822" s="2">
        <v>0</v>
      </c>
      <c r="AF1822" s="4">
        <v>0</v>
      </c>
      <c r="AG1822" s="2">
        <v>0.25</v>
      </c>
      <c r="AH1822" s="2">
        <v>2308051.7599999998</v>
      </c>
      <c r="AI1822" s="2">
        <v>0.01</v>
      </c>
      <c r="AJ1822" s="5">
        <v>44673</v>
      </c>
      <c r="AK1822" t="s">
        <v>12209</v>
      </c>
      <c r="AL1822" s="2">
        <v>0</v>
      </c>
      <c r="AM1822" s="2">
        <v>0</v>
      </c>
      <c r="AN1822" s="2">
        <v>0</v>
      </c>
      <c r="AO1822" t="s">
        <v>44</v>
      </c>
      <c r="AP1822" t="s">
        <v>11328</v>
      </c>
      <c r="AQ1822" t="s">
        <v>5072</v>
      </c>
    </row>
    <row r="1823" spans="1:43" x14ac:dyDescent="0.2">
      <c r="A1823" t="s">
        <v>12208</v>
      </c>
      <c r="B1823" t="s">
        <v>11037</v>
      </c>
      <c r="C1823" t="s">
        <v>11195</v>
      </c>
      <c r="D1823" t="s">
        <v>11704</v>
      </c>
      <c r="E1823" t="s">
        <v>3205</v>
      </c>
      <c r="F1823" t="s">
        <v>11704</v>
      </c>
      <c r="G1823" s="1">
        <v>14145</v>
      </c>
      <c r="H1823" s="2">
        <v>1786520.67</v>
      </c>
      <c r="I1823" s="2">
        <v>2328267</v>
      </c>
      <c r="J1823" s="2">
        <v>0</v>
      </c>
      <c r="K1823" s="2">
        <v>0</v>
      </c>
      <c r="L1823" s="2">
        <v>2328267</v>
      </c>
      <c r="M1823" s="3">
        <v>16460</v>
      </c>
      <c r="N1823" s="4">
        <v>5.2970600000000001E-3</v>
      </c>
      <c r="O1823" s="5" t="s">
        <v>44</v>
      </c>
      <c r="P1823" s="5" t="s">
        <v>44</v>
      </c>
      <c r="Q1823" s="1"/>
      <c r="R1823" s="2"/>
      <c r="S1823" s="6"/>
      <c r="T1823" t="s">
        <v>10902</v>
      </c>
      <c r="U1823" t="s">
        <v>10902</v>
      </c>
      <c r="V1823" t="s">
        <v>10902</v>
      </c>
      <c r="W1823" t="s">
        <v>43</v>
      </c>
      <c r="X1823" t="s">
        <v>11334</v>
      </c>
      <c r="Y1823" t="s">
        <v>11335</v>
      </c>
      <c r="Z1823" t="s">
        <v>11195</v>
      </c>
      <c r="AA1823" t="s">
        <v>44</v>
      </c>
      <c r="AB1823" t="s">
        <v>44</v>
      </c>
      <c r="AC1823" s="4"/>
      <c r="AD1823" s="4"/>
      <c r="AE1823" s="2">
        <v>0</v>
      </c>
      <c r="AF1823" s="4">
        <v>0</v>
      </c>
      <c r="AG1823" s="2">
        <v>0.25</v>
      </c>
      <c r="AH1823" s="2">
        <v>2328267</v>
      </c>
      <c r="AI1823" s="2">
        <v>0.01</v>
      </c>
      <c r="AJ1823" s="5">
        <v>44673</v>
      </c>
      <c r="AK1823" t="s">
        <v>12209</v>
      </c>
      <c r="AL1823" s="2">
        <v>0</v>
      </c>
      <c r="AM1823" s="2">
        <v>0</v>
      </c>
      <c r="AN1823" s="2">
        <v>0</v>
      </c>
      <c r="AO1823" t="s">
        <v>44</v>
      </c>
      <c r="AP1823" t="s">
        <v>11705</v>
      </c>
      <c r="AQ1823" t="s">
        <v>3205</v>
      </c>
    </row>
    <row r="1824" spans="1:43" x14ac:dyDescent="0.2">
      <c r="A1824" t="s">
        <v>12208</v>
      </c>
      <c r="B1824" t="s">
        <v>11037</v>
      </c>
      <c r="C1824" t="s">
        <v>11195</v>
      </c>
      <c r="D1824" t="s">
        <v>11196</v>
      </c>
      <c r="E1824" t="s">
        <v>5755</v>
      </c>
      <c r="F1824" t="s">
        <v>11196</v>
      </c>
      <c r="G1824" s="1">
        <v>115537</v>
      </c>
      <c r="H1824" s="2">
        <v>2097768.11</v>
      </c>
      <c r="I1824" s="2">
        <v>2493288.46</v>
      </c>
      <c r="J1824" s="2">
        <v>0</v>
      </c>
      <c r="K1824" s="2">
        <v>0</v>
      </c>
      <c r="L1824" s="2">
        <v>2493288.46</v>
      </c>
      <c r="M1824" s="3">
        <v>2158</v>
      </c>
      <c r="N1824" s="4">
        <v>5.6724999999999996E-3</v>
      </c>
      <c r="O1824" s="5" t="s">
        <v>44</v>
      </c>
      <c r="P1824" s="5" t="s">
        <v>44</v>
      </c>
      <c r="Q1824" s="1"/>
      <c r="R1824" s="2"/>
      <c r="S1824" s="6"/>
      <c r="T1824" t="s">
        <v>10902</v>
      </c>
      <c r="U1824" t="s">
        <v>10902</v>
      </c>
      <c r="V1824" t="s">
        <v>10902</v>
      </c>
      <c r="W1824" t="s">
        <v>43</v>
      </c>
      <c r="X1824" t="s">
        <v>11197</v>
      </c>
      <c r="Y1824" t="s">
        <v>11198</v>
      </c>
      <c r="Z1824" t="s">
        <v>11195</v>
      </c>
      <c r="AA1824" t="s">
        <v>44</v>
      </c>
      <c r="AB1824" t="s">
        <v>44</v>
      </c>
      <c r="AC1824" s="4"/>
      <c r="AD1824" s="4"/>
      <c r="AE1824" s="2">
        <v>0</v>
      </c>
      <c r="AF1824" s="4">
        <v>0</v>
      </c>
      <c r="AG1824" s="2">
        <v>0.27</v>
      </c>
      <c r="AH1824" s="2">
        <v>2493288.46</v>
      </c>
      <c r="AI1824" s="2">
        <v>0.01</v>
      </c>
      <c r="AJ1824" s="5">
        <v>44673</v>
      </c>
      <c r="AK1824" t="s">
        <v>12209</v>
      </c>
      <c r="AL1824" s="2">
        <v>0</v>
      </c>
      <c r="AM1824" s="2">
        <v>0</v>
      </c>
      <c r="AN1824" s="2">
        <v>0</v>
      </c>
      <c r="AO1824" t="s">
        <v>44</v>
      </c>
      <c r="AP1824" t="s">
        <v>11199</v>
      </c>
      <c r="AQ1824" t="s">
        <v>5755</v>
      </c>
    </row>
    <row r="1825" spans="1:43" x14ac:dyDescent="0.2">
      <c r="A1825" t="s">
        <v>12208</v>
      </c>
      <c r="B1825" t="s">
        <v>11037</v>
      </c>
      <c r="C1825" t="s">
        <v>11195</v>
      </c>
      <c r="D1825" t="s">
        <v>11706</v>
      </c>
      <c r="E1825" t="s">
        <v>4801</v>
      </c>
      <c r="F1825" t="s">
        <v>11706</v>
      </c>
      <c r="G1825" s="1">
        <v>4000</v>
      </c>
      <c r="H1825" s="2">
        <v>204799.49</v>
      </c>
      <c r="I1825" s="2">
        <v>278280</v>
      </c>
      <c r="J1825" s="2">
        <v>0</v>
      </c>
      <c r="K1825" s="2">
        <v>0</v>
      </c>
      <c r="L1825" s="2">
        <v>278280</v>
      </c>
      <c r="M1825" s="3">
        <v>6957</v>
      </c>
      <c r="N1825" s="4">
        <v>6.3312000000000004E-4</v>
      </c>
      <c r="O1825" s="5" t="s">
        <v>44</v>
      </c>
      <c r="P1825" s="5" t="s">
        <v>44</v>
      </c>
      <c r="Q1825" s="1"/>
      <c r="R1825" s="2"/>
      <c r="S1825" s="6"/>
      <c r="T1825" t="s">
        <v>10902</v>
      </c>
      <c r="U1825" t="s">
        <v>10902</v>
      </c>
      <c r="V1825" t="s">
        <v>10902</v>
      </c>
      <c r="W1825" t="s">
        <v>43</v>
      </c>
      <c r="X1825" t="s">
        <v>11034</v>
      </c>
      <c r="Y1825" t="s">
        <v>11034</v>
      </c>
      <c r="Z1825" t="s">
        <v>11195</v>
      </c>
      <c r="AA1825" t="s">
        <v>44</v>
      </c>
      <c r="AB1825" t="s">
        <v>44</v>
      </c>
      <c r="AC1825" s="4"/>
      <c r="AD1825" s="4"/>
      <c r="AE1825" s="2">
        <v>0</v>
      </c>
      <c r="AF1825" s="4">
        <v>0</v>
      </c>
      <c r="AG1825" s="2">
        <v>0.03</v>
      </c>
      <c r="AH1825" s="2">
        <v>278280</v>
      </c>
      <c r="AI1825" s="2">
        <v>0</v>
      </c>
      <c r="AJ1825" s="5">
        <v>44673</v>
      </c>
      <c r="AK1825" t="s">
        <v>12209</v>
      </c>
      <c r="AL1825" s="2">
        <v>0</v>
      </c>
      <c r="AM1825" s="2">
        <v>0</v>
      </c>
      <c r="AN1825" s="2">
        <v>0</v>
      </c>
      <c r="AO1825" t="s">
        <v>44</v>
      </c>
      <c r="AP1825" t="s">
        <v>11707</v>
      </c>
      <c r="AQ1825" t="s">
        <v>4801</v>
      </c>
    </row>
    <row r="1826" spans="1:43" x14ac:dyDescent="0.2">
      <c r="A1826" t="s">
        <v>12208</v>
      </c>
      <c r="B1826" t="s">
        <v>11037</v>
      </c>
      <c r="C1826" t="s">
        <v>11195</v>
      </c>
      <c r="D1826" t="s">
        <v>11200</v>
      </c>
      <c r="E1826" t="s">
        <v>5277</v>
      </c>
      <c r="F1826" t="s">
        <v>11200</v>
      </c>
      <c r="G1826" s="1">
        <v>219072</v>
      </c>
      <c r="H1826" s="2">
        <v>3466567.05</v>
      </c>
      <c r="I1826" s="2">
        <v>2731827.84</v>
      </c>
      <c r="J1826" s="2">
        <v>0</v>
      </c>
      <c r="K1826" s="2">
        <v>0</v>
      </c>
      <c r="L1826" s="2">
        <v>2731827.84</v>
      </c>
      <c r="M1826" s="3">
        <v>1247</v>
      </c>
      <c r="N1826" s="4">
        <v>6.2151999999999997E-3</v>
      </c>
      <c r="O1826" s="5" t="s">
        <v>44</v>
      </c>
      <c r="P1826" s="5" t="s">
        <v>44</v>
      </c>
      <c r="Q1826" s="1"/>
      <c r="R1826" s="2"/>
      <c r="S1826" s="6"/>
      <c r="T1826" t="s">
        <v>10902</v>
      </c>
      <c r="U1826" t="s">
        <v>10902</v>
      </c>
      <c r="V1826" t="s">
        <v>10902</v>
      </c>
      <c r="W1826" t="s">
        <v>43</v>
      </c>
      <c r="X1826" t="s">
        <v>11197</v>
      </c>
      <c r="Y1826" t="s">
        <v>11198</v>
      </c>
      <c r="Z1826" t="s">
        <v>11195</v>
      </c>
      <c r="AA1826" t="s">
        <v>44</v>
      </c>
      <c r="AB1826" t="s">
        <v>44</v>
      </c>
      <c r="AC1826" s="4"/>
      <c r="AD1826" s="4"/>
      <c r="AE1826" s="2">
        <v>0</v>
      </c>
      <c r="AF1826" s="4">
        <v>0</v>
      </c>
      <c r="AG1826" s="2">
        <v>0.28999999999999998</v>
      </c>
      <c r="AH1826" s="2">
        <v>2731827.84</v>
      </c>
      <c r="AI1826" s="2">
        <v>0.01</v>
      </c>
      <c r="AJ1826" s="5">
        <v>44673</v>
      </c>
      <c r="AK1826" t="s">
        <v>12209</v>
      </c>
      <c r="AL1826" s="2">
        <v>0</v>
      </c>
      <c r="AM1826" s="2">
        <v>0</v>
      </c>
      <c r="AN1826" s="2">
        <v>0</v>
      </c>
      <c r="AO1826" t="s">
        <v>44</v>
      </c>
      <c r="AP1826" t="s">
        <v>11201</v>
      </c>
      <c r="AQ1826" t="s">
        <v>5277</v>
      </c>
    </row>
    <row r="1827" spans="1:43" x14ac:dyDescent="0.2">
      <c r="A1827" t="s">
        <v>12208</v>
      </c>
      <c r="B1827" t="s">
        <v>11037</v>
      </c>
      <c r="C1827" t="s">
        <v>11195</v>
      </c>
      <c r="D1827" t="s">
        <v>5988</v>
      </c>
      <c r="E1827" t="s">
        <v>3145</v>
      </c>
      <c r="F1827" t="s">
        <v>5988</v>
      </c>
      <c r="G1827" s="1">
        <v>10237</v>
      </c>
      <c r="H1827" s="2">
        <v>266394.08</v>
      </c>
      <c r="I1827" s="2">
        <v>143318</v>
      </c>
      <c r="J1827" s="2">
        <v>0</v>
      </c>
      <c r="K1827" s="2">
        <v>0</v>
      </c>
      <c r="L1827" s="2">
        <v>143318</v>
      </c>
      <c r="M1827" s="3">
        <v>1400</v>
      </c>
      <c r="N1827" s="4">
        <v>3.2605999999999998E-4</v>
      </c>
      <c r="O1827" s="5" t="s">
        <v>44</v>
      </c>
      <c r="P1827" s="5" t="s">
        <v>44</v>
      </c>
      <c r="Q1827" s="1"/>
      <c r="R1827" s="2"/>
      <c r="S1827" s="6"/>
      <c r="T1827" t="s">
        <v>10902</v>
      </c>
      <c r="U1827" t="s">
        <v>10902</v>
      </c>
      <c r="V1827" t="s">
        <v>10902</v>
      </c>
      <c r="W1827" t="s">
        <v>43</v>
      </c>
      <c r="X1827" t="s">
        <v>11197</v>
      </c>
      <c r="Y1827" t="s">
        <v>11198</v>
      </c>
      <c r="Z1827" t="s">
        <v>11195</v>
      </c>
      <c r="AA1827" t="s">
        <v>44</v>
      </c>
      <c r="AB1827" t="s">
        <v>44</v>
      </c>
      <c r="AC1827" s="4"/>
      <c r="AD1827" s="4"/>
      <c r="AE1827" s="2">
        <v>0</v>
      </c>
      <c r="AF1827" s="4">
        <v>0</v>
      </c>
      <c r="AG1827" s="2">
        <v>0.02</v>
      </c>
      <c r="AH1827" s="2">
        <v>143318</v>
      </c>
      <c r="AI1827" s="2">
        <v>0</v>
      </c>
      <c r="AJ1827" s="5">
        <v>44673</v>
      </c>
      <c r="AK1827" t="s">
        <v>12209</v>
      </c>
      <c r="AL1827" s="2">
        <v>0</v>
      </c>
      <c r="AM1827" s="2">
        <v>0</v>
      </c>
      <c r="AN1827" s="2">
        <v>0</v>
      </c>
      <c r="AO1827" t="s">
        <v>44</v>
      </c>
      <c r="AP1827" t="s">
        <v>11202</v>
      </c>
      <c r="AQ1827" t="s">
        <v>3145</v>
      </c>
    </row>
    <row r="1828" spans="1:43" x14ac:dyDescent="0.2">
      <c r="A1828" t="s">
        <v>12208</v>
      </c>
      <c r="B1828" t="s">
        <v>11037</v>
      </c>
      <c r="C1828" t="s">
        <v>11195</v>
      </c>
      <c r="D1828" t="s">
        <v>6332</v>
      </c>
      <c r="E1828" t="s">
        <v>3152</v>
      </c>
      <c r="F1828" t="s">
        <v>6332</v>
      </c>
      <c r="G1828" s="1">
        <v>81148</v>
      </c>
      <c r="H1828" s="2">
        <v>1750624.98</v>
      </c>
      <c r="I1828" s="2">
        <v>2927819.84</v>
      </c>
      <c r="J1828" s="2">
        <v>0</v>
      </c>
      <c r="K1828" s="2">
        <v>0</v>
      </c>
      <c r="L1828" s="2">
        <v>2927819.84</v>
      </c>
      <c r="M1828" s="3">
        <v>3608</v>
      </c>
      <c r="N1828" s="4">
        <v>6.6611099999999996E-3</v>
      </c>
      <c r="O1828" s="5" t="s">
        <v>44</v>
      </c>
      <c r="P1828" s="5" t="s">
        <v>44</v>
      </c>
      <c r="Q1828" s="1"/>
      <c r="R1828" s="2"/>
      <c r="S1828" s="6"/>
      <c r="T1828" t="s">
        <v>10902</v>
      </c>
      <c r="U1828" t="s">
        <v>10902</v>
      </c>
      <c r="V1828" t="s">
        <v>10902</v>
      </c>
      <c r="W1828" t="s">
        <v>43</v>
      </c>
      <c r="X1828" t="s">
        <v>11197</v>
      </c>
      <c r="Y1828" t="s">
        <v>11198</v>
      </c>
      <c r="Z1828" t="s">
        <v>11195</v>
      </c>
      <c r="AA1828" t="s">
        <v>44</v>
      </c>
      <c r="AB1828" t="s">
        <v>44</v>
      </c>
      <c r="AC1828" s="4"/>
      <c r="AD1828" s="4"/>
      <c r="AE1828" s="2">
        <v>0</v>
      </c>
      <c r="AF1828" s="4">
        <v>0</v>
      </c>
      <c r="AG1828" s="2">
        <v>0.32</v>
      </c>
      <c r="AH1828" s="2">
        <v>2927819.84</v>
      </c>
      <c r="AI1828" s="2">
        <v>0.01</v>
      </c>
      <c r="AJ1828" s="5">
        <v>44673</v>
      </c>
      <c r="AK1828" t="s">
        <v>12209</v>
      </c>
      <c r="AL1828" s="2">
        <v>0</v>
      </c>
      <c r="AM1828" s="2">
        <v>0</v>
      </c>
      <c r="AN1828" s="2">
        <v>0</v>
      </c>
      <c r="AO1828" t="s">
        <v>44</v>
      </c>
      <c r="AP1828" t="s">
        <v>11203</v>
      </c>
      <c r="AQ1828" t="s">
        <v>3152</v>
      </c>
    </row>
    <row r="1829" spans="1:43" x14ac:dyDescent="0.2">
      <c r="A1829" t="s">
        <v>12208</v>
      </c>
      <c r="B1829" t="s">
        <v>11037</v>
      </c>
      <c r="C1829" t="s">
        <v>11195</v>
      </c>
      <c r="D1829" t="s">
        <v>11329</v>
      </c>
      <c r="E1829" t="s">
        <v>4814</v>
      </c>
      <c r="F1829" t="s">
        <v>11329</v>
      </c>
      <c r="G1829" s="1">
        <v>248</v>
      </c>
      <c r="H1829" s="2">
        <v>9023.6200000000008</v>
      </c>
      <c r="I1829" s="2">
        <v>24581.759999999998</v>
      </c>
      <c r="J1829" s="2">
        <v>0</v>
      </c>
      <c r="K1829" s="2">
        <v>0</v>
      </c>
      <c r="L1829" s="2">
        <v>24581.759999999998</v>
      </c>
      <c r="M1829" s="3">
        <v>9912</v>
      </c>
      <c r="N1829" s="4">
        <v>5.5930000000000002E-5</v>
      </c>
      <c r="O1829" s="5" t="s">
        <v>44</v>
      </c>
      <c r="P1829" s="5" t="s">
        <v>44</v>
      </c>
      <c r="Q1829" s="1"/>
      <c r="R1829" s="2"/>
      <c r="S1829" s="6"/>
      <c r="T1829" t="s">
        <v>10902</v>
      </c>
      <c r="U1829" t="s">
        <v>10902</v>
      </c>
      <c r="V1829" t="s">
        <v>10902</v>
      </c>
      <c r="W1829" t="s">
        <v>43</v>
      </c>
      <c r="X1829" t="s">
        <v>11327</v>
      </c>
      <c r="Y1829" t="s">
        <v>11198</v>
      </c>
      <c r="Z1829" t="s">
        <v>11195</v>
      </c>
      <c r="AA1829" t="s">
        <v>44</v>
      </c>
      <c r="AB1829" t="s">
        <v>44</v>
      </c>
      <c r="AC1829" s="4"/>
      <c r="AD1829" s="4"/>
      <c r="AE1829" s="2">
        <v>0</v>
      </c>
      <c r="AF1829" s="4">
        <v>0</v>
      </c>
      <c r="AG1829" s="2">
        <v>0</v>
      </c>
      <c r="AH1829" s="2">
        <v>24581.759999999998</v>
      </c>
      <c r="AI1829" s="2">
        <v>0</v>
      </c>
      <c r="AJ1829" s="5">
        <v>44673</v>
      </c>
      <c r="AK1829" t="s">
        <v>12209</v>
      </c>
      <c r="AL1829" s="2">
        <v>0</v>
      </c>
      <c r="AM1829" s="2">
        <v>0</v>
      </c>
      <c r="AN1829" s="2">
        <v>0</v>
      </c>
      <c r="AO1829" t="s">
        <v>44</v>
      </c>
      <c r="AP1829" t="s">
        <v>11330</v>
      </c>
      <c r="AQ1829" t="s">
        <v>4814</v>
      </c>
    </row>
    <row r="1830" spans="1:43" x14ac:dyDescent="0.2">
      <c r="A1830" t="s">
        <v>12208</v>
      </c>
      <c r="B1830" t="s">
        <v>11037</v>
      </c>
      <c r="C1830" t="s">
        <v>11195</v>
      </c>
      <c r="D1830" t="s">
        <v>11708</v>
      </c>
      <c r="E1830" t="s">
        <v>4821</v>
      </c>
      <c r="F1830" t="s">
        <v>11708</v>
      </c>
      <c r="G1830" s="1">
        <v>302</v>
      </c>
      <c r="H1830" s="2">
        <v>11080.78</v>
      </c>
      <c r="I1830" s="2">
        <v>29221.52</v>
      </c>
      <c r="J1830" s="2">
        <v>0</v>
      </c>
      <c r="K1830" s="2">
        <v>0</v>
      </c>
      <c r="L1830" s="2">
        <v>29221.52</v>
      </c>
      <c r="M1830" s="3">
        <v>9676</v>
      </c>
      <c r="N1830" s="4">
        <v>6.648E-5</v>
      </c>
      <c r="O1830" s="5" t="s">
        <v>44</v>
      </c>
      <c r="P1830" s="5" t="s">
        <v>44</v>
      </c>
      <c r="Q1830" s="1"/>
      <c r="R1830" s="2"/>
      <c r="S1830" s="6"/>
      <c r="T1830" t="s">
        <v>10902</v>
      </c>
      <c r="U1830" t="s">
        <v>10902</v>
      </c>
      <c r="V1830" t="s">
        <v>10902</v>
      </c>
      <c r="W1830" t="s">
        <v>43</v>
      </c>
      <c r="X1830" t="s">
        <v>11327</v>
      </c>
      <c r="Y1830" t="s">
        <v>11198</v>
      </c>
      <c r="Z1830" t="s">
        <v>11195</v>
      </c>
      <c r="AA1830" t="s">
        <v>44</v>
      </c>
      <c r="AB1830" t="s">
        <v>44</v>
      </c>
      <c r="AC1830" s="4"/>
      <c r="AD1830" s="4"/>
      <c r="AE1830" s="2">
        <v>0</v>
      </c>
      <c r="AF1830" s="4">
        <v>0</v>
      </c>
      <c r="AG1830" s="2">
        <v>0</v>
      </c>
      <c r="AH1830" s="2">
        <v>29221.52</v>
      </c>
      <c r="AI1830" s="2">
        <v>0</v>
      </c>
      <c r="AJ1830" s="5">
        <v>44673</v>
      </c>
      <c r="AK1830" t="s">
        <v>12209</v>
      </c>
      <c r="AL1830" s="2">
        <v>0</v>
      </c>
      <c r="AM1830" s="2">
        <v>0</v>
      </c>
      <c r="AN1830" s="2">
        <v>0</v>
      </c>
      <c r="AO1830" t="s">
        <v>44</v>
      </c>
      <c r="AP1830" t="s">
        <v>11709</v>
      </c>
      <c r="AQ1830" t="s">
        <v>4821</v>
      </c>
    </row>
    <row r="1831" spans="1:43" x14ac:dyDescent="0.2">
      <c r="A1831" t="s">
        <v>12208</v>
      </c>
      <c r="B1831" t="s">
        <v>11037</v>
      </c>
      <c r="C1831" t="s">
        <v>11195</v>
      </c>
      <c r="D1831" t="s">
        <v>6450</v>
      </c>
      <c r="E1831" t="s">
        <v>5121</v>
      </c>
      <c r="F1831" t="s">
        <v>6450</v>
      </c>
      <c r="G1831" s="1">
        <v>15921</v>
      </c>
      <c r="H1831" s="2">
        <v>2376968.94</v>
      </c>
      <c r="I1831" s="2">
        <v>1765479.69</v>
      </c>
      <c r="J1831" s="2">
        <v>0</v>
      </c>
      <c r="K1831" s="2">
        <v>0</v>
      </c>
      <c r="L1831" s="2">
        <v>1765479.69</v>
      </c>
      <c r="M1831" s="3">
        <v>11089</v>
      </c>
      <c r="N1831" s="4">
        <v>4.01666E-3</v>
      </c>
      <c r="O1831" s="5" t="s">
        <v>44</v>
      </c>
      <c r="P1831" s="5" t="s">
        <v>44</v>
      </c>
      <c r="Q1831" s="1"/>
      <c r="R1831" s="2"/>
      <c r="S1831" s="6"/>
      <c r="T1831" t="s">
        <v>10902</v>
      </c>
      <c r="U1831" t="s">
        <v>10902</v>
      </c>
      <c r="V1831" t="s">
        <v>10902</v>
      </c>
      <c r="W1831" t="s">
        <v>43</v>
      </c>
      <c r="X1831" t="s">
        <v>11327</v>
      </c>
      <c r="Y1831" t="s">
        <v>11198</v>
      </c>
      <c r="Z1831" t="s">
        <v>11195</v>
      </c>
      <c r="AA1831" t="s">
        <v>44</v>
      </c>
      <c r="AB1831" t="s">
        <v>44</v>
      </c>
      <c r="AC1831" s="4"/>
      <c r="AD1831" s="4"/>
      <c r="AE1831" s="2">
        <v>0</v>
      </c>
      <c r="AF1831" s="4">
        <v>0</v>
      </c>
      <c r="AG1831" s="2">
        <v>0.19</v>
      </c>
      <c r="AH1831" s="2">
        <v>1765479.69</v>
      </c>
      <c r="AI1831" s="2">
        <v>0</v>
      </c>
      <c r="AJ1831" s="5">
        <v>44673</v>
      </c>
      <c r="AK1831" t="s">
        <v>12209</v>
      </c>
      <c r="AL1831" s="2">
        <v>0</v>
      </c>
      <c r="AM1831" s="2">
        <v>0</v>
      </c>
      <c r="AN1831" s="2">
        <v>0</v>
      </c>
      <c r="AO1831" t="s">
        <v>44</v>
      </c>
      <c r="AP1831" t="s">
        <v>11331</v>
      </c>
      <c r="AQ1831" t="s">
        <v>5121</v>
      </c>
    </row>
    <row r="1832" spans="1:43" x14ac:dyDescent="0.2">
      <c r="A1832" t="s">
        <v>12208</v>
      </c>
      <c r="B1832" t="s">
        <v>11037</v>
      </c>
      <c r="C1832" t="s">
        <v>11195</v>
      </c>
      <c r="D1832" t="s">
        <v>11204</v>
      </c>
      <c r="E1832" t="s">
        <v>5699</v>
      </c>
      <c r="F1832" t="s">
        <v>11204</v>
      </c>
      <c r="G1832" s="1">
        <v>80000</v>
      </c>
      <c r="H1832" s="2">
        <v>1452623.3</v>
      </c>
      <c r="I1832" s="2">
        <v>1750400</v>
      </c>
      <c r="J1832" s="2">
        <v>0</v>
      </c>
      <c r="K1832" s="2">
        <v>0</v>
      </c>
      <c r="L1832" s="2">
        <v>1750400</v>
      </c>
      <c r="M1832" s="3">
        <v>2188</v>
      </c>
      <c r="N1832" s="4">
        <v>3.98235E-3</v>
      </c>
      <c r="O1832" s="5" t="s">
        <v>44</v>
      </c>
      <c r="P1832" s="5" t="s">
        <v>44</v>
      </c>
      <c r="Q1832" s="1"/>
      <c r="R1832" s="2"/>
      <c r="S1832" s="6"/>
      <c r="T1832" t="s">
        <v>10902</v>
      </c>
      <c r="U1832" t="s">
        <v>10902</v>
      </c>
      <c r="V1832" t="s">
        <v>10902</v>
      </c>
      <c r="W1832" t="s">
        <v>43</v>
      </c>
      <c r="X1832" t="s">
        <v>11197</v>
      </c>
      <c r="Y1832" t="s">
        <v>11198</v>
      </c>
      <c r="Z1832" t="s">
        <v>11195</v>
      </c>
      <c r="AA1832" t="s">
        <v>44</v>
      </c>
      <c r="AB1832" t="s">
        <v>44</v>
      </c>
      <c r="AC1832" s="4"/>
      <c r="AD1832" s="4"/>
      <c r="AE1832" s="2">
        <v>0</v>
      </c>
      <c r="AF1832" s="4">
        <v>0</v>
      </c>
      <c r="AG1832" s="2">
        <v>0.19</v>
      </c>
      <c r="AH1832" s="2">
        <v>1750400</v>
      </c>
      <c r="AI1832" s="2">
        <v>0</v>
      </c>
      <c r="AJ1832" s="5">
        <v>44673</v>
      </c>
      <c r="AK1832" t="s">
        <v>12209</v>
      </c>
      <c r="AL1832" s="2">
        <v>0</v>
      </c>
      <c r="AM1832" s="2">
        <v>0</v>
      </c>
      <c r="AN1832" s="2">
        <v>0</v>
      </c>
      <c r="AO1832" t="s">
        <v>44</v>
      </c>
      <c r="AP1832" t="s">
        <v>11205</v>
      </c>
      <c r="AQ1832" t="s">
        <v>5699</v>
      </c>
    </row>
    <row r="1833" spans="1:43" x14ac:dyDescent="0.2">
      <c r="A1833" t="s">
        <v>12208</v>
      </c>
      <c r="B1833" t="s">
        <v>11037</v>
      </c>
      <c r="C1833" t="s">
        <v>11195</v>
      </c>
      <c r="D1833" t="s">
        <v>11332</v>
      </c>
      <c r="E1833" t="s">
        <v>11333</v>
      </c>
      <c r="F1833" t="s">
        <v>11332</v>
      </c>
      <c r="G1833" s="1">
        <v>238935</v>
      </c>
      <c r="H1833" s="2">
        <v>4171970.66</v>
      </c>
      <c r="I1833" s="2">
        <v>4035612.15</v>
      </c>
      <c r="J1833" s="2">
        <v>0</v>
      </c>
      <c r="K1833" s="2">
        <v>0</v>
      </c>
      <c r="L1833" s="2">
        <v>4035612.15</v>
      </c>
      <c r="M1833" s="3">
        <v>1689</v>
      </c>
      <c r="N1833" s="4">
        <v>9.1814500000000007E-3</v>
      </c>
      <c r="O1833" s="5" t="s">
        <v>44</v>
      </c>
      <c r="P1833" s="5" t="s">
        <v>44</v>
      </c>
      <c r="Q1833" s="1"/>
      <c r="R1833" s="2"/>
      <c r="S1833" s="6"/>
      <c r="T1833" t="s">
        <v>10902</v>
      </c>
      <c r="U1833" t="s">
        <v>10902</v>
      </c>
      <c r="V1833" t="s">
        <v>10902</v>
      </c>
      <c r="W1833" t="s">
        <v>43</v>
      </c>
      <c r="X1833" t="s">
        <v>11334</v>
      </c>
      <c r="Y1833" t="s">
        <v>11335</v>
      </c>
      <c r="Z1833" t="s">
        <v>11195</v>
      </c>
      <c r="AA1833" t="s">
        <v>44</v>
      </c>
      <c r="AB1833" t="s">
        <v>44</v>
      </c>
      <c r="AC1833" s="4"/>
      <c r="AD1833" s="4"/>
      <c r="AE1833" s="2">
        <v>0</v>
      </c>
      <c r="AF1833" s="4">
        <v>0</v>
      </c>
      <c r="AG1833" s="2">
        <v>0.43</v>
      </c>
      <c r="AH1833" s="2">
        <v>4035612.15</v>
      </c>
      <c r="AI1833" s="2">
        <v>0.01</v>
      </c>
      <c r="AJ1833" s="5">
        <v>44673</v>
      </c>
      <c r="AK1833" t="s">
        <v>12209</v>
      </c>
      <c r="AL1833" s="2">
        <v>0</v>
      </c>
      <c r="AM1833" s="2">
        <v>0</v>
      </c>
      <c r="AN1833" s="2">
        <v>0</v>
      </c>
      <c r="AO1833" t="s">
        <v>44</v>
      </c>
      <c r="AP1833" t="s">
        <v>11336</v>
      </c>
      <c r="AQ1833" t="s">
        <v>11333</v>
      </c>
    </row>
    <row r="1834" spans="1:43" x14ac:dyDescent="0.2">
      <c r="A1834" t="s">
        <v>12208</v>
      </c>
      <c r="B1834" t="s">
        <v>11037</v>
      </c>
      <c r="C1834" t="s">
        <v>11195</v>
      </c>
      <c r="D1834" t="s">
        <v>5965</v>
      </c>
      <c r="E1834" t="s">
        <v>4848</v>
      </c>
      <c r="F1834" t="s">
        <v>5965</v>
      </c>
      <c r="G1834" s="1">
        <v>123</v>
      </c>
      <c r="H1834" s="2">
        <v>27424.13</v>
      </c>
      <c r="I1834" s="2">
        <v>27397.02</v>
      </c>
      <c r="J1834" s="2">
        <v>0</v>
      </c>
      <c r="K1834" s="2">
        <v>0</v>
      </c>
      <c r="L1834" s="2">
        <v>27397.02</v>
      </c>
      <c r="M1834" s="3">
        <v>22274</v>
      </c>
      <c r="N1834" s="4">
        <v>6.2329999999999994E-5</v>
      </c>
      <c r="O1834" s="5" t="s">
        <v>44</v>
      </c>
      <c r="P1834" s="5" t="s">
        <v>44</v>
      </c>
      <c r="Q1834" s="1"/>
      <c r="R1834" s="2"/>
      <c r="S1834" s="6"/>
      <c r="T1834" t="s">
        <v>10902</v>
      </c>
      <c r="U1834" t="s">
        <v>10902</v>
      </c>
      <c r="V1834" t="s">
        <v>10902</v>
      </c>
      <c r="W1834" t="s">
        <v>43</v>
      </c>
      <c r="X1834" t="s">
        <v>11034</v>
      </c>
      <c r="Y1834" t="s">
        <v>11034</v>
      </c>
      <c r="Z1834" t="s">
        <v>11195</v>
      </c>
      <c r="AA1834" t="s">
        <v>44</v>
      </c>
      <c r="AB1834" t="s">
        <v>44</v>
      </c>
      <c r="AC1834" s="4"/>
      <c r="AD1834" s="4"/>
      <c r="AE1834" s="2">
        <v>0</v>
      </c>
      <c r="AF1834" s="4">
        <v>0</v>
      </c>
      <c r="AG1834" s="2">
        <v>0</v>
      </c>
      <c r="AH1834" s="2">
        <v>27397.02</v>
      </c>
      <c r="AI1834" s="2">
        <v>0</v>
      </c>
      <c r="AJ1834" s="5">
        <v>44673</v>
      </c>
      <c r="AK1834" t="s">
        <v>12209</v>
      </c>
      <c r="AL1834" s="2">
        <v>0</v>
      </c>
      <c r="AM1834" s="2">
        <v>0</v>
      </c>
      <c r="AN1834" s="2">
        <v>0</v>
      </c>
      <c r="AO1834" t="s">
        <v>44</v>
      </c>
      <c r="AP1834" t="s">
        <v>11712</v>
      </c>
      <c r="AQ1834" t="s">
        <v>4848</v>
      </c>
    </row>
    <row r="1835" spans="1:43" x14ac:dyDescent="0.2">
      <c r="A1835" t="s">
        <v>12208</v>
      </c>
      <c r="B1835" t="s">
        <v>11037</v>
      </c>
      <c r="C1835" t="s">
        <v>11195</v>
      </c>
      <c r="D1835" t="s">
        <v>11206</v>
      </c>
      <c r="E1835" t="s">
        <v>5005</v>
      </c>
      <c r="F1835" t="s">
        <v>11206</v>
      </c>
      <c r="G1835" s="1">
        <v>2692</v>
      </c>
      <c r="H1835" s="2">
        <v>421085.31</v>
      </c>
      <c r="I1835" s="2">
        <v>259239.6</v>
      </c>
      <c r="J1835" s="2">
        <v>0</v>
      </c>
      <c r="K1835" s="2">
        <v>0</v>
      </c>
      <c r="L1835" s="2">
        <v>259239.6</v>
      </c>
      <c r="M1835" s="3">
        <v>9630</v>
      </c>
      <c r="N1835" s="4">
        <v>5.8980000000000002E-4</v>
      </c>
      <c r="O1835" s="5" t="s">
        <v>44</v>
      </c>
      <c r="P1835" s="5" t="s">
        <v>44</v>
      </c>
      <c r="Q1835" s="1"/>
      <c r="R1835" s="2"/>
      <c r="S1835" s="6"/>
      <c r="T1835" t="s">
        <v>10902</v>
      </c>
      <c r="U1835" t="s">
        <v>10902</v>
      </c>
      <c r="V1835" t="s">
        <v>10902</v>
      </c>
      <c r="W1835" t="s">
        <v>43</v>
      </c>
      <c r="X1835" t="s">
        <v>11197</v>
      </c>
      <c r="Y1835" t="s">
        <v>11198</v>
      </c>
      <c r="Z1835" t="s">
        <v>11195</v>
      </c>
      <c r="AA1835" t="s">
        <v>44</v>
      </c>
      <c r="AB1835" t="s">
        <v>44</v>
      </c>
      <c r="AC1835" s="4"/>
      <c r="AD1835" s="4"/>
      <c r="AE1835" s="2">
        <v>0</v>
      </c>
      <c r="AF1835" s="4">
        <v>0</v>
      </c>
      <c r="AG1835" s="2">
        <v>0.03</v>
      </c>
      <c r="AH1835" s="2">
        <v>259239.6</v>
      </c>
      <c r="AI1835" s="2">
        <v>0</v>
      </c>
      <c r="AJ1835" s="5">
        <v>44673</v>
      </c>
      <c r="AK1835" t="s">
        <v>12209</v>
      </c>
      <c r="AL1835" s="2">
        <v>0</v>
      </c>
      <c r="AM1835" s="2">
        <v>0</v>
      </c>
      <c r="AN1835" s="2">
        <v>0</v>
      </c>
      <c r="AO1835" t="s">
        <v>44</v>
      </c>
      <c r="AP1835" t="s">
        <v>11207</v>
      </c>
      <c r="AQ1835" t="s">
        <v>5005</v>
      </c>
    </row>
    <row r="1836" spans="1:43" x14ac:dyDescent="0.2">
      <c r="A1836" t="s">
        <v>12208</v>
      </c>
      <c r="B1836" t="s">
        <v>11037</v>
      </c>
      <c r="C1836" t="s">
        <v>11195</v>
      </c>
      <c r="D1836" t="s">
        <v>11337</v>
      </c>
      <c r="E1836" t="s">
        <v>11338</v>
      </c>
      <c r="F1836" t="s">
        <v>11339</v>
      </c>
      <c r="G1836" s="1">
        <v>30457</v>
      </c>
      <c r="H1836" s="2">
        <v>905311.58</v>
      </c>
      <c r="I1836" s="2">
        <v>1540515.06</v>
      </c>
      <c r="J1836" s="2">
        <v>0</v>
      </c>
      <c r="K1836" s="2">
        <v>0</v>
      </c>
      <c r="L1836" s="2">
        <v>1540515.06</v>
      </c>
      <c r="M1836" s="3">
        <v>5058</v>
      </c>
      <c r="N1836" s="4">
        <v>3.50484E-3</v>
      </c>
      <c r="O1836" s="5" t="s">
        <v>44</v>
      </c>
      <c r="P1836" s="5" t="s">
        <v>44</v>
      </c>
      <c r="Q1836" s="1"/>
      <c r="R1836" s="2"/>
      <c r="S1836" s="6"/>
      <c r="T1836" t="s">
        <v>10902</v>
      </c>
      <c r="U1836" t="s">
        <v>10902</v>
      </c>
      <c r="V1836" t="s">
        <v>10902</v>
      </c>
      <c r="W1836" t="s">
        <v>43</v>
      </c>
      <c r="X1836" t="s">
        <v>11327</v>
      </c>
      <c r="Y1836" t="s">
        <v>11198</v>
      </c>
      <c r="Z1836" t="s">
        <v>11195</v>
      </c>
      <c r="AA1836" t="s">
        <v>44</v>
      </c>
      <c r="AB1836" t="s">
        <v>44</v>
      </c>
      <c r="AC1836" s="4"/>
      <c r="AD1836" s="4"/>
      <c r="AE1836" s="2">
        <v>0</v>
      </c>
      <c r="AF1836" s="4">
        <v>0</v>
      </c>
      <c r="AG1836" s="2">
        <v>0.17</v>
      </c>
      <c r="AH1836" s="2">
        <v>1540515.06</v>
      </c>
      <c r="AI1836" s="2">
        <v>0</v>
      </c>
      <c r="AJ1836" s="5">
        <v>44673</v>
      </c>
      <c r="AK1836" t="s">
        <v>12209</v>
      </c>
      <c r="AL1836" s="2">
        <v>0</v>
      </c>
      <c r="AM1836" s="2">
        <v>0</v>
      </c>
      <c r="AN1836" s="2">
        <v>0</v>
      </c>
      <c r="AO1836" t="s">
        <v>44</v>
      </c>
      <c r="AP1836" t="s">
        <v>11340</v>
      </c>
      <c r="AQ1836" t="s">
        <v>11338</v>
      </c>
    </row>
    <row r="1837" spans="1:43" x14ac:dyDescent="0.2">
      <c r="A1837" t="s">
        <v>12208</v>
      </c>
      <c r="B1837" t="s">
        <v>11037</v>
      </c>
      <c r="C1837" t="s">
        <v>11195</v>
      </c>
      <c r="D1837" t="s">
        <v>11341</v>
      </c>
      <c r="E1837" t="s">
        <v>11342</v>
      </c>
      <c r="F1837" t="s">
        <v>11341</v>
      </c>
      <c r="G1837" s="1">
        <v>37605</v>
      </c>
      <c r="H1837" s="2">
        <v>1117425.8899999999</v>
      </c>
      <c r="I1837" s="2">
        <v>1961476.8</v>
      </c>
      <c r="J1837" s="2">
        <v>0</v>
      </c>
      <c r="K1837" s="2">
        <v>0</v>
      </c>
      <c r="L1837" s="2">
        <v>1961476.8</v>
      </c>
      <c r="M1837" s="3">
        <v>5216</v>
      </c>
      <c r="N1837" s="4">
        <v>4.4625699999999999E-3</v>
      </c>
      <c r="O1837" s="5" t="s">
        <v>44</v>
      </c>
      <c r="P1837" s="5" t="s">
        <v>44</v>
      </c>
      <c r="Q1837" s="1"/>
      <c r="R1837" s="2"/>
      <c r="S1837" s="6"/>
      <c r="T1837" t="s">
        <v>10902</v>
      </c>
      <c r="U1837" t="s">
        <v>10902</v>
      </c>
      <c r="V1837" t="s">
        <v>10902</v>
      </c>
      <c r="W1837" t="s">
        <v>43</v>
      </c>
      <c r="X1837" t="s">
        <v>11327</v>
      </c>
      <c r="Y1837" t="s">
        <v>11198</v>
      </c>
      <c r="Z1837" t="s">
        <v>11195</v>
      </c>
      <c r="AA1837" t="s">
        <v>44</v>
      </c>
      <c r="AB1837" t="s">
        <v>44</v>
      </c>
      <c r="AC1837" s="4"/>
      <c r="AD1837" s="4"/>
      <c r="AE1837" s="2">
        <v>0</v>
      </c>
      <c r="AF1837" s="4">
        <v>0</v>
      </c>
      <c r="AG1837" s="2">
        <v>0.21</v>
      </c>
      <c r="AH1837" s="2">
        <v>1961476.8</v>
      </c>
      <c r="AI1837" s="2">
        <v>0</v>
      </c>
      <c r="AJ1837" s="5">
        <v>44673</v>
      </c>
      <c r="AK1837" t="s">
        <v>12209</v>
      </c>
      <c r="AL1837" s="2">
        <v>0</v>
      </c>
      <c r="AM1837" s="2">
        <v>0</v>
      </c>
      <c r="AN1837" s="2">
        <v>0</v>
      </c>
      <c r="AO1837" t="s">
        <v>44</v>
      </c>
      <c r="AP1837" t="s">
        <v>11343</v>
      </c>
      <c r="AQ1837" t="s">
        <v>11342</v>
      </c>
    </row>
    <row r="1838" spans="1:43" x14ac:dyDescent="0.2">
      <c r="A1838" t="s">
        <v>12208</v>
      </c>
      <c r="B1838" t="s">
        <v>11037</v>
      </c>
      <c r="C1838" t="s">
        <v>11195</v>
      </c>
      <c r="D1838" t="s">
        <v>5940</v>
      </c>
      <c r="E1838" t="s">
        <v>5019</v>
      </c>
      <c r="F1838" t="s">
        <v>5940</v>
      </c>
      <c r="G1838" s="1">
        <v>9332</v>
      </c>
      <c r="H1838" s="2">
        <v>171586.88</v>
      </c>
      <c r="I1838" s="2">
        <v>115623.48</v>
      </c>
      <c r="J1838" s="2">
        <v>0</v>
      </c>
      <c r="K1838" s="2">
        <v>4759.32</v>
      </c>
      <c r="L1838" s="2">
        <v>120382.8</v>
      </c>
      <c r="M1838" s="3">
        <v>1239</v>
      </c>
      <c r="N1838" s="4">
        <v>2.7388E-4</v>
      </c>
      <c r="O1838" s="5" t="s">
        <v>44</v>
      </c>
      <c r="P1838" s="5" t="s">
        <v>44</v>
      </c>
      <c r="Q1838" s="1"/>
      <c r="R1838" s="2"/>
      <c r="S1838" s="6"/>
      <c r="T1838" t="s">
        <v>10902</v>
      </c>
      <c r="U1838" t="s">
        <v>10902</v>
      </c>
      <c r="V1838" t="s">
        <v>10902</v>
      </c>
      <c r="W1838" t="s">
        <v>43</v>
      </c>
      <c r="X1838" t="s">
        <v>11334</v>
      </c>
      <c r="Y1838" t="s">
        <v>11335</v>
      </c>
      <c r="Z1838" t="s">
        <v>11195</v>
      </c>
      <c r="AA1838" t="s">
        <v>44</v>
      </c>
      <c r="AB1838" t="s">
        <v>44</v>
      </c>
      <c r="AC1838" s="4"/>
      <c r="AD1838" s="4"/>
      <c r="AE1838" s="2">
        <v>0</v>
      </c>
      <c r="AF1838" s="4">
        <v>0</v>
      </c>
      <c r="AG1838" s="2">
        <v>0.01</v>
      </c>
      <c r="AH1838" s="2">
        <v>120382.8</v>
      </c>
      <c r="AI1838" s="2">
        <v>0</v>
      </c>
      <c r="AJ1838" s="5">
        <v>44673</v>
      </c>
      <c r="AK1838" t="s">
        <v>12209</v>
      </c>
      <c r="AL1838" s="2">
        <v>0</v>
      </c>
      <c r="AM1838" s="2">
        <v>0</v>
      </c>
      <c r="AN1838" s="2">
        <v>0</v>
      </c>
      <c r="AO1838" t="s">
        <v>44</v>
      </c>
      <c r="AP1838" t="s">
        <v>11713</v>
      </c>
      <c r="AQ1838" t="s">
        <v>5019</v>
      </c>
    </row>
    <row r="1839" spans="1:43" x14ac:dyDescent="0.2">
      <c r="A1839" t="s">
        <v>12208</v>
      </c>
      <c r="B1839" t="s">
        <v>11037</v>
      </c>
      <c r="C1839" t="s">
        <v>11195</v>
      </c>
      <c r="D1839" t="s">
        <v>6128</v>
      </c>
      <c r="E1839" t="s">
        <v>6759</v>
      </c>
      <c r="F1839" t="s">
        <v>6128</v>
      </c>
      <c r="G1839" s="1">
        <v>36147</v>
      </c>
      <c r="H1839" s="2">
        <v>1645132.59</v>
      </c>
      <c r="I1839" s="2">
        <v>3488185.5</v>
      </c>
      <c r="J1839" s="2">
        <v>0</v>
      </c>
      <c r="K1839" s="2">
        <v>0</v>
      </c>
      <c r="L1839" s="2">
        <v>3488185.5</v>
      </c>
      <c r="M1839" s="3">
        <v>9650</v>
      </c>
      <c r="N1839" s="4">
        <v>7.9360000000000003E-3</v>
      </c>
      <c r="O1839" s="5" t="s">
        <v>44</v>
      </c>
      <c r="P1839" s="5" t="s">
        <v>44</v>
      </c>
      <c r="Q1839" s="1"/>
      <c r="R1839" s="2"/>
      <c r="S1839" s="6"/>
      <c r="T1839" t="s">
        <v>10902</v>
      </c>
      <c r="U1839" t="s">
        <v>10902</v>
      </c>
      <c r="V1839" t="s">
        <v>10902</v>
      </c>
      <c r="W1839" t="s">
        <v>43</v>
      </c>
      <c r="X1839" t="s">
        <v>11327</v>
      </c>
      <c r="Y1839" t="s">
        <v>11198</v>
      </c>
      <c r="Z1839" t="s">
        <v>11195</v>
      </c>
      <c r="AA1839" t="s">
        <v>44</v>
      </c>
      <c r="AB1839" t="s">
        <v>44</v>
      </c>
      <c r="AC1839" s="4"/>
      <c r="AD1839" s="4"/>
      <c r="AE1839" s="2">
        <v>0</v>
      </c>
      <c r="AF1839" s="4">
        <v>0</v>
      </c>
      <c r="AG1839" s="2">
        <v>0.38</v>
      </c>
      <c r="AH1839" s="2">
        <v>3488185.5</v>
      </c>
      <c r="AI1839" s="2">
        <v>0.01</v>
      </c>
      <c r="AJ1839" s="5">
        <v>44673</v>
      </c>
      <c r="AK1839" t="s">
        <v>12209</v>
      </c>
      <c r="AL1839" s="2">
        <v>0</v>
      </c>
      <c r="AM1839" s="2">
        <v>0</v>
      </c>
      <c r="AN1839" s="2">
        <v>0</v>
      </c>
      <c r="AO1839" t="s">
        <v>44</v>
      </c>
      <c r="AP1839" t="s">
        <v>11344</v>
      </c>
      <c r="AQ1839" t="s">
        <v>6759</v>
      </c>
    </row>
    <row r="1840" spans="1:43" x14ac:dyDescent="0.2">
      <c r="A1840" t="s">
        <v>12208</v>
      </c>
      <c r="B1840" t="s">
        <v>11037</v>
      </c>
      <c r="C1840" t="s">
        <v>11195</v>
      </c>
      <c r="D1840" t="s">
        <v>11345</v>
      </c>
      <c r="E1840" t="s">
        <v>5409</v>
      </c>
      <c r="F1840" t="s">
        <v>11345</v>
      </c>
      <c r="G1840" s="1">
        <v>186035</v>
      </c>
      <c r="H1840" s="2">
        <v>5973339.4000000004</v>
      </c>
      <c r="I1840" s="2">
        <v>5134566</v>
      </c>
      <c r="J1840" s="2">
        <v>0</v>
      </c>
      <c r="K1840" s="2">
        <v>145590.79999999999</v>
      </c>
      <c r="L1840" s="2">
        <v>5280156.8</v>
      </c>
      <c r="M1840" s="3">
        <v>2760</v>
      </c>
      <c r="N1840" s="4">
        <v>1.201293E-2</v>
      </c>
      <c r="O1840" s="5" t="s">
        <v>44</v>
      </c>
      <c r="P1840" s="5" t="s">
        <v>44</v>
      </c>
      <c r="Q1840" s="1"/>
      <c r="R1840" s="2"/>
      <c r="S1840" s="6"/>
      <c r="T1840" t="s">
        <v>10902</v>
      </c>
      <c r="U1840" t="s">
        <v>10902</v>
      </c>
      <c r="V1840" t="s">
        <v>10902</v>
      </c>
      <c r="W1840" t="s">
        <v>43</v>
      </c>
      <c r="X1840" t="s">
        <v>11327</v>
      </c>
      <c r="Y1840" t="s">
        <v>11198</v>
      </c>
      <c r="Z1840" t="s">
        <v>11195</v>
      </c>
      <c r="AA1840" t="s">
        <v>44</v>
      </c>
      <c r="AB1840" t="s">
        <v>44</v>
      </c>
      <c r="AC1840" s="4"/>
      <c r="AD1840" s="4"/>
      <c r="AE1840" s="2">
        <v>0</v>
      </c>
      <c r="AF1840" s="4">
        <v>0</v>
      </c>
      <c r="AG1840" s="2">
        <v>0.56999999999999995</v>
      </c>
      <c r="AH1840" s="2">
        <v>5280156.8</v>
      </c>
      <c r="AI1840" s="2">
        <v>0.01</v>
      </c>
      <c r="AJ1840" s="5">
        <v>44673</v>
      </c>
      <c r="AK1840" t="s">
        <v>12209</v>
      </c>
      <c r="AL1840" s="2">
        <v>0</v>
      </c>
      <c r="AM1840" s="2">
        <v>0</v>
      </c>
      <c r="AN1840" s="2">
        <v>0</v>
      </c>
      <c r="AO1840" t="s">
        <v>44</v>
      </c>
      <c r="AP1840" t="s">
        <v>11346</v>
      </c>
      <c r="AQ1840" t="s">
        <v>5409</v>
      </c>
    </row>
    <row r="1841" spans="1:43" x14ac:dyDescent="0.2">
      <c r="A1841" t="s">
        <v>12208</v>
      </c>
      <c r="B1841" t="s">
        <v>11037</v>
      </c>
      <c r="C1841" t="s">
        <v>11195</v>
      </c>
      <c r="D1841" t="s">
        <v>6263</v>
      </c>
      <c r="E1841" t="s">
        <v>6850</v>
      </c>
      <c r="F1841" t="s">
        <v>6263</v>
      </c>
      <c r="G1841" s="1">
        <v>119800</v>
      </c>
      <c r="H1841" s="2">
        <v>2473081.5099999998</v>
      </c>
      <c r="I1841" s="2">
        <v>3173502</v>
      </c>
      <c r="J1841" s="2">
        <v>0</v>
      </c>
      <c r="K1841" s="2">
        <v>198269</v>
      </c>
      <c r="L1841" s="2">
        <v>3371771</v>
      </c>
      <c r="M1841" s="3">
        <v>2649</v>
      </c>
      <c r="N1841" s="4">
        <v>7.6711399999999999E-3</v>
      </c>
      <c r="O1841" s="5" t="s">
        <v>44</v>
      </c>
      <c r="P1841" s="5" t="s">
        <v>44</v>
      </c>
      <c r="Q1841" s="1"/>
      <c r="R1841" s="2"/>
      <c r="S1841" s="6"/>
      <c r="T1841" t="s">
        <v>10902</v>
      </c>
      <c r="U1841" t="s">
        <v>10902</v>
      </c>
      <c r="V1841" t="s">
        <v>10902</v>
      </c>
      <c r="W1841" t="s">
        <v>43</v>
      </c>
      <c r="X1841" t="s">
        <v>11347</v>
      </c>
      <c r="Y1841" t="s">
        <v>11348</v>
      </c>
      <c r="Z1841" t="s">
        <v>11195</v>
      </c>
      <c r="AA1841" t="s">
        <v>44</v>
      </c>
      <c r="AB1841" t="s">
        <v>44</v>
      </c>
      <c r="AC1841" s="4"/>
      <c r="AD1841" s="4"/>
      <c r="AE1841" s="2">
        <v>0</v>
      </c>
      <c r="AF1841" s="4">
        <v>0</v>
      </c>
      <c r="AG1841" s="2">
        <v>0.36</v>
      </c>
      <c r="AH1841" s="2">
        <v>3371771</v>
      </c>
      <c r="AI1841" s="2">
        <v>0.01</v>
      </c>
      <c r="AJ1841" s="5">
        <v>44673</v>
      </c>
      <c r="AK1841" t="s">
        <v>12209</v>
      </c>
      <c r="AL1841" s="2">
        <v>0</v>
      </c>
      <c r="AM1841" s="2">
        <v>0</v>
      </c>
      <c r="AN1841" s="2">
        <v>0</v>
      </c>
      <c r="AO1841" t="s">
        <v>44</v>
      </c>
      <c r="AP1841" t="s">
        <v>11349</v>
      </c>
      <c r="AQ1841" t="s">
        <v>6850</v>
      </c>
    </row>
    <row r="1842" spans="1:43" x14ac:dyDescent="0.2">
      <c r="A1842" t="s">
        <v>12208</v>
      </c>
      <c r="B1842" t="s">
        <v>11037</v>
      </c>
      <c r="C1842" t="s">
        <v>11195</v>
      </c>
      <c r="D1842" t="s">
        <v>11208</v>
      </c>
      <c r="E1842" t="s">
        <v>3160</v>
      </c>
      <c r="F1842" t="s">
        <v>11208</v>
      </c>
      <c r="G1842" s="1">
        <v>1005647</v>
      </c>
      <c r="H1842" s="2">
        <v>2939277.73</v>
      </c>
      <c r="I1842" s="2">
        <v>4455016.21</v>
      </c>
      <c r="J1842" s="2">
        <v>0</v>
      </c>
      <c r="K1842" s="2">
        <v>0</v>
      </c>
      <c r="L1842" s="2">
        <v>4455016.21</v>
      </c>
      <c r="M1842" s="3">
        <v>443</v>
      </c>
      <c r="N1842" s="4">
        <v>1.013564E-2</v>
      </c>
      <c r="O1842" s="5" t="s">
        <v>44</v>
      </c>
      <c r="P1842" s="5" t="s">
        <v>44</v>
      </c>
      <c r="Q1842" s="1"/>
      <c r="R1842" s="2"/>
      <c r="S1842" s="6"/>
      <c r="T1842" t="s">
        <v>10902</v>
      </c>
      <c r="U1842" t="s">
        <v>10902</v>
      </c>
      <c r="V1842" t="s">
        <v>10902</v>
      </c>
      <c r="W1842" t="s">
        <v>43</v>
      </c>
      <c r="X1842" t="s">
        <v>11197</v>
      </c>
      <c r="Y1842" t="s">
        <v>11198</v>
      </c>
      <c r="Z1842" t="s">
        <v>11195</v>
      </c>
      <c r="AA1842" t="s">
        <v>44</v>
      </c>
      <c r="AB1842" t="s">
        <v>44</v>
      </c>
      <c r="AC1842" s="4"/>
      <c r="AD1842" s="4"/>
      <c r="AE1842" s="2">
        <v>0</v>
      </c>
      <c r="AF1842" s="4">
        <v>0</v>
      </c>
      <c r="AG1842" s="2">
        <v>0.48</v>
      </c>
      <c r="AH1842" s="2">
        <v>4455016.21</v>
      </c>
      <c r="AI1842" s="2">
        <v>0.01</v>
      </c>
      <c r="AJ1842" s="5">
        <v>44673</v>
      </c>
      <c r="AK1842" t="s">
        <v>12209</v>
      </c>
      <c r="AL1842" s="2">
        <v>0</v>
      </c>
      <c r="AM1842" s="2">
        <v>0</v>
      </c>
      <c r="AN1842" s="2">
        <v>0</v>
      </c>
      <c r="AO1842" t="s">
        <v>44</v>
      </c>
      <c r="AP1842" t="s">
        <v>11209</v>
      </c>
      <c r="AQ1842" t="s">
        <v>3160</v>
      </c>
    </row>
    <row r="1843" spans="1:43" x14ac:dyDescent="0.2">
      <c r="A1843" t="s">
        <v>12208</v>
      </c>
      <c r="B1843" t="s">
        <v>11037</v>
      </c>
      <c r="C1843" t="s">
        <v>11195</v>
      </c>
      <c r="D1843" t="s">
        <v>11714</v>
      </c>
      <c r="E1843" t="s">
        <v>5012</v>
      </c>
      <c r="F1843" t="s">
        <v>11714</v>
      </c>
      <c r="G1843" s="1">
        <v>19000</v>
      </c>
      <c r="H1843" s="2">
        <v>5958280.5499999998</v>
      </c>
      <c r="I1843" s="2">
        <v>6077150</v>
      </c>
      <c r="J1843" s="2">
        <v>0</v>
      </c>
      <c r="K1843" s="2">
        <v>0</v>
      </c>
      <c r="L1843" s="2">
        <v>6077150</v>
      </c>
      <c r="M1843" s="3">
        <v>31985</v>
      </c>
      <c r="N1843" s="4">
        <v>1.382617E-2</v>
      </c>
      <c r="O1843" s="5" t="s">
        <v>44</v>
      </c>
      <c r="P1843" s="5" t="s">
        <v>44</v>
      </c>
      <c r="Q1843" s="1"/>
      <c r="R1843" s="2"/>
      <c r="S1843" s="6"/>
      <c r="T1843" t="s">
        <v>10902</v>
      </c>
      <c r="U1843" t="s">
        <v>10902</v>
      </c>
      <c r="V1843" t="s">
        <v>10902</v>
      </c>
      <c r="W1843" t="s">
        <v>43</v>
      </c>
      <c r="X1843" t="s">
        <v>11327</v>
      </c>
      <c r="Y1843" t="s">
        <v>11198</v>
      </c>
      <c r="Z1843" t="s">
        <v>11195</v>
      </c>
      <c r="AA1843" t="s">
        <v>44</v>
      </c>
      <c r="AB1843" t="s">
        <v>44</v>
      </c>
      <c r="AC1843" s="4"/>
      <c r="AD1843" s="4"/>
      <c r="AE1843" s="2">
        <v>0</v>
      </c>
      <c r="AF1843" s="4">
        <v>0</v>
      </c>
      <c r="AG1843" s="2">
        <v>0.65</v>
      </c>
      <c r="AH1843" s="2">
        <v>6077150</v>
      </c>
      <c r="AI1843" s="2">
        <v>0.01</v>
      </c>
      <c r="AJ1843" s="5">
        <v>44673</v>
      </c>
      <c r="AK1843" t="s">
        <v>12209</v>
      </c>
      <c r="AL1843" s="2">
        <v>0</v>
      </c>
      <c r="AM1843" s="2">
        <v>0</v>
      </c>
      <c r="AN1843" s="2">
        <v>0</v>
      </c>
      <c r="AO1843" t="s">
        <v>44</v>
      </c>
      <c r="AP1843" t="s">
        <v>11715</v>
      </c>
      <c r="AQ1843" t="s">
        <v>5012</v>
      </c>
    </row>
    <row r="1844" spans="1:43" x14ac:dyDescent="0.2">
      <c r="A1844" t="s">
        <v>12208</v>
      </c>
      <c r="B1844" t="s">
        <v>11037</v>
      </c>
      <c r="C1844" t="s">
        <v>11195</v>
      </c>
      <c r="D1844" t="s">
        <v>11210</v>
      </c>
      <c r="E1844" t="s">
        <v>3167</v>
      </c>
      <c r="F1844" t="s">
        <v>11211</v>
      </c>
      <c r="G1844" s="1">
        <v>67025</v>
      </c>
      <c r="H1844" s="2">
        <v>3538833.18</v>
      </c>
      <c r="I1844" s="2">
        <v>3920962.5</v>
      </c>
      <c r="J1844" s="2">
        <v>0</v>
      </c>
      <c r="K1844" s="2">
        <v>0</v>
      </c>
      <c r="L1844" s="2">
        <v>3920962.5</v>
      </c>
      <c r="M1844" s="3">
        <v>5850</v>
      </c>
      <c r="N1844" s="4">
        <v>8.9206100000000007E-3</v>
      </c>
      <c r="O1844" s="5" t="s">
        <v>44</v>
      </c>
      <c r="P1844" s="5" t="s">
        <v>44</v>
      </c>
      <c r="Q1844" s="1"/>
      <c r="R1844" s="2"/>
      <c r="S1844" s="6"/>
      <c r="T1844" t="s">
        <v>10902</v>
      </c>
      <c r="U1844" t="s">
        <v>10902</v>
      </c>
      <c r="V1844" t="s">
        <v>11212</v>
      </c>
      <c r="W1844" t="s">
        <v>43</v>
      </c>
      <c r="X1844" t="s">
        <v>11197</v>
      </c>
      <c r="Y1844" t="s">
        <v>11198</v>
      </c>
      <c r="Z1844" t="s">
        <v>11195</v>
      </c>
      <c r="AA1844" t="s">
        <v>44</v>
      </c>
      <c r="AB1844" t="s">
        <v>44</v>
      </c>
      <c r="AC1844" s="4"/>
      <c r="AD1844" s="4"/>
      <c r="AE1844" s="2">
        <v>0</v>
      </c>
      <c r="AF1844" s="4">
        <v>0</v>
      </c>
      <c r="AG1844" s="2">
        <v>0.42</v>
      </c>
      <c r="AH1844" s="2">
        <v>3920962.5</v>
      </c>
      <c r="AI1844" s="2">
        <v>0.01</v>
      </c>
      <c r="AJ1844" s="5">
        <v>44673</v>
      </c>
      <c r="AK1844" t="s">
        <v>12209</v>
      </c>
      <c r="AL1844" s="2">
        <v>0</v>
      </c>
      <c r="AM1844" s="2">
        <v>0</v>
      </c>
      <c r="AN1844" s="2">
        <v>0</v>
      </c>
      <c r="AO1844" t="s">
        <v>44</v>
      </c>
      <c r="AP1844" t="s">
        <v>11213</v>
      </c>
      <c r="AQ1844" t="s">
        <v>3167</v>
      </c>
    </row>
    <row r="1845" spans="1:43" x14ac:dyDescent="0.2">
      <c r="A1845" t="s">
        <v>12208</v>
      </c>
      <c r="B1845" t="s">
        <v>11037</v>
      </c>
      <c r="C1845" t="s">
        <v>11195</v>
      </c>
      <c r="D1845" t="s">
        <v>5917</v>
      </c>
      <c r="E1845" t="s">
        <v>4907</v>
      </c>
      <c r="F1845" t="s">
        <v>5917</v>
      </c>
      <c r="G1845" s="1">
        <v>5319</v>
      </c>
      <c r="H1845" s="2">
        <v>473392.59</v>
      </c>
      <c r="I1845" s="2">
        <v>368393.94</v>
      </c>
      <c r="J1845" s="2">
        <v>0</v>
      </c>
      <c r="K1845" s="2">
        <v>0</v>
      </c>
      <c r="L1845" s="2">
        <v>368393.94</v>
      </c>
      <c r="M1845" s="3">
        <v>6926</v>
      </c>
      <c r="N1845" s="4">
        <v>8.3814000000000002E-4</v>
      </c>
      <c r="O1845" s="5" t="s">
        <v>44</v>
      </c>
      <c r="P1845" s="5" t="s">
        <v>44</v>
      </c>
      <c r="Q1845" s="1"/>
      <c r="R1845" s="2"/>
      <c r="S1845" s="6"/>
      <c r="T1845" t="s">
        <v>10902</v>
      </c>
      <c r="U1845" t="s">
        <v>10902</v>
      </c>
      <c r="V1845" t="s">
        <v>10902</v>
      </c>
      <c r="W1845" t="s">
        <v>43</v>
      </c>
      <c r="X1845" t="s">
        <v>11334</v>
      </c>
      <c r="Y1845" t="s">
        <v>11335</v>
      </c>
      <c r="Z1845" t="s">
        <v>11195</v>
      </c>
      <c r="AA1845" t="s">
        <v>44</v>
      </c>
      <c r="AB1845" t="s">
        <v>44</v>
      </c>
      <c r="AC1845" s="4"/>
      <c r="AD1845" s="4"/>
      <c r="AE1845" s="2">
        <v>0</v>
      </c>
      <c r="AF1845" s="4">
        <v>0</v>
      </c>
      <c r="AG1845" s="2">
        <v>0.04</v>
      </c>
      <c r="AH1845" s="2">
        <v>368393.94</v>
      </c>
      <c r="AI1845" s="2">
        <v>0</v>
      </c>
      <c r="AJ1845" s="5">
        <v>44673</v>
      </c>
      <c r="AK1845" t="s">
        <v>12209</v>
      </c>
      <c r="AL1845" s="2">
        <v>0</v>
      </c>
      <c r="AM1845" s="2">
        <v>0</v>
      </c>
      <c r="AN1845" s="2">
        <v>0</v>
      </c>
      <c r="AO1845" t="s">
        <v>44</v>
      </c>
      <c r="AP1845" t="s">
        <v>11716</v>
      </c>
      <c r="AQ1845" t="s">
        <v>4907</v>
      </c>
    </row>
    <row r="1846" spans="1:43" x14ac:dyDescent="0.2">
      <c r="A1846" t="s">
        <v>12208</v>
      </c>
      <c r="B1846" t="s">
        <v>11037</v>
      </c>
      <c r="C1846" t="s">
        <v>11195</v>
      </c>
      <c r="D1846" t="s">
        <v>6379</v>
      </c>
      <c r="E1846" t="s">
        <v>5199</v>
      </c>
      <c r="F1846" t="s">
        <v>6379</v>
      </c>
      <c r="G1846" s="1">
        <v>9235</v>
      </c>
      <c r="H1846" s="2">
        <v>2410681.83</v>
      </c>
      <c r="I1846" s="2">
        <v>2696620</v>
      </c>
      <c r="J1846" s="2">
        <v>0</v>
      </c>
      <c r="K1846" s="2">
        <v>0</v>
      </c>
      <c r="L1846" s="2">
        <v>2696620</v>
      </c>
      <c r="M1846" s="3">
        <v>29200</v>
      </c>
      <c r="N1846" s="4">
        <v>6.1351000000000001E-3</v>
      </c>
      <c r="O1846" s="5" t="s">
        <v>44</v>
      </c>
      <c r="P1846" s="5" t="s">
        <v>44</v>
      </c>
      <c r="Q1846" s="1"/>
      <c r="R1846" s="2"/>
      <c r="S1846" s="6"/>
      <c r="T1846" t="s">
        <v>10902</v>
      </c>
      <c r="U1846" t="s">
        <v>10902</v>
      </c>
      <c r="V1846" t="s">
        <v>10902</v>
      </c>
      <c r="W1846" t="s">
        <v>43</v>
      </c>
      <c r="X1846" t="s">
        <v>11350</v>
      </c>
      <c r="Y1846" t="s">
        <v>11335</v>
      </c>
      <c r="Z1846" t="s">
        <v>11195</v>
      </c>
      <c r="AA1846" t="s">
        <v>44</v>
      </c>
      <c r="AB1846" t="s">
        <v>44</v>
      </c>
      <c r="AC1846" s="4"/>
      <c r="AD1846" s="4"/>
      <c r="AE1846" s="2">
        <v>0</v>
      </c>
      <c r="AF1846" s="4">
        <v>0</v>
      </c>
      <c r="AG1846" s="2">
        <v>0.28999999999999998</v>
      </c>
      <c r="AH1846" s="2">
        <v>2696620</v>
      </c>
      <c r="AI1846" s="2">
        <v>0.01</v>
      </c>
      <c r="AJ1846" s="5">
        <v>44673</v>
      </c>
      <c r="AK1846" t="s">
        <v>12209</v>
      </c>
      <c r="AL1846" s="2">
        <v>0</v>
      </c>
      <c r="AM1846" s="2">
        <v>0</v>
      </c>
      <c r="AN1846" s="2">
        <v>0</v>
      </c>
      <c r="AO1846" t="s">
        <v>44</v>
      </c>
      <c r="AP1846" t="s">
        <v>11351</v>
      </c>
      <c r="AQ1846" t="s">
        <v>5199</v>
      </c>
    </row>
    <row r="1847" spans="1:43" x14ac:dyDescent="0.2">
      <c r="A1847" t="s">
        <v>12208</v>
      </c>
      <c r="B1847" t="s">
        <v>11037</v>
      </c>
      <c r="C1847" t="s">
        <v>11195</v>
      </c>
      <c r="D1847" t="s">
        <v>6710</v>
      </c>
      <c r="E1847" t="s">
        <v>1780</v>
      </c>
      <c r="F1847" t="s">
        <v>6710</v>
      </c>
      <c r="G1847" s="1">
        <v>43000</v>
      </c>
      <c r="H1847" s="2">
        <v>955278.76</v>
      </c>
      <c r="I1847" s="2">
        <v>1023400</v>
      </c>
      <c r="J1847" s="2">
        <v>0</v>
      </c>
      <c r="K1847" s="2">
        <v>0</v>
      </c>
      <c r="L1847" s="2">
        <v>1023400</v>
      </c>
      <c r="M1847" s="3">
        <v>2380</v>
      </c>
      <c r="N1847" s="4">
        <v>2.3283499999999999E-3</v>
      </c>
      <c r="O1847" s="5" t="s">
        <v>44</v>
      </c>
      <c r="P1847" s="5" t="s">
        <v>44</v>
      </c>
      <c r="Q1847" s="1"/>
      <c r="R1847" s="2"/>
      <c r="S1847" s="6"/>
      <c r="T1847" t="s">
        <v>10902</v>
      </c>
      <c r="U1847" t="s">
        <v>10902</v>
      </c>
      <c r="V1847" t="s">
        <v>10902</v>
      </c>
      <c r="W1847" t="s">
        <v>43</v>
      </c>
      <c r="X1847" t="s">
        <v>11197</v>
      </c>
      <c r="Y1847" t="s">
        <v>11198</v>
      </c>
      <c r="Z1847" t="s">
        <v>11195</v>
      </c>
      <c r="AA1847" t="s">
        <v>44</v>
      </c>
      <c r="AB1847" t="s">
        <v>44</v>
      </c>
      <c r="AC1847" s="4"/>
      <c r="AD1847" s="4"/>
      <c r="AE1847" s="2">
        <v>0</v>
      </c>
      <c r="AF1847" s="4">
        <v>0</v>
      </c>
      <c r="AG1847" s="2">
        <v>0.11</v>
      </c>
      <c r="AH1847" s="2">
        <v>1023400</v>
      </c>
      <c r="AI1847" s="2">
        <v>0</v>
      </c>
      <c r="AJ1847" s="5">
        <v>44673</v>
      </c>
      <c r="AK1847" t="s">
        <v>12209</v>
      </c>
      <c r="AL1847" s="2">
        <v>0</v>
      </c>
      <c r="AM1847" s="2">
        <v>0</v>
      </c>
      <c r="AN1847" s="2">
        <v>0</v>
      </c>
      <c r="AO1847" t="s">
        <v>44</v>
      </c>
      <c r="AP1847" t="s">
        <v>11214</v>
      </c>
      <c r="AQ1847" t="s">
        <v>1780</v>
      </c>
    </row>
    <row r="1848" spans="1:43" x14ac:dyDescent="0.2">
      <c r="A1848" t="s">
        <v>12208</v>
      </c>
      <c r="B1848" t="s">
        <v>11037</v>
      </c>
      <c r="C1848" t="s">
        <v>11195</v>
      </c>
      <c r="D1848" t="s">
        <v>5876</v>
      </c>
      <c r="E1848" t="s">
        <v>4893</v>
      </c>
      <c r="F1848" t="s">
        <v>5876</v>
      </c>
      <c r="G1848" s="1">
        <v>2000</v>
      </c>
      <c r="H1848" s="2">
        <v>301173.05</v>
      </c>
      <c r="I1848" s="2">
        <v>341880</v>
      </c>
      <c r="J1848" s="2">
        <v>0</v>
      </c>
      <c r="K1848" s="2">
        <v>0</v>
      </c>
      <c r="L1848" s="2">
        <v>341880</v>
      </c>
      <c r="M1848" s="3">
        <v>17094</v>
      </c>
      <c r="N1848" s="4">
        <v>7.7780999999999998E-4</v>
      </c>
      <c r="O1848" s="5" t="s">
        <v>44</v>
      </c>
      <c r="P1848" s="5" t="s">
        <v>44</v>
      </c>
      <c r="Q1848" s="1"/>
      <c r="R1848" s="2"/>
      <c r="S1848" s="6"/>
      <c r="T1848" t="s">
        <v>10902</v>
      </c>
      <c r="U1848" t="s">
        <v>10902</v>
      </c>
      <c r="V1848" t="s">
        <v>10902</v>
      </c>
      <c r="W1848" t="s">
        <v>43</v>
      </c>
      <c r="X1848" t="s">
        <v>11034</v>
      </c>
      <c r="Y1848" t="s">
        <v>11034</v>
      </c>
      <c r="Z1848" t="s">
        <v>11195</v>
      </c>
      <c r="AA1848" t="s">
        <v>44</v>
      </c>
      <c r="AB1848" t="s">
        <v>44</v>
      </c>
      <c r="AC1848" s="4"/>
      <c r="AD1848" s="4"/>
      <c r="AE1848" s="2">
        <v>0</v>
      </c>
      <c r="AF1848" s="4">
        <v>0</v>
      </c>
      <c r="AG1848" s="2">
        <v>0.04</v>
      </c>
      <c r="AH1848" s="2">
        <v>341880</v>
      </c>
      <c r="AI1848" s="2">
        <v>0</v>
      </c>
      <c r="AJ1848" s="5">
        <v>44673</v>
      </c>
      <c r="AK1848" t="s">
        <v>12209</v>
      </c>
      <c r="AL1848" s="2">
        <v>0</v>
      </c>
      <c r="AM1848" s="2">
        <v>0</v>
      </c>
      <c r="AN1848" s="2">
        <v>0</v>
      </c>
      <c r="AO1848" t="s">
        <v>44</v>
      </c>
      <c r="AP1848" t="s">
        <v>11352</v>
      </c>
      <c r="AQ1848" t="s">
        <v>4893</v>
      </c>
    </row>
    <row r="1849" spans="1:43" x14ac:dyDescent="0.2">
      <c r="A1849" t="s">
        <v>12208</v>
      </c>
      <c r="B1849" t="s">
        <v>11037</v>
      </c>
      <c r="C1849" t="s">
        <v>11195</v>
      </c>
      <c r="D1849" t="s">
        <v>11353</v>
      </c>
      <c r="E1849" t="s">
        <v>5706</v>
      </c>
      <c r="F1849" t="s">
        <v>11353</v>
      </c>
      <c r="G1849" s="1">
        <v>102780</v>
      </c>
      <c r="H1849" s="2">
        <v>2040349.53</v>
      </c>
      <c r="I1849" s="2">
        <v>5139000</v>
      </c>
      <c r="J1849" s="2">
        <v>0</v>
      </c>
      <c r="K1849" s="2">
        <v>0</v>
      </c>
      <c r="L1849" s="2">
        <v>5139000</v>
      </c>
      <c r="M1849" s="3">
        <v>5000</v>
      </c>
      <c r="N1849" s="4">
        <v>1.1691780000000001E-2</v>
      </c>
      <c r="O1849" s="5" t="s">
        <v>44</v>
      </c>
      <c r="P1849" s="5" t="s">
        <v>44</v>
      </c>
      <c r="Q1849" s="1"/>
      <c r="R1849" s="2"/>
      <c r="S1849" s="6"/>
      <c r="T1849" t="s">
        <v>10902</v>
      </c>
      <c r="U1849" t="s">
        <v>10902</v>
      </c>
      <c r="V1849" t="s">
        <v>10902</v>
      </c>
      <c r="W1849" t="s">
        <v>43</v>
      </c>
      <c r="X1849" t="s">
        <v>11327</v>
      </c>
      <c r="Y1849" t="s">
        <v>11198</v>
      </c>
      <c r="Z1849" t="s">
        <v>11195</v>
      </c>
      <c r="AA1849" t="s">
        <v>44</v>
      </c>
      <c r="AB1849" t="s">
        <v>44</v>
      </c>
      <c r="AC1849" s="4"/>
      <c r="AD1849" s="4"/>
      <c r="AE1849" s="2">
        <v>0</v>
      </c>
      <c r="AF1849" s="4">
        <v>0</v>
      </c>
      <c r="AG1849" s="2">
        <v>0.55000000000000004</v>
      </c>
      <c r="AH1849" s="2">
        <v>5139000</v>
      </c>
      <c r="AI1849" s="2">
        <v>0.01</v>
      </c>
      <c r="AJ1849" s="5">
        <v>44673</v>
      </c>
      <c r="AK1849" t="s">
        <v>12209</v>
      </c>
      <c r="AL1849" s="2">
        <v>0</v>
      </c>
      <c r="AM1849" s="2">
        <v>0</v>
      </c>
      <c r="AN1849" s="2">
        <v>0</v>
      </c>
      <c r="AO1849" t="s">
        <v>44</v>
      </c>
      <c r="AP1849" t="s">
        <v>11354</v>
      </c>
      <c r="AQ1849" t="s">
        <v>5706</v>
      </c>
    </row>
    <row r="1850" spans="1:43" x14ac:dyDescent="0.2">
      <c r="A1850" t="s">
        <v>12208</v>
      </c>
      <c r="B1850" t="s">
        <v>11037</v>
      </c>
      <c r="C1850" t="s">
        <v>11195</v>
      </c>
      <c r="D1850" t="s">
        <v>6348</v>
      </c>
      <c r="E1850" t="s">
        <v>5241</v>
      </c>
      <c r="F1850" t="s">
        <v>6348</v>
      </c>
      <c r="G1850" s="1">
        <v>172472</v>
      </c>
      <c r="H1850" s="2">
        <v>1884469.71</v>
      </c>
      <c r="I1850" s="2">
        <v>2311124.7999999998</v>
      </c>
      <c r="J1850" s="2">
        <v>0</v>
      </c>
      <c r="K1850" s="2">
        <v>0</v>
      </c>
      <c r="L1850" s="2">
        <v>2311124.7999999998</v>
      </c>
      <c r="M1850" s="3">
        <v>1340</v>
      </c>
      <c r="N1850" s="4">
        <v>5.2580600000000002E-3</v>
      </c>
      <c r="O1850" s="5" t="s">
        <v>44</v>
      </c>
      <c r="P1850" s="5" t="s">
        <v>44</v>
      </c>
      <c r="Q1850" s="1"/>
      <c r="R1850" s="2"/>
      <c r="S1850" s="6"/>
      <c r="T1850" t="s">
        <v>10902</v>
      </c>
      <c r="U1850" t="s">
        <v>10902</v>
      </c>
      <c r="V1850" t="s">
        <v>10902</v>
      </c>
      <c r="W1850" t="s">
        <v>43</v>
      </c>
      <c r="X1850" t="s">
        <v>11197</v>
      </c>
      <c r="Y1850" t="s">
        <v>11198</v>
      </c>
      <c r="Z1850" t="s">
        <v>11195</v>
      </c>
      <c r="AA1850" t="s">
        <v>44</v>
      </c>
      <c r="AB1850" t="s">
        <v>44</v>
      </c>
      <c r="AC1850" s="4"/>
      <c r="AD1850" s="4"/>
      <c r="AE1850" s="2">
        <v>0</v>
      </c>
      <c r="AF1850" s="4">
        <v>0</v>
      </c>
      <c r="AG1850" s="2">
        <v>0.25</v>
      </c>
      <c r="AH1850" s="2">
        <v>2311124.7999999998</v>
      </c>
      <c r="AI1850" s="2">
        <v>0.01</v>
      </c>
      <c r="AJ1850" s="5">
        <v>44673</v>
      </c>
      <c r="AK1850" t="s">
        <v>12209</v>
      </c>
      <c r="AL1850" s="2">
        <v>0</v>
      </c>
      <c r="AM1850" s="2">
        <v>0</v>
      </c>
      <c r="AN1850" s="2">
        <v>0</v>
      </c>
      <c r="AO1850" t="s">
        <v>44</v>
      </c>
      <c r="AP1850" t="s">
        <v>11215</v>
      </c>
      <c r="AQ1850" t="s">
        <v>5241</v>
      </c>
    </row>
    <row r="1851" spans="1:43" x14ac:dyDescent="0.2">
      <c r="A1851" t="s">
        <v>12208</v>
      </c>
      <c r="B1851" t="s">
        <v>11037</v>
      </c>
      <c r="C1851" t="s">
        <v>11355</v>
      </c>
      <c r="D1851" t="s">
        <v>11356</v>
      </c>
      <c r="E1851" t="s">
        <v>4971</v>
      </c>
      <c r="F1851" t="s">
        <v>6192</v>
      </c>
      <c r="G1851" s="1">
        <v>243376</v>
      </c>
      <c r="H1851" s="2">
        <v>5203571.74</v>
      </c>
      <c r="I1851" s="2">
        <v>5483261.2800000003</v>
      </c>
      <c r="J1851" s="2">
        <v>0</v>
      </c>
      <c r="K1851" s="2">
        <v>0</v>
      </c>
      <c r="L1851" s="2">
        <v>5483261.2800000003</v>
      </c>
      <c r="M1851" s="3">
        <v>2253</v>
      </c>
      <c r="N1851" s="4">
        <v>1.247501E-2</v>
      </c>
      <c r="O1851" s="5" t="s">
        <v>44</v>
      </c>
      <c r="P1851" s="5" t="s">
        <v>44</v>
      </c>
      <c r="Q1851" s="1"/>
      <c r="R1851" s="2"/>
      <c r="S1851" s="6"/>
      <c r="T1851" t="s">
        <v>10902</v>
      </c>
      <c r="U1851" t="s">
        <v>10902</v>
      </c>
      <c r="V1851" t="s">
        <v>10902</v>
      </c>
      <c r="W1851" t="s">
        <v>43</v>
      </c>
      <c r="X1851" t="s">
        <v>11357</v>
      </c>
      <c r="Y1851" t="s">
        <v>11358</v>
      </c>
      <c r="Z1851" t="s">
        <v>11355</v>
      </c>
      <c r="AA1851" t="s">
        <v>44</v>
      </c>
      <c r="AB1851" t="s">
        <v>44</v>
      </c>
      <c r="AC1851" s="4"/>
      <c r="AD1851" s="4"/>
      <c r="AE1851" s="2">
        <v>0</v>
      </c>
      <c r="AF1851" s="4">
        <v>0</v>
      </c>
      <c r="AG1851" s="2">
        <v>0.59</v>
      </c>
      <c r="AH1851" s="2">
        <v>5483261.2800000003</v>
      </c>
      <c r="AI1851" s="2">
        <v>0.01</v>
      </c>
      <c r="AJ1851" s="5">
        <v>44673</v>
      </c>
      <c r="AK1851" t="s">
        <v>12209</v>
      </c>
      <c r="AL1851" s="2">
        <v>0</v>
      </c>
      <c r="AM1851" s="2">
        <v>0</v>
      </c>
      <c r="AN1851" s="2">
        <v>0</v>
      </c>
      <c r="AO1851" t="s">
        <v>44</v>
      </c>
      <c r="AP1851" t="s">
        <v>11359</v>
      </c>
      <c r="AQ1851" t="s">
        <v>4971</v>
      </c>
    </row>
    <row r="1852" spans="1:43" x14ac:dyDescent="0.2">
      <c r="A1852" t="s">
        <v>12208</v>
      </c>
      <c r="B1852" t="s">
        <v>11037</v>
      </c>
      <c r="C1852" t="s">
        <v>11355</v>
      </c>
      <c r="D1852" t="s">
        <v>11360</v>
      </c>
      <c r="E1852" t="s">
        <v>4991</v>
      </c>
      <c r="F1852" t="s">
        <v>11360</v>
      </c>
      <c r="G1852" s="1">
        <v>52121</v>
      </c>
      <c r="H1852" s="2">
        <v>3086967.16</v>
      </c>
      <c r="I1852" s="2">
        <v>3941911.23</v>
      </c>
      <c r="J1852" s="2">
        <v>0</v>
      </c>
      <c r="K1852" s="2">
        <v>0</v>
      </c>
      <c r="L1852" s="2">
        <v>3941911.23</v>
      </c>
      <c r="M1852" s="3">
        <v>7563</v>
      </c>
      <c r="N1852" s="4">
        <v>8.9682700000000004E-3</v>
      </c>
      <c r="O1852" s="5" t="s">
        <v>44</v>
      </c>
      <c r="P1852" s="5" t="s">
        <v>44</v>
      </c>
      <c r="Q1852" s="1"/>
      <c r="R1852" s="2"/>
      <c r="S1852" s="6"/>
      <c r="T1852" t="s">
        <v>10902</v>
      </c>
      <c r="U1852" t="s">
        <v>10902</v>
      </c>
      <c r="V1852" t="s">
        <v>10902</v>
      </c>
      <c r="W1852" t="s">
        <v>43</v>
      </c>
      <c r="X1852" t="s">
        <v>11357</v>
      </c>
      <c r="Y1852" t="s">
        <v>11358</v>
      </c>
      <c r="Z1852" t="s">
        <v>11355</v>
      </c>
      <c r="AA1852" t="s">
        <v>44</v>
      </c>
      <c r="AB1852" t="s">
        <v>44</v>
      </c>
      <c r="AC1852" s="4"/>
      <c r="AD1852" s="4"/>
      <c r="AE1852" s="2">
        <v>0</v>
      </c>
      <c r="AF1852" s="4">
        <v>0</v>
      </c>
      <c r="AG1852" s="2">
        <v>0.42</v>
      </c>
      <c r="AH1852" s="2">
        <v>3941911.23</v>
      </c>
      <c r="AI1852" s="2">
        <v>0.01</v>
      </c>
      <c r="AJ1852" s="5">
        <v>44673</v>
      </c>
      <c r="AK1852" t="s">
        <v>12209</v>
      </c>
      <c r="AL1852" s="2">
        <v>0</v>
      </c>
      <c r="AM1852" s="2">
        <v>0</v>
      </c>
      <c r="AN1852" s="2">
        <v>0</v>
      </c>
      <c r="AO1852" t="s">
        <v>44</v>
      </c>
      <c r="AP1852" t="s">
        <v>11361</v>
      </c>
      <c r="AQ1852" t="s">
        <v>4991</v>
      </c>
    </row>
    <row r="1853" spans="1:43" x14ac:dyDescent="0.2">
      <c r="A1853" t="s">
        <v>12208</v>
      </c>
      <c r="B1853" t="s">
        <v>11037</v>
      </c>
      <c r="C1853" t="s">
        <v>11355</v>
      </c>
      <c r="D1853" t="s">
        <v>11362</v>
      </c>
      <c r="E1853" t="s">
        <v>4862</v>
      </c>
      <c r="F1853" t="s">
        <v>11362</v>
      </c>
      <c r="G1853" s="1">
        <v>200000</v>
      </c>
      <c r="H1853" s="2">
        <v>3409228.33</v>
      </c>
      <c r="I1853" s="2">
        <v>3200000</v>
      </c>
      <c r="J1853" s="2">
        <v>0</v>
      </c>
      <c r="K1853" s="2">
        <v>0</v>
      </c>
      <c r="L1853" s="2">
        <v>3200000</v>
      </c>
      <c r="M1853" s="3">
        <v>1600</v>
      </c>
      <c r="N1853" s="4">
        <v>7.2803399999999997E-3</v>
      </c>
      <c r="O1853" s="5" t="s">
        <v>44</v>
      </c>
      <c r="P1853" s="5" t="s">
        <v>44</v>
      </c>
      <c r="Q1853" s="1"/>
      <c r="R1853" s="2"/>
      <c r="S1853" s="6"/>
      <c r="T1853" t="s">
        <v>10902</v>
      </c>
      <c r="U1853" t="s">
        <v>10902</v>
      </c>
      <c r="V1853" t="s">
        <v>10902</v>
      </c>
      <c r="W1853" t="s">
        <v>43</v>
      </c>
      <c r="X1853" t="s">
        <v>11357</v>
      </c>
      <c r="Y1853" t="s">
        <v>11358</v>
      </c>
      <c r="Z1853" t="s">
        <v>11355</v>
      </c>
      <c r="AA1853" t="s">
        <v>44</v>
      </c>
      <c r="AB1853" t="s">
        <v>44</v>
      </c>
      <c r="AC1853" s="4"/>
      <c r="AD1853" s="4"/>
      <c r="AE1853" s="2">
        <v>0</v>
      </c>
      <c r="AF1853" s="4">
        <v>0</v>
      </c>
      <c r="AG1853" s="2">
        <v>0.34</v>
      </c>
      <c r="AH1853" s="2">
        <v>3200000</v>
      </c>
      <c r="AI1853" s="2">
        <v>0.01</v>
      </c>
      <c r="AJ1853" s="5">
        <v>44673</v>
      </c>
      <c r="AK1853" t="s">
        <v>12209</v>
      </c>
      <c r="AL1853" s="2">
        <v>0</v>
      </c>
      <c r="AM1853" s="2">
        <v>0</v>
      </c>
      <c r="AN1853" s="2">
        <v>0</v>
      </c>
      <c r="AO1853" t="s">
        <v>44</v>
      </c>
      <c r="AP1853" t="s">
        <v>11363</v>
      </c>
      <c r="AQ1853" t="s">
        <v>4862</v>
      </c>
    </row>
    <row r="1854" spans="1:43" x14ac:dyDescent="0.2">
      <c r="A1854" t="s">
        <v>12208</v>
      </c>
      <c r="B1854" t="s">
        <v>11037</v>
      </c>
      <c r="C1854" t="s">
        <v>11364</v>
      </c>
      <c r="D1854" t="s">
        <v>11365</v>
      </c>
      <c r="E1854" t="s">
        <v>5762</v>
      </c>
      <c r="F1854" t="s">
        <v>11365</v>
      </c>
      <c r="G1854" s="1">
        <v>35000</v>
      </c>
      <c r="H1854" s="2">
        <v>739671.64</v>
      </c>
      <c r="I1854" s="2">
        <v>275450</v>
      </c>
      <c r="J1854" s="2">
        <v>0</v>
      </c>
      <c r="K1854" s="2">
        <v>0</v>
      </c>
      <c r="L1854" s="2">
        <v>275450</v>
      </c>
      <c r="M1854" s="3">
        <v>787</v>
      </c>
      <c r="N1854" s="4">
        <v>6.2668000000000001E-4</v>
      </c>
      <c r="O1854" s="5" t="s">
        <v>44</v>
      </c>
      <c r="P1854" s="5" t="s">
        <v>44</v>
      </c>
      <c r="Q1854" s="1"/>
      <c r="R1854" s="2"/>
      <c r="S1854" s="6"/>
      <c r="T1854" t="s">
        <v>10902</v>
      </c>
      <c r="U1854" t="s">
        <v>10902</v>
      </c>
      <c r="V1854" t="s">
        <v>10902</v>
      </c>
      <c r="W1854" t="s">
        <v>43</v>
      </c>
      <c r="X1854" t="s">
        <v>11366</v>
      </c>
      <c r="Y1854" t="s">
        <v>11367</v>
      </c>
      <c r="Z1854" t="s">
        <v>11364</v>
      </c>
      <c r="AA1854" t="s">
        <v>44</v>
      </c>
      <c r="AB1854" t="s">
        <v>44</v>
      </c>
      <c r="AC1854" s="4"/>
      <c r="AD1854" s="4"/>
      <c r="AE1854" s="2">
        <v>0</v>
      </c>
      <c r="AF1854" s="4">
        <v>0</v>
      </c>
      <c r="AG1854" s="2">
        <v>0.03</v>
      </c>
      <c r="AH1854" s="2">
        <v>275450</v>
      </c>
      <c r="AI1854" s="2">
        <v>0</v>
      </c>
      <c r="AJ1854" s="5">
        <v>44673</v>
      </c>
      <c r="AK1854" t="s">
        <v>12209</v>
      </c>
      <c r="AL1854" s="2">
        <v>0</v>
      </c>
      <c r="AM1854" s="2">
        <v>0</v>
      </c>
      <c r="AN1854" s="2">
        <v>0</v>
      </c>
      <c r="AO1854" t="s">
        <v>44</v>
      </c>
      <c r="AP1854" t="s">
        <v>11368</v>
      </c>
      <c r="AQ1854" t="s">
        <v>5762</v>
      </c>
    </row>
    <row r="1855" spans="1:43" x14ac:dyDescent="0.2">
      <c r="A1855" t="s">
        <v>12208</v>
      </c>
      <c r="B1855" t="s">
        <v>11037</v>
      </c>
      <c r="C1855" t="s">
        <v>11364</v>
      </c>
      <c r="D1855" t="s">
        <v>6240</v>
      </c>
      <c r="E1855" t="s">
        <v>5065</v>
      </c>
      <c r="F1855" t="s">
        <v>6240</v>
      </c>
      <c r="G1855" s="1">
        <v>38835</v>
      </c>
      <c r="H1855" s="2">
        <v>4792361.6500000004</v>
      </c>
      <c r="I1855" s="2">
        <v>4491267.75</v>
      </c>
      <c r="J1855" s="2">
        <v>0</v>
      </c>
      <c r="K1855" s="2">
        <v>0</v>
      </c>
      <c r="L1855" s="2">
        <v>4491267.75</v>
      </c>
      <c r="M1855" s="3">
        <v>11565</v>
      </c>
      <c r="N1855" s="4">
        <v>1.0218120000000001E-2</v>
      </c>
      <c r="O1855" s="5" t="s">
        <v>44</v>
      </c>
      <c r="P1855" s="5" t="s">
        <v>44</v>
      </c>
      <c r="Q1855" s="1"/>
      <c r="R1855" s="2"/>
      <c r="S1855" s="6"/>
      <c r="T1855" t="s">
        <v>10902</v>
      </c>
      <c r="U1855" t="s">
        <v>10902</v>
      </c>
      <c r="V1855" t="s">
        <v>10902</v>
      </c>
      <c r="W1855" t="s">
        <v>43</v>
      </c>
      <c r="X1855" t="s">
        <v>11369</v>
      </c>
      <c r="Y1855" t="s">
        <v>11367</v>
      </c>
      <c r="Z1855" t="s">
        <v>11364</v>
      </c>
      <c r="AA1855" t="s">
        <v>44</v>
      </c>
      <c r="AB1855" t="s">
        <v>44</v>
      </c>
      <c r="AC1855" s="4"/>
      <c r="AD1855" s="4"/>
      <c r="AE1855" s="2">
        <v>0</v>
      </c>
      <c r="AF1855" s="4">
        <v>0</v>
      </c>
      <c r="AG1855" s="2">
        <v>0.48</v>
      </c>
      <c r="AH1855" s="2">
        <v>4491267.75</v>
      </c>
      <c r="AI1855" s="2">
        <v>0.01</v>
      </c>
      <c r="AJ1855" s="5">
        <v>44673</v>
      </c>
      <c r="AK1855" t="s">
        <v>12209</v>
      </c>
      <c r="AL1855" s="2">
        <v>0</v>
      </c>
      <c r="AM1855" s="2">
        <v>0</v>
      </c>
      <c r="AN1855" s="2">
        <v>0</v>
      </c>
      <c r="AO1855" t="s">
        <v>44</v>
      </c>
      <c r="AP1855" t="s">
        <v>11370</v>
      </c>
      <c r="AQ1855" t="s">
        <v>5065</v>
      </c>
    </row>
    <row r="1856" spans="1:43" x14ac:dyDescent="0.2">
      <c r="A1856" t="s">
        <v>12208</v>
      </c>
      <c r="B1856" t="s">
        <v>11037</v>
      </c>
      <c r="C1856" t="s">
        <v>11364</v>
      </c>
      <c r="D1856" t="s">
        <v>11371</v>
      </c>
      <c r="E1856" t="s">
        <v>5127</v>
      </c>
      <c r="F1856" t="s">
        <v>11371</v>
      </c>
      <c r="G1856" s="1">
        <v>488818</v>
      </c>
      <c r="H1856" s="2">
        <v>3293724.57</v>
      </c>
      <c r="I1856" s="2">
        <v>2517412.7000000002</v>
      </c>
      <c r="J1856" s="2">
        <v>0</v>
      </c>
      <c r="K1856" s="2">
        <v>0</v>
      </c>
      <c r="L1856" s="2">
        <v>2517412.7000000002</v>
      </c>
      <c r="M1856" s="3">
        <v>515</v>
      </c>
      <c r="N1856" s="4">
        <v>5.7273799999999998E-3</v>
      </c>
      <c r="O1856" s="5" t="s">
        <v>44</v>
      </c>
      <c r="P1856" s="5" t="s">
        <v>44</v>
      </c>
      <c r="Q1856" s="1"/>
      <c r="R1856" s="2"/>
      <c r="S1856" s="6"/>
      <c r="T1856" t="s">
        <v>10902</v>
      </c>
      <c r="U1856" t="s">
        <v>10902</v>
      </c>
      <c r="V1856" t="s">
        <v>10902</v>
      </c>
      <c r="W1856" t="s">
        <v>43</v>
      </c>
      <c r="X1856" t="s">
        <v>11369</v>
      </c>
      <c r="Y1856" t="s">
        <v>11367</v>
      </c>
      <c r="Z1856" t="s">
        <v>11364</v>
      </c>
      <c r="AA1856" t="s">
        <v>44</v>
      </c>
      <c r="AB1856" t="s">
        <v>44</v>
      </c>
      <c r="AC1856" s="4"/>
      <c r="AD1856" s="4"/>
      <c r="AE1856" s="2">
        <v>0</v>
      </c>
      <c r="AF1856" s="4">
        <v>0</v>
      </c>
      <c r="AG1856" s="2">
        <v>0.27</v>
      </c>
      <c r="AH1856" s="2">
        <v>2517412.7000000002</v>
      </c>
      <c r="AI1856" s="2">
        <v>0.01</v>
      </c>
      <c r="AJ1856" s="5">
        <v>44673</v>
      </c>
      <c r="AK1856" t="s">
        <v>12209</v>
      </c>
      <c r="AL1856" s="2">
        <v>0</v>
      </c>
      <c r="AM1856" s="2">
        <v>0</v>
      </c>
      <c r="AN1856" s="2">
        <v>0</v>
      </c>
      <c r="AO1856" t="s">
        <v>44</v>
      </c>
      <c r="AP1856" t="s">
        <v>11372</v>
      </c>
      <c r="AQ1856" t="s">
        <v>5127</v>
      </c>
    </row>
    <row r="1857" spans="1:43" x14ac:dyDescent="0.2">
      <c r="A1857" t="s">
        <v>12208</v>
      </c>
      <c r="B1857" t="s">
        <v>11037</v>
      </c>
      <c r="C1857" t="s">
        <v>11364</v>
      </c>
      <c r="D1857" t="s">
        <v>6915</v>
      </c>
      <c r="E1857" t="s">
        <v>5570</v>
      </c>
      <c r="F1857" t="s">
        <v>6915</v>
      </c>
      <c r="G1857" s="1">
        <v>38000</v>
      </c>
      <c r="H1857" s="2">
        <v>1603093.52</v>
      </c>
      <c r="I1857" s="2">
        <v>1524560</v>
      </c>
      <c r="J1857" s="2">
        <v>0</v>
      </c>
      <c r="K1857" s="2">
        <v>0</v>
      </c>
      <c r="L1857" s="2">
        <v>1524560</v>
      </c>
      <c r="M1857" s="3">
        <v>4012</v>
      </c>
      <c r="N1857" s="4">
        <v>3.46854E-3</v>
      </c>
      <c r="O1857" s="5" t="s">
        <v>44</v>
      </c>
      <c r="P1857" s="5" t="s">
        <v>44</v>
      </c>
      <c r="Q1857" s="1"/>
      <c r="R1857" s="2"/>
      <c r="S1857" s="6"/>
      <c r="T1857" t="s">
        <v>10902</v>
      </c>
      <c r="U1857" t="s">
        <v>10902</v>
      </c>
      <c r="V1857" t="s">
        <v>10902</v>
      </c>
      <c r="W1857" t="s">
        <v>43</v>
      </c>
      <c r="X1857" t="s">
        <v>11720</v>
      </c>
      <c r="Y1857" t="s">
        <v>11721</v>
      </c>
      <c r="Z1857" t="s">
        <v>11364</v>
      </c>
      <c r="AA1857" t="s">
        <v>44</v>
      </c>
      <c r="AB1857" t="s">
        <v>44</v>
      </c>
      <c r="AC1857" s="4"/>
      <c r="AD1857" s="4"/>
      <c r="AE1857" s="2">
        <v>0</v>
      </c>
      <c r="AF1857" s="4">
        <v>0</v>
      </c>
      <c r="AG1857" s="2">
        <v>0.16</v>
      </c>
      <c r="AH1857" s="2">
        <v>1524560</v>
      </c>
      <c r="AI1857" s="2">
        <v>0</v>
      </c>
      <c r="AJ1857" s="5">
        <v>44673</v>
      </c>
      <c r="AK1857" t="s">
        <v>12209</v>
      </c>
      <c r="AL1857" s="2">
        <v>0</v>
      </c>
      <c r="AM1857" s="2">
        <v>0</v>
      </c>
      <c r="AN1857" s="2">
        <v>0</v>
      </c>
      <c r="AO1857" t="s">
        <v>44</v>
      </c>
      <c r="AP1857" t="s">
        <v>12498</v>
      </c>
      <c r="AQ1857" t="s">
        <v>5570</v>
      </c>
    </row>
    <row r="1858" spans="1:43" x14ac:dyDescent="0.2">
      <c r="A1858" t="s">
        <v>12208</v>
      </c>
      <c r="B1858" t="s">
        <v>11037</v>
      </c>
      <c r="C1858" t="s">
        <v>11364</v>
      </c>
      <c r="D1858" t="s">
        <v>5973</v>
      </c>
      <c r="E1858" t="s">
        <v>4873</v>
      </c>
      <c r="F1858" t="s">
        <v>5973</v>
      </c>
      <c r="G1858" s="1">
        <v>1661</v>
      </c>
      <c r="H1858" s="2">
        <v>378280.13</v>
      </c>
      <c r="I1858" s="2">
        <v>241924.65</v>
      </c>
      <c r="J1858" s="2">
        <v>0</v>
      </c>
      <c r="K1858" s="2">
        <v>830.5</v>
      </c>
      <c r="L1858" s="2">
        <v>242755.15</v>
      </c>
      <c r="M1858" s="3">
        <v>14565</v>
      </c>
      <c r="N1858" s="4">
        <v>5.5228999999999999E-4</v>
      </c>
      <c r="O1858" s="5" t="s">
        <v>44</v>
      </c>
      <c r="P1858" s="5" t="s">
        <v>44</v>
      </c>
      <c r="Q1858" s="1"/>
      <c r="R1858" s="2"/>
      <c r="S1858" s="6"/>
      <c r="T1858" t="s">
        <v>10902</v>
      </c>
      <c r="U1858" t="s">
        <v>10902</v>
      </c>
      <c r="V1858" t="s">
        <v>10902</v>
      </c>
      <c r="W1858" t="s">
        <v>43</v>
      </c>
      <c r="X1858" t="s">
        <v>11369</v>
      </c>
      <c r="Y1858" t="s">
        <v>11367</v>
      </c>
      <c r="Z1858" t="s">
        <v>11364</v>
      </c>
      <c r="AA1858" t="s">
        <v>44</v>
      </c>
      <c r="AB1858" t="s">
        <v>44</v>
      </c>
      <c r="AC1858" s="4"/>
      <c r="AD1858" s="4"/>
      <c r="AE1858" s="2">
        <v>0</v>
      </c>
      <c r="AF1858" s="4">
        <v>0</v>
      </c>
      <c r="AG1858" s="2">
        <v>0.03</v>
      </c>
      <c r="AH1858" s="2">
        <v>242755.15</v>
      </c>
      <c r="AI1858" s="2">
        <v>0</v>
      </c>
      <c r="AJ1858" s="5">
        <v>44673</v>
      </c>
      <c r="AK1858" t="s">
        <v>12209</v>
      </c>
      <c r="AL1858" s="2">
        <v>0</v>
      </c>
      <c r="AM1858" s="2">
        <v>0</v>
      </c>
      <c r="AN1858" s="2">
        <v>0</v>
      </c>
      <c r="AO1858" t="s">
        <v>44</v>
      </c>
      <c r="AP1858" t="s">
        <v>11723</v>
      </c>
      <c r="AQ1858" t="s">
        <v>4873</v>
      </c>
    </row>
    <row r="1859" spans="1:43" x14ac:dyDescent="0.2">
      <c r="A1859" t="s">
        <v>12208</v>
      </c>
      <c r="B1859" t="s">
        <v>11037</v>
      </c>
      <c r="C1859" t="s">
        <v>11364</v>
      </c>
      <c r="D1859" t="s">
        <v>6443</v>
      </c>
      <c r="E1859" t="s">
        <v>5186</v>
      </c>
      <c r="F1859" t="s">
        <v>6443</v>
      </c>
      <c r="G1859" s="1">
        <v>9544</v>
      </c>
      <c r="H1859" s="2">
        <v>614635.56999999995</v>
      </c>
      <c r="I1859" s="2">
        <v>421463.03999999998</v>
      </c>
      <c r="J1859" s="2">
        <v>0</v>
      </c>
      <c r="K1859" s="2">
        <v>0</v>
      </c>
      <c r="L1859" s="2">
        <v>421463.03999999998</v>
      </c>
      <c r="M1859" s="3">
        <v>4416</v>
      </c>
      <c r="N1859" s="4">
        <v>9.5887000000000001E-4</v>
      </c>
      <c r="O1859" s="5" t="s">
        <v>44</v>
      </c>
      <c r="P1859" s="5" t="s">
        <v>44</v>
      </c>
      <c r="Q1859" s="1"/>
      <c r="R1859" s="2"/>
      <c r="S1859" s="6"/>
      <c r="T1859" t="s">
        <v>10902</v>
      </c>
      <c r="U1859" t="s">
        <v>10902</v>
      </c>
      <c r="V1859" t="s">
        <v>10902</v>
      </c>
      <c r="W1859" t="s">
        <v>43</v>
      </c>
      <c r="X1859" t="s">
        <v>11366</v>
      </c>
      <c r="Y1859" t="s">
        <v>11367</v>
      </c>
      <c r="Z1859" t="s">
        <v>11364</v>
      </c>
      <c r="AA1859" t="s">
        <v>44</v>
      </c>
      <c r="AB1859" t="s">
        <v>44</v>
      </c>
      <c r="AC1859" s="4"/>
      <c r="AD1859" s="4"/>
      <c r="AE1859" s="2">
        <v>0</v>
      </c>
      <c r="AF1859" s="4">
        <v>0</v>
      </c>
      <c r="AG1859" s="2">
        <v>0.05</v>
      </c>
      <c r="AH1859" s="2">
        <v>421463.03999999998</v>
      </c>
      <c r="AI1859" s="2">
        <v>0</v>
      </c>
      <c r="AJ1859" s="5">
        <v>44673</v>
      </c>
      <c r="AK1859" t="s">
        <v>12209</v>
      </c>
      <c r="AL1859" s="2">
        <v>0</v>
      </c>
      <c r="AM1859" s="2">
        <v>0</v>
      </c>
      <c r="AN1859" s="2">
        <v>0</v>
      </c>
      <c r="AO1859" t="s">
        <v>44</v>
      </c>
      <c r="AP1859" t="s">
        <v>11373</v>
      </c>
      <c r="AQ1859" t="s">
        <v>5186</v>
      </c>
    </row>
    <row r="1860" spans="1:43" x14ac:dyDescent="0.2">
      <c r="A1860" t="s">
        <v>12208</v>
      </c>
      <c r="B1860" t="s">
        <v>11037</v>
      </c>
      <c r="C1860" t="s">
        <v>11364</v>
      </c>
      <c r="D1860" t="s">
        <v>11374</v>
      </c>
      <c r="E1860" t="s">
        <v>1786</v>
      </c>
      <c r="F1860" t="s">
        <v>11374</v>
      </c>
      <c r="G1860" s="1">
        <v>76835</v>
      </c>
      <c r="H1860" s="2">
        <v>2481522.17</v>
      </c>
      <c r="I1860" s="2">
        <v>2074545</v>
      </c>
      <c r="J1860" s="2">
        <v>0</v>
      </c>
      <c r="K1860" s="2">
        <v>0</v>
      </c>
      <c r="L1860" s="2">
        <v>2074545</v>
      </c>
      <c r="M1860" s="3">
        <v>2700</v>
      </c>
      <c r="N1860" s="4">
        <v>4.7198099999999996E-3</v>
      </c>
      <c r="O1860" s="5" t="s">
        <v>44</v>
      </c>
      <c r="P1860" s="5" t="s">
        <v>44</v>
      </c>
      <c r="Q1860" s="1"/>
      <c r="R1860" s="2"/>
      <c r="S1860" s="6"/>
      <c r="T1860" t="s">
        <v>10902</v>
      </c>
      <c r="U1860" t="s">
        <v>10902</v>
      </c>
      <c r="V1860" t="s">
        <v>10902</v>
      </c>
      <c r="W1860" t="s">
        <v>43</v>
      </c>
      <c r="X1860" t="s">
        <v>11375</v>
      </c>
      <c r="Y1860" t="s">
        <v>11367</v>
      </c>
      <c r="Z1860" t="s">
        <v>11364</v>
      </c>
      <c r="AA1860" t="s">
        <v>44</v>
      </c>
      <c r="AB1860" t="s">
        <v>44</v>
      </c>
      <c r="AC1860" s="4"/>
      <c r="AD1860" s="4"/>
      <c r="AE1860" s="2">
        <v>0</v>
      </c>
      <c r="AF1860" s="4">
        <v>0</v>
      </c>
      <c r="AG1860" s="2">
        <v>0.22</v>
      </c>
      <c r="AH1860" s="2">
        <v>2074545</v>
      </c>
      <c r="AI1860" s="2">
        <v>0</v>
      </c>
      <c r="AJ1860" s="5">
        <v>44673</v>
      </c>
      <c r="AK1860" t="s">
        <v>12209</v>
      </c>
      <c r="AL1860" s="2">
        <v>0</v>
      </c>
      <c r="AM1860" s="2">
        <v>0</v>
      </c>
      <c r="AN1860" s="2">
        <v>0</v>
      </c>
      <c r="AO1860" t="s">
        <v>44</v>
      </c>
      <c r="AP1860" t="s">
        <v>11376</v>
      </c>
      <c r="AQ1860" t="s">
        <v>1786</v>
      </c>
    </row>
    <row r="1861" spans="1:43" x14ac:dyDescent="0.2">
      <c r="A1861" t="s">
        <v>12208</v>
      </c>
      <c r="B1861" t="s">
        <v>11037</v>
      </c>
      <c r="C1861" t="s">
        <v>11364</v>
      </c>
      <c r="D1861" t="s">
        <v>11377</v>
      </c>
      <c r="E1861" t="s">
        <v>5599</v>
      </c>
      <c r="F1861" t="s">
        <v>11378</v>
      </c>
      <c r="G1861" s="1">
        <v>4000</v>
      </c>
      <c r="H1861" s="2">
        <v>924301.98</v>
      </c>
      <c r="I1861" s="2">
        <v>2162760</v>
      </c>
      <c r="J1861" s="2">
        <v>0</v>
      </c>
      <c r="K1861" s="2">
        <v>0</v>
      </c>
      <c r="L1861" s="2">
        <v>2162760</v>
      </c>
      <c r="M1861" s="3">
        <v>54069</v>
      </c>
      <c r="N1861" s="4">
        <v>4.9205100000000003E-3</v>
      </c>
      <c r="O1861" s="5" t="s">
        <v>44</v>
      </c>
      <c r="P1861" s="5" t="s">
        <v>44</v>
      </c>
      <c r="Q1861" s="1"/>
      <c r="R1861" s="2"/>
      <c r="S1861" s="6"/>
      <c r="T1861" t="s">
        <v>10902</v>
      </c>
      <c r="U1861" t="s">
        <v>10902</v>
      </c>
      <c r="V1861" t="s">
        <v>10902</v>
      </c>
      <c r="W1861" t="s">
        <v>43</v>
      </c>
      <c r="X1861" t="s">
        <v>11375</v>
      </c>
      <c r="Y1861" t="s">
        <v>11367</v>
      </c>
      <c r="Z1861" t="s">
        <v>11364</v>
      </c>
      <c r="AA1861" t="s">
        <v>44</v>
      </c>
      <c r="AB1861" t="s">
        <v>44</v>
      </c>
      <c r="AC1861" s="4"/>
      <c r="AD1861" s="4"/>
      <c r="AE1861" s="2">
        <v>0</v>
      </c>
      <c r="AF1861" s="4">
        <v>0</v>
      </c>
      <c r="AG1861" s="2">
        <v>0.23</v>
      </c>
      <c r="AH1861" s="2">
        <v>2162760</v>
      </c>
      <c r="AI1861" s="2">
        <v>0</v>
      </c>
      <c r="AJ1861" s="5">
        <v>44673</v>
      </c>
      <c r="AK1861" t="s">
        <v>12209</v>
      </c>
      <c r="AL1861" s="2">
        <v>0</v>
      </c>
      <c r="AM1861" s="2">
        <v>0</v>
      </c>
      <c r="AN1861" s="2">
        <v>0</v>
      </c>
      <c r="AO1861" t="s">
        <v>44</v>
      </c>
      <c r="AP1861" t="s">
        <v>11379</v>
      </c>
      <c r="AQ1861" t="s">
        <v>5599</v>
      </c>
    </row>
    <row r="1862" spans="1:43" x14ac:dyDescent="0.2">
      <c r="A1862" t="s">
        <v>12208</v>
      </c>
      <c r="B1862" t="s">
        <v>11037</v>
      </c>
      <c r="C1862" t="s">
        <v>11364</v>
      </c>
      <c r="D1862" t="s">
        <v>11724</v>
      </c>
      <c r="E1862" t="s">
        <v>4782</v>
      </c>
      <c r="F1862" t="s">
        <v>11724</v>
      </c>
      <c r="G1862" s="1">
        <v>1073</v>
      </c>
      <c r="H1862" s="2">
        <v>228489.72</v>
      </c>
      <c r="I1862" s="2">
        <v>236682.34</v>
      </c>
      <c r="J1862" s="2">
        <v>0</v>
      </c>
      <c r="K1862" s="2">
        <v>0</v>
      </c>
      <c r="L1862" s="2">
        <v>236682.34</v>
      </c>
      <c r="M1862" s="3">
        <v>22058</v>
      </c>
      <c r="N1862" s="4">
        <v>5.3848000000000004E-4</v>
      </c>
      <c r="O1862" s="5" t="s">
        <v>44</v>
      </c>
      <c r="P1862" s="5" t="s">
        <v>44</v>
      </c>
      <c r="Q1862" s="1"/>
      <c r="R1862" s="2"/>
      <c r="S1862" s="6"/>
      <c r="T1862" t="s">
        <v>10902</v>
      </c>
      <c r="U1862" t="s">
        <v>10902</v>
      </c>
      <c r="V1862" t="s">
        <v>10902</v>
      </c>
      <c r="W1862" t="s">
        <v>43</v>
      </c>
      <c r="X1862" t="s">
        <v>11725</v>
      </c>
      <c r="Y1862" t="s">
        <v>11367</v>
      </c>
      <c r="Z1862" t="s">
        <v>11364</v>
      </c>
      <c r="AA1862" t="s">
        <v>44</v>
      </c>
      <c r="AB1862" t="s">
        <v>44</v>
      </c>
      <c r="AC1862" s="4"/>
      <c r="AD1862" s="4"/>
      <c r="AE1862" s="2">
        <v>0</v>
      </c>
      <c r="AF1862" s="4">
        <v>0</v>
      </c>
      <c r="AG1862" s="2">
        <v>0.03</v>
      </c>
      <c r="AH1862" s="2">
        <v>236682.34</v>
      </c>
      <c r="AI1862" s="2">
        <v>0</v>
      </c>
      <c r="AJ1862" s="5">
        <v>44673</v>
      </c>
      <c r="AK1862" t="s">
        <v>12209</v>
      </c>
      <c r="AL1862" s="2">
        <v>0</v>
      </c>
      <c r="AM1862" s="2">
        <v>0</v>
      </c>
      <c r="AN1862" s="2">
        <v>0</v>
      </c>
      <c r="AO1862" t="s">
        <v>44</v>
      </c>
      <c r="AP1862" t="s">
        <v>11726</v>
      </c>
      <c r="AQ1862" t="s">
        <v>4782</v>
      </c>
    </row>
    <row r="1863" spans="1:43" x14ac:dyDescent="0.2">
      <c r="A1863" t="s">
        <v>12208</v>
      </c>
      <c r="B1863" t="s">
        <v>11037</v>
      </c>
      <c r="C1863" t="s">
        <v>11727</v>
      </c>
      <c r="D1863" t="s">
        <v>11728</v>
      </c>
      <c r="E1863" t="s">
        <v>4855</v>
      </c>
      <c r="F1863" t="s">
        <v>11728</v>
      </c>
      <c r="G1863" s="1">
        <v>184</v>
      </c>
      <c r="H1863" s="2">
        <v>597011.76</v>
      </c>
      <c r="I1863" s="2">
        <v>277339.52000000002</v>
      </c>
      <c r="J1863" s="2">
        <v>0</v>
      </c>
      <c r="K1863" s="2">
        <v>0</v>
      </c>
      <c r="L1863" s="2">
        <v>277339.52000000002</v>
      </c>
      <c r="M1863" s="3">
        <v>150728</v>
      </c>
      <c r="N1863" s="4">
        <v>6.3097999999999995E-4</v>
      </c>
      <c r="O1863" s="5" t="s">
        <v>44</v>
      </c>
      <c r="P1863" s="5" t="s">
        <v>44</v>
      </c>
      <c r="Q1863" s="1"/>
      <c r="R1863" s="2"/>
      <c r="S1863" s="6"/>
      <c r="T1863" t="s">
        <v>10902</v>
      </c>
      <c r="U1863" t="s">
        <v>10902</v>
      </c>
      <c r="V1863" t="s">
        <v>10902</v>
      </c>
      <c r="W1863" t="s">
        <v>43</v>
      </c>
      <c r="X1863" t="s">
        <v>11729</v>
      </c>
      <c r="Y1863" t="s">
        <v>11727</v>
      </c>
      <c r="Z1863" t="s">
        <v>11727</v>
      </c>
      <c r="AA1863" t="s">
        <v>44</v>
      </c>
      <c r="AB1863" t="s">
        <v>44</v>
      </c>
      <c r="AC1863" s="4"/>
      <c r="AD1863" s="4"/>
      <c r="AE1863" s="2">
        <v>0</v>
      </c>
      <c r="AF1863" s="4">
        <v>0</v>
      </c>
      <c r="AG1863" s="2">
        <v>0.03</v>
      </c>
      <c r="AH1863" s="2">
        <v>277339.52000000002</v>
      </c>
      <c r="AI1863" s="2">
        <v>0</v>
      </c>
      <c r="AJ1863" s="5">
        <v>44673</v>
      </c>
      <c r="AK1863" t="s">
        <v>12209</v>
      </c>
      <c r="AL1863" s="2">
        <v>0</v>
      </c>
      <c r="AM1863" s="2">
        <v>0</v>
      </c>
      <c r="AN1863" s="2">
        <v>0</v>
      </c>
      <c r="AO1863" t="s">
        <v>44</v>
      </c>
      <c r="AP1863" t="s">
        <v>11730</v>
      </c>
      <c r="AQ1863" t="s">
        <v>4855</v>
      </c>
    </row>
    <row r="1864" spans="1:43" x14ac:dyDescent="0.2">
      <c r="A1864" t="s">
        <v>12208</v>
      </c>
      <c r="B1864" t="s">
        <v>11037</v>
      </c>
      <c r="C1864" t="s">
        <v>11727</v>
      </c>
      <c r="D1864" t="s">
        <v>11731</v>
      </c>
      <c r="E1864" t="s">
        <v>2068</v>
      </c>
      <c r="F1864" t="s">
        <v>11731</v>
      </c>
      <c r="G1864" s="1">
        <v>858</v>
      </c>
      <c r="H1864" s="2">
        <v>1029116.51</v>
      </c>
      <c r="I1864" s="2">
        <v>633590.1</v>
      </c>
      <c r="J1864" s="2">
        <v>0</v>
      </c>
      <c r="K1864" s="2">
        <v>0</v>
      </c>
      <c r="L1864" s="2">
        <v>633590.1</v>
      </c>
      <c r="M1864" s="3">
        <v>73845</v>
      </c>
      <c r="N1864" s="4">
        <v>1.4414899999999999E-3</v>
      </c>
      <c r="O1864" s="5" t="s">
        <v>44</v>
      </c>
      <c r="P1864" s="5" t="s">
        <v>44</v>
      </c>
      <c r="Q1864" s="1"/>
      <c r="R1864" s="2"/>
      <c r="S1864" s="6"/>
      <c r="T1864" t="s">
        <v>10902</v>
      </c>
      <c r="U1864" t="s">
        <v>10902</v>
      </c>
      <c r="V1864" t="s">
        <v>10902</v>
      </c>
      <c r="W1864" t="s">
        <v>43</v>
      </c>
      <c r="X1864" t="s">
        <v>11729</v>
      </c>
      <c r="Y1864" t="s">
        <v>11727</v>
      </c>
      <c r="Z1864" t="s">
        <v>11727</v>
      </c>
      <c r="AA1864" t="s">
        <v>44</v>
      </c>
      <c r="AB1864" t="s">
        <v>44</v>
      </c>
      <c r="AC1864" s="4"/>
      <c r="AD1864" s="4"/>
      <c r="AE1864" s="2">
        <v>0</v>
      </c>
      <c r="AF1864" s="4">
        <v>0</v>
      </c>
      <c r="AG1864" s="2">
        <v>7.0000000000000007E-2</v>
      </c>
      <c r="AH1864" s="2">
        <v>633590.1</v>
      </c>
      <c r="AI1864" s="2">
        <v>0</v>
      </c>
      <c r="AJ1864" s="5">
        <v>44673</v>
      </c>
      <c r="AK1864" t="s">
        <v>12209</v>
      </c>
      <c r="AL1864" s="2">
        <v>0</v>
      </c>
      <c r="AM1864" s="2">
        <v>0</v>
      </c>
      <c r="AN1864" s="2">
        <v>0</v>
      </c>
      <c r="AO1864" t="s">
        <v>44</v>
      </c>
      <c r="AP1864" t="s">
        <v>2073</v>
      </c>
      <c r="AQ1864" t="s">
        <v>2068</v>
      </c>
    </row>
    <row r="1865" spans="1:43" x14ac:dyDescent="0.2">
      <c r="A1865" t="s">
        <v>12208</v>
      </c>
      <c r="B1865" t="s">
        <v>11037</v>
      </c>
      <c r="C1865" t="s">
        <v>11380</v>
      </c>
      <c r="D1865" t="s">
        <v>11381</v>
      </c>
      <c r="E1865" t="s">
        <v>5221</v>
      </c>
      <c r="F1865" t="s">
        <v>11381</v>
      </c>
      <c r="G1865" s="1">
        <v>44493</v>
      </c>
      <c r="H1865" s="2">
        <v>2523285.13</v>
      </c>
      <c r="I1865" s="2">
        <v>1979938.5</v>
      </c>
      <c r="J1865" s="2">
        <v>0</v>
      </c>
      <c r="K1865" s="2">
        <v>0</v>
      </c>
      <c r="L1865" s="2">
        <v>1979938.5</v>
      </c>
      <c r="M1865" s="3">
        <v>4450</v>
      </c>
      <c r="N1865" s="4">
        <v>4.5045700000000003E-3</v>
      </c>
      <c r="O1865" s="5" t="s">
        <v>44</v>
      </c>
      <c r="P1865" s="5" t="s">
        <v>44</v>
      </c>
      <c r="Q1865" s="1"/>
      <c r="R1865" s="2"/>
      <c r="S1865" s="6"/>
      <c r="T1865" t="s">
        <v>10902</v>
      </c>
      <c r="U1865" t="s">
        <v>10902</v>
      </c>
      <c r="V1865" t="s">
        <v>10902</v>
      </c>
      <c r="W1865" t="s">
        <v>43</v>
      </c>
      <c r="X1865" t="s">
        <v>11382</v>
      </c>
      <c r="Y1865" t="s">
        <v>11380</v>
      </c>
      <c r="Z1865" t="s">
        <v>11380</v>
      </c>
      <c r="AA1865" t="s">
        <v>44</v>
      </c>
      <c r="AB1865" t="s">
        <v>44</v>
      </c>
      <c r="AC1865" s="4"/>
      <c r="AD1865" s="4"/>
      <c r="AE1865" s="2">
        <v>0</v>
      </c>
      <c r="AF1865" s="4">
        <v>0</v>
      </c>
      <c r="AG1865" s="2">
        <v>0.21</v>
      </c>
      <c r="AH1865" s="2">
        <v>1979938.5</v>
      </c>
      <c r="AI1865" s="2">
        <v>0</v>
      </c>
      <c r="AJ1865" s="5">
        <v>44673</v>
      </c>
      <c r="AK1865" t="s">
        <v>12209</v>
      </c>
      <c r="AL1865" s="2">
        <v>0</v>
      </c>
      <c r="AM1865" s="2">
        <v>0</v>
      </c>
      <c r="AN1865" s="2">
        <v>0</v>
      </c>
      <c r="AO1865" t="s">
        <v>44</v>
      </c>
      <c r="AP1865" t="s">
        <v>11383</v>
      </c>
      <c r="AQ1865" t="s">
        <v>5221</v>
      </c>
    </row>
    <row r="1866" spans="1:43" x14ac:dyDescent="0.2">
      <c r="A1866" t="s">
        <v>12208</v>
      </c>
      <c r="B1866" t="s">
        <v>11037</v>
      </c>
      <c r="C1866" t="s">
        <v>11743</v>
      </c>
      <c r="D1866" t="s">
        <v>11744</v>
      </c>
      <c r="E1866" t="s">
        <v>11745</v>
      </c>
      <c r="F1866" t="s">
        <v>11746</v>
      </c>
      <c r="G1866" s="1">
        <v>5000</v>
      </c>
      <c r="H1866" s="2">
        <v>827630.46</v>
      </c>
      <c r="I1866" s="2">
        <v>814850</v>
      </c>
      <c r="J1866" s="2">
        <v>0</v>
      </c>
      <c r="K1866" s="2">
        <v>0</v>
      </c>
      <c r="L1866" s="2">
        <v>814850</v>
      </c>
      <c r="M1866" s="3">
        <v>16297</v>
      </c>
      <c r="N1866" s="4">
        <v>1.8538700000000001E-3</v>
      </c>
      <c r="O1866" s="5" t="s">
        <v>44</v>
      </c>
      <c r="P1866" s="5" t="s">
        <v>44</v>
      </c>
      <c r="Q1866" s="1"/>
      <c r="R1866" s="2"/>
      <c r="S1866" s="6"/>
      <c r="T1866" t="s">
        <v>10902</v>
      </c>
      <c r="U1866" t="s">
        <v>10902</v>
      </c>
      <c r="V1866" t="s">
        <v>10902</v>
      </c>
      <c r="W1866" t="s">
        <v>43</v>
      </c>
      <c r="X1866" t="s">
        <v>11747</v>
      </c>
      <c r="Y1866" t="s">
        <v>11743</v>
      </c>
      <c r="Z1866" t="s">
        <v>11743</v>
      </c>
      <c r="AA1866" t="s">
        <v>44</v>
      </c>
      <c r="AB1866" t="s">
        <v>44</v>
      </c>
      <c r="AC1866" s="4"/>
      <c r="AD1866" s="4"/>
      <c r="AE1866" s="2">
        <v>0</v>
      </c>
      <c r="AF1866" s="4">
        <v>0</v>
      </c>
      <c r="AG1866" s="2">
        <v>0.09</v>
      </c>
      <c r="AH1866" s="2">
        <v>814850</v>
      </c>
      <c r="AI1866" s="2">
        <v>0</v>
      </c>
      <c r="AJ1866" s="5">
        <v>44673</v>
      </c>
      <c r="AK1866" t="s">
        <v>12209</v>
      </c>
      <c r="AL1866" s="2">
        <v>0</v>
      </c>
      <c r="AM1866" s="2">
        <v>0</v>
      </c>
      <c r="AN1866" s="2">
        <v>0</v>
      </c>
      <c r="AO1866" t="s">
        <v>44</v>
      </c>
      <c r="AP1866" t="s">
        <v>11748</v>
      </c>
      <c r="AQ1866" t="s">
        <v>11745</v>
      </c>
    </row>
    <row r="1867" spans="1:43" x14ac:dyDescent="0.2">
      <c r="A1867" t="s">
        <v>12208</v>
      </c>
      <c r="B1867" t="s">
        <v>11038</v>
      </c>
      <c r="C1867" t="s">
        <v>11870</v>
      </c>
      <c r="D1867" t="s">
        <v>11056</v>
      </c>
      <c r="E1867" t="s">
        <v>11057</v>
      </c>
      <c r="F1867" t="s">
        <v>11056</v>
      </c>
      <c r="G1867" s="1">
        <v>7319372</v>
      </c>
      <c r="H1867" s="2">
        <v>7317624.0199999996</v>
      </c>
      <c r="I1867" s="2">
        <v>7319372</v>
      </c>
      <c r="J1867" s="2">
        <v>188664.13</v>
      </c>
      <c r="K1867" s="2">
        <v>0</v>
      </c>
      <c r="L1867" s="2">
        <v>7508036.1299999999</v>
      </c>
      <c r="M1867" s="3"/>
      <c r="N1867" s="4">
        <v>1.7081590000000001E-2</v>
      </c>
      <c r="O1867" s="5">
        <v>44692</v>
      </c>
      <c r="P1867" s="5">
        <v>44692</v>
      </c>
      <c r="Q1867" s="1">
        <v>13.067</v>
      </c>
      <c r="R1867" s="2"/>
      <c r="S1867" s="6"/>
      <c r="T1867" t="s">
        <v>111</v>
      </c>
      <c r="U1867" t="s">
        <v>11040</v>
      </c>
      <c r="V1867" t="s">
        <v>115</v>
      </c>
      <c r="W1867" t="s">
        <v>43</v>
      </c>
      <c r="X1867" t="s">
        <v>44</v>
      </c>
      <c r="Y1867" t="s">
        <v>44</v>
      </c>
      <c r="Z1867" t="s">
        <v>44</v>
      </c>
      <c r="AA1867" t="s">
        <v>10979</v>
      </c>
      <c r="AB1867" t="s">
        <v>44</v>
      </c>
      <c r="AC1867" s="4"/>
      <c r="AD1867" s="4"/>
      <c r="AE1867" s="2">
        <v>0</v>
      </c>
      <c r="AF1867" s="4">
        <v>0</v>
      </c>
      <c r="AG1867" s="2">
        <v>0.81</v>
      </c>
      <c r="AH1867" s="2">
        <v>7508036.1299999999</v>
      </c>
      <c r="AI1867" s="2">
        <v>0.02</v>
      </c>
      <c r="AJ1867" s="5">
        <v>44673</v>
      </c>
      <c r="AK1867" t="s">
        <v>12209</v>
      </c>
      <c r="AL1867" s="2">
        <v>0</v>
      </c>
      <c r="AM1867" s="2">
        <v>13.07</v>
      </c>
      <c r="AN1867" s="2">
        <v>0</v>
      </c>
      <c r="AO1867" t="s">
        <v>10980</v>
      </c>
      <c r="AP1867" t="s">
        <v>11058</v>
      </c>
      <c r="AQ1867" t="s">
        <v>11057</v>
      </c>
    </row>
    <row r="1868" spans="1:43" x14ac:dyDescent="0.2">
      <c r="A1868" t="s">
        <v>12208</v>
      </c>
      <c r="B1868" t="s">
        <v>11038</v>
      </c>
      <c r="C1868" t="s">
        <v>11055</v>
      </c>
      <c r="D1868" t="s">
        <v>12220</v>
      </c>
      <c r="E1868" t="s">
        <v>12221</v>
      </c>
      <c r="F1868" t="s">
        <v>12220</v>
      </c>
      <c r="G1868" s="1">
        <v>22000000</v>
      </c>
      <c r="H1868" s="2">
        <v>22000000</v>
      </c>
      <c r="I1868" s="2">
        <v>22018252.030000001</v>
      </c>
      <c r="J1868" s="2">
        <v>161906.14000000001</v>
      </c>
      <c r="K1868" s="2">
        <v>0</v>
      </c>
      <c r="L1868" s="2">
        <v>22180158.170000002</v>
      </c>
      <c r="M1868" s="3">
        <v>4.4355760000000002</v>
      </c>
      <c r="N1868" s="4">
        <v>5.046225E-2</v>
      </c>
      <c r="O1868" s="5">
        <v>44714</v>
      </c>
      <c r="P1868" s="5">
        <v>44714</v>
      </c>
      <c r="Q1868" s="1">
        <v>5.2670000000000003</v>
      </c>
      <c r="R1868" s="2">
        <v>0.1</v>
      </c>
      <c r="S1868" s="6">
        <v>9.9637528276000004E-2</v>
      </c>
      <c r="T1868" t="s">
        <v>111</v>
      </c>
      <c r="U1868" t="s">
        <v>11040</v>
      </c>
      <c r="V1868" t="s">
        <v>11189</v>
      </c>
      <c r="W1868" t="s">
        <v>43</v>
      </c>
      <c r="X1868" t="s">
        <v>11034</v>
      </c>
      <c r="Y1868" t="s">
        <v>44</v>
      </c>
      <c r="Z1868" t="s">
        <v>44</v>
      </c>
      <c r="AA1868" t="s">
        <v>11035</v>
      </c>
      <c r="AB1868" t="s">
        <v>44</v>
      </c>
      <c r="AC1868" s="4">
        <v>4.5247458800000002</v>
      </c>
      <c r="AD1868" s="4">
        <v>4.4335359900000002</v>
      </c>
      <c r="AE1868" s="2">
        <v>4.5199999999999996</v>
      </c>
      <c r="AF1868" s="4">
        <v>4.4335359900000002</v>
      </c>
      <c r="AG1868" s="2">
        <v>2.39</v>
      </c>
      <c r="AH1868" s="2">
        <v>22180158.170000002</v>
      </c>
      <c r="AI1868" s="2">
        <v>0.05</v>
      </c>
      <c r="AJ1868" s="5">
        <v>44673</v>
      </c>
      <c r="AK1868" t="s">
        <v>12209</v>
      </c>
      <c r="AL1868" s="2">
        <v>4.47</v>
      </c>
      <c r="AM1868" s="2">
        <v>5.27</v>
      </c>
      <c r="AN1868" s="2">
        <v>0.1</v>
      </c>
      <c r="AO1868" t="s">
        <v>12222</v>
      </c>
      <c r="AP1868" t="s">
        <v>12223</v>
      </c>
      <c r="AQ1868" t="s">
        <v>12221</v>
      </c>
    </row>
    <row r="1869" spans="1:43" x14ac:dyDescent="0.2">
      <c r="A1869" t="s">
        <v>12208</v>
      </c>
      <c r="B1869" t="s">
        <v>11038</v>
      </c>
      <c r="C1869" t="s">
        <v>11052</v>
      </c>
      <c r="D1869" t="s">
        <v>11236</v>
      </c>
      <c r="E1869" t="s">
        <v>11237</v>
      </c>
      <c r="F1869" t="s">
        <v>11236</v>
      </c>
      <c r="G1869" s="1">
        <v>3900000</v>
      </c>
      <c r="H1869" s="2">
        <v>3812870.68</v>
      </c>
      <c r="I1869" s="2">
        <v>3812870.68</v>
      </c>
      <c r="J1869" s="2">
        <v>0</v>
      </c>
      <c r="K1869" s="2">
        <v>0</v>
      </c>
      <c r="L1869" s="2">
        <v>3812870.68</v>
      </c>
      <c r="M1869" s="3">
        <v>5.0890709999999997</v>
      </c>
      <c r="N1869" s="4">
        <v>8.6746900000000005E-3</v>
      </c>
      <c r="O1869" s="5" t="s">
        <v>44</v>
      </c>
      <c r="P1869" s="5">
        <v>44839</v>
      </c>
      <c r="Q1869" s="1">
        <v>0</v>
      </c>
      <c r="R1869" s="2">
        <v>0.45</v>
      </c>
      <c r="S1869" s="6">
        <v>0.43665175967999997</v>
      </c>
      <c r="T1869" t="s">
        <v>112</v>
      </c>
      <c r="U1869" t="s">
        <v>11040</v>
      </c>
      <c r="V1869" t="s">
        <v>11238</v>
      </c>
      <c r="W1869" t="s">
        <v>43</v>
      </c>
      <c r="X1869" t="s">
        <v>44</v>
      </c>
      <c r="Y1869" t="s">
        <v>44</v>
      </c>
      <c r="Z1869" t="s">
        <v>44</v>
      </c>
      <c r="AA1869" t="s">
        <v>10913</v>
      </c>
      <c r="AB1869" t="s">
        <v>44</v>
      </c>
      <c r="AC1869" s="4">
        <v>5.1608654700000001</v>
      </c>
      <c r="AD1869" s="4">
        <v>5.0426700100000001</v>
      </c>
      <c r="AE1869" s="2">
        <v>5.16</v>
      </c>
      <c r="AF1869" s="4">
        <v>5.0426700100000001</v>
      </c>
      <c r="AG1869" s="2">
        <v>0.41</v>
      </c>
      <c r="AH1869" s="2">
        <v>3812870.68</v>
      </c>
      <c r="AI1869" s="2">
        <v>0.01</v>
      </c>
      <c r="AJ1869" s="5">
        <v>44673</v>
      </c>
      <c r="AK1869" t="s">
        <v>12209</v>
      </c>
      <c r="AL1869" s="2">
        <v>5.0999999999999996</v>
      </c>
      <c r="AM1869" s="2">
        <v>0</v>
      </c>
      <c r="AN1869" s="2">
        <v>0.44</v>
      </c>
      <c r="AO1869" t="s">
        <v>10922</v>
      </c>
      <c r="AP1869" t="s">
        <v>11239</v>
      </c>
      <c r="AQ1869" t="s">
        <v>11237</v>
      </c>
    </row>
    <row r="1870" spans="1:43" x14ac:dyDescent="0.2">
      <c r="A1870" t="s">
        <v>12208</v>
      </c>
      <c r="B1870" t="s">
        <v>11038</v>
      </c>
      <c r="C1870" t="s">
        <v>11052</v>
      </c>
      <c r="D1870" t="s">
        <v>12189</v>
      </c>
      <c r="E1870" t="s">
        <v>12190</v>
      </c>
      <c r="F1870" t="s">
        <v>12189</v>
      </c>
      <c r="G1870" s="1">
        <v>6000000</v>
      </c>
      <c r="H1870" s="2">
        <v>5857713.29</v>
      </c>
      <c r="I1870" s="2">
        <v>5857713.29</v>
      </c>
      <c r="J1870" s="2">
        <v>0</v>
      </c>
      <c r="K1870" s="2">
        <v>0</v>
      </c>
      <c r="L1870" s="2">
        <v>5857713.29</v>
      </c>
      <c r="M1870" s="3">
        <v>5.1450009999999997</v>
      </c>
      <c r="N1870" s="4">
        <v>1.3326930000000001E-2</v>
      </c>
      <c r="O1870" s="5" t="s">
        <v>44</v>
      </c>
      <c r="P1870" s="5">
        <v>44846</v>
      </c>
      <c r="Q1870" s="1">
        <v>0</v>
      </c>
      <c r="R1870" s="2">
        <v>0.47</v>
      </c>
      <c r="S1870" s="6">
        <v>0.45485375498000002</v>
      </c>
      <c r="T1870" t="s">
        <v>112</v>
      </c>
      <c r="U1870" t="s">
        <v>11040</v>
      </c>
      <c r="V1870" t="s">
        <v>11238</v>
      </c>
      <c r="W1870" t="s">
        <v>43</v>
      </c>
      <c r="X1870" t="s">
        <v>44</v>
      </c>
      <c r="Y1870" t="s">
        <v>44</v>
      </c>
      <c r="Z1870" t="s">
        <v>44</v>
      </c>
      <c r="AA1870" t="s">
        <v>10913</v>
      </c>
      <c r="AB1870" t="s">
        <v>44</v>
      </c>
      <c r="AC1870" s="4">
        <v>5.2157943299999996</v>
      </c>
      <c r="AD1870" s="4">
        <v>5.0951101300000001</v>
      </c>
      <c r="AE1870" s="2">
        <v>5.22</v>
      </c>
      <c r="AF1870" s="4">
        <v>5.0951101300000001</v>
      </c>
      <c r="AG1870" s="2">
        <v>0.63</v>
      </c>
      <c r="AH1870" s="2">
        <v>5857713.29</v>
      </c>
      <c r="AI1870" s="2">
        <v>0.01</v>
      </c>
      <c r="AJ1870" s="5">
        <v>44673</v>
      </c>
      <c r="AK1870" t="s">
        <v>12209</v>
      </c>
      <c r="AL1870" s="2">
        <v>5.15</v>
      </c>
      <c r="AM1870" s="2">
        <v>0</v>
      </c>
      <c r="AN1870" s="2">
        <v>0.45</v>
      </c>
      <c r="AO1870" t="s">
        <v>10922</v>
      </c>
      <c r="AP1870" t="s">
        <v>12191</v>
      </c>
      <c r="AQ1870" t="s">
        <v>12190</v>
      </c>
    </row>
    <row r="1871" spans="1:43" x14ac:dyDescent="0.2">
      <c r="A1871" t="s">
        <v>12208</v>
      </c>
      <c r="B1871" t="s">
        <v>11038</v>
      </c>
      <c r="C1871" t="s">
        <v>11052</v>
      </c>
      <c r="D1871" t="s">
        <v>11384</v>
      </c>
      <c r="E1871" t="s">
        <v>11385</v>
      </c>
      <c r="F1871" t="s">
        <v>11384</v>
      </c>
      <c r="G1871" s="1">
        <v>11400000</v>
      </c>
      <c r="H1871" s="2">
        <v>11219226.09</v>
      </c>
      <c r="I1871" s="2">
        <v>11219226.09</v>
      </c>
      <c r="J1871" s="2">
        <v>0</v>
      </c>
      <c r="K1871" s="2">
        <v>0</v>
      </c>
      <c r="L1871" s="2">
        <v>11219226.09</v>
      </c>
      <c r="M1871" s="3">
        <v>5.0558690000000004</v>
      </c>
      <c r="N1871" s="4">
        <v>2.5524950000000001E-2</v>
      </c>
      <c r="O1871" s="5" t="s">
        <v>44</v>
      </c>
      <c r="P1871" s="5">
        <v>44790</v>
      </c>
      <c r="Q1871" s="1">
        <v>0</v>
      </c>
      <c r="R1871" s="2">
        <v>0.31</v>
      </c>
      <c r="S1871" s="6">
        <v>0.30747347447000001</v>
      </c>
      <c r="T1871" t="s">
        <v>112</v>
      </c>
      <c r="U1871" t="s">
        <v>11040</v>
      </c>
      <c r="V1871" t="s">
        <v>11238</v>
      </c>
      <c r="W1871" t="s">
        <v>43</v>
      </c>
      <c r="X1871" t="s">
        <v>44</v>
      </c>
      <c r="Y1871" t="s">
        <v>44</v>
      </c>
      <c r="Z1871" t="s">
        <v>44</v>
      </c>
      <c r="AA1871" t="s">
        <v>10913</v>
      </c>
      <c r="AB1871" t="s">
        <v>44</v>
      </c>
      <c r="AC1871" s="4">
        <v>5.1443155000000003</v>
      </c>
      <c r="AD1871" s="4">
        <v>5.0268649700000001</v>
      </c>
      <c r="AE1871" s="2">
        <v>5.14</v>
      </c>
      <c r="AF1871" s="4">
        <v>5.0268649700000001</v>
      </c>
      <c r="AG1871" s="2">
        <v>1.21</v>
      </c>
      <c r="AH1871" s="2">
        <v>11219226.09</v>
      </c>
      <c r="AI1871" s="2">
        <v>0.03</v>
      </c>
      <c r="AJ1871" s="5">
        <v>44673</v>
      </c>
      <c r="AK1871" t="s">
        <v>12209</v>
      </c>
      <c r="AL1871" s="2">
        <v>5.08</v>
      </c>
      <c r="AM1871" s="2">
        <v>0</v>
      </c>
      <c r="AN1871" s="2">
        <v>0.31</v>
      </c>
      <c r="AO1871" t="s">
        <v>10922</v>
      </c>
      <c r="AP1871" t="s">
        <v>11386</v>
      </c>
      <c r="AQ1871" t="s">
        <v>11385</v>
      </c>
    </row>
    <row r="1872" spans="1:43" x14ac:dyDescent="0.2">
      <c r="A1872" t="s">
        <v>12208</v>
      </c>
      <c r="B1872" t="s">
        <v>11038</v>
      </c>
      <c r="C1872" t="s">
        <v>11052</v>
      </c>
      <c r="D1872" t="s">
        <v>12186</v>
      </c>
      <c r="E1872" t="s">
        <v>12187</v>
      </c>
      <c r="F1872" t="s">
        <v>12186</v>
      </c>
      <c r="G1872" s="1">
        <v>64200000</v>
      </c>
      <c r="H1872" s="2">
        <v>63066783.850000001</v>
      </c>
      <c r="I1872" s="2">
        <v>63066783.850000001</v>
      </c>
      <c r="J1872" s="2">
        <v>0</v>
      </c>
      <c r="K1872" s="2">
        <v>0</v>
      </c>
      <c r="L1872" s="2">
        <v>63066783.850000001</v>
      </c>
      <c r="M1872" s="3">
        <v>5.0337449999999997</v>
      </c>
      <c r="N1872" s="4">
        <v>0.14348372000000001</v>
      </c>
      <c r="O1872" s="5" t="s">
        <v>44</v>
      </c>
      <c r="P1872" s="5">
        <v>44804</v>
      </c>
      <c r="Q1872" s="1">
        <v>0</v>
      </c>
      <c r="R1872" s="2">
        <v>0.35</v>
      </c>
      <c r="S1872" s="6">
        <v>0.34460181869000001</v>
      </c>
      <c r="T1872" t="s">
        <v>112</v>
      </c>
      <c r="U1872" t="s">
        <v>11040</v>
      </c>
      <c r="V1872" t="s">
        <v>11238</v>
      </c>
      <c r="W1872" t="s">
        <v>43</v>
      </c>
      <c r="X1872" t="s">
        <v>44</v>
      </c>
      <c r="Y1872" t="s">
        <v>44</v>
      </c>
      <c r="Z1872" t="s">
        <v>44</v>
      </c>
      <c r="AA1872" t="s">
        <v>10913</v>
      </c>
      <c r="AB1872" t="s">
        <v>44</v>
      </c>
      <c r="AC1872" s="4">
        <v>5.1164204399999997</v>
      </c>
      <c r="AD1872" s="4">
        <v>5.0002203400000003</v>
      </c>
      <c r="AE1872" s="2">
        <v>5.12</v>
      </c>
      <c r="AF1872" s="4">
        <v>5.0002203400000003</v>
      </c>
      <c r="AG1872" s="2">
        <v>6.79</v>
      </c>
      <c r="AH1872" s="2">
        <v>63066783.850000001</v>
      </c>
      <c r="AI1872" s="2">
        <v>0.14000000000000001</v>
      </c>
      <c r="AJ1872" s="5">
        <v>44673</v>
      </c>
      <c r="AK1872" t="s">
        <v>12209</v>
      </c>
      <c r="AL1872" s="2">
        <v>5.05</v>
      </c>
      <c r="AM1872" s="2">
        <v>0</v>
      </c>
      <c r="AN1872" s="2">
        <v>0.34</v>
      </c>
      <c r="AO1872" t="s">
        <v>10922</v>
      </c>
      <c r="AP1872" t="s">
        <v>12188</v>
      </c>
      <c r="AQ1872" t="s">
        <v>12187</v>
      </c>
    </row>
    <row r="1873" spans="1:43" x14ac:dyDescent="0.2">
      <c r="A1873" t="s">
        <v>12208</v>
      </c>
      <c r="B1873" t="s">
        <v>11038</v>
      </c>
      <c r="C1873" t="s">
        <v>11039</v>
      </c>
      <c r="D1873" t="s">
        <v>11971</v>
      </c>
      <c r="E1873" t="s">
        <v>11972</v>
      </c>
      <c r="F1873" t="s">
        <v>11971</v>
      </c>
      <c r="G1873" s="1">
        <v>19000000</v>
      </c>
      <c r="H1873" s="2">
        <v>19000000</v>
      </c>
      <c r="I1873" s="2">
        <v>18980311.460000001</v>
      </c>
      <c r="J1873" s="2">
        <v>225345.21</v>
      </c>
      <c r="K1873" s="2">
        <v>0</v>
      </c>
      <c r="L1873" s="2">
        <v>19205656.670000002</v>
      </c>
      <c r="M1873" s="3">
        <v>5.914955</v>
      </c>
      <c r="N1873" s="4">
        <v>4.3694940000000002E-2</v>
      </c>
      <c r="O1873" s="5">
        <v>44965</v>
      </c>
      <c r="P1873" s="5">
        <v>44965</v>
      </c>
      <c r="Q1873" s="1">
        <v>5.85</v>
      </c>
      <c r="R1873" s="2">
        <v>0.79</v>
      </c>
      <c r="S1873" s="6">
        <v>0.75635794914999999</v>
      </c>
      <c r="T1873" t="s">
        <v>111</v>
      </c>
      <c r="U1873" t="s">
        <v>11040</v>
      </c>
      <c r="V1873" t="s">
        <v>11041</v>
      </c>
      <c r="W1873" t="s">
        <v>43</v>
      </c>
      <c r="X1873" t="s">
        <v>11034</v>
      </c>
      <c r="Y1873" t="s">
        <v>44</v>
      </c>
      <c r="Z1873" t="s">
        <v>44</v>
      </c>
      <c r="AA1873" t="s">
        <v>10979</v>
      </c>
      <c r="AB1873" t="s">
        <v>44</v>
      </c>
      <c r="AC1873" s="4">
        <v>5.9509684500000004</v>
      </c>
      <c r="AD1873" s="4">
        <v>5.7945694899999998</v>
      </c>
      <c r="AE1873" s="2">
        <v>5.95</v>
      </c>
      <c r="AF1873" s="4">
        <v>5.7945694899999998</v>
      </c>
      <c r="AG1873" s="2">
        <v>2.0699999999999998</v>
      </c>
      <c r="AH1873" s="2">
        <v>19205656.670000002</v>
      </c>
      <c r="AI1873" s="2">
        <v>0.04</v>
      </c>
      <c r="AJ1873" s="5">
        <v>44673</v>
      </c>
      <c r="AK1873" t="s">
        <v>12209</v>
      </c>
      <c r="AL1873" s="2">
        <v>5.86</v>
      </c>
      <c r="AM1873" s="2">
        <v>5.85</v>
      </c>
      <c r="AN1873" s="2">
        <v>0.76</v>
      </c>
      <c r="AO1873" t="s">
        <v>11165</v>
      </c>
      <c r="AP1873" t="s">
        <v>11973</v>
      </c>
      <c r="AQ1873" t="s">
        <v>11972</v>
      </c>
    </row>
    <row r="1874" spans="1:43" x14ac:dyDescent="0.2">
      <c r="A1874" t="s">
        <v>12208</v>
      </c>
      <c r="B1874" t="s">
        <v>11038</v>
      </c>
      <c r="C1874" t="s">
        <v>11039</v>
      </c>
      <c r="D1874" t="s">
        <v>11393</v>
      </c>
      <c r="E1874" t="s">
        <v>11394</v>
      </c>
      <c r="F1874" t="s">
        <v>11393</v>
      </c>
      <c r="G1874" s="1">
        <v>24100000</v>
      </c>
      <c r="H1874" s="2">
        <v>23416369.77</v>
      </c>
      <c r="I1874" s="2">
        <v>23416369.77</v>
      </c>
      <c r="J1874" s="2">
        <v>0</v>
      </c>
      <c r="K1874" s="2">
        <v>0</v>
      </c>
      <c r="L1874" s="2">
        <v>23416369.77</v>
      </c>
      <c r="M1874" s="3">
        <v>5.3700010000000002</v>
      </c>
      <c r="N1874" s="4">
        <v>5.3274759999999997E-2</v>
      </c>
      <c r="O1874" s="5" t="s">
        <v>44</v>
      </c>
      <c r="P1874" s="5">
        <v>44874</v>
      </c>
      <c r="Q1874" s="1">
        <v>0</v>
      </c>
      <c r="R1874" s="2">
        <v>0.54</v>
      </c>
      <c r="S1874" s="6">
        <v>0.52711079582999998</v>
      </c>
      <c r="T1874" t="s">
        <v>112</v>
      </c>
      <c r="U1874" t="s">
        <v>11040</v>
      </c>
      <c r="V1874" t="s">
        <v>11238</v>
      </c>
      <c r="W1874" t="s">
        <v>43</v>
      </c>
      <c r="X1874" t="s">
        <v>44</v>
      </c>
      <c r="Y1874" t="s">
        <v>44</v>
      </c>
      <c r="Z1874" t="s">
        <v>44</v>
      </c>
      <c r="AA1874" t="s">
        <v>10913</v>
      </c>
      <c r="AB1874" t="s">
        <v>44</v>
      </c>
      <c r="AC1874" s="4">
        <v>5.4358711399999997</v>
      </c>
      <c r="AD1874" s="4">
        <v>5.3049642199999996</v>
      </c>
      <c r="AE1874" s="2">
        <v>5.44</v>
      </c>
      <c r="AF1874" s="4">
        <v>5.3049642199999996</v>
      </c>
      <c r="AG1874" s="2">
        <v>2.52</v>
      </c>
      <c r="AH1874" s="2">
        <v>23416369.77</v>
      </c>
      <c r="AI1874" s="2">
        <v>0.05</v>
      </c>
      <c r="AJ1874" s="5">
        <v>44673</v>
      </c>
      <c r="AK1874" t="s">
        <v>12209</v>
      </c>
      <c r="AL1874" s="2">
        <v>5.36</v>
      </c>
      <c r="AM1874" s="2">
        <v>0</v>
      </c>
      <c r="AN1874" s="2">
        <v>0.53</v>
      </c>
      <c r="AO1874" t="s">
        <v>10922</v>
      </c>
      <c r="AP1874" t="s">
        <v>11395</v>
      </c>
      <c r="AQ1874" t="s">
        <v>11394</v>
      </c>
    </row>
    <row r="1875" spans="1:43" x14ac:dyDescent="0.2">
      <c r="A1875" t="s">
        <v>12208</v>
      </c>
      <c r="B1875" t="s">
        <v>11038</v>
      </c>
      <c r="C1875" t="s">
        <v>11039</v>
      </c>
      <c r="D1875" t="s">
        <v>11396</v>
      </c>
      <c r="E1875" t="s">
        <v>11397</v>
      </c>
      <c r="F1875" t="s">
        <v>11396</v>
      </c>
      <c r="G1875" s="1">
        <v>16800000</v>
      </c>
      <c r="H1875" s="2">
        <v>16115474.789999999</v>
      </c>
      <c r="I1875" s="2">
        <v>16115474.789999999</v>
      </c>
      <c r="J1875" s="2">
        <v>0</v>
      </c>
      <c r="K1875" s="2">
        <v>0</v>
      </c>
      <c r="L1875" s="2">
        <v>16115474.789999999</v>
      </c>
      <c r="M1875" s="3">
        <v>5.9260000000000002</v>
      </c>
      <c r="N1875" s="4">
        <v>3.666444E-2</v>
      </c>
      <c r="O1875" s="5" t="s">
        <v>44</v>
      </c>
      <c r="P1875" s="5">
        <v>44937</v>
      </c>
      <c r="Q1875" s="1">
        <v>0</v>
      </c>
      <c r="R1875" s="2">
        <v>0.72</v>
      </c>
      <c r="S1875" s="6">
        <v>0.68599929861999998</v>
      </c>
      <c r="T1875" t="s">
        <v>112</v>
      </c>
      <c r="U1875" t="s">
        <v>11040</v>
      </c>
      <c r="V1875" t="s">
        <v>11238</v>
      </c>
      <c r="W1875" t="s">
        <v>43</v>
      </c>
      <c r="X1875" t="s">
        <v>44</v>
      </c>
      <c r="Y1875" t="s">
        <v>44</v>
      </c>
      <c r="Z1875" t="s">
        <v>44</v>
      </c>
      <c r="AA1875" t="s">
        <v>10913</v>
      </c>
      <c r="AB1875" t="s">
        <v>44</v>
      </c>
      <c r="AC1875" s="4">
        <v>5.9756128500000001</v>
      </c>
      <c r="AD1875" s="4">
        <v>5.8179395100000004</v>
      </c>
      <c r="AE1875" s="2">
        <v>5.98</v>
      </c>
      <c r="AF1875" s="4">
        <v>5.8179395100000004</v>
      </c>
      <c r="AG1875" s="2">
        <v>1.73</v>
      </c>
      <c r="AH1875" s="2">
        <v>16115474.789999999</v>
      </c>
      <c r="AI1875" s="2">
        <v>0.04</v>
      </c>
      <c r="AJ1875" s="5">
        <v>44673</v>
      </c>
      <c r="AK1875" t="s">
        <v>12209</v>
      </c>
      <c r="AL1875" s="2">
        <v>5.89</v>
      </c>
      <c r="AM1875" s="2">
        <v>0</v>
      </c>
      <c r="AN1875" s="2">
        <v>0.69</v>
      </c>
      <c r="AO1875" t="s">
        <v>10922</v>
      </c>
      <c r="AP1875" t="s">
        <v>11398</v>
      </c>
      <c r="AQ1875" t="s">
        <v>11397</v>
      </c>
    </row>
    <row r="1876" spans="1:43" x14ac:dyDescent="0.2">
      <c r="A1876" t="s">
        <v>12208</v>
      </c>
      <c r="B1876" t="s">
        <v>11038</v>
      </c>
      <c r="C1876" t="s">
        <v>11039</v>
      </c>
      <c r="D1876" t="s">
        <v>11399</v>
      </c>
      <c r="E1876" t="s">
        <v>11400</v>
      </c>
      <c r="F1876" t="s">
        <v>11399</v>
      </c>
      <c r="G1876" s="1">
        <v>30600000</v>
      </c>
      <c r="H1876" s="2">
        <v>29687597.440000001</v>
      </c>
      <c r="I1876" s="2">
        <v>29687597.440000001</v>
      </c>
      <c r="J1876" s="2">
        <v>0</v>
      </c>
      <c r="K1876" s="2">
        <v>0</v>
      </c>
      <c r="L1876" s="2">
        <v>29687597.440000001</v>
      </c>
      <c r="M1876" s="3">
        <v>5.4191849999999997</v>
      </c>
      <c r="N1876" s="4">
        <v>6.7542480000000002E-2</v>
      </c>
      <c r="O1876" s="5" t="s">
        <v>44</v>
      </c>
      <c r="P1876" s="5">
        <v>44881</v>
      </c>
      <c r="Q1876" s="1">
        <v>0</v>
      </c>
      <c r="R1876" s="2">
        <v>0.56000000000000005</v>
      </c>
      <c r="S1876" s="6">
        <v>0.54505428138000001</v>
      </c>
      <c r="T1876" t="s">
        <v>112</v>
      </c>
      <c r="U1876" t="s">
        <v>11040</v>
      </c>
      <c r="V1876" t="s">
        <v>11238</v>
      </c>
      <c r="W1876" t="s">
        <v>43</v>
      </c>
      <c r="X1876" t="s">
        <v>44</v>
      </c>
      <c r="Y1876" t="s">
        <v>44</v>
      </c>
      <c r="Z1876" t="s">
        <v>44</v>
      </c>
      <c r="AA1876" t="s">
        <v>10913</v>
      </c>
      <c r="AB1876" t="s">
        <v>44</v>
      </c>
      <c r="AC1876" s="4">
        <v>5.4834100699999997</v>
      </c>
      <c r="AD1876" s="4">
        <v>5.3502421900000003</v>
      </c>
      <c r="AE1876" s="2">
        <v>5.48</v>
      </c>
      <c r="AF1876" s="4">
        <v>5.3502421900000003</v>
      </c>
      <c r="AG1876" s="2">
        <v>3.2</v>
      </c>
      <c r="AH1876" s="2">
        <v>29687597.440000001</v>
      </c>
      <c r="AI1876" s="2">
        <v>7.0000000000000007E-2</v>
      </c>
      <c r="AJ1876" s="5">
        <v>44673</v>
      </c>
      <c r="AK1876" t="s">
        <v>12209</v>
      </c>
      <c r="AL1876" s="2">
        <v>5.41</v>
      </c>
      <c r="AM1876" s="2">
        <v>0</v>
      </c>
      <c r="AN1876" s="2">
        <v>0.55000000000000004</v>
      </c>
      <c r="AO1876" t="s">
        <v>10922</v>
      </c>
      <c r="AP1876" t="s">
        <v>11401</v>
      </c>
      <c r="AQ1876" t="s">
        <v>11400</v>
      </c>
    </row>
    <row r="1877" spans="1:43" x14ac:dyDescent="0.2">
      <c r="A1877" t="s">
        <v>12208</v>
      </c>
      <c r="B1877" t="s">
        <v>11038</v>
      </c>
      <c r="C1877" t="s">
        <v>11039</v>
      </c>
      <c r="D1877" t="s">
        <v>11405</v>
      </c>
      <c r="E1877" t="s">
        <v>11406</v>
      </c>
      <c r="F1877" t="s">
        <v>11405</v>
      </c>
      <c r="G1877" s="1">
        <v>23100000</v>
      </c>
      <c r="H1877" s="2">
        <v>22379009.780000001</v>
      </c>
      <c r="I1877" s="2">
        <v>22379009.780000001</v>
      </c>
      <c r="J1877" s="2">
        <v>0</v>
      </c>
      <c r="K1877" s="2">
        <v>0</v>
      </c>
      <c r="L1877" s="2">
        <v>22379009.780000001</v>
      </c>
      <c r="M1877" s="3">
        <v>5.5672899999999998</v>
      </c>
      <c r="N1877" s="4">
        <v>5.091466E-2</v>
      </c>
      <c r="O1877" s="5" t="s">
        <v>44</v>
      </c>
      <c r="P1877" s="5">
        <v>44888</v>
      </c>
      <c r="Q1877" s="1">
        <v>0</v>
      </c>
      <c r="R1877" s="2">
        <v>0.57999999999999996</v>
      </c>
      <c r="S1877" s="6">
        <v>0.56262873229999999</v>
      </c>
      <c r="T1877" t="s">
        <v>112</v>
      </c>
      <c r="U1877" t="s">
        <v>11040</v>
      </c>
      <c r="V1877" t="s">
        <v>11238</v>
      </c>
      <c r="W1877" t="s">
        <v>43</v>
      </c>
      <c r="X1877" t="s">
        <v>44</v>
      </c>
      <c r="Y1877" t="s">
        <v>44</v>
      </c>
      <c r="Z1877" t="s">
        <v>44</v>
      </c>
      <c r="AA1877" t="s">
        <v>10913</v>
      </c>
      <c r="AB1877" t="s">
        <v>44</v>
      </c>
      <c r="AC1877" s="4">
        <v>5.6320586500000003</v>
      </c>
      <c r="AD1877" s="4">
        <v>5.4917004399999998</v>
      </c>
      <c r="AE1877" s="2">
        <v>5.63</v>
      </c>
      <c r="AF1877" s="4">
        <v>5.4917004399999998</v>
      </c>
      <c r="AG1877" s="2">
        <v>2.41</v>
      </c>
      <c r="AH1877" s="2">
        <v>22379009.780000001</v>
      </c>
      <c r="AI1877" s="2">
        <v>0.05</v>
      </c>
      <c r="AJ1877" s="5">
        <v>44673</v>
      </c>
      <c r="AK1877" t="s">
        <v>12209</v>
      </c>
      <c r="AL1877" s="2">
        <v>5.55</v>
      </c>
      <c r="AM1877" s="2">
        <v>0</v>
      </c>
      <c r="AN1877" s="2">
        <v>0.56000000000000005</v>
      </c>
      <c r="AO1877" t="s">
        <v>10922</v>
      </c>
      <c r="AP1877" t="s">
        <v>11407</v>
      </c>
      <c r="AQ1877" t="s">
        <v>11406</v>
      </c>
    </row>
    <row r="1878" spans="1:43" x14ac:dyDescent="0.2">
      <c r="A1878" t="s">
        <v>12208</v>
      </c>
      <c r="B1878" t="s">
        <v>11408</v>
      </c>
      <c r="C1878" t="s">
        <v>11408</v>
      </c>
      <c r="D1878" t="s">
        <v>12224</v>
      </c>
      <c r="E1878" t="s">
        <v>12225</v>
      </c>
      <c r="F1878" t="s">
        <v>12226</v>
      </c>
      <c r="G1878" s="1">
        <v>1590.4441999999999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3"/>
      <c r="N1878" s="4">
        <v>0</v>
      </c>
      <c r="O1878" s="5" t="s">
        <v>44</v>
      </c>
      <c r="P1878" s="5">
        <v>44777</v>
      </c>
      <c r="Q1878" s="1">
        <v>0</v>
      </c>
      <c r="R1878" s="2"/>
      <c r="S1878" s="6"/>
      <c r="T1878" t="s">
        <v>11412</v>
      </c>
      <c r="U1878" t="s">
        <v>11413</v>
      </c>
      <c r="V1878" t="s">
        <v>11414</v>
      </c>
      <c r="W1878" t="s">
        <v>43</v>
      </c>
      <c r="X1878" t="s">
        <v>44</v>
      </c>
      <c r="Y1878" t="s">
        <v>44</v>
      </c>
      <c r="Z1878" t="s">
        <v>44</v>
      </c>
      <c r="AA1878" t="s">
        <v>10979</v>
      </c>
      <c r="AB1878" t="s">
        <v>44</v>
      </c>
      <c r="AC1878" s="4"/>
      <c r="AD1878" s="4"/>
      <c r="AE1878" s="2">
        <v>0</v>
      </c>
      <c r="AF1878" s="4">
        <v>0</v>
      </c>
      <c r="AG1878" s="2">
        <v>0</v>
      </c>
      <c r="AH1878" s="2">
        <v>0</v>
      </c>
      <c r="AI1878" s="2">
        <v>0</v>
      </c>
      <c r="AJ1878" s="5">
        <v>44673</v>
      </c>
      <c r="AK1878" t="s">
        <v>12209</v>
      </c>
      <c r="AL1878" s="2">
        <v>0</v>
      </c>
      <c r="AM1878" s="2">
        <v>0</v>
      </c>
      <c r="AN1878" s="2">
        <v>0</v>
      </c>
      <c r="AO1878" t="s">
        <v>11165</v>
      </c>
      <c r="AP1878" t="s">
        <v>44</v>
      </c>
      <c r="AQ1878" t="s">
        <v>44</v>
      </c>
    </row>
    <row r="1879" spans="1:43" x14ac:dyDescent="0.2">
      <c r="A1879" t="s">
        <v>12208</v>
      </c>
      <c r="B1879" t="s">
        <v>11408</v>
      </c>
      <c r="C1879" t="s">
        <v>11408</v>
      </c>
      <c r="D1879" t="s">
        <v>12227</v>
      </c>
      <c r="E1879" t="s">
        <v>12225</v>
      </c>
      <c r="F1879" t="s">
        <v>12228</v>
      </c>
      <c r="G1879" s="1">
        <v>-38833543.189999998</v>
      </c>
      <c r="H1879" s="2">
        <v>0</v>
      </c>
      <c r="I1879" s="2">
        <v>0</v>
      </c>
      <c r="J1879" s="2">
        <v>-101977.95</v>
      </c>
      <c r="K1879" s="2">
        <v>0</v>
      </c>
      <c r="L1879" s="2">
        <v>-101977.95</v>
      </c>
      <c r="M1879" s="3"/>
      <c r="N1879" s="4">
        <v>-2.3201E-4</v>
      </c>
      <c r="O1879" s="5" t="s">
        <v>44</v>
      </c>
      <c r="P1879" s="5">
        <v>44777</v>
      </c>
      <c r="Q1879" s="1">
        <v>0</v>
      </c>
      <c r="R1879" s="2"/>
      <c r="S1879" s="6"/>
      <c r="T1879" t="s">
        <v>11412</v>
      </c>
      <c r="U1879" t="s">
        <v>11413</v>
      </c>
      <c r="V1879" t="s">
        <v>11414</v>
      </c>
      <c r="W1879" t="s">
        <v>43</v>
      </c>
      <c r="X1879" t="s">
        <v>44</v>
      </c>
      <c r="Y1879" t="s">
        <v>44</v>
      </c>
      <c r="Z1879" t="s">
        <v>44</v>
      </c>
      <c r="AA1879" t="s">
        <v>10979</v>
      </c>
      <c r="AB1879" t="s">
        <v>44</v>
      </c>
      <c r="AC1879" s="4"/>
      <c r="AD1879" s="4"/>
      <c r="AE1879" s="2">
        <v>0</v>
      </c>
      <c r="AF1879" s="4">
        <v>0</v>
      </c>
      <c r="AG1879" s="2">
        <v>-0.01</v>
      </c>
      <c r="AH1879" s="2">
        <v>-38935521.140000001</v>
      </c>
      <c r="AI1879" s="2">
        <v>-0.09</v>
      </c>
      <c r="AJ1879" s="5">
        <v>44673</v>
      </c>
      <c r="AK1879" t="s">
        <v>12209</v>
      </c>
      <c r="AL1879" s="2">
        <v>0</v>
      </c>
      <c r="AM1879" s="2">
        <v>0</v>
      </c>
      <c r="AN1879" s="2">
        <v>0</v>
      </c>
      <c r="AO1879" t="s">
        <v>11165</v>
      </c>
      <c r="AP1879" t="s">
        <v>44</v>
      </c>
      <c r="AQ1879" t="s">
        <v>44</v>
      </c>
    </row>
    <row r="1880" spans="1:43" x14ac:dyDescent="0.2">
      <c r="A1880" t="s">
        <v>12208</v>
      </c>
      <c r="B1880" t="s">
        <v>11408</v>
      </c>
      <c r="C1880" t="s">
        <v>11408</v>
      </c>
      <c r="D1880" t="s">
        <v>12229</v>
      </c>
      <c r="E1880" t="s">
        <v>12225</v>
      </c>
      <c r="F1880" t="s">
        <v>12230</v>
      </c>
      <c r="G1880" s="1">
        <v>1590.4441999999999</v>
      </c>
      <c r="H1880" s="2">
        <v>0</v>
      </c>
      <c r="I1880" s="2">
        <v>-1833273.28</v>
      </c>
      <c r="J1880" s="2">
        <v>0</v>
      </c>
      <c r="K1880" s="2">
        <v>0</v>
      </c>
      <c r="L1880" s="2">
        <v>-1833273.28</v>
      </c>
      <c r="M1880" s="3">
        <v>23264.11</v>
      </c>
      <c r="N1880" s="4">
        <v>-4.17089E-3</v>
      </c>
      <c r="O1880" s="5" t="s">
        <v>44</v>
      </c>
      <c r="P1880" s="5">
        <v>44777</v>
      </c>
      <c r="Q1880" s="1">
        <v>0</v>
      </c>
      <c r="R1880" s="2"/>
      <c r="S1880" s="6"/>
      <c r="T1880" t="s">
        <v>11412</v>
      </c>
      <c r="U1880" t="s">
        <v>11413</v>
      </c>
      <c r="V1880" t="s">
        <v>11414</v>
      </c>
      <c r="W1880" t="s">
        <v>43</v>
      </c>
      <c r="X1880" t="s">
        <v>44</v>
      </c>
      <c r="Y1880" t="s">
        <v>44</v>
      </c>
      <c r="Z1880" t="s">
        <v>44</v>
      </c>
      <c r="AA1880" t="s">
        <v>10979</v>
      </c>
      <c r="AB1880" t="s">
        <v>44</v>
      </c>
      <c r="AC1880" s="4"/>
      <c r="AD1880" s="4"/>
      <c r="AE1880" s="2">
        <v>0</v>
      </c>
      <c r="AF1880" s="4">
        <v>0</v>
      </c>
      <c r="AG1880" s="2">
        <v>-0.2</v>
      </c>
      <c r="AH1880" s="2">
        <v>37000269.909999996</v>
      </c>
      <c r="AI1880" s="2">
        <v>0.08</v>
      </c>
      <c r="AJ1880" s="5">
        <v>44673</v>
      </c>
      <c r="AK1880" t="s">
        <v>12209</v>
      </c>
      <c r="AL1880" s="2">
        <v>0</v>
      </c>
      <c r="AM1880" s="2">
        <v>0</v>
      </c>
      <c r="AN1880" s="2">
        <v>0</v>
      </c>
      <c r="AO1880" t="s">
        <v>11165</v>
      </c>
      <c r="AP1880" t="s">
        <v>44</v>
      </c>
      <c r="AQ1880" t="s">
        <v>44</v>
      </c>
    </row>
    <row r="1881" spans="1:43" x14ac:dyDescent="0.2">
      <c r="A1881" t="s">
        <v>12208</v>
      </c>
      <c r="B1881" t="s">
        <v>11408</v>
      </c>
      <c r="C1881" t="s">
        <v>11408</v>
      </c>
      <c r="D1881" t="s">
        <v>12231</v>
      </c>
      <c r="E1881" t="s">
        <v>12232</v>
      </c>
      <c r="F1881" t="s">
        <v>12233</v>
      </c>
      <c r="G1881" s="1">
        <v>10205.373900000001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3"/>
      <c r="N1881" s="4">
        <v>0</v>
      </c>
      <c r="O1881" s="5" t="s">
        <v>44</v>
      </c>
      <c r="P1881" s="5">
        <v>44809</v>
      </c>
      <c r="Q1881" s="1">
        <v>0</v>
      </c>
      <c r="R1881" s="2"/>
      <c r="S1881" s="6"/>
      <c r="T1881" t="s">
        <v>11412</v>
      </c>
      <c r="U1881" t="s">
        <v>11413</v>
      </c>
      <c r="V1881" t="s">
        <v>11414</v>
      </c>
      <c r="W1881" t="s">
        <v>43</v>
      </c>
      <c r="X1881" t="s">
        <v>44</v>
      </c>
      <c r="Y1881" t="s">
        <v>44</v>
      </c>
      <c r="Z1881" t="s">
        <v>44</v>
      </c>
      <c r="AA1881" t="s">
        <v>11035</v>
      </c>
      <c r="AB1881" t="s">
        <v>44</v>
      </c>
      <c r="AC1881" s="4"/>
      <c r="AD1881" s="4"/>
      <c r="AE1881" s="2">
        <v>0</v>
      </c>
      <c r="AF1881" s="4">
        <v>0</v>
      </c>
      <c r="AG1881" s="2">
        <v>0</v>
      </c>
      <c r="AH1881" s="2">
        <v>0</v>
      </c>
      <c r="AI1881" s="2">
        <v>0</v>
      </c>
      <c r="AJ1881" s="5">
        <v>44673</v>
      </c>
      <c r="AK1881" t="s">
        <v>12209</v>
      </c>
      <c r="AL1881" s="2">
        <v>0</v>
      </c>
      <c r="AM1881" s="2">
        <v>0</v>
      </c>
      <c r="AN1881" s="2">
        <v>0</v>
      </c>
      <c r="AO1881" t="s">
        <v>11053</v>
      </c>
      <c r="AP1881" t="s">
        <v>44</v>
      </c>
      <c r="AQ1881" t="s">
        <v>44</v>
      </c>
    </row>
    <row r="1882" spans="1:43" x14ac:dyDescent="0.2">
      <c r="A1882" t="s">
        <v>12208</v>
      </c>
      <c r="B1882" t="s">
        <v>11408</v>
      </c>
      <c r="C1882" t="s">
        <v>11408</v>
      </c>
      <c r="D1882" t="s">
        <v>12234</v>
      </c>
      <c r="E1882" t="s">
        <v>12232</v>
      </c>
      <c r="F1882" t="s">
        <v>12235</v>
      </c>
      <c r="G1882" s="1">
        <v>-249182471.38999999</v>
      </c>
      <c r="H1882" s="2">
        <v>0</v>
      </c>
      <c r="I1882" s="2">
        <v>0</v>
      </c>
      <c r="J1882" s="2">
        <v>-655288.46</v>
      </c>
      <c r="K1882" s="2">
        <v>0</v>
      </c>
      <c r="L1882" s="2">
        <v>-655288.46</v>
      </c>
      <c r="M1882" s="3"/>
      <c r="N1882" s="4">
        <v>-1.4908499999999999E-3</v>
      </c>
      <c r="O1882" s="5" t="s">
        <v>44</v>
      </c>
      <c r="P1882" s="5">
        <v>44809</v>
      </c>
      <c r="Q1882" s="1">
        <v>0</v>
      </c>
      <c r="R1882" s="2"/>
      <c r="S1882" s="6"/>
      <c r="T1882" t="s">
        <v>11412</v>
      </c>
      <c r="U1882" t="s">
        <v>11413</v>
      </c>
      <c r="V1882" t="s">
        <v>11414</v>
      </c>
      <c r="W1882" t="s">
        <v>43</v>
      </c>
      <c r="X1882" t="s">
        <v>44</v>
      </c>
      <c r="Y1882" t="s">
        <v>44</v>
      </c>
      <c r="Z1882" t="s">
        <v>44</v>
      </c>
      <c r="AA1882" t="s">
        <v>11035</v>
      </c>
      <c r="AB1882" t="s">
        <v>44</v>
      </c>
      <c r="AC1882" s="4"/>
      <c r="AD1882" s="4"/>
      <c r="AE1882" s="2">
        <v>0</v>
      </c>
      <c r="AF1882" s="4">
        <v>0</v>
      </c>
      <c r="AG1882" s="2">
        <v>-7.0000000000000007E-2</v>
      </c>
      <c r="AH1882" s="2">
        <v>-249837759.84999999</v>
      </c>
      <c r="AI1882" s="2">
        <v>-0.56999999999999995</v>
      </c>
      <c r="AJ1882" s="5">
        <v>44673</v>
      </c>
      <c r="AK1882" t="s">
        <v>12209</v>
      </c>
      <c r="AL1882" s="2">
        <v>0</v>
      </c>
      <c r="AM1882" s="2">
        <v>0</v>
      </c>
      <c r="AN1882" s="2">
        <v>0</v>
      </c>
      <c r="AO1882" t="s">
        <v>11053</v>
      </c>
      <c r="AP1882" t="s">
        <v>44</v>
      </c>
      <c r="AQ1882" t="s">
        <v>44</v>
      </c>
    </row>
    <row r="1883" spans="1:43" x14ac:dyDescent="0.2">
      <c r="A1883" t="s">
        <v>12208</v>
      </c>
      <c r="B1883" t="s">
        <v>11408</v>
      </c>
      <c r="C1883" t="s">
        <v>11408</v>
      </c>
      <c r="D1883" t="s">
        <v>12236</v>
      </c>
      <c r="E1883" t="s">
        <v>12232</v>
      </c>
      <c r="F1883" t="s">
        <v>12237</v>
      </c>
      <c r="G1883" s="1">
        <v>10205.373900000001</v>
      </c>
      <c r="H1883" s="2">
        <v>0</v>
      </c>
      <c r="I1883" s="2">
        <v>-11763530.390000001</v>
      </c>
      <c r="J1883" s="2">
        <v>0</v>
      </c>
      <c r="K1883" s="2">
        <v>0</v>
      </c>
      <c r="L1883" s="2">
        <v>-11763530.390000001</v>
      </c>
      <c r="M1883" s="3">
        <v>23264.11</v>
      </c>
      <c r="N1883" s="4">
        <v>-2.67633E-2</v>
      </c>
      <c r="O1883" s="5" t="s">
        <v>44</v>
      </c>
      <c r="P1883" s="5">
        <v>44809</v>
      </c>
      <c r="Q1883" s="1">
        <v>0</v>
      </c>
      <c r="R1883" s="2"/>
      <c r="S1883" s="6"/>
      <c r="T1883" t="s">
        <v>11412</v>
      </c>
      <c r="U1883" t="s">
        <v>11413</v>
      </c>
      <c r="V1883" t="s">
        <v>11414</v>
      </c>
      <c r="W1883" t="s">
        <v>43</v>
      </c>
      <c r="X1883" t="s">
        <v>44</v>
      </c>
      <c r="Y1883" t="s">
        <v>44</v>
      </c>
      <c r="Z1883" t="s">
        <v>44</v>
      </c>
      <c r="AA1883" t="s">
        <v>11035</v>
      </c>
      <c r="AB1883" t="s">
        <v>44</v>
      </c>
      <c r="AC1883" s="4"/>
      <c r="AD1883" s="4"/>
      <c r="AE1883" s="2">
        <v>0</v>
      </c>
      <c r="AF1883" s="4">
        <v>0</v>
      </c>
      <c r="AG1883" s="2">
        <v>-1.27</v>
      </c>
      <c r="AH1883" s="2">
        <v>237418941</v>
      </c>
      <c r="AI1883" s="2">
        <v>0.54</v>
      </c>
      <c r="AJ1883" s="5">
        <v>44673</v>
      </c>
      <c r="AK1883" t="s">
        <v>12209</v>
      </c>
      <c r="AL1883" s="2">
        <v>0</v>
      </c>
      <c r="AM1883" s="2">
        <v>0</v>
      </c>
      <c r="AN1883" s="2">
        <v>0</v>
      </c>
      <c r="AO1883" t="s">
        <v>11053</v>
      </c>
      <c r="AP1883" t="s">
        <v>44</v>
      </c>
      <c r="AQ1883" t="s">
        <v>44</v>
      </c>
    </row>
    <row r="1884" spans="1:43" x14ac:dyDescent="0.2">
      <c r="A1884" t="s">
        <v>12208</v>
      </c>
      <c r="B1884" t="s">
        <v>11030</v>
      </c>
      <c r="C1884" t="s">
        <v>11030</v>
      </c>
      <c r="D1884" t="s">
        <v>12238</v>
      </c>
      <c r="E1884" t="s">
        <v>12210</v>
      </c>
      <c r="F1884" t="s">
        <v>12238</v>
      </c>
      <c r="G1884" s="1">
        <v>692</v>
      </c>
      <c r="H1884" s="2"/>
      <c r="I1884" s="2">
        <v>0</v>
      </c>
      <c r="J1884" s="2"/>
      <c r="K1884" s="2"/>
      <c r="L1884" s="2">
        <v>0</v>
      </c>
      <c r="M1884" s="3"/>
      <c r="N1884" s="4">
        <v>0</v>
      </c>
      <c r="O1884" s="5" t="s">
        <v>44</v>
      </c>
      <c r="P1884" s="5" t="s">
        <v>44</v>
      </c>
      <c r="Q1884" s="1"/>
      <c r="R1884" s="2"/>
      <c r="S1884" s="6"/>
      <c r="T1884" t="s">
        <v>11031</v>
      </c>
      <c r="U1884" t="s">
        <v>11032</v>
      </c>
      <c r="V1884" t="s">
        <v>45</v>
      </c>
      <c r="W1884" t="s">
        <v>43</v>
      </c>
      <c r="X1884" t="s">
        <v>44</v>
      </c>
      <c r="Y1884" t="s">
        <v>44</v>
      </c>
      <c r="Z1884" t="s">
        <v>44</v>
      </c>
      <c r="AA1884" t="s">
        <v>44</v>
      </c>
      <c r="AB1884" t="s">
        <v>44</v>
      </c>
      <c r="AC1884" s="4"/>
      <c r="AD1884" s="4"/>
      <c r="AE1884" s="2">
        <v>0</v>
      </c>
      <c r="AF1884" s="4">
        <v>0</v>
      </c>
      <c r="AG1884" s="2">
        <v>0</v>
      </c>
      <c r="AH1884" s="2">
        <v>-87406520</v>
      </c>
      <c r="AI1884" s="2">
        <v>-0.2</v>
      </c>
      <c r="AJ1884" s="5">
        <v>44673</v>
      </c>
      <c r="AK1884" t="s">
        <v>12209</v>
      </c>
      <c r="AL1884" s="2">
        <v>0</v>
      </c>
      <c r="AM1884" s="2">
        <v>0</v>
      </c>
      <c r="AN1884" s="2">
        <v>0</v>
      </c>
      <c r="AO1884" t="s">
        <v>44</v>
      </c>
      <c r="AP1884" t="s">
        <v>44</v>
      </c>
      <c r="AQ1884" t="s">
        <v>11182</v>
      </c>
    </row>
    <row r="1885" spans="1:43" x14ac:dyDescent="0.2">
      <c r="A1885" t="s">
        <v>12239</v>
      </c>
      <c r="B1885" t="s">
        <v>45</v>
      </c>
      <c r="C1885" t="s">
        <v>11000</v>
      </c>
      <c r="D1885" t="s">
        <v>11081</v>
      </c>
      <c r="E1885" t="s">
        <v>11082</v>
      </c>
      <c r="F1885" t="s">
        <v>11081</v>
      </c>
      <c r="G1885" s="1">
        <v>1231.5</v>
      </c>
      <c r="H1885" s="2">
        <v>24483.1</v>
      </c>
      <c r="I1885" s="2">
        <v>24679.360000000001</v>
      </c>
      <c r="J1885" s="2">
        <v>0</v>
      </c>
      <c r="K1885" s="2">
        <v>0</v>
      </c>
      <c r="L1885" s="2">
        <v>24679.360000000001</v>
      </c>
      <c r="M1885" s="3">
        <v>0</v>
      </c>
      <c r="N1885" s="4">
        <v>5.6150000000000003E-5</v>
      </c>
      <c r="O1885" s="5" t="s">
        <v>44</v>
      </c>
      <c r="P1885" s="5">
        <v>47818</v>
      </c>
      <c r="Q1885" s="1">
        <v>0</v>
      </c>
      <c r="R1885" s="2">
        <v>0.08</v>
      </c>
      <c r="S1885" s="6"/>
      <c r="T1885" t="s">
        <v>112</v>
      </c>
      <c r="U1885" t="s">
        <v>46</v>
      </c>
      <c r="V1885" t="s">
        <v>46</v>
      </c>
      <c r="W1885" t="s">
        <v>481</v>
      </c>
      <c r="X1885" t="s">
        <v>44</v>
      </c>
      <c r="Y1885" t="s">
        <v>44</v>
      </c>
      <c r="Z1885" t="s">
        <v>44</v>
      </c>
      <c r="AA1885" t="s">
        <v>10913</v>
      </c>
      <c r="AB1885" t="s">
        <v>44</v>
      </c>
      <c r="AC1885" s="4"/>
      <c r="AD1885" s="4"/>
      <c r="AE1885" s="2">
        <v>0</v>
      </c>
      <c r="AF1885" s="4">
        <v>0</v>
      </c>
      <c r="AG1885" s="2">
        <v>0.05</v>
      </c>
      <c r="AH1885" s="2">
        <v>24679.360000000001</v>
      </c>
      <c r="AI1885" s="2">
        <v>0</v>
      </c>
      <c r="AJ1885" s="5">
        <v>44673</v>
      </c>
      <c r="AK1885" t="s">
        <v>12240</v>
      </c>
      <c r="AL1885" s="2">
        <v>0</v>
      </c>
      <c r="AM1885" s="2">
        <v>0</v>
      </c>
      <c r="AN1885" s="2">
        <v>0</v>
      </c>
      <c r="AO1885" t="s">
        <v>11074</v>
      </c>
      <c r="AP1885" t="s">
        <v>44</v>
      </c>
      <c r="AQ1885" t="s">
        <v>11082</v>
      </c>
    </row>
    <row r="1886" spans="1:43" x14ac:dyDescent="0.2">
      <c r="A1886" t="s">
        <v>12239</v>
      </c>
      <c r="B1886" t="s">
        <v>45</v>
      </c>
      <c r="C1886" t="s">
        <v>11000</v>
      </c>
      <c r="D1886" t="s">
        <v>11075</v>
      </c>
      <c r="E1886" t="s">
        <v>11076</v>
      </c>
      <c r="F1886" t="s">
        <v>11075</v>
      </c>
      <c r="G1886" s="1">
        <v>6386.53</v>
      </c>
      <c r="H1886" s="2">
        <v>95555.24</v>
      </c>
      <c r="I1886" s="2">
        <v>99719.42</v>
      </c>
      <c r="J1886" s="2">
        <v>0</v>
      </c>
      <c r="K1886" s="2">
        <v>0</v>
      </c>
      <c r="L1886" s="2">
        <v>99719.42</v>
      </c>
      <c r="M1886" s="3">
        <v>0</v>
      </c>
      <c r="N1886" s="4">
        <v>2.2687E-4</v>
      </c>
      <c r="O1886" s="5" t="s">
        <v>44</v>
      </c>
      <c r="P1886" s="5">
        <v>47848</v>
      </c>
      <c r="Q1886" s="1">
        <v>0</v>
      </c>
      <c r="R1886" s="2">
        <v>0.08</v>
      </c>
      <c r="S1886" s="6"/>
      <c r="T1886" t="s">
        <v>112</v>
      </c>
      <c r="U1886" t="s">
        <v>46</v>
      </c>
      <c r="V1886" t="s">
        <v>46</v>
      </c>
      <c r="W1886" t="s">
        <v>113</v>
      </c>
      <c r="X1886" t="s">
        <v>44</v>
      </c>
      <c r="Y1886" t="s">
        <v>44</v>
      </c>
      <c r="Z1886" t="s">
        <v>44</v>
      </c>
      <c r="AA1886" t="s">
        <v>10913</v>
      </c>
      <c r="AB1886" t="s">
        <v>44</v>
      </c>
      <c r="AC1886" s="4"/>
      <c r="AD1886" s="4"/>
      <c r="AE1886" s="2">
        <v>0</v>
      </c>
      <c r="AF1886" s="4">
        <v>0</v>
      </c>
      <c r="AG1886" s="2">
        <v>0.19</v>
      </c>
      <c r="AH1886" s="2">
        <v>99719.42</v>
      </c>
      <c r="AI1886" s="2">
        <v>0</v>
      </c>
      <c r="AJ1886" s="5">
        <v>44673</v>
      </c>
      <c r="AK1886" t="s">
        <v>12240</v>
      </c>
      <c r="AL1886" s="2">
        <v>0</v>
      </c>
      <c r="AM1886" s="2">
        <v>0</v>
      </c>
      <c r="AN1886" s="2">
        <v>0</v>
      </c>
      <c r="AO1886" t="s">
        <v>11074</v>
      </c>
      <c r="AP1886" t="s">
        <v>44</v>
      </c>
      <c r="AQ1886" t="s">
        <v>11076</v>
      </c>
    </row>
    <row r="1887" spans="1:43" x14ac:dyDescent="0.2">
      <c r="A1887" t="s">
        <v>12239</v>
      </c>
      <c r="B1887" t="s">
        <v>45</v>
      </c>
      <c r="C1887" t="s">
        <v>11000</v>
      </c>
      <c r="D1887" t="s">
        <v>11001</v>
      </c>
      <c r="E1887" t="s">
        <v>11002</v>
      </c>
      <c r="F1887" t="s">
        <v>11001</v>
      </c>
      <c r="G1887" s="1">
        <v>241.29</v>
      </c>
      <c r="H1887" s="2">
        <v>241.29</v>
      </c>
      <c r="I1887" s="2">
        <v>241.29</v>
      </c>
      <c r="J1887" s="2">
        <v>0.77</v>
      </c>
      <c r="K1887" s="2">
        <v>0</v>
      </c>
      <c r="L1887" s="2">
        <v>242.06</v>
      </c>
      <c r="M1887" s="3"/>
      <c r="N1887" s="4">
        <v>5.5000000000000003E-7</v>
      </c>
      <c r="O1887" s="5">
        <v>40756</v>
      </c>
      <c r="P1887" s="5">
        <v>73020</v>
      </c>
      <c r="Q1887" s="1">
        <v>0</v>
      </c>
      <c r="R1887" s="2"/>
      <c r="S1887" s="6"/>
      <c r="T1887" t="s">
        <v>111</v>
      </c>
      <c r="U1887" t="s">
        <v>11003</v>
      </c>
      <c r="V1887" t="s">
        <v>46</v>
      </c>
      <c r="W1887" t="s">
        <v>43</v>
      </c>
      <c r="X1887" t="s">
        <v>44</v>
      </c>
      <c r="Y1887" t="s">
        <v>44</v>
      </c>
      <c r="Z1887" t="s">
        <v>44</v>
      </c>
      <c r="AA1887" t="s">
        <v>44</v>
      </c>
      <c r="AB1887" t="s">
        <v>44</v>
      </c>
      <c r="AC1887" s="4"/>
      <c r="AD1887" s="4"/>
      <c r="AE1887" s="2">
        <v>0</v>
      </c>
      <c r="AF1887" s="4">
        <v>0</v>
      </c>
      <c r="AG1887" s="2">
        <v>0</v>
      </c>
      <c r="AH1887" s="2">
        <v>242.06</v>
      </c>
      <c r="AI1887" s="2">
        <v>0</v>
      </c>
      <c r="AJ1887" s="5">
        <v>44673</v>
      </c>
      <c r="AK1887" t="s">
        <v>12240</v>
      </c>
      <c r="AL1887" s="2">
        <v>0</v>
      </c>
      <c r="AM1887" s="2">
        <v>0</v>
      </c>
      <c r="AN1887" s="2">
        <v>0</v>
      </c>
      <c r="AO1887" t="s">
        <v>44</v>
      </c>
      <c r="AP1887" t="s">
        <v>11004</v>
      </c>
      <c r="AQ1887" t="s">
        <v>11002</v>
      </c>
    </row>
    <row r="1888" spans="1:43" x14ac:dyDescent="0.2">
      <c r="A1888" t="s">
        <v>12239</v>
      </c>
      <c r="B1888" t="s">
        <v>45</v>
      </c>
      <c r="C1888" t="s">
        <v>47</v>
      </c>
      <c r="D1888" t="s">
        <v>48</v>
      </c>
      <c r="E1888" t="s">
        <v>49</v>
      </c>
      <c r="F1888" t="s">
        <v>50</v>
      </c>
      <c r="G1888" s="1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627.01</v>
      </c>
      <c r="M1888" s="3"/>
      <c r="N1888" s="4">
        <v>1.4300000000000001E-6</v>
      </c>
      <c r="O1888" s="5" t="s">
        <v>44</v>
      </c>
      <c r="P1888" s="5" t="s">
        <v>44</v>
      </c>
      <c r="Q1888" s="1"/>
      <c r="R1888" s="2">
        <v>0.08</v>
      </c>
      <c r="S1888" s="6"/>
      <c r="T1888" t="s">
        <v>45</v>
      </c>
      <c r="U1888" t="s">
        <v>46</v>
      </c>
      <c r="V1888" t="s">
        <v>44</v>
      </c>
      <c r="W1888" t="s">
        <v>43</v>
      </c>
      <c r="X1888" t="s">
        <v>44</v>
      </c>
      <c r="Y1888" t="s">
        <v>44</v>
      </c>
      <c r="Z1888" t="s">
        <v>44</v>
      </c>
      <c r="AA1888" t="s">
        <v>44</v>
      </c>
      <c r="AB1888" t="s">
        <v>44</v>
      </c>
      <c r="AC1888" s="4">
        <v>5.1163389600000002</v>
      </c>
      <c r="AD1888" s="4">
        <v>5.0001424999999999</v>
      </c>
      <c r="AE1888" s="2">
        <v>5.12</v>
      </c>
      <c r="AF1888" s="4">
        <v>5.0001424999999999</v>
      </c>
      <c r="AG1888" s="2">
        <v>0</v>
      </c>
      <c r="AH1888" s="2">
        <v>627.01</v>
      </c>
      <c r="AI1888" s="2">
        <v>0</v>
      </c>
      <c r="AJ1888" s="5">
        <v>44673</v>
      </c>
      <c r="AK1888" t="s">
        <v>12240</v>
      </c>
      <c r="AL1888" s="2">
        <v>5.05</v>
      </c>
      <c r="AM1888" s="2">
        <v>0</v>
      </c>
      <c r="AN1888" s="2">
        <v>0</v>
      </c>
      <c r="AO1888" t="s">
        <v>44</v>
      </c>
      <c r="AP1888" t="s">
        <v>44</v>
      </c>
      <c r="AQ1888" t="s">
        <v>44</v>
      </c>
    </row>
    <row r="1889" spans="1:43" x14ac:dyDescent="0.2">
      <c r="A1889" t="s">
        <v>12239</v>
      </c>
      <c r="B1889" t="s">
        <v>45</v>
      </c>
      <c r="C1889" t="s">
        <v>47</v>
      </c>
      <c r="D1889" t="s">
        <v>51</v>
      </c>
      <c r="E1889" t="s">
        <v>52</v>
      </c>
      <c r="F1889" t="s">
        <v>51</v>
      </c>
      <c r="G1889" s="1">
        <v>477300.73</v>
      </c>
      <c r="H1889" s="2">
        <v>477300.73</v>
      </c>
      <c r="I1889" s="2">
        <v>477300.73</v>
      </c>
      <c r="J1889" s="2">
        <v>0</v>
      </c>
      <c r="K1889" s="2">
        <v>0</v>
      </c>
      <c r="L1889" s="2">
        <v>477300.73</v>
      </c>
      <c r="M1889" s="3"/>
      <c r="N1889" s="4">
        <v>1.08591E-3</v>
      </c>
      <c r="O1889" s="5" t="s">
        <v>44</v>
      </c>
      <c r="P1889" s="5" t="s">
        <v>44</v>
      </c>
      <c r="Q1889" s="1"/>
      <c r="R1889" s="2">
        <v>0.08</v>
      </c>
      <c r="S1889" s="6"/>
      <c r="T1889" t="s">
        <v>45</v>
      </c>
      <c r="U1889" t="s">
        <v>53</v>
      </c>
      <c r="V1889" t="s">
        <v>44</v>
      </c>
      <c r="W1889" t="s">
        <v>43</v>
      </c>
      <c r="X1889" t="s">
        <v>44</v>
      </c>
      <c r="Y1889" t="s">
        <v>44</v>
      </c>
      <c r="Z1889" t="s">
        <v>44</v>
      </c>
      <c r="AA1889" t="s">
        <v>44</v>
      </c>
      <c r="AB1889" t="s">
        <v>44</v>
      </c>
      <c r="AC1889" s="4">
        <v>5.1163389600000002</v>
      </c>
      <c r="AD1889" s="4">
        <v>5.0001424999999999</v>
      </c>
      <c r="AE1889" s="2">
        <v>5.12</v>
      </c>
      <c r="AF1889" s="4">
        <v>5.0001424999999999</v>
      </c>
      <c r="AG1889" s="2">
        <v>0.93</v>
      </c>
      <c r="AH1889" s="2">
        <v>477300.73</v>
      </c>
      <c r="AI1889" s="2">
        <v>0</v>
      </c>
      <c r="AJ1889" s="5">
        <v>44673</v>
      </c>
      <c r="AK1889" t="s">
        <v>12240</v>
      </c>
      <c r="AL1889" s="2">
        <v>5.05</v>
      </c>
      <c r="AM1889" s="2">
        <v>0</v>
      </c>
      <c r="AN1889" s="2">
        <v>0</v>
      </c>
      <c r="AO1889" t="s">
        <v>44</v>
      </c>
      <c r="AP1889" t="s">
        <v>44</v>
      </c>
      <c r="AQ1889" t="s">
        <v>43</v>
      </c>
    </row>
    <row r="1890" spans="1:43" x14ac:dyDescent="0.2">
      <c r="A1890" t="s">
        <v>12239</v>
      </c>
      <c r="B1890" t="s">
        <v>45</v>
      </c>
      <c r="C1890" t="s">
        <v>47</v>
      </c>
      <c r="D1890" t="s">
        <v>11045</v>
      </c>
      <c r="E1890" t="s">
        <v>11046</v>
      </c>
      <c r="F1890" t="s">
        <v>11045</v>
      </c>
      <c r="G1890" s="1">
        <v>1050.8499999999999</v>
      </c>
      <c r="H1890" s="2">
        <v>16383.9</v>
      </c>
      <c r="I1890" s="2">
        <v>16407.990000000002</v>
      </c>
      <c r="J1890" s="2">
        <v>0</v>
      </c>
      <c r="K1890" s="2">
        <v>0</v>
      </c>
      <c r="L1890" s="2">
        <v>16407.990000000002</v>
      </c>
      <c r="M1890" s="3">
        <v>1</v>
      </c>
      <c r="N1890" s="4">
        <v>3.7329999999999997E-5</v>
      </c>
      <c r="O1890" s="5" t="s">
        <v>44</v>
      </c>
      <c r="P1890" s="5" t="s">
        <v>44</v>
      </c>
      <c r="Q1890" s="1"/>
      <c r="R1890" s="2">
        <v>0.08</v>
      </c>
      <c r="S1890" s="6"/>
      <c r="T1890" t="s">
        <v>45</v>
      </c>
      <c r="U1890" t="s">
        <v>53</v>
      </c>
      <c r="V1890" t="s">
        <v>44</v>
      </c>
      <c r="W1890" t="s">
        <v>113</v>
      </c>
      <c r="X1890" t="s">
        <v>44</v>
      </c>
      <c r="Y1890" t="s">
        <v>44</v>
      </c>
      <c r="Z1890" t="s">
        <v>44</v>
      </c>
      <c r="AA1890" t="s">
        <v>44</v>
      </c>
      <c r="AB1890" t="s">
        <v>44</v>
      </c>
      <c r="AC1890" s="4"/>
      <c r="AD1890" s="4"/>
      <c r="AE1890" s="2">
        <v>0</v>
      </c>
      <c r="AF1890" s="4">
        <v>0</v>
      </c>
      <c r="AG1890" s="2">
        <v>0.03</v>
      </c>
      <c r="AH1890" s="2">
        <v>16407.990000000002</v>
      </c>
      <c r="AI1890" s="2">
        <v>0</v>
      </c>
      <c r="AJ1890" s="5">
        <v>44673</v>
      </c>
      <c r="AK1890" t="s">
        <v>12240</v>
      </c>
      <c r="AL1890" s="2">
        <v>0</v>
      </c>
      <c r="AM1890" s="2">
        <v>0</v>
      </c>
      <c r="AN1890" s="2">
        <v>0</v>
      </c>
      <c r="AO1890" t="s">
        <v>44</v>
      </c>
      <c r="AP1890" t="s">
        <v>44</v>
      </c>
      <c r="AQ1890" t="s">
        <v>113</v>
      </c>
    </row>
    <row r="1891" spans="1:43" x14ac:dyDescent="0.2">
      <c r="A1891" t="s">
        <v>12239</v>
      </c>
      <c r="B1891" t="s">
        <v>45</v>
      </c>
      <c r="C1891" t="s">
        <v>11005</v>
      </c>
      <c r="D1891" t="s">
        <v>11009</v>
      </c>
      <c r="E1891" t="s">
        <v>11010</v>
      </c>
      <c r="F1891" t="s">
        <v>44</v>
      </c>
      <c r="G1891" s="1">
        <v>-3641.34</v>
      </c>
      <c r="H1891" s="2">
        <v>-3641.34</v>
      </c>
      <c r="I1891" s="2">
        <v>-3641.34</v>
      </c>
      <c r="J1891" s="2">
        <v>0</v>
      </c>
      <c r="K1891" s="2"/>
      <c r="L1891" s="2">
        <v>-3641.34</v>
      </c>
      <c r="M1891" s="3"/>
      <c r="N1891" s="4">
        <v>-8.2800000000000003E-6</v>
      </c>
      <c r="O1891" s="5" t="s">
        <v>44</v>
      </c>
      <c r="P1891" s="5">
        <v>73051</v>
      </c>
      <c r="Q1891" s="1">
        <v>0</v>
      </c>
      <c r="R1891" s="2">
        <v>0.08</v>
      </c>
      <c r="S1891" s="6"/>
      <c r="T1891" t="s">
        <v>45</v>
      </c>
      <c r="U1891" t="s">
        <v>44</v>
      </c>
      <c r="V1891" t="s">
        <v>44</v>
      </c>
      <c r="W1891" t="s">
        <v>43</v>
      </c>
      <c r="X1891" t="s">
        <v>44</v>
      </c>
      <c r="Y1891" t="s">
        <v>44</v>
      </c>
      <c r="Z1891" t="s">
        <v>44</v>
      </c>
      <c r="AA1891" t="s">
        <v>44</v>
      </c>
      <c r="AB1891" t="s">
        <v>44</v>
      </c>
      <c r="AC1891" s="4">
        <v>5.1163389600000002</v>
      </c>
      <c r="AD1891" s="4">
        <v>5.0001424999999999</v>
      </c>
      <c r="AE1891" s="2">
        <v>5.12</v>
      </c>
      <c r="AF1891" s="4">
        <v>5.0001424999999999</v>
      </c>
      <c r="AG1891" s="2">
        <v>-0.01</v>
      </c>
      <c r="AH1891" s="2">
        <v>-3641.34</v>
      </c>
      <c r="AI1891" s="2">
        <v>0</v>
      </c>
      <c r="AJ1891" s="5">
        <v>44673</v>
      </c>
      <c r="AK1891" t="s">
        <v>12240</v>
      </c>
      <c r="AL1891" s="2">
        <v>5.05</v>
      </c>
      <c r="AM1891" s="2">
        <v>0</v>
      </c>
      <c r="AN1891" s="2">
        <v>0</v>
      </c>
      <c r="AO1891" t="s">
        <v>44</v>
      </c>
      <c r="AP1891" t="s">
        <v>44</v>
      </c>
      <c r="AQ1891" t="s">
        <v>44</v>
      </c>
    </row>
    <row r="1892" spans="1:43" x14ac:dyDescent="0.2">
      <c r="A1892" t="s">
        <v>12239</v>
      </c>
      <c r="B1892" t="s">
        <v>11013</v>
      </c>
      <c r="C1892" t="s">
        <v>11047</v>
      </c>
      <c r="D1892" t="s">
        <v>12241</v>
      </c>
      <c r="E1892" t="s">
        <v>12242</v>
      </c>
      <c r="F1892" t="s">
        <v>12241</v>
      </c>
      <c r="G1892" s="1">
        <v>323272.95240000001</v>
      </c>
      <c r="H1892" s="2">
        <v>46198341.259999998</v>
      </c>
      <c r="I1892" s="2">
        <v>50869619.950000003</v>
      </c>
      <c r="J1892" s="2">
        <v>0</v>
      </c>
      <c r="K1892" s="2">
        <v>0</v>
      </c>
      <c r="L1892" s="2">
        <v>50869619.950000003</v>
      </c>
      <c r="M1892" s="3">
        <v>10.077999999999999</v>
      </c>
      <c r="N1892" s="4">
        <v>0.11573385999999999</v>
      </c>
      <c r="O1892" s="5" t="s">
        <v>44</v>
      </c>
      <c r="P1892" s="5" t="s">
        <v>44</v>
      </c>
      <c r="Q1892" s="1"/>
      <c r="R1892" s="2"/>
      <c r="S1892" s="6"/>
      <c r="T1892" t="s">
        <v>10902</v>
      </c>
      <c r="U1892" t="s">
        <v>11003</v>
      </c>
      <c r="V1892" t="s">
        <v>11003</v>
      </c>
      <c r="W1892" t="s">
        <v>113</v>
      </c>
      <c r="X1892" t="s">
        <v>44</v>
      </c>
      <c r="Y1892" t="s">
        <v>44</v>
      </c>
      <c r="Z1892" t="s">
        <v>44</v>
      </c>
      <c r="AA1892" t="s">
        <v>44</v>
      </c>
      <c r="AB1892" t="s">
        <v>44</v>
      </c>
      <c r="AC1892" s="4"/>
      <c r="AD1892" s="4"/>
      <c r="AE1892" s="2">
        <v>0</v>
      </c>
      <c r="AF1892" s="4">
        <v>0</v>
      </c>
      <c r="AG1892" s="2">
        <v>98.81</v>
      </c>
      <c r="AH1892" s="2">
        <v>50869619.950000003</v>
      </c>
      <c r="AI1892" s="2">
        <v>0.12</v>
      </c>
      <c r="AJ1892" s="5">
        <v>44673</v>
      </c>
      <c r="AK1892" t="s">
        <v>12240</v>
      </c>
      <c r="AL1892" s="2">
        <v>0</v>
      </c>
      <c r="AM1892" s="2">
        <v>0</v>
      </c>
      <c r="AN1892" s="2">
        <v>0</v>
      </c>
      <c r="AO1892" t="s">
        <v>44</v>
      </c>
      <c r="AP1892" t="s">
        <v>44</v>
      </c>
      <c r="AQ1892" t="s">
        <v>12242</v>
      </c>
    </row>
    <row r="1893" spans="1:43" x14ac:dyDescent="0.2">
      <c r="A1893" t="s">
        <v>12243</v>
      </c>
      <c r="B1893" t="s">
        <v>10900</v>
      </c>
      <c r="C1893" t="s">
        <v>11049</v>
      </c>
      <c r="D1893" t="s">
        <v>11265</v>
      </c>
      <c r="E1893" t="s">
        <v>11266</v>
      </c>
      <c r="F1893" t="s">
        <v>11265</v>
      </c>
      <c r="G1893" s="1">
        <v>1900000</v>
      </c>
      <c r="H1893" s="2">
        <v>1809292.53</v>
      </c>
      <c r="I1893" s="2">
        <v>1809292.53</v>
      </c>
      <c r="J1893" s="2">
        <v>0</v>
      </c>
      <c r="K1893" s="2">
        <v>0</v>
      </c>
      <c r="L1893" s="2">
        <v>1809292.53</v>
      </c>
      <c r="M1893" s="3">
        <v>6.3099970000000001</v>
      </c>
      <c r="N1893" s="4">
        <v>4.1163399999999996E-3</v>
      </c>
      <c r="O1893" s="5" t="s">
        <v>44</v>
      </c>
      <c r="P1893" s="5">
        <v>44964</v>
      </c>
      <c r="Q1893" s="1">
        <v>0</v>
      </c>
      <c r="R1893" s="2">
        <v>0.79</v>
      </c>
      <c r="S1893" s="6">
        <v>0.75161913127000002</v>
      </c>
      <c r="T1893" t="s">
        <v>112</v>
      </c>
      <c r="U1893" t="s">
        <v>111</v>
      </c>
      <c r="V1893" t="s">
        <v>11238</v>
      </c>
      <c r="W1893" t="s">
        <v>43</v>
      </c>
      <c r="X1893" t="s">
        <v>44</v>
      </c>
      <c r="Y1893" t="s">
        <v>44</v>
      </c>
      <c r="Z1893" t="s">
        <v>44</v>
      </c>
      <c r="AA1893" t="s">
        <v>10979</v>
      </c>
      <c r="AB1893" t="s">
        <v>44</v>
      </c>
      <c r="AC1893" s="4">
        <v>6.4095368800000001</v>
      </c>
      <c r="AD1893" s="4">
        <v>6.2286110399999997</v>
      </c>
      <c r="AE1893" s="2">
        <v>6.41</v>
      </c>
      <c r="AF1893" s="4">
        <v>6.2286110399999997</v>
      </c>
      <c r="AG1893" s="2">
        <v>0.84</v>
      </c>
      <c r="AH1893" s="2">
        <v>1809292.53</v>
      </c>
      <c r="AI1893" s="2">
        <v>0</v>
      </c>
      <c r="AJ1893" s="5">
        <v>44673</v>
      </c>
      <c r="AK1893" t="s">
        <v>12244</v>
      </c>
      <c r="AL1893" s="2">
        <v>6.31</v>
      </c>
      <c r="AM1893" s="2">
        <v>0</v>
      </c>
      <c r="AN1893" s="2">
        <v>0.75</v>
      </c>
      <c r="AO1893" t="s">
        <v>10982</v>
      </c>
      <c r="AP1893" t="s">
        <v>11267</v>
      </c>
      <c r="AQ1893" t="s">
        <v>11266</v>
      </c>
    </row>
    <row r="1894" spans="1:43" x14ac:dyDescent="0.2">
      <c r="A1894" t="s">
        <v>12243</v>
      </c>
      <c r="B1894" t="s">
        <v>45</v>
      </c>
      <c r="C1894" t="s">
        <v>11000</v>
      </c>
      <c r="D1894" t="s">
        <v>11273</v>
      </c>
      <c r="E1894" t="s">
        <v>11274</v>
      </c>
      <c r="F1894" t="s">
        <v>11273</v>
      </c>
      <c r="G1894" s="1">
        <v>4958.67</v>
      </c>
      <c r="H1894" s="2">
        <v>4958.67</v>
      </c>
      <c r="I1894" s="2">
        <v>4958.67</v>
      </c>
      <c r="J1894" s="2">
        <v>15.04</v>
      </c>
      <c r="K1894" s="2">
        <v>0</v>
      </c>
      <c r="L1894" s="2">
        <v>4973.71</v>
      </c>
      <c r="M1894" s="3"/>
      <c r="N1894" s="4">
        <v>1.132E-5</v>
      </c>
      <c r="O1894" s="5">
        <v>44378</v>
      </c>
      <c r="P1894" s="5">
        <v>55153</v>
      </c>
      <c r="Q1894" s="1">
        <v>0</v>
      </c>
      <c r="R1894" s="2"/>
      <c r="S1894" s="6"/>
      <c r="T1894" t="s">
        <v>111</v>
      </c>
      <c r="U1894" t="s">
        <v>11003</v>
      </c>
      <c r="V1894" t="s">
        <v>46</v>
      </c>
      <c r="W1894" t="s">
        <v>43</v>
      </c>
      <c r="X1894" t="s">
        <v>44</v>
      </c>
      <c r="Y1894" t="s">
        <v>44</v>
      </c>
      <c r="Z1894" t="s">
        <v>44</v>
      </c>
      <c r="AA1894" t="s">
        <v>44</v>
      </c>
      <c r="AB1894" t="s">
        <v>44</v>
      </c>
      <c r="AC1894" s="4"/>
      <c r="AD1894" s="4"/>
      <c r="AE1894" s="2">
        <v>0</v>
      </c>
      <c r="AF1894" s="4">
        <v>0</v>
      </c>
      <c r="AG1894" s="2">
        <v>0</v>
      </c>
      <c r="AH1894" s="2">
        <v>4973.71</v>
      </c>
      <c r="AI1894" s="2">
        <v>0</v>
      </c>
      <c r="AJ1894" s="5">
        <v>44673</v>
      </c>
      <c r="AK1894" t="s">
        <v>12244</v>
      </c>
      <c r="AL1894" s="2">
        <v>0</v>
      </c>
      <c r="AM1894" s="2">
        <v>0</v>
      </c>
      <c r="AN1894" s="2">
        <v>0</v>
      </c>
      <c r="AO1894" t="s">
        <v>44</v>
      </c>
      <c r="AP1894" t="s">
        <v>11275</v>
      </c>
      <c r="AQ1894" t="s">
        <v>11274</v>
      </c>
    </row>
    <row r="1895" spans="1:43" x14ac:dyDescent="0.2">
      <c r="A1895" t="s">
        <v>12243</v>
      </c>
      <c r="B1895" t="s">
        <v>45</v>
      </c>
      <c r="C1895" t="s">
        <v>11000</v>
      </c>
      <c r="D1895" t="s">
        <v>11001</v>
      </c>
      <c r="E1895" t="s">
        <v>11002</v>
      </c>
      <c r="F1895" t="s">
        <v>11001</v>
      </c>
      <c r="G1895" s="1">
        <v>36448074.799999997</v>
      </c>
      <c r="H1895" s="2">
        <v>36448074.799999997</v>
      </c>
      <c r="I1895" s="2">
        <v>36448074.799999997</v>
      </c>
      <c r="J1895" s="2">
        <v>117227.99</v>
      </c>
      <c r="K1895" s="2">
        <v>0</v>
      </c>
      <c r="L1895" s="2">
        <v>36565302.789999999</v>
      </c>
      <c r="M1895" s="3"/>
      <c r="N1895" s="4">
        <v>8.319E-2</v>
      </c>
      <c r="O1895" s="5">
        <v>40756</v>
      </c>
      <c r="P1895" s="5">
        <v>73020</v>
      </c>
      <c r="Q1895" s="1">
        <v>0</v>
      </c>
      <c r="R1895" s="2"/>
      <c r="S1895" s="6"/>
      <c r="T1895" t="s">
        <v>111</v>
      </c>
      <c r="U1895" t="s">
        <v>11003</v>
      </c>
      <c r="V1895" t="s">
        <v>46</v>
      </c>
      <c r="W1895" t="s">
        <v>43</v>
      </c>
      <c r="X1895" t="s">
        <v>44</v>
      </c>
      <c r="Y1895" t="s">
        <v>44</v>
      </c>
      <c r="Z1895" t="s">
        <v>44</v>
      </c>
      <c r="AA1895" t="s">
        <v>44</v>
      </c>
      <c r="AB1895" t="s">
        <v>44</v>
      </c>
      <c r="AC1895" s="4"/>
      <c r="AD1895" s="4"/>
      <c r="AE1895" s="2">
        <v>0</v>
      </c>
      <c r="AF1895" s="4">
        <v>0</v>
      </c>
      <c r="AG1895" s="2">
        <v>17.07</v>
      </c>
      <c r="AH1895" s="2">
        <v>36565302.789999999</v>
      </c>
      <c r="AI1895" s="2">
        <v>0.08</v>
      </c>
      <c r="AJ1895" s="5">
        <v>44673</v>
      </c>
      <c r="AK1895" t="s">
        <v>12244</v>
      </c>
      <c r="AL1895" s="2">
        <v>0</v>
      </c>
      <c r="AM1895" s="2">
        <v>0</v>
      </c>
      <c r="AN1895" s="2">
        <v>0</v>
      </c>
      <c r="AO1895" t="s">
        <v>44</v>
      </c>
      <c r="AP1895" t="s">
        <v>11004</v>
      </c>
      <c r="AQ1895" t="s">
        <v>11002</v>
      </c>
    </row>
    <row r="1896" spans="1:43" x14ac:dyDescent="0.2">
      <c r="A1896" t="s">
        <v>12243</v>
      </c>
      <c r="B1896" t="s">
        <v>45</v>
      </c>
      <c r="C1896" t="s">
        <v>11144</v>
      </c>
      <c r="D1896" t="s">
        <v>11145</v>
      </c>
      <c r="E1896" t="s">
        <v>11146</v>
      </c>
      <c r="F1896" t="s">
        <v>11147</v>
      </c>
      <c r="G1896" s="1">
        <v>3197550</v>
      </c>
      <c r="H1896" s="2">
        <v>3197550</v>
      </c>
      <c r="I1896" s="2">
        <v>3197550</v>
      </c>
      <c r="J1896" s="2">
        <v>8448.7999999999993</v>
      </c>
      <c r="K1896" s="2">
        <v>0</v>
      </c>
      <c r="L1896" s="2">
        <v>3205998.8</v>
      </c>
      <c r="M1896" s="3">
        <v>6.88</v>
      </c>
      <c r="N1896" s="4">
        <v>7.2939900000000002E-3</v>
      </c>
      <c r="O1896" s="5" t="s">
        <v>44</v>
      </c>
      <c r="P1896" s="5">
        <v>55153</v>
      </c>
      <c r="Q1896" s="1">
        <v>6.88</v>
      </c>
      <c r="R1896" s="2">
        <v>0.08</v>
      </c>
      <c r="S1896" s="6">
        <v>2.6006750000000002E-3</v>
      </c>
      <c r="T1896" t="s">
        <v>112</v>
      </c>
      <c r="U1896" t="s">
        <v>46</v>
      </c>
      <c r="V1896" t="s">
        <v>11148</v>
      </c>
      <c r="W1896" t="s">
        <v>43</v>
      </c>
      <c r="X1896" t="s">
        <v>44</v>
      </c>
      <c r="Y1896" t="s">
        <v>44</v>
      </c>
      <c r="Z1896" t="s">
        <v>44</v>
      </c>
      <c r="AA1896" t="s">
        <v>44</v>
      </c>
      <c r="AB1896" t="s">
        <v>44</v>
      </c>
      <c r="AC1896" s="4"/>
      <c r="AD1896" s="4"/>
      <c r="AE1896" s="2">
        <v>0</v>
      </c>
      <c r="AF1896" s="4">
        <v>0</v>
      </c>
      <c r="AG1896" s="2">
        <v>1.5</v>
      </c>
      <c r="AH1896" s="2">
        <v>3205998.8</v>
      </c>
      <c r="AI1896" s="2">
        <v>0.01</v>
      </c>
      <c r="AJ1896" s="5">
        <v>44673</v>
      </c>
      <c r="AK1896" t="s">
        <v>12244</v>
      </c>
      <c r="AL1896" s="2">
        <v>0</v>
      </c>
      <c r="AM1896" s="2">
        <v>6.88</v>
      </c>
      <c r="AN1896" s="2">
        <v>0</v>
      </c>
      <c r="AO1896" t="s">
        <v>11146</v>
      </c>
      <c r="AP1896" t="s">
        <v>44</v>
      </c>
      <c r="AQ1896" t="s">
        <v>11146</v>
      </c>
    </row>
    <row r="1897" spans="1:43" x14ac:dyDescent="0.2">
      <c r="A1897" t="s">
        <v>12243</v>
      </c>
      <c r="B1897" t="s">
        <v>45</v>
      </c>
      <c r="C1897" t="s">
        <v>47</v>
      </c>
      <c r="D1897" t="s">
        <v>48</v>
      </c>
      <c r="E1897" t="s">
        <v>49</v>
      </c>
      <c r="F1897" t="s">
        <v>50</v>
      </c>
      <c r="G1897" s="1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509.24</v>
      </c>
      <c r="M1897" s="3"/>
      <c r="N1897" s="4">
        <v>1.1599999999999999E-6</v>
      </c>
      <c r="O1897" s="5" t="s">
        <v>44</v>
      </c>
      <c r="P1897" s="5" t="s">
        <v>44</v>
      </c>
      <c r="Q1897" s="1"/>
      <c r="R1897" s="2">
        <v>0.08</v>
      </c>
      <c r="S1897" s="6"/>
      <c r="T1897" t="s">
        <v>45</v>
      </c>
      <c r="U1897" t="s">
        <v>46</v>
      </c>
      <c r="V1897" t="s">
        <v>44</v>
      </c>
      <c r="W1897" t="s">
        <v>43</v>
      </c>
      <c r="X1897" t="s">
        <v>44</v>
      </c>
      <c r="Y1897" t="s">
        <v>44</v>
      </c>
      <c r="Z1897" t="s">
        <v>44</v>
      </c>
      <c r="AA1897" t="s">
        <v>44</v>
      </c>
      <c r="AB1897" t="s">
        <v>44</v>
      </c>
      <c r="AC1897" s="4">
        <v>5.1163389600000002</v>
      </c>
      <c r="AD1897" s="4">
        <v>5.0001424999999999</v>
      </c>
      <c r="AE1897" s="2">
        <v>5.12</v>
      </c>
      <c r="AF1897" s="4">
        <v>5.0001424999999999</v>
      </c>
      <c r="AG1897" s="2">
        <v>0</v>
      </c>
      <c r="AH1897" s="2">
        <v>509.24</v>
      </c>
      <c r="AI1897" s="2">
        <v>0</v>
      </c>
      <c r="AJ1897" s="5">
        <v>44673</v>
      </c>
      <c r="AK1897" t="s">
        <v>12244</v>
      </c>
      <c r="AL1897" s="2">
        <v>5.05</v>
      </c>
      <c r="AM1897" s="2">
        <v>0</v>
      </c>
      <c r="AN1897" s="2">
        <v>0</v>
      </c>
      <c r="AO1897" t="s">
        <v>44</v>
      </c>
      <c r="AP1897" t="s">
        <v>44</v>
      </c>
      <c r="AQ1897" t="s">
        <v>44</v>
      </c>
    </row>
    <row r="1898" spans="1:43" x14ac:dyDescent="0.2">
      <c r="A1898" t="s">
        <v>12243</v>
      </c>
      <c r="B1898" t="s">
        <v>45</v>
      </c>
      <c r="C1898" t="s">
        <v>47</v>
      </c>
      <c r="D1898" t="s">
        <v>51</v>
      </c>
      <c r="E1898" t="s">
        <v>52</v>
      </c>
      <c r="F1898" t="s">
        <v>51</v>
      </c>
      <c r="G1898" s="1">
        <v>565597.61</v>
      </c>
      <c r="H1898" s="2">
        <v>565597.02</v>
      </c>
      <c r="I1898" s="2">
        <v>565597.61</v>
      </c>
      <c r="J1898" s="2">
        <v>0</v>
      </c>
      <c r="K1898" s="2">
        <v>0</v>
      </c>
      <c r="L1898" s="2">
        <v>565597.61</v>
      </c>
      <c r="M1898" s="3"/>
      <c r="N1898" s="4">
        <v>1.2868000000000001E-3</v>
      </c>
      <c r="O1898" s="5" t="s">
        <v>44</v>
      </c>
      <c r="P1898" s="5" t="s">
        <v>44</v>
      </c>
      <c r="Q1898" s="1"/>
      <c r="R1898" s="2">
        <v>0.08</v>
      </c>
      <c r="S1898" s="6"/>
      <c r="T1898" t="s">
        <v>45</v>
      </c>
      <c r="U1898" t="s">
        <v>53</v>
      </c>
      <c r="V1898" t="s">
        <v>44</v>
      </c>
      <c r="W1898" t="s">
        <v>43</v>
      </c>
      <c r="X1898" t="s">
        <v>44</v>
      </c>
      <c r="Y1898" t="s">
        <v>44</v>
      </c>
      <c r="Z1898" t="s">
        <v>44</v>
      </c>
      <c r="AA1898" t="s">
        <v>44</v>
      </c>
      <c r="AB1898" t="s">
        <v>44</v>
      </c>
      <c r="AC1898" s="4">
        <v>5.1163389600000002</v>
      </c>
      <c r="AD1898" s="4">
        <v>5.0001424999999999</v>
      </c>
      <c r="AE1898" s="2">
        <v>5.12</v>
      </c>
      <c r="AF1898" s="4">
        <v>5.0001424999999999</v>
      </c>
      <c r="AG1898" s="2">
        <v>0.26</v>
      </c>
      <c r="AH1898" s="2">
        <v>565597.61</v>
      </c>
      <c r="AI1898" s="2">
        <v>0</v>
      </c>
      <c r="AJ1898" s="5">
        <v>44673</v>
      </c>
      <c r="AK1898" t="s">
        <v>12244</v>
      </c>
      <c r="AL1898" s="2">
        <v>5.05</v>
      </c>
      <c r="AM1898" s="2">
        <v>0</v>
      </c>
      <c r="AN1898" s="2">
        <v>0</v>
      </c>
      <c r="AO1898" t="s">
        <v>44</v>
      </c>
      <c r="AP1898" t="s">
        <v>44</v>
      </c>
      <c r="AQ1898" t="s">
        <v>43</v>
      </c>
    </row>
    <row r="1899" spans="1:43" x14ac:dyDescent="0.2">
      <c r="A1899" t="s">
        <v>12243</v>
      </c>
      <c r="B1899" t="s">
        <v>45</v>
      </c>
      <c r="C1899" t="s">
        <v>11005</v>
      </c>
      <c r="D1899" t="s">
        <v>11006</v>
      </c>
      <c r="E1899" t="s">
        <v>11007</v>
      </c>
      <c r="F1899" t="s">
        <v>11006</v>
      </c>
      <c r="G1899" s="1">
        <v>-48760</v>
      </c>
      <c r="H1899" s="2">
        <v>-48760</v>
      </c>
      <c r="I1899" s="2">
        <v>-48760</v>
      </c>
      <c r="J1899" s="2">
        <v>0</v>
      </c>
      <c r="K1899" s="2"/>
      <c r="L1899" s="2">
        <v>-48760</v>
      </c>
      <c r="M1899" s="3"/>
      <c r="N1899" s="4">
        <v>-1.1093E-4</v>
      </c>
      <c r="O1899" s="5" t="s">
        <v>44</v>
      </c>
      <c r="P1899" s="5">
        <v>73051</v>
      </c>
      <c r="Q1899" s="1">
        <v>0</v>
      </c>
      <c r="R1899" s="2">
        <v>0.08</v>
      </c>
      <c r="S1899" s="6"/>
      <c r="T1899" t="s">
        <v>45</v>
      </c>
      <c r="U1899" t="s">
        <v>11008</v>
      </c>
      <c r="V1899" t="s">
        <v>44</v>
      </c>
      <c r="W1899" t="s">
        <v>43</v>
      </c>
      <c r="X1899" t="s">
        <v>44</v>
      </c>
      <c r="Y1899" t="s">
        <v>44</v>
      </c>
      <c r="Z1899" t="s">
        <v>44</v>
      </c>
      <c r="AA1899" t="s">
        <v>44</v>
      </c>
      <c r="AB1899" t="s">
        <v>44</v>
      </c>
      <c r="AC1899" s="4">
        <v>5.1163389600000002</v>
      </c>
      <c r="AD1899" s="4">
        <v>5.0001424999999999</v>
      </c>
      <c r="AE1899" s="2">
        <v>5.12</v>
      </c>
      <c r="AF1899" s="4">
        <v>5.0001424999999999</v>
      </c>
      <c r="AG1899" s="2">
        <v>-0.02</v>
      </c>
      <c r="AH1899" s="2">
        <v>-48760</v>
      </c>
      <c r="AI1899" s="2">
        <v>0</v>
      </c>
      <c r="AJ1899" s="5">
        <v>44673</v>
      </c>
      <c r="AK1899" t="s">
        <v>12244</v>
      </c>
      <c r="AL1899" s="2">
        <v>5.05</v>
      </c>
      <c r="AM1899" s="2">
        <v>0</v>
      </c>
      <c r="AN1899" s="2">
        <v>0</v>
      </c>
      <c r="AO1899" t="s">
        <v>44</v>
      </c>
      <c r="AP1899" t="s">
        <v>44</v>
      </c>
      <c r="AQ1899" t="s">
        <v>44</v>
      </c>
    </row>
    <row r="1900" spans="1:43" x14ac:dyDescent="0.2">
      <c r="A1900" t="s">
        <v>12243</v>
      </c>
      <c r="B1900" t="s">
        <v>45</v>
      </c>
      <c r="C1900" t="s">
        <v>11005</v>
      </c>
      <c r="D1900" t="s">
        <v>11009</v>
      </c>
      <c r="E1900" t="s">
        <v>11010</v>
      </c>
      <c r="F1900" t="s">
        <v>44</v>
      </c>
      <c r="G1900" s="1">
        <v>-23539.65</v>
      </c>
      <c r="H1900" s="2">
        <v>-23539.65</v>
      </c>
      <c r="I1900" s="2">
        <v>-23539.65</v>
      </c>
      <c r="J1900" s="2">
        <v>0</v>
      </c>
      <c r="K1900" s="2"/>
      <c r="L1900" s="2">
        <v>-23539.65</v>
      </c>
      <c r="M1900" s="3"/>
      <c r="N1900" s="4">
        <v>-5.3560000000000002E-5</v>
      </c>
      <c r="O1900" s="5" t="s">
        <v>44</v>
      </c>
      <c r="P1900" s="5">
        <v>73051</v>
      </c>
      <c r="Q1900" s="1">
        <v>0</v>
      </c>
      <c r="R1900" s="2">
        <v>0.08</v>
      </c>
      <c r="S1900" s="6"/>
      <c r="T1900" t="s">
        <v>45</v>
      </c>
      <c r="U1900" t="s">
        <v>44</v>
      </c>
      <c r="V1900" t="s">
        <v>44</v>
      </c>
      <c r="W1900" t="s">
        <v>43</v>
      </c>
      <c r="X1900" t="s">
        <v>44</v>
      </c>
      <c r="Y1900" t="s">
        <v>44</v>
      </c>
      <c r="Z1900" t="s">
        <v>44</v>
      </c>
      <c r="AA1900" t="s">
        <v>44</v>
      </c>
      <c r="AB1900" t="s">
        <v>44</v>
      </c>
      <c r="AC1900" s="4">
        <v>5.1163389600000002</v>
      </c>
      <c r="AD1900" s="4">
        <v>5.0001424999999999</v>
      </c>
      <c r="AE1900" s="2">
        <v>5.12</v>
      </c>
      <c r="AF1900" s="4">
        <v>5.0001424999999999</v>
      </c>
      <c r="AG1900" s="2">
        <v>-0.01</v>
      </c>
      <c r="AH1900" s="2">
        <v>-23539.65</v>
      </c>
      <c r="AI1900" s="2">
        <v>0</v>
      </c>
      <c r="AJ1900" s="5">
        <v>44673</v>
      </c>
      <c r="AK1900" t="s">
        <v>12244</v>
      </c>
      <c r="AL1900" s="2">
        <v>5.05</v>
      </c>
      <c r="AM1900" s="2">
        <v>0</v>
      </c>
      <c r="AN1900" s="2">
        <v>0</v>
      </c>
      <c r="AO1900" t="s">
        <v>44</v>
      </c>
      <c r="AP1900" t="s">
        <v>44</v>
      </c>
      <c r="AQ1900" t="s">
        <v>44</v>
      </c>
    </row>
    <row r="1901" spans="1:43" x14ac:dyDescent="0.2">
      <c r="A1901" t="s">
        <v>12243</v>
      </c>
      <c r="B1901" t="s">
        <v>45</v>
      </c>
      <c r="C1901" t="s">
        <v>11005</v>
      </c>
      <c r="D1901" t="s">
        <v>11011</v>
      </c>
      <c r="E1901" t="s">
        <v>11012</v>
      </c>
      <c r="F1901" t="s">
        <v>44</v>
      </c>
      <c r="G1901" s="1">
        <v>-9328.82</v>
      </c>
      <c r="H1901" s="2">
        <v>-9328.82</v>
      </c>
      <c r="I1901" s="2">
        <v>-9328.82</v>
      </c>
      <c r="J1901" s="2">
        <v>0</v>
      </c>
      <c r="K1901" s="2"/>
      <c r="L1901" s="2">
        <v>-9328.82</v>
      </c>
      <c r="M1901" s="3"/>
      <c r="N1901" s="4">
        <v>-2.122E-5</v>
      </c>
      <c r="O1901" s="5" t="s">
        <v>44</v>
      </c>
      <c r="P1901" s="5">
        <v>73051</v>
      </c>
      <c r="Q1901" s="1">
        <v>0</v>
      </c>
      <c r="R1901" s="2">
        <v>0.08</v>
      </c>
      <c r="S1901" s="6"/>
      <c r="T1901" t="s">
        <v>45</v>
      </c>
      <c r="U1901" t="s">
        <v>44</v>
      </c>
      <c r="V1901" t="s">
        <v>44</v>
      </c>
      <c r="W1901" t="s">
        <v>43</v>
      </c>
      <c r="X1901" t="s">
        <v>44</v>
      </c>
      <c r="Y1901" t="s">
        <v>44</v>
      </c>
      <c r="Z1901" t="s">
        <v>44</v>
      </c>
      <c r="AA1901" t="s">
        <v>44</v>
      </c>
      <c r="AB1901" t="s">
        <v>44</v>
      </c>
      <c r="AC1901" s="4">
        <v>5.1163389600000002</v>
      </c>
      <c r="AD1901" s="4">
        <v>5.0001424999999999</v>
      </c>
      <c r="AE1901" s="2">
        <v>5.12</v>
      </c>
      <c r="AF1901" s="4">
        <v>5.0001424999999999</v>
      </c>
      <c r="AG1901" s="2">
        <v>0</v>
      </c>
      <c r="AH1901" s="2">
        <v>-9328.82</v>
      </c>
      <c r="AI1901" s="2">
        <v>0</v>
      </c>
      <c r="AJ1901" s="5">
        <v>44673</v>
      </c>
      <c r="AK1901" t="s">
        <v>12244</v>
      </c>
      <c r="AL1901" s="2">
        <v>5.05</v>
      </c>
      <c r="AM1901" s="2">
        <v>0</v>
      </c>
      <c r="AN1901" s="2">
        <v>0</v>
      </c>
      <c r="AO1901" t="s">
        <v>44</v>
      </c>
      <c r="AP1901" t="s">
        <v>44</v>
      </c>
      <c r="AQ1901" t="s">
        <v>44</v>
      </c>
    </row>
    <row r="1902" spans="1:43" x14ac:dyDescent="0.2">
      <c r="A1902" t="s">
        <v>12243</v>
      </c>
      <c r="B1902" t="s">
        <v>45</v>
      </c>
      <c r="C1902" t="s">
        <v>11005</v>
      </c>
      <c r="D1902" t="s">
        <v>11149</v>
      </c>
      <c r="E1902" t="s">
        <v>11150</v>
      </c>
      <c r="F1902" t="s">
        <v>44</v>
      </c>
      <c r="G1902" s="1">
        <v>-598000</v>
      </c>
      <c r="H1902" s="2">
        <v>-598000</v>
      </c>
      <c r="I1902" s="2">
        <v>-598000</v>
      </c>
      <c r="J1902" s="2">
        <v>0</v>
      </c>
      <c r="K1902" s="2"/>
      <c r="L1902" s="2">
        <v>-598000</v>
      </c>
      <c r="M1902" s="3"/>
      <c r="N1902" s="4">
        <v>-1.3605100000000001E-3</v>
      </c>
      <c r="O1902" s="5" t="s">
        <v>44</v>
      </c>
      <c r="P1902" s="5">
        <v>73051</v>
      </c>
      <c r="Q1902" s="1">
        <v>0</v>
      </c>
      <c r="R1902" s="2">
        <v>0.08</v>
      </c>
      <c r="S1902" s="6"/>
      <c r="T1902" t="s">
        <v>45</v>
      </c>
      <c r="U1902" t="s">
        <v>44</v>
      </c>
      <c r="V1902" t="s">
        <v>44</v>
      </c>
      <c r="W1902" t="s">
        <v>43</v>
      </c>
      <c r="X1902" t="s">
        <v>44</v>
      </c>
      <c r="Y1902" t="s">
        <v>44</v>
      </c>
      <c r="Z1902" t="s">
        <v>44</v>
      </c>
      <c r="AA1902" t="s">
        <v>44</v>
      </c>
      <c r="AB1902" t="s">
        <v>44</v>
      </c>
      <c r="AC1902" s="4">
        <v>5.1163389600000002</v>
      </c>
      <c r="AD1902" s="4">
        <v>5.0001424999999999</v>
      </c>
      <c r="AE1902" s="2">
        <v>5.12</v>
      </c>
      <c r="AF1902" s="4">
        <v>5.0001424999999999</v>
      </c>
      <c r="AG1902" s="2">
        <v>-0.28000000000000003</v>
      </c>
      <c r="AH1902" s="2">
        <v>-598000</v>
      </c>
      <c r="AI1902" s="2">
        <v>0</v>
      </c>
      <c r="AJ1902" s="5">
        <v>44673</v>
      </c>
      <c r="AK1902" t="s">
        <v>12244</v>
      </c>
      <c r="AL1902" s="2">
        <v>5.05</v>
      </c>
      <c r="AM1902" s="2">
        <v>0</v>
      </c>
      <c r="AN1902" s="2">
        <v>0</v>
      </c>
      <c r="AO1902" t="s">
        <v>44</v>
      </c>
      <c r="AP1902" t="s">
        <v>44</v>
      </c>
      <c r="AQ1902" t="s">
        <v>44</v>
      </c>
    </row>
    <row r="1903" spans="1:43" x14ac:dyDescent="0.2">
      <c r="A1903" t="s">
        <v>12243</v>
      </c>
      <c r="B1903" t="s">
        <v>11024</v>
      </c>
      <c r="C1903" t="s">
        <v>57</v>
      </c>
      <c r="D1903" t="s">
        <v>11151</v>
      </c>
      <c r="E1903" t="s">
        <v>11151</v>
      </c>
      <c r="F1903" t="s">
        <v>11151</v>
      </c>
      <c r="G1903" s="1">
        <v>50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3">
        <v>65704</v>
      </c>
      <c r="N1903" s="4">
        <v>0</v>
      </c>
      <c r="O1903" s="5" t="s">
        <v>44</v>
      </c>
      <c r="P1903" s="5">
        <v>44727</v>
      </c>
      <c r="Q1903" s="1"/>
      <c r="R1903" s="2"/>
      <c r="S1903" s="6"/>
      <c r="T1903" t="s">
        <v>11026</v>
      </c>
      <c r="U1903" t="s">
        <v>11025</v>
      </c>
      <c r="V1903" t="s">
        <v>11027</v>
      </c>
      <c r="W1903" t="s">
        <v>43</v>
      </c>
      <c r="X1903" t="s">
        <v>44</v>
      </c>
      <c r="Y1903" t="s">
        <v>44</v>
      </c>
      <c r="Z1903" t="s">
        <v>44</v>
      </c>
      <c r="AA1903" t="s">
        <v>44</v>
      </c>
      <c r="AB1903" t="s">
        <v>44</v>
      </c>
      <c r="AC1903" s="4"/>
      <c r="AD1903" s="4"/>
      <c r="AE1903" s="2">
        <v>0</v>
      </c>
      <c r="AF1903" s="4">
        <v>0</v>
      </c>
      <c r="AG1903" s="2">
        <v>0</v>
      </c>
      <c r="AH1903" s="2">
        <v>32852000</v>
      </c>
      <c r="AI1903" s="2">
        <v>7.0000000000000007E-2</v>
      </c>
      <c r="AJ1903" s="5">
        <v>44673</v>
      </c>
      <c r="AK1903" t="s">
        <v>12244</v>
      </c>
      <c r="AL1903" s="2">
        <v>0</v>
      </c>
      <c r="AM1903" s="2">
        <v>0</v>
      </c>
      <c r="AN1903" s="2">
        <v>0</v>
      </c>
      <c r="AO1903" t="s">
        <v>44</v>
      </c>
      <c r="AP1903" t="s">
        <v>11152</v>
      </c>
      <c r="AQ1903" t="s">
        <v>11151</v>
      </c>
    </row>
    <row r="1904" spans="1:43" x14ac:dyDescent="0.2">
      <c r="A1904" t="s">
        <v>12243</v>
      </c>
      <c r="B1904" t="s">
        <v>11037</v>
      </c>
      <c r="C1904" t="s">
        <v>11050</v>
      </c>
      <c r="D1904" t="s">
        <v>12245</v>
      </c>
      <c r="E1904" t="s">
        <v>12246</v>
      </c>
      <c r="F1904" t="s">
        <v>12245</v>
      </c>
      <c r="G1904" s="1">
        <v>350000</v>
      </c>
      <c r="H1904" s="2">
        <v>35000000</v>
      </c>
      <c r="I1904" s="2">
        <v>40538890</v>
      </c>
      <c r="J1904" s="2">
        <v>0</v>
      </c>
      <c r="K1904" s="2">
        <v>0</v>
      </c>
      <c r="L1904" s="2">
        <v>40538890</v>
      </c>
      <c r="M1904" s="3">
        <v>115.8254</v>
      </c>
      <c r="N1904" s="4">
        <v>9.2230339999999994E-2</v>
      </c>
      <c r="O1904" s="5" t="s">
        <v>44</v>
      </c>
      <c r="P1904" s="5" t="s">
        <v>44</v>
      </c>
      <c r="Q1904" s="1"/>
      <c r="R1904" s="2"/>
      <c r="S1904" s="6"/>
      <c r="T1904" t="s">
        <v>10902</v>
      </c>
      <c r="U1904" t="s">
        <v>10902</v>
      </c>
      <c r="V1904" t="s">
        <v>11051</v>
      </c>
      <c r="W1904" t="s">
        <v>43</v>
      </c>
      <c r="X1904" t="s">
        <v>11050</v>
      </c>
      <c r="Y1904" t="s">
        <v>44</v>
      </c>
      <c r="Z1904" t="s">
        <v>11050</v>
      </c>
      <c r="AA1904" t="s">
        <v>44</v>
      </c>
      <c r="AB1904" t="s">
        <v>44</v>
      </c>
      <c r="AC1904" s="4"/>
      <c r="AD1904" s="4"/>
      <c r="AE1904" s="2">
        <v>0</v>
      </c>
      <c r="AF1904" s="4">
        <v>0</v>
      </c>
      <c r="AG1904" s="2">
        <v>18.93</v>
      </c>
      <c r="AH1904" s="2">
        <v>40538890</v>
      </c>
      <c r="AI1904" s="2">
        <v>0.09</v>
      </c>
      <c r="AJ1904" s="5">
        <v>44673</v>
      </c>
      <c r="AK1904" t="s">
        <v>12244</v>
      </c>
      <c r="AL1904" s="2">
        <v>0</v>
      </c>
      <c r="AM1904" s="2">
        <v>0</v>
      </c>
      <c r="AN1904" s="2">
        <v>0</v>
      </c>
      <c r="AO1904" t="s">
        <v>44</v>
      </c>
      <c r="AP1904" t="s">
        <v>44</v>
      </c>
      <c r="AQ1904" t="s">
        <v>12246</v>
      </c>
    </row>
    <row r="1905" spans="1:43" x14ac:dyDescent="0.2">
      <c r="A1905" t="s">
        <v>12243</v>
      </c>
      <c r="B1905" t="s">
        <v>11037</v>
      </c>
      <c r="C1905" t="s">
        <v>11050</v>
      </c>
      <c r="D1905" t="s">
        <v>11099</v>
      </c>
      <c r="E1905" t="s">
        <v>11100</v>
      </c>
      <c r="F1905" t="s">
        <v>11099</v>
      </c>
      <c r="G1905" s="1">
        <v>15500000</v>
      </c>
      <c r="H1905" s="2">
        <v>16180943.75</v>
      </c>
      <c r="I1905" s="2">
        <v>24555889.210000001</v>
      </c>
      <c r="J1905" s="2">
        <v>0</v>
      </c>
      <c r="K1905" s="2">
        <v>0</v>
      </c>
      <c r="L1905" s="2">
        <v>24555889.210000001</v>
      </c>
      <c r="M1905" s="3">
        <v>158.42509200000001</v>
      </c>
      <c r="N1905" s="4">
        <v>5.586729E-2</v>
      </c>
      <c r="O1905" s="5" t="s">
        <v>44</v>
      </c>
      <c r="P1905" s="5" t="s">
        <v>44</v>
      </c>
      <c r="Q1905" s="1"/>
      <c r="R1905" s="2"/>
      <c r="S1905" s="6"/>
      <c r="T1905" t="s">
        <v>10902</v>
      </c>
      <c r="U1905" t="s">
        <v>10902</v>
      </c>
      <c r="V1905" t="s">
        <v>11051</v>
      </c>
      <c r="W1905" t="s">
        <v>43</v>
      </c>
      <c r="X1905" t="s">
        <v>11050</v>
      </c>
      <c r="Y1905" t="s">
        <v>44</v>
      </c>
      <c r="Z1905" t="s">
        <v>11050</v>
      </c>
      <c r="AA1905" t="s">
        <v>44</v>
      </c>
      <c r="AB1905" t="s">
        <v>44</v>
      </c>
      <c r="AC1905" s="4"/>
      <c r="AD1905" s="4"/>
      <c r="AE1905" s="2">
        <v>0</v>
      </c>
      <c r="AF1905" s="4">
        <v>0</v>
      </c>
      <c r="AG1905" s="2">
        <v>11.47</v>
      </c>
      <c r="AH1905" s="2">
        <v>24555889.210000001</v>
      </c>
      <c r="AI1905" s="2">
        <v>0.06</v>
      </c>
      <c r="AJ1905" s="5">
        <v>44673</v>
      </c>
      <c r="AK1905" t="s">
        <v>12244</v>
      </c>
      <c r="AL1905" s="2">
        <v>0</v>
      </c>
      <c r="AM1905" s="2">
        <v>0</v>
      </c>
      <c r="AN1905" s="2">
        <v>0</v>
      </c>
      <c r="AO1905" t="s">
        <v>44</v>
      </c>
      <c r="AP1905" t="s">
        <v>11101</v>
      </c>
      <c r="AQ1905" t="s">
        <v>11100</v>
      </c>
    </row>
    <row r="1906" spans="1:43" x14ac:dyDescent="0.2">
      <c r="A1906" t="s">
        <v>12243</v>
      </c>
      <c r="B1906" t="s">
        <v>11037</v>
      </c>
      <c r="C1906" t="s">
        <v>11050</v>
      </c>
      <c r="D1906" t="s">
        <v>11323</v>
      </c>
      <c r="E1906" t="s">
        <v>11324</v>
      </c>
      <c r="F1906" t="s">
        <v>11323</v>
      </c>
      <c r="G1906" s="1">
        <v>15000000</v>
      </c>
      <c r="H1906" s="2">
        <v>15000000</v>
      </c>
      <c r="I1906" s="2">
        <v>16786152.27</v>
      </c>
      <c r="J1906" s="2">
        <v>0</v>
      </c>
      <c r="K1906" s="2">
        <v>0</v>
      </c>
      <c r="L1906" s="2">
        <v>16786152.27</v>
      </c>
      <c r="M1906" s="3">
        <v>111.90768199999999</v>
      </c>
      <c r="N1906" s="4">
        <v>3.8190300000000003E-2</v>
      </c>
      <c r="O1906" s="5" t="s">
        <v>44</v>
      </c>
      <c r="P1906" s="5" t="s">
        <v>44</v>
      </c>
      <c r="Q1906" s="1"/>
      <c r="R1906" s="2"/>
      <c r="S1906" s="6"/>
      <c r="T1906" t="s">
        <v>10902</v>
      </c>
      <c r="U1906" t="s">
        <v>10902</v>
      </c>
      <c r="V1906" t="s">
        <v>11051</v>
      </c>
      <c r="W1906" t="s">
        <v>43</v>
      </c>
      <c r="X1906" t="s">
        <v>11050</v>
      </c>
      <c r="Y1906" t="s">
        <v>44</v>
      </c>
      <c r="Z1906" t="s">
        <v>11050</v>
      </c>
      <c r="AA1906" t="s">
        <v>11035</v>
      </c>
      <c r="AB1906" t="s">
        <v>44</v>
      </c>
      <c r="AC1906" s="4"/>
      <c r="AD1906" s="4"/>
      <c r="AE1906" s="2">
        <v>0</v>
      </c>
      <c r="AF1906" s="4">
        <v>0</v>
      </c>
      <c r="AG1906" s="2">
        <v>7.84</v>
      </c>
      <c r="AH1906" s="2">
        <v>16786152.27</v>
      </c>
      <c r="AI1906" s="2">
        <v>0.04</v>
      </c>
      <c r="AJ1906" s="5">
        <v>44673</v>
      </c>
      <c r="AK1906" t="s">
        <v>12244</v>
      </c>
      <c r="AL1906" s="2">
        <v>0</v>
      </c>
      <c r="AM1906" s="2">
        <v>0</v>
      </c>
      <c r="AN1906" s="2">
        <v>0</v>
      </c>
      <c r="AO1906" t="s">
        <v>11036</v>
      </c>
      <c r="AP1906" t="s">
        <v>44</v>
      </c>
      <c r="AQ1906" t="s">
        <v>11324</v>
      </c>
    </row>
    <row r="1907" spans="1:43" x14ac:dyDescent="0.2">
      <c r="A1907" t="s">
        <v>12243</v>
      </c>
      <c r="B1907" t="s">
        <v>11038</v>
      </c>
      <c r="C1907" t="s">
        <v>11870</v>
      </c>
      <c r="D1907" t="s">
        <v>11056</v>
      </c>
      <c r="E1907" t="s">
        <v>11057</v>
      </c>
      <c r="F1907" t="s">
        <v>11056</v>
      </c>
      <c r="G1907" s="1">
        <v>731938</v>
      </c>
      <c r="H1907" s="2">
        <v>731763.19999999995</v>
      </c>
      <c r="I1907" s="2">
        <v>731938</v>
      </c>
      <c r="J1907" s="2">
        <v>18866.43</v>
      </c>
      <c r="K1907" s="2">
        <v>0</v>
      </c>
      <c r="L1907" s="2">
        <v>750804.43</v>
      </c>
      <c r="M1907" s="3"/>
      <c r="N1907" s="4">
        <v>1.70816E-3</v>
      </c>
      <c r="O1907" s="5">
        <v>44692</v>
      </c>
      <c r="P1907" s="5">
        <v>44692</v>
      </c>
      <c r="Q1907" s="1">
        <v>13.067</v>
      </c>
      <c r="R1907" s="2"/>
      <c r="S1907" s="6"/>
      <c r="T1907" t="s">
        <v>111</v>
      </c>
      <c r="U1907" t="s">
        <v>11040</v>
      </c>
      <c r="V1907" t="s">
        <v>115</v>
      </c>
      <c r="W1907" t="s">
        <v>43</v>
      </c>
      <c r="X1907" t="s">
        <v>44</v>
      </c>
      <c r="Y1907" t="s">
        <v>44</v>
      </c>
      <c r="Z1907" t="s">
        <v>44</v>
      </c>
      <c r="AA1907" t="s">
        <v>10979</v>
      </c>
      <c r="AB1907" t="s">
        <v>44</v>
      </c>
      <c r="AC1907" s="4"/>
      <c r="AD1907" s="4"/>
      <c r="AE1907" s="2">
        <v>0</v>
      </c>
      <c r="AF1907" s="4">
        <v>0</v>
      </c>
      <c r="AG1907" s="2">
        <v>0.35</v>
      </c>
      <c r="AH1907" s="2">
        <v>750804.43</v>
      </c>
      <c r="AI1907" s="2">
        <v>0</v>
      </c>
      <c r="AJ1907" s="5">
        <v>44673</v>
      </c>
      <c r="AK1907" t="s">
        <v>12244</v>
      </c>
      <c r="AL1907" s="2">
        <v>0</v>
      </c>
      <c r="AM1907" s="2">
        <v>13.07</v>
      </c>
      <c r="AN1907" s="2">
        <v>0</v>
      </c>
      <c r="AO1907" t="s">
        <v>10980</v>
      </c>
      <c r="AP1907" t="s">
        <v>11058</v>
      </c>
      <c r="AQ1907" t="s">
        <v>11057</v>
      </c>
    </row>
    <row r="1908" spans="1:43" x14ac:dyDescent="0.2">
      <c r="A1908" t="s">
        <v>12243</v>
      </c>
      <c r="B1908" t="s">
        <v>11038</v>
      </c>
      <c r="C1908" t="s">
        <v>11052</v>
      </c>
      <c r="D1908" t="s">
        <v>12186</v>
      </c>
      <c r="E1908" t="s">
        <v>12187</v>
      </c>
      <c r="F1908" t="s">
        <v>12186</v>
      </c>
      <c r="G1908" s="1">
        <v>13000000</v>
      </c>
      <c r="H1908" s="2">
        <v>12770532.550000001</v>
      </c>
      <c r="I1908" s="2">
        <v>12770532.550000001</v>
      </c>
      <c r="J1908" s="2">
        <v>0</v>
      </c>
      <c r="K1908" s="2">
        <v>0</v>
      </c>
      <c r="L1908" s="2">
        <v>12770532.550000001</v>
      </c>
      <c r="M1908" s="3">
        <v>5.0337449999999997</v>
      </c>
      <c r="N1908" s="4">
        <v>2.9054340000000001E-2</v>
      </c>
      <c r="O1908" s="5" t="s">
        <v>44</v>
      </c>
      <c r="P1908" s="5">
        <v>44804</v>
      </c>
      <c r="Q1908" s="1">
        <v>0</v>
      </c>
      <c r="R1908" s="2">
        <v>0.35</v>
      </c>
      <c r="S1908" s="6">
        <v>0.34460181869000001</v>
      </c>
      <c r="T1908" t="s">
        <v>112</v>
      </c>
      <c r="U1908" t="s">
        <v>11040</v>
      </c>
      <c r="V1908" t="s">
        <v>11238</v>
      </c>
      <c r="W1908" t="s">
        <v>43</v>
      </c>
      <c r="X1908" t="s">
        <v>44</v>
      </c>
      <c r="Y1908" t="s">
        <v>44</v>
      </c>
      <c r="Z1908" t="s">
        <v>44</v>
      </c>
      <c r="AA1908" t="s">
        <v>10913</v>
      </c>
      <c r="AB1908" t="s">
        <v>44</v>
      </c>
      <c r="AC1908" s="4">
        <v>5.1164204399999997</v>
      </c>
      <c r="AD1908" s="4">
        <v>5.0002203400000003</v>
      </c>
      <c r="AE1908" s="2">
        <v>5.12</v>
      </c>
      <c r="AF1908" s="4">
        <v>5.0002203400000003</v>
      </c>
      <c r="AG1908" s="2">
        <v>5.96</v>
      </c>
      <c r="AH1908" s="2">
        <v>12770532.550000001</v>
      </c>
      <c r="AI1908" s="2">
        <v>0.03</v>
      </c>
      <c r="AJ1908" s="5">
        <v>44673</v>
      </c>
      <c r="AK1908" t="s">
        <v>12244</v>
      </c>
      <c r="AL1908" s="2">
        <v>5.05</v>
      </c>
      <c r="AM1908" s="2">
        <v>0</v>
      </c>
      <c r="AN1908" s="2">
        <v>0.34</v>
      </c>
      <c r="AO1908" t="s">
        <v>10922</v>
      </c>
      <c r="AP1908" t="s">
        <v>12188</v>
      </c>
      <c r="AQ1908" t="s">
        <v>12187</v>
      </c>
    </row>
    <row r="1909" spans="1:43" x14ac:dyDescent="0.2">
      <c r="A1909" t="s">
        <v>12243</v>
      </c>
      <c r="B1909" t="s">
        <v>11038</v>
      </c>
      <c r="C1909" t="s">
        <v>11039</v>
      </c>
      <c r="D1909" t="s">
        <v>11971</v>
      </c>
      <c r="E1909" t="s">
        <v>11972</v>
      </c>
      <c r="F1909" t="s">
        <v>11971</v>
      </c>
      <c r="G1909" s="1">
        <v>7000000</v>
      </c>
      <c r="H1909" s="2">
        <v>7000000</v>
      </c>
      <c r="I1909" s="2">
        <v>6992746.3300000001</v>
      </c>
      <c r="J1909" s="2">
        <v>83021.919999999998</v>
      </c>
      <c r="K1909" s="2">
        <v>0</v>
      </c>
      <c r="L1909" s="2">
        <v>7075768.25</v>
      </c>
      <c r="M1909" s="3">
        <v>5.914955</v>
      </c>
      <c r="N1909" s="4">
        <v>1.6098129999999999E-2</v>
      </c>
      <c r="O1909" s="5">
        <v>44965</v>
      </c>
      <c r="P1909" s="5">
        <v>44965</v>
      </c>
      <c r="Q1909" s="1">
        <v>5.85</v>
      </c>
      <c r="R1909" s="2">
        <v>0.79</v>
      </c>
      <c r="S1909" s="6">
        <v>0.75635794914999999</v>
      </c>
      <c r="T1909" t="s">
        <v>111</v>
      </c>
      <c r="U1909" t="s">
        <v>11040</v>
      </c>
      <c r="V1909" t="s">
        <v>11041</v>
      </c>
      <c r="W1909" t="s">
        <v>43</v>
      </c>
      <c r="X1909" t="s">
        <v>11034</v>
      </c>
      <c r="Y1909" t="s">
        <v>44</v>
      </c>
      <c r="Z1909" t="s">
        <v>44</v>
      </c>
      <c r="AA1909" t="s">
        <v>10979</v>
      </c>
      <c r="AB1909" t="s">
        <v>44</v>
      </c>
      <c r="AC1909" s="4">
        <v>5.9509684500000004</v>
      </c>
      <c r="AD1909" s="4">
        <v>5.7945694899999998</v>
      </c>
      <c r="AE1909" s="2">
        <v>5.95</v>
      </c>
      <c r="AF1909" s="4">
        <v>5.7945694899999998</v>
      </c>
      <c r="AG1909" s="2">
        <v>3.3</v>
      </c>
      <c r="AH1909" s="2">
        <v>7075768.25</v>
      </c>
      <c r="AI1909" s="2">
        <v>0.02</v>
      </c>
      <c r="AJ1909" s="5">
        <v>44673</v>
      </c>
      <c r="AK1909" t="s">
        <v>12244</v>
      </c>
      <c r="AL1909" s="2">
        <v>5.86</v>
      </c>
      <c r="AM1909" s="2">
        <v>5.85</v>
      </c>
      <c r="AN1909" s="2">
        <v>0.76</v>
      </c>
      <c r="AO1909" t="s">
        <v>11165</v>
      </c>
      <c r="AP1909" t="s">
        <v>11973</v>
      </c>
      <c r="AQ1909" t="s">
        <v>11972</v>
      </c>
    </row>
    <row r="1910" spans="1:43" x14ac:dyDescent="0.2">
      <c r="A1910" t="s">
        <v>12243</v>
      </c>
      <c r="B1910" t="s">
        <v>11038</v>
      </c>
      <c r="C1910" t="s">
        <v>11039</v>
      </c>
      <c r="D1910" t="s">
        <v>12090</v>
      </c>
      <c r="E1910" t="s">
        <v>12091</v>
      </c>
      <c r="F1910" t="s">
        <v>12090</v>
      </c>
      <c r="G1910" s="1">
        <v>1000000</v>
      </c>
      <c r="H1910" s="2">
        <v>1000000</v>
      </c>
      <c r="I1910" s="2">
        <v>999695.88</v>
      </c>
      <c r="J1910" s="2">
        <v>8523.2900000000009</v>
      </c>
      <c r="K1910" s="2">
        <v>0</v>
      </c>
      <c r="L1910" s="2">
        <v>1008219.17</v>
      </c>
      <c r="M1910" s="3">
        <v>6.0835429999999997</v>
      </c>
      <c r="N1910" s="4">
        <v>2.2938099999999999E-3</v>
      </c>
      <c r="O1910" s="5">
        <v>44988</v>
      </c>
      <c r="P1910" s="5">
        <v>44988</v>
      </c>
      <c r="Q1910" s="1">
        <v>6.1</v>
      </c>
      <c r="R1910" s="2">
        <v>0.85</v>
      </c>
      <c r="S1910" s="6">
        <v>0.81254093581999998</v>
      </c>
      <c r="T1910" t="s">
        <v>111</v>
      </c>
      <c r="U1910" t="s">
        <v>11040</v>
      </c>
      <c r="V1910" t="s">
        <v>11041</v>
      </c>
      <c r="W1910" t="s">
        <v>43</v>
      </c>
      <c r="X1910" t="s">
        <v>11034</v>
      </c>
      <c r="Y1910" t="s">
        <v>44</v>
      </c>
      <c r="Z1910" t="s">
        <v>44</v>
      </c>
      <c r="AA1910" t="s">
        <v>10979</v>
      </c>
      <c r="AB1910" t="s">
        <v>44</v>
      </c>
      <c r="AC1910" s="4">
        <v>6.1100351799999997</v>
      </c>
      <c r="AD1910" s="4">
        <v>5.9453231400000002</v>
      </c>
      <c r="AE1910" s="2">
        <v>6.11</v>
      </c>
      <c r="AF1910" s="4">
        <v>5.9453231400000002</v>
      </c>
      <c r="AG1910" s="2">
        <v>0.47</v>
      </c>
      <c r="AH1910" s="2">
        <v>1008219.17</v>
      </c>
      <c r="AI1910" s="2">
        <v>0</v>
      </c>
      <c r="AJ1910" s="5">
        <v>44673</v>
      </c>
      <c r="AK1910" t="s">
        <v>12244</v>
      </c>
      <c r="AL1910" s="2">
        <v>6.02</v>
      </c>
      <c r="AM1910" s="2">
        <v>6.1</v>
      </c>
      <c r="AN1910" s="2">
        <v>0.81</v>
      </c>
      <c r="AO1910" t="s">
        <v>11165</v>
      </c>
      <c r="AP1910" t="s">
        <v>12092</v>
      </c>
      <c r="AQ1910" t="s">
        <v>12091</v>
      </c>
    </row>
    <row r="1911" spans="1:43" x14ac:dyDescent="0.2">
      <c r="A1911" t="s">
        <v>12243</v>
      </c>
      <c r="B1911" t="s">
        <v>11038</v>
      </c>
      <c r="C1911" t="s">
        <v>11039</v>
      </c>
      <c r="D1911" t="s">
        <v>12858</v>
      </c>
      <c r="E1911" t="s">
        <v>12859</v>
      </c>
      <c r="F1911" t="s">
        <v>12858</v>
      </c>
      <c r="G1911" s="1">
        <v>33000000</v>
      </c>
      <c r="H1911" s="2">
        <v>33000000</v>
      </c>
      <c r="I1911" s="2">
        <v>33061505.219999999</v>
      </c>
      <c r="J1911" s="2">
        <v>139739.18</v>
      </c>
      <c r="K1911" s="2">
        <v>0</v>
      </c>
      <c r="L1911" s="2">
        <v>33201244.399999999</v>
      </c>
      <c r="M1911" s="3">
        <v>6.1993330000000002</v>
      </c>
      <c r="N1911" s="4">
        <v>7.5536409999999998E-2</v>
      </c>
      <c r="O1911" s="5">
        <v>45015</v>
      </c>
      <c r="P1911" s="5">
        <v>45015</v>
      </c>
      <c r="Q1911" s="1">
        <v>6.44</v>
      </c>
      <c r="R1911" s="2">
        <v>0.93</v>
      </c>
      <c r="S1911" s="6">
        <v>0.87820253481999999</v>
      </c>
      <c r="T1911" t="s">
        <v>111</v>
      </c>
      <c r="U1911" t="s">
        <v>11040</v>
      </c>
      <c r="V1911" t="s">
        <v>11041</v>
      </c>
      <c r="W1911" t="s">
        <v>43</v>
      </c>
      <c r="X1911" t="s">
        <v>11034</v>
      </c>
      <c r="Y1911" t="s">
        <v>44</v>
      </c>
      <c r="Z1911" t="s">
        <v>44</v>
      </c>
      <c r="AA1911" t="s">
        <v>10979</v>
      </c>
      <c r="AB1911" t="s">
        <v>44</v>
      </c>
      <c r="AC1911" s="4">
        <v>6.2127848300000004</v>
      </c>
      <c r="AD1911" s="4">
        <v>6.0425928500000001</v>
      </c>
      <c r="AE1911" s="2">
        <v>6.21</v>
      </c>
      <c r="AF1911" s="4">
        <v>6.0425928500000001</v>
      </c>
      <c r="AG1911" s="2">
        <v>15.5</v>
      </c>
      <c r="AH1911" s="2">
        <v>33201244.399999999</v>
      </c>
      <c r="AI1911" s="2">
        <v>0.08</v>
      </c>
      <c r="AJ1911" s="5">
        <v>44673</v>
      </c>
      <c r="AK1911" t="s">
        <v>12244</v>
      </c>
      <c r="AL1911" s="2">
        <v>6.12</v>
      </c>
      <c r="AM1911" s="2">
        <v>6.44</v>
      </c>
      <c r="AN1911" s="2">
        <v>0.88</v>
      </c>
      <c r="AO1911" t="s">
        <v>11165</v>
      </c>
      <c r="AP1911" t="s">
        <v>12860</v>
      </c>
      <c r="AQ1911" t="s">
        <v>12859</v>
      </c>
    </row>
    <row r="1912" spans="1:43" x14ac:dyDescent="0.2">
      <c r="A1912" t="s">
        <v>12243</v>
      </c>
      <c r="B1912" t="s">
        <v>11038</v>
      </c>
      <c r="C1912" t="s">
        <v>11039</v>
      </c>
      <c r="D1912" t="s">
        <v>11390</v>
      </c>
      <c r="E1912" t="s">
        <v>11391</v>
      </c>
      <c r="F1912" t="s">
        <v>11390</v>
      </c>
      <c r="G1912" s="1">
        <v>2500000</v>
      </c>
      <c r="H1912" s="2">
        <v>2413464.41</v>
      </c>
      <c r="I1912" s="2">
        <v>2413464.41</v>
      </c>
      <c r="J1912" s="2">
        <v>0</v>
      </c>
      <c r="K1912" s="2">
        <v>0</v>
      </c>
      <c r="L1912" s="2">
        <v>2413464.41</v>
      </c>
      <c r="M1912" s="3">
        <v>5.7867119999999996</v>
      </c>
      <c r="N1912" s="4">
        <v>5.49089E-3</v>
      </c>
      <c r="O1912" s="5" t="s">
        <v>44</v>
      </c>
      <c r="P1912" s="5">
        <v>44902</v>
      </c>
      <c r="Q1912" s="1">
        <v>0</v>
      </c>
      <c r="R1912" s="2">
        <v>0.62</v>
      </c>
      <c r="S1912" s="6">
        <v>0.59776029928999996</v>
      </c>
      <c r="T1912" t="s">
        <v>112</v>
      </c>
      <c r="U1912" t="s">
        <v>11040</v>
      </c>
      <c r="V1912" t="s">
        <v>11238</v>
      </c>
      <c r="W1912" t="s">
        <v>43</v>
      </c>
      <c r="X1912" t="s">
        <v>44</v>
      </c>
      <c r="Y1912" t="s">
        <v>44</v>
      </c>
      <c r="Z1912" t="s">
        <v>44</v>
      </c>
      <c r="AA1912" t="s">
        <v>10913</v>
      </c>
      <c r="AB1912" t="s">
        <v>44</v>
      </c>
      <c r="AC1912" s="4">
        <v>5.8501835199999999</v>
      </c>
      <c r="AD1912" s="4">
        <v>5.6989443299999998</v>
      </c>
      <c r="AE1912" s="2">
        <v>5.85</v>
      </c>
      <c r="AF1912" s="4">
        <v>5.6989443299999998</v>
      </c>
      <c r="AG1912" s="2">
        <v>1.1299999999999999</v>
      </c>
      <c r="AH1912" s="2">
        <v>2413464.41</v>
      </c>
      <c r="AI1912" s="2">
        <v>0.01</v>
      </c>
      <c r="AJ1912" s="5">
        <v>44673</v>
      </c>
      <c r="AK1912" t="s">
        <v>12244</v>
      </c>
      <c r="AL1912" s="2">
        <v>5.77</v>
      </c>
      <c r="AM1912" s="2">
        <v>0</v>
      </c>
      <c r="AN1912" s="2">
        <v>0.6</v>
      </c>
      <c r="AO1912" t="s">
        <v>10922</v>
      </c>
      <c r="AP1912" t="s">
        <v>11392</v>
      </c>
      <c r="AQ1912" t="s">
        <v>11391</v>
      </c>
    </row>
    <row r="1913" spans="1:43" x14ac:dyDescent="0.2">
      <c r="A1913" t="s">
        <v>12243</v>
      </c>
      <c r="B1913" t="s">
        <v>11038</v>
      </c>
      <c r="C1913" t="s">
        <v>11039</v>
      </c>
      <c r="D1913" t="s">
        <v>11396</v>
      </c>
      <c r="E1913" t="s">
        <v>11397</v>
      </c>
      <c r="F1913" t="s">
        <v>11396</v>
      </c>
      <c r="G1913" s="1">
        <v>2700000</v>
      </c>
      <c r="H1913" s="2">
        <v>2589987.02</v>
      </c>
      <c r="I1913" s="2">
        <v>2589987.02</v>
      </c>
      <c r="J1913" s="2">
        <v>0</v>
      </c>
      <c r="K1913" s="2">
        <v>0</v>
      </c>
      <c r="L1913" s="2">
        <v>2589987.02</v>
      </c>
      <c r="M1913" s="3">
        <v>5.9260000000000002</v>
      </c>
      <c r="N1913" s="4">
        <v>5.8925000000000002E-3</v>
      </c>
      <c r="O1913" s="5" t="s">
        <v>44</v>
      </c>
      <c r="P1913" s="5">
        <v>44937</v>
      </c>
      <c r="Q1913" s="1">
        <v>0</v>
      </c>
      <c r="R1913" s="2">
        <v>0.72</v>
      </c>
      <c r="S1913" s="6">
        <v>0.68599929861999998</v>
      </c>
      <c r="T1913" t="s">
        <v>112</v>
      </c>
      <c r="U1913" t="s">
        <v>11040</v>
      </c>
      <c r="V1913" t="s">
        <v>11238</v>
      </c>
      <c r="W1913" t="s">
        <v>43</v>
      </c>
      <c r="X1913" t="s">
        <v>44</v>
      </c>
      <c r="Y1913" t="s">
        <v>44</v>
      </c>
      <c r="Z1913" t="s">
        <v>44</v>
      </c>
      <c r="AA1913" t="s">
        <v>10913</v>
      </c>
      <c r="AB1913" t="s">
        <v>44</v>
      </c>
      <c r="AC1913" s="4">
        <v>5.9756128500000001</v>
      </c>
      <c r="AD1913" s="4">
        <v>5.8179395100000004</v>
      </c>
      <c r="AE1913" s="2">
        <v>5.98</v>
      </c>
      <c r="AF1913" s="4">
        <v>5.8179395100000004</v>
      </c>
      <c r="AG1913" s="2">
        <v>1.21</v>
      </c>
      <c r="AH1913" s="2">
        <v>2589987.02</v>
      </c>
      <c r="AI1913" s="2">
        <v>0.01</v>
      </c>
      <c r="AJ1913" s="5">
        <v>44673</v>
      </c>
      <c r="AK1913" t="s">
        <v>12244</v>
      </c>
      <c r="AL1913" s="2">
        <v>5.89</v>
      </c>
      <c r="AM1913" s="2">
        <v>0</v>
      </c>
      <c r="AN1913" s="2">
        <v>0.69</v>
      </c>
      <c r="AO1913" t="s">
        <v>10922</v>
      </c>
      <c r="AP1913" t="s">
        <v>11398</v>
      </c>
      <c r="AQ1913" t="s">
        <v>11397</v>
      </c>
    </row>
    <row r="1914" spans="1:43" x14ac:dyDescent="0.2">
      <c r="A1914" t="s">
        <v>12243</v>
      </c>
      <c r="B1914" t="s">
        <v>11038</v>
      </c>
      <c r="C1914" t="s">
        <v>11039</v>
      </c>
      <c r="D1914" t="s">
        <v>11399</v>
      </c>
      <c r="E1914" t="s">
        <v>11400</v>
      </c>
      <c r="F1914" t="s">
        <v>11399</v>
      </c>
      <c r="G1914" s="1">
        <v>5800000</v>
      </c>
      <c r="H1914" s="2">
        <v>5627060.9500000002</v>
      </c>
      <c r="I1914" s="2">
        <v>5627060.9500000002</v>
      </c>
      <c r="J1914" s="2">
        <v>0</v>
      </c>
      <c r="K1914" s="2">
        <v>0</v>
      </c>
      <c r="L1914" s="2">
        <v>5627060.9500000002</v>
      </c>
      <c r="M1914" s="3">
        <v>5.4191849999999997</v>
      </c>
      <c r="N1914" s="4">
        <v>1.280217E-2</v>
      </c>
      <c r="O1914" s="5" t="s">
        <v>44</v>
      </c>
      <c r="P1914" s="5">
        <v>44881</v>
      </c>
      <c r="Q1914" s="1">
        <v>0</v>
      </c>
      <c r="R1914" s="2">
        <v>0.56000000000000005</v>
      </c>
      <c r="S1914" s="6">
        <v>0.54505428138000001</v>
      </c>
      <c r="T1914" t="s">
        <v>112</v>
      </c>
      <c r="U1914" t="s">
        <v>11040</v>
      </c>
      <c r="V1914" t="s">
        <v>11238</v>
      </c>
      <c r="W1914" t="s">
        <v>43</v>
      </c>
      <c r="X1914" t="s">
        <v>44</v>
      </c>
      <c r="Y1914" t="s">
        <v>44</v>
      </c>
      <c r="Z1914" t="s">
        <v>44</v>
      </c>
      <c r="AA1914" t="s">
        <v>10913</v>
      </c>
      <c r="AB1914" t="s">
        <v>44</v>
      </c>
      <c r="AC1914" s="4">
        <v>5.4834100699999997</v>
      </c>
      <c r="AD1914" s="4">
        <v>5.3502421900000003</v>
      </c>
      <c r="AE1914" s="2">
        <v>5.48</v>
      </c>
      <c r="AF1914" s="4">
        <v>5.3502421900000003</v>
      </c>
      <c r="AG1914" s="2">
        <v>2.63</v>
      </c>
      <c r="AH1914" s="2">
        <v>5627060.9500000002</v>
      </c>
      <c r="AI1914" s="2">
        <v>0.01</v>
      </c>
      <c r="AJ1914" s="5">
        <v>44673</v>
      </c>
      <c r="AK1914" t="s">
        <v>12244</v>
      </c>
      <c r="AL1914" s="2">
        <v>5.41</v>
      </c>
      <c r="AM1914" s="2">
        <v>0</v>
      </c>
      <c r="AN1914" s="2">
        <v>0.55000000000000004</v>
      </c>
      <c r="AO1914" t="s">
        <v>10922</v>
      </c>
      <c r="AP1914" t="s">
        <v>11401</v>
      </c>
      <c r="AQ1914" t="s">
        <v>11400</v>
      </c>
    </row>
    <row r="1915" spans="1:43" x14ac:dyDescent="0.2">
      <c r="A1915" t="s">
        <v>12243</v>
      </c>
      <c r="B1915" t="s">
        <v>11038</v>
      </c>
      <c r="C1915" t="s">
        <v>11039</v>
      </c>
      <c r="D1915" t="s">
        <v>11405</v>
      </c>
      <c r="E1915" t="s">
        <v>11406</v>
      </c>
      <c r="F1915" t="s">
        <v>11405</v>
      </c>
      <c r="G1915" s="1">
        <v>10300000</v>
      </c>
      <c r="H1915" s="2">
        <v>9978519.5099999998</v>
      </c>
      <c r="I1915" s="2">
        <v>9978519.5099999998</v>
      </c>
      <c r="J1915" s="2">
        <v>0</v>
      </c>
      <c r="K1915" s="2">
        <v>0</v>
      </c>
      <c r="L1915" s="2">
        <v>9978519.5099999998</v>
      </c>
      <c r="M1915" s="3">
        <v>5.5672899999999998</v>
      </c>
      <c r="N1915" s="4">
        <v>2.270221E-2</v>
      </c>
      <c r="O1915" s="5" t="s">
        <v>44</v>
      </c>
      <c r="P1915" s="5">
        <v>44888</v>
      </c>
      <c r="Q1915" s="1">
        <v>0</v>
      </c>
      <c r="R1915" s="2">
        <v>0.57999999999999996</v>
      </c>
      <c r="S1915" s="6">
        <v>0.56262873229999999</v>
      </c>
      <c r="T1915" t="s">
        <v>112</v>
      </c>
      <c r="U1915" t="s">
        <v>11040</v>
      </c>
      <c r="V1915" t="s">
        <v>11238</v>
      </c>
      <c r="W1915" t="s">
        <v>43</v>
      </c>
      <c r="X1915" t="s">
        <v>44</v>
      </c>
      <c r="Y1915" t="s">
        <v>44</v>
      </c>
      <c r="Z1915" t="s">
        <v>44</v>
      </c>
      <c r="AA1915" t="s">
        <v>10913</v>
      </c>
      <c r="AB1915" t="s">
        <v>44</v>
      </c>
      <c r="AC1915" s="4">
        <v>5.6320586500000003</v>
      </c>
      <c r="AD1915" s="4">
        <v>5.4917004399999998</v>
      </c>
      <c r="AE1915" s="2">
        <v>5.63</v>
      </c>
      <c r="AF1915" s="4">
        <v>5.4917004399999998</v>
      </c>
      <c r="AG1915" s="2">
        <v>4.66</v>
      </c>
      <c r="AH1915" s="2">
        <v>9978519.5099999998</v>
      </c>
      <c r="AI1915" s="2">
        <v>0.02</v>
      </c>
      <c r="AJ1915" s="5">
        <v>44673</v>
      </c>
      <c r="AK1915" t="s">
        <v>12244</v>
      </c>
      <c r="AL1915" s="2">
        <v>5.55</v>
      </c>
      <c r="AM1915" s="2">
        <v>0</v>
      </c>
      <c r="AN1915" s="2">
        <v>0.56000000000000005</v>
      </c>
      <c r="AO1915" t="s">
        <v>10922</v>
      </c>
      <c r="AP1915" t="s">
        <v>11407</v>
      </c>
      <c r="AQ1915" t="s">
        <v>11406</v>
      </c>
    </row>
    <row r="1916" spans="1:43" x14ac:dyDescent="0.2">
      <c r="A1916" t="s">
        <v>12243</v>
      </c>
      <c r="B1916" t="s">
        <v>11038</v>
      </c>
      <c r="C1916" t="s">
        <v>11039</v>
      </c>
      <c r="D1916" t="s">
        <v>12727</v>
      </c>
      <c r="E1916" t="s">
        <v>12728</v>
      </c>
      <c r="F1916" t="s">
        <v>12727</v>
      </c>
      <c r="G1916" s="1">
        <v>20000000</v>
      </c>
      <c r="H1916" s="2">
        <v>20000000</v>
      </c>
      <c r="I1916" s="2">
        <v>20021430.43</v>
      </c>
      <c r="J1916" s="2">
        <v>124273.97</v>
      </c>
      <c r="K1916" s="2">
        <v>0</v>
      </c>
      <c r="L1916" s="2">
        <v>20145704.399999999</v>
      </c>
      <c r="M1916" s="3">
        <v>6.1328639999999996</v>
      </c>
      <c r="N1916" s="4">
        <v>4.5833649999999997E-2</v>
      </c>
      <c r="O1916" s="5">
        <v>45001</v>
      </c>
      <c r="P1916" s="5">
        <v>45001</v>
      </c>
      <c r="Q1916" s="1">
        <v>6.3</v>
      </c>
      <c r="R1916" s="2">
        <v>0.89</v>
      </c>
      <c r="S1916" s="6">
        <v>0.84430539241000002</v>
      </c>
      <c r="T1916" t="s">
        <v>111</v>
      </c>
      <c r="U1916" t="s">
        <v>11040</v>
      </c>
      <c r="V1916" t="s">
        <v>11041</v>
      </c>
      <c r="W1916" t="s">
        <v>43</v>
      </c>
      <c r="X1916" t="s">
        <v>11034</v>
      </c>
      <c r="Y1916" t="s">
        <v>44</v>
      </c>
      <c r="Z1916" t="s">
        <v>44</v>
      </c>
      <c r="AA1916" t="s">
        <v>10979</v>
      </c>
      <c r="AB1916" t="s">
        <v>44</v>
      </c>
      <c r="AC1916" s="4">
        <v>6.1531520899999999</v>
      </c>
      <c r="AD1916" s="4">
        <v>5.9861510000000004</v>
      </c>
      <c r="AE1916" s="2">
        <v>6.15</v>
      </c>
      <c r="AF1916" s="4">
        <v>5.9861510000000004</v>
      </c>
      <c r="AG1916" s="2">
        <v>9.41</v>
      </c>
      <c r="AH1916" s="2">
        <v>20145704.399999999</v>
      </c>
      <c r="AI1916" s="2">
        <v>0.05</v>
      </c>
      <c r="AJ1916" s="5">
        <v>44673</v>
      </c>
      <c r="AK1916" t="s">
        <v>12244</v>
      </c>
      <c r="AL1916" s="2">
        <v>6.06</v>
      </c>
      <c r="AM1916" s="2">
        <v>6.3</v>
      </c>
      <c r="AN1916" s="2">
        <v>0.84</v>
      </c>
      <c r="AO1916" t="s">
        <v>11179</v>
      </c>
      <c r="AP1916" t="s">
        <v>12729</v>
      </c>
      <c r="AQ1916" t="s">
        <v>12728</v>
      </c>
    </row>
    <row r="1917" spans="1:43" x14ac:dyDescent="0.2">
      <c r="A1917" t="s">
        <v>12243</v>
      </c>
      <c r="B1917" t="s">
        <v>11408</v>
      </c>
      <c r="C1917" t="s">
        <v>11408</v>
      </c>
      <c r="D1917" t="s">
        <v>12101</v>
      </c>
      <c r="E1917" t="s">
        <v>12102</v>
      </c>
      <c r="F1917" t="s">
        <v>12103</v>
      </c>
      <c r="G1917" s="1">
        <v>9145.6322999999993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3"/>
      <c r="N1917" s="4">
        <v>0</v>
      </c>
      <c r="O1917" s="5" t="s">
        <v>44</v>
      </c>
      <c r="P1917" s="5">
        <v>44777</v>
      </c>
      <c r="Q1917" s="1">
        <v>0</v>
      </c>
      <c r="R1917" s="2"/>
      <c r="S1917" s="6"/>
      <c r="T1917" t="s">
        <v>11412</v>
      </c>
      <c r="U1917" t="s">
        <v>11413</v>
      </c>
      <c r="V1917" t="s">
        <v>11414</v>
      </c>
      <c r="W1917" t="s">
        <v>43</v>
      </c>
      <c r="X1917" t="s">
        <v>44</v>
      </c>
      <c r="Y1917" t="s">
        <v>44</v>
      </c>
      <c r="Z1917" t="s">
        <v>44</v>
      </c>
      <c r="AA1917" t="s">
        <v>44</v>
      </c>
      <c r="AB1917" t="s">
        <v>44</v>
      </c>
      <c r="AC1917" s="4"/>
      <c r="AD1917" s="4"/>
      <c r="AE1917" s="2">
        <v>0</v>
      </c>
      <c r="AF1917" s="4">
        <v>0</v>
      </c>
      <c r="AG1917" s="2">
        <v>0</v>
      </c>
      <c r="AH1917" s="2">
        <v>0</v>
      </c>
      <c r="AI1917" s="2">
        <v>0</v>
      </c>
      <c r="AJ1917" s="5">
        <v>44673</v>
      </c>
      <c r="AK1917" t="s">
        <v>12244</v>
      </c>
      <c r="AL1917" s="2">
        <v>0</v>
      </c>
      <c r="AM1917" s="2">
        <v>0</v>
      </c>
      <c r="AN1917" s="2">
        <v>0</v>
      </c>
      <c r="AO1917" t="s">
        <v>44</v>
      </c>
      <c r="AP1917" t="s">
        <v>44</v>
      </c>
      <c r="AQ1917" t="s">
        <v>44</v>
      </c>
    </row>
    <row r="1918" spans="1:43" x14ac:dyDescent="0.2">
      <c r="A1918" t="s">
        <v>12243</v>
      </c>
      <c r="B1918" t="s">
        <v>11408</v>
      </c>
      <c r="C1918" t="s">
        <v>11408</v>
      </c>
      <c r="D1918" t="s">
        <v>12104</v>
      </c>
      <c r="E1918" t="s">
        <v>12102</v>
      </c>
      <c r="F1918" t="s">
        <v>12105</v>
      </c>
      <c r="G1918" s="1">
        <v>-102745416.58</v>
      </c>
      <c r="H1918" s="2">
        <v>0</v>
      </c>
      <c r="I1918" s="2">
        <v>0</v>
      </c>
      <c r="J1918" s="2">
        <v>-272345.73</v>
      </c>
      <c r="K1918" s="2">
        <v>0</v>
      </c>
      <c r="L1918" s="2">
        <v>-272345.73</v>
      </c>
      <c r="M1918" s="3"/>
      <c r="N1918" s="4">
        <v>-6.1961999999999998E-4</v>
      </c>
      <c r="O1918" s="5" t="s">
        <v>44</v>
      </c>
      <c r="P1918" s="5">
        <v>44777</v>
      </c>
      <c r="Q1918" s="1">
        <v>0</v>
      </c>
      <c r="R1918" s="2"/>
      <c r="S1918" s="6"/>
      <c r="T1918" t="s">
        <v>11412</v>
      </c>
      <c r="U1918" t="s">
        <v>11413</v>
      </c>
      <c r="V1918" t="s">
        <v>11414</v>
      </c>
      <c r="W1918" t="s">
        <v>43</v>
      </c>
      <c r="X1918" t="s">
        <v>44</v>
      </c>
      <c r="Y1918" t="s">
        <v>44</v>
      </c>
      <c r="Z1918" t="s">
        <v>44</v>
      </c>
      <c r="AA1918" t="s">
        <v>44</v>
      </c>
      <c r="AB1918" t="s">
        <v>44</v>
      </c>
      <c r="AC1918" s="4"/>
      <c r="AD1918" s="4"/>
      <c r="AE1918" s="2">
        <v>0</v>
      </c>
      <c r="AF1918" s="4">
        <v>0</v>
      </c>
      <c r="AG1918" s="2">
        <v>-0.13</v>
      </c>
      <c r="AH1918" s="2">
        <v>-103017762.31</v>
      </c>
      <c r="AI1918" s="2">
        <v>-0.23</v>
      </c>
      <c r="AJ1918" s="5">
        <v>44673</v>
      </c>
      <c r="AK1918" t="s">
        <v>12244</v>
      </c>
      <c r="AL1918" s="2">
        <v>0</v>
      </c>
      <c r="AM1918" s="2">
        <v>0</v>
      </c>
      <c r="AN1918" s="2">
        <v>0</v>
      </c>
      <c r="AO1918" t="s">
        <v>44</v>
      </c>
      <c r="AP1918" t="s">
        <v>44</v>
      </c>
      <c r="AQ1918" t="s">
        <v>44</v>
      </c>
    </row>
    <row r="1919" spans="1:43" x14ac:dyDescent="0.2">
      <c r="A1919" t="s">
        <v>12243</v>
      </c>
      <c r="B1919" t="s">
        <v>11408</v>
      </c>
      <c r="C1919" t="s">
        <v>11408</v>
      </c>
      <c r="D1919" t="s">
        <v>12106</v>
      </c>
      <c r="E1919" t="s">
        <v>12102</v>
      </c>
      <c r="F1919" t="s">
        <v>12107</v>
      </c>
      <c r="G1919" s="1">
        <v>9145.6322999999993</v>
      </c>
      <c r="H1919" s="2">
        <v>0</v>
      </c>
      <c r="I1919" s="2">
        <v>-4266894.7300000004</v>
      </c>
      <c r="J1919" s="2">
        <v>0</v>
      </c>
      <c r="K1919" s="2">
        <v>0</v>
      </c>
      <c r="L1919" s="2">
        <v>-4266894.7300000004</v>
      </c>
      <c r="M1919" s="3">
        <v>10767.82</v>
      </c>
      <c r="N1919" s="4">
        <v>-9.70764E-3</v>
      </c>
      <c r="O1919" s="5" t="s">
        <v>44</v>
      </c>
      <c r="P1919" s="5">
        <v>44777</v>
      </c>
      <c r="Q1919" s="1">
        <v>0</v>
      </c>
      <c r="R1919" s="2"/>
      <c r="S1919" s="6"/>
      <c r="T1919" t="s">
        <v>11412</v>
      </c>
      <c r="U1919" t="s">
        <v>11413</v>
      </c>
      <c r="V1919" t="s">
        <v>11414</v>
      </c>
      <c r="W1919" t="s">
        <v>43</v>
      </c>
      <c r="X1919" t="s">
        <v>44</v>
      </c>
      <c r="Y1919" t="s">
        <v>44</v>
      </c>
      <c r="Z1919" t="s">
        <v>44</v>
      </c>
      <c r="AA1919" t="s">
        <v>44</v>
      </c>
      <c r="AB1919" t="s">
        <v>44</v>
      </c>
      <c r="AC1919" s="4"/>
      <c r="AD1919" s="4"/>
      <c r="AE1919" s="2">
        <v>0</v>
      </c>
      <c r="AF1919" s="4">
        <v>0</v>
      </c>
      <c r="AG1919" s="2">
        <v>-1.99</v>
      </c>
      <c r="AH1919" s="2">
        <v>98478521.849999994</v>
      </c>
      <c r="AI1919" s="2">
        <v>0.22</v>
      </c>
      <c r="AJ1919" s="5">
        <v>44673</v>
      </c>
      <c r="AK1919" t="s">
        <v>12244</v>
      </c>
      <c r="AL1919" s="2">
        <v>0</v>
      </c>
      <c r="AM1919" s="2">
        <v>0</v>
      </c>
      <c r="AN1919" s="2">
        <v>0</v>
      </c>
      <c r="AO1919" t="s">
        <v>44</v>
      </c>
      <c r="AP1919" t="s">
        <v>44</v>
      </c>
      <c r="AQ1919" t="s">
        <v>44</v>
      </c>
    </row>
    <row r="1920" spans="1:43" x14ac:dyDescent="0.2">
      <c r="A1920" t="s">
        <v>12243</v>
      </c>
      <c r="B1920" t="s">
        <v>11030</v>
      </c>
      <c r="C1920" t="s">
        <v>11030</v>
      </c>
      <c r="D1920" t="s">
        <v>11181</v>
      </c>
      <c r="E1920" t="s">
        <v>11151</v>
      </c>
      <c r="F1920" t="s">
        <v>11181</v>
      </c>
      <c r="G1920" s="1">
        <v>50</v>
      </c>
      <c r="H1920" s="2"/>
      <c r="I1920" s="2">
        <v>0</v>
      </c>
      <c r="J1920" s="2"/>
      <c r="K1920" s="2"/>
      <c r="L1920" s="2">
        <v>0</v>
      </c>
      <c r="M1920" s="3"/>
      <c r="N1920" s="4">
        <v>0</v>
      </c>
      <c r="O1920" s="5" t="s">
        <v>44</v>
      </c>
      <c r="P1920" s="5" t="s">
        <v>44</v>
      </c>
      <c r="Q1920" s="1"/>
      <c r="R1920" s="2"/>
      <c r="S1920" s="6"/>
      <c r="T1920" t="s">
        <v>11031</v>
      </c>
      <c r="U1920" t="s">
        <v>11032</v>
      </c>
      <c r="V1920" t="s">
        <v>45</v>
      </c>
      <c r="W1920" t="s">
        <v>43</v>
      </c>
      <c r="X1920" t="s">
        <v>44</v>
      </c>
      <c r="Y1920" t="s">
        <v>44</v>
      </c>
      <c r="Z1920" t="s">
        <v>44</v>
      </c>
      <c r="AA1920" t="s">
        <v>44</v>
      </c>
      <c r="AB1920" t="s">
        <v>44</v>
      </c>
      <c r="AC1920" s="4"/>
      <c r="AD1920" s="4"/>
      <c r="AE1920" s="2">
        <v>0</v>
      </c>
      <c r="AF1920" s="4">
        <v>0</v>
      </c>
      <c r="AG1920" s="2">
        <v>0</v>
      </c>
      <c r="AH1920" s="2">
        <v>-32852000</v>
      </c>
      <c r="AI1920" s="2">
        <v>-7.0000000000000007E-2</v>
      </c>
      <c r="AJ1920" s="5">
        <v>44673</v>
      </c>
      <c r="AK1920" t="s">
        <v>12244</v>
      </c>
      <c r="AL1920" s="2">
        <v>0</v>
      </c>
      <c r="AM1920" s="2">
        <v>0</v>
      </c>
      <c r="AN1920" s="2">
        <v>0</v>
      </c>
      <c r="AO1920" t="s">
        <v>44</v>
      </c>
      <c r="AP1920" t="s">
        <v>44</v>
      </c>
      <c r="AQ1920" t="s">
        <v>11182</v>
      </c>
    </row>
    <row r="1921" spans="1:43" x14ac:dyDescent="0.2">
      <c r="A1921" t="s">
        <v>11126</v>
      </c>
      <c r="B1921" t="s">
        <v>10900</v>
      </c>
      <c r="C1921" t="s">
        <v>10943</v>
      </c>
      <c r="D1921" t="s">
        <v>10977</v>
      </c>
      <c r="E1921" t="s">
        <v>10978</v>
      </c>
      <c r="F1921" t="s">
        <v>10977</v>
      </c>
      <c r="G1921" s="1">
        <v>213840</v>
      </c>
      <c r="H1921" s="2">
        <v>214023.14</v>
      </c>
      <c r="I1921" s="2">
        <v>200982.27</v>
      </c>
      <c r="J1921" s="2">
        <v>9841.5300000000007</v>
      </c>
      <c r="K1921" s="2">
        <v>0</v>
      </c>
      <c r="L1921" s="2">
        <v>210823.8</v>
      </c>
      <c r="M1921" s="3">
        <v>11.88</v>
      </c>
      <c r="N1921" s="4">
        <v>4.7964999999999998E-4</v>
      </c>
      <c r="O1921" s="5">
        <v>44697</v>
      </c>
      <c r="P1921" s="5">
        <v>46888</v>
      </c>
      <c r="Q1921" s="1">
        <v>10.565</v>
      </c>
      <c r="R1921" s="2">
        <v>4.7300000000000004</v>
      </c>
      <c r="S1921" s="6">
        <v>4.4668326030000003</v>
      </c>
      <c r="T1921" t="s">
        <v>111</v>
      </c>
      <c r="U1921" t="s">
        <v>111</v>
      </c>
      <c r="V1921" t="s">
        <v>10944</v>
      </c>
      <c r="W1921" t="s">
        <v>43</v>
      </c>
      <c r="X1921" t="s">
        <v>44</v>
      </c>
      <c r="Y1921" t="s">
        <v>44</v>
      </c>
      <c r="Z1921" t="s">
        <v>44</v>
      </c>
      <c r="AA1921" t="s">
        <v>10979</v>
      </c>
      <c r="AB1921" t="s">
        <v>44</v>
      </c>
      <c r="AC1921" s="4">
        <v>12.232836000000001</v>
      </c>
      <c r="AD1921" s="4">
        <v>11.596213730000001</v>
      </c>
      <c r="AE1921" s="2">
        <v>12.23</v>
      </c>
      <c r="AF1921" s="4">
        <v>11.596213730000001</v>
      </c>
      <c r="AG1921" s="2">
        <v>0.11</v>
      </c>
      <c r="AH1921" s="2">
        <v>210823.8</v>
      </c>
      <c r="AI1921" s="2">
        <v>0</v>
      </c>
      <c r="AJ1921" s="5">
        <v>44673</v>
      </c>
      <c r="AK1921" t="s">
        <v>11127</v>
      </c>
      <c r="AL1921" s="2">
        <v>11.88</v>
      </c>
      <c r="AM1921" s="2">
        <v>10.56</v>
      </c>
      <c r="AN1921" s="2">
        <v>4.47</v>
      </c>
      <c r="AO1921" t="s">
        <v>10980</v>
      </c>
      <c r="AP1921" t="s">
        <v>10981</v>
      </c>
      <c r="AQ1921" t="s">
        <v>10978</v>
      </c>
    </row>
    <row r="1922" spans="1:43" x14ac:dyDescent="0.2">
      <c r="A1922" t="s">
        <v>11126</v>
      </c>
      <c r="B1922" t="s">
        <v>10900</v>
      </c>
      <c r="C1922" t="s">
        <v>10950</v>
      </c>
      <c r="D1922" t="s">
        <v>11141</v>
      </c>
      <c r="E1922" t="s">
        <v>11142</v>
      </c>
      <c r="F1922" t="s">
        <v>11141</v>
      </c>
      <c r="G1922" s="1">
        <v>31900000</v>
      </c>
      <c r="H1922" s="2">
        <v>25698010.190000001</v>
      </c>
      <c r="I1922" s="2">
        <v>26221366.16</v>
      </c>
      <c r="J1922" s="2">
        <v>422517.34</v>
      </c>
      <c r="K1922" s="2">
        <v>0</v>
      </c>
      <c r="L1922" s="2">
        <v>26643883.5</v>
      </c>
      <c r="M1922" s="3">
        <v>10.805</v>
      </c>
      <c r="N1922" s="4">
        <v>6.0617699999999997E-2</v>
      </c>
      <c r="O1922" s="5">
        <v>44804</v>
      </c>
      <c r="P1922" s="5">
        <v>54116</v>
      </c>
      <c r="Q1922" s="1">
        <v>8.75</v>
      </c>
      <c r="R1922" s="2">
        <v>9.2200000000000006</v>
      </c>
      <c r="S1922" s="6">
        <v>8.7507641760000006</v>
      </c>
      <c r="T1922" t="s">
        <v>111</v>
      </c>
      <c r="U1922" t="s">
        <v>111</v>
      </c>
      <c r="V1922" t="s">
        <v>10944</v>
      </c>
      <c r="W1922" t="s">
        <v>43</v>
      </c>
      <c r="X1922" t="s">
        <v>10945</v>
      </c>
      <c r="Y1922" t="s">
        <v>44</v>
      </c>
      <c r="Z1922" t="s">
        <v>44</v>
      </c>
      <c r="AA1922" t="s">
        <v>10913</v>
      </c>
      <c r="AB1922" t="s">
        <v>44</v>
      </c>
      <c r="AC1922" s="4">
        <v>11.096870060000001</v>
      </c>
      <c r="AD1922" s="4">
        <v>10.56950999</v>
      </c>
      <c r="AE1922" s="2">
        <v>11.1</v>
      </c>
      <c r="AF1922" s="4">
        <v>10.56950999</v>
      </c>
      <c r="AG1922" s="2">
        <v>13.72</v>
      </c>
      <c r="AH1922" s="2">
        <v>26643883.5</v>
      </c>
      <c r="AI1922" s="2">
        <v>0.06</v>
      </c>
      <c r="AJ1922" s="5">
        <v>44673</v>
      </c>
      <c r="AK1922" t="s">
        <v>11127</v>
      </c>
      <c r="AL1922" s="2">
        <v>10.8</v>
      </c>
      <c r="AM1922" s="2">
        <v>8.75</v>
      </c>
      <c r="AN1922" s="2">
        <v>8.75</v>
      </c>
      <c r="AO1922" t="s">
        <v>10922</v>
      </c>
      <c r="AP1922" t="s">
        <v>11143</v>
      </c>
      <c r="AQ1922" t="s">
        <v>11142</v>
      </c>
    </row>
    <row r="1923" spans="1:43" x14ac:dyDescent="0.2">
      <c r="A1923" t="s">
        <v>11126</v>
      </c>
      <c r="B1923" t="s">
        <v>10900</v>
      </c>
      <c r="C1923" t="s">
        <v>10950</v>
      </c>
      <c r="D1923" t="s">
        <v>10983</v>
      </c>
      <c r="E1923" t="s">
        <v>10984</v>
      </c>
      <c r="F1923" t="s">
        <v>10983</v>
      </c>
      <c r="G1923" s="1">
        <v>30370000</v>
      </c>
      <c r="H1923" s="2">
        <v>25663063.609999999</v>
      </c>
      <c r="I1923" s="2">
        <v>25393344.030000001</v>
      </c>
      <c r="J1923" s="2">
        <v>570860.26</v>
      </c>
      <c r="K1923" s="2">
        <v>0</v>
      </c>
      <c r="L1923" s="2">
        <v>25964204.289999999</v>
      </c>
      <c r="M1923" s="3">
        <v>10.734999999999999</v>
      </c>
      <c r="N1923" s="4">
        <v>5.9071360000000003E-2</v>
      </c>
      <c r="O1923" s="5">
        <v>44774</v>
      </c>
      <c r="P1923" s="5">
        <v>50071</v>
      </c>
      <c r="Q1923" s="1">
        <v>8.5</v>
      </c>
      <c r="R1923" s="2">
        <v>7.91</v>
      </c>
      <c r="S1923" s="6">
        <v>7.5106016819999999</v>
      </c>
      <c r="T1923" t="s">
        <v>111</v>
      </c>
      <c r="U1923" t="s">
        <v>111</v>
      </c>
      <c r="V1923" t="s">
        <v>10944</v>
      </c>
      <c r="W1923" t="s">
        <v>43</v>
      </c>
      <c r="X1923" t="s">
        <v>10945</v>
      </c>
      <c r="Y1923" t="s">
        <v>44</v>
      </c>
      <c r="Z1923" t="s">
        <v>44</v>
      </c>
      <c r="AA1923" t="s">
        <v>10913</v>
      </c>
      <c r="AB1923" t="s">
        <v>44</v>
      </c>
      <c r="AC1923" s="4">
        <v>11.02310056</v>
      </c>
      <c r="AD1923" s="4">
        <v>10.50250368</v>
      </c>
      <c r="AE1923" s="2">
        <v>11.02</v>
      </c>
      <c r="AF1923" s="4">
        <v>10.50250368</v>
      </c>
      <c r="AG1923" s="2">
        <v>13.37</v>
      </c>
      <c r="AH1923" s="2">
        <v>25964204.289999999</v>
      </c>
      <c r="AI1923" s="2">
        <v>0.06</v>
      </c>
      <c r="AJ1923" s="5">
        <v>44673</v>
      </c>
      <c r="AK1923" t="s">
        <v>11127</v>
      </c>
      <c r="AL1923" s="2">
        <v>10.73</v>
      </c>
      <c r="AM1923" s="2">
        <v>8.5</v>
      </c>
      <c r="AN1923" s="2">
        <v>7.51</v>
      </c>
      <c r="AO1923" t="s">
        <v>10922</v>
      </c>
      <c r="AP1923" t="s">
        <v>10985</v>
      </c>
      <c r="AQ1923" t="s">
        <v>10984</v>
      </c>
    </row>
    <row r="1924" spans="1:43" x14ac:dyDescent="0.2">
      <c r="A1924" t="s">
        <v>11126</v>
      </c>
      <c r="B1924" t="s">
        <v>10900</v>
      </c>
      <c r="C1924" t="s">
        <v>10950</v>
      </c>
      <c r="D1924" t="s">
        <v>10986</v>
      </c>
      <c r="E1924" t="s">
        <v>10987</v>
      </c>
      <c r="F1924" t="s">
        <v>10986</v>
      </c>
      <c r="G1924" s="1">
        <v>200000</v>
      </c>
      <c r="H1924" s="2">
        <v>184952.75</v>
      </c>
      <c r="I1924" s="2">
        <v>180885.22</v>
      </c>
      <c r="J1924" s="2">
        <v>824.66</v>
      </c>
      <c r="K1924" s="2">
        <v>0</v>
      </c>
      <c r="L1924" s="2">
        <v>181709.88</v>
      </c>
      <c r="M1924" s="3">
        <v>12.05</v>
      </c>
      <c r="N1924" s="4">
        <v>4.1341000000000001E-4</v>
      </c>
      <c r="O1924" s="5">
        <v>44844</v>
      </c>
      <c r="P1924" s="5">
        <v>51418</v>
      </c>
      <c r="Q1924" s="1">
        <v>10.75</v>
      </c>
      <c r="R1924" s="2">
        <v>7.89</v>
      </c>
      <c r="S1924" s="6">
        <v>7.4432483840000003</v>
      </c>
      <c r="T1924" t="s">
        <v>111</v>
      </c>
      <c r="U1924" t="s">
        <v>111</v>
      </c>
      <c r="V1924" t="s">
        <v>10944</v>
      </c>
      <c r="W1924" t="s">
        <v>43</v>
      </c>
      <c r="X1924" t="s">
        <v>10988</v>
      </c>
      <c r="Y1924" t="s">
        <v>44</v>
      </c>
      <c r="Z1924" t="s">
        <v>44</v>
      </c>
      <c r="AA1924" t="s">
        <v>10979</v>
      </c>
      <c r="AB1924" t="s">
        <v>44</v>
      </c>
      <c r="AC1924" s="4">
        <v>12.41300625</v>
      </c>
      <c r="AD1924" s="4">
        <v>11.758178470000001</v>
      </c>
      <c r="AE1924" s="2">
        <v>12.41</v>
      </c>
      <c r="AF1924" s="4">
        <v>11.758178470000001</v>
      </c>
      <c r="AG1924" s="2">
        <v>0.09</v>
      </c>
      <c r="AH1924" s="2">
        <v>181709.88</v>
      </c>
      <c r="AI1924" s="2">
        <v>0</v>
      </c>
      <c r="AJ1924" s="5">
        <v>44673</v>
      </c>
      <c r="AK1924" t="s">
        <v>11127</v>
      </c>
      <c r="AL1924" s="2">
        <v>12.05</v>
      </c>
      <c r="AM1924" s="2">
        <v>10.75</v>
      </c>
      <c r="AN1924" s="2">
        <v>7.44</v>
      </c>
      <c r="AO1924" t="s">
        <v>10982</v>
      </c>
      <c r="AP1924" t="s">
        <v>10989</v>
      </c>
      <c r="AQ1924" t="s">
        <v>10987</v>
      </c>
    </row>
    <row r="1925" spans="1:43" x14ac:dyDescent="0.2">
      <c r="A1925" t="s">
        <v>11126</v>
      </c>
      <c r="B1925" t="s">
        <v>10900</v>
      </c>
      <c r="C1925" t="s">
        <v>10990</v>
      </c>
      <c r="D1925" t="s">
        <v>10991</v>
      </c>
      <c r="E1925" t="s">
        <v>1153</v>
      </c>
      <c r="F1925" t="s">
        <v>10991</v>
      </c>
      <c r="G1925" s="1">
        <v>980000</v>
      </c>
      <c r="H1925" s="2">
        <v>1247364.98</v>
      </c>
      <c r="I1925" s="2">
        <v>1267245.9099999999</v>
      </c>
      <c r="J1925" s="2">
        <v>7937.23</v>
      </c>
      <c r="K1925" s="2">
        <v>0</v>
      </c>
      <c r="L1925" s="2">
        <v>1275183.1399999999</v>
      </c>
      <c r="M1925" s="3">
        <v>3.9</v>
      </c>
      <c r="N1925" s="4">
        <v>2.9011800000000002E-3</v>
      </c>
      <c r="O1925" s="5">
        <v>44774</v>
      </c>
      <c r="P1925" s="5">
        <v>50436</v>
      </c>
      <c r="Q1925" s="1">
        <v>2.25</v>
      </c>
      <c r="R1925" s="2">
        <v>12.94</v>
      </c>
      <c r="S1925" s="6">
        <v>12.689805079999999</v>
      </c>
      <c r="T1925" t="s">
        <v>111</v>
      </c>
      <c r="U1925" t="s">
        <v>111</v>
      </c>
      <c r="V1925" t="s">
        <v>10992</v>
      </c>
      <c r="W1925" t="s">
        <v>43</v>
      </c>
      <c r="X1925" t="s">
        <v>10945</v>
      </c>
      <c r="Y1925" t="s">
        <v>44</v>
      </c>
      <c r="Z1925" t="s">
        <v>44</v>
      </c>
      <c r="AA1925" t="s">
        <v>10913</v>
      </c>
      <c r="AB1925" t="s">
        <v>44</v>
      </c>
      <c r="AC1925" s="4">
        <v>3.9380250000000001</v>
      </c>
      <c r="AD1925" s="4">
        <v>3.8686849699999999</v>
      </c>
      <c r="AE1925" s="2">
        <v>3.94</v>
      </c>
      <c r="AF1925" s="4">
        <v>3.8686849699999999</v>
      </c>
      <c r="AG1925" s="2">
        <v>0.66</v>
      </c>
      <c r="AH1925" s="2">
        <v>1275183.1399999999</v>
      </c>
      <c r="AI1925" s="2">
        <v>0</v>
      </c>
      <c r="AJ1925" s="5">
        <v>44673</v>
      </c>
      <c r="AK1925" t="s">
        <v>11127</v>
      </c>
      <c r="AL1925" s="2">
        <v>3.9</v>
      </c>
      <c r="AM1925" s="2">
        <v>2.25</v>
      </c>
      <c r="AN1925" s="2">
        <v>12.69</v>
      </c>
      <c r="AO1925" t="s">
        <v>10922</v>
      </c>
      <c r="AP1925" t="s">
        <v>10993</v>
      </c>
      <c r="AQ1925" t="s">
        <v>1153</v>
      </c>
    </row>
    <row r="1926" spans="1:43" x14ac:dyDescent="0.2">
      <c r="A1926" t="s">
        <v>11126</v>
      </c>
      <c r="B1926" t="s">
        <v>10900</v>
      </c>
      <c r="C1926" t="s">
        <v>10990</v>
      </c>
      <c r="D1926" t="s">
        <v>10994</v>
      </c>
      <c r="E1926" t="s">
        <v>1190</v>
      </c>
      <c r="F1926" t="s">
        <v>10994</v>
      </c>
      <c r="G1926" s="1">
        <v>1080000</v>
      </c>
      <c r="H1926" s="2">
        <v>1245077.3999999999</v>
      </c>
      <c r="I1926" s="2">
        <v>1277786.04</v>
      </c>
      <c r="J1926" s="2">
        <v>2569.36</v>
      </c>
      <c r="K1926" s="2">
        <v>0</v>
      </c>
      <c r="L1926" s="2">
        <v>1280355.3999999999</v>
      </c>
      <c r="M1926" s="3">
        <v>3.9</v>
      </c>
      <c r="N1926" s="4">
        <v>2.9129500000000001E-3</v>
      </c>
      <c r="O1926" s="5">
        <v>44834</v>
      </c>
      <c r="P1926" s="5">
        <v>53417</v>
      </c>
      <c r="Q1926" s="1">
        <v>2.5</v>
      </c>
      <c r="R1926" s="2">
        <v>17.22</v>
      </c>
      <c r="S1926" s="6">
        <v>16.886631569999999</v>
      </c>
      <c r="T1926" t="s">
        <v>111</v>
      </c>
      <c r="U1926" t="s">
        <v>111</v>
      </c>
      <c r="V1926" t="s">
        <v>10992</v>
      </c>
      <c r="W1926" t="s">
        <v>43</v>
      </c>
      <c r="X1926" t="s">
        <v>10945</v>
      </c>
      <c r="Y1926" t="s">
        <v>44</v>
      </c>
      <c r="Z1926" t="s">
        <v>44</v>
      </c>
      <c r="AA1926" t="s">
        <v>10913</v>
      </c>
      <c r="AB1926" t="s">
        <v>44</v>
      </c>
      <c r="AC1926" s="4">
        <v>3.9380250000000001</v>
      </c>
      <c r="AD1926" s="4">
        <v>3.8686849699999999</v>
      </c>
      <c r="AE1926" s="2">
        <v>3.94</v>
      </c>
      <c r="AF1926" s="4">
        <v>3.8686849699999999</v>
      </c>
      <c r="AG1926" s="2">
        <v>0.66</v>
      </c>
      <c r="AH1926" s="2">
        <v>1280355.3999999999</v>
      </c>
      <c r="AI1926" s="2">
        <v>0</v>
      </c>
      <c r="AJ1926" s="5">
        <v>44673</v>
      </c>
      <c r="AK1926" t="s">
        <v>11127</v>
      </c>
      <c r="AL1926" s="2">
        <v>3.9</v>
      </c>
      <c r="AM1926" s="2">
        <v>2.5</v>
      </c>
      <c r="AN1926" s="2">
        <v>16.89</v>
      </c>
      <c r="AO1926" t="s">
        <v>10922</v>
      </c>
      <c r="AP1926" t="s">
        <v>10995</v>
      </c>
      <c r="AQ1926" t="s">
        <v>1190</v>
      </c>
    </row>
    <row r="1927" spans="1:43" x14ac:dyDescent="0.2">
      <c r="A1927" t="s">
        <v>11126</v>
      </c>
      <c r="B1927" t="s">
        <v>10900</v>
      </c>
      <c r="C1927" t="s">
        <v>10990</v>
      </c>
      <c r="D1927" t="s">
        <v>10996</v>
      </c>
      <c r="E1927" t="s">
        <v>1160</v>
      </c>
      <c r="F1927" t="s">
        <v>10996</v>
      </c>
      <c r="G1927" s="1">
        <v>1050000</v>
      </c>
      <c r="H1927" s="2">
        <v>1238119.31</v>
      </c>
      <c r="I1927" s="2">
        <v>1276810.18</v>
      </c>
      <c r="J1927" s="2">
        <v>13009.32</v>
      </c>
      <c r="K1927" s="2">
        <v>0</v>
      </c>
      <c r="L1927" s="2">
        <v>1289819.5</v>
      </c>
      <c r="M1927" s="3">
        <v>3.9</v>
      </c>
      <c r="N1927" s="4">
        <v>2.9344800000000002E-3</v>
      </c>
      <c r="O1927" s="5">
        <v>44742</v>
      </c>
      <c r="P1927" s="5">
        <v>55153</v>
      </c>
      <c r="Q1927" s="1">
        <v>2.5</v>
      </c>
      <c r="R1927" s="2">
        <v>19.05</v>
      </c>
      <c r="S1927" s="6">
        <v>18.689623709999999</v>
      </c>
      <c r="T1927" t="s">
        <v>111</v>
      </c>
      <c r="U1927" t="s">
        <v>111</v>
      </c>
      <c r="V1927" t="s">
        <v>10992</v>
      </c>
      <c r="W1927" t="s">
        <v>43</v>
      </c>
      <c r="X1927" t="s">
        <v>10945</v>
      </c>
      <c r="Y1927" t="s">
        <v>44</v>
      </c>
      <c r="Z1927" t="s">
        <v>44</v>
      </c>
      <c r="AA1927" t="s">
        <v>10913</v>
      </c>
      <c r="AB1927" t="s">
        <v>44</v>
      </c>
      <c r="AC1927" s="4">
        <v>3.9380250000000001</v>
      </c>
      <c r="AD1927" s="4">
        <v>3.8686849699999999</v>
      </c>
      <c r="AE1927" s="2">
        <v>3.94</v>
      </c>
      <c r="AF1927" s="4">
        <v>3.8686849699999999</v>
      </c>
      <c r="AG1927" s="2">
        <v>0.66</v>
      </c>
      <c r="AH1927" s="2">
        <v>1289819.5</v>
      </c>
      <c r="AI1927" s="2">
        <v>0</v>
      </c>
      <c r="AJ1927" s="5">
        <v>44673</v>
      </c>
      <c r="AK1927" t="s">
        <v>11127</v>
      </c>
      <c r="AL1927" s="2">
        <v>3.9</v>
      </c>
      <c r="AM1927" s="2">
        <v>2.5</v>
      </c>
      <c r="AN1927" s="2">
        <v>18.690000000000001</v>
      </c>
      <c r="AO1927" t="s">
        <v>10922</v>
      </c>
      <c r="AP1927" t="s">
        <v>10997</v>
      </c>
      <c r="AQ1927" t="s">
        <v>1160</v>
      </c>
    </row>
    <row r="1928" spans="1:43" x14ac:dyDescent="0.2">
      <c r="A1928" t="s">
        <v>11126</v>
      </c>
      <c r="B1928" t="s">
        <v>10900</v>
      </c>
      <c r="C1928" t="s">
        <v>10990</v>
      </c>
      <c r="D1928" t="s">
        <v>10998</v>
      </c>
      <c r="E1928" t="s">
        <v>1197</v>
      </c>
      <c r="F1928" t="s">
        <v>10998</v>
      </c>
      <c r="G1928" s="1">
        <v>1115000</v>
      </c>
      <c r="H1928" s="2">
        <v>1247622.8600000001</v>
      </c>
      <c r="I1928" s="2">
        <v>1261883.57</v>
      </c>
      <c r="J1928" s="2">
        <v>4224.82</v>
      </c>
      <c r="K1928" s="2">
        <v>0</v>
      </c>
      <c r="L1928" s="2">
        <v>1266108.3899999999</v>
      </c>
      <c r="M1928" s="3">
        <v>3.82</v>
      </c>
      <c r="N1928" s="4">
        <v>2.8805300000000001E-3</v>
      </c>
      <c r="O1928" s="5">
        <v>44804</v>
      </c>
      <c r="P1928" s="5">
        <v>48638</v>
      </c>
      <c r="Q1928" s="1">
        <v>1.875</v>
      </c>
      <c r="R1928" s="2">
        <v>9.7100000000000009</v>
      </c>
      <c r="S1928" s="6">
        <v>9.5277218819999998</v>
      </c>
      <c r="T1928" t="s">
        <v>111</v>
      </c>
      <c r="U1928" t="s">
        <v>111</v>
      </c>
      <c r="V1928" t="s">
        <v>10992</v>
      </c>
      <c r="W1928" t="s">
        <v>43</v>
      </c>
      <c r="X1928" t="s">
        <v>10945</v>
      </c>
      <c r="Y1928" t="s">
        <v>44</v>
      </c>
      <c r="Z1928" t="s">
        <v>44</v>
      </c>
      <c r="AA1928" t="s">
        <v>10913</v>
      </c>
      <c r="AB1928" t="s">
        <v>44</v>
      </c>
      <c r="AC1928" s="4">
        <v>3.856481</v>
      </c>
      <c r="AD1928" s="4">
        <v>3.7899492800000001</v>
      </c>
      <c r="AE1928" s="2">
        <v>3.86</v>
      </c>
      <c r="AF1928" s="4">
        <v>3.7899492800000001</v>
      </c>
      <c r="AG1928" s="2">
        <v>0.65</v>
      </c>
      <c r="AH1928" s="2">
        <v>1266108.3899999999</v>
      </c>
      <c r="AI1928" s="2">
        <v>0</v>
      </c>
      <c r="AJ1928" s="5">
        <v>44673</v>
      </c>
      <c r="AK1928" t="s">
        <v>11127</v>
      </c>
      <c r="AL1928" s="2">
        <v>3.82</v>
      </c>
      <c r="AM1928" s="2">
        <v>1.88</v>
      </c>
      <c r="AN1928" s="2">
        <v>9.5299999999999994</v>
      </c>
      <c r="AO1928" t="s">
        <v>10922</v>
      </c>
      <c r="AP1928" t="s">
        <v>10999</v>
      </c>
      <c r="AQ1928" t="s">
        <v>1197</v>
      </c>
    </row>
    <row r="1929" spans="1:43" x14ac:dyDescent="0.2">
      <c r="A1929" t="s">
        <v>11126</v>
      </c>
      <c r="B1929" t="s">
        <v>45</v>
      </c>
      <c r="C1929" t="s">
        <v>11000</v>
      </c>
      <c r="D1929" t="s">
        <v>11081</v>
      </c>
      <c r="E1929" t="s">
        <v>11082</v>
      </c>
      <c r="F1929" t="s">
        <v>11081</v>
      </c>
      <c r="G1929" s="1">
        <v>3985.44</v>
      </c>
      <c r="H1929" s="2">
        <v>84437.29</v>
      </c>
      <c r="I1929" s="2">
        <v>79868.539999999994</v>
      </c>
      <c r="J1929" s="2">
        <v>0</v>
      </c>
      <c r="K1929" s="2">
        <v>0</v>
      </c>
      <c r="L1929" s="2">
        <v>79868.539999999994</v>
      </c>
      <c r="M1929" s="3">
        <v>0</v>
      </c>
      <c r="N1929" s="4">
        <v>1.8170999999999999E-4</v>
      </c>
      <c r="O1929" s="5" t="s">
        <v>44</v>
      </c>
      <c r="P1929" s="5">
        <v>47818</v>
      </c>
      <c r="Q1929" s="1">
        <v>0</v>
      </c>
      <c r="R1929" s="2">
        <v>0.08</v>
      </c>
      <c r="S1929" s="6"/>
      <c r="T1929" t="s">
        <v>112</v>
      </c>
      <c r="U1929" t="s">
        <v>46</v>
      </c>
      <c r="V1929" t="s">
        <v>46</v>
      </c>
      <c r="W1929" t="s">
        <v>481</v>
      </c>
      <c r="X1929" t="s">
        <v>44</v>
      </c>
      <c r="Y1929" t="s">
        <v>44</v>
      </c>
      <c r="Z1929" t="s">
        <v>44</v>
      </c>
      <c r="AA1929" t="s">
        <v>10913</v>
      </c>
      <c r="AB1929" t="s">
        <v>44</v>
      </c>
      <c r="AC1929" s="4"/>
      <c r="AD1929" s="4"/>
      <c r="AE1929" s="2">
        <v>0</v>
      </c>
      <c r="AF1929" s="4">
        <v>0</v>
      </c>
      <c r="AG1929" s="2">
        <v>0.04</v>
      </c>
      <c r="AH1929" s="2">
        <v>79868.539999999994</v>
      </c>
      <c r="AI1929" s="2">
        <v>0</v>
      </c>
      <c r="AJ1929" s="5">
        <v>44673</v>
      </c>
      <c r="AK1929" t="s">
        <v>11127</v>
      </c>
      <c r="AL1929" s="2">
        <v>0</v>
      </c>
      <c r="AM1929" s="2">
        <v>0</v>
      </c>
      <c r="AN1929" s="2">
        <v>0</v>
      </c>
      <c r="AO1929" t="s">
        <v>11074</v>
      </c>
      <c r="AP1929" t="s">
        <v>44</v>
      </c>
      <c r="AQ1929" t="s">
        <v>11082</v>
      </c>
    </row>
    <row r="1930" spans="1:43" x14ac:dyDescent="0.2">
      <c r="A1930" t="s">
        <v>11126</v>
      </c>
      <c r="B1930" t="s">
        <v>45</v>
      </c>
      <c r="C1930" t="s">
        <v>11000</v>
      </c>
      <c r="D1930" t="s">
        <v>11081</v>
      </c>
      <c r="E1930" t="s">
        <v>11082</v>
      </c>
      <c r="F1930" t="s">
        <v>11081</v>
      </c>
      <c r="G1930" s="1">
        <v>-15621.84</v>
      </c>
      <c r="H1930" s="2">
        <v>-321437.03000000003</v>
      </c>
      <c r="I1930" s="2">
        <v>-313062.93</v>
      </c>
      <c r="J1930" s="2">
        <v>0</v>
      </c>
      <c r="K1930" s="2">
        <v>0</v>
      </c>
      <c r="L1930" s="2">
        <v>-313062.93</v>
      </c>
      <c r="M1930" s="3">
        <v>0</v>
      </c>
      <c r="N1930" s="4">
        <v>-7.1224999999999999E-4</v>
      </c>
      <c r="O1930" s="5" t="s">
        <v>44</v>
      </c>
      <c r="P1930" s="5">
        <v>47818</v>
      </c>
      <c r="Q1930" s="1">
        <v>0</v>
      </c>
      <c r="R1930" s="2">
        <v>0.08</v>
      </c>
      <c r="S1930" s="6"/>
      <c r="T1930" t="s">
        <v>112</v>
      </c>
      <c r="U1930" t="s">
        <v>46</v>
      </c>
      <c r="V1930" t="s">
        <v>46</v>
      </c>
      <c r="W1930" t="s">
        <v>481</v>
      </c>
      <c r="X1930" t="s">
        <v>44</v>
      </c>
      <c r="Y1930" t="s">
        <v>44</v>
      </c>
      <c r="Z1930" t="s">
        <v>44</v>
      </c>
      <c r="AA1930" t="s">
        <v>10913</v>
      </c>
      <c r="AB1930" t="s">
        <v>44</v>
      </c>
      <c r="AC1930" s="4"/>
      <c r="AD1930" s="4"/>
      <c r="AE1930" s="2">
        <v>0</v>
      </c>
      <c r="AF1930" s="4">
        <v>0</v>
      </c>
      <c r="AG1930" s="2">
        <v>-0.16</v>
      </c>
      <c r="AH1930" s="2">
        <v>-313062.93</v>
      </c>
      <c r="AI1930" s="2">
        <v>0</v>
      </c>
      <c r="AJ1930" s="5">
        <v>44673</v>
      </c>
      <c r="AK1930" t="s">
        <v>11127</v>
      </c>
      <c r="AL1930" s="2">
        <v>0</v>
      </c>
      <c r="AM1930" s="2">
        <v>0</v>
      </c>
      <c r="AN1930" s="2">
        <v>0</v>
      </c>
      <c r="AO1930" t="s">
        <v>11074</v>
      </c>
      <c r="AP1930" t="s">
        <v>44</v>
      </c>
      <c r="AQ1930" t="s">
        <v>11082</v>
      </c>
    </row>
    <row r="1931" spans="1:43" x14ac:dyDescent="0.2">
      <c r="A1931" t="s">
        <v>11126</v>
      </c>
      <c r="B1931" t="s">
        <v>45</v>
      </c>
      <c r="C1931" t="s">
        <v>11000</v>
      </c>
      <c r="D1931" t="s">
        <v>11075</v>
      </c>
      <c r="E1931" t="s">
        <v>11076</v>
      </c>
      <c r="F1931" t="s">
        <v>11075</v>
      </c>
      <c r="G1931" s="1">
        <v>147072.39000000001</v>
      </c>
      <c r="H1931" s="2">
        <v>2207205.5299999998</v>
      </c>
      <c r="I1931" s="2">
        <v>2296391.44</v>
      </c>
      <c r="J1931" s="2">
        <v>0</v>
      </c>
      <c r="K1931" s="2">
        <v>0</v>
      </c>
      <c r="L1931" s="2">
        <v>2296391.44</v>
      </c>
      <c r="M1931" s="3">
        <v>0</v>
      </c>
      <c r="N1931" s="4">
        <v>5.2245399999999997E-3</v>
      </c>
      <c r="O1931" s="5" t="s">
        <v>44</v>
      </c>
      <c r="P1931" s="5">
        <v>47848</v>
      </c>
      <c r="Q1931" s="1">
        <v>0</v>
      </c>
      <c r="R1931" s="2">
        <v>0.08</v>
      </c>
      <c r="S1931" s="6"/>
      <c r="T1931" t="s">
        <v>112</v>
      </c>
      <c r="U1931" t="s">
        <v>46</v>
      </c>
      <c r="V1931" t="s">
        <v>46</v>
      </c>
      <c r="W1931" t="s">
        <v>113</v>
      </c>
      <c r="X1931" t="s">
        <v>44</v>
      </c>
      <c r="Y1931" t="s">
        <v>44</v>
      </c>
      <c r="Z1931" t="s">
        <v>44</v>
      </c>
      <c r="AA1931" t="s">
        <v>10913</v>
      </c>
      <c r="AB1931" t="s">
        <v>44</v>
      </c>
      <c r="AC1931" s="4"/>
      <c r="AD1931" s="4"/>
      <c r="AE1931" s="2">
        <v>0</v>
      </c>
      <c r="AF1931" s="4">
        <v>0</v>
      </c>
      <c r="AG1931" s="2">
        <v>1.18</v>
      </c>
      <c r="AH1931" s="2">
        <v>2296391.44</v>
      </c>
      <c r="AI1931" s="2">
        <v>0.01</v>
      </c>
      <c r="AJ1931" s="5">
        <v>44673</v>
      </c>
      <c r="AK1931" t="s">
        <v>11127</v>
      </c>
      <c r="AL1931" s="2">
        <v>0</v>
      </c>
      <c r="AM1931" s="2">
        <v>0</v>
      </c>
      <c r="AN1931" s="2">
        <v>0</v>
      </c>
      <c r="AO1931" t="s">
        <v>11074</v>
      </c>
      <c r="AP1931" t="s">
        <v>44</v>
      </c>
      <c r="AQ1931" t="s">
        <v>11076</v>
      </c>
    </row>
    <row r="1932" spans="1:43" x14ac:dyDescent="0.2">
      <c r="A1932" t="s">
        <v>11126</v>
      </c>
      <c r="B1932" t="s">
        <v>45</v>
      </c>
      <c r="C1932" t="s">
        <v>11000</v>
      </c>
      <c r="D1932" t="s">
        <v>11001</v>
      </c>
      <c r="E1932" t="s">
        <v>11002</v>
      </c>
      <c r="F1932" t="s">
        <v>11001</v>
      </c>
      <c r="G1932" s="1">
        <v>3300000</v>
      </c>
      <c r="H1932" s="2">
        <v>3300000</v>
      </c>
      <c r="I1932" s="2">
        <v>3300000</v>
      </c>
      <c r="J1932" s="2">
        <v>7970.4</v>
      </c>
      <c r="K1932" s="2">
        <v>0</v>
      </c>
      <c r="L1932" s="2">
        <v>3307970.4</v>
      </c>
      <c r="M1932" s="3"/>
      <c r="N1932" s="4">
        <v>7.5259899999999998E-3</v>
      </c>
      <c r="O1932" s="5">
        <v>40756</v>
      </c>
      <c r="P1932" s="5">
        <v>73020</v>
      </c>
      <c r="Q1932" s="1">
        <v>0</v>
      </c>
      <c r="R1932" s="2"/>
      <c r="S1932" s="6"/>
      <c r="T1932" t="s">
        <v>111</v>
      </c>
      <c r="U1932" t="s">
        <v>11003</v>
      </c>
      <c r="V1932" t="s">
        <v>46</v>
      </c>
      <c r="W1932" t="s">
        <v>43</v>
      </c>
      <c r="X1932" t="s">
        <v>44</v>
      </c>
      <c r="Y1932" t="s">
        <v>44</v>
      </c>
      <c r="Z1932" t="s">
        <v>44</v>
      </c>
      <c r="AA1932" t="s">
        <v>44</v>
      </c>
      <c r="AB1932" t="s">
        <v>44</v>
      </c>
      <c r="AC1932" s="4"/>
      <c r="AD1932" s="4"/>
      <c r="AE1932" s="2">
        <v>0</v>
      </c>
      <c r="AF1932" s="4">
        <v>0</v>
      </c>
      <c r="AG1932" s="2">
        <v>1.7</v>
      </c>
      <c r="AH1932" s="2">
        <v>3307970.4</v>
      </c>
      <c r="AI1932" s="2">
        <v>0.01</v>
      </c>
      <c r="AJ1932" s="5">
        <v>44673</v>
      </c>
      <c r="AK1932" t="s">
        <v>11127</v>
      </c>
      <c r="AL1932" s="2">
        <v>0</v>
      </c>
      <c r="AM1932" s="2">
        <v>0</v>
      </c>
      <c r="AN1932" s="2">
        <v>0</v>
      </c>
      <c r="AO1932" t="s">
        <v>44</v>
      </c>
      <c r="AP1932" t="s">
        <v>11004</v>
      </c>
      <c r="AQ1932" t="s">
        <v>11002</v>
      </c>
    </row>
    <row r="1933" spans="1:43" x14ac:dyDescent="0.2">
      <c r="A1933" t="s">
        <v>11126</v>
      </c>
      <c r="B1933" t="s">
        <v>45</v>
      </c>
      <c r="C1933" t="s">
        <v>47</v>
      </c>
      <c r="D1933" t="s">
        <v>11077</v>
      </c>
      <c r="E1933" t="s">
        <v>11078</v>
      </c>
      <c r="F1933" t="s">
        <v>11077</v>
      </c>
      <c r="G1933" s="1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3"/>
      <c r="N1933" s="4">
        <v>0</v>
      </c>
      <c r="O1933" s="5" t="s">
        <v>44</v>
      </c>
      <c r="P1933" s="5" t="s">
        <v>44</v>
      </c>
      <c r="Q1933" s="1"/>
      <c r="R1933" s="2">
        <v>0.08</v>
      </c>
      <c r="S1933" s="6"/>
      <c r="T1933" t="s">
        <v>45</v>
      </c>
      <c r="U1933" t="s">
        <v>53</v>
      </c>
      <c r="V1933" t="s">
        <v>44</v>
      </c>
      <c r="W1933" t="s">
        <v>481</v>
      </c>
      <c r="X1933" t="s">
        <v>44</v>
      </c>
      <c r="Y1933" t="s">
        <v>44</v>
      </c>
      <c r="Z1933" t="s">
        <v>44</v>
      </c>
      <c r="AA1933" t="s">
        <v>44</v>
      </c>
      <c r="AB1933" t="s">
        <v>44</v>
      </c>
      <c r="AC1933" s="4"/>
      <c r="AD1933" s="4"/>
      <c r="AE1933" s="2">
        <v>0</v>
      </c>
      <c r="AF1933" s="4">
        <v>0</v>
      </c>
      <c r="AG1933" s="2">
        <v>0</v>
      </c>
      <c r="AH1933" s="2">
        <v>0</v>
      </c>
      <c r="AI1933" s="2">
        <v>0</v>
      </c>
      <c r="AJ1933" s="5">
        <v>44673</v>
      </c>
      <c r="AK1933" t="s">
        <v>11127</v>
      </c>
      <c r="AL1933" s="2">
        <v>0</v>
      </c>
      <c r="AM1933" s="2">
        <v>0</v>
      </c>
      <c r="AN1933" s="2">
        <v>0</v>
      </c>
      <c r="AO1933" t="s">
        <v>44</v>
      </c>
      <c r="AP1933" t="s">
        <v>44</v>
      </c>
      <c r="AQ1933" t="s">
        <v>481</v>
      </c>
    </row>
    <row r="1934" spans="1:43" x14ac:dyDescent="0.2">
      <c r="A1934" t="s">
        <v>11126</v>
      </c>
      <c r="B1934" t="s">
        <v>45</v>
      </c>
      <c r="C1934" t="s">
        <v>47</v>
      </c>
      <c r="D1934" t="s">
        <v>48</v>
      </c>
      <c r="E1934" t="s">
        <v>49</v>
      </c>
      <c r="F1934" t="s">
        <v>50</v>
      </c>
      <c r="G1934" s="1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4445.96</v>
      </c>
      <c r="M1934" s="3"/>
      <c r="N1934" s="4">
        <v>1.012E-5</v>
      </c>
      <c r="O1934" s="5" t="s">
        <v>44</v>
      </c>
      <c r="P1934" s="5" t="s">
        <v>44</v>
      </c>
      <c r="Q1934" s="1"/>
      <c r="R1934" s="2">
        <v>0.08</v>
      </c>
      <c r="S1934" s="6"/>
      <c r="T1934" t="s">
        <v>45</v>
      </c>
      <c r="U1934" t="s">
        <v>46</v>
      </c>
      <c r="V1934" t="s">
        <v>44</v>
      </c>
      <c r="W1934" t="s">
        <v>43</v>
      </c>
      <c r="X1934" t="s">
        <v>44</v>
      </c>
      <c r="Y1934" t="s">
        <v>44</v>
      </c>
      <c r="Z1934" t="s">
        <v>44</v>
      </c>
      <c r="AA1934" t="s">
        <v>44</v>
      </c>
      <c r="AB1934" t="s">
        <v>44</v>
      </c>
      <c r="AC1934" s="4">
        <v>5.1163389600000002</v>
      </c>
      <c r="AD1934" s="4">
        <v>5.0001424999999999</v>
      </c>
      <c r="AE1934" s="2">
        <v>5.12</v>
      </c>
      <c r="AF1934" s="4">
        <v>5.0001424999999999</v>
      </c>
      <c r="AG1934" s="2">
        <v>0</v>
      </c>
      <c r="AH1934" s="2">
        <v>4445.96</v>
      </c>
      <c r="AI1934" s="2">
        <v>0</v>
      </c>
      <c r="AJ1934" s="5">
        <v>44673</v>
      </c>
      <c r="AK1934" t="s">
        <v>11127</v>
      </c>
      <c r="AL1934" s="2">
        <v>5.05</v>
      </c>
      <c r="AM1934" s="2">
        <v>0</v>
      </c>
      <c r="AN1934" s="2">
        <v>0</v>
      </c>
      <c r="AO1934" t="s">
        <v>44</v>
      </c>
      <c r="AP1934" t="s">
        <v>44</v>
      </c>
      <c r="AQ1934" t="s">
        <v>44</v>
      </c>
    </row>
    <row r="1935" spans="1:43" x14ac:dyDescent="0.2">
      <c r="A1935" t="s">
        <v>11126</v>
      </c>
      <c r="B1935" t="s">
        <v>45</v>
      </c>
      <c r="C1935" t="s">
        <v>47</v>
      </c>
      <c r="D1935" t="s">
        <v>51</v>
      </c>
      <c r="E1935" t="s">
        <v>52</v>
      </c>
      <c r="F1935" t="s">
        <v>51</v>
      </c>
      <c r="G1935" s="1">
        <v>743668.13</v>
      </c>
      <c r="H1935" s="2">
        <v>743668.03</v>
      </c>
      <c r="I1935" s="2">
        <v>743668.13</v>
      </c>
      <c r="J1935" s="2">
        <v>0</v>
      </c>
      <c r="K1935" s="2">
        <v>0</v>
      </c>
      <c r="L1935" s="2">
        <v>743668.13</v>
      </c>
      <c r="M1935" s="3"/>
      <c r="N1935" s="4">
        <v>1.6919299999999999E-3</v>
      </c>
      <c r="O1935" s="5" t="s">
        <v>44</v>
      </c>
      <c r="P1935" s="5" t="s">
        <v>44</v>
      </c>
      <c r="Q1935" s="1"/>
      <c r="R1935" s="2">
        <v>0.08</v>
      </c>
      <c r="S1935" s="6"/>
      <c r="T1935" t="s">
        <v>45</v>
      </c>
      <c r="U1935" t="s">
        <v>53</v>
      </c>
      <c r="V1935" t="s">
        <v>44</v>
      </c>
      <c r="W1935" t="s">
        <v>43</v>
      </c>
      <c r="X1935" t="s">
        <v>44</v>
      </c>
      <c r="Y1935" t="s">
        <v>44</v>
      </c>
      <c r="Z1935" t="s">
        <v>44</v>
      </c>
      <c r="AA1935" t="s">
        <v>44</v>
      </c>
      <c r="AB1935" t="s">
        <v>44</v>
      </c>
      <c r="AC1935" s="4">
        <v>5.1163389600000002</v>
      </c>
      <c r="AD1935" s="4">
        <v>5.0001424999999999</v>
      </c>
      <c r="AE1935" s="2">
        <v>5.12</v>
      </c>
      <c r="AF1935" s="4">
        <v>5.0001424999999999</v>
      </c>
      <c r="AG1935" s="2">
        <v>0.38</v>
      </c>
      <c r="AH1935" s="2">
        <v>743668.13</v>
      </c>
      <c r="AI1935" s="2">
        <v>0</v>
      </c>
      <c r="AJ1935" s="5">
        <v>44673</v>
      </c>
      <c r="AK1935" t="s">
        <v>11127</v>
      </c>
      <c r="AL1935" s="2">
        <v>5.05</v>
      </c>
      <c r="AM1935" s="2">
        <v>0</v>
      </c>
      <c r="AN1935" s="2">
        <v>0</v>
      </c>
      <c r="AO1935" t="s">
        <v>44</v>
      </c>
      <c r="AP1935" t="s">
        <v>44</v>
      </c>
      <c r="AQ1935" t="s">
        <v>43</v>
      </c>
    </row>
    <row r="1936" spans="1:43" x14ac:dyDescent="0.2">
      <c r="A1936" t="s">
        <v>11126</v>
      </c>
      <c r="B1936" t="s">
        <v>45</v>
      </c>
      <c r="C1936" t="s">
        <v>47</v>
      </c>
      <c r="D1936" t="s">
        <v>11045</v>
      </c>
      <c r="E1936" t="s">
        <v>11046</v>
      </c>
      <c r="F1936" t="s">
        <v>11045</v>
      </c>
      <c r="G1936" s="1">
        <v>88590.81</v>
      </c>
      <c r="H1936" s="2">
        <v>1292619.32</v>
      </c>
      <c r="I1936" s="2">
        <v>1383258.8</v>
      </c>
      <c r="J1936" s="2">
        <v>0</v>
      </c>
      <c r="K1936" s="2">
        <v>0</v>
      </c>
      <c r="L1936" s="2">
        <v>1383258.8</v>
      </c>
      <c r="M1936" s="3">
        <v>1</v>
      </c>
      <c r="N1936" s="4">
        <v>3.1470600000000001E-3</v>
      </c>
      <c r="O1936" s="5" t="s">
        <v>44</v>
      </c>
      <c r="P1936" s="5" t="s">
        <v>44</v>
      </c>
      <c r="Q1936" s="1"/>
      <c r="R1936" s="2">
        <v>0.08</v>
      </c>
      <c r="S1936" s="6"/>
      <c r="T1936" t="s">
        <v>45</v>
      </c>
      <c r="U1936" t="s">
        <v>53</v>
      </c>
      <c r="V1936" t="s">
        <v>44</v>
      </c>
      <c r="W1936" t="s">
        <v>113</v>
      </c>
      <c r="X1936" t="s">
        <v>44</v>
      </c>
      <c r="Y1936" t="s">
        <v>44</v>
      </c>
      <c r="Z1936" t="s">
        <v>44</v>
      </c>
      <c r="AA1936" t="s">
        <v>44</v>
      </c>
      <c r="AB1936" t="s">
        <v>44</v>
      </c>
      <c r="AC1936" s="4"/>
      <c r="AD1936" s="4"/>
      <c r="AE1936" s="2">
        <v>0</v>
      </c>
      <c r="AF1936" s="4">
        <v>0</v>
      </c>
      <c r="AG1936" s="2">
        <v>0.71</v>
      </c>
      <c r="AH1936" s="2">
        <v>1383258.8</v>
      </c>
      <c r="AI1936" s="2">
        <v>0</v>
      </c>
      <c r="AJ1936" s="5">
        <v>44673</v>
      </c>
      <c r="AK1936" t="s">
        <v>11127</v>
      </c>
      <c r="AL1936" s="2">
        <v>0</v>
      </c>
      <c r="AM1936" s="2">
        <v>0</v>
      </c>
      <c r="AN1936" s="2">
        <v>0</v>
      </c>
      <c r="AO1936" t="s">
        <v>44</v>
      </c>
      <c r="AP1936" t="s">
        <v>44</v>
      </c>
      <c r="AQ1936" t="s">
        <v>113</v>
      </c>
    </row>
    <row r="1937" spans="1:43" x14ac:dyDescent="0.2">
      <c r="A1937" t="s">
        <v>11126</v>
      </c>
      <c r="B1937" t="s">
        <v>45</v>
      </c>
      <c r="C1937" t="s">
        <v>11005</v>
      </c>
      <c r="D1937" t="s">
        <v>11006</v>
      </c>
      <c r="E1937" t="s">
        <v>11007</v>
      </c>
      <c r="F1937" t="s">
        <v>11006</v>
      </c>
      <c r="G1937" s="1">
        <v>-48760</v>
      </c>
      <c r="H1937" s="2">
        <v>-48760</v>
      </c>
      <c r="I1937" s="2">
        <v>-48760</v>
      </c>
      <c r="J1937" s="2">
        <v>0</v>
      </c>
      <c r="K1937" s="2"/>
      <c r="L1937" s="2">
        <v>-48760</v>
      </c>
      <c r="M1937" s="3"/>
      <c r="N1937" s="4">
        <v>-1.1093E-4</v>
      </c>
      <c r="O1937" s="5" t="s">
        <v>44</v>
      </c>
      <c r="P1937" s="5">
        <v>73051</v>
      </c>
      <c r="Q1937" s="1">
        <v>0</v>
      </c>
      <c r="R1937" s="2">
        <v>0.08</v>
      </c>
      <c r="S1937" s="6"/>
      <c r="T1937" t="s">
        <v>45</v>
      </c>
      <c r="U1937" t="s">
        <v>11008</v>
      </c>
      <c r="V1937" t="s">
        <v>44</v>
      </c>
      <c r="W1937" t="s">
        <v>43</v>
      </c>
      <c r="X1937" t="s">
        <v>44</v>
      </c>
      <c r="Y1937" t="s">
        <v>44</v>
      </c>
      <c r="Z1937" t="s">
        <v>44</v>
      </c>
      <c r="AA1937" t="s">
        <v>44</v>
      </c>
      <c r="AB1937" t="s">
        <v>44</v>
      </c>
      <c r="AC1937" s="4">
        <v>5.1163389600000002</v>
      </c>
      <c r="AD1937" s="4">
        <v>5.0001424999999999</v>
      </c>
      <c r="AE1937" s="2">
        <v>5.12</v>
      </c>
      <c r="AF1937" s="4">
        <v>5.0001424999999999</v>
      </c>
      <c r="AG1937" s="2">
        <v>-0.03</v>
      </c>
      <c r="AH1937" s="2">
        <v>-48760</v>
      </c>
      <c r="AI1937" s="2">
        <v>0</v>
      </c>
      <c r="AJ1937" s="5">
        <v>44673</v>
      </c>
      <c r="AK1937" t="s">
        <v>11127</v>
      </c>
      <c r="AL1937" s="2">
        <v>5.05</v>
      </c>
      <c r="AM1937" s="2">
        <v>0</v>
      </c>
      <c r="AN1937" s="2">
        <v>0</v>
      </c>
      <c r="AO1937" t="s">
        <v>44</v>
      </c>
      <c r="AP1937" t="s">
        <v>44</v>
      </c>
      <c r="AQ1937" t="s">
        <v>44</v>
      </c>
    </row>
    <row r="1938" spans="1:43" x14ac:dyDescent="0.2">
      <c r="A1938" t="s">
        <v>11126</v>
      </c>
      <c r="B1938" t="s">
        <v>45</v>
      </c>
      <c r="C1938" t="s">
        <v>11005</v>
      </c>
      <c r="D1938" t="s">
        <v>11009</v>
      </c>
      <c r="E1938" t="s">
        <v>11010</v>
      </c>
      <c r="F1938" t="s">
        <v>44</v>
      </c>
      <c r="G1938" s="1">
        <v>-5374.27</v>
      </c>
      <c r="H1938" s="2">
        <v>-5374.27</v>
      </c>
      <c r="I1938" s="2">
        <v>-5374.27</v>
      </c>
      <c r="J1938" s="2">
        <v>0</v>
      </c>
      <c r="K1938" s="2"/>
      <c r="L1938" s="2">
        <v>-5374.27</v>
      </c>
      <c r="M1938" s="3"/>
      <c r="N1938" s="4">
        <v>-1.223E-5</v>
      </c>
      <c r="O1938" s="5" t="s">
        <v>44</v>
      </c>
      <c r="P1938" s="5">
        <v>73051</v>
      </c>
      <c r="Q1938" s="1">
        <v>0</v>
      </c>
      <c r="R1938" s="2">
        <v>0.08</v>
      </c>
      <c r="S1938" s="6"/>
      <c r="T1938" t="s">
        <v>45</v>
      </c>
      <c r="U1938" t="s">
        <v>44</v>
      </c>
      <c r="V1938" t="s">
        <v>44</v>
      </c>
      <c r="W1938" t="s">
        <v>43</v>
      </c>
      <c r="X1938" t="s">
        <v>44</v>
      </c>
      <c r="Y1938" t="s">
        <v>44</v>
      </c>
      <c r="Z1938" t="s">
        <v>44</v>
      </c>
      <c r="AA1938" t="s">
        <v>44</v>
      </c>
      <c r="AB1938" t="s">
        <v>44</v>
      </c>
      <c r="AC1938" s="4">
        <v>5.1163389600000002</v>
      </c>
      <c r="AD1938" s="4">
        <v>5.0001424999999999</v>
      </c>
      <c r="AE1938" s="2">
        <v>5.12</v>
      </c>
      <c r="AF1938" s="4">
        <v>5.0001424999999999</v>
      </c>
      <c r="AG1938" s="2">
        <v>0</v>
      </c>
      <c r="AH1938" s="2">
        <v>-5374.27</v>
      </c>
      <c r="AI1938" s="2">
        <v>0</v>
      </c>
      <c r="AJ1938" s="5">
        <v>44673</v>
      </c>
      <c r="AK1938" t="s">
        <v>11127</v>
      </c>
      <c r="AL1938" s="2">
        <v>5.05</v>
      </c>
      <c r="AM1938" s="2">
        <v>0</v>
      </c>
      <c r="AN1938" s="2">
        <v>0</v>
      </c>
      <c r="AO1938" t="s">
        <v>44</v>
      </c>
      <c r="AP1938" t="s">
        <v>44</v>
      </c>
      <c r="AQ1938" t="s">
        <v>44</v>
      </c>
    </row>
    <row r="1939" spans="1:43" x14ac:dyDescent="0.2">
      <c r="A1939" t="s">
        <v>11126</v>
      </c>
      <c r="B1939" t="s">
        <v>45</v>
      </c>
      <c r="C1939" t="s">
        <v>11005</v>
      </c>
      <c r="D1939" t="s">
        <v>11011</v>
      </c>
      <c r="E1939" t="s">
        <v>11012</v>
      </c>
      <c r="F1939" t="s">
        <v>44</v>
      </c>
      <c r="G1939" s="1">
        <v>-4208.45</v>
      </c>
      <c r="H1939" s="2">
        <v>-4208.45</v>
      </c>
      <c r="I1939" s="2">
        <v>-4208.45</v>
      </c>
      <c r="J1939" s="2">
        <v>0</v>
      </c>
      <c r="K1939" s="2"/>
      <c r="L1939" s="2">
        <v>-4208.45</v>
      </c>
      <c r="M1939" s="3"/>
      <c r="N1939" s="4">
        <v>-9.5699999999999999E-6</v>
      </c>
      <c r="O1939" s="5" t="s">
        <v>44</v>
      </c>
      <c r="P1939" s="5">
        <v>73051</v>
      </c>
      <c r="Q1939" s="1">
        <v>0</v>
      </c>
      <c r="R1939" s="2">
        <v>0.08</v>
      </c>
      <c r="S1939" s="6"/>
      <c r="T1939" t="s">
        <v>45</v>
      </c>
      <c r="U1939" t="s">
        <v>44</v>
      </c>
      <c r="V1939" t="s">
        <v>44</v>
      </c>
      <c r="W1939" t="s">
        <v>43</v>
      </c>
      <c r="X1939" t="s">
        <v>44</v>
      </c>
      <c r="Y1939" t="s">
        <v>44</v>
      </c>
      <c r="Z1939" t="s">
        <v>44</v>
      </c>
      <c r="AA1939" t="s">
        <v>44</v>
      </c>
      <c r="AB1939" t="s">
        <v>44</v>
      </c>
      <c r="AC1939" s="4">
        <v>5.1163389600000002</v>
      </c>
      <c r="AD1939" s="4">
        <v>5.0001424999999999</v>
      </c>
      <c r="AE1939" s="2">
        <v>5.12</v>
      </c>
      <c r="AF1939" s="4">
        <v>5.0001424999999999</v>
      </c>
      <c r="AG1939" s="2">
        <v>0</v>
      </c>
      <c r="AH1939" s="2">
        <v>-4208.45</v>
      </c>
      <c r="AI1939" s="2">
        <v>0</v>
      </c>
      <c r="AJ1939" s="5">
        <v>44673</v>
      </c>
      <c r="AK1939" t="s">
        <v>11127</v>
      </c>
      <c r="AL1939" s="2">
        <v>5.05</v>
      </c>
      <c r="AM1939" s="2">
        <v>0</v>
      </c>
      <c r="AN1939" s="2">
        <v>0</v>
      </c>
      <c r="AO1939" t="s">
        <v>44</v>
      </c>
      <c r="AP1939" t="s">
        <v>44</v>
      </c>
      <c r="AQ1939" t="s">
        <v>44</v>
      </c>
    </row>
    <row r="1940" spans="1:43" x14ac:dyDescent="0.2">
      <c r="A1940" t="s">
        <v>11126</v>
      </c>
      <c r="B1940" t="s">
        <v>11013</v>
      </c>
      <c r="C1940" t="s">
        <v>11014</v>
      </c>
      <c r="D1940" t="s">
        <v>11083</v>
      </c>
      <c r="E1940" t="s">
        <v>11084</v>
      </c>
      <c r="F1940" t="s">
        <v>11083</v>
      </c>
      <c r="G1940" s="1">
        <v>4731515.6416999996</v>
      </c>
      <c r="H1940" s="2">
        <v>5540988.4699999997</v>
      </c>
      <c r="I1940" s="2">
        <v>6113591.3600000003</v>
      </c>
      <c r="J1940" s="2">
        <v>0</v>
      </c>
      <c r="K1940" s="2">
        <v>0</v>
      </c>
      <c r="L1940" s="2">
        <v>6113591.3600000003</v>
      </c>
      <c r="M1940" s="3">
        <v>1.2921</v>
      </c>
      <c r="N1940" s="4">
        <v>1.3909080000000001E-2</v>
      </c>
      <c r="O1940" s="5" t="s">
        <v>44</v>
      </c>
      <c r="P1940" s="5" t="s">
        <v>44</v>
      </c>
      <c r="Q1940" s="1"/>
      <c r="R1940" s="2"/>
      <c r="S1940" s="6"/>
      <c r="T1940" t="s">
        <v>10902</v>
      </c>
      <c r="U1940" t="s">
        <v>11003</v>
      </c>
      <c r="V1940" t="s">
        <v>11003</v>
      </c>
      <c r="W1940" t="s">
        <v>43</v>
      </c>
      <c r="X1940" t="s">
        <v>44</v>
      </c>
      <c r="Y1940" t="s">
        <v>44</v>
      </c>
      <c r="Z1940" t="s">
        <v>44</v>
      </c>
      <c r="AA1940" t="s">
        <v>44</v>
      </c>
      <c r="AB1940" t="s">
        <v>44</v>
      </c>
      <c r="AC1940" s="4"/>
      <c r="AD1940" s="4"/>
      <c r="AE1940" s="2">
        <v>0</v>
      </c>
      <c r="AF1940" s="4">
        <v>0</v>
      </c>
      <c r="AG1940" s="2">
        <v>3.15</v>
      </c>
      <c r="AH1940" s="2">
        <v>6113591.3600000003</v>
      </c>
      <c r="AI1940" s="2">
        <v>0.01</v>
      </c>
      <c r="AJ1940" s="5">
        <v>44673</v>
      </c>
      <c r="AK1940" t="s">
        <v>11127</v>
      </c>
      <c r="AL1940" s="2">
        <v>0</v>
      </c>
      <c r="AM1940" s="2">
        <v>0</v>
      </c>
      <c r="AN1940" s="2">
        <v>0</v>
      </c>
      <c r="AO1940" t="s">
        <v>44</v>
      </c>
      <c r="AP1940" t="s">
        <v>11085</v>
      </c>
      <c r="AQ1940" t="s">
        <v>11084</v>
      </c>
    </row>
    <row r="1941" spans="1:43" x14ac:dyDescent="0.2">
      <c r="A1941" t="s">
        <v>11126</v>
      </c>
      <c r="B1941" t="s">
        <v>11013</v>
      </c>
      <c r="C1941" t="s">
        <v>11014</v>
      </c>
      <c r="D1941" t="s">
        <v>11086</v>
      </c>
      <c r="E1941" t="s">
        <v>11087</v>
      </c>
      <c r="F1941" t="s">
        <v>11086</v>
      </c>
      <c r="G1941" s="1">
        <v>4571135.8168000001</v>
      </c>
      <c r="H1941" s="2">
        <v>5207692.83</v>
      </c>
      <c r="I1941" s="2">
        <v>5631182.21</v>
      </c>
      <c r="J1941" s="2">
        <v>0</v>
      </c>
      <c r="K1941" s="2">
        <v>0</v>
      </c>
      <c r="L1941" s="2">
        <v>5631182.21</v>
      </c>
      <c r="M1941" s="3">
        <v>1.2319</v>
      </c>
      <c r="N1941" s="4">
        <v>1.281155E-2</v>
      </c>
      <c r="O1941" s="5" t="s">
        <v>44</v>
      </c>
      <c r="P1941" s="5" t="s">
        <v>44</v>
      </c>
      <c r="Q1941" s="1"/>
      <c r="R1941" s="2"/>
      <c r="S1941" s="6"/>
      <c r="T1941" t="s">
        <v>10902</v>
      </c>
      <c r="U1941" t="s">
        <v>11003</v>
      </c>
      <c r="V1941" t="s">
        <v>11003</v>
      </c>
      <c r="W1941" t="s">
        <v>43</v>
      </c>
      <c r="X1941" t="s">
        <v>44</v>
      </c>
      <c r="Y1941" t="s">
        <v>44</v>
      </c>
      <c r="Z1941" t="s">
        <v>44</v>
      </c>
      <c r="AA1941" t="s">
        <v>44</v>
      </c>
      <c r="AB1941" t="s">
        <v>44</v>
      </c>
      <c r="AC1941" s="4"/>
      <c r="AD1941" s="4"/>
      <c r="AE1941" s="2">
        <v>0</v>
      </c>
      <c r="AF1941" s="4">
        <v>0</v>
      </c>
      <c r="AG1941" s="2">
        <v>2.9</v>
      </c>
      <c r="AH1941" s="2">
        <v>5631182.21</v>
      </c>
      <c r="AI1941" s="2">
        <v>0.01</v>
      </c>
      <c r="AJ1941" s="5">
        <v>44673</v>
      </c>
      <c r="AK1941" t="s">
        <v>11127</v>
      </c>
      <c r="AL1941" s="2">
        <v>0</v>
      </c>
      <c r="AM1941" s="2">
        <v>0</v>
      </c>
      <c r="AN1941" s="2">
        <v>0</v>
      </c>
      <c r="AO1941" t="s">
        <v>44</v>
      </c>
      <c r="AP1941" t="s">
        <v>11088</v>
      </c>
      <c r="AQ1941" t="s">
        <v>11087</v>
      </c>
    </row>
    <row r="1942" spans="1:43" x14ac:dyDescent="0.2">
      <c r="A1942" t="s">
        <v>11126</v>
      </c>
      <c r="B1942" t="s">
        <v>11013</v>
      </c>
      <c r="C1942" t="s">
        <v>11014</v>
      </c>
      <c r="D1942" t="s">
        <v>12854</v>
      </c>
      <c r="E1942" t="s">
        <v>12855</v>
      </c>
      <c r="F1942" t="s">
        <v>12854</v>
      </c>
      <c r="G1942" s="1">
        <v>113733.3901</v>
      </c>
      <c r="H1942" s="2">
        <v>1114473.49</v>
      </c>
      <c r="I1942" s="2">
        <v>1124368.29</v>
      </c>
      <c r="J1942" s="2">
        <v>0</v>
      </c>
      <c r="K1942" s="2">
        <v>0</v>
      </c>
      <c r="L1942" s="2">
        <v>1124368.29</v>
      </c>
      <c r="M1942" s="3">
        <v>9.8859999999999992</v>
      </c>
      <c r="N1942" s="4">
        <v>2.55806E-3</v>
      </c>
      <c r="O1942" s="5" t="s">
        <v>44</v>
      </c>
      <c r="P1942" s="5" t="s">
        <v>44</v>
      </c>
      <c r="Q1942" s="1"/>
      <c r="R1942" s="2"/>
      <c r="S1942" s="6"/>
      <c r="T1942" t="s">
        <v>10902</v>
      </c>
      <c r="U1942" t="s">
        <v>11003</v>
      </c>
      <c r="V1942" t="s">
        <v>11003</v>
      </c>
      <c r="W1942" t="s">
        <v>43</v>
      </c>
      <c r="X1942" t="s">
        <v>44</v>
      </c>
      <c r="Y1942" t="s">
        <v>44</v>
      </c>
      <c r="Z1942" t="s">
        <v>44</v>
      </c>
      <c r="AA1942" t="s">
        <v>44</v>
      </c>
      <c r="AB1942" t="s">
        <v>44</v>
      </c>
      <c r="AC1942" s="4"/>
      <c r="AD1942" s="4"/>
      <c r="AE1942" s="2">
        <v>0</v>
      </c>
      <c r="AF1942" s="4">
        <v>0</v>
      </c>
      <c r="AG1942" s="2">
        <v>0.57999999999999996</v>
      </c>
      <c r="AH1942" s="2">
        <v>1124368.29</v>
      </c>
      <c r="AI1942" s="2">
        <v>0</v>
      </c>
      <c r="AJ1942" s="5">
        <v>44673</v>
      </c>
      <c r="AK1942" t="s">
        <v>11127</v>
      </c>
      <c r="AL1942" s="2">
        <v>0</v>
      </c>
      <c r="AM1942" s="2">
        <v>0</v>
      </c>
      <c r="AN1942" s="2">
        <v>0</v>
      </c>
      <c r="AO1942" t="s">
        <v>44</v>
      </c>
      <c r="AP1942" t="s">
        <v>44</v>
      </c>
      <c r="AQ1942" t="s">
        <v>12855</v>
      </c>
    </row>
    <row r="1943" spans="1:43" x14ac:dyDescent="0.2">
      <c r="A1943" t="s">
        <v>11126</v>
      </c>
      <c r="B1943" t="s">
        <v>11013</v>
      </c>
      <c r="C1943" t="s">
        <v>11014</v>
      </c>
      <c r="D1943" t="s">
        <v>11015</v>
      </c>
      <c r="E1943" t="s">
        <v>11016</v>
      </c>
      <c r="F1943" t="s">
        <v>11015</v>
      </c>
      <c r="G1943" s="1">
        <v>9546439.1708000004</v>
      </c>
      <c r="H1943" s="2">
        <v>10101914.35</v>
      </c>
      <c r="I1943" s="2">
        <v>9915886.3699999992</v>
      </c>
      <c r="J1943" s="2">
        <v>0</v>
      </c>
      <c r="K1943" s="2">
        <v>0</v>
      </c>
      <c r="L1943" s="2">
        <v>9915886.3699999992</v>
      </c>
      <c r="M1943" s="3">
        <v>1.0387</v>
      </c>
      <c r="N1943" s="4">
        <v>2.255971E-2</v>
      </c>
      <c r="O1943" s="5" t="s">
        <v>44</v>
      </c>
      <c r="P1943" s="5" t="s">
        <v>44</v>
      </c>
      <c r="Q1943" s="1"/>
      <c r="R1943" s="2"/>
      <c r="S1943" s="6"/>
      <c r="T1943" t="s">
        <v>10902</v>
      </c>
      <c r="U1943" t="s">
        <v>11003</v>
      </c>
      <c r="V1943" t="s">
        <v>11003</v>
      </c>
      <c r="W1943" t="s">
        <v>43</v>
      </c>
      <c r="X1943" t="s">
        <v>44</v>
      </c>
      <c r="Y1943" t="s">
        <v>44</v>
      </c>
      <c r="Z1943" t="s">
        <v>44</v>
      </c>
      <c r="AA1943" t="s">
        <v>44</v>
      </c>
      <c r="AB1943" t="s">
        <v>44</v>
      </c>
      <c r="AC1943" s="4"/>
      <c r="AD1943" s="4"/>
      <c r="AE1943" s="2">
        <v>0</v>
      </c>
      <c r="AF1943" s="4">
        <v>0</v>
      </c>
      <c r="AG1943" s="2">
        <v>5.1100000000000003</v>
      </c>
      <c r="AH1943" s="2">
        <v>9915886.3699999992</v>
      </c>
      <c r="AI1943" s="2">
        <v>0.02</v>
      </c>
      <c r="AJ1943" s="5">
        <v>44673</v>
      </c>
      <c r="AK1943" t="s">
        <v>11127</v>
      </c>
      <c r="AL1943" s="2">
        <v>0</v>
      </c>
      <c r="AM1943" s="2">
        <v>0</v>
      </c>
      <c r="AN1943" s="2">
        <v>0</v>
      </c>
      <c r="AO1943" t="s">
        <v>44</v>
      </c>
      <c r="AP1943" t="s">
        <v>11017</v>
      </c>
      <c r="AQ1943" t="s">
        <v>11016</v>
      </c>
    </row>
    <row r="1944" spans="1:43" x14ac:dyDescent="0.2">
      <c r="A1944" t="s">
        <v>11126</v>
      </c>
      <c r="B1944" t="s">
        <v>11013</v>
      </c>
      <c r="C1944" t="s">
        <v>11014</v>
      </c>
      <c r="D1944" t="s">
        <v>11018</v>
      </c>
      <c r="E1944" t="s">
        <v>11019</v>
      </c>
      <c r="F1944" t="s">
        <v>11018</v>
      </c>
      <c r="G1944" s="1">
        <v>10290881.7404</v>
      </c>
      <c r="H1944" s="2">
        <v>10336369.99</v>
      </c>
      <c r="I1944" s="2">
        <v>10348510.68</v>
      </c>
      <c r="J1944" s="2">
        <v>0</v>
      </c>
      <c r="K1944" s="2">
        <v>0</v>
      </c>
      <c r="L1944" s="2">
        <v>10348510.68</v>
      </c>
      <c r="M1944" s="3">
        <v>1.0056</v>
      </c>
      <c r="N1944" s="4">
        <v>2.3543979999999999E-2</v>
      </c>
      <c r="O1944" s="5" t="s">
        <v>44</v>
      </c>
      <c r="P1944" s="5" t="s">
        <v>44</v>
      </c>
      <c r="Q1944" s="1"/>
      <c r="R1944" s="2"/>
      <c r="S1944" s="6"/>
      <c r="T1944" t="s">
        <v>10902</v>
      </c>
      <c r="U1944" t="s">
        <v>11003</v>
      </c>
      <c r="V1944" t="s">
        <v>11003</v>
      </c>
      <c r="W1944" t="s">
        <v>43</v>
      </c>
      <c r="X1944" t="s">
        <v>44</v>
      </c>
      <c r="Y1944" t="s">
        <v>44</v>
      </c>
      <c r="Z1944" t="s">
        <v>44</v>
      </c>
      <c r="AA1944" t="s">
        <v>44</v>
      </c>
      <c r="AB1944" t="s">
        <v>44</v>
      </c>
      <c r="AC1944" s="4"/>
      <c r="AD1944" s="4"/>
      <c r="AE1944" s="2">
        <v>0</v>
      </c>
      <c r="AF1944" s="4">
        <v>0</v>
      </c>
      <c r="AG1944" s="2">
        <v>5.33</v>
      </c>
      <c r="AH1944" s="2">
        <v>10348510.68</v>
      </c>
      <c r="AI1944" s="2">
        <v>0.02</v>
      </c>
      <c r="AJ1944" s="5">
        <v>44673</v>
      </c>
      <c r="AK1944" t="s">
        <v>11127</v>
      </c>
      <c r="AL1944" s="2">
        <v>0</v>
      </c>
      <c r="AM1944" s="2">
        <v>0</v>
      </c>
      <c r="AN1944" s="2">
        <v>0</v>
      </c>
      <c r="AO1944" t="s">
        <v>44</v>
      </c>
      <c r="AP1944" t="s">
        <v>11020</v>
      </c>
      <c r="AQ1944" t="s">
        <v>11019</v>
      </c>
    </row>
    <row r="1945" spans="1:43" x14ac:dyDescent="0.2">
      <c r="A1945" t="s">
        <v>11126</v>
      </c>
      <c r="B1945" t="s">
        <v>11013</v>
      </c>
      <c r="C1945" t="s">
        <v>11014</v>
      </c>
      <c r="D1945" t="s">
        <v>11021</v>
      </c>
      <c r="E1945" t="s">
        <v>11022</v>
      </c>
      <c r="F1945" t="s">
        <v>11021</v>
      </c>
      <c r="G1945" s="1">
        <v>4976827.8123000003</v>
      </c>
      <c r="H1945" s="2">
        <v>4808070.0199999996</v>
      </c>
      <c r="I1945" s="2">
        <v>4996735.12</v>
      </c>
      <c r="J1945" s="2">
        <v>0</v>
      </c>
      <c r="K1945" s="2">
        <v>0</v>
      </c>
      <c r="L1945" s="2">
        <v>4996735.12</v>
      </c>
      <c r="M1945" s="3">
        <v>1.004</v>
      </c>
      <c r="N1945" s="4">
        <v>1.1368110000000001E-2</v>
      </c>
      <c r="O1945" s="5" t="s">
        <v>44</v>
      </c>
      <c r="P1945" s="5" t="s">
        <v>44</v>
      </c>
      <c r="Q1945" s="1"/>
      <c r="R1945" s="2"/>
      <c r="S1945" s="6"/>
      <c r="T1945" t="s">
        <v>10902</v>
      </c>
      <c r="U1945" t="s">
        <v>11003</v>
      </c>
      <c r="V1945" t="s">
        <v>11003</v>
      </c>
      <c r="W1945" t="s">
        <v>43</v>
      </c>
      <c r="X1945" t="s">
        <v>44</v>
      </c>
      <c r="Y1945" t="s">
        <v>44</v>
      </c>
      <c r="Z1945" t="s">
        <v>44</v>
      </c>
      <c r="AA1945" t="s">
        <v>44</v>
      </c>
      <c r="AB1945" t="s">
        <v>44</v>
      </c>
      <c r="AC1945" s="4"/>
      <c r="AD1945" s="4"/>
      <c r="AE1945" s="2">
        <v>0</v>
      </c>
      <c r="AF1945" s="4">
        <v>0</v>
      </c>
      <c r="AG1945" s="2">
        <v>2.57</v>
      </c>
      <c r="AH1945" s="2">
        <v>4996735.12</v>
      </c>
      <c r="AI1945" s="2">
        <v>0.01</v>
      </c>
      <c r="AJ1945" s="5">
        <v>44673</v>
      </c>
      <c r="AK1945" t="s">
        <v>11127</v>
      </c>
      <c r="AL1945" s="2">
        <v>0</v>
      </c>
      <c r="AM1945" s="2">
        <v>0</v>
      </c>
      <c r="AN1945" s="2">
        <v>0</v>
      </c>
      <c r="AO1945" t="s">
        <v>44</v>
      </c>
      <c r="AP1945" t="s">
        <v>11023</v>
      </c>
      <c r="AQ1945" t="s">
        <v>11022</v>
      </c>
    </row>
    <row r="1946" spans="1:43" x14ac:dyDescent="0.2">
      <c r="A1946" t="s">
        <v>11126</v>
      </c>
      <c r="B1946" t="s">
        <v>11013</v>
      </c>
      <c r="C1946" t="s">
        <v>11047</v>
      </c>
      <c r="D1946" t="s">
        <v>11119</v>
      </c>
      <c r="E1946" t="s">
        <v>11120</v>
      </c>
      <c r="F1946" t="s">
        <v>11119</v>
      </c>
      <c r="G1946" s="1">
        <v>22077.437300000001</v>
      </c>
      <c r="H1946" s="2">
        <v>3298241.97</v>
      </c>
      <c r="I1946" s="2">
        <v>3508880.16</v>
      </c>
      <c r="J1946" s="2">
        <v>0</v>
      </c>
      <c r="K1946" s="2">
        <v>0</v>
      </c>
      <c r="L1946" s="2">
        <v>3508880.16</v>
      </c>
      <c r="M1946" s="3">
        <v>10.179</v>
      </c>
      <c r="N1946" s="4">
        <v>7.98308E-3</v>
      </c>
      <c r="O1946" s="5" t="s">
        <v>44</v>
      </c>
      <c r="P1946" s="5" t="s">
        <v>44</v>
      </c>
      <c r="Q1946" s="1"/>
      <c r="R1946" s="2"/>
      <c r="S1946" s="6"/>
      <c r="T1946" t="s">
        <v>10902</v>
      </c>
      <c r="U1946" t="s">
        <v>11003</v>
      </c>
      <c r="V1946" t="s">
        <v>11003</v>
      </c>
      <c r="W1946" t="s">
        <v>113</v>
      </c>
      <c r="X1946" t="s">
        <v>44</v>
      </c>
      <c r="Y1946" t="s">
        <v>44</v>
      </c>
      <c r="Z1946" t="s">
        <v>44</v>
      </c>
      <c r="AA1946" t="s">
        <v>44</v>
      </c>
      <c r="AB1946" t="s">
        <v>44</v>
      </c>
      <c r="AC1946" s="4"/>
      <c r="AD1946" s="4"/>
      <c r="AE1946" s="2">
        <v>0</v>
      </c>
      <c r="AF1946" s="4">
        <v>0</v>
      </c>
      <c r="AG1946" s="2">
        <v>1.81</v>
      </c>
      <c r="AH1946" s="2">
        <v>3508880.16</v>
      </c>
      <c r="AI1946" s="2">
        <v>0.01</v>
      </c>
      <c r="AJ1946" s="5">
        <v>44673</v>
      </c>
      <c r="AK1946" t="s">
        <v>11127</v>
      </c>
      <c r="AL1946" s="2">
        <v>0</v>
      </c>
      <c r="AM1946" s="2">
        <v>0</v>
      </c>
      <c r="AN1946" s="2">
        <v>0</v>
      </c>
      <c r="AO1946" t="s">
        <v>44</v>
      </c>
      <c r="AP1946" t="s">
        <v>44</v>
      </c>
      <c r="AQ1946" t="s">
        <v>11120</v>
      </c>
    </row>
    <row r="1947" spans="1:43" x14ac:dyDescent="0.2">
      <c r="A1947" t="s">
        <v>11126</v>
      </c>
      <c r="B1947" t="s">
        <v>11013</v>
      </c>
      <c r="C1947" t="s">
        <v>11047</v>
      </c>
      <c r="D1947" t="s">
        <v>11092</v>
      </c>
      <c r="E1947" t="s">
        <v>11093</v>
      </c>
      <c r="F1947" t="s">
        <v>11092</v>
      </c>
      <c r="G1947" s="1">
        <v>5215.1749</v>
      </c>
      <c r="H1947" s="2">
        <v>1061292.03</v>
      </c>
      <c r="I1947" s="2">
        <v>1006798.66</v>
      </c>
      <c r="J1947" s="2">
        <v>0</v>
      </c>
      <c r="K1947" s="2">
        <v>0</v>
      </c>
      <c r="L1947" s="2">
        <v>1006798.66</v>
      </c>
      <c r="M1947" s="3">
        <v>12.364000000000001</v>
      </c>
      <c r="N1947" s="4">
        <v>2.29058E-3</v>
      </c>
      <c r="O1947" s="5" t="s">
        <v>44</v>
      </c>
      <c r="P1947" s="5" t="s">
        <v>44</v>
      </c>
      <c r="Q1947" s="1"/>
      <c r="R1947" s="2"/>
      <c r="S1947" s="6"/>
      <c r="T1947" t="s">
        <v>10902</v>
      </c>
      <c r="U1947" t="s">
        <v>11003</v>
      </c>
      <c r="V1947" t="s">
        <v>11003</v>
      </c>
      <c r="W1947" t="s">
        <v>113</v>
      </c>
      <c r="X1947" t="s">
        <v>44</v>
      </c>
      <c r="Y1947" t="s">
        <v>44</v>
      </c>
      <c r="Z1947" t="s">
        <v>44</v>
      </c>
      <c r="AA1947" t="s">
        <v>44</v>
      </c>
      <c r="AB1947" t="s">
        <v>44</v>
      </c>
      <c r="AC1947" s="4"/>
      <c r="AD1947" s="4"/>
      <c r="AE1947" s="2">
        <v>0</v>
      </c>
      <c r="AF1947" s="4">
        <v>0</v>
      </c>
      <c r="AG1947" s="2">
        <v>0.52</v>
      </c>
      <c r="AH1947" s="2">
        <v>1006798.66</v>
      </c>
      <c r="AI1947" s="2">
        <v>0</v>
      </c>
      <c r="AJ1947" s="5">
        <v>44673</v>
      </c>
      <c r="AK1947" t="s">
        <v>11127</v>
      </c>
      <c r="AL1947" s="2">
        <v>0</v>
      </c>
      <c r="AM1947" s="2">
        <v>0</v>
      </c>
      <c r="AN1947" s="2">
        <v>0</v>
      </c>
      <c r="AO1947" t="s">
        <v>44</v>
      </c>
      <c r="AP1947" t="s">
        <v>44</v>
      </c>
      <c r="AQ1947" t="s">
        <v>11093</v>
      </c>
    </row>
    <row r="1948" spans="1:43" x14ac:dyDescent="0.2">
      <c r="A1948" t="s">
        <v>11126</v>
      </c>
      <c r="B1948" t="s">
        <v>11013</v>
      </c>
      <c r="C1948" t="s">
        <v>11047</v>
      </c>
      <c r="D1948" t="s">
        <v>11070</v>
      </c>
      <c r="E1948" t="s">
        <v>11071</v>
      </c>
      <c r="F1948" t="s">
        <v>11070</v>
      </c>
      <c r="G1948" s="1">
        <v>2691003.7412999999</v>
      </c>
      <c r="H1948" s="2">
        <v>36312033.770000003</v>
      </c>
      <c r="I1948" s="2">
        <v>35085306.780000001</v>
      </c>
      <c r="J1948" s="2">
        <v>0</v>
      </c>
      <c r="K1948" s="2">
        <v>0</v>
      </c>
      <c r="L1948" s="2">
        <v>35085306.780000001</v>
      </c>
      <c r="M1948" s="3">
        <v>13.038</v>
      </c>
      <c r="N1948" s="4">
        <v>7.9822850000000001E-2</v>
      </c>
      <c r="O1948" s="5" t="s">
        <v>44</v>
      </c>
      <c r="P1948" s="5" t="s">
        <v>44</v>
      </c>
      <c r="Q1948" s="1"/>
      <c r="R1948" s="2"/>
      <c r="S1948" s="6"/>
      <c r="T1948" t="s">
        <v>10902</v>
      </c>
      <c r="U1948" t="s">
        <v>11003</v>
      </c>
      <c r="V1948" t="s">
        <v>11003</v>
      </c>
      <c r="W1948" t="s">
        <v>43</v>
      </c>
      <c r="X1948" t="s">
        <v>44</v>
      </c>
      <c r="Y1948" t="s">
        <v>44</v>
      </c>
      <c r="Z1948" t="s">
        <v>44</v>
      </c>
      <c r="AA1948" t="s">
        <v>44</v>
      </c>
      <c r="AB1948" t="s">
        <v>44</v>
      </c>
      <c r="AC1948" s="4"/>
      <c r="AD1948" s="4"/>
      <c r="AE1948" s="2">
        <v>0</v>
      </c>
      <c r="AF1948" s="4">
        <v>0</v>
      </c>
      <c r="AG1948" s="2">
        <v>18.07</v>
      </c>
      <c r="AH1948" s="2">
        <v>35085306.780000001</v>
      </c>
      <c r="AI1948" s="2">
        <v>0.08</v>
      </c>
      <c r="AJ1948" s="5">
        <v>44673</v>
      </c>
      <c r="AK1948" t="s">
        <v>11127</v>
      </c>
      <c r="AL1948" s="2">
        <v>0</v>
      </c>
      <c r="AM1948" s="2">
        <v>0</v>
      </c>
      <c r="AN1948" s="2">
        <v>0</v>
      </c>
      <c r="AO1948" t="s">
        <v>44</v>
      </c>
      <c r="AP1948" t="s">
        <v>44</v>
      </c>
      <c r="AQ1948" t="s">
        <v>11071</v>
      </c>
    </row>
    <row r="1949" spans="1:43" x14ac:dyDescent="0.2">
      <c r="A1949" t="s">
        <v>11126</v>
      </c>
      <c r="B1949" t="s">
        <v>11013</v>
      </c>
      <c r="C1949" t="s">
        <v>11047</v>
      </c>
      <c r="D1949" t="s">
        <v>12861</v>
      </c>
      <c r="E1949" t="s">
        <v>12862</v>
      </c>
      <c r="F1949" t="s">
        <v>12861</v>
      </c>
      <c r="G1949" s="1">
        <v>1469393.5049999999</v>
      </c>
      <c r="H1949" s="2">
        <v>15430101.199999999</v>
      </c>
      <c r="I1949" s="2">
        <v>15247896.4</v>
      </c>
      <c r="J1949" s="2">
        <v>0</v>
      </c>
      <c r="K1949" s="2">
        <v>0</v>
      </c>
      <c r="L1949" s="2">
        <v>15247896.4</v>
      </c>
      <c r="M1949" s="3">
        <v>10.377000000000001</v>
      </c>
      <c r="N1949" s="4">
        <v>3.4690609999999997E-2</v>
      </c>
      <c r="O1949" s="5" t="s">
        <v>44</v>
      </c>
      <c r="P1949" s="5" t="s">
        <v>44</v>
      </c>
      <c r="Q1949" s="1"/>
      <c r="R1949" s="2"/>
      <c r="S1949" s="6"/>
      <c r="T1949" t="s">
        <v>10902</v>
      </c>
      <c r="U1949" t="s">
        <v>11003</v>
      </c>
      <c r="V1949" t="s">
        <v>11003</v>
      </c>
      <c r="W1949" t="s">
        <v>43</v>
      </c>
      <c r="X1949" t="s">
        <v>44</v>
      </c>
      <c r="Y1949" t="s">
        <v>44</v>
      </c>
      <c r="Z1949" t="s">
        <v>44</v>
      </c>
      <c r="AA1949" t="s">
        <v>44</v>
      </c>
      <c r="AB1949" t="s">
        <v>44</v>
      </c>
      <c r="AC1949" s="4"/>
      <c r="AD1949" s="4"/>
      <c r="AE1949" s="2">
        <v>0</v>
      </c>
      <c r="AF1949" s="4">
        <v>0</v>
      </c>
      <c r="AG1949" s="2">
        <v>7.85</v>
      </c>
      <c r="AH1949" s="2">
        <v>15247896.4</v>
      </c>
      <c r="AI1949" s="2">
        <v>0.03</v>
      </c>
      <c r="AJ1949" s="5">
        <v>44673</v>
      </c>
      <c r="AK1949" t="s">
        <v>11127</v>
      </c>
      <c r="AL1949" s="2">
        <v>0</v>
      </c>
      <c r="AM1949" s="2">
        <v>0</v>
      </c>
      <c r="AN1949" s="2">
        <v>0</v>
      </c>
      <c r="AO1949" t="s">
        <v>44</v>
      </c>
      <c r="AP1949" t="s">
        <v>44</v>
      </c>
      <c r="AQ1949" t="s">
        <v>12862</v>
      </c>
    </row>
    <row r="1950" spans="1:43" x14ac:dyDescent="0.2">
      <c r="A1950" t="s">
        <v>11126</v>
      </c>
      <c r="B1950" t="s">
        <v>11024</v>
      </c>
      <c r="C1950" t="s">
        <v>61</v>
      </c>
      <c r="D1950" t="s">
        <v>11094</v>
      </c>
      <c r="E1950" t="s">
        <v>11095</v>
      </c>
      <c r="F1950" t="s">
        <v>11094</v>
      </c>
      <c r="G1950" s="1">
        <v>6</v>
      </c>
      <c r="H1950" s="2">
        <v>0</v>
      </c>
      <c r="I1950" s="2">
        <v>-460120.24</v>
      </c>
      <c r="J1950" s="2">
        <v>0</v>
      </c>
      <c r="K1950" s="2">
        <v>0</v>
      </c>
      <c r="L1950" s="2">
        <v>-460120.24</v>
      </c>
      <c r="M1950" s="3">
        <v>118.02</v>
      </c>
      <c r="N1950" s="4">
        <v>-1.04682E-3</v>
      </c>
      <c r="O1950" s="5" t="s">
        <v>44</v>
      </c>
      <c r="P1950" s="5">
        <v>44740</v>
      </c>
      <c r="Q1950" s="1"/>
      <c r="R1950" s="2"/>
      <c r="S1950" s="6"/>
      <c r="T1950" t="s">
        <v>11026</v>
      </c>
      <c r="U1950" t="s">
        <v>11025</v>
      </c>
      <c r="V1950" t="s">
        <v>11072</v>
      </c>
      <c r="W1950" t="s">
        <v>481</v>
      </c>
      <c r="X1950" t="s">
        <v>44</v>
      </c>
      <c r="Y1950" t="s">
        <v>44</v>
      </c>
      <c r="Z1950" t="s">
        <v>44</v>
      </c>
      <c r="AA1950" t="s">
        <v>44</v>
      </c>
      <c r="AB1950" t="s">
        <v>44</v>
      </c>
      <c r="AC1950" s="4"/>
      <c r="AD1950" s="4"/>
      <c r="AE1950" s="2">
        <v>0</v>
      </c>
      <c r="AF1950" s="4">
        <v>0</v>
      </c>
      <c r="AG1950" s="2">
        <v>-0.24</v>
      </c>
      <c r="AH1950" s="2">
        <v>14190781.560000001</v>
      </c>
      <c r="AI1950" s="2">
        <v>0.03</v>
      </c>
      <c r="AJ1950" s="5">
        <v>44673</v>
      </c>
      <c r="AK1950" t="s">
        <v>11127</v>
      </c>
      <c r="AL1950" s="2">
        <v>0</v>
      </c>
      <c r="AM1950" s="2">
        <v>0</v>
      </c>
      <c r="AN1950" s="2">
        <v>0</v>
      </c>
      <c r="AO1950" t="s">
        <v>44</v>
      </c>
      <c r="AP1950" t="s">
        <v>11096</v>
      </c>
      <c r="AQ1950" t="s">
        <v>11095</v>
      </c>
    </row>
    <row r="1951" spans="1:43" x14ac:dyDescent="0.2">
      <c r="A1951" t="s">
        <v>11126</v>
      </c>
      <c r="B1951" t="s">
        <v>11024</v>
      </c>
      <c r="C1951" t="s">
        <v>61</v>
      </c>
      <c r="D1951" t="s">
        <v>11097</v>
      </c>
      <c r="E1951" t="s">
        <v>11098</v>
      </c>
      <c r="F1951" t="s">
        <v>11097</v>
      </c>
      <c r="G1951" s="1">
        <v>3</v>
      </c>
      <c r="H1951" s="2">
        <v>0</v>
      </c>
      <c r="I1951" s="2">
        <v>-340658.91</v>
      </c>
      <c r="J1951" s="2">
        <v>0</v>
      </c>
      <c r="K1951" s="2">
        <v>0</v>
      </c>
      <c r="L1951" s="2">
        <v>-340658.91</v>
      </c>
      <c r="M1951" s="3">
        <v>118.9375</v>
      </c>
      <c r="N1951" s="4">
        <v>-7.7503999999999995E-4</v>
      </c>
      <c r="O1951" s="5" t="s">
        <v>44</v>
      </c>
      <c r="P1951" s="5">
        <v>44733</v>
      </c>
      <c r="Q1951" s="1"/>
      <c r="R1951" s="2"/>
      <c r="S1951" s="6"/>
      <c r="T1951" t="s">
        <v>11026</v>
      </c>
      <c r="U1951" t="s">
        <v>11025</v>
      </c>
      <c r="V1951" t="s">
        <v>11072</v>
      </c>
      <c r="W1951" t="s">
        <v>113</v>
      </c>
      <c r="X1951" t="s">
        <v>44</v>
      </c>
      <c r="Y1951" t="s">
        <v>44</v>
      </c>
      <c r="Z1951" t="s">
        <v>44</v>
      </c>
      <c r="AA1951" t="s">
        <v>44</v>
      </c>
      <c r="AB1951" t="s">
        <v>44</v>
      </c>
      <c r="AC1951" s="4"/>
      <c r="AD1951" s="4"/>
      <c r="AE1951" s="2">
        <v>0</v>
      </c>
      <c r="AF1951" s="4">
        <v>0</v>
      </c>
      <c r="AG1951" s="2">
        <v>-0.18</v>
      </c>
      <c r="AH1951" s="2">
        <v>5571278.0099999998</v>
      </c>
      <c r="AI1951" s="2">
        <v>0.01</v>
      </c>
      <c r="AJ1951" s="5">
        <v>44673</v>
      </c>
      <c r="AK1951" t="s">
        <v>11127</v>
      </c>
      <c r="AL1951" s="2">
        <v>0</v>
      </c>
      <c r="AM1951" s="2">
        <v>0</v>
      </c>
      <c r="AN1951" s="2">
        <v>0</v>
      </c>
      <c r="AO1951" t="s">
        <v>44</v>
      </c>
      <c r="AP1951" t="s">
        <v>44</v>
      </c>
      <c r="AQ1951" t="s">
        <v>11098</v>
      </c>
    </row>
    <row r="1952" spans="1:43" x14ac:dyDescent="0.2">
      <c r="A1952" t="s">
        <v>11126</v>
      </c>
      <c r="B1952" t="s">
        <v>11024</v>
      </c>
      <c r="C1952" t="s">
        <v>57</v>
      </c>
      <c r="D1952" t="s">
        <v>12172</v>
      </c>
      <c r="E1952" t="s">
        <v>12173</v>
      </c>
      <c r="F1952" t="s">
        <v>12172</v>
      </c>
      <c r="G1952" s="1">
        <v>13</v>
      </c>
      <c r="H1952" s="2">
        <v>0</v>
      </c>
      <c r="I1952" s="2">
        <v>229369.97</v>
      </c>
      <c r="J1952" s="2">
        <v>0</v>
      </c>
      <c r="K1952" s="2">
        <v>0</v>
      </c>
      <c r="L1952" s="2">
        <v>229369.97</v>
      </c>
      <c r="M1952" s="3">
        <v>1055.8</v>
      </c>
      <c r="N1952" s="4">
        <v>5.2183999999999998E-4</v>
      </c>
      <c r="O1952" s="5" t="s">
        <v>44</v>
      </c>
      <c r="P1952" s="5">
        <v>44729</v>
      </c>
      <c r="Q1952" s="1"/>
      <c r="R1952" s="2"/>
      <c r="S1952" s="6"/>
      <c r="T1952" t="s">
        <v>11026</v>
      </c>
      <c r="U1952" t="s">
        <v>11025</v>
      </c>
      <c r="V1952" t="s">
        <v>11027</v>
      </c>
      <c r="W1952" t="s">
        <v>113</v>
      </c>
      <c r="X1952" t="s">
        <v>44</v>
      </c>
      <c r="Y1952" t="s">
        <v>44</v>
      </c>
      <c r="Z1952" t="s">
        <v>44</v>
      </c>
      <c r="AA1952" t="s">
        <v>44</v>
      </c>
      <c r="AB1952" t="s">
        <v>44</v>
      </c>
      <c r="AC1952" s="4"/>
      <c r="AD1952" s="4"/>
      <c r="AE1952" s="2">
        <v>0</v>
      </c>
      <c r="AF1952" s="4">
        <v>0</v>
      </c>
      <c r="AG1952" s="2">
        <v>0.12</v>
      </c>
      <c r="AH1952" s="2">
        <v>10715434.460000001</v>
      </c>
      <c r="AI1952" s="2">
        <v>0.02</v>
      </c>
      <c r="AJ1952" s="5">
        <v>44673</v>
      </c>
      <c r="AK1952" t="s">
        <v>11127</v>
      </c>
      <c r="AL1952" s="2">
        <v>0</v>
      </c>
      <c r="AM1952" s="2">
        <v>0</v>
      </c>
      <c r="AN1952" s="2">
        <v>0</v>
      </c>
      <c r="AO1952" t="s">
        <v>44</v>
      </c>
      <c r="AP1952" t="s">
        <v>44</v>
      </c>
      <c r="AQ1952" t="s">
        <v>12173</v>
      </c>
    </row>
    <row r="1953" spans="1:43" x14ac:dyDescent="0.2">
      <c r="A1953" t="s">
        <v>11126</v>
      </c>
      <c r="B1953" t="s">
        <v>11037</v>
      </c>
      <c r="C1953" t="s">
        <v>11050</v>
      </c>
      <c r="D1953" t="s">
        <v>11099</v>
      </c>
      <c r="E1953" t="s">
        <v>11100</v>
      </c>
      <c r="F1953" t="s">
        <v>11099</v>
      </c>
      <c r="G1953" s="1">
        <v>800000</v>
      </c>
      <c r="H1953" s="2">
        <v>800000</v>
      </c>
      <c r="I1953" s="2">
        <v>1267400.73</v>
      </c>
      <c r="J1953" s="2">
        <v>0</v>
      </c>
      <c r="K1953" s="2">
        <v>0</v>
      </c>
      <c r="L1953" s="2">
        <v>1267400.73</v>
      </c>
      <c r="M1953" s="3">
        <v>158.42509200000001</v>
      </c>
      <c r="N1953" s="4">
        <v>2.88347E-3</v>
      </c>
      <c r="O1953" s="5" t="s">
        <v>44</v>
      </c>
      <c r="P1953" s="5" t="s">
        <v>44</v>
      </c>
      <c r="Q1953" s="1"/>
      <c r="R1953" s="2"/>
      <c r="S1953" s="6"/>
      <c r="T1953" t="s">
        <v>10902</v>
      </c>
      <c r="U1953" t="s">
        <v>10902</v>
      </c>
      <c r="V1953" t="s">
        <v>11051</v>
      </c>
      <c r="W1953" t="s">
        <v>43</v>
      </c>
      <c r="X1953" t="s">
        <v>11050</v>
      </c>
      <c r="Y1953" t="s">
        <v>44</v>
      </c>
      <c r="Z1953" t="s">
        <v>11050</v>
      </c>
      <c r="AA1953" t="s">
        <v>44</v>
      </c>
      <c r="AB1953" t="s">
        <v>44</v>
      </c>
      <c r="AC1953" s="4"/>
      <c r="AD1953" s="4"/>
      <c r="AE1953" s="2">
        <v>0</v>
      </c>
      <c r="AF1953" s="4">
        <v>0</v>
      </c>
      <c r="AG1953" s="2">
        <v>0.65</v>
      </c>
      <c r="AH1953" s="2">
        <v>1267400.73</v>
      </c>
      <c r="AI1953" s="2">
        <v>0</v>
      </c>
      <c r="AJ1953" s="5">
        <v>44673</v>
      </c>
      <c r="AK1953" t="s">
        <v>11127</v>
      </c>
      <c r="AL1953" s="2">
        <v>0</v>
      </c>
      <c r="AM1953" s="2">
        <v>0</v>
      </c>
      <c r="AN1953" s="2">
        <v>0</v>
      </c>
      <c r="AO1953" t="s">
        <v>44</v>
      </c>
      <c r="AP1953" t="s">
        <v>11101</v>
      </c>
      <c r="AQ1953" t="s">
        <v>11100</v>
      </c>
    </row>
    <row r="1954" spans="1:43" x14ac:dyDescent="0.2">
      <c r="A1954" t="s">
        <v>11126</v>
      </c>
      <c r="B1954" t="s">
        <v>11037</v>
      </c>
      <c r="C1954" t="s">
        <v>11050</v>
      </c>
      <c r="D1954" t="s">
        <v>11102</v>
      </c>
      <c r="E1954" t="s">
        <v>11103</v>
      </c>
      <c r="F1954" t="s">
        <v>11102</v>
      </c>
      <c r="G1954" s="1">
        <v>800000</v>
      </c>
      <c r="H1954" s="2">
        <v>800000</v>
      </c>
      <c r="I1954" s="2">
        <v>1315897.8600000001</v>
      </c>
      <c r="J1954" s="2">
        <v>0</v>
      </c>
      <c r="K1954" s="2">
        <v>0</v>
      </c>
      <c r="L1954" s="2">
        <v>1315897.8600000001</v>
      </c>
      <c r="M1954" s="3">
        <v>164.48723200000001</v>
      </c>
      <c r="N1954" s="4">
        <v>2.99381E-3</v>
      </c>
      <c r="O1954" s="5" t="s">
        <v>44</v>
      </c>
      <c r="P1954" s="5" t="s">
        <v>44</v>
      </c>
      <c r="Q1954" s="1"/>
      <c r="R1954" s="2"/>
      <c r="S1954" s="6"/>
      <c r="T1954" t="s">
        <v>10902</v>
      </c>
      <c r="U1954" t="s">
        <v>10902</v>
      </c>
      <c r="V1954" t="s">
        <v>11051</v>
      </c>
      <c r="W1954" t="s">
        <v>43</v>
      </c>
      <c r="X1954" t="s">
        <v>11050</v>
      </c>
      <c r="Y1954" t="s">
        <v>44</v>
      </c>
      <c r="Z1954" t="s">
        <v>11050</v>
      </c>
      <c r="AA1954" t="s">
        <v>44</v>
      </c>
      <c r="AB1954" t="s">
        <v>44</v>
      </c>
      <c r="AC1954" s="4"/>
      <c r="AD1954" s="4"/>
      <c r="AE1954" s="2">
        <v>0</v>
      </c>
      <c r="AF1954" s="4">
        <v>0</v>
      </c>
      <c r="AG1954" s="2">
        <v>0.68</v>
      </c>
      <c r="AH1954" s="2">
        <v>1315897.8600000001</v>
      </c>
      <c r="AI1954" s="2">
        <v>0</v>
      </c>
      <c r="AJ1954" s="5">
        <v>44673</v>
      </c>
      <c r="AK1954" t="s">
        <v>11127</v>
      </c>
      <c r="AL1954" s="2">
        <v>0</v>
      </c>
      <c r="AM1954" s="2">
        <v>0</v>
      </c>
      <c r="AN1954" s="2">
        <v>0</v>
      </c>
      <c r="AO1954" t="s">
        <v>44</v>
      </c>
      <c r="AP1954" t="s">
        <v>11104</v>
      </c>
      <c r="AQ1954" t="s">
        <v>11103</v>
      </c>
    </row>
    <row r="1955" spans="1:43" x14ac:dyDescent="0.2">
      <c r="A1955" t="s">
        <v>11126</v>
      </c>
      <c r="B1955" t="s">
        <v>11038</v>
      </c>
      <c r="C1955" t="s">
        <v>11052</v>
      </c>
      <c r="D1955" t="s">
        <v>11128</v>
      </c>
      <c r="E1955" t="s">
        <v>11129</v>
      </c>
      <c r="F1955" t="s">
        <v>11128</v>
      </c>
      <c r="G1955" s="1">
        <v>375000</v>
      </c>
      <c r="H1955" s="2">
        <v>5615117.3899999997</v>
      </c>
      <c r="I1955" s="2">
        <v>5855258.0199999996</v>
      </c>
      <c r="J1955" s="2">
        <v>28483.88</v>
      </c>
      <c r="K1955" s="2">
        <v>0</v>
      </c>
      <c r="L1955" s="2">
        <v>5883741.9000000004</v>
      </c>
      <c r="M1955" s="3">
        <v>0.92</v>
      </c>
      <c r="N1955" s="4">
        <v>1.3386149999999999E-2</v>
      </c>
      <c r="O1955" s="5" t="s">
        <v>44</v>
      </c>
      <c r="P1955" s="5">
        <v>44846</v>
      </c>
      <c r="Q1955" s="1">
        <v>0.92</v>
      </c>
      <c r="R1955" s="2">
        <v>0.47</v>
      </c>
      <c r="S1955" s="6"/>
      <c r="T1955" t="s">
        <v>112</v>
      </c>
      <c r="U1955" t="s">
        <v>11040</v>
      </c>
      <c r="V1955" t="s">
        <v>11107</v>
      </c>
      <c r="W1955" t="s">
        <v>113</v>
      </c>
      <c r="X1955" t="s">
        <v>44</v>
      </c>
      <c r="Y1955" t="s">
        <v>44</v>
      </c>
      <c r="Z1955" t="s">
        <v>44</v>
      </c>
      <c r="AA1955" t="s">
        <v>10979</v>
      </c>
      <c r="AB1955" t="s">
        <v>44</v>
      </c>
      <c r="AC1955" s="4"/>
      <c r="AD1955" s="4"/>
      <c r="AE1955" s="2">
        <v>0</v>
      </c>
      <c r="AF1955" s="4">
        <v>0</v>
      </c>
      <c r="AG1955" s="2">
        <v>3.03</v>
      </c>
      <c r="AH1955" s="2">
        <v>5883741.9000000004</v>
      </c>
      <c r="AI1955" s="2">
        <v>0.01</v>
      </c>
      <c r="AJ1955" s="5">
        <v>44673</v>
      </c>
      <c r="AK1955" t="s">
        <v>11127</v>
      </c>
      <c r="AL1955" s="2">
        <v>0</v>
      </c>
      <c r="AM1955" s="2">
        <v>0.92</v>
      </c>
      <c r="AN1955" s="2">
        <v>0</v>
      </c>
      <c r="AO1955" t="s">
        <v>11054</v>
      </c>
      <c r="AP1955" t="s">
        <v>44</v>
      </c>
      <c r="AQ1955" t="s">
        <v>11129</v>
      </c>
    </row>
    <row r="1956" spans="1:43" x14ac:dyDescent="0.2">
      <c r="A1956" t="s">
        <v>11126</v>
      </c>
      <c r="B1956" t="s">
        <v>11038</v>
      </c>
      <c r="C1956" t="s">
        <v>11039</v>
      </c>
      <c r="D1956" t="s">
        <v>12174</v>
      </c>
      <c r="E1956" t="s">
        <v>12175</v>
      </c>
      <c r="F1956" t="s">
        <v>12174</v>
      </c>
      <c r="G1956" s="1">
        <v>375000</v>
      </c>
      <c r="H1956" s="2">
        <v>5634776.3399999999</v>
      </c>
      <c r="I1956" s="2">
        <v>5855258.0199999996</v>
      </c>
      <c r="J1956" s="2">
        <v>14312.9</v>
      </c>
      <c r="K1956" s="2">
        <v>0</v>
      </c>
      <c r="L1956" s="2">
        <v>5869570.9299999997</v>
      </c>
      <c r="M1956" s="3">
        <v>2</v>
      </c>
      <c r="N1956" s="4">
        <v>1.335391E-2</v>
      </c>
      <c r="O1956" s="5" t="s">
        <v>44</v>
      </c>
      <c r="P1956" s="5">
        <v>44995</v>
      </c>
      <c r="Q1956" s="1">
        <v>2</v>
      </c>
      <c r="R1956" s="2">
        <v>0.88</v>
      </c>
      <c r="S1956" s="6"/>
      <c r="T1956" t="s">
        <v>112</v>
      </c>
      <c r="U1956" t="s">
        <v>11040</v>
      </c>
      <c r="V1956" t="s">
        <v>11107</v>
      </c>
      <c r="W1956" t="s">
        <v>113</v>
      </c>
      <c r="X1956" t="s">
        <v>44</v>
      </c>
      <c r="Y1956" t="s">
        <v>44</v>
      </c>
      <c r="Z1956" t="s">
        <v>44</v>
      </c>
      <c r="AA1956" t="s">
        <v>10979</v>
      </c>
      <c r="AB1956" t="s">
        <v>44</v>
      </c>
      <c r="AC1956" s="4"/>
      <c r="AD1956" s="4"/>
      <c r="AE1956" s="2">
        <v>0</v>
      </c>
      <c r="AF1956" s="4">
        <v>0</v>
      </c>
      <c r="AG1956" s="2">
        <v>3.02</v>
      </c>
      <c r="AH1956" s="2">
        <v>5869570.9299999997</v>
      </c>
      <c r="AI1956" s="2">
        <v>0.01</v>
      </c>
      <c r="AJ1956" s="5">
        <v>44673</v>
      </c>
      <c r="AK1956" t="s">
        <v>11127</v>
      </c>
      <c r="AL1956" s="2">
        <v>0</v>
      </c>
      <c r="AM1956" s="2">
        <v>2</v>
      </c>
      <c r="AN1956" s="2">
        <v>0</v>
      </c>
      <c r="AO1956" t="s">
        <v>11054</v>
      </c>
      <c r="AP1956" t="s">
        <v>44</v>
      </c>
      <c r="AQ1956" t="s">
        <v>12175</v>
      </c>
    </row>
    <row r="1957" spans="1:43" x14ac:dyDescent="0.2">
      <c r="A1957" t="s">
        <v>11126</v>
      </c>
      <c r="B1957" t="s">
        <v>11038</v>
      </c>
      <c r="C1957" t="s">
        <v>11039</v>
      </c>
      <c r="D1957" t="s">
        <v>12733</v>
      </c>
      <c r="E1957" t="s">
        <v>12734</v>
      </c>
      <c r="F1957" t="s">
        <v>12733</v>
      </c>
      <c r="G1957" s="1">
        <v>200000</v>
      </c>
      <c r="H1957" s="2">
        <v>2975127.93</v>
      </c>
      <c r="I1957" s="2">
        <v>3122804.28</v>
      </c>
      <c r="J1957" s="2">
        <v>7060.97</v>
      </c>
      <c r="K1957" s="2">
        <v>0</v>
      </c>
      <c r="L1957" s="2">
        <v>3129865.25</v>
      </c>
      <c r="M1957" s="3">
        <v>2.2000000000000002</v>
      </c>
      <c r="N1957" s="4">
        <v>7.1207800000000002E-3</v>
      </c>
      <c r="O1957" s="5" t="s">
        <v>44</v>
      </c>
      <c r="P1957" s="5">
        <v>45002</v>
      </c>
      <c r="Q1957" s="1">
        <v>2.2000000000000002</v>
      </c>
      <c r="R1957" s="2">
        <v>0.9</v>
      </c>
      <c r="S1957" s="6"/>
      <c r="T1957" t="s">
        <v>112</v>
      </c>
      <c r="U1957" t="s">
        <v>11040</v>
      </c>
      <c r="V1957" t="s">
        <v>11107</v>
      </c>
      <c r="W1957" t="s">
        <v>113</v>
      </c>
      <c r="X1957" t="s">
        <v>44</v>
      </c>
      <c r="Y1957" t="s">
        <v>44</v>
      </c>
      <c r="Z1957" t="s">
        <v>44</v>
      </c>
      <c r="AA1957" t="s">
        <v>10979</v>
      </c>
      <c r="AB1957" t="s">
        <v>44</v>
      </c>
      <c r="AC1957" s="4"/>
      <c r="AD1957" s="4"/>
      <c r="AE1957" s="2">
        <v>0</v>
      </c>
      <c r="AF1957" s="4">
        <v>0</v>
      </c>
      <c r="AG1957" s="2">
        <v>1.61</v>
      </c>
      <c r="AH1957" s="2">
        <v>3129865.25</v>
      </c>
      <c r="AI1957" s="2">
        <v>0.01</v>
      </c>
      <c r="AJ1957" s="5">
        <v>44673</v>
      </c>
      <c r="AK1957" t="s">
        <v>11127</v>
      </c>
      <c r="AL1957" s="2">
        <v>0</v>
      </c>
      <c r="AM1957" s="2">
        <v>2.2000000000000002</v>
      </c>
      <c r="AN1957" s="2">
        <v>0</v>
      </c>
      <c r="AO1957" t="s">
        <v>11054</v>
      </c>
      <c r="AP1957" t="s">
        <v>44</v>
      </c>
      <c r="AQ1957" t="s">
        <v>12734</v>
      </c>
    </row>
    <row r="1958" spans="1:43" x14ac:dyDescent="0.2">
      <c r="A1958" t="s">
        <v>11126</v>
      </c>
      <c r="B1958" t="s">
        <v>11038</v>
      </c>
      <c r="C1958" t="s">
        <v>11039</v>
      </c>
      <c r="D1958" t="s">
        <v>12247</v>
      </c>
      <c r="E1958" t="s">
        <v>12248</v>
      </c>
      <c r="F1958" t="s">
        <v>12247</v>
      </c>
      <c r="G1958" s="1">
        <v>10000000</v>
      </c>
      <c r="H1958" s="2">
        <v>10000000</v>
      </c>
      <c r="I1958" s="2">
        <v>10006343.310000001</v>
      </c>
      <c r="J1958" s="2">
        <v>65068.49</v>
      </c>
      <c r="K1958" s="2">
        <v>0</v>
      </c>
      <c r="L1958" s="2">
        <v>10071411.800000001</v>
      </c>
      <c r="M1958" s="3">
        <v>6.1328639999999996</v>
      </c>
      <c r="N1958" s="4">
        <v>2.2913550000000001E-2</v>
      </c>
      <c r="O1958" s="5">
        <v>45001</v>
      </c>
      <c r="P1958" s="5">
        <v>45001</v>
      </c>
      <c r="Q1958" s="1">
        <v>6.25</v>
      </c>
      <c r="R1958" s="2">
        <v>0.89</v>
      </c>
      <c r="S1958" s="6">
        <v>0.84430539241000002</v>
      </c>
      <c r="T1958" t="s">
        <v>111</v>
      </c>
      <c r="U1958" t="s">
        <v>11040</v>
      </c>
      <c r="V1958" t="s">
        <v>11041</v>
      </c>
      <c r="W1958" t="s">
        <v>43</v>
      </c>
      <c r="X1958" t="s">
        <v>11034</v>
      </c>
      <c r="Y1958" t="s">
        <v>44</v>
      </c>
      <c r="Z1958" t="s">
        <v>44</v>
      </c>
      <c r="AA1958" t="s">
        <v>11035</v>
      </c>
      <c r="AB1958" t="s">
        <v>44</v>
      </c>
      <c r="AC1958" s="4">
        <v>6.1531520899999999</v>
      </c>
      <c r="AD1958" s="4">
        <v>5.9861510000000004</v>
      </c>
      <c r="AE1958" s="2">
        <v>6.15</v>
      </c>
      <c r="AF1958" s="4">
        <v>5.9861510000000004</v>
      </c>
      <c r="AG1958" s="2">
        <v>5.19</v>
      </c>
      <c r="AH1958" s="2">
        <v>10071411.800000001</v>
      </c>
      <c r="AI1958" s="2">
        <v>0.02</v>
      </c>
      <c r="AJ1958" s="5">
        <v>44673</v>
      </c>
      <c r="AK1958" t="s">
        <v>11127</v>
      </c>
      <c r="AL1958" s="2">
        <v>6.06</v>
      </c>
      <c r="AM1958" s="2">
        <v>6.25</v>
      </c>
      <c r="AN1958" s="2">
        <v>0.84</v>
      </c>
      <c r="AO1958" t="s">
        <v>11036</v>
      </c>
      <c r="AP1958" t="s">
        <v>12249</v>
      </c>
      <c r="AQ1958" t="s">
        <v>12248</v>
      </c>
    </row>
    <row r="1959" spans="1:43" x14ac:dyDescent="0.2">
      <c r="A1959" t="s">
        <v>11126</v>
      </c>
      <c r="B1959" t="s">
        <v>10951</v>
      </c>
      <c r="C1959" t="s">
        <v>10952</v>
      </c>
      <c r="D1959" t="s">
        <v>11028</v>
      </c>
      <c r="E1959" t="s">
        <v>11029</v>
      </c>
      <c r="F1959" t="s">
        <v>11028</v>
      </c>
      <c r="G1959" s="1">
        <v>9811915.5014999993</v>
      </c>
      <c r="H1959" s="2">
        <v>9801474.4700000007</v>
      </c>
      <c r="I1959" s="2">
        <v>9824670.9900000002</v>
      </c>
      <c r="J1959" s="2">
        <v>0</v>
      </c>
      <c r="K1959" s="2">
        <v>0</v>
      </c>
      <c r="L1959" s="2">
        <v>9824670.9900000002</v>
      </c>
      <c r="M1959" s="3">
        <v>1.0013000000000001</v>
      </c>
      <c r="N1959" s="4">
        <v>2.2352179999999999E-2</v>
      </c>
      <c r="O1959" s="5" t="s">
        <v>44</v>
      </c>
      <c r="P1959" s="5" t="s">
        <v>44</v>
      </c>
      <c r="Q1959" s="1"/>
      <c r="R1959" s="2"/>
      <c r="S1959" s="6"/>
      <c r="T1959" t="s">
        <v>10902</v>
      </c>
      <c r="U1959" t="s">
        <v>10953</v>
      </c>
      <c r="V1959" t="s">
        <v>10954</v>
      </c>
      <c r="W1959" t="s">
        <v>43</v>
      </c>
      <c r="X1959" t="s">
        <v>44</v>
      </c>
      <c r="Y1959" t="s">
        <v>44</v>
      </c>
      <c r="Z1959" t="s">
        <v>44</v>
      </c>
      <c r="AA1959" t="s">
        <v>44</v>
      </c>
      <c r="AB1959" t="s">
        <v>44</v>
      </c>
      <c r="AC1959" s="4"/>
      <c r="AD1959" s="4"/>
      <c r="AE1959" s="2">
        <v>0</v>
      </c>
      <c r="AF1959" s="4">
        <v>0</v>
      </c>
      <c r="AG1959" s="2">
        <v>5.0599999999999996</v>
      </c>
      <c r="AH1959" s="2">
        <v>9824670.9900000002</v>
      </c>
      <c r="AI1959" s="2">
        <v>0.02</v>
      </c>
      <c r="AJ1959" s="5">
        <v>44673</v>
      </c>
      <c r="AK1959" t="s">
        <v>11127</v>
      </c>
      <c r="AL1959" s="2">
        <v>0</v>
      </c>
      <c r="AM1959" s="2">
        <v>0</v>
      </c>
      <c r="AN1959" s="2">
        <v>0</v>
      </c>
      <c r="AO1959" t="s">
        <v>44</v>
      </c>
      <c r="AP1959" t="s">
        <v>44</v>
      </c>
      <c r="AQ1959" t="s">
        <v>11029</v>
      </c>
    </row>
    <row r="1960" spans="1:43" x14ac:dyDescent="0.2">
      <c r="A1960" t="s">
        <v>11126</v>
      </c>
      <c r="B1960" t="s">
        <v>11030</v>
      </c>
      <c r="C1960" t="s">
        <v>11030</v>
      </c>
      <c r="D1960" t="s">
        <v>12176</v>
      </c>
      <c r="E1960" t="s">
        <v>12173</v>
      </c>
      <c r="F1960" t="s">
        <v>12176</v>
      </c>
      <c r="G1960" s="1">
        <v>13</v>
      </c>
      <c r="H1960" s="2"/>
      <c r="I1960" s="2">
        <v>0</v>
      </c>
      <c r="J1960" s="2"/>
      <c r="K1960" s="2"/>
      <c r="L1960" s="2">
        <v>0</v>
      </c>
      <c r="M1960" s="3"/>
      <c r="N1960" s="4">
        <v>0</v>
      </c>
      <c r="O1960" s="5" t="s">
        <v>44</v>
      </c>
      <c r="P1960" s="5" t="s">
        <v>44</v>
      </c>
      <c r="Q1960" s="1"/>
      <c r="R1960" s="2"/>
      <c r="S1960" s="6"/>
      <c r="T1960" t="s">
        <v>11031</v>
      </c>
      <c r="U1960" t="s">
        <v>11032</v>
      </c>
      <c r="V1960" t="s">
        <v>45</v>
      </c>
      <c r="W1960" t="s">
        <v>113</v>
      </c>
      <c r="X1960" t="s">
        <v>44</v>
      </c>
      <c r="Y1960" t="s">
        <v>44</v>
      </c>
      <c r="Z1960" t="s">
        <v>44</v>
      </c>
      <c r="AA1960" t="s">
        <v>44</v>
      </c>
      <c r="AB1960" t="s">
        <v>44</v>
      </c>
      <c r="AC1960" s="4"/>
      <c r="AD1960" s="4"/>
      <c r="AE1960" s="2">
        <v>0</v>
      </c>
      <c r="AF1960" s="4">
        <v>0</v>
      </c>
      <c r="AG1960" s="2">
        <v>0</v>
      </c>
      <c r="AH1960" s="2">
        <v>-10486064.49</v>
      </c>
      <c r="AI1960" s="2">
        <v>-0.02</v>
      </c>
      <c r="AJ1960" s="5">
        <v>44673</v>
      </c>
      <c r="AK1960" t="s">
        <v>11127</v>
      </c>
      <c r="AL1960" s="2">
        <v>0</v>
      </c>
      <c r="AM1960" s="2">
        <v>0</v>
      </c>
      <c r="AN1960" s="2">
        <v>0</v>
      </c>
      <c r="AO1960" t="s">
        <v>44</v>
      </c>
      <c r="AP1960" t="s">
        <v>44</v>
      </c>
      <c r="AQ1960" t="s">
        <v>11111</v>
      </c>
    </row>
    <row r="1961" spans="1:43" x14ac:dyDescent="0.2">
      <c r="A1961" t="s">
        <v>11126</v>
      </c>
      <c r="B1961" t="s">
        <v>11030</v>
      </c>
      <c r="C1961" t="s">
        <v>11030</v>
      </c>
      <c r="D1961" t="s">
        <v>11110</v>
      </c>
      <c r="E1961" t="s">
        <v>11095</v>
      </c>
      <c r="F1961" t="s">
        <v>11110</v>
      </c>
      <c r="G1961" s="1">
        <v>6</v>
      </c>
      <c r="H1961" s="2"/>
      <c r="I1961" s="2">
        <v>0</v>
      </c>
      <c r="J1961" s="2"/>
      <c r="K1961" s="2"/>
      <c r="L1961" s="2">
        <v>0</v>
      </c>
      <c r="M1961" s="3"/>
      <c r="N1961" s="4">
        <v>0</v>
      </c>
      <c r="O1961" s="5" t="s">
        <v>44</v>
      </c>
      <c r="P1961" s="5" t="s">
        <v>44</v>
      </c>
      <c r="Q1961" s="1"/>
      <c r="R1961" s="2"/>
      <c r="S1961" s="6"/>
      <c r="T1961" t="s">
        <v>11031</v>
      </c>
      <c r="U1961" t="s">
        <v>11032</v>
      </c>
      <c r="V1961" t="s">
        <v>11073</v>
      </c>
      <c r="W1961" t="s">
        <v>481</v>
      </c>
      <c r="X1961" t="s">
        <v>44</v>
      </c>
      <c r="Y1961" t="s">
        <v>44</v>
      </c>
      <c r="Z1961" t="s">
        <v>44</v>
      </c>
      <c r="AA1961" t="s">
        <v>44</v>
      </c>
      <c r="AB1961" t="s">
        <v>44</v>
      </c>
      <c r="AC1961" s="4"/>
      <c r="AD1961" s="4"/>
      <c r="AE1961" s="2">
        <v>0</v>
      </c>
      <c r="AF1961" s="4">
        <v>0</v>
      </c>
      <c r="AG1961" s="2">
        <v>0</v>
      </c>
      <c r="AH1961" s="2">
        <v>-14650901.800000001</v>
      </c>
      <c r="AI1961" s="2">
        <v>-0.03</v>
      </c>
      <c r="AJ1961" s="5">
        <v>44673</v>
      </c>
      <c r="AK1961" t="s">
        <v>11127</v>
      </c>
      <c r="AL1961" s="2">
        <v>0</v>
      </c>
      <c r="AM1961" s="2">
        <v>0</v>
      </c>
      <c r="AN1961" s="2">
        <v>0</v>
      </c>
      <c r="AO1961" t="s">
        <v>44</v>
      </c>
      <c r="AP1961" t="s">
        <v>44</v>
      </c>
      <c r="AQ1961" t="s">
        <v>44</v>
      </c>
    </row>
    <row r="1962" spans="1:43" x14ac:dyDescent="0.2">
      <c r="A1962" t="s">
        <v>11126</v>
      </c>
      <c r="B1962" t="s">
        <v>11030</v>
      </c>
      <c r="C1962" t="s">
        <v>11030</v>
      </c>
      <c r="D1962" t="s">
        <v>11112</v>
      </c>
      <c r="E1962" t="s">
        <v>11098</v>
      </c>
      <c r="F1962" t="s">
        <v>11112</v>
      </c>
      <c r="G1962" s="1">
        <v>3</v>
      </c>
      <c r="H1962" s="2"/>
      <c r="I1962" s="2">
        <v>0</v>
      </c>
      <c r="J1962" s="2"/>
      <c r="K1962" s="2"/>
      <c r="L1962" s="2">
        <v>0</v>
      </c>
      <c r="M1962" s="3"/>
      <c r="N1962" s="4">
        <v>0</v>
      </c>
      <c r="O1962" s="5" t="s">
        <v>44</v>
      </c>
      <c r="P1962" s="5" t="s">
        <v>44</v>
      </c>
      <c r="Q1962" s="1"/>
      <c r="R1962" s="2"/>
      <c r="S1962" s="6"/>
      <c r="T1962" t="s">
        <v>11031</v>
      </c>
      <c r="U1962" t="s">
        <v>11032</v>
      </c>
      <c r="V1962" t="s">
        <v>11073</v>
      </c>
      <c r="W1962" t="s">
        <v>113</v>
      </c>
      <c r="X1962" t="s">
        <v>44</v>
      </c>
      <c r="Y1962" t="s">
        <v>44</v>
      </c>
      <c r="Z1962" t="s">
        <v>44</v>
      </c>
      <c r="AA1962" t="s">
        <v>44</v>
      </c>
      <c r="AB1962" t="s">
        <v>44</v>
      </c>
      <c r="AC1962" s="4"/>
      <c r="AD1962" s="4"/>
      <c r="AE1962" s="2">
        <v>0</v>
      </c>
      <c r="AF1962" s="4">
        <v>0</v>
      </c>
      <c r="AG1962" s="2">
        <v>0</v>
      </c>
      <c r="AH1962" s="2">
        <v>-5911936.9199999999</v>
      </c>
      <c r="AI1962" s="2">
        <v>-0.01</v>
      </c>
      <c r="AJ1962" s="5">
        <v>44673</v>
      </c>
      <c r="AK1962" t="s">
        <v>11127</v>
      </c>
      <c r="AL1962" s="2">
        <v>0</v>
      </c>
      <c r="AM1962" s="2">
        <v>0</v>
      </c>
      <c r="AN1962" s="2">
        <v>0</v>
      </c>
      <c r="AO1962" t="s">
        <v>44</v>
      </c>
      <c r="AP1962" t="s">
        <v>44</v>
      </c>
      <c r="AQ1962" t="s">
        <v>44</v>
      </c>
    </row>
    <row r="1963" spans="1:43" x14ac:dyDescent="0.2">
      <c r="A1963" t="s">
        <v>12250</v>
      </c>
      <c r="B1963" t="s">
        <v>10900</v>
      </c>
      <c r="C1963" t="s">
        <v>11049</v>
      </c>
      <c r="D1963" t="s">
        <v>11265</v>
      </c>
      <c r="E1963" t="s">
        <v>11266</v>
      </c>
      <c r="F1963" t="s">
        <v>11265</v>
      </c>
      <c r="G1963" s="1">
        <v>150000</v>
      </c>
      <c r="H1963" s="2">
        <v>142838.88</v>
      </c>
      <c r="I1963" s="2">
        <v>142838.88</v>
      </c>
      <c r="J1963" s="2">
        <v>0</v>
      </c>
      <c r="K1963" s="2">
        <v>0</v>
      </c>
      <c r="L1963" s="2">
        <v>142838.88</v>
      </c>
      <c r="M1963" s="3">
        <v>6.3099970000000001</v>
      </c>
      <c r="N1963" s="4">
        <v>3.2497E-4</v>
      </c>
      <c r="O1963" s="5" t="s">
        <v>44</v>
      </c>
      <c r="P1963" s="5">
        <v>44964</v>
      </c>
      <c r="Q1963" s="1">
        <v>0</v>
      </c>
      <c r="R1963" s="2">
        <v>0.79</v>
      </c>
      <c r="S1963" s="6">
        <v>0.75161913127000002</v>
      </c>
      <c r="T1963" t="s">
        <v>112</v>
      </c>
      <c r="U1963" t="s">
        <v>111</v>
      </c>
      <c r="V1963" t="s">
        <v>11238</v>
      </c>
      <c r="W1963" t="s">
        <v>43</v>
      </c>
      <c r="X1963" t="s">
        <v>44</v>
      </c>
      <c r="Y1963" t="s">
        <v>44</v>
      </c>
      <c r="Z1963" t="s">
        <v>44</v>
      </c>
      <c r="AA1963" t="s">
        <v>10979</v>
      </c>
      <c r="AB1963" t="s">
        <v>44</v>
      </c>
      <c r="AC1963" s="4">
        <v>6.4095368800000001</v>
      </c>
      <c r="AD1963" s="4">
        <v>6.2286110399999997</v>
      </c>
      <c r="AE1963" s="2">
        <v>6.41</v>
      </c>
      <c r="AF1963" s="4">
        <v>6.2286110399999997</v>
      </c>
      <c r="AG1963" s="2">
        <v>0.96</v>
      </c>
      <c r="AH1963" s="2">
        <v>142838.88</v>
      </c>
      <c r="AI1963" s="2">
        <v>0</v>
      </c>
      <c r="AJ1963" s="5">
        <v>44673</v>
      </c>
      <c r="AK1963" t="s">
        <v>12251</v>
      </c>
      <c r="AL1963" s="2">
        <v>6.31</v>
      </c>
      <c r="AM1963" s="2">
        <v>0</v>
      </c>
      <c r="AN1963" s="2">
        <v>0.75</v>
      </c>
      <c r="AO1963" t="s">
        <v>10982</v>
      </c>
      <c r="AP1963" t="s">
        <v>11267</v>
      </c>
      <c r="AQ1963" t="s">
        <v>11266</v>
      </c>
    </row>
    <row r="1964" spans="1:43" x14ac:dyDescent="0.2">
      <c r="A1964" t="s">
        <v>12250</v>
      </c>
      <c r="B1964" t="s">
        <v>45</v>
      </c>
      <c r="C1964" t="s">
        <v>11000</v>
      </c>
      <c r="D1964" t="s">
        <v>11273</v>
      </c>
      <c r="E1964" t="s">
        <v>11274</v>
      </c>
      <c r="F1964" t="s">
        <v>11273</v>
      </c>
      <c r="G1964" s="1">
        <v>288.04000000000002</v>
      </c>
      <c r="H1964" s="2">
        <v>288.04000000000002</v>
      </c>
      <c r="I1964" s="2">
        <v>288.04000000000002</v>
      </c>
      <c r="J1964" s="2">
        <v>0.87</v>
      </c>
      <c r="K1964" s="2">
        <v>0</v>
      </c>
      <c r="L1964" s="2">
        <v>288.91000000000003</v>
      </c>
      <c r="M1964" s="3"/>
      <c r="N1964" s="4">
        <v>6.6000000000000003E-7</v>
      </c>
      <c r="O1964" s="5">
        <v>44378</v>
      </c>
      <c r="P1964" s="5">
        <v>55153</v>
      </c>
      <c r="Q1964" s="1">
        <v>0</v>
      </c>
      <c r="R1964" s="2"/>
      <c r="S1964" s="6"/>
      <c r="T1964" t="s">
        <v>111</v>
      </c>
      <c r="U1964" t="s">
        <v>11003</v>
      </c>
      <c r="V1964" t="s">
        <v>46</v>
      </c>
      <c r="W1964" t="s">
        <v>43</v>
      </c>
      <c r="X1964" t="s">
        <v>44</v>
      </c>
      <c r="Y1964" t="s">
        <v>44</v>
      </c>
      <c r="Z1964" t="s">
        <v>44</v>
      </c>
      <c r="AA1964" t="s">
        <v>44</v>
      </c>
      <c r="AB1964" t="s">
        <v>44</v>
      </c>
      <c r="AC1964" s="4"/>
      <c r="AD1964" s="4"/>
      <c r="AE1964" s="2">
        <v>0</v>
      </c>
      <c r="AF1964" s="4">
        <v>0</v>
      </c>
      <c r="AG1964" s="2">
        <v>0</v>
      </c>
      <c r="AH1964" s="2">
        <v>288.91000000000003</v>
      </c>
      <c r="AI1964" s="2">
        <v>0</v>
      </c>
      <c r="AJ1964" s="5">
        <v>44673</v>
      </c>
      <c r="AK1964" t="s">
        <v>12251</v>
      </c>
      <c r="AL1964" s="2">
        <v>0</v>
      </c>
      <c r="AM1964" s="2">
        <v>0</v>
      </c>
      <c r="AN1964" s="2">
        <v>0</v>
      </c>
      <c r="AO1964" t="s">
        <v>44</v>
      </c>
      <c r="AP1964" t="s">
        <v>11275</v>
      </c>
      <c r="AQ1964" t="s">
        <v>11274</v>
      </c>
    </row>
    <row r="1965" spans="1:43" x14ac:dyDescent="0.2">
      <c r="A1965" t="s">
        <v>12250</v>
      </c>
      <c r="B1965" t="s">
        <v>45</v>
      </c>
      <c r="C1965" t="s">
        <v>11000</v>
      </c>
      <c r="D1965" t="s">
        <v>11001</v>
      </c>
      <c r="E1965" t="s">
        <v>11002</v>
      </c>
      <c r="F1965" t="s">
        <v>11001</v>
      </c>
      <c r="G1965" s="1">
        <v>1837447.92</v>
      </c>
      <c r="H1965" s="2">
        <v>1837447.88</v>
      </c>
      <c r="I1965" s="2">
        <v>1837447.88</v>
      </c>
      <c r="J1965" s="2">
        <v>5961.51</v>
      </c>
      <c r="K1965" s="2">
        <v>0</v>
      </c>
      <c r="L1965" s="2">
        <v>1843409.39</v>
      </c>
      <c r="M1965" s="3"/>
      <c r="N1965" s="4">
        <v>4.1939500000000001E-3</v>
      </c>
      <c r="O1965" s="5">
        <v>40756</v>
      </c>
      <c r="P1965" s="5">
        <v>73020</v>
      </c>
      <c r="Q1965" s="1">
        <v>0</v>
      </c>
      <c r="R1965" s="2"/>
      <c r="S1965" s="6"/>
      <c r="T1965" t="s">
        <v>111</v>
      </c>
      <c r="U1965" t="s">
        <v>11003</v>
      </c>
      <c r="V1965" t="s">
        <v>46</v>
      </c>
      <c r="W1965" t="s">
        <v>43</v>
      </c>
      <c r="X1965" t="s">
        <v>44</v>
      </c>
      <c r="Y1965" t="s">
        <v>44</v>
      </c>
      <c r="Z1965" t="s">
        <v>44</v>
      </c>
      <c r="AA1965" t="s">
        <v>44</v>
      </c>
      <c r="AB1965" t="s">
        <v>44</v>
      </c>
      <c r="AC1965" s="4"/>
      <c r="AD1965" s="4"/>
      <c r="AE1965" s="2">
        <v>0</v>
      </c>
      <c r="AF1965" s="4">
        <v>0</v>
      </c>
      <c r="AG1965" s="2">
        <v>12.38</v>
      </c>
      <c r="AH1965" s="2">
        <v>1843409.39</v>
      </c>
      <c r="AI1965" s="2">
        <v>0</v>
      </c>
      <c r="AJ1965" s="5">
        <v>44673</v>
      </c>
      <c r="AK1965" t="s">
        <v>12251</v>
      </c>
      <c r="AL1965" s="2">
        <v>0</v>
      </c>
      <c r="AM1965" s="2">
        <v>0</v>
      </c>
      <c r="AN1965" s="2">
        <v>0</v>
      </c>
      <c r="AO1965" t="s">
        <v>44</v>
      </c>
      <c r="AP1965" t="s">
        <v>11004</v>
      </c>
      <c r="AQ1965" t="s">
        <v>11002</v>
      </c>
    </row>
    <row r="1966" spans="1:43" x14ac:dyDescent="0.2">
      <c r="A1966" t="s">
        <v>12250</v>
      </c>
      <c r="B1966" t="s">
        <v>45</v>
      </c>
      <c r="C1966" t="s">
        <v>11144</v>
      </c>
      <c r="D1966" t="s">
        <v>11145</v>
      </c>
      <c r="E1966" t="s">
        <v>11146</v>
      </c>
      <c r="F1966" t="s">
        <v>11147</v>
      </c>
      <c r="G1966" s="1">
        <v>470709</v>
      </c>
      <c r="H1966" s="2">
        <v>470709</v>
      </c>
      <c r="I1966" s="2">
        <v>470709</v>
      </c>
      <c r="J1966" s="2">
        <v>1270.69</v>
      </c>
      <c r="K1966" s="2">
        <v>0</v>
      </c>
      <c r="L1966" s="2">
        <v>471979.69</v>
      </c>
      <c r="M1966" s="3">
        <v>6.88</v>
      </c>
      <c r="N1966" s="4">
        <v>1.0738E-3</v>
      </c>
      <c r="O1966" s="5" t="s">
        <v>44</v>
      </c>
      <c r="P1966" s="5">
        <v>55153</v>
      </c>
      <c r="Q1966" s="1">
        <v>6.88</v>
      </c>
      <c r="R1966" s="2">
        <v>0.08</v>
      </c>
      <c r="S1966" s="6">
        <v>2.6006750000000002E-3</v>
      </c>
      <c r="T1966" t="s">
        <v>112</v>
      </c>
      <c r="U1966" t="s">
        <v>46</v>
      </c>
      <c r="V1966" t="s">
        <v>11148</v>
      </c>
      <c r="W1966" t="s">
        <v>43</v>
      </c>
      <c r="X1966" t="s">
        <v>44</v>
      </c>
      <c r="Y1966" t="s">
        <v>44</v>
      </c>
      <c r="Z1966" t="s">
        <v>44</v>
      </c>
      <c r="AA1966" t="s">
        <v>44</v>
      </c>
      <c r="AB1966" t="s">
        <v>44</v>
      </c>
      <c r="AC1966" s="4"/>
      <c r="AD1966" s="4"/>
      <c r="AE1966" s="2">
        <v>0</v>
      </c>
      <c r="AF1966" s="4">
        <v>0</v>
      </c>
      <c r="AG1966" s="2">
        <v>3.17</v>
      </c>
      <c r="AH1966" s="2">
        <v>471979.69</v>
      </c>
      <c r="AI1966" s="2">
        <v>0</v>
      </c>
      <c r="AJ1966" s="5">
        <v>44673</v>
      </c>
      <c r="AK1966" t="s">
        <v>12251</v>
      </c>
      <c r="AL1966" s="2">
        <v>0</v>
      </c>
      <c r="AM1966" s="2">
        <v>6.88</v>
      </c>
      <c r="AN1966" s="2">
        <v>0</v>
      </c>
      <c r="AO1966" t="s">
        <v>11146</v>
      </c>
      <c r="AP1966" t="s">
        <v>44</v>
      </c>
      <c r="AQ1966" t="s">
        <v>11146</v>
      </c>
    </row>
    <row r="1967" spans="1:43" x14ac:dyDescent="0.2">
      <c r="A1967" t="s">
        <v>12250</v>
      </c>
      <c r="B1967" t="s">
        <v>45</v>
      </c>
      <c r="C1967" t="s">
        <v>47</v>
      </c>
      <c r="D1967" t="s">
        <v>48</v>
      </c>
      <c r="E1967" t="s">
        <v>49</v>
      </c>
      <c r="F1967" t="s">
        <v>50</v>
      </c>
      <c r="G1967" s="1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385.45</v>
      </c>
      <c r="M1967" s="3"/>
      <c r="N1967" s="4">
        <v>8.8000000000000004E-7</v>
      </c>
      <c r="O1967" s="5" t="s">
        <v>44</v>
      </c>
      <c r="P1967" s="5" t="s">
        <v>44</v>
      </c>
      <c r="Q1967" s="1"/>
      <c r="R1967" s="2">
        <v>0.08</v>
      </c>
      <c r="S1967" s="6"/>
      <c r="T1967" t="s">
        <v>45</v>
      </c>
      <c r="U1967" t="s">
        <v>46</v>
      </c>
      <c r="V1967" t="s">
        <v>44</v>
      </c>
      <c r="W1967" t="s">
        <v>43</v>
      </c>
      <c r="X1967" t="s">
        <v>44</v>
      </c>
      <c r="Y1967" t="s">
        <v>44</v>
      </c>
      <c r="Z1967" t="s">
        <v>44</v>
      </c>
      <c r="AA1967" t="s">
        <v>44</v>
      </c>
      <c r="AB1967" t="s">
        <v>44</v>
      </c>
      <c r="AC1967" s="4">
        <v>5.1163389600000002</v>
      </c>
      <c r="AD1967" s="4">
        <v>5.0001424999999999</v>
      </c>
      <c r="AE1967" s="2">
        <v>5.12</v>
      </c>
      <c r="AF1967" s="4">
        <v>5.0001424999999999</v>
      </c>
      <c r="AG1967" s="2">
        <v>0</v>
      </c>
      <c r="AH1967" s="2">
        <v>385.45</v>
      </c>
      <c r="AI1967" s="2">
        <v>0</v>
      </c>
      <c r="AJ1967" s="5">
        <v>44673</v>
      </c>
      <c r="AK1967" t="s">
        <v>12251</v>
      </c>
      <c r="AL1967" s="2">
        <v>5.05</v>
      </c>
      <c r="AM1967" s="2">
        <v>0</v>
      </c>
      <c r="AN1967" s="2">
        <v>0</v>
      </c>
      <c r="AO1967" t="s">
        <v>44</v>
      </c>
      <c r="AP1967" t="s">
        <v>44</v>
      </c>
      <c r="AQ1967" t="s">
        <v>44</v>
      </c>
    </row>
    <row r="1968" spans="1:43" x14ac:dyDescent="0.2">
      <c r="A1968" t="s">
        <v>12250</v>
      </c>
      <c r="B1968" t="s">
        <v>45</v>
      </c>
      <c r="C1968" t="s">
        <v>47</v>
      </c>
      <c r="D1968" t="s">
        <v>51</v>
      </c>
      <c r="E1968" t="s">
        <v>52</v>
      </c>
      <c r="F1968" t="s">
        <v>51</v>
      </c>
      <c r="G1968" s="1">
        <v>258854</v>
      </c>
      <c r="H1968" s="2">
        <v>258854</v>
      </c>
      <c r="I1968" s="2">
        <v>258854</v>
      </c>
      <c r="J1968" s="2">
        <v>0</v>
      </c>
      <c r="K1968" s="2">
        <v>0</v>
      </c>
      <c r="L1968" s="2">
        <v>258854</v>
      </c>
      <c r="M1968" s="3"/>
      <c r="N1968" s="4">
        <v>5.8892000000000005E-4</v>
      </c>
      <c r="O1968" s="5" t="s">
        <v>44</v>
      </c>
      <c r="P1968" s="5" t="s">
        <v>44</v>
      </c>
      <c r="Q1968" s="1"/>
      <c r="R1968" s="2">
        <v>0.08</v>
      </c>
      <c r="S1968" s="6"/>
      <c r="T1968" t="s">
        <v>45</v>
      </c>
      <c r="U1968" t="s">
        <v>53</v>
      </c>
      <c r="V1968" t="s">
        <v>44</v>
      </c>
      <c r="W1968" t="s">
        <v>43</v>
      </c>
      <c r="X1968" t="s">
        <v>44</v>
      </c>
      <c r="Y1968" t="s">
        <v>44</v>
      </c>
      <c r="Z1968" t="s">
        <v>44</v>
      </c>
      <c r="AA1968" t="s">
        <v>44</v>
      </c>
      <c r="AB1968" t="s">
        <v>44</v>
      </c>
      <c r="AC1968" s="4">
        <v>5.1163389600000002</v>
      </c>
      <c r="AD1968" s="4">
        <v>5.0001424999999999</v>
      </c>
      <c r="AE1968" s="2">
        <v>5.12</v>
      </c>
      <c r="AF1968" s="4">
        <v>5.0001424999999999</v>
      </c>
      <c r="AG1968" s="2">
        <v>1.74</v>
      </c>
      <c r="AH1968" s="2">
        <v>258854</v>
      </c>
      <c r="AI1968" s="2">
        <v>0</v>
      </c>
      <c r="AJ1968" s="5">
        <v>44673</v>
      </c>
      <c r="AK1968" t="s">
        <v>12251</v>
      </c>
      <c r="AL1968" s="2">
        <v>5.05</v>
      </c>
      <c r="AM1968" s="2">
        <v>0</v>
      </c>
      <c r="AN1968" s="2">
        <v>0</v>
      </c>
      <c r="AO1968" t="s">
        <v>44</v>
      </c>
      <c r="AP1968" t="s">
        <v>44</v>
      </c>
      <c r="AQ1968" t="s">
        <v>43</v>
      </c>
    </row>
    <row r="1969" spans="1:43" x14ac:dyDescent="0.2">
      <c r="A1969" t="s">
        <v>12250</v>
      </c>
      <c r="B1969" t="s">
        <v>45</v>
      </c>
      <c r="C1969" t="s">
        <v>11005</v>
      </c>
      <c r="D1969" t="s">
        <v>11006</v>
      </c>
      <c r="E1969" t="s">
        <v>11007</v>
      </c>
      <c r="F1969" t="s">
        <v>11006</v>
      </c>
      <c r="G1969" s="1">
        <v>-48760.01</v>
      </c>
      <c r="H1969" s="2">
        <v>-48760.01</v>
      </c>
      <c r="I1969" s="2">
        <v>-48760.01</v>
      </c>
      <c r="J1969" s="2">
        <v>0</v>
      </c>
      <c r="K1969" s="2"/>
      <c r="L1969" s="2">
        <v>-48760.01</v>
      </c>
      <c r="M1969" s="3"/>
      <c r="N1969" s="4">
        <v>-1.1093E-4</v>
      </c>
      <c r="O1969" s="5" t="s">
        <v>44</v>
      </c>
      <c r="P1969" s="5">
        <v>73051</v>
      </c>
      <c r="Q1969" s="1">
        <v>0</v>
      </c>
      <c r="R1969" s="2">
        <v>0.08</v>
      </c>
      <c r="S1969" s="6"/>
      <c r="T1969" t="s">
        <v>45</v>
      </c>
      <c r="U1969" t="s">
        <v>11008</v>
      </c>
      <c r="V1969" t="s">
        <v>44</v>
      </c>
      <c r="W1969" t="s">
        <v>43</v>
      </c>
      <c r="X1969" t="s">
        <v>44</v>
      </c>
      <c r="Y1969" t="s">
        <v>44</v>
      </c>
      <c r="Z1969" t="s">
        <v>44</v>
      </c>
      <c r="AA1969" t="s">
        <v>44</v>
      </c>
      <c r="AB1969" t="s">
        <v>44</v>
      </c>
      <c r="AC1969" s="4">
        <v>5.1163389600000002</v>
      </c>
      <c r="AD1969" s="4">
        <v>5.0001424999999999</v>
      </c>
      <c r="AE1969" s="2">
        <v>5.12</v>
      </c>
      <c r="AF1969" s="4">
        <v>5.0001424999999999</v>
      </c>
      <c r="AG1969" s="2">
        <v>-0.33</v>
      </c>
      <c r="AH1969" s="2">
        <v>-48760.01</v>
      </c>
      <c r="AI1969" s="2">
        <v>0</v>
      </c>
      <c r="AJ1969" s="5">
        <v>44673</v>
      </c>
      <c r="AK1969" t="s">
        <v>12251</v>
      </c>
      <c r="AL1969" s="2">
        <v>5.05</v>
      </c>
      <c r="AM1969" s="2">
        <v>0</v>
      </c>
      <c r="AN1969" s="2">
        <v>0</v>
      </c>
      <c r="AO1969" t="s">
        <v>44</v>
      </c>
      <c r="AP1969" t="s">
        <v>44</v>
      </c>
      <c r="AQ1969" t="s">
        <v>44</v>
      </c>
    </row>
    <row r="1970" spans="1:43" x14ac:dyDescent="0.2">
      <c r="A1970" t="s">
        <v>12250</v>
      </c>
      <c r="B1970" t="s">
        <v>45</v>
      </c>
      <c r="C1970" t="s">
        <v>11005</v>
      </c>
      <c r="D1970" t="s">
        <v>11009</v>
      </c>
      <c r="E1970" t="s">
        <v>11010</v>
      </c>
      <c r="F1970" t="s">
        <v>44</v>
      </c>
      <c r="G1970" s="1">
        <v>-3702.62</v>
      </c>
      <c r="H1970" s="2">
        <v>-3702.62</v>
      </c>
      <c r="I1970" s="2">
        <v>-3702.62</v>
      </c>
      <c r="J1970" s="2">
        <v>0</v>
      </c>
      <c r="K1970" s="2"/>
      <c r="L1970" s="2">
        <v>-3702.62</v>
      </c>
      <c r="M1970" s="3"/>
      <c r="N1970" s="4">
        <v>-8.4200000000000007E-6</v>
      </c>
      <c r="O1970" s="5" t="s">
        <v>44</v>
      </c>
      <c r="P1970" s="5">
        <v>73051</v>
      </c>
      <c r="Q1970" s="1">
        <v>0</v>
      </c>
      <c r="R1970" s="2">
        <v>0.08</v>
      </c>
      <c r="S1970" s="6"/>
      <c r="T1970" t="s">
        <v>45</v>
      </c>
      <c r="U1970" t="s">
        <v>44</v>
      </c>
      <c r="V1970" t="s">
        <v>44</v>
      </c>
      <c r="W1970" t="s">
        <v>43</v>
      </c>
      <c r="X1970" t="s">
        <v>44</v>
      </c>
      <c r="Y1970" t="s">
        <v>44</v>
      </c>
      <c r="Z1970" t="s">
        <v>44</v>
      </c>
      <c r="AA1970" t="s">
        <v>44</v>
      </c>
      <c r="AB1970" t="s">
        <v>44</v>
      </c>
      <c r="AC1970" s="4">
        <v>5.1163389600000002</v>
      </c>
      <c r="AD1970" s="4">
        <v>5.0001424999999999</v>
      </c>
      <c r="AE1970" s="2">
        <v>5.12</v>
      </c>
      <c r="AF1970" s="4">
        <v>5.0001424999999999</v>
      </c>
      <c r="AG1970" s="2">
        <v>-0.02</v>
      </c>
      <c r="AH1970" s="2">
        <v>-3702.62</v>
      </c>
      <c r="AI1970" s="2">
        <v>0</v>
      </c>
      <c r="AJ1970" s="5">
        <v>44673</v>
      </c>
      <c r="AK1970" t="s">
        <v>12251</v>
      </c>
      <c r="AL1970" s="2">
        <v>5.05</v>
      </c>
      <c r="AM1970" s="2">
        <v>0</v>
      </c>
      <c r="AN1970" s="2">
        <v>0</v>
      </c>
      <c r="AO1970" t="s">
        <v>44</v>
      </c>
      <c r="AP1970" t="s">
        <v>44</v>
      </c>
      <c r="AQ1970" t="s">
        <v>44</v>
      </c>
    </row>
    <row r="1971" spans="1:43" x14ac:dyDescent="0.2">
      <c r="A1971" t="s">
        <v>12250</v>
      </c>
      <c r="B1971" t="s">
        <v>45</v>
      </c>
      <c r="C1971" t="s">
        <v>11005</v>
      </c>
      <c r="D1971" t="s">
        <v>11011</v>
      </c>
      <c r="E1971" t="s">
        <v>11012</v>
      </c>
      <c r="F1971" t="s">
        <v>44</v>
      </c>
      <c r="G1971" s="1">
        <v>-7391</v>
      </c>
      <c r="H1971" s="2">
        <v>-7391</v>
      </c>
      <c r="I1971" s="2">
        <v>-7391</v>
      </c>
      <c r="J1971" s="2">
        <v>0</v>
      </c>
      <c r="K1971" s="2"/>
      <c r="L1971" s="2">
        <v>-7391</v>
      </c>
      <c r="M1971" s="3"/>
      <c r="N1971" s="4">
        <v>-1.6820000000000002E-5</v>
      </c>
      <c r="O1971" s="5" t="s">
        <v>44</v>
      </c>
      <c r="P1971" s="5">
        <v>73051</v>
      </c>
      <c r="Q1971" s="1">
        <v>0</v>
      </c>
      <c r="R1971" s="2">
        <v>0.08</v>
      </c>
      <c r="S1971" s="6"/>
      <c r="T1971" t="s">
        <v>45</v>
      </c>
      <c r="U1971" t="s">
        <v>44</v>
      </c>
      <c r="V1971" t="s">
        <v>44</v>
      </c>
      <c r="W1971" t="s">
        <v>43</v>
      </c>
      <c r="X1971" t="s">
        <v>44</v>
      </c>
      <c r="Y1971" t="s">
        <v>44</v>
      </c>
      <c r="Z1971" t="s">
        <v>44</v>
      </c>
      <c r="AA1971" t="s">
        <v>44</v>
      </c>
      <c r="AB1971" t="s">
        <v>44</v>
      </c>
      <c r="AC1971" s="4">
        <v>5.1163389600000002</v>
      </c>
      <c r="AD1971" s="4">
        <v>5.0001424999999999</v>
      </c>
      <c r="AE1971" s="2">
        <v>5.12</v>
      </c>
      <c r="AF1971" s="4">
        <v>5.0001424999999999</v>
      </c>
      <c r="AG1971" s="2">
        <v>-0.05</v>
      </c>
      <c r="AH1971" s="2">
        <v>-7391</v>
      </c>
      <c r="AI1971" s="2">
        <v>0</v>
      </c>
      <c r="AJ1971" s="5">
        <v>44673</v>
      </c>
      <c r="AK1971" t="s">
        <v>12251</v>
      </c>
      <c r="AL1971" s="2">
        <v>5.05</v>
      </c>
      <c r="AM1971" s="2">
        <v>0</v>
      </c>
      <c r="AN1971" s="2">
        <v>0</v>
      </c>
      <c r="AO1971" t="s">
        <v>44</v>
      </c>
      <c r="AP1971" t="s">
        <v>44</v>
      </c>
      <c r="AQ1971" t="s">
        <v>44</v>
      </c>
    </row>
    <row r="1972" spans="1:43" x14ac:dyDescent="0.2">
      <c r="A1972" t="s">
        <v>12250</v>
      </c>
      <c r="B1972" t="s">
        <v>45</v>
      </c>
      <c r="C1972" t="s">
        <v>11005</v>
      </c>
      <c r="D1972" t="s">
        <v>11149</v>
      </c>
      <c r="E1972" t="s">
        <v>11150</v>
      </c>
      <c r="F1972" t="s">
        <v>44</v>
      </c>
      <c r="G1972" s="1">
        <v>-49140</v>
      </c>
      <c r="H1972" s="2">
        <v>-49140</v>
      </c>
      <c r="I1972" s="2">
        <v>-49140</v>
      </c>
      <c r="J1972" s="2">
        <v>0</v>
      </c>
      <c r="K1972" s="2"/>
      <c r="L1972" s="2">
        <v>-49140</v>
      </c>
      <c r="M1972" s="3"/>
      <c r="N1972" s="4">
        <v>-1.1179999999999999E-4</v>
      </c>
      <c r="O1972" s="5" t="s">
        <v>44</v>
      </c>
      <c r="P1972" s="5">
        <v>73051</v>
      </c>
      <c r="Q1972" s="1">
        <v>0</v>
      </c>
      <c r="R1972" s="2">
        <v>0.08</v>
      </c>
      <c r="S1972" s="6"/>
      <c r="T1972" t="s">
        <v>45</v>
      </c>
      <c r="U1972" t="s">
        <v>44</v>
      </c>
      <c r="V1972" t="s">
        <v>44</v>
      </c>
      <c r="W1972" t="s">
        <v>43</v>
      </c>
      <c r="X1972" t="s">
        <v>44</v>
      </c>
      <c r="Y1972" t="s">
        <v>44</v>
      </c>
      <c r="Z1972" t="s">
        <v>44</v>
      </c>
      <c r="AA1972" t="s">
        <v>44</v>
      </c>
      <c r="AB1972" t="s">
        <v>44</v>
      </c>
      <c r="AC1972" s="4">
        <v>5.1163389600000002</v>
      </c>
      <c r="AD1972" s="4">
        <v>5.0001424999999999</v>
      </c>
      <c r="AE1972" s="2">
        <v>5.12</v>
      </c>
      <c r="AF1972" s="4">
        <v>5.0001424999999999</v>
      </c>
      <c r="AG1972" s="2">
        <v>-0.33</v>
      </c>
      <c r="AH1972" s="2">
        <v>-49140</v>
      </c>
      <c r="AI1972" s="2">
        <v>0</v>
      </c>
      <c r="AJ1972" s="5">
        <v>44673</v>
      </c>
      <c r="AK1972" t="s">
        <v>12251</v>
      </c>
      <c r="AL1972" s="2">
        <v>5.05</v>
      </c>
      <c r="AM1972" s="2">
        <v>0</v>
      </c>
      <c r="AN1972" s="2">
        <v>0</v>
      </c>
      <c r="AO1972" t="s">
        <v>44</v>
      </c>
      <c r="AP1972" t="s">
        <v>44</v>
      </c>
      <c r="AQ1972" t="s">
        <v>44</v>
      </c>
    </row>
    <row r="1973" spans="1:43" x14ac:dyDescent="0.2">
      <c r="A1973" t="s">
        <v>12250</v>
      </c>
      <c r="B1973" t="s">
        <v>11024</v>
      </c>
      <c r="C1973" t="s">
        <v>57</v>
      </c>
      <c r="D1973" t="s">
        <v>11754</v>
      </c>
      <c r="E1973" t="s">
        <v>11754</v>
      </c>
      <c r="F1973" t="s">
        <v>11754</v>
      </c>
      <c r="G1973" s="1">
        <v>9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3">
        <v>20012</v>
      </c>
      <c r="N1973" s="4">
        <v>0</v>
      </c>
      <c r="O1973" s="5" t="s">
        <v>44</v>
      </c>
      <c r="P1973" s="5">
        <v>44727</v>
      </c>
      <c r="Q1973" s="1"/>
      <c r="R1973" s="2"/>
      <c r="S1973" s="6"/>
      <c r="T1973" t="s">
        <v>11026</v>
      </c>
      <c r="U1973" t="s">
        <v>11025</v>
      </c>
      <c r="V1973" t="s">
        <v>11027</v>
      </c>
      <c r="W1973" t="s">
        <v>43</v>
      </c>
      <c r="X1973" t="s">
        <v>44</v>
      </c>
      <c r="Y1973" t="s">
        <v>44</v>
      </c>
      <c r="Z1973" t="s">
        <v>44</v>
      </c>
      <c r="AA1973" t="s">
        <v>44</v>
      </c>
      <c r="AB1973" t="s">
        <v>44</v>
      </c>
      <c r="AC1973" s="4"/>
      <c r="AD1973" s="4"/>
      <c r="AE1973" s="2">
        <v>0</v>
      </c>
      <c r="AF1973" s="4">
        <v>0</v>
      </c>
      <c r="AG1973" s="2">
        <v>0</v>
      </c>
      <c r="AH1973" s="2">
        <v>1801080</v>
      </c>
      <c r="AI1973" s="2">
        <v>0</v>
      </c>
      <c r="AJ1973" s="5">
        <v>44673</v>
      </c>
      <c r="AK1973" t="s">
        <v>12251</v>
      </c>
      <c r="AL1973" s="2">
        <v>0</v>
      </c>
      <c r="AM1973" s="2">
        <v>0</v>
      </c>
      <c r="AN1973" s="2">
        <v>0</v>
      </c>
      <c r="AO1973" t="s">
        <v>44</v>
      </c>
      <c r="AP1973" t="s">
        <v>11755</v>
      </c>
      <c r="AQ1973" t="s">
        <v>11754</v>
      </c>
    </row>
    <row r="1974" spans="1:43" x14ac:dyDescent="0.2">
      <c r="A1974" t="s">
        <v>12250</v>
      </c>
      <c r="B1974" t="s">
        <v>11024</v>
      </c>
      <c r="C1974" t="s">
        <v>57</v>
      </c>
      <c r="D1974" t="s">
        <v>11756</v>
      </c>
      <c r="E1974" t="s">
        <v>11756</v>
      </c>
      <c r="F1974" t="s">
        <v>11756</v>
      </c>
      <c r="G1974" s="1">
        <v>9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3">
        <v>29067</v>
      </c>
      <c r="N1974" s="4">
        <v>0</v>
      </c>
      <c r="O1974" s="5" t="s">
        <v>44</v>
      </c>
      <c r="P1974" s="5">
        <v>44727</v>
      </c>
      <c r="Q1974" s="1"/>
      <c r="R1974" s="2"/>
      <c r="S1974" s="6"/>
      <c r="T1974" t="s">
        <v>11026</v>
      </c>
      <c r="U1974" t="s">
        <v>11025</v>
      </c>
      <c r="V1974" t="s">
        <v>11027</v>
      </c>
      <c r="W1974" t="s">
        <v>43</v>
      </c>
      <c r="X1974" t="s">
        <v>44</v>
      </c>
      <c r="Y1974" t="s">
        <v>44</v>
      </c>
      <c r="Z1974" t="s">
        <v>44</v>
      </c>
      <c r="AA1974" t="s">
        <v>44</v>
      </c>
      <c r="AB1974" t="s">
        <v>44</v>
      </c>
      <c r="AC1974" s="4"/>
      <c r="AD1974" s="4"/>
      <c r="AE1974" s="2">
        <v>0</v>
      </c>
      <c r="AF1974" s="4">
        <v>0</v>
      </c>
      <c r="AG1974" s="2">
        <v>0</v>
      </c>
      <c r="AH1974" s="2">
        <v>2616030</v>
      </c>
      <c r="AI1974" s="2">
        <v>0.01</v>
      </c>
      <c r="AJ1974" s="5">
        <v>44673</v>
      </c>
      <c r="AK1974" t="s">
        <v>12251</v>
      </c>
      <c r="AL1974" s="2">
        <v>0</v>
      </c>
      <c r="AM1974" s="2">
        <v>0</v>
      </c>
      <c r="AN1974" s="2">
        <v>0</v>
      </c>
      <c r="AO1974" t="s">
        <v>44</v>
      </c>
      <c r="AP1974" t="s">
        <v>11757</v>
      </c>
      <c r="AQ1974" t="s">
        <v>11756</v>
      </c>
    </row>
    <row r="1975" spans="1:43" x14ac:dyDescent="0.2">
      <c r="A1975" t="s">
        <v>12250</v>
      </c>
      <c r="B1975" t="s">
        <v>11037</v>
      </c>
      <c r="C1975" t="s">
        <v>11276</v>
      </c>
      <c r="D1975" t="s">
        <v>6473</v>
      </c>
      <c r="E1975" t="s">
        <v>4464</v>
      </c>
      <c r="F1975" t="s">
        <v>6473</v>
      </c>
      <c r="G1975" s="1">
        <v>300</v>
      </c>
      <c r="H1975" s="2">
        <v>34295.97</v>
      </c>
      <c r="I1975" s="2">
        <v>30000</v>
      </c>
      <c r="J1975" s="2">
        <v>0</v>
      </c>
      <c r="K1975" s="2">
        <v>0</v>
      </c>
      <c r="L1975" s="2">
        <v>30000</v>
      </c>
      <c r="M1975" s="3">
        <v>10000</v>
      </c>
      <c r="N1975" s="4">
        <v>6.8250000000000006E-5</v>
      </c>
      <c r="O1975" s="5" t="s">
        <v>44</v>
      </c>
      <c r="P1975" s="5" t="s">
        <v>44</v>
      </c>
      <c r="Q1975" s="1"/>
      <c r="R1975" s="2"/>
      <c r="S1975" s="6"/>
      <c r="T1975" t="s">
        <v>10902</v>
      </c>
      <c r="U1975" t="s">
        <v>10902</v>
      </c>
      <c r="V1975" t="s">
        <v>10902</v>
      </c>
      <c r="W1975" t="s">
        <v>43</v>
      </c>
      <c r="X1975" t="s">
        <v>11277</v>
      </c>
      <c r="Y1975" t="s">
        <v>11277</v>
      </c>
      <c r="Z1975" t="s">
        <v>11276</v>
      </c>
      <c r="AA1975" t="s">
        <v>44</v>
      </c>
      <c r="AB1975" t="s">
        <v>44</v>
      </c>
      <c r="AC1975" s="4"/>
      <c r="AD1975" s="4"/>
      <c r="AE1975" s="2">
        <v>0</v>
      </c>
      <c r="AF1975" s="4">
        <v>0</v>
      </c>
      <c r="AG1975" s="2">
        <v>0.2</v>
      </c>
      <c r="AH1975" s="2">
        <v>30000</v>
      </c>
      <c r="AI1975" s="2">
        <v>0</v>
      </c>
      <c r="AJ1975" s="5">
        <v>44673</v>
      </c>
      <c r="AK1975" t="s">
        <v>12251</v>
      </c>
      <c r="AL1975" s="2">
        <v>0</v>
      </c>
      <c r="AM1975" s="2">
        <v>0</v>
      </c>
      <c r="AN1975" s="2">
        <v>0</v>
      </c>
      <c r="AO1975" t="s">
        <v>44</v>
      </c>
      <c r="AP1975" t="s">
        <v>11278</v>
      </c>
      <c r="AQ1975" t="s">
        <v>4464</v>
      </c>
    </row>
    <row r="1976" spans="1:43" x14ac:dyDescent="0.2">
      <c r="A1976" t="s">
        <v>12250</v>
      </c>
      <c r="B1976" t="s">
        <v>11037</v>
      </c>
      <c r="C1976" t="s">
        <v>11276</v>
      </c>
      <c r="D1976" t="s">
        <v>6316</v>
      </c>
      <c r="E1976" t="s">
        <v>4585</v>
      </c>
      <c r="F1976" t="s">
        <v>6316</v>
      </c>
      <c r="G1976" s="1">
        <v>271</v>
      </c>
      <c r="H1976" s="2">
        <v>59498.78</v>
      </c>
      <c r="I1976" s="2">
        <v>65722.92</v>
      </c>
      <c r="J1976" s="2">
        <v>0</v>
      </c>
      <c r="K1976" s="2">
        <v>0</v>
      </c>
      <c r="L1976" s="2">
        <v>65722.92</v>
      </c>
      <c r="M1976" s="3">
        <v>24252</v>
      </c>
      <c r="N1976" s="4">
        <v>1.4953000000000001E-4</v>
      </c>
      <c r="O1976" s="5" t="s">
        <v>44</v>
      </c>
      <c r="P1976" s="5" t="s">
        <v>44</v>
      </c>
      <c r="Q1976" s="1"/>
      <c r="R1976" s="2"/>
      <c r="S1976" s="6"/>
      <c r="T1976" t="s">
        <v>10902</v>
      </c>
      <c r="U1976" t="s">
        <v>10902</v>
      </c>
      <c r="V1976" t="s">
        <v>10902</v>
      </c>
      <c r="W1976" t="s">
        <v>43</v>
      </c>
      <c r="X1976" t="s">
        <v>11279</v>
      </c>
      <c r="Y1976" t="s">
        <v>11280</v>
      </c>
      <c r="Z1976" t="s">
        <v>11276</v>
      </c>
      <c r="AA1976" t="s">
        <v>44</v>
      </c>
      <c r="AB1976" t="s">
        <v>44</v>
      </c>
      <c r="AC1976" s="4"/>
      <c r="AD1976" s="4"/>
      <c r="AE1976" s="2">
        <v>0</v>
      </c>
      <c r="AF1976" s="4">
        <v>0</v>
      </c>
      <c r="AG1976" s="2">
        <v>0.44</v>
      </c>
      <c r="AH1976" s="2">
        <v>65722.92</v>
      </c>
      <c r="AI1976" s="2">
        <v>0</v>
      </c>
      <c r="AJ1976" s="5">
        <v>44673</v>
      </c>
      <c r="AK1976" t="s">
        <v>12251</v>
      </c>
      <c r="AL1976" s="2">
        <v>0</v>
      </c>
      <c r="AM1976" s="2">
        <v>0</v>
      </c>
      <c r="AN1976" s="2">
        <v>0</v>
      </c>
      <c r="AO1976" t="s">
        <v>44</v>
      </c>
      <c r="AP1976" t="s">
        <v>11281</v>
      </c>
      <c r="AQ1976" t="s">
        <v>4585</v>
      </c>
    </row>
    <row r="1977" spans="1:43" x14ac:dyDescent="0.2">
      <c r="A1977" t="s">
        <v>12250</v>
      </c>
      <c r="B1977" t="s">
        <v>11037</v>
      </c>
      <c r="C1977" t="s">
        <v>11276</v>
      </c>
      <c r="D1977" t="s">
        <v>11661</v>
      </c>
      <c r="E1977" t="s">
        <v>4578</v>
      </c>
      <c r="F1977" t="s">
        <v>11661</v>
      </c>
      <c r="G1977" s="1">
        <v>152</v>
      </c>
      <c r="H1977" s="2">
        <v>110587.55</v>
      </c>
      <c r="I1977" s="2">
        <v>106927.44</v>
      </c>
      <c r="J1977" s="2">
        <v>0</v>
      </c>
      <c r="K1977" s="2">
        <v>1007.84</v>
      </c>
      <c r="L1977" s="2">
        <v>107935.28</v>
      </c>
      <c r="M1977" s="3">
        <v>70347</v>
      </c>
      <c r="N1977" s="4">
        <v>2.4555999999999997E-4</v>
      </c>
      <c r="O1977" s="5" t="s">
        <v>44</v>
      </c>
      <c r="P1977" s="5" t="s">
        <v>44</v>
      </c>
      <c r="Q1977" s="1"/>
      <c r="R1977" s="2"/>
      <c r="S1977" s="6"/>
      <c r="T1977" t="s">
        <v>10902</v>
      </c>
      <c r="U1977" t="s">
        <v>10902</v>
      </c>
      <c r="V1977" t="s">
        <v>10902</v>
      </c>
      <c r="W1977" t="s">
        <v>43</v>
      </c>
      <c r="X1977" t="s">
        <v>11279</v>
      </c>
      <c r="Y1977" t="s">
        <v>11280</v>
      </c>
      <c r="Z1977" t="s">
        <v>11276</v>
      </c>
      <c r="AA1977" t="s">
        <v>44</v>
      </c>
      <c r="AB1977" t="s">
        <v>44</v>
      </c>
      <c r="AC1977" s="4"/>
      <c r="AD1977" s="4"/>
      <c r="AE1977" s="2">
        <v>0</v>
      </c>
      <c r="AF1977" s="4">
        <v>0</v>
      </c>
      <c r="AG1977" s="2">
        <v>0.72</v>
      </c>
      <c r="AH1977" s="2">
        <v>107935.28</v>
      </c>
      <c r="AI1977" s="2">
        <v>0</v>
      </c>
      <c r="AJ1977" s="5">
        <v>44673</v>
      </c>
      <c r="AK1977" t="s">
        <v>12251</v>
      </c>
      <c r="AL1977" s="2">
        <v>0</v>
      </c>
      <c r="AM1977" s="2">
        <v>0</v>
      </c>
      <c r="AN1977" s="2">
        <v>0</v>
      </c>
      <c r="AO1977" t="s">
        <v>44</v>
      </c>
      <c r="AP1977" t="s">
        <v>2559</v>
      </c>
      <c r="AQ1977" t="s">
        <v>4578</v>
      </c>
    </row>
    <row r="1978" spans="1:43" x14ac:dyDescent="0.2">
      <c r="A1978" t="s">
        <v>12250</v>
      </c>
      <c r="B1978" t="s">
        <v>11037</v>
      </c>
      <c r="C1978" t="s">
        <v>11276</v>
      </c>
      <c r="D1978" t="s">
        <v>11284</v>
      </c>
      <c r="E1978" t="s">
        <v>4506</v>
      </c>
      <c r="F1978" t="s">
        <v>11284</v>
      </c>
      <c r="G1978" s="1">
        <v>1093</v>
      </c>
      <c r="H1978" s="2">
        <v>66278.63</v>
      </c>
      <c r="I1978" s="2">
        <v>71897.539999999994</v>
      </c>
      <c r="J1978" s="2">
        <v>0</v>
      </c>
      <c r="K1978" s="2">
        <v>0</v>
      </c>
      <c r="L1978" s="2">
        <v>71897.539999999994</v>
      </c>
      <c r="M1978" s="3">
        <v>6578</v>
      </c>
      <c r="N1978" s="4">
        <v>1.6357000000000001E-4</v>
      </c>
      <c r="O1978" s="5" t="s">
        <v>44</v>
      </c>
      <c r="P1978" s="5" t="s">
        <v>44</v>
      </c>
      <c r="Q1978" s="1"/>
      <c r="R1978" s="2"/>
      <c r="S1978" s="6"/>
      <c r="T1978" t="s">
        <v>10902</v>
      </c>
      <c r="U1978" t="s">
        <v>10902</v>
      </c>
      <c r="V1978" t="s">
        <v>10902</v>
      </c>
      <c r="W1978" t="s">
        <v>43</v>
      </c>
      <c r="X1978" t="s">
        <v>11279</v>
      </c>
      <c r="Y1978" t="s">
        <v>11280</v>
      </c>
      <c r="Z1978" t="s">
        <v>11276</v>
      </c>
      <c r="AA1978" t="s">
        <v>44</v>
      </c>
      <c r="AB1978" t="s">
        <v>44</v>
      </c>
      <c r="AC1978" s="4"/>
      <c r="AD1978" s="4"/>
      <c r="AE1978" s="2">
        <v>0</v>
      </c>
      <c r="AF1978" s="4">
        <v>0</v>
      </c>
      <c r="AG1978" s="2">
        <v>0.48</v>
      </c>
      <c r="AH1978" s="2">
        <v>71897.539999999994</v>
      </c>
      <c r="AI1978" s="2">
        <v>0</v>
      </c>
      <c r="AJ1978" s="5">
        <v>44673</v>
      </c>
      <c r="AK1978" t="s">
        <v>12251</v>
      </c>
      <c r="AL1978" s="2">
        <v>0</v>
      </c>
      <c r="AM1978" s="2">
        <v>0</v>
      </c>
      <c r="AN1978" s="2">
        <v>0</v>
      </c>
      <c r="AO1978" t="s">
        <v>44</v>
      </c>
      <c r="AP1978" t="s">
        <v>11285</v>
      </c>
      <c r="AQ1978" t="s">
        <v>4506</v>
      </c>
    </row>
    <row r="1979" spans="1:43" x14ac:dyDescent="0.2">
      <c r="A1979" t="s">
        <v>12250</v>
      </c>
      <c r="B1979" t="s">
        <v>11037</v>
      </c>
      <c r="C1979" t="s">
        <v>11276</v>
      </c>
      <c r="D1979" t="s">
        <v>6278</v>
      </c>
      <c r="E1979" t="s">
        <v>4640</v>
      </c>
      <c r="F1979" t="s">
        <v>6278</v>
      </c>
      <c r="G1979" s="1">
        <v>146</v>
      </c>
      <c r="H1979" s="2">
        <v>66963.47</v>
      </c>
      <c r="I1979" s="2">
        <v>73978.2</v>
      </c>
      <c r="J1979" s="2">
        <v>0</v>
      </c>
      <c r="K1979" s="2">
        <v>0</v>
      </c>
      <c r="L1979" s="2">
        <v>73978.2</v>
      </c>
      <c r="M1979" s="3">
        <v>50670</v>
      </c>
      <c r="N1979" s="4">
        <v>1.6830999999999999E-4</v>
      </c>
      <c r="O1979" s="5" t="s">
        <v>44</v>
      </c>
      <c r="P1979" s="5" t="s">
        <v>44</v>
      </c>
      <c r="Q1979" s="1"/>
      <c r="R1979" s="2"/>
      <c r="S1979" s="6"/>
      <c r="T1979" t="s">
        <v>10902</v>
      </c>
      <c r="U1979" t="s">
        <v>10902</v>
      </c>
      <c r="V1979" t="s">
        <v>10902</v>
      </c>
      <c r="W1979" t="s">
        <v>43</v>
      </c>
      <c r="X1979" t="s">
        <v>11286</v>
      </c>
      <c r="Y1979" t="s">
        <v>11280</v>
      </c>
      <c r="Z1979" t="s">
        <v>11276</v>
      </c>
      <c r="AA1979" t="s">
        <v>44</v>
      </c>
      <c r="AB1979" t="s">
        <v>44</v>
      </c>
      <c r="AC1979" s="4"/>
      <c r="AD1979" s="4"/>
      <c r="AE1979" s="2">
        <v>0</v>
      </c>
      <c r="AF1979" s="4">
        <v>0</v>
      </c>
      <c r="AG1979" s="2">
        <v>0.5</v>
      </c>
      <c r="AH1979" s="2">
        <v>73978.2</v>
      </c>
      <c r="AI1979" s="2">
        <v>0</v>
      </c>
      <c r="AJ1979" s="5">
        <v>44673</v>
      </c>
      <c r="AK1979" t="s">
        <v>12251</v>
      </c>
      <c r="AL1979" s="2">
        <v>0</v>
      </c>
      <c r="AM1979" s="2">
        <v>0</v>
      </c>
      <c r="AN1979" s="2">
        <v>0</v>
      </c>
      <c r="AO1979" t="s">
        <v>44</v>
      </c>
      <c r="AP1979" t="s">
        <v>11287</v>
      </c>
      <c r="AQ1979" t="s">
        <v>4640</v>
      </c>
    </row>
    <row r="1980" spans="1:43" x14ac:dyDescent="0.2">
      <c r="A1980" t="s">
        <v>12250</v>
      </c>
      <c r="B1980" t="s">
        <v>11037</v>
      </c>
      <c r="C1980" t="s">
        <v>11276</v>
      </c>
      <c r="D1980" t="s">
        <v>11290</v>
      </c>
      <c r="E1980" t="s">
        <v>4478</v>
      </c>
      <c r="F1980" t="s">
        <v>11290</v>
      </c>
      <c r="G1980" s="1">
        <v>500</v>
      </c>
      <c r="H1980" s="2">
        <v>33570.83</v>
      </c>
      <c r="I1980" s="2">
        <v>39200</v>
      </c>
      <c r="J1980" s="2">
        <v>0</v>
      </c>
      <c r="K1980" s="2">
        <v>0</v>
      </c>
      <c r="L1980" s="2">
        <v>39200</v>
      </c>
      <c r="M1980" s="3">
        <v>7840</v>
      </c>
      <c r="N1980" s="4">
        <v>8.9179999999999997E-5</v>
      </c>
      <c r="O1980" s="5" t="s">
        <v>44</v>
      </c>
      <c r="P1980" s="5" t="s">
        <v>44</v>
      </c>
      <c r="Q1980" s="1"/>
      <c r="R1980" s="2"/>
      <c r="S1980" s="6"/>
      <c r="T1980" t="s">
        <v>10902</v>
      </c>
      <c r="U1980" t="s">
        <v>10902</v>
      </c>
      <c r="V1980" t="s">
        <v>10902</v>
      </c>
      <c r="W1980" t="s">
        <v>43</v>
      </c>
      <c r="X1980" t="s">
        <v>11277</v>
      </c>
      <c r="Y1980" t="s">
        <v>11277</v>
      </c>
      <c r="Z1980" t="s">
        <v>11276</v>
      </c>
      <c r="AA1980" t="s">
        <v>44</v>
      </c>
      <c r="AB1980" t="s">
        <v>44</v>
      </c>
      <c r="AC1980" s="4"/>
      <c r="AD1980" s="4"/>
      <c r="AE1980" s="2">
        <v>0</v>
      </c>
      <c r="AF1980" s="4">
        <v>0</v>
      </c>
      <c r="AG1980" s="2">
        <v>0.26</v>
      </c>
      <c r="AH1980" s="2">
        <v>39200</v>
      </c>
      <c r="AI1980" s="2">
        <v>0</v>
      </c>
      <c r="AJ1980" s="5">
        <v>44673</v>
      </c>
      <c r="AK1980" t="s">
        <v>12251</v>
      </c>
      <c r="AL1980" s="2">
        <v>0</v>
      </c>
      <c r="AM1980" s="2">
        <v>0</v>
      </c>
      <c r="AN1980" s="2">
        <v>0</v>
      </c>
      <c r="AO1980" t="s">
        <v>44</v>
      </c>
      <c r="AP1980" t="s">
        <v>11291</v>
      </c>
      <c r="AQ1980" t="s">
        <v>4478</v>
      </c>
    </row>
    <row r="1981" spans="1:43" x14ac:dyDescent="0.2">
      <c r="A1981" t="s">
        <v>12250</v>
      </c>
      <c r="B1981" t="s">
        <v>11037</v>
      </c>
      <c r="C1981" t="s">
        <v>11276</v>
      </c>
      <c r="D1981" t="s">
        <v>6743</v>
      </c>
      <c r="E1981" t="s">
        <v>4570</v>
      </c>
      <c r="F1981" t="s">
        <v>6743</v>
      </c>
      <c r="G1981" s="1">
        <v>221</v>
      </c>
      <c r="H1981" s="2">
        <v>20414.84</v>
      </c>
      <c r="I1981" s="2">
        <v>34151.129999999997</v>
      </c>
      <c r="J1981" s="2">
        <v>0</v>
      </c>
      <c r="K1981" s="2">
        <v>0</v>
      </c>
      <c r="L1981" s="2">
        <v>34151.129999999997</v>
      </c>
      <c r="M1981" s="3">
        <v>15453</v>
      </c>
      <c r="N1981" s="4">
        <v>7.7700000000000005E-5</v>
      </c>
      <c r="O1981" s="5" t="s">
        <v>44</v>
      </c>
      <c r="P1981" s="5" t="s">
        <v>44</v>
      </c>
      <c r="Q1981" s="1"/>
      <c r="R1981" s="2"/>
      <c r="S1981" s="6"/>
      <c r="T1981" t="s">
        <v>10902</v>
      </c>
      <c r="U1981" t="s">
        <v>10902</v>
      </c>
      <c r="V1981" t="s">
        <v>10902</v>
      </c>
      <c r="W1981" t="s">
        <v>43</v>
      </c>
      <c r="X1981" t="s">
        <v>11279</v>
      </c>
      <c r="Y1981" t="s">
        <v>11280</v>
      </c>
      <c r="Z1981" t="s">
        <v>11276</v>
      </c>
      <c r="AA1981" t="s">
        <v>44</v>
      </c>
      <c r="AB1981" t="s">
        <v>44</v>
      </c>
      <c r="AC1981" s="4"/>
      <c r="AD1981" s="4"/>
      <c r="AE1981" s="2">
        <v>0</v>
      </c>
      <c r="AF1981" s="4">
        <v>0</v>
      </c>
      <c r="AG1981" s="2">
        <v>0.23</v>
      </c>
      <c r="AH1981" s="2">
        <v>34151.129999999997</v>
      </c>
      <c r="AI1981" s="2">
        <v>0</v>
      </c>
      <c r="AJ1981" s="5">
        <v>44673</v>
      </c>
      <c r="AK1981" t="s">
        <v>12251</v>
      </c>
      <c r="AL1981" s="2">
        <v>0</v>
      </c>
      <c r="AM1981" s="2">
        <v>0</v>
      </c>
      <c r="AN1981" s="2">
        <v>0</v>
      </c>
      <c r="AO1981" t="s">
        <v>44</v>
      </c>
      <c r="AP1981" t="s">
        <v>11294</v>
      </c>
      <c r="AQ1981" t="s">
        <v>4570</v>
      </c>
    </row>
    <row r="1982" spans="1:43" x14ac:dyDescent="0.2">
      <c r="A1982" t="s">
        <v>12250</v>
      </c>
      <c r="B1982" t="s">
        <v>11037</v>
      </c>
      <c r="C1982" t="s">
        <v>11276</v>
      </c>
      <c r="D1982" t="s">
        <v>6209</v>
      </c>
      <c r="E1982" t="s">
        <v>520</v>
      </c>
      <c r="F1982" t="s">
        <v>6209</v>
      </c>
      <c r="G1982" s="1">
        <v>1700</v>
      </c>
      <c r="H1982" s="2">
        <v>89254.02</v>
      </c>
      <c r="I1982" s="2">
        <v>92718</v>
      </c>
      <c r="J1982" s="2">
        <v>0</v>
      </c>
      <c r="K1982" s="2">
        <v>0</v>
      </c>
      <c r="L1982" s="2">
        <v>92718</v>
      </c>
      <c r="M1982" s="3">
        <v>5454</v>
      </c>
      <c r="N1982" s="4">
        <v>2.1094000000000001E-4</v>
      </c>
      <c r="O1982" s="5" t="s">
        <v>44</v>
      </c>
      <c r="P1982" s="5" t="s">
        <v>44</v>
      </c>
      <c r="Q1982" s="1"/>
      <c r="R1982" s="2"/>
      <c r="S1982" s="6"/>
      <c r="T1982" t="s">
        <v>10902</v>
      </c>
      <c r="U1982" t="s">
        <v>10902</v>
      </c>
      <c r="V1982" t="s">
        <v>10902</v>
      </c>
      <c r="W1982" t="s">
        <v>43</v>
      </c>
      <c r="X1982" t="s">
        <v>11289</v>
      </c>
      <c r="Y1982" t="s">
        <v>11280</v>
      </c>
      <c r="Z1982" t="s">
        <v>11276</v>
      </c>
      <c r="AA1982" t="s">
        <v>44</v>
      </c>
      <c r="AB1982" t="s">
        <v>44</v>
      </c>
      <c r="AC1982" s="4"/>
      <c r="AD1982" s="4"/>
      <c r="AE1982" s="2">
        <v>0</v>
      </c>
      <c r="AF1982" s="4">
        <v>0</v>
      </c>
      <c r="AG1982" s="2">
        <v>0.62</v>
      </c>
      <c r="AH1982" s="2">
        <v>92718</v>
      </c>
      <c r="AI1982" s="2">
        <v>0</v>
      </c>
      <c r="AJ1982" s="5">
        <v>44673</v>
      </c>
      <c r="AK1982" t="s">
        <v>12251</v>
      </c>
      <c r="AL1982" s="2">
        <v>0</v>
      </c>
      <c r="AM1982" s="2">
        <v>0</v>
      </c>
      <c r="AN1982" s="2">
        <v>0</v>
      </c>
      <c r="AO1982" t="s">
        <v>44</v>
      </c>
      <c r="AP1982" t="s">
        <v>11295</v>
      </c>
      <c r="AQ1982" t="s">
        <v>520</v>
      </c>
    </row>
    <row r="1983" spans="1:43" x14ac:dyDescent="0.2">
      <c r="A1983" t="s">
        <v>12250</v>
      </c>
      <c r="B1983" t="s">
        <v>11037</v>
      </c>
      <c r="C1983" t="s">
        <v>11276</v>
      </c>
      <c r="D1983" t="s">
        <v>11678</v>
      </c>
      <c r="E1983" t="s">
        <v>11679</v>
      </c>
      <c r="F1983" t="s">
        <v>11680</v>
      </c>
      <c r="G1983" s="1">
        <v>198</v>
      </c>
      <c r="H1983" s="2">
        <v>21093.34</v>
      </c>
      <c r="I1983" s="2">
        <v>46573.56</v>
      </c>
      <c r="J1983" s="2">
        <v>0</v>
      </c>
      <c r="K1983" s="2">
        <v>0</v>
      </c>
      <c r="L1983" s="2">
        <v>46573.56</v>
      </c>
      <c r="M1983" s="3">
        <v>23522</v>
      </c>
      <c r="N1983" s="4">
        <v>1.0596E-4</v>
      </c>
      <c r="O1983" s="5" t="s">
        <v>44</v>
      </c>
      <c r="P1983" s="5" t="s">
        <v>44</v>
      </c>
      <c r="Q1983" s="1"/>
      <c r="R1983" s="2"/>
      <c r="S1983" s="6"/>
      <c r="T1983" t="s">
        <v>10902</v>
      </c>
      <c r="U1983" t="s">
        <v>10902</v>
      </c>
      <c r="V1983" t="s">
        <v>10902</v>
      </c>
      <c r="W1983" t="s">
        <v>43</v>
      </c>
      <c r="X1983" t="s">
        <v>11279</v>
      </c>
      <c r="Y1983" t="s">
        <v>11280</v>
      </c>
      <c r="Z1983" t="s">
        <v>11276</v>
      </c>
      <c r="AA1983" t="s">
        <v>44</v>
      </c>
      <c r="AB1983" t="s">
        <v>44</v>
      </c>
      <c r="AC1983" s="4"/>
      <c r="AD1983" s="4"/>
      <c r="AE1983" s="2">
        <v>0</v>
      </c>
      <c r="AF1983" s="4">
        <v>0</v>
      </c>
      <c r="AG1983" s="2">
        <v>0.31</v>
      </c>
      <c r="AH1983" s="2">
        <v>46573.56</v>
      </c>
      <c r="AI1983" s="2">
        <v>0</v>
      </c>
      <c r="AJ1983" s="5">
        <v>44673</v>
      </c>
      <c r="AK1983" t="s">
        <v>12251</v>
      </c>
      <c r="AL1983" s="2">
        <v>0</v>
      </c>
      <c r="AM1983" s="2">
        <v>0</v>
      </c>
      <c r="AN1983" s="2">
        <v>0</v>
      </c>
      <c r="AO1983" t="s">
        <v>44</v>
      </c>
      <c r="AP1983" t="s">
        <v>11681</v>
      </c>
      <c r="AQ1983" t="s">
        <v>11679</v>
      </c>
    </row>
    <row r="1984" spans="1:43" x14ac:dyDescent="0.2">
      <c r="A1984" t="s">
        <v>12250</v>
      </c>
      <c r="B1984" t="s">
        <v>11037</v>
      </c>
      <c r="C1984" t="s">
        <v>11296</v>
      </c>
      <c r="D1984" t="s">
        <v>6200</v>
      </c>
      <c r="E1984" t="s">
        <v>5051</v>
      </c>
      <c r="F1984" t="s">
        <v>6200</v>
      </c>
      <c r="G1984" s="1">
        <v>1063</v>
      </c>
      <c r="H1984" s="2">
        <v>87361.96</v>
      </c>
      <c r="I1984" s="2">
        <v>72921.8</v>
      </c>
      <c r="J1984" s="2">
        <v>0</v>
      </c>
      <c r="K1984" s="2">
        <v>0</v>
      </c>
      <c r="L1984" s="2">
        <v>72921.8</v>
      </c>
      <c r="M1984" s="3">
        <v>6860</v>
      </c>
      <c r="N1984" s="4">
        <v>1.6589999999999999E-4</v>
      </c>
      <c r="O1984" s="5" t="s">
        <v>44</v>
      </c>
      <c r="P1984" s="5" t="s">
        <v>44</v>
      </c>
      <c r="Q1984" s="1"/>
      <c r="R1984" s="2"/>
      <c r="S1984" s="6"/>
      <c r="T1984" t="s">
        <v>10902</v>
      </c>
      <c r="U1984" t="s">
        <v>10902</v>
      </c>
      <c r="V1984" t="s">
        <v>10902</v>
      </c>
      <c r="W1984" t="s">
        <v>43</v>
      </c>
      <c r="X1984" t="s">
        <v>11300</v>
      </c>
      <c r="Y1984" t="s">
        <v>11299</v>
      </c>
      <c r="Z1984" t="s">
        <v>11296</v>
      </c>
      <c r="AA1984" t="s">
        <v>44</v>
      </c>
      <c r="AB1984" t="s">
        <v>44</v>
      </c>
      <c r="AC1984" s="4"/>
      <c r="AD1984" s="4"/>
      <c r="AE1984" s="2">
        <v>0</v>
      </c>
      <c r="AF1984" s="4">
        <v>0</v>
      </c>
      <c r="AG1984" s="2">
        <v>0.49</v>
      </c>
      <c r="AH1984" s="2">
        <v>72921.8</v>
      </c>
      <c r="AI1984" s="2">
        <v>0</v>
      </c>
      <c r="AJ1984" s="5">
        <v>44673</v>
      </c>
      <c r="AK1984" t="s">
        <v>12251</v>
      </c>
      <c r="AL1984" s="2">
        <v>0</v>
      </c>
      <c r="AM1984" s="2">
        <v>0</v>
      </c>
      <c r="AN1984" s="2">
        <v>0</v>
      </c>
      <c r="AO1984" t="s">
        <v>44</v>
      </c>
      <c r="AP1984" t="s">
        <v>11301</v>
      </c>
      <c r="AQ1984" t="s">
        <v>5051</v>
      </c>
    </row>
    <row r="1985" spans="1:43" x14ac:dyDescent="0.2">
      <c r="A1985" t="s">
        <v>12250</v>
      </c>
      <c r="B1985" t="s">
        <v>11037</v>
      </c>
      <c r="C1985" t="s">
        <v>11296</v>
      </c>
      <c r="D1985" t="s">
        <v>6458</v>
      </c>
      <c r="E1985" t="s">
        <v>5402</v>
      </c>
      <c r="F1985" t="s">
        <v>11302</v>
      </c>
      <c r="G1985" s="1">
        <v>250</v>
      </c>
      <c r="H1985" s="2">
        <v>42779.9</v>
      </c>
      <c r="I1985" s="2">
        <v>43250</v>
      </c>
      <c r="J1985" s="2">
        <v>0</v>
      </c>
      <c r="K1985" s="2">
        <v>0</v>
      </c>
      <c r="L1985" s="2">
        <v>43250</v>
      </c>
      <c r="M1985" s="3">
        <v>17300</v>
      </c>
      <c r="N1985" s="4">
        <v>9.8400000000000007E-5</v>
      </c>
      <c r="O1985" s="5" t="s">
        <v>44</v>
      </c>
      <c r="P1985" s="5" t="s">
        <v>44</v>
      </c>
      <c r="Q1985" s="1"/>
      <c r="R1985" s="2"/>
      <c r="S1985" s="6"/>
      <c r="T1985" t="s">
        <v>10902</v>
      </c>
      <c r="U1985" t="s">
        <v>10902</v>
      </c>
      <c r="V1985" t="s">
        <v>10902</v>
      </c>
      <c r="W1985" t="s">
        <v>43</v>
      </c>
      <c r="X1985" t="s">
        <v>11298</v>
      </c>
      <c r="Y1985" t="s">
        <v>11299</v>
      </c>
      <c r="Z1985" t="s">
        <v>11296</v>
      </c>
      <c r="AA1985" t="s">
        <v>44</v>
      </c>
      <c r="AB1985" t="s">
        <v>44</v>
      </c>
      <c r="AC1985" s="4"/>
      <c r="AD1985" s="4"/>
      <c r="AE1985" s="2">
        <v>0</v>
      </c>
      <c r="AF1985" s="4">
        <v>0</v>
      </c>
      <c r="AG1985" s="2">
        <v>0.28999999999999998</v>
      </c>
      <c r="AH1985" s="2">
        <v>43250</v>
      </c>
      <c r="AI1985" s="2">
        <v>0</v>
      </c>
      <c r="AJ1985" s="5">
        <v>44673</v>
      </c>
      <c r="AK1985" t="s">
        <v>12251</v>
      </c>
      <c r="AL1985" s="2">
        <v>0</v>
      </c>
      <c r="AM1985" s="2">
        <v>0</v>
      </c>
      <c r="AN1985" s="2">
        <v>0</v>
      </c>
      <c r="AO1985" t="s">
        <v>44</v>
      </c>
      <c r="AP1985" t="s">
        <v>11303</v>
      </c>
      <c r="AQ1985" t="s">
        <v>5402</v>
      </c>
    </row>
    <row r="1986" spans="1:43" x14ac:dyDescent="0.2">
      <c r="A1986" t="s">
        <v>12250</v>
      </c>
      <c r="B1986" t="s">
        <v>11037</v>
      </c>
      <c r="C1986" t="s">
        <v>11296</v>
      </c>
      <c r="D1986" t="s">
        <v>6137</v>
      </c>
      <c r="E1986" t="s">
        <v>4926</v>
      </c>
      <c r="F1986" t="s">
        <v>6137</v>
      </c>
      <c r="G1986" s="1">
        <v>527</v>
      </c>
      <c r="H1986" s="2">
        <v>99260</v>
      </c>
      <c r="I1986" s="2">
        <v>82074.98</v>
      </c>
      <c r="J1986" s="2">
        <v>0</v>
      </c>
      <c r="K1986" s="2">
        <v>0</v>
      </c>
      <c r="L1986" s="2">
        <v>82074.98</v>
      </c>
      <c r="M1986" s="3">
        <v>15574</v>
      </c>
      <c r="N1986" s="4">
        <v>1.8673E-4</v>
      </c>
      <c r="O1986" s="5" t="s">
        <v>44</v>
      </c>
      <c r="P1986" s="5" t="s">
        <v>44</v>
      </c>
      <c r="Q1986" s="1"/>
      <c r="R1986" s="2"/>
      <c r="S1986" s="6"/>
      <c r="T1986" t="s">
        <v>10902</v>
      </c>
      <c r="U1986" t="s">
        <v>10902</v>
      </c>
      <c r="V1986" t="s">
        <v>10902</v>
      </c>
      <c r="W1986" t="s">
        <v>43</v>
      </c>
      <c r="X1986" t="s">
        <v>11300</v>
      </c>
      <c r="Y1986" t="s">
        <v>11299</v>
      </c>
      <c r="Z1986" t="s">
        <v>11296</v>
      </c>
      <c r="AA1986" t="s">
        <v>44</v>
      </c>
      <c r="AB1986" t="s">
        <v>44</v>
      </c>
      <c r="AC1986" s="4"/>
      <c r="AD1986" s="4"/>
      <c r="AE1986" s="2">
        <v>0</v>
      </c>
      <c r="AF1986" s="4">
        <v>0</v>
      </c>
      <c r="AG1986" s="2">
        <v>0.55000000000000004</v>
      </c>
      <c r="AH1986" s="2">
        <v>82074.98</v>
      </c>
      <c r="AI1986" s="2">
        <v>0</v>
      </c>
      <c r="AJ1986" s="5">
        <v>44673</v>
      </c>
      <c r="AK1986" t="s">
        <v>12251</v>
      </c>
      <c r="AL1986" s="2">
        <v>0</v>
      </c>
      <c r="AM1986" s="2">
        <v>0</v>
      </c>
      <c r="AN1986" s="2">
        <v>0</v>
      </c>
      <c r="AO1986" t="s">
        <v>44</v>
      </c>
      <c r="AP1986" t="s">
        <v>11304</v>
      </c>
      <c r="AQ1986" t="s">
        <v>4926</v>
      </c>
    </row>
    <row r="1987" spans="1:43" x14ac:dyDescent="0.2">
      <c r="A1987" t="s">
        <v>12250</v>
      </c>
      <c r="B1987" t="s">
        <v>11037</v>
      </c>
      <c r="C1987" t="s">
        <v>11296</v>
      </c>
      <c r="D1987" t="s">
        <v>12252</v>
      </c>
      <c r="E1987" t="s">
        <v>12253</v>
      </c>
      <c r="F1987" t="s">
        <v>12252</v>
      </c>
      <c r="G1987" s="1">
        <v>63000</v>
      </c>
      <c r="H1987" s="2">
        <v>0.01</v>
      </c>
      <c r="I1987" s="2">
        <v>0</v>
      </c>
      <c r="J1987" s="2">
        <v>0</v>
      </c>
      <c r="K1987" s="2">
        <v>0</v>
      </c>
      <c r="L1987" s="2">
        <v>0</v>
      </c>
      <c r="M1987" s="3">
        <v>0</v>
      </c>
      <c r="N1987" s="4">
        <v>0</v>
      </c>
      <c r="O1987" s="5" t="s">
        <v>44</v>
      </c>
      <c r="P1987" s="5" t="s">
        <v>44</v>
      </c>
      <c r="Q1987" s="1"/>
      <c r="R1987" s="2"/>
      <c r="S1987" s="6"/>
      <c r="T1987" t="s">
        <v>10902</v>
      </c>
      <c r="U1987" t="s">
        <v>10902</v>
      </c>
      <c r="V1987" t="s">
        <v>10902</v>
      </c>
      <c r="W1987" t="s">
        <v>43</v>
      </c>
      <c r="X1987" t="s">
        <v>12097</v>
      </c>
      <c r="Y1987" t="s">
        <v>12098</v>
      </c>
      <c r="Z1987" t="s">
        <v>11296</v>
      </c>
      <c r="AA1987" t="s">
        <v>44</v>
      </c>
      <c r="AB1987" t="s">
        <v>44</v>
      </c>
      <c r="AC1987" s="4"/>
      <c r="AD1987" s="4"/>
      <c r="AE1987" s="2">
        <v>0</v>
      </c>
      <c r="AF1987" s="4">
        <v>0</v>
      </c>
      <c r="AG1987" s="2">
        <v>0</v>
      </c>
      <c r="AH1987" s="2">
        <v>0</v>
      </c>
      <c r="AI1987" s="2">
        <v>0</v>
      </c>
      <c r="AJ1987" s="5">
        <v>44673</v>
      </c>
      <c r="AK1987" t="s">
        <v>12251</v>
      </c>
      <c r="AL1987" s="2">
        <v>0</v>
      </c>
      <c r="AM1987" s="2">
        <v>0</v>
      </c>
      <c r="AN1987" s="2">
        <v>0</v>
      </c>
      <c r="AO1987" t="s">
        <v>44</v>
      </c>
      <c r="AP1987" t="s">
        <v>44</v>
      </c>
      <c r="AQ1987" t="s">
        <v>12253</v>
      </c>
    </row>
    <row r="1988" spans="1:43" x14ac:dyDescent="0.2">
      <c r="A1988" t="s">
        <v>12250</v>
      </c>
      <c r="B1988" t="s">
        <v>11037</v>
      </c>
      <c r="C1988" t="s">
        <v>11305</v>
      </c>
      <c r="D1988" t="s">
        <v>6592</v>
      </c>
      <c r="E1988" t="s">
        <v>5424</v>
      </c>
      <c r="F1988" t="s">
        <v>6592</v>
      </c>
      <c r="G1988" s="1">
        <v>1800</v>
      </c>
      <c r="H1988" s="2">
        <v>29612</v>
      </c>
      <c r="I1988" s="2">
        <v>31266</v>
      </c>
      <c r="J1988" s="2">
        <v>0</v>
      </c>
      <c r="K1988" s="2">
        <v>0</v>
      </c>
      <c r="L1988" s="2">
        <v>31266</v>
      </c>
      <c r="M1988" s="3">
        <v>1737</v>
      </c>
      <c r="N1988" s="4">
        <v>7.1130000000000005E-5</v>
      </c>
      <c r="O1988" s="5" t="s">
        <v>44</v>
      </c>
      <c r="P1988" s="5" t="s">
        <v>44</v>
      </c>
      <c r="Q1988" s="1"/>
      <c r="R1988" s="2"/>
      <c r="S1988" s="6"/>
      <c r="T1988" t="s">
        <v>10902</v>
      </c>
      <c r="U1988" t="s">
        <v>10902</v>
      </c>
      <c r="V1988" t="s">
        <v>10902</v>
      </c>
      <c r="W1988" t="s">
        <v>43</v>
      </c>
      <c r="X1988" t="s">
        <v>11306</v>
      </c>
      <c r="Y1988" t="s">
        <v>11307</v>
      </c>
      <c r="Z1988" t="s">
        <v>11305</v>
      </c>
      <c r="AA1988" t="s">
        <v>44</v>
      </c>
      <c r="AB1988" t="s">
        <v>44</v>
      </c>
      <c r="AC1988" s="4"/>
      <c r="AD1988" s="4"/>
      <c r="AE1988" s="2">
        <v>0</v>
      </c>
      <c r="AF1988" s="4">
        <v>0</v>
      </c>
      <c r="AG1988" s="2">
        <v>0.21</v>
      </c>
      <c r="AH1988" s="2">
        <v>31266</v>
      </c>
      <c r="AI1988" s="2">
        <v>0</v>
      </c>
      <c r="AJ1988" s="5">
        <v>44673</v>
      </c>
      <c r="AK1988" t="s">
        <v>12251</v>
      </c>
      <c r="AL1988" s="2">
        <v>0</v>
      </c>
      <c r="AM1988" s="2">
        <v>0</v>
      </c>
      <c r="AN1988" s="2">
        <v>0</v>
      </c>
      <c r="AO1988" t="s">
        <v>44</v>
      </c>
      <c r="AP1988" t="s">
        <v>11308</v>
      </c>
      <c r="AQ1988" t="s">
        <v>5424</v>
      </c>
    </row>
    <row r="1989" spans="1:43" x14ac:dyDescent="0.2">
      <c r="A1989" t="s">
        <v>12250</v>
      </c>
      <c r="B1989" t="s">
        <v>11037</v>
      </c>
      <c r="C1989" t="s">
        <v>11305</v>
      </c>
      <c r="D1989" t="s">
        <v>11309</v>
      </c>
      <c r="E1989" t="s">
        <v>5389</v>
      </c>
      <c r="F1989" t="s">
        <v>11309</v>
      </c>
      <c r="G1989" s="1">
        <v>1300</v>
      </c>
      <c r="H1989" s="2">
        <v>45054.37</v>
      </c>
      <c r="I1989" s="2">
        <v>48932</v>
      </c>
      <c r="J1989" s="2">
        <v>0</v>
      </c>
      <c r="K1989" s="2">
        <v>0</v>
      </c>
      <c r="L1989" s="2">
        <v>48932</v>
      </c>
      <c r="M1989" s="3">
        <v>3764</v>
      </c>
      <c r="N1989" s="4">
        <v>1.1133000000000001E-4</v>
      </c>
      <c r="O1989" s="5" t="s">
        <v>44</v>
      </c>
      <c r="P1989" s="5" t="s">
        <v>44</v>
      </c>
      <c r="Q1989" s="1"/>
      <c r="R1989" s="2"/>
      <c r="S1989" s="6"/>
      <c r="T1989" t="s">
        <v>10902</v>
      </c>
      <c r="U1989" t="s">
        <v>10902</v>
      </c>
      <c r="V1989" t="s">
        <v>10902</v>
      </c>
      <c r="W1989" t="s">
        <v>43</v>
      </c>
      <c r="X1989" t="s">
        <v>11310</v>
      </c>
      <c r="Y1989" t="s">
        <v>11307</v>
      </c>
      <c r="Z1989" t="s">
        <v>11305</v>
      </c>
      <c r="AA1989" t="s">
        <v>44</v>
      </c>
      <c r="AB1989" t="s">
        <v>44</v>
      </c>
      <c r="AC1989" s="4"/>
      <c r="AD1989" s="4"/>
      <c r="AE1989" s="2">
        <v>0</v>
      </c>
      <c r="AF1989" s="4">
        <v>0</v>
      </c>
      <c r="AG1989" s="2">
        <v>0.33</v>
      </c>
      <c r="AH1989" s="2">
        <v>48932</v>
      </c>
      <c r="AI1989" s="2">
        <v>0</v>
      </c>
      <c r="AJ1989" s="5">
        <v>44673</v>
      </c>
      <c r="AK1989" t="s">
        <v>12251</v>
      </c>
      <c r="AL1989" s="2">
        <v>0</v>
      </c>
      <c r="AM1989" s="2">
        <v>0</v>
      </c>
      <c r="AN1989" s="2">
        <v>0</v>
      </c>
      <c r="AO1989" t="s">
        <v>44</v>
      </c>
      <c r="AP1989" t="s">
        <v>11311</v>
      </c>
      <c r="AQ1989" t="s">
        <v>5389</v>
      </c>
    </row>
    <row r="1990" spans="1:43" x14ac:dyDescent="0.2">
      <c r="A1990" t="s">
        <v>12250</v>
      </c>
      <c r="B1990" t="s">
        <v>11037</v>
      </c>
      <c r="C1990" t="s">
        <v>11305</v>
      </c>
      <c r="D1990" t="s">
        <v>6372</v>
      </c>
      <c r="E1990" t="s">
        <v>6607</v>
      </c>
      <c r="F1990" t="s">
        <v>6372</v>
      </c>
      <c r="G1990" s="1">
        <v>600</v>
      </c>
      <c r="H1990" s="2">
        <v>64600.57</v>
      </c>
      <c r="I1990" s="2">
        <v>67038</v>
      </c>
      <c r="J1990" s="2">
        <v>0</v>
      </c>
      <c r="K1990" s="2">
        <v>0</v>
      </c>
      <c r="L1990" s="2">
        <v>67038</v>
      </c>
      <c r="M1990" s="3">
        <v>11173</v>
      </c>
      <c r="N1990" s="4">
        <v>1.5252000000000001E-4</v>
      </c>
      <c r="O1990" s="5" t="s">
        <v>44</v>
      </c>
      <c r="P1990" s="5" t="s">
        <v>44</v>
      </c>
      <c r="Q1990" s="1"/>
      <c r="R1990" s="2"/>
      <c r="S1990" s="6"/>
      <c r="T1990" t="s">
        <v>10902</v>
      </c>
      <c r="U1990" t="s">
        <v>10902</v>
      </c>
      <c r="V1990" t="s">
        <v>10902</v>
      </c>
      <c r="W1990" t="s">
        <v>43</v>
      </c>
      <c r="X1990" t="s">
        <v>11306</v>
      </c>
      <c r="Y1990" t="s">
        <v>11307</v>
      </c>
      <c r="Z1990" t="s">
        <v>11305</v>
      </c>
      <c r="AA1990" t="s">
        <v>44</v>
      </c>
      <c r="AB1990" t="s">
        <v>44</v>
      </c>
      <c r="AC1990" s="4"/>
      <c r="AD1990" s="4"/>
      <c r="AE1990" s="2">
        <v>0</v>
      </c>
      <c r="AF1990" s="4">
        <v>0</v>
      </c>
      <c r="AG1990" s="2">
        <v>0.45</v>
      </c>
      <c r="AH1990" s="2">
        <v>67038</v>
      </c>
      <c r="AI1990" s="2">
        <v>0</v>
      </c>
      <c r="AJ1990" s="5">
        <v>44673</v>
      </c>
      <c r="AK1990" t="s">
        <v>12251</v>
      </c>
      <c r="AL1990" s="2">
        <v>0</v>
      </c>
      <c r="AM1990" s="2">
        <v>0</v>
      </c>
      <c r="AN1990" s="2">
        <v>0</v>
      </c>
      <c r="AO1990" t="s">
        <v>44</v>
      </c>
      <c r="AP1990" t="s">
        <v>11313</v>
      </c>
      <c r="AQ1990" t="s">
        <v>6607</v>
      </c>
    </row>
    <row r="1991" spans="1:43" x14ac:dyDescent="0.2">
      <c r="A1991" t="s">
        <v>12250</v>
      </c>
      <c r="B1991" t="s">
        <v>11037</v>
      </c>
      <c r="C1991" t="s">
        <v>11305</v>
      </c>
      <c r="D1991" t="s">
        <v>11314</v>
      </c>
      <c r="E1991" t="s">
        <v>6750</v>
      </c>
      <c r="F1991" t="s">
        <v>11314</v>
      </c>
      <c r="G1991" s="1">
        <v>5233</v>
      </c>
      <c r="H1991" s="2">
        <v>107171.81</v>
      </c>
      <c r="I1991" s="2">
        <v>114131.73</v>
      </c>
      <c r="J1991" s="2">
        <v>0</v>
      </c>
      <c r="K1991" s="2">
        <v>0</v>
      </c>
      <c r="L1991" s="2">
        <v>114131.73</v>
      </c>
      <c r="M1991" s="3">
        <v>2181</v>
      </c>
      <c r="N1991" s="4">
        <v>2.5965999999999999E-4</v>
      </c>
      <c r="O1991" s="5" t="s">
        <v>44</v>
      </c>
      <c r="P1991" s="5" t="s">
        <v>44</v>
      </c>
      <c r="Q1991" s="1"/>
      <c r="R1991" s="2"/>
      <c r="S1991" s="6"/>
      <c r="T1991" t="s">
        <v>10902</v>
      </c>
      <c r="U1991" t="s">
        <v>10902</v>
      </c>
      <c r="V1991" t="s">
        <v>10902</v>
      </c>
      <c r="W1991" t="s">
        <v>43</v>
      </c>
      <c r="X1991" t="s">
        <v>11306</v>
      </c>
      <c r="Y1991" t="s">
        <v>11307</v>
      </c>
      <c r="Z1991" t="s">
        <v>11305</v>
      </c>
      <c r="AA1991" t="s">
        <v>44</v>
      </c>
      <c r="AB1991" t="s">
        <v>44</v>
      </c>
      <c r="AC1991" s="4"/>
      <c r="AD1991" s="4"/>
      <c r="AE1991" s="2">
        <v>0</v>
      </c>
      <c r="AF1991" s="4">
        <v>0</v>
      </c>
      <c r="AG1991" s="2">
        <v>0.77</v>
      </c>
      <c r="AH1991" s="2">
        <v>114131.73</v>
      </c>
      <c r="AI1991" s="2">
        <v>0</v>
      </c>
      <c r="AJ1991" s="5">
        <v>44673</v>
      </c>
      <c r="AK1991" t="s">
        <v>12251</v>
      </c>
      <c r="AL1991" s="2">
        <v>0</v>
      </c>
      <c r="AM1991" s="2">
        <v>0</v>
      </c>
      <c r="AN1991" s="2">
        <v>0</v>
      </c>
      <c r="AO1991" t="s">
        <v>44</v>
      </c>
      <c r="AP1991" t="s">
        <v>11315</v>
      </c>
      <c r="AQ1991" t="s">
        <v>6750</v>
      </c>
    </row>
    <row r="1992" spans="1:43" x14ac:dyDescent="0.2">
      <c r="A1992" t="s">
        <v>12250</v>
      </c>
      <c r="B1992" t="s">
        <v>11037</v>
      </c>
      <c r="C1992" t="s">
        <v>11305</v>
      </c>
      <c r="D1992" t="s">
        <v>11316</v>
      </c>
      <c r="E1992" t="s">
        <v>5173</v>
      </c>
      <c r="F1992" t="s">
        <v>11316</v>
      </c>
      <c r="G1992" s="1">
        <v>1164</v>
      </c>
      <c r="H1992" s="2">
        <v>67697.279999999999</v>
      </c>
      <c r="I1992" s="2">
        <v>69618.84</v>
      </c>
      <c r="J1992" s="2">
        <v>0</v>
      </c>
      <c r="K1992" s="2">
        <v>0</v>
      </c>
      <c r="L1992" s="2">
        <v>69618.84</v>
      </c>
      <c r="M1992" s="3">
        <v>5981</v>
      </c>
      <c r="N1992" s="4">
        <v>1.5839000000000001E-4</v>
      </c>
      <c r="O1992" s="5" t="s">
        <v>44</v>
      </c>
      <c r="P1992" s="5" t="s">
        <v>44</v>
      </c>
      <c r="Q1992" s="1"/>
      <c r="R1992" s="2"/>
      <c r="S1992" s="6"/>
      <c r="T1992" t="s">
        <v>10902</v>
      </c>
      <c r="U1992" t="s">
        <v>10902</v>
      </c>
      <c r="V1992" t="s">
        <v>10902</v>
      </c>
      <c r="W1992" t="s">
        <v>43</v>
      </c>
      <c r="X1992" t="s">
        <v>11310</v>
      </c>
      <c r="Y1992" t="s">
        <v>11307</v>
      </c>
      <c r="Z1992" t="s">
        <v>11305</v>
      </c>
      <c r="AA1992" t="s">
        <v>44</v>
      </c>
      <c r="AB1992" t="s">
        <v>44</v>
      </c>
      <c r="AC1992" s="4"/>
      <c r="AD1992" s="4"/>
      <c r="AE1992" s="2">
        <v>0</v>
      </c>
      <c r="AF1992" s="4">
        <v>0</v>
      </c>
      <c r="AG1992" s="2">
        <v>0.47</v>
      </c>
      <c r="AH1992" s="2">
        <v>69618.84</v>
      </c>
      <c r="AI1992" s="2">
        <v>0</v>
      </c>
      <c r="AJ1992" s="5">
        <v>44673</v>
      </c>
      <c r="AK1992" t="s">
        <v>12251</v>
      </c>
      <c r="AL1992" s="2">
        <v>0</v>
      </c>
      <c r="AM1992" s="2">
        <v>0</v>
      </c>
      <c r="AN1992" s="2">
        <v>0</v>
      </c>
      <c r="AO1992" t="s">
        <v>44</v>
      </c>
      <c r="AP1992" t="s">
        <v>11317</v>
      </c>
      <c r="AQ1992" t="s">
        <v>5173</v>
      </c>
    </row>
    <row r="1993" spans="1:43" x14ac:dyDescent="0.2">
      <c r="A1993" t="s">
        <v>12250</v>
      </c>
      <c r="B1993" t="s">
        <v>11037</v>
      </c>
      <c r="C1993" t="s">
        <v>11305</v>
      </c>
      <c r="D1993" t="s">
        <v>11698</v>
      </c>
      <c r="E1993" t="s">
        <v>4919</v>
      </c>
      <c r="F1993" t="s">
        <v>11698</v>
      </c>
      <c r="G1993" s="1">
        <v>600</v>
      </c>
      <c r="H1993" s="2">
        <v>105193.73</v>
      </c>
      <c r="I1993" s="2">
        <v>99720</v>
      </c>
      <c r="J1993" s="2">
        <v>0</v>
      </c>
      <c r="K1993" s="2">
        <v>0</v>
      </c>
      <c r="L1993" s="2">
        <v>99720</v>
      </c>
      <c r="M1993" s="3">
        <v>16620</v>
      </c>
      <c r="N1993" s="4">
        <v>2.2687E-4</v>
      </c>
      <c r="O1993" s="5" t="s">
        <v>44</v>
      </c>
      <c r="P1993" s="5" t="s">
        <v>44</v>
      </c>
      <c r="Q1993" s="1"/>
      <c r="R1993" s="2"/>
      <c r="S1993" s="6"/>
      <c r="T1993" t="s">
        <v>10902</v>
      </c>
      <c r="U1993" t="s">
        <v>10902</v>
      </c>
      <c r="V1993" t="s">
        <v>10902</v>
      </c>
      <c r="W1993" t="s">
        <v>43</v>
      </c>
      <c r="X1993" t="s">
        <v>11310</v>
      </c>
      <c r="Y1993" t="s">
        <v>11307</v>
      </c>
      <c r="Z1993" t="s">
        <v>11305</v>
      </c>
      <c r="AA1993" t="s">
        <v>44</v>
      </c>
      <c r="AB1993" t="s">
        <v>44</v>
      </c>
      <c r="AC1993" s="4"/>
      <c r="AD1993" s="4"/>
      <c r="AE1993" s="2">
        <v>0</v>
      </c>
      <c r="AF1993" s="4">
        <v>0</v>
      </c>
      <c r="AG1993" s="2">
        <v>0.67</v>
      </c>
      <c r="AH1993" s="2">
        <v>99720</v>
      </c>
      <c r="AI1993" s="2">
        <v>0</v>
      </c>
      <c r="AJ1993" s="5">
        <v>44673</v>
      </c>
      <c r="AK1993" t="s">
        <v>12251</v>
      </c>
      <c r="AL1993" s="2">
        <v>0</v>
      </c>
      <c r="AM1993" s="2">
        <v>0</v>
      </c>
      <c r="AN1993" s="2">
        <v>0</v>
      </c>
      <c r="AO1993" t="s">
        <v>44</v>
      </c>
      <c r="AP1993" t="s">
        <v>11699</v>
      </c>
      <c r="AQ1993" t="s">
        <v>4919</v>
      </c>
    </row>
    <row r="1994" spans="1:43" x14ac:dyDescent="0.2">
      <c r="A1994" t="s">
        <v>12250</v>
      </c>
      <c r="B1994" t="s">
        <v>11037</v>
      </c>
      <c r="C1994" t="s">
        <v>11305</v>
      </c>
      <c r="D1994" t="s">
        <v>6224</v>
      </c>
      <c r="E1994" t="s">
        <v>3901</v>
      </c>
      <c r="F1994" t="s">
        <v>6224</v>
      </c>
      <c r="G1994" s="1">
        <v>1348</v>
      </c>
      <c r="H1994" s="2">
        <v>82772.5</v>
      </c>
      <c r="I1994" s="2">
        <v>75110.559999999998</v>
      </c>
      <c r="J1994" s="2">
        <v>0</v>
      </c>
      <c r="K1994" s="2">
        <v>0</v>
      </c>
      <c r="L1994" s="2">
        <v>75110.559999999998</v>
      </c>
      <c r="M1994" s="3">
        <v>5572</v>
      </c>
      <c r="N1994" s="4">
        <v>1.7087999999999999E-4</v>
      </c>
      <c r="O1994" s="5" t="s">
        <v>44</v>
      </c>
      <c r="P1994" s="5" t="s">
        <v>44</v>
      </c>
      <c r="Q1994" s="1"/>
      <c r="R1994" s="2"/>
      <c r="S1994" s="6"/>
      <c r="T1994" t="s">
        <v>10902</v>
      </c>
      <c r="U1994" t="s">
        <v>10902</v>
      </c>
      <c r="V1994" t="s">
        <v>10902</v>
      </c>
      <c r="W1994" t="s">
        <v>43</v>
      </c>
      <c r="X1994" t="s">
        <v>11306</v>
      </c>
      <c r="Y1994" t="s">
        <v>11307</v>
      </c>
      <c r="Z1994" t="s">
        <v>11305</v>
      </c>
      <c r="AA1994" t="s">
        <v>44</v>
      </c>
      <c r="AB1994" t="s">
        <v>44</v>
      </c>
      <c r="AC1994" s="4"/>
      <c r="AD1994" s="4"/>
      <c r="AE1994" s="2">
        <v>0</v>
      </c>
      <c r="AF1994" s="4">
        <v>0</v>
      </c>
      <c r="AG1994" s="2">
        <v>0.5</v>
      </c>
      <c r="AH1994" s="2">
        <v>75110.559999999998</v>
      </c>
      <c r="AI1994" s="2">
        <v>0</v>
      </c>
      <c r="AJ1994" s="5">
        <v>44673</v>
      </c>
      <c r="AK1994" t="s">
        <v>12251</v>
      </c>
      <c r="AL1994" s="2">
        <v>0</v>
      </c>
      <c r="AM1994" s="2">
        <v>0</v>
      </c>
      <c r="AN1994" s="2">
        <v>0</v>
      </c>
      <c r="AO1994" t="s">
        <v>44</v>
      </c>
      <c r="AP1994" t="s">
        <v>11320</v>
      </c>
      <c r="AQ1994" t="s">
        <v>3901</v>
      </c>
    </row>
    <row r="1995" spans="1:43" x14ac:dyDescent="0.2">
      <c r="A1995" t="s">
        <v>12250</v>
      </c>
      <c r="B1995" t="s">
        <v>11037</v>
      </c>
      <c r="C1995" t="s">
        <v>11195</v>
      </c>
      <c r="D1995" t="s">
        <v>6419</v>
      </c>
      <c r="E1995" t="s">
        <v>5072</v>
      </c>
      <c r="F1995" t="s">
        <v>6419</v>
      </c>
      <c r="G1995" s="1">
        <v>814</v>
      </c>
      <c r="H1995" s="2">
        <v>37955.339999999997</v>
      </c>
      <c r="I1995" s="2">
        <v>34155.440000000002</v>
      </c>
      <c r="J1995" s="2">
        <v>0</v>
      </c>
      <c r="K1995" s="2">
        <v>0</v>
      </c>
      <c r="L1995" s="2">
        <v>34155.440000000002</v>
      </c>
      <c r="M1995" s="3">
        <v>4196</v>
      </c>
      <c r="N1995" s="4">
        <v>7.771E-5</v>
      </c>
      <c r="O1995" s="5" t="s">
        <v>44</v>
      </c>
      <c r="P1995" s="5" t="s">
        <v>44</v>
      </c>
      <c r="Q1995" s="1"/>
      <c r="R1995" s="2"/>
      <c r="S1995" s="6"/>
      <c r="T1995" t="s">
        <v>10902</v>
      </c>
      <c r="U1995" t="s">
        <v>10902</v>
      </c>
      <c r="V1995" t="s">
        <v>10902</v>
      </c>
      <c r="W1995" t="s">
        <v>43</v>
      </c>
      <c r="X1995" t="s">
        <v>11327</v>
      </c>
      <c r="Y1995" t="s">
        <v>11198</v>
      </c>
      <c r="Z1995" t="s">
        <v>11195</v>
      </c>
      <c r="AA1995" t="s">
        <v>44</v>
      </c>
      <c r="AB1995" t="s">
        <v>44</v>
      </c>
      <c r="AC1995" s="4"/>
      <c r="AD1995" s="4"/>
      <c r="AE1995" s="2">
        <v>0</v>
      </c>
      <c r="AF1995" s="4">
        <v>0</v>
      </c>
      <c r="AG1995" s="2">
        <v>0.23</v>
      </c>
      <c r="AH1995" s="2">
        <v>34155.440000000002</v>
      </c>
      <c r="AI1995" s="2">
        <v>0</v>
      </c>
      <c r="AJ1995" s="5">
        <v>44673</v>
      </c>
      <c r="AK1995" t="s">
        <v>12251</v>
      </c>
      <c r="AL1995" s="2">
        <v>0</v>
      </c>
      <c r="AM1995" s="2">
        <v>0</v>
      </c>
      <c r="AN1995" s="2">
        <v>0</v>
      </c>
      <c r="AO1995" t="s">
        <v>44</v>
      </c>
      <c r="AP1995" t="s">
        <v>11328</v>
      </c>
      <c r="AQ1995" t="s">
        <v>5072</v>
      </c>
    </row>
    <row r="1996" spans="1:43" x14ac:dyDescent="0.2">
      <c r="A1996" t="s">
        <v>12250</v>
      </c>
      <c r="B1996" t="s">
        <v>11037</v>
      </c>
      <c r="C1996" t="s">
        <v>11195</v>
      </c>
      <c r="D1996" t="s">
        <v>11704</v>
      </c>
      <c r="E1996" t="s">
        <v>3205</v>
      </c>
      <c r="F1996" t="s">
        <v>11704</v>
      </c>
      <c r="G1996" s="1">
        <v>263</v>
      </c>
      <c r="H1996" s="2">
        <v>37539.199999999997</v>
      </c>
      <c r="I1996" s="2">
        <v>43289.8</v>
      </c>
      <c r="J1996" s="2">
        <v>0</v>
      </c>
      <c r="K1996" s="2">
        <v>0</v>
      </c>
      <c r="L1996" s="2">
        <v>43289.8</v>
      </c>
      <c r="M1996" s="3">
        <v>16460</v>
      </c>
      <c r="N1996" s="4">
        <v>9.8490000000000001E-5</v>
      </c>
      <c r="O1996" s="5" t="s">
        <v>44</v>
      </c>
      <c r="P1996" s="5" t="s">
        <v>44</v>
      </c>
      <c r="Q1996" s="1"/>
      <c r="R1996" s="2"/>
      <c r="S1996" s="6"/>
      <c r="T1996" t="s">
        <v>10902</v>
      </c>
      <c r="U1996" t="s">
        <v>10902</v>
      </c>
      <c r="V1996" t="s">
        <v>10902</v>
      </c>
      <c r="W1996" t="s">
        <v>43</v>
      </c>
      <c r="X1996" t="s">
        <v>11334</v>
      </c>
      <c r="Y1996" t="s">
        <v>11335</v>
      </c>
      <c r="Z1996" t="s">
        <v>11195</v>
      </c>
      <c r="AA1996" t="s">
        <v>44</v>
      </c>
      <c r="AB1996" t="s">
        <v>44</v>
      </c>
      <c r="AC1996" s="4"/>
      <c r="AD1996" s="4"/>
      <c r="AE1996" s="2">
        <v>0</v>
      </c>
      <c r="AF1996" s="4">
        <v>0</v>
      </c>
      <c r="AG1996" s="2">
        <v>0.28999999999999998</v>
      </c>
      <c r="AH1996" s="2">
        <v>43289.8</v>
      </c>
      <c r="AI1996" s="2">
        <v>0</v>
      </c>
      <c r="AJ1996" s="5">
        <v>44673</v>
      </c>
      <c r="AK1996" t="s">
        <v>12251</v>
      </c>
      <c r="AL1996" s="2">
        <v>0</v>
      </c>
      <c r="AM1996" s="2">
        <v>0</v>
      </c>
      <c r="AN1996" s="2">
        <v>0</v>
      </c>
      <c r="AO1996" t="s">
        <v>44</v>
      </c>
      <c r="AP1996" t="s">
        <v>11705</v>
      </c>
      <c r="AQ1996" t="s">
        <v>3205</v>
      </c>
    </row>
    <row r="1997" spans="1:43" x14ac:dyDescent="0.2">
      <c r="A1997" t="s">
        <v>12250</v>
      </c>
      <c r="B1997" t="s">
        <v>11037</v>
      </c>
      <c r="C1997" t="s">
        <v>11195</v>
      </c>
      <c r="D1997" t="s">
        <v>11196</v>
      </c>
      <c r="E1997" t="s">
        <v>5755</v>
      </c>
      <c r="F1997" t="s">
        <v>11196</v>
      </c>
      <c r="G1997" s="1">
        <v>2300</v>
      </c>
      <c r="H1997" s="2">
        <v>48503.57</v>
      </c>
      <c r="I1997" s="2">
        <v>49634</v>
      </c>
      <c r="J1997" s="2">
        <v>0</v>
      </c>
      <c r="K1997" s="2">
        <v>0</v>
      </c>
      <c r="L1997" s="2">
        <v>49634</v>
      </c>
      <c r="M1997" s="3">
        <v>2158</v>
      </c>
      <c r="N1997" s="4">
        <v>1.1292E-4</v>
      </c>
      <c r="O1997" s="5" t="s">
        <v>44</v>
      </c>
      <c r="P1997" s="5" t="s">
        <v>44</v>
      </c>
      <c r="Q1997" s="1"/>
      <c r="R1997" s="2"/>
      <c r="S1997" s="6"/>
      <c r="T1997" t="s">
        <v>10902</v>
      </c>
      <c r="U1997" t="s">
        <v>10902</v>
      </c>
      <c r="V1997" t="s">
        <v>10902</v>
      </c>
      <c r="W1997" t="s">
        <v>43</v>
      </c>
      <c r="X1997" t="s">
        <v>11197</v>
      </c>
      <c r="Y1997" t="s">
        <v>11198</v>
      </c>
      <c r="Z1997" t="s">
        <v>11195</v>
      </c>
      <c r="AA1997" t="s">
        <v>44</v>
      </c>
      <c r="AB1997" t="s">
        <v>44</v>
      </c>
      <c r="AC1997" s="4"/>
      <c r="AD1997" s="4"/>
      <c r="AE1997" s="2">
        <v>0</v>
      </c>
      <c r="AF1997" s="4">
        <v>0</v>
      </c>
      <c r="AG1997" s="2">
        <v>0.33</v>
      </c>
      <c r="AH1997" s="2">
        <v>49634</v>
      </c>
      <c r="AI1997" s="2">
        <v>0</v>
      </c>
      <c r="AJ1997" s="5">
        <v>44673</v>
      </c>
      <c r="AK1997" t="s">
        <v>12251</v>
      </c>
      <c r="AL1997" s="2">
        <v>0</v>
      </c>
      <c r="AM1997" s="2">
        <v>0</v>
      </c>
      <c r="AN1997" s="2">
        <v>0</v>
      </c>
      <c r="AO1997" t="s">
        <v>44</v>
      </c>
      <c r="AP1997" t="s">
        <v>11199</v>
      </c>
      <c r="AQ1997" t="s">
        <v>5755</v>
      </c>
    </row>
    <row r="1998" spans="1:43" x14ac:dyDescent="0.2">
      <c r="A1998" t="s">
        <v>12250</v>
      </c>
      <c r="B1998" t="s">
        <v>11037</v>
      </c>
      <c r="C1998" t="s">
        <v>11195</v>
      </c>
      <c r="D1998" t="s">
        <v>11706</v>
      </c>
      <c r="E1998" t="s">
        <v>4801</v>
      </c>
      <c r="F1998" t="s">
        <v>11706</v>
      </c>
      <c r="G1998" s="1">
        <v>2508</v>
      </c>
      <c r="H1998" s="2">
        <v>171633.36</v>
      </c>
      <c r="I1998" s="2">
        <v>174481.56</v>
      </c>
      <c r="J1998" s="2">
        <v>0</v>
      </c>
      <c r="K1998" s="2">
        <v>0</v>
      </c>
      <c r="L1998" s="2">
        <v>174481.56</v>
      </c>
      <c r="M1998" s="3">
        <v>6957</v>
      </c>
      <c r="N1998" s="4">
        <v>3.9696000000000002E-4</v>
      </c>
      <c r="O1998" s="5" t="s">
        <v>44</v>
      </c>
      <c r="P1998" s="5" t="s">
        <v>44</v>
      </c>
      <c r="Q1998" s="1"/>
      <c r="R1998" s="2"/>
      <c r="S1998" s="6"/>
      <c r="T1998" t="s">
        <v>10902</v>
      </c>
      <c r="U1998" t="s">
        <v>10902</v>
      </c>
      <c r="V1998" t="s">
        <v>10902</v>
      </c>
      <c r="W1998" t="s">
        <v>43</v>
      </c>
      <c r="X1998" t="s">
        <v>11034</v>
      </c>
      <c r="Y1998" t="s">
        <v>11034</v>
      </c>
      <c r="Z1998" t="s">
        <v>11195</v>
      </c>
      <c r="AA1998" t="s">
        <v>44</v>
      </c>
      <c r="AB1998" t="s">
        <v>44</v>
      </c>
      <c r="AC1998" s="4"/>
      <c r="AD1998" s="4"/>
      <c r="AE1998" s="2">
        <v>0</v>
      </c>
      <c r="AF1998" s="4">
        <v>0</v>
      </c>
      <c r="AG1998" s="2">
        <v>1.17</v>
      </c>
      <c r="AH1998" s="2">
        <v>174481.56</v>
      </c>
      <c r="AI1998" s="2">
        <v>0</v>
      </c>
      <c r="AJ1998" s="5">
        <v>44673</v>
      </c>
      <c r="AK1998" t="s">
        <v>12251</v>
      </c>
      <c r="AL1998" s="2">
        <v>0</v>
      </c>
      <c r="AM1998" s="2">
        <v>0</v>
      </c>
      <c r="AN1998" s="2">
        <v>0</v>
      </c>
      <c r="AO1998" t="s">
        <v>44</v>
      </c>
      <c r="AP1998" t="s">
        <v>11707</v>
      </c>
      <c r="AQ1998" t="s">
        <v>4801</v>
      </c>
    </row>
    <row r="1999" spans="1:43" x14ac:dyDescent="0.2">
      <c r="A1999" t="s">
        <v>12250</v>
      </c>
      <c r="B1999" t="s">
        <v>11037</v>
      </c>
      <c r="C1999" t="s">
        <v>11195</v>
      </c>
      <c r="D1999" t="s">
        <v>11200</v>
      </c>
      <c r="E1999" t="s">
        <v>5277</v>
      </c>
      <c r="F1999" t="s">
        <v>11200</v>
      </c>
      <c r="G1999" s="1">
        <v>4400</v>
      </c>
      <c r="H1999" s="2">
        <v>57116.54</v>
      </c>
      <c r="I1999" s="2">
        <v>54868</v>
      </c>
      <c r="J1999" s="2">
        <v>0</v>
      </c>
      <c r="K1999" s="2">
        <v>0</v>
      </c>
      <c r="L1999" s="2">
        <v>54868</v>
      </c>
      <c r="M1999" s="3">
        <v>1247</v>
      </c>
      <c r="N1999" s="4">
        <v>1.2483000000000001E-4</v>
      </c>
      <c r="O1999" s="5" t="s">
        <v>44</v>
      </c>
      <c r="P1999" s="5" t="s">
        <v>44</v>
      </c>
      <c r="Q1999" s="1"/>
      <c r="R1999" s="2"/>
      <c r="S1999" s="6"/>
      <c r="T1999" t="s">
        <v>10902</v>
      </c>
      <c r="U1999" t="s">
        <v>10902</v>
      </c>
      <c r="V1999" t="s">
        <v>10902</v>
      </c>
      <c r="W1999" t="s">
        <v>43</v>
      </c>
      <c r="X1999" t="s">
        <v>11197</v>
      </c>
      <c r="Y1999" t="s">
        <v>11198</v>
      </c>
      <c r="Z1999" t="s">
        <v>11195</v>
      </c>
      <c r="AA1999" t="s">
        <v>44</v>
      </c>
      <c r="AB1999" t="s">
        <v>44</v>
      </c>
      <c r="AC1999" s="4"/>
      <c r="AD1999" s="4"/>
      <c r="AE1999" s="2">
        <v>0</v>
      </c>
      <c r="AF1999" s="4">
        <v>0</v>
      </c>
      <c r="AG1999" s="2">
        <v>0.37</v>
      </c>
      <c r="AH1999" s="2">
        <v>54868</v>
      </c>
      <c r="AI1999" s="2">
        <v>0</v>
      </c>
      <c r="AJ1999" s="5">
        <v>44673</v>
      </c>
      <c r="AK1999" t="s">
        <v>12251</v>
      </c>
      <c r="AL1999" s="2">
        <v>0</v>
      </c>
      <c r="AM1999" s="2">
        <v>0</v>
      </c>
      <c r="AN1999" s="2">
        <v>0</v>
      </c>
      <c r="AO1999" t="s">
        <v>44</v>
      </c>
      <c r="AP1999" t="s">
        <v>11201</v>
      </c>
      <c r="AQ1999" t="s">
        <v>5277</v>
      </c>
    </row>
    <row r="2000" spans="1:43" x14ac:dyDescent="0.2">
      <c r="A2000" t="s">
        <v>12250</v>
      </c>
      <c r="B2000" t="s">
        <v>11037</v>
      </c>
      <c r="C2000" t="s">
        <v>11195</v>
      </c>
      <c r="D2000" t="s">
        <v>6332</v>
      </c>
      <c r="E2000" t="s">
        <v>3152</v>
      </c>
      <c r="F2000" t="s">
        <v>6332</v>
      </c>
      <c r="G2000" s="1">
        <v>1200</v>
      </c>
      <c r="H2000" s="2">
        <v>41641.839999999997</v>
      </c>
      <c r="I2000" s="2">
        <v>43296</v>
      </c>
      <c r="J2000" s="2">
        <v>0</v>
      </c>
      <c r="K2000" s="2">
        <v>0</v>
      </c>
      <c r="L2000" s="2">
        <v>43296</v>
      </c>
      <c r="M2000" s="3">
        <v>3608</v>
      </c>
      <c r="N2000" s="4">
        <v>9.8499999999999995E-5</v>
      </c>
      <c r="O2000" s="5" t="s">
        <v>44</v>
      </c>
      <c r="P2000" s="5" t="s">
        <v>44</v>
      </c>
      <c r="Q2000" s="1"/>
      <c r="R2000" s="2"/>
      <c r="S2000" s="6"/>
      <c r="T2000" t="s">
        <v>10902</v>
      </c>
      <c r="U2000" t="s">
        <v>10902</v>
      </c>
      <c r="V2000" t="s">
        <v>10902</v>
      </c>
      <c r="W2000" t="s">
        <v>43</v>
      </c>
      <c r="X2000" t="s">
        <v>11197</v>
      </c>
      <c r="Y2000" t="s">
        <v>11198</v>
      </c>
      <c r="Z2000" t="s">
        <v>11195</v>
      </c>
      <c r="AA2000" t="s">
        <v>44</v>
      </c>
      <c r="AB2000" t="s">
        <v>44</v>
      </c>
      <c r="AC2000" s="4"/>
      <c r="AD2000" s="4"/>
      <c r="AE2000" s="2">
        <v>0</v>
      </c>
      <c r="AF2000" s="4">
        <v>0</v>
      </c>
      <c r="AG2000" s="2">
        <v>0.28999999999999998</v>
      </c>
      <c r="AH2000" s="2">
        <v>43296</v>
      </c>
      <c r="AI2000" s="2">
        <v>0</v>
      </c>
      <c r="AJ2000" s="5">
        <v>44673</v>
      </c>
      <c r="AK2000" t="s">
        <v>12251</v>
      </c>
      <c r="AL2000" s="2">
        <v>0</v>
      </c>
      <c r="AM2000" s="2">
        <v>0</v>
      </c>
      <c r="AN2000" s="2">
        <v>0</v>
      </c>
      <c r="AO2000" t="s">
        <v>44</v>
      </c>
      <c r="AP2000" t="s">
        <v>11203</v>
      </c>
      <c r="AQ2000" t="s">
        <v>3152</v>
      </c>
    </row>
    <row r="2001" spans="1:43" x14ac:dyDescent="0.2">
      <c r="A2001" t="s">
        <v>12250</v>
      </c>
      <c r="B2001" t="s">
        <v>11037</v>
      </c>
      <c r="C2001" t="s">
        <v>11195</v>
      </c>
      <c r="D2001" t="s">
        <v>6450</v>
      </c>
      <c r="E2001" t="s">
        <v>5121</v>
      </c>
      <c r="F2001" t="s">
        <v>6450</v>
      </c>
      <c r="G2001" s="1">
        <v>300</v>
      </c>
      <c r="H2001" s="2">
        <v>35786.06</v>
      </c>
      <c r="I2001" s="2">
        <v>33267</v>
      </c>
      <c r="J2001" s="2">
        <v>0</v>
      </c>
      <c r="K2001" s="2">
        <v>0</v>
      </c>
      <c r="L2001" s="2">
        <v>33267</v>
      </c>
      <c r="M2001" s="3">
        <v>11089</v>
      </c>
      <c r="N2001" s="4">
        <v>7.5690000000000002E-5</v>
      </c>
      <c r="O2001" s="5" t="s">
        <v>44</v>
      </c>
      <c r="P2001" s="5" t="s">
        <v>44</v>
      </c>
      <c r="Q2001" s="1"/>
      <c r="R2001" s="2"/>
      <c r="S2001" s="6"/>
      <c r="T2001" t="s">
        <v>10902</v>
      </c>
      <c r="U2001" t="s">
        <v>10902</v>
      </c>
      <c r="V2001" t="s">
        <v>10902</v>
      </c>
      <c r="W2001" t="s">
        <v>43</v>
      </c>
      <c r="X2001" t="s">
        <v>11327</v>
      </c>
      <c r="Y2001" t="s">
        <v>11198</v>
      </c>
      <c r="Z2001" t="s">
        <v>11195</v>
      </c>
      <c r="AA2001" t="s">
        <v>44</v>
      </c>
      <c r="AB2001" t="s">
        <v>44</v>
      </c>
      <c r="AC2001" s="4"/>
      <c r="AD2001" s="4"/>
      <c r="AE2001" s="2">
        <v>0</v>
      </c>
      <c r="AF2001" s="4">
        <v>0</v>
      </c>
      <c r="AG2001" s="2">
        <v>0.22</v>
      </c>
      <c r="AH2001" s="2">
        <v>33267</v>
      </c>
      <c r="AI2001" s="2">
        <v>0</v>
      </c>
      <c r="AJ2001" s="5">
        <v>44673</v>
      </c>
      <c r="AK2001" t="s">
        <v>12251</v>
      </c>
      <c r="AL2001" s="2">
        <v>0</v>
      </c>
      <c r="AM2001" s="2">
        <v>0</v>
      </c>
      <c r="AN2001" s="2">
        <v>0</v>
      </c>
      <c r="AO2001" t="s">
        <v>44</v>
      </c>
      <c r="AP2001" t="s">
        <v>11331</v>
      </c>
      <c r="AQ2001" t="s">
        <v>5121</v>
      </c>
    </row>
    <row r="2002" spans="1:43" x14ac:dyDescent="0.2">
      <c r="A2002" t="s">
        <v>12250</v>
      </c>
      <c r="B2002" t="s">
        <v>11037</v>
      </c>
      <c r="C2002" t="s">
        <v>11195</v>
      </c>
      <c r="D2002" t="s">
        <v>11204</v>
      </c>
      <c r="E2002" t="s">
        <v>5699</v>
      </c>
      <c r="F2002" t="s">
        <v>11204</v>
      </c>
      <c r="G2002" s="1">
        <v>1500</v>
      </c>
      <c r="H2002" s="2">
        <v>30029.56</v>
      </c>
      <c r="I2002" s="2">
        <v>32820</v>
      </c>
      <c r="J2002" s="2">
        <v>0</v>
      </c>
      <c r="K2002" s="2">
        <v>0</v>
      </c>
      <c r="L2002" s="2">
        <v>32820</v>
      </c>
      <c r="M2002" s="3">
        <v>2188</v>
      </c>
      <c r="N2002" s="4">
        <v>7.4670000000000002E-5</v>
      </c>
      <c r="O2002" s="5" t="s">
        <v>44</v>
      </c>
      <c r="P2002" s="5" t="s">
        <v>44</v>
      </c>
      <c r="Q2002" s="1"/>
      <c r="R2002" s="2"/>
      <c r="S2002" s="6"/>
      <c r="T2002" t="s">
        <v>10902</v>
      </c>
      <c r="U2002" t="s">
        <v>10902</v>
      </c>
      <c r="V2002" t="s">
        <v>10902</v>
      </c>
      <c r="W2002" t="s">
        <v>43</v>
      </c>
      <c r="X2002" t="s">
        <v>11197</v>
      </c>
      <c r="Y2002" t="s">
        <v>11198</v>
      </c>
      <c r="Z2002" t="s">
        <v>11195</v>
      </c>
      <c r="AA2002" t="s">
        <v>44</v>
      </c>
      <c r="AB2002" t="s">
        <v>44</v>
      </c>
      <c r="AC2002" s="4"/>
      <c r="AD2002" s="4"/>
      <c r="AE2002" s="2">
        <v>0</v>
      </c>
      <c r="AF2002" s="4">
        <v>0</v>
      </c>
      <c r="AG2002" s="2">
        <v>0.22</v>
      </c>
      <c r="AH2002" s="2">
        <v>32820</v>
      </c>
      <c r="AI2002" s="2">
        <v>0</v>
      </c>
      <c r="AJ2002" s="5">
        <v>44673</v>
      </c>
      <c r="AK2002" t="s">
        <v>12251</v>
      </c>
      <c r="AL2002" s="2">
        <v>0</v>
      </c>
      <c r="AM2002" s="2">
        <v>0</v>
      </c>
      <c r="AN2002" s="2">
        <v>0</v>
      </c>
      <c r="AO2002" t="s">
        <v>44</v>
      </c>
      <c r="AP2002" t="s">
        <v>11205</v>
      </c>
      <c r="AQ2002" t="s">
        <v>5699</v>
      </c>
    </row>
    <row r="2003" spans="1:43" x14ac:dyDescent="0.2">
      <c r="A2003" t="s">
        <v>12250</v>
      </c>
      <c r="B2003" t="s">
        <v>11037</v>
      </c>
      <c r="C2003" t="s">
        <v>11195</v>
      </c>
      <c r="D2003" t="s">
        <v>11332</v>
      </c>
      <c r="E2003" t="s">
        <v>11333</v>
      </c>
      <c r="F2003" t="s">
        <v>11332</v>
      </c>
      <c r="G2003" s="1">
        <v>3989</v>
      </c>
      <c r="H2003" s="2">
        <v>68443.8</v>
      </c>
      <c r="I2003" s="2">
        <v>67374.210000000006</v>
      </c>
      <c r="J2003" s="2">
        <v>0</v>
      </c>
      <c r="K2003" s="2">
        <v>0</v>
      </c>
      <c r="L2003" s="2">
        <v>67374.210000000006</v>
      </c>
      <c r="M2003" s="3">
        <v>1689</v>
      </c>
      <c r="N2003" s="4">
        <v>1.5328E-4</v>
      </c>
      <c r="O2003" s="5" t="s">
        <v>44</v>
      </c>
      <c r="P2003" s="5" t="s">
        <v>44</v>
      </c>
      <c r="Q2003" s="1"/>
      <c r="R2003" s="2"/>
      <c r="S2003" s="6"/>
      <c r="T2003" t="s">
        <v>10902</v>
      </c>
      <c r="U2003" t="s">
        <v>10902</v>
      </c>
      <c r="V2003" t="s">
        <v>10902</v>
      </c>
      <c r="W2003" t="s">
        <v>43</v>
      </c>
      <c r="X2003" t="s">
        <v>11334</v>
      </c>
      <c r="Y2003" t="s">
        <v>11335</v>
      </c>
      <c r="Z2003" t="s">
        <v>11195</v>
      </c>
      <c r="AA2003" t="s">
        <v>44</v>
      </c>
      <c r="AB2003" t="s">
        <v>44</v>
      </c>
      <c r="AC2003" s="4"/>
      <c r="AD2003" s="4"/>
      <c r="AE2003" s="2">
        <v>0</v>
      </c>
      <c r="AF2003" s="4">
        <v>0</v>
      </c>
      <c r="AG2003" s="2">
        <v>0.45</v>
      </c>
      <c r="AH2003" s="2">
        <v>67374.210000000006</v>
      </c>
      <c r="AI2003" s="2">
        <v>0</v>
      </c>
      <c r="AJ2003" s="5">
        <v>44673</v>
      </c>
      <c r="AK2003" t="s">
        <v>12251</v>
      </c>
      <c r="AL2003" s="2">
        <v>0</v>
      </c>
      <c r="AM2003" s="2">
        <v>0</v>
      </c>
      <c r="AN2003" s="2">
        <v>0</v>
      </c>
      <c r="AO2003" t="s">
        <v>44</v>
      </c>
      <c r="AP2003" t="s">
        <v>11336</v>
      </c>
      <c r="AQ2003" t="s">
        <v>11333</v>
      </c>
    </row>
    <row r="2004" spans="1:43" x14ac:dyDescent="0.2">
      <c r="A2004" t="s">
        <v>12250</v>
      </c>
      <c r="B2004" t="s">
        <v>11037</v>
      </c>
      <c r="C2004" t="s">
        <v>11195</v>
      </c>
      <c r="D2004" t="s">
        <v>11337</v>
      </c>
      <c r="E2004" t="s">
        <v>11338</v>
      </c>
      <c r="F2004" t="s">
        <v>11339</v>
      </c>
      <c r="G2004" s="1">
        <v>480</v>
      </c>
      <c r="H2004" s="2">
        <v>21337.58</v>
      </c>
      <c r="I2004" s="2">
        <v>24278.400000000001</v>
      </c>
      <c r="J2004" s="2">
        <v>0</v>
      </c>
      <c r="K2004" s="2">
        <v>0</v>
      </c>
      <c r="L2004" s="2">
        <v>24278.400000000001</v>
      </c>
      <c r="M2004" s="3">
        <v>5058</v>
      </c>
      <c r="N2004" s="4">
        <v>5.524E-5</v>
      </c>
      <c r="O2004" s="5" t="s">
        <v>44</v>
      </c>
      <c r="P2004" s="5" t="s">
        <v>44</v>
      </c>
      <c r="Q2004" s="1"/>
      <c r="R2004" s="2"/>
      <c r="S2004" s="6"/>
      <c r="T2004" t="s">
        <v>10902</v>
      </c>
      <c r="U2004" t="s">
        <v>10902</v>
      </c>
      <c r="V2004" t="s">
        <v>10902</v>
      </c>
      <c r="W2004" t="s">
        <v>43</v>
      </c>
      <c r="X2004" t="s">
        <v>11327</v>
      </c>
      <c r="Y2004" t="s">
        <v>11198</v>
      </c>
      <c r="Z2004" t="s">
        <v>11195</v>
      </c>
      <c r="AA2004" t="s">
        <v>44</v>
      </c>
      <c r="AB2004" t="s">
        <v>44</v>
      </c>
      <c r="AC2004" s="4"/>
      <c r="AD2004" s="4"/>
      <c r="AE2004" s="2">
        <v>0</v>
      </c>
      <c r="AF2004" s="4">
        <v>0</v>
      </c>
      <c r="AG2004" s="2">
        <v>0.16</v>
      </c>
      <c r="AH2004" s="2">
        <v>24278.400000000001</v>
      </c>
      <c r="AI2004" s="2">
        <v>0</v>
      </c>
      <c r="AJ2004" s="5">
        <v>44673</v>
      </c>
      <c r="AK2004" t="s">
        <v>12251</v>
      </c>
      <c r="AL2004" s="2">
        <v>0</v>
      </c>
      <c r="AM2004" s="2">
        <v>0</v>
      </c>
      <c r="AN2004" s="2">
        <v>0</v>
      </c>
      <c r="AO2004" t="s">
        <v>44</v>
      </c>
      <c r="AP2004" t="s">
        <v>11340</v>
      </c>
      <c r="AQ2004" t="s">
        <v>11338</v>
      </c>
    </row>
    <row r="2005" spans="1:43" x14ac:dyDescent="0.2">
      <c r="A2005" t="s">
        <v>12250</v>
      </c>
      <c r="B2005" t="s">
        <v>11037</v>
      </c>
      <c r="C2005" t="s">
        <v>11195</v>
      </c>
      <c r="D2005" t="s">
        <v>11341</v>
      </c>
      <c r="E2005" t="s">
        <v>11342</v>
      </c>
      <c r="F2005" t="s">
        <v>11341</v>
      </c>
      <c r="G2005" s="1">
        <v>590</v>
      </c>
      <c r="H2005" s="2">
        <v>26649.78</v>
      </c>
      <c r="I2005" s="2">
        <v>30774.400000000001</v>
      </c>
      <c r="J2005" s="2">
        <v>0</v>
      </c>
      <c r="K2005" s="2">
        <v>0</v>
      </c>
      <c r="L2005" s="2">
        <v>30774.400000000001</v>
      </c>
      <c r="M2005" s="3">
        <v>5216</v>
      </c>
      <c r="N2005" s="4">
        <v>7.0019999999999997E-5</v>
      </c>
      <c r="O2005" s="5" t="s">
        <v>44</v>
      </c>
      <c r="P2005" s="5" t="s">
        <v>44</v>
      </c>
      <c r="Q2005" s="1"/>
      <c r="R2005" s="2"/>
      <c r="S2005" s="6"/>
      <c r="T2005" t="s">
        <v>10902</v>
      </c>
      <c r="U2005" t="s">
        <v>10902</v>
      </c>
      <c r="V2005" t="s">
        <v>10902</v>
      </c>
      <c r="W2005" t="s">
        <v>43</v>
      </c>
      <c r="X2005" t="s">
        <v>11327</v>
      </c>
      <c r="Y2005" t="s">
        <v>11198</v>
      </c>
      <c r="Z2005" t="s">
        <v>11195</v>
      </c>
      <c r="AA2005" t="s">
        <v>44</v>
      </c>
      <c r="AB2005" t="s">
        <v>44</v>
      </c>
      <c r="AC2005" s="4"/>
      <c r="AD2005" s="4"/>
      <c r="AE2005" s="2">
        <v>0</v>
      </c>
      <c r="AF2005" s="4">
        <v>0</v>
      </c>
      <c r="AG2005" s="2">
        <v>0.21</v>
      </c>
      <c r="AH2005" s="2">
        <v>30774.400000000001</v>
      </c>
      <c r="AI2005" s="2">
        <v>0</v>
      </c>
      <c r="AJ2005" s="5">
        <v>44673</v>
      </c>
      <c r="AK2005" t="s">
        <v>12251</v>
      </c>
      <c r="AL2005" s="2">
        <v>0</v>
      </c>
      <c r="AM2005" s="2">
        <v>0</v>
      </c>
      <c r="AN2005" s="2">
        <v>0</v>
      </c>
      <c r="AO2005" t="s">
        <v>44</v>
      </c>
      <c r="AP2005" t="s">
        <v>11343</v>
      </c>
      <c r="AQ2005" t="s">
        <v>11342</v>
      </c>
    </row>
    <row r="2006" spans="1:43" x14ac:dyDescent="0.2">
      <c r="A2006" t="s">
        <v>12250</v>
      </c>
      <c r="B2006" t="s">
        <v>11037</v>
      </c>
      <c r="C2006" t="s">
        <v>11195</v>
      </c>
      <c r="D2006" t="s">
        <v>6128</v>
      </c>
      <c r="E2006" t="s">
        <v>6759</v>
      </c>
      <c r="F2006" t="s">
        <v>6128</v>
      </c>
      <c r="G2006" s="1">
        <v>490</v>
      </c>
      <c r="H2006" s="2">
        <v>36771.57</v>
      </c>
      <c r="I2006" s="2">
        <v>47285</v>
      </c>
      <c r="J2006" s="2">
        <v>0</v>
      </c>
      <c r="K2006" s="2">
        <v>0</v>
      </c>
      <c r="L2006" s="2">
        <v>47285</v>
      </c>
      <c r="M2006" s="3">
        <v>9650</v>
      </c>
      <c r="N2006" s="4">
        <v>1.0758E-4</v>
      </c>
      <c r="O2006" s="5" t="s">
        <v>44</v>
      </c>
      <c r="P2006" s="5" t="s">
        <v>44</v>
      </c>
      <c r="Q2006" s="1"/>
      <c r="R2006" s="2"/>
      <c r="S2006" s="6"/>
      <c r="T2006" t="s">
        <v>10902</v>
      </c>
      <c r="U2006" t="s">
        <v>10902</v>
      </c>
      <c r="V2006" t="s">
        <v>10902</v>
      </c>
      <c r="W2006" t="s">
        <v>43</v>
      </c>
      <c r="X2006" t="s">
        <v>11327</v>
      </c>
      <c r="Y2006" t="s">
        <v>11198</v>
      </c>
      <c r="Z2006" t="s">
        <v>11195</v>
      </c>
      <c r="AA2006" t="s">
        <v>44</v>
      </c>
      <c r="AB2006" t="s">
        <v>44</v>
      </c>
      <c r="AC2006" s="4"/>
      <c r="AD2006" s="4"/>
      <c r="AE2006" s="2">
        <v>0</v>
      </c>
      <c r="AF2006" s="4">
        <v>0</v>
      </c>
      <c r="AG2006" s="2">
        <v>0.32</v>
      </c>
      <c r="AH2006" s="2">
        <v>47285</v>
      </c>
      <c r="AI2006" s="2">
        <v>0</v>
      </c>
      <c r="AJ2006" s="5">
        <v>44673</v>
      </c>
      <c r="AK2006" t="s">
        <v>12251</v>
      </c>
      <c r="AL2006" s="2">
        <v>0</v>
      </c>
      <c r="AM2006" s="2">
        <v>0</v>
      </c>
      <c r="AN2006" s="2">
        <v>0</v>
      </c>
      <c r="AO2006" t="s">
        <v>44</v>
      </c>
      <c r="AP2006" t="s">
        <v>11344</v>
      </c>
      <c r="AQ2006" t="s">
        <v>6759</v>
      </c>
    </row>
    <row r="2007" spans="1:43" x14ac:dyDescent="0.2">
      <c r="A2007" t="s">
        <v>12250</v>
      </c>
      <c r="B2007" t="s">
        <v>11037</v>
      </c>
      <c r="C2007" t="s">
        <v>11195</v>
      </c>
      <c r="D2007" t="s">
        <v>11345</v>
      </c>
      <c r="E2007" t="s">
        <v>5409</v>
      </c>
      <c r="F2007" t="s">
        <v>11345</v>
      </c>
      <c r="G2007" s="1">
        <v>3089</v>
      </c>
      <c r="H2007" s="2">
        <v>94802.87</v>
      </c>
      <c r="I2007" s="2">
        <v>85256.4</v>
      </c>
      <c r="J2007" s="2">
        <v>0</v>
      </c>
      <c r="K2007" s="2">
        <v>2417.4499999999998</v>
      </c>
      <c r="L2007" s="2">
        <v>87673.85</v>
      </c>
      <c r="M2007" s="3">
        <v>2760</v>
      </c>
      <c r="N2007" s="4">
        <v>1.9947000000000001E-4</v>
      </c>
      <c r="O2007" s="5" t="s">
        <v>44</v>
      </c>
      <c r="P2007" s="5" t="s">
        <v>44</v>
      </c>
      <c r="Q2007" s="1"/>
      <c r="R2007" s="2"/>
      <c r="S2007" s="6"/>
      <c r="T2007" t="s">
        <v>10902</v>
      </c>
      <c r="U2007" t="s">
        <v>10902</v>
      </c>
      <c r="V2007" t="s">
        <v>10902</v>
      </c>
      <c r="W2007" t="s">
        <v>43</v>
      </c>
      <c r="X2007" t="s">
        <v>11327</v>
      </c>
      <c r="Y2007" t="s">
        <v>11198</v>
      </c>
      <c r="Z2007" t="s">
        <v>11195</v>
      </c>
      <c r="AA2007" t="s">
        <v>44</v>
      </c>
      <c r="AB2007" t="s">
        <v>44</v>
      </c>
      <c r="AC2007" s="4"/>
      <c r="AD2007" s="4"/>
      <c r="AE2007" s="2">
        <v>0</v>
      </c>
      <c r="AF2007" s="4">
        <v>0</v>
      </c>
      <c r="AG2007" s="2">
        <v>0.59</v>
      </c>
      <c r="AH2007" s="2">
        <v>87673.85</v>
      </c>
      <c r="AI2007" s="2">
        <v>0</v>
      </c>
      <c r="AJ2007" s="5">
        <v>44673</v>
      </c>
      <c r="AK2007" t="s">
        <v>12251</v>
      </c>
      <c r="AL2007" s="2">
        <v>0</v>
      </c>
      <c r="AM2007" s="2">
        <v>0</v>
      </c>
      <c r="AN2007" s="2">
        <v>0</v>
      </c>
      <c r="AO2007" t="s">
        <v>44</v>
      </c>
      <c r="AP2007" t="s">
        <v>11346</v>
      </c>
      <c r="AQ2007" t="s">
        <v>5409</v>
      </c>
    </row>
    <row r="2008" spans="1:43" x14ac:dyDescent="0.2">
      <c r="A2008" t="s">
        <v>12250</v>
      </c>
      <c r="B2008" t="s">
        <v>11037</v>
      </c>
      <c r="C2008" t="s">
        <v>11195</v>
      </c>
      <c r="D2008" t="s">
        <v>6263</v>
      </c>
      <c r="E2008" t="s">
        <v>6850</v>
      </c>
      <c r="F2008" t="s">
        <v>6263</v>
      </c>
      <c r="G2008" s="1">
        <v>2416</v>
      </c>
      <c r="H2008" s="2">
        <v>58284.19</v>
      </c>
      <c r="I2008" s="2">
        <v>63999.839999999997</v>
      </c>
      <c r="J2008" s="2">
        <v>0</v>
      </c>
      <c r="K2008" s="2">
        <v>3998.48</v>
      </c>
      <c r="L2008" s="2">
        <v>67998.320000000007</v>
      </c>
      <c r="M2008" s="3">
        <v>2649</v>
      </c>
      <c r="N2008" s="4">
        <v>1.5469999999999999E-4</v>
      </c>
      <c r="O2008" s="5" t="s">
        <v>44</v>
      </c>
      <c r="P2008" s="5" t="s">
        <v>44</v>
      </c>
      <c r="Q2008" s="1"/>
      <c r="R2008" s="2"/>
      <c r="S2008" s="6"/>
      <c r="T2008" t="s">
        <v>10902</v>
      </c>
      <c r="U2008" t="s">
        <v>10902</v>
      </c>
      <c r="V2008" t="s">
        <v>10902</v>
      </c>
      <c r="W2008" t="s">
        <v>43</v>
      </c>
      <c r="X2008" t="s">
        <v>11347</v>
      </c>
      <c r="Y2008" t="s">
        <v>11348</v>
      </c>
      <c r="Z2008" t="s">
        <v>11195</v>
      </c>
      <c r="AA2008" t="s">
        <v>44</v>
      </c>
      <c r="AB2008" t="s">
        <v>44</v>
      </c>
      <c r="AC2008" s="4"/>
      <c r="AD2008" s="4"/>
      <c r="AE2008" s="2">
        <v>0</v>
      </c>
      <c r="AF2008" s="4">
        <v>0</v>
      </c>
      <c r="AG2008" s="2">
        <v>0.46</v>
      </c>
      <c r="AH2008" s="2">
        <v>67998.320000000007</v>
      </c>
      <c r="AI2008" s="2">
        <v>0</v>
      </c>
      <c r="AJ2008" s="5">
        <v>44673</v>
      </c>
      <c r="AK2008" t="s">
        <v>12251</v>
      </c>
      <c r="AL2008" s="2">
        <v>0</v>
      </c>
      <c r="AM2008" s="2">
        <v>0</v>
      </c>
      <c r="AN2008" s="2">
        <v>0</v>
      </c>
      <c r="AO2008" t="s">
        <v>44</v>
      </c>
      <c r="AP2008" t="s">
        <v>11349</v>
      </c>
      <c r="AQ2008" t="s">
        <v>6850</v>
      </c>
    </row>
    <row r="2009" spans="1:43" x14ac:dyDescent="0.2">
      <c r="A2009" t="s">
        <v>12250</v>
      </c>
      <c r="B2009" t="s">
        <v>11037</v>
      </c>
      <c r="C2009" t="s">
        <v>11195</v>
      </c>
      <c r="D2009" t="s">
        <v>11208</v>
      </c>
      <c r="E2009" t="s">
        <v>3160</v>
      </c>
      <c r="F2009" t="s">
        <v>11208</v>
      </c>
      <c r="G2009" s="1">
        <v>18010</v>
      </c>
      <c r="H2009" s="2">
        <v>68385.09</v>
      </c>
      <c r="I2009" s="2">
        <v>79784.3</v>
      </c>
      <c r="J2009" s="2">
        <v>0</v>
      </c>
      <c r="K2009" s="2">
        <v>0</v>
      </c>
      <c r="L2009" s="2">
        <v>79784.3</v>
      </c>
      <c r="M2009" s="3">
        <v>443</v>
      </c>
      <c r="N2009" s="4">
        <v>1.8152000000000001E-4</v>
      </c>
      <c r="O2009" s="5" t="s">
        <v>44</v>
      </c>
      <c r="P2009" s="5" t="s">
        <v>44</v>
      </c>
      <c r="Q2009" s="1"/>
      <c r="R2009" s="2"/>
      <c r="S2009" s="6"/>
      <c r="T2009" t="s">
        <v>10902</v>
      </c>
      <c r="U2009" t="s">
        <v>10902</v>
      </c>
      <c r="V2009" t="s">
        <v>10902</v>
      </c>
      <c r="W2009" t="s">
        <v>43</v>
      </c>
      <c r="X2009" t="s">
        <v>11197</v>
      </c>
      <c r="Y2009" t="s">
        <v>11198</v>
      </c>
      <c r="Z2009" t="s">
        <v>11195</v>
      </c>
      <c r="AA2009" t="s">
        <v>44</v>
      </c>
      <c r="AB2009" t="s">
        <v>44</v>
      </c>
      <c r="AC2009" s="4"/>
      <c r="AD2009" s="4"/>
      <c r="AE2009" s="2">
        <v>0</v>
      </c>
      <c r="AF2009" s="4">
        <v>0</v>
      </c>
      <c r="AG2009" s="2">
        <v>0.54</v>
      </c>
      <c r="AH2009" s="2">
        <v>79784.3</v>
      </c>
      <c r="AI2009" s="2">
        <v>0</v>
      </c>
      <c r="AJ2009" s="5">
        <v>44673</v>
      </c>
      <c r="AK2009" t="s">
        <v>12251</v>
      </c>
      <c r="AL2009" s="2">
        <v>0</v>
      </c>
      <c r="AM2009" s="2">
        <v>0</v>
      </c>
      <c r="AN2009" s="2">
        <v>0</v>
      </c>
      <c r="AO2009" t="s">
        <v>44</v>
      </c>
      <c r="AP2009" t="s">
        <v>11209</v>
      </c>
      <c r="AQ2009" t="s">
        <v>3160</v>
      </c>
    </row>
    <row r="2010" spans="1:43" x14ac:dyDescent="0.2">
      <c r="A2010" t="s">
        <v>12250</v>
      </c>
      <c r="B2010" t="s">
        <v>11037</v>
      </c>
      <c r="C2010" t="s">
        <v>11195</v>
      </c>
      <c r="D2010" t="s">
        <v>11714</v>
      </c>
      <c r="E2010" t="s">
        <v>5012</v>
      </c>
      <c r="F2010" t="s">
        <v>11714</v>
      </c>
      <c r="G2010" s="1">
        <v>416</v>
      </c>
      <c r="H2010" s="2">
        <v>130461.93</v>
      </c>
      <c r="I2010" s="2">
        <v>133057.60000000001</v>
      </c>
      <c r="J2010" s="2">
        <v>0</v>
      </c>
      <c r="K2010" s="2">
        <v>0</v>
      </c>
      <c r="L2010" s="2">
        <v>133057.60000000001</v>
      </c>
      <c r="M2010" s="3">
        <v>31985</v>
      </c>
      <c r="N2010" s="4">
        <v>3.0271999999999997E-4</v>
      </c>
      <c r="O2010" s="5" t="s">
        <v>44</v>
      </c>
      <c r="P2010" s="5" t="s">
        <v>44</v>
      </c>
      <c r="Q2010" s="1"/>
      <c r="R2010" s="2"/>
      <c r="S2010" s="6"/>
      <c r="T2010" t="s">
        <v>10902</v>
      </c>
      <c r="U2010" t="s">
        <v>10902</v>
      </c>
      <c r="V2010" t="s">
        <v>10902</v>
      </c>
      <c r="W2010" t="s">
        <v>43</v>
      </c>
      <c r="X2010" t="s">
        <v>11327</v>
      </c>
      <c r="Y2010" t="s">
        <v>11198</v>
      </c>
      <c r="Z2010" t="s">
        <v>11195</v>
      </c>
      <c r="AA2010" t="s">
        <v>44</v>
      </c>
      <c r="AB2010" t="s">
        <v>44</v>
      </c>
      <c r="AC2010" s="4"/>
      <c r="AD2010" s="4"/>
      <c r="AE2010" s="2">
        <v>0</v>
      </c>
      <c r="AF2010" s="4">
        <v>0</v>
      </c>
      <c r="AG2010" s="2">
        <v>0.89</v>
      </c>
      <c r="AH2010" s="2">
        <v>133057.60000000001</v>
      </c>
      <c r="AI2010" s="2">
        <v>0</v>
      </c>
      <c r="AJ2010" s="5">
        <v>44673</v>
      </c>
      <c r="AK2010" t="s">
        <v>12251</v>
      </c>
      <c r="AL2010" s="2">
        <v>0</v>
      </c>
      <c r="AM2010" s="2">
        <v>0</v>
      </c>
      <c r="AN2010" s="2">
        <v>0</v>
      </c>
      <c r="AO2010" t="s">
        <v>44</v>
      </c>
      <c r="AP2010" t="s">
        <v>11715</v>
      </c>
      <c r="AQ2010" t="s">
        <v>5012</v>
      </c>
    </row>
    <row r="2011" spans="1:43" x14ac:dyDescent="0.2">
      <c r="A2011" t="s">
        <v>12250</v>
      </c>
      <c r="B2011" t="s">
        <v>11037</v>
      </c>
      <c r="C2011" t="s">
        <v>11195</v>
      </c>
      <c r="D2011" t="s">
        <v>11210</v>
      </c>
      <c r="E2011" t="s">
        <v>3167</v>
      </c>
      <c r="F2011" t="s">
        <v>11211</v>
      </c>
      <c r="G2011" s="1">
        <v>1047</v>
      </c>
      <c r="H2011" s="2">
        <v>60287.1</v>
      </c>
      <c r="I2011" s="2">
        <v>61249.5</v>
      </c>
      <c r="J2011" s="2">
        <v>0</v>
      </c>
      <c r="K2011" s="2">
        <v>0</v>
      </c>
      <c r="L2011" s="2">
        <v>61249.5</v>
      </c>
      <c r="M2011" s="3">
        <v>5850</v>
      </c>
      <c r="N2011" s="4">
        <v>1.3935E-4</v>
      </c>
      <c r="O2011" s="5" t="s">
        <v>44</v>
      </c>
      <c r="P2011" s="5" t="s">
        <v>44</v>
      </c>
      <c r="Q2011" s="1"/>
      <c r="R2011" s="2"/>
      <c r="S2011" s="6"/>
      <c r="T2011" t="s">
        <v>10902</v>
      </c>
      <c r="U2011" t="s">
        <v>10902</v>
      </c>
      <c r="V2011" t="s">
        <v>11212</v>
      </c>
      <c r="W2011" t="s">
        <v>43</v>
      </c>
      <c r="X2011" t="s">
        <v>11197</v>
      </c>
      <c r="Y2011" t="s">
        <v>11198</v>
      </c>
      <c r="Z2011" t="s">
        <v>11195</v>
      </c>
      <c r="AA2011" t="s">
        <v>44</v>
      </c>
      <c r="AB2011" t="s">
        <v>44</v>
      </c>
      <c r="AC2011" s="4"/>
      <c r="AD2011" s="4"/>
      <c r="AE2011" s="2">
        <v>0</v>
      </c>
      <c r="AF2011" s="4">
        <v>0</v>
      </c>
      <c r="AG2011" s="2">
        <v>0.41</v>
      </c>
      <c r="AH2011" s="2">
        <v>61249.5</v>
      </c>
      <c r="AI2011" s="2">
        <v>0</v>
      </c>
      <c r="AJ2011" s="5">
        <v>44673</v>
      </c>
      <c r="AK2011" t="s">
        <v>12251</v>
      </c>
      <c r="AL2011" s="2">
        <v>0</v>
      </c>
      <c r="AM2011" s="2">
        <v>0</v>
      </c>
      <c r="AN2011" s="2">
        <v>0</v>
      </c>
      <c r="AO2011" t="s">
        <v>44</v>
      </c>
      <c r="AP2011" t="s">
        <v>11213</v>
      </c>
      <c r="AQ2011" t="s">
        <v>3167</v>
      </c>
    </row>
    <row r="2012" spans="1:43" x14ac:dyDescent="0.2">
      <c r="A2012" t="s">
        <v>12250</v>
      </c>
      <c r="B2012" t="s">
        <v>11037</v>
      </c>
      <c r="C2012" t="s">
        <v>11195</v>
      </c>
      <c r="D2012" t="s">
        <v>6379</v>
      </c>
      <c r="E2012" t="s">
        <v>5199</v>
      </c>
      <c r="F2012" t="s">
        <v>6379</v>
      </c>
      <c r="G2012" s="1">
        <v>150</v>
      </c>
      <c r="H2012" s="2">
        <v>42628.39</v>
      </c>
      <c r="I2012" s="2">
        <v>43800</v>
      </c>
      <c r="J2012" s="2">
        <v>0</v>
      </c>
      <c r="K2012" s="2">
        <v>0</v>
      </c>
      <c r="L2012" s="2">
        <v>43800</v>
      </c>
      <c r="M2012" s="3">
        <v>29200</v>
      </c>
      <c r="N2012" s="4">
        <v>9.9649999999999996E-5</v>
      </c>
      <c r="O2012" s="5" t="s">
        <v>44</v>
      </c>
      <c r="P2012" s="5" t="s">
        <v>44</v>
      </c>
      <c r="Q2012" s="1"/>
      <c r="R2012" s="2"/>
      <c r="S2012" s="6"/>
      <c r="T2012" t="s">
        <v>10902</v>
      </c>
      <c r="U2012" t="s">
        <v>10902</v>
      </c>
      <c r="V2012" t="s">
        <v>10902</v>
      </c>
      <c r="W2012" t="s">
        <v>43</v>
      </c>
      <c r="X2012" t="s">
        <v>11350</v>
      </c>
      <c r="Y2012" t="s">
        <v>11335</v>
      </c>
      <c r="Z2012" t="s">
        <v>11195</v>
      </c>
      <c r="AA2012" t="s">
        <v>44</v>
      </c>
      <c r="AB2012" t="s">
        <v>44</v>
      </c>
      <c r="AC2012" s="4"/>
      <c r="AD2012" s="4"/>
      <c r="AE2012" s="2">
        <v>0</v>
      </c>
      <c r="AF2012" s="4">
        <v>0</v>
      </c>
      <c r="AG2012" s="2">
        <v>0.28999999999999998</v>
      </c>
      <c r="AH2012" s="2">
        <v>43800</v>
      </c>
      <c r="AI2012" s="2">
        <v>0</v>
      </c>
      <c r="AJ2012" s="5">
        <v>44673</v>
      </c>
      <c r="AK2012" t="s">
        <v>12251</v>
      </c>
      <c r="AL2012" s="2">
        <v>0</v>
      </c>
      <c r="AM2012" s="2">
        <v>0</v>
      </c>
      <c r="AN2012" s="2">
        <v>0</v>
      </c>
      <c r="AO2012" t="s">
        <v>44</v>
      </c>
      <c r="AP2012" t="s">
        <v>11351</v>
      </c>
      <c r="AQ2012" t="s">
        <v>5199</v>
      </c>
    </row>
    <row r="2013" spans="1:43" x14ac:dyDescent="0.2">
      <c r="A2013" t="s">
        <v>12250</v>
      </c>
      <c r="B2013" t="s">
        <v>11037</v>
      </c>
      <c r="C2013" t="s">
        <v>11195</v>
      </c>
      <c r="D2013" t="s">
        <v>6710</v>
      </c>
      <c r="E2013" t="s">
        <v>1780</v>
      </c>
      <c r="F2013" t="s">
        <v>6710</v>
      </c>
      <c r="G2013" s="1">
        <v>1000</v>
      </c>
      <c r="H2013" s="2">
        <v>24000.37</v>
      </c>
      <c r="I2013" s="2">
        <v>23800</v>
      </c>
      <c r="J2013" s="2">
        <v>0</v>
      </c>
      <c r="K2013" s="2">
        <v>0</v>
      </c>
      <c r="L2013" s="2">
        <v>23800</v>
      </c>
      <c r="M2013" s="3">
        <v>2380</v>
      </c>
      <c r="N2013" s="4">
        <v>5.4150000000000002E-5</v>
      </c>
      <c r="O2013" s="5" t="s">
        <v>44</v>
      </c>
      <c r="P2013" s="5" t="s">
        <v>44</v>
      </c>
      <c r="Q2013" s="1"/>
      <c r="R2013" s="2"/>
      <c r="S2013" s="6"/>
      <c r="T2013" t="s">
        <v>10902</v>
      </c>
      <c r="U2013" t="s">
        <v>10902</v>
      </c>
      <c r="V2013" t="s">
        <v>10902</v>
      </c>
      <c r="W2013" t="s">
        <v>43</v>
      </c>
      <c r="X2013" t="s">
        <v>11197</v>
      </c>
      <c r="Y2013" t="s">
        <v>11198</v>
      </c>
      <c r="Z2013" t="s">
        <v>11195</v>
      </c>
      <c r="AA2013" t="s">
        <v>44</v>
      </c>
      <c r="AB2013" t="s">
        <v>44</v>
      </c>
      <c r="AC2013" s="4"/>
      <c r="AD2013" s="4"/>
      <c r="AE2013" s="2">
        <v>0</v>
      </c>
      <c r="AF2013" s="4">
        <v>0</v>
      </c>
      <c r="AG2013" s="2">
        <v>0.16</v>
      </c>
      <c r="AH2013" s="2">
        <v>23800</v>
      </c>
      <c r="AI2013" s="2">
        <v>0</v>
      </c>
      <c r="AJ2013" s="5">
        <v>44673</v>
      </c>
      <c r="AK2013" t="s">
        <v>12251</v>
      </c>
      <c r="AL2013" s="2">
        <v>0</v>
      </c>
      <c r="AM2013" s="2">
        <v>0</v>
      </c>
      <c r="AN2013" s="2">
        <v>0</v>
      </c>
      <c r="AO2013" t="s">
        <v>44</v>
      </c>
      <c r="AP2013" t="s">
        <v>11214</v>
      </c>
      <c r="AQ2013" t="s">
        <v>1780</v>
      </c>
    </row>
    <row r="2014" spans="1:43" x14ac:dyDescent="0.2">
      <c r="A2014" t="s">
        <v>12250</v>
      </c>
      <c r="B2014" t="s">
        <v>11037</v>
      </c>
      <c r="C2014" t="s">
        <v>11195</v>
      </c>
      <c r="D2014" t="s">
        <v>11353</v>
      </c>
      <c r="E2014" t="s">
        <v>5706</v>
      </c>
      <c r="F2014" t="s">
        <v>11353</v>
      </c>
      <c r="G2014" s="1">
        <v>2000</v>
      </c>
      <c r="H2014" s="2">
        <v>87547.59</v>
      </c>
      <c r="I2014" s="2">
        <v>100000</v>
      </c>
      <c r="J2014" s="2">
        <v>0</v>
      </c>
      <c r="K2014" s="2">
        <v>0</v>
      </c>
      <c r="L2014" s="2">
        <v>100000</v>
      </c>
      <c r="M2014" s="3">
        <v>5000</v>
      </c>
      <c r="N2014" s="4">
        <v>2.2751E-4</v>
      </c>
      <c r="O2014" s="5" t="s">
        <v>44</v>
      </c>
      <c r="P2014" s="5" t="s">
        <v>44</v>
      </c>
      <c r="Q2014" s="1"/>
      <c r="R2014" s="2"/>
      <c r="S2014" s="6"/>
      <c r="T2014" t="s">
        <v>10902</v>
      </c>
      <c r="U2014" t="s">
        <v>10902</v>
      </c>
      <c r="V2014" t="s">
        <v>10902</v>
      </c>
      <c r="W2014" t="s">
        <v>43</v>
      </c>
      <c r="X2014" t="s">
        <v>11327</v>
      </c>
      <c r="Y2014" t="s">
        <v>11198</v>
      </c>
      <c r="Z2014" t="s">
        <v>11195</v>
      </c>
      <c r="AA2014" t="s">
        <v>44</v>
      </c>
      <c r="AB2014" t="s">
        <v>44</v>
      </c>
      <c r="AC2014" s="4"/>
      <c r="AD2014" s="4"/>
      <c r="AE2014" s="2">
        <v>0</v>
      </c>
      <c r="AF2014" s="4">
        <v>0</v>
      </c>
      <c r="AG2014" s="2">
        <v>0.67</v>
      </c>
      <c r="AH2014" s="2">
        <v>100000</v>
      </c>
      <c r="AI2014" s="2">
        <v>0</v>
      </c>
      <c r="AJ2014" s="5">
        <v>44673</v>
      </c>
      <c r="AK2014" t="s">
        <v>12251</v>
      </c>
      <c r="AL2014" s="2">
        <v>0</v>
      </c>
      <c r="AM2014" s="2">
        <v>0</v>
      </c>
      <c r="AN2014" s="2">
        <v>0</v>
      </c>
      <c r="AO2014" t="s">
        <v>44</v>
      </c>
      <c r="AP2014" t="s">
        <v>11354</v>
      </c>
      <c r="AQ2014" t="s">
        <v>5706</v>
      </c>
    </row>
    <row r="2015" spans="1:43" x14ac:dyDescent="0.2">
      <c r="A2015" t="s">
        <v>12250</v>
      </c>
      <c r="B2015" t="s">
        <v>11037</v>
      </c>
      <c r="C2015" t="s">
        <v>11195</v>
      </c>
      <c r="D2015" t="s">
        <v>6348</v>
      </c>
      <c r="E2015" t="s">
        <v>5241</v>
      </c>
      <c r="F2015" t="s">
        <v>6348</v>
      </c>
      <c r="G2015" s="1">
        <v>3100</v>
      </c>
      <c r="H2015" s="2">
        <v>39282.19</v>
      </c>
      <c r="I2015" s="2">
        <v>41540</v>
      </c>
      <c r="J2015" s="2">
        <v>0</v>
      </c>
      <c r="K2015" s="2">
        <v>0</v>
      </c>
      <c r="L2015" s="2">
        <v>41540</v>
      </c>
      <c r="M2015" s="3">
        <v>1340</v>
      </c>
      <c r="N2015" s="4">
        <v>9.4510000000000001E-5</v>
      </c>
      <c r="O2015" s="5" t="s">
        <v>44</v>
      </c>
      <c r="P2015" s="5" t="s">
        <v>44</v>
      </c>
      <c r="Q2015" s="1"/>
      <c r="R2015" s="2"/>
      <c r="S2015" s="6"/>
      <c r="T2015" t="s">
        <v>10902</v>
      </c>
      <c r="U2015" t="s">
        <v>10902</v>
      </c>
      <c r="V2015" t="s">
        <v>10902</v>
      </c>
      <c r="W2015" t="s">
        <v>43</v>
      </c>
      <c r="X2015" t="s">
        <v>11197</v>
      </c>
      <c r="Y2015" t="s">
        <v>11198</v>
      </c>
      <c r="Z2015" t="s">
        <v>11195</v>
      </c>
      <c r="AA2015" t="s">
        <v>44</v>
      </c>
      <c r="AB2015" t="s">
        <v>44</v>
      </c>
      <c r="AC2015" s="4"/>
      <c r="AD2015" s="4"/>
      <c r="AE2015" s="2">
        <v>0</v>
      </c>
      <c r="AF2015" s="4">
        <v>0</v>
      </c>
      <c r="AG2015" s="2">
        <v>0.28000000000000003</v>
      </c>
      <c r="AH2015" s="2">
        <v>41540</v>
      </c>
      <c r="AI2015" s="2">
        <v>0</v>
      </c>
      <c r="AJ2015" s="5">
        <v>44673</v>
      </c>
      <c r="AK2015" t="s">
        <v>12251</v>
      </c>
      <c r="AL2015" s="2">
        <v>0</v>
      </c>
      <c r="AM2015" s="2">
        <v>0</v>
      </c>
      <c r="AN2015" s="2">
        <v>0</v>
      </c>
      <c r="AO2015" t="s">
        <v>44</v>
      </c>
      <c r="AP2015" t="s">
        <v>11215</v>
      </c>
      <c r="AQ2015" t="s">
        <v>5241</v>
      </c>
    </row>
    <row r="2016" spans="1:43" x14ac:dyDescent="0.2">
      <c r="A2016" t="s">
        <v>12250</v>
      </c>
      <c r="B2016" t="s">
        <v>11037</v>
      </c>
      <c r="C2016" t="s">
        <v>11355</v>
      </c>
      <c r="D2016" t="s">
        <v>11356</v>
      </c>
      <c r="E2016" t="s">
        <v>4971</v>
      </c>
      <c r="F2016" t="s">
        <v>6192</v>
      </c>
      <c r="G2016" s="1">
        <v>3741</v>
      </c>
      <c r="H2016" s="2">
        <v>88229.43</v>
      </c>
      <c r="I2016" s="2">
        <v>84284.73</v>
      </c>
      <c r="J2016" s="2">
        <v>0</v>
      </c>
      <c r="K2016" s="2">
        <v>0</v>
      </c>
      <c r="L2016" s="2">
        <v>84284.73</v>
      </c>
      <c r="M2016" s="3">
        <v>2253</v>
      </c>
      <c r="N2016" s="4">
        <v>1.9175999999999999E-4</v>
      </c>
      <c r="O2016" s="5" t="s">
        <v>44</v>
      </c>
      <c r="P2016" s="5" t="s">
        <v>44</v>
      </c>
      <c r="Q2016" s="1"/>
      <c r="R2016" s="2"/>
      <c r="S2016" s="6"/>
      <c r="T2016" t="s">
        <v>10902</v>
      </c>
      <c r="U2016" t="s">
        <v>10902</v>
      </c>
      <c r="V2016" t="s">
        <v>10902</v>
      </c>
      <c r="W2016" t="s">
        <v>43</v>
      </c>
      <c r="X2016" t="s">
        <v>11357</v>
      </c>
      <c r="Y2016" t="s">
        <v>11358</v>
      </c>
      <c r="Z2016" t="s">
        <v>11355</v>
      </c>
      <c r="AA2016" t="s">
        <v>44</v>
      </c>
      <c r="AB2016" t="s">
        <v>44</v>
      </c>
      <c r="AC2016" s="4"/>
      <c r="AD2016" s="4"/>
      <c r="AE2016" s="2">
        <v>0</v>
      </c>
      <c r="AF2016" s="4">
        <v>0</v>
      </c>
      <c r="AG2016" s="2">
        <v>0.56999999999999995</v>
      </c>
      <c r="AH2016" s="2">
        <v>84284.73</v>
      </c>
      <c r="AI2016" s="2">
        <v>0</v>
      </c>
      <c r="AJ2016" s="5">
        <v>44673</v>
      </c>
      <c r="AK2016" t="s">
        <v>12251</v>
      </c>
      <c r="AL2016" s="2">
        <v>0</v>
      </c>
      <c r="AM2016" s="2">
        <v>0</v>
      </c>
      <c r="AN2016" s="2">
        <v>0</v>
      </c>
      <c r="AO2016" t="s">
        <v>44</v>
      </c>
      <c r="AP2016" t="s">
        <v>11359</v>
      </c>
      <c r="AQ2016" t="s">
        <v>4971</v>
      </c>
    </row>
    <row r="2017" spans="1:43" x14ac:dyDescent="0.2">
      <c r="A2017" t="s">
        <v>12250</v>
      </c>
      <c r="B2017" t="s">
        <v>11037</v>
      </c>
      <c r="C2017" t="s">
        <v>11355</v>
      </c>
      <c r="D2017" t="s">
        <v>11360</v>
      </c>
      <c r="E2017" t="s">
        <v>4991</v>
      </c>
      <c r="F2017" t="s">
        <v>11360</v>
      </c>
      <c r="G2017" s="1">
        <v>1100</v>
      </c>
      <c r="H2017" s="2">
        <v>77199.67</v>
      </c>
      <c r="I2017" s="2">
        <v>83193</v>
      </c>
      <c r="J2017" s="2">
        <v>0</v>
      </c>
      <c r="K2017" s="2">
        <v>0</v>
      </c>
      <c r="L2017" s="2">
        <v>83193</v>
      </c>
      <c r="M2017" s="3">
        <v>7563</v>
      </c>
      <c r="N2017" s="4">
        <v>1.8927000000000001E-4</v>
      </c>
      <c r="O2017" s="5" t="s">
        <v>44</v>
      </c>
      <c r="P2017" s="5" t="s">
        <v>44</v>
      </c>
      <c r="Q2017" s="1"/>
      <c r="R2017" s="2"/>
      <c r="S2017" s="6"/>
      <c r="T2017" t="s">
        <v>10902</v>
      </c>
      <c r="U2017" t="s">
        <v>10902</v>
      </c>
      <c r="V2017" t="s">
        <v>10902</v>
      </c>
      <c r="W2017" t="s">
        <v>43</v>
      </c>
      <c r="X2017" t="s">
        <v>11357</v>
      </c>
      <c r="Y2017" t="s">
        <v>11358</v>
      </c>
      <c r="Z2017" t="s">
        <v>11355</v>
      </c>
      <c r="AA2017" t="s">
        <v>44</v>
      </c>
      <c r="AB2017" t="s">
        <v>44</v>
      </c>
      <c r="AC2017" s="4"/>
      <c r="AD2017" s="4"/>
      <c r="AE2017" s="2">
        <v>0</v>
      </c>
      <c r="AF2017" s="4">
        <v>0</v>
      </c>
      <c r="AG2017" s="2">
        <v>0.56000000000000005</v>
      </c>
      <c r="AH2017" s="2">
        <v>83193</v>
      </c>
      <c r="AI2017" s="2">
        <v>0</v>
      </c>
      <c r="AJ2017" s="5">
        <v>44673</v>
      </c>
      <c r="AK2017" t="s">
        <v>12251</v>
      </c>
      <c r="AL2017" s="2">
        <v>0</v>
      </c>
      <c r="AM2017" s="2">
        <v>0</v>
      </c>
      <c r="AN2017" s="2">
        <v>0</v>
      </c>
      <c r="AO2017" t="s">
        <v>44</v>
      </c>
      <c r="AP2017" t="s">
        <v>11361</v>
      </c>
      <c r="AQ2017" t="s">
        <v>4991</v>
      </c>
    </row>
    <row r="2018" spans="1:43" x14ac:dyDescent="0.2">
      <c r="A2018" t="s">
        <v>12250</v>
      </c>
      <c r="B2018" t="s">
        <v>11037</v>
      </c>
      <c r="C2018" t="s">
        <v>11355</v>
      </c>
      <c r="D2018" t="s">
        <v>11362</v>
      </c>
      <c r="E2018" t="s">
        <v>4862</v>
      </c>
      <c r="F2018" t="s">
        <v>11362</v>
      </c>
      <c r="G2018" s="1">
        <v>3914</v>
      </c>
      <c r="H2018" s="2">
        <v>58921.45</v>
      </c>
      <c r="I2018" s="2">
        <v>62624</v>
      </c>
      <c r="J2018" s="2">
        <v>0</v>
      </c>
      <c r="K2018" s="2">
        <v>0</v>
      </c>
      <c r="L2018" s="2">
        <v>62624</v>
      </c>
      <c r="M2018" s="3">
        <v>1600</v>
      </c>
      <c r="N2018" s="4">
        <v>1.4248E-4</v>
      </c>
      <c r="O2018" s="5" t="s">
        <v>44</v>
      </c>
      <c r="P2018" s="5" t="s">
        <v>44</v>
      </c>
      <c r="Q2018" s="1"/>
      <c r="R2018" s="2"/>
      <c r="S2018" s="6"/>
      <c r="T2018" t="s">
        <v>10902</v>
      </c>
      <c r="U2018" t="s">
        <v>10902</v>
      </c>
      <c r="V2018" t="s">
        <v>10902</v>
      </c>
      <c r="W2018" t="s">
        <v>43</v>
      </c>
      <c r="X2018" t="s">
        <v>11357</v>
      </c>
      <c r="Y2018" t="s">
        <v>11358</v>
      </c>
      <c r="Z2018" t="s">
        <v>11355</v>
      </c>
      <c r="AA2018" t="s">
        <v>44</v>
      </c>
      <c r="AB2018" t="s">
        <v>44</v>
      </c>
      <c r="AC2018" s="4"/>
      <c r="AD2018" s="4"/>
      <c r="AE2018" s="2">
        <v>0</v>
      </c>
      <c r="AF2018" s="4">
        <v>0</v>
      </c>
      <c r="AG2018" s="2">
        <v>0.42</v>
      </c>
      <c r="AH2018" s="2">
        <v>62624</v>
      </c>
      <c r="AI2018" s="2">
        <v>0</v>
      </c>
      <c r="AJ2018" s="5">
        <v>44673</v>
      </c>
      <c r="AK2018" t="s">
        <v>12251</v>
      </c>
      <c r="AL2018" s="2">
        <v>0</v>
      </c>
      <c r="AM2018" s="2">
        <v>0</v>
      </c>
      <c r="AN2018" s="2">
        <v>0</v>
      </c>
      <c r="AO2018" t="s">
        <v>44</v>
      </c>
      <c r="AP2018" t="s">
        <v>11363</v>
      </c>
      <c r="AQ2018" t="s">
        <v>4862</v>
      </c>
    </row>
    <row r="2019" spans="1:43" x14ac:dyDescent="0.2">
      <c r="A2019" t="s">
        <v>12250</v>
      </c>
      <c r="B2019" t="s">
        <v>11037</v>
      </c>
      <c r="C2019" t="s">
        <v>11364</v>
      </c>
      <c r="D2019" t="s">
        <v>6240</v>
      </c>
      <c r="E2019" t="s">
        <v>5065</v>
      </c>
      <c r="F2019" t="s">
        <v>6240</v>
      </c>
      <c r="G2019" s="1">
        <v>680</v>
      </c>
      <c r="H2019" s="2">
        <v>91597.28</v>
      </c>
      <c r="I2019" s="2">
        <v>78642</v>
      </c>
      <c r="J2019" s="2">
        <v>0</v>
      </c>
      <c r="K2019" s="2">
        <v>0</v>
      </c>
      <c r="L2019" s="2">
        <v>78642</v>
      </c>
      <c r="M2019" s="3">
        <v>11565</v>
      </c>
      <c r="N2019" s="4">
        <v>1.7892E-4</v>
      </c>
      <c r="O2019" s="5" t="s">
        <v>44</v>
      </c>
      <c r="P2019" s="5" t="s">
        <v>44</v>
      </c>
      <c r="Q2019" s="1"/>
      <c r="R2019" s="2"/>
      <c r="S2019" s="6"/>
      <c r="T2019" t="s">
        <v>10902</v>
      </c>
      <c r="U2019" t="s">
        <v>10902</v>
      </c>
      <c r="V2019" t="s">
        <v>10902</v>
      </c>
      <c r="W2019" t="s">
        <v>43</v>
      </c>
      <c r="X2019" t="s">
        <v>11369</v>
      </c>
      <c r="Y2019" t="s">
        <v>11367</v>
      </c>
      <c r="Z2019" t="s">
        <v>11364</v>
      </c>
      <c r="AA2019" t="s">
        <v>44</v>
      </c>
      <c r="AB2019" t="s">
        <v>44</v>
      </c>
      <c r="AC2019" s="4"/>
      <c r="AD2019" s="4"/>
      <c r="AE2019" s="2">
        <v>0</v>
      </c>
      <c r="AF2019" s="4">
        <v>0</v>
      </c>
      <c r="AG2019" s="2">
        <v>0.53</v>
      </c>
      <c r="AH2019" s="2">
        <v>78642</v>
      </c>
      <c r="AI2019" s="2">
        <v>0</v>
      </c>
      <c r="AJ2019" s="5">
        <v>44673</v>
      </c>
      <c r="AK2019" t="s">
        <v>12251</v>
      </c>
      <c r="AL2019" s="2">
        <v>0</v>
      </c>
      <c r="AM2019" s="2">
        <v>0</v>
      </c>
      <c r="AN2019" s="2">
        <v>0</v>
      </c>
      <c r="AO2019" t="s">
        <v>44</v>
      </c>
      <c r="AP2019" t="s">
        <v>11370</v>
      </c>
      <c r="AQ2019" t="s">
        <v>5065</v>
      </c>
    </row>
    <row r="2020" spans="1:43" x14ac:dyDescent="0.2">
      <c r="A2020" t="s">
        <v>12250</v>
      </c>
      <c r="B2020" t="s">
        <v>11037</v>
      </c>
      <c r="C2020" t="s">
        <v>11364</v>
      </c>
      <c r="D2020" t="s">
        <v>11371</v>
      </c>
      <c r="E2020" t="s">
        <v>5127</v>
      </c>
      <c r="F2020" t="s">
        <v>11371</v>
      </c>
      <c r="G2020" s="1">
        <v>9250</v>
      </c>
      <c r="H2020" s="2">
        <v>44365.17</v>
      </c>
      <c r="I2020" s="2">
        <v>47637.5</v>
      </c>
      <c r="J2020" s="2">
        <v>0</v>
      </c>
      <c r="K2020" s="2">
        <v>0</v>
      </c>
      <c r="L2020" s="2">
        <v>47637.5</v>
      </c>
      <c r="M2020" s="3">
        <v>515</v>
      </c>
      <c r="N2020" s="4">
        <v>1.0838E-4</v>
      </c>
      <c r="O2020" s="5" t="s">
        <v>44</v>
      </c>
      <c r="P2020" s="5" t="s">
        <v>44</v>
      </c>
      <c r="Q2020" s="1"/>
      <c r="R2020" s="2"/>
      <c r="S2020" s="6"/>
      <c r="T2020" t="s">
        <v>10902</v>
      </c>
      <c r="U2020" t="s">
        <v>10902</v>
      </c>
      <c r="V2020" t="s">
        <v>10902</v>
      </c>
      <c r="W2020" t="s">
        <v>43</v>
      </c>
      <c r="X2020" t="s">
        <v>11369</v>
      </c>
      <c r="Y2020" t="s">
        <v>11367</v>
      </c>
      <c r="Z2020" t="s">
        <v>11364</v>
      </c>
      <c r="AA2020" t="s">
        <v>44</v>
      </c>
      <c r="AB2020" t="s">
        <v>44</v>
      </c>
      <c r="AC2020" s="4"/>
      <c r="AD2020" s="4"/>
      <c r="AE2020" s="2">
        <v>0</v>
      </c>
      <c r="AF2020" s="4">
        <v>0</v>
      </c>
      <c r="AG2020" s="2">
        <v>0.32</v>
      </c>
      <c r="AH2020" s="2">
        <v>47637.5</v>
      </c>
      <c r="AI2020" s="2">
        <v>0</v>
      </c>
      <c r="AJ2020" s="5">
        <v>44673</v>
      </c>
      <c r="AK2020" t="s">
        <v>12251</v>
      </c>
      <c r="AL2020" s="2">
        <v>0</v>
      </c>
      <c r="AM2020" s="2">
        <v>0</v>
      </c>
      <c r="AN2020" s="2">
        <v>0</v>
      </c>
      <c r="AO2020" t="s">
        <v>44</v>
      </c>
      <c r="AP2020" t="s">
        <v>11372</v>
      </c>
      <c r="AQ2020" t="s">
        <v>5127</v>
      </c>
    </row>
    <row r="2021" spans="1:43" x14ac:dyDescent="0.2">
      <c r="A2021" t="s">
        <v>12250</v>
      </c>
      <c r="B2021" t="s">
        <v>11037</v>
      </c>
      <c r="C2021" t="s">
        <v>11364</v>
      </c>
      <c r="D2021" t="s">
        <v>6443</v>
      </c>
      <c r="E2021" t="s">
        <v>5186</v>
      </c>
      <c r="F2021" t="s">
        <v>6443</v>
      </c>
      <c r="G2021" s="1">
        <v>600</v>
      </c>
      <c r="H2021" s="2">
        <v>30471.97</v>
      </c>
      <c r="I2021" s="2">
        <v>26496</v>
      </c>
      <c r="J2021" s="2">
        <v>0</v>
      </c>
      <c r="K2021" s="2">
        <v>0</v>
      </c>
      <c r="L2021" s="2">
        <v>26496</v>
      </c>
      <c r="M2021" s="3">
        <v>4416</v>
      </c>
      <c r="N2021" s="4">
        <v>6.0279999999999999E-5</v>
      </c>
      <c r="O2021" s="5" t="s">
        <v>44</v>
      </c>
      <c r="P2021" s="5" t="s">
        <v>44</v>
      </c>
      <c r="Q2021" s="1"/>
      <c r="R2021" s="2"/>
      <c r="S2021" s="6"/>
      <c r="T2021" t="s">
        <v>10902</v>
      </c>
      <c r="U2021" t="s">
        <v>10902</v>
      </c>
      <c r="V2021" t="s">
        <v>10902</v>
      </c>
      <c r="W2021" t="s">
        <v>43</v>
      </c>
      <c r="X2021" t="s">
        <v>11366</v>
      </c>
      <c r="Y2021" t="s">
        <v>11367</v>
      </c>
      <c r="Z2021" t="s">
        <v>11364</v>
      </c>
      <c r="AA2021" t="s">
        <v>44</v>
      </c>
      <c r="AB2021" t="s">
        <v>44</v>
      </c>
      <c r="AC2021" s="4"/>
      <c r="AD2021" s="4"/>
      <c r="AE2021" s="2">
        <v>0</v>
      </c>
      <c r="AF2021" s="4">
        <v>0</v>
      </c>
      <c r="AG2021" s="2">
        <v>0.18</v>
      </c>
      <c r="AH2021" s="2">
        <v>26496</v>
      </c>
      <c r="AI2021" s="2">
        <v>0</v>
      </c>
      <c r="AJ2021" s="5">
        <v>44673</v>
      </c>
      <c r="AK2021" t="s">
        <v>12251</v>
      </c>
      <c r="AL2021" s="2">
        <v>0</v>
      </c>
      <c r="AM2021" s="2">
        <v>0</v>
      </c>
      <c r="AN2021" s="2">
        <v>0</v>
      </c>
      <c r="AO2021" t="s">
        <v>44</v>
      </c>
      <c r="AP2021" t="s">
        <v>11373</v>
      </c>
      <c r="AQ2021" t="s">
        <v>5186</v>
      </c>
    </row>
    <row r="2022" spans="1:43" x14ac:dyDescent="0.2">
      <c r="A2022" t="s">
        <v>12250</v>
      </c>
      <c r="B2022" t="s">
        <v>11037</v>
      </c>
      <c r="C2022" t="s">
        <v>11364</v>
      </c>
      <c r="D2022" t="s">
        <v>11374</v>
      </c>
      <c r="E2022" t="s">
        <v>1786</v>
      </c>
      <c r="F2022" t="s">
        <v>11374</v>
      </c>
      <c r="G2022" s="1">
        <v>1350</v>
      </c>
      <c r="H2022" s="2">
        <v>48775.34</v>
      </c>
      <c r="I2022" s="2">
        <v>36450</v>
      </c>
      <c r="J2022" s="2">
        <v>0</v>
      </c>
      <c r="K2022" s="2">
        <v>0</v>
      </c>
      <c r="L2022" s="2">
        <v>36450</v>
      </c>
      <c r="M2022" s="3">
        <v>2700</v>
      </c>
      <c r="N2022" s="4">
        <v>8.2929999999999994E-5</v>
      </c>
      <c r="O2022" s="5" t="s">
        <v>44</v>
      </c>
      <c r="P2022" s="5" t="s">
        <v>44</v>
      </c>
      <c r="Q2022" s="1"/>
      <c r="R2022" s="2"/>
      <c r="S2022" s="6"/>
      <c r="T2022" t="s">
        <v>10902</v>
      </c>
      <c r="U2022" t="s">
        <v>10902</v>
      </c>
      <c r="V2022" t="s">
        <v>10902</v>
      </c>
      <c r="W2022" t="s">
        <v>43</v>
      </c>
      <c r="X2022" t="s">
        <v>11375</v>
      </c>
      <c r="Y2022" t="s">
        <v>11367</v>
      </c>
      <c r="Z2022" t="s">
        <v>11364</v>
      </c>
      <c r="AA2022" t="s">
        <v>44</v>
      </c>
      <c r="AB2022" t="s">
        <v>44</v>
      </c>
      <c r="AC2022" s="4"/>
      <c r="AD2022" s="4"/>
      <c r="AE2022" s="2">
        <v>0</v>
      </c>
      <c r="AF2022" s="4">
        <v>0</v>
      </c>
      <c r="AG2022" s="2">
        <v>0.24</v>
      </c>
      <c r="AH2022" s="2">
        <v>36450</v>
      </c>
      <c r="AI2022" s="2">
        <v>0</v>
      </c>
      <c r="AJ2022" s="5">
        <v>44673</v>
      </c>
      <c r="AK2022" t="s">
        <v>12251</v>
      </c>
      <c r="AL2022" s="2">
        <v>0</v>
      </c>
      <c r="AM2022" s="2">
        <v>0</v>
      </c>
      <c r="AN2022" s="2">
        <v>0</v>
      </c>
      <c r="AO2022" t="s">
        <v>44</v>
      </c>
      <c r="AP2022" t="s">
        <v>11376</v>
      </c>
      <c r="AQ2022" t="s">
        <v>1786</v>
      </c>
    </row>
    <row r="2023" spans="1:43" x14ac:dyDescent="0.2">
      <c r="A2023" t="s">
        <v>12250</v>
      </c>
      <c r="B2023" t="s">
        <v>11037</v>
      </c>
      <c r="C2023" t="s">
        <v>11364</v>
      </c>
      <c r="D2023" t="s">
        <v>11377</v>
      </c>
      <c r="E2023" t="s">
        <v>5599</v>
      </c>
      <c r="F2023" t="s">
        <v>11378</v>
      </c>
      <c r="G2023" s="1">
        <v>60</v>
      </c>
      <c r="H2023" s="2">
        <v>34319.449999999997</v>
      </c>
      <c r="I2023" s="2">
        <v>32441.4</v>
      </c>
      <c r="J2023" s="2">
        <v>0</v>
      </c>
      <c r="K2023" s="2">
        <v>0</v>
      </c>
      <c r="L2023" s="2">
        <v>32441.4</v>
      </c>
      <c r="M2023" s="3">
        <v>54069</v>
      </c>
      <c r="N2023" s="4">
        <v>7.381E-5</v>
      </c>
      <c r="O2023" s="5" t="s">
        <v>44</v>
      </c>
      <c r="P2023" s="5" t="s">
        <v>44</v>
      </c>
      <c r="Q2023" s="1"/>
      <c r="R2023" s="2"/>
      <c r="S2023" s="6"/>
      <c r="T2023" t="s">
        <v>10902</v>
      </c>
      <c r="U2023" t="s">
        <v>10902</v>
      </c>
      <c r="V2023" t="s">
        <v>10902</v>
      </c>
      <c r="W2023" t="s">
        <v>43</v>
      </c>
      <c r="X2023" t="s">
        <v>11375</v>
      </c>
      <c r="Y2023" t="s">
        <v>11367</v>
      </c>
      <c r="Z2023" t="s">
        <v>11364</v>
      </c>
      <c r="AA2023" t="s">
        <v>44</v>
      </c>
      <c r="AB2023" t="s">
        <v>44</v>
      </c>
      <c r="AC2023" s="4"/>
      <c r="AD2023" s="4"/>
      <c r="AE2023" s="2">
        <v>0</v>
      </c>
      <c r="AF2023" s="4">
        <v>0</v>
      </c>
      <c r="AG2023" s="2">
        <v>0.22</v>
      </c>
      <c r="AH2023" s="2">
        <v>32441.4</v>
      </c>
      <c r="AI2023" s="2">
        <v>0</v>
      </c>
      <c r="AJ2023" s="5">
        <v>44673</v>
      </c>
      <c r="AK2023" t="s">
        <v>12251</v>
      </c>
      <c r="AL2023" s="2">
        <v>0</v>
      </c>
      <c r="AM2023" s="2">
        <v>0</v>
      </c>
      <c r="AN2023" s="2">
        <v>0</v>
      </c>
      <c r="AO2023" t="s">
        <v>44</v>
      </c>
      <c r="AP2023" t="s">
        <v>11379</v>
      </c>
      <c r="AQ2023" t="s">
        <v>5599</v>
      </c>
    </row>
    <row r="2024" spans="1:43" x14ac:dyDescent="0.2">
      <c r="A2024" t="s">
        <v>12250</v>
      </c>
      <c r="B2024" t="s">
        <v>11037</v>
      </c>
      <c r="C2024" t="s">
        <v>11727</v>
      </c>
      <c r="D2024" t="s">
        <v>11728</v>
      </c>
      <c r="E2024" t="s">
        <v>4855</v>
      </c>
      <c r="F2024" t="s">
        <v>11728</v>
      </c>
      <c r="G2024" s="1">
        <v>131</v>
      </c>
      <c r="H2024" s="2">
        <v>303195.78000000003</v>
      </c>
      <c r="I2024" s="2">
        <v>197453.68</v>
      </c>
      <c r="J2024" s="2">
        <v>0</v>
      </c>
      <c r="K2024" s="2">
        <v>0</v>
      </c>
      <c r="L2024" s="2">
        <v>197453.68</v>
      </c>
      <c r="M2024" s="3">
        <v>150728</v>
      </c>
      <c r="N2024" s="4">
        <v>4.4923000000000001E-4</v>
      </c>
      <c r="O2024" s="5" t="s">
        <v>44</v>
      </c>
      <c r="P2024" s="5" t="s">
        <v>44</v>
      </c>
      <c r="Q2024" s="1"/>
      <c r="R2024" s="2"/>
      <c r="S2024" s="6"/>
      <c r="T2024" t="s">
        <v>10902</v>
      </c>
      <c r="U2024" t="s">
        <v>10902</v>
      </c>
      <c r="V2024" t="s">
        <v>10902</v>
      </c>
      <c r="W2024" t="s">
        <v>43</v>
      </c>
      <c r="X2024" t="s">
        <v>11729</v>
      </c>
      <c r="Y2024" t="s">
        <v>11727</v>
      </c>
      <c r="Z2024" t="s">
        <v>11727</v>
      </c>
      <c r="AA2024" t="s">
        <v>44</v>
      </c>
      <c r="AB2024" t="s">
        <v>44</v>
      </c>
      <c r="AC2024" s="4"/>
      <c r="AD2024" s="4"/>
      <c r="AE2024" s="2">
        <v>0</v>
      </c>
      <c r="AF2024" s="4">
        <v>0</v>
      </c>
      <c r="AG2024" s="2">
        <v>1.33</v>
      </c>
      <c r="AH2024" s="2">
        <v>197453.68</v>
      </c>
      <c r="AI2024" s="2">
        <v>0</v>
      </c>
      <c r="AJ2024" s="5">
        <v>44673</v>
      </c>
      <c r="AK2024" t="s">
        <v>12251</v>
      </c>
      <c r="AL2024" s="2">
        <v>0</v>
      </c>
      <c r="AM2024" s="2">
        <v>0</v>
      </c>
      <c r="AN2024" s="2">
        <v>0</v>
      </c>
      <c r="AO2024" t="s">
        <v>44</v>
      </c>
      <c r="AP2024" t="s">
        <v>11730</v>
      </c>
      <c r="AQ2024" t="s">
        <v>4855</v>
      </c>
    </row>
    <row r="2025" spans="1:43" x14ac:dyDescent="0.2">
      <c r="A2025" t="s">
        <v>12250</v>
      </c>
      <c r="B2025" t="s">
        <v>11037</v>
      </c>
      <c r="C2025" t="s">
        <v>11380</v>
      </c>
      <c r="D2025" t="s">
        <v>5901</v>
      </c>
      <c r="E2025" t="s">
        <v>4841</v>
      </c>
      <c r="F2025" t="s">
        <v>5901</v>
      </c>
      <c r="G2025" s="1">
        <v>977</v>
      </c>
      <c r="H2025" s="2">
        <v>185349.62</v>
      </c>
      <c r="I2025" s="2">
        <v>169021</v>
      </c>
      <c r="J2025" s="2">
        <v>0</v>
      </c>
      <c r="K2025" s="2">
        <v>0</v>
      </c>
      <c r="L2025" s="2">
        <v>169021</v>
      </c>
      <c r="M2025" s="3">
        <v>17300</v>
      </c>
      <c r="N2025" s="4">
        <v>3.8454E-4</v>
      </c>
      <c r="O2025" s="5" t="s">
        <v>44</v>
      </c>
      <c r="P2025" s="5" t="s">
        <v>44</v>
      </c>
      <c r="Q2025" s="1"/>
      <c r="R2025" s="2"/>
      <c r="S2025" s="6"/>
      <c r="T2025" t="s">
        <v>10902</v>
      </c>
      <c r="U2025" t="s">
        <v>10902</v>
      </c>
      <c r="V2025" t="s">
        <v>10902</v>
      </c>
      <c r="W2025" t="s">
        <v>43</v>
      </c>
      <c r="X2025" t="s">
        <v>11732</v>
      </c>
      <c r="Y2025" t="s">
        <v>11380</v>
      </c>
      <c r="Z2025" t="s">
        <v>11380</v>
      </c>
      <c r="AA2025" t="s">
        <v>44</v>
      </c>
      <c r="AB2025" t="s">
        <v>44</v>
      </c>
      <c r="AC2025" s="4"/>
      <c r="AD2025" s="4"/>
      <c r="AE2025" s="2">
        <v>0</v>
      </c>
      <c r="AF2025" s="4">
        <v>0</v>
      </c>
      <c r="AG2025" s="2">
        <v>1.1299999999999999</v>
      </c>
      <c r="AH2025" s="2">
        <v>169021</v>
      </c>
      <c r="AI2025" s="2">
        <v>0</v>
      </c>
      <c r="AJ2025" s="5">
        <v>44673</v>
      </c>
      <c r="AK2025" t="s">
        <v>12251</v>
      </c>
      <c r="AL2025" s="2">
        <v>0</v>
      </c>
      <c r="AM2025" s="2">
        <v>0</v>
      </c>
      <c r="AN2025" s="2">
        <v>0</v>
      </c>
      <c r="AO2025" t="s">
        <v>44</v>
      </c>
      <c r="AP2025" t="s">
        <v>11733</v>
      </c>
      <c r="AQ2025" t="s">
        <v>4841</v>
      </c>
    </row>
    <row r="2026" spans="1:43" x14ac:dyDescent="0.2">
      <c r="A2026" t="s">
        <v>12250</v>
      </c>
      <c r="B2026" t="s">
        <v>11037</v>
      </c>
      <c r="C2026" t="s">
        <v>11380</v>
      </c>
      <c r="D2026" t="s">
        <v>11381</v>
      </c>
      <c r="E2026" t="s">
        <v>5221</v>
      </c>
      <c r="F2026" t="s">
        <v>11381</v>
      </c>
      <c r="G2026" s="1">
        <v>811</v>
      </c>
      <c r="H2026" s="2">
        <v>37129.230000000003</v>
      </c>
      <c r="I2026" s="2">
        <v>36089.5</v>
      </c>
      <c r="J2026" s="2">
        <v>0</v>
      </c>
      <c r="K2026" s="2">
        <v>0</v>
      </c>
      <c r="L2026" s="2">
        <v>36089.5</v>
      </c>
      <c r="M2026" s="3">
        <v>4450</v>
      </c>
      <c r="N2026" s="4">
        <v>8.2109999999999998E-5</v>
      </c>
      <c r="O2026" s="5" t="s">
        <v>44</v>
      </c>
      <c r="P2026" s="5" t="s">
        <v>44</v>
      </c>
      <c r="Q2026" s="1"/>
      <c r="R2026" s="2"/>
      <c r="S2026" s="6"/>
      <c r="T2026" t="s">
        <v>10902</v>
      </c>
      <c r="U2026" t="s">
        <v>10902</v>
      </c>
      <c r="V2026" t="s">
        <v>10902</v>
      </c>
      <c r="W2026" t="s">
        <v>43</v>
      </c>
      <c r="X2026" t="s">
        <v>11382</v>
      </c>
      <c r="Y2026" t="s">
        <v>11380</v>
      </c>
      <c r="Z2026" t="s">
        <v>11380</v>
      </c>
      <c r="AA2026" t="s">
        <v>44</v>
      </c>
      <c r="AB2026" t="s">
        <v>44</v>
      </c>
      <c r="AC2026" s="4"/>
      <c r="AD2026" s="4"/>
      <c r="AE2026" s="2">
        <v>0</v>
      </c>
      <c r="AF2026" s="4">
        <v>0</v>
      </c>
      <c r="AG2026" s="2">
        <v>0.24</v>
      </c>
      <c r="AH2026" s="2">
        <v>36089.5</v>
      </c>
      <c r="AI2026" s="2">
        <v>0</v>
      </c>
      <c r="AJ2026" s="5">
        <v>44673</v>
      </c>
      <c r="AK2026" t="s">
        <v>12251</v>
      </c>
      <c r="AL2026" s="2">
        <v>0</v>
      </c>
      <c r="AM2026" s="2">
        <v>0</v>
      </c>
      <c r="AN2026" s="2">
        <v>0</v>
      </c>
      <c r="AO2026" t="s">
        <v>44</v>
      </c>
      <c r="AP2026" t="s">
        <v>11383</v>
      </c>
      <c r="AQ2026" t="s">
        <v>5221</v>
      </c>
    </row>
    <row r="2027" spans="1:43" x14ac:dyDescent="0.2">
      <c r="A2027" t="s">
        <v>12250</v>
      </c>
      <c r="B2027" t="s">
        <v>11037</v>
      </c>
      <c r="C2027" t="s">
        <v>11743</v>
      </c>
      <c r="D2027" t="s">
        <v>11744</v>
      </c>
      <c r="E2027" t="s">
        <v>11745</v>
      </c>
      <c r="F2027" t="s">
        <v>11746</v>
      </c>
      <c r="G2027" s="1">
        <v>150</v>
      </c>
      <c r="H2027" s="2">
        <v>22586.02</v>
      </c>
      <c r="I2027" s="2">
        <v>24445.5</v>
      </c>
      <c r="J2027" s="2">
        <v>0</v>
      </c>
      <c r="K2027" s="2">
        <v>0</v>
      </c>
      <c r="L2027" s="2">
        <v>24445.5</v>
      </c>
      <c r="M2027" s="3">
        <v>16297</v>
      </c>
      <c r="N2027" s="4">
        <v>5.5619999999999999E-5</v>
      </c>
      <c r="O2027" s="5" t="s">
        <v>44</v>
      </c>
      <c r="P2027" s="5" t="s">
        <v>44</v>
      </c>
      <c r="Q2027" s="1"/>
      <c r="R2027" s="2"/>
      <c r="S2027" s="6"/>
      <c r="T2027" t="s">
        <v>10902</v>
      </c>
      <c r="U2027" t="s">
        <v>10902</v>
      </c>
      <c r="V2027" t="s">
        <v>10902</v>
      </c>
      <c r="W2027" t="s">
        <v>43</v>
      </c>
      <c r="X2027" t="s">
        <v>11747</v>
      </c>
      <c r="Y2027" t="s">
        <v>11743</v>
      </c>
      <c r="Z2027" t="s">
        <v>11743</v>
      </c>
      <c r="AA2027" t="s">
        <v>44</v>
      </c>
      <c r="AB2027" t="s">
        <v>44</v>
      </c>
      <c r="AC2027" s="4"/>
      <c r="AD2027" s="4"/>
      <c r="AE2027" s="2">
        <v>0</v>
      </c>
      <c r="AF2027" s="4">
        <v>0</v>
      </c>
      <c r="AG2027" s="2">
        <v>0.16</v>
      </c>
      <c r="AH2027" s="2">
        <v>24445.5</v>
      </c>
      <c r="AI2027" s="2">
        <v>0</v>
      </c>
      <c r="AJ2027" s="5">
        <v>44673</v>
      </c>
      <c r="AK2027" t="s">
        <v>12251</v>
      </c>
      <c r="AL2027" s="2">
        <v>0</v>
      </c>
      <c r="AM2027" s="2">
        <v>0</v>
      </c>
      <c r="AN2027" s="2">
        <v>0</v>
      </c>
      <c r="AO2027" t="s">
        <v>44</v>
      </c>
      <c r="AP2027" t="s">
        <v>11748</v>
      </c>
      <c r="AQ2027" t="s">
        <v>11745</v>
      </c>
    </row>
    <row r="2028" spans="1:43" x14ac:dyDescent="0.2">
      <c r="A2028" t="s">
        <v>12250</v>
      </c>
      <c r="B2028" t="s">
        <v>11038</v>
      </c>
      <c r="C2028" t="s">
        <v>11052</v>
      </c>
      <c r="D2028" t="s">
        <v>11402</v>
      </c>
      <c r="E2028" t="s">
        <v>11403</v>
      </c>
      <c r="F2028" t="s">
        <v>11402</v>
      </c>
      <c r="G2028" s="1">
        <v>1300000</v>
      </c>
      <c r="H2028" s="2">
        <v>1273473.8799999999</v>
      </c>
      <c r="I2028" s="2">
        <v>1273473.8799999999</v>
      </c>
      <c r="J2028" s="2">
        <v>0</v>
      </c>
      <c r="K2028" s="2">
        <v>0</v>
      </c>
      <c r="L2028" s="2">
        <v>1273473.8799999999</v>
      </c>
      <c r="M2028" s="3">
        <v>5.0350000000000001</v>
      </c>
      <c r="N2028" s="4">
        <v>2.8972899999999998E-3</v>
      </c>
      <c r="O2028" s="5" t="s">
        <v>44</v>
      </c>
      <c r="P2028" s="5">
        <v>44825</v>
      </c>
      <c r="Q2028" s="1">
        <v>0</v>
      </c>
      <c r="R2028" s="2">
        <v>0.41</v>
      </c>
      <c r="S2028" s="6">
        <v>0.39999769104999999</v>
      </c>
      <c r="T2028" t="s">
        <v>112</v>
      </c>
      <c r="U2028" t="s">
        <v>11040</v>
      </c>
      <c r="V2028" t="s">
        <v>11238</v>
      </c>
      <c r="W2028" t="s">
        <v>43</v>
      </c>
      <c r="X2028" t="s">
        <v>44</v>
      </c>
      <c r="Y2028" t="s">
        <v>44</v>
      </c>
      <c r="Z2028" t="s">
        <v>44</v>
      </c>
      <c r="AA2028" t="s">
        <v>10913</v>
      </c>
      <c r="AB2028" t="s">
        <v>44</v>
      </c>
      <c r="AC2028" s="4">
        <v>5.1102424400000004</v>
      </c>
      <c r="AD2028" s="4">
        <v>4.9943184</v>
      </c>
      <c r="AE2028" s="2">
        <v>5.1100000000000003</v>
      </c>
      <c r="AF2028" s="4">
        <v>4.9943184</v>
      </c>
      <c r="AG2028" s="2">
        <v>8.5500000000000007</v>
      </c>
      <c r="AH2028" s="2">
        <v>1273473.8799999999</v>
      </c>
      <c r="AI2028" s="2">
        <v>0</v>
      </c>
      <c r="AJ2028" s="5">
        <v>44673</v>
      </c>
      <c r="AK2028" t="s">
        <v>12251</v>
      </c>
      <c r="AL2028" s="2">
        <v>5.05</v>
      </c>
      <c r="AM2028" s="2">
        <v>0</v>
      </c>
      <c r="AN2028" s="2">
        <v>0.4</v>
      </c>
      <c r="AO2028" t="s">
        <v>10922</v>
      </c>
      <c r="AP2028" t="s">
        <v>11404</v>
      </c>
      <c r="AQ2028" t="s">
        <v>11403</v>
      </c>
    </row>
    <row r="2029" spans="1:43" x14ac:dyDescent="0.2">
      <c r="A2029" t="s">
        <v>12250</v>
      </c>
      <c r="B2029" t="s">
        <v>11038</v>
      </c>
      <c r="C2029" t="s">
        <v>11052</v>
      </c>
      <c r="D2029" t="s">
        <v>12186</v>
      </c>
      <c r="E2029" t="s">
        <v>12187</v>
      </c>
      <c r="F2029" t="s">
        <v>12186</v>
      </c>
      <c r="G2029" s="1">
        <v>1400000</v>
      </c>
      <c r="H2029" s="2">
        <v>1375288.12</v>
      </c>
      <c r="I2029" s="2">
        <v>1375288.12</v>
      </c>
      <c r="J2029" s="2">
        <v>0</v>
      </c>
      <c r="K2029" s="2">
        <v>0</v>
      </c>
      <c r="L2029" s="2">
        <v>1375288.12</v>
      </c>
      <c r="M2029" s="3">
        <v>5.0337449999999997</v>
      </c>
      <c r="N2029" s="4">
        <v>3.1289299999999998E-3</v>
      </c>
      <c r="O2029" s="5" t="s">
        <v>44</v>
      </c>
      <c r="P2029" s="5">
        <v>44804</v>
      </c>
      <c r="Q2029" s="1">
        <v>0</v>
      </c>
      <c r="R2029" s="2">
        <v>0.35</v>
      </c>
      <c r="S2029" s="6">
        <v>0.34460181869000001</v>
      </c>
      <c r="T2029" t="s">
        <v>112</v>
      </c>
      <c r="U2029" t="s">
        <v>11040</v>
      </c>
      <c r="V2029" t="s">
        <v>11238</v>
      </c>
      <c r="W2029" t="s">
        <v>43</v>
      </c>
      <c r="X2029" t="s">
        <v>44</v>
      </c>
      <c r="Y2029" t="s">
        <v>44</v>
      </c>
      <c r="Z2029" t="s">
        <v>44</v>
      </c>
      <c r="AA2029" t="s">
        <v>10913</v>
      </c>
      <c r="AB2029" t="s">
        <v>44</v>
      </c>
      <c r="AC2029" s="4">
        <v>5.1164204399999997</v>
      </c>
      <c r="AD2029" s="4">
        <v>5.0002203400000003</v>
      </c>
      <c r="AE2029" s="2">
        <v>5.12</v>
      </c>
      <c r="AF2029" s="4">
        <v>5.0002203400000003</v>
      </c>
      <c r="AG2029" s="2">
        <v>9.23</v>
      </c>
      <c r="AH2029" s="2">
        <v>1375288.12</v>
      </c>
      <c r="AI2029" s="2">
        <v>0</v>
      </c>
      <c r="AJ2029" s="5">
        <v>44673</v>
      </c>
      <c r="AK2029" t="s">
        <v>12251</v>
      </c>
      <c r="AL2029" s="2">
        <v>5.05</v>
      </c>
      <c r="AM2029" s="2">
        <v>0</v>
      </c>
      <c r="AN2029" s="2">
        <v>0.34</v>
      </c>
      <c r="AO2029" t="s">
        <v>10922</v>
      </c>
      <c r="AP2029" t="s">
        <v>12188</v>
      </c>
      <c r="AQ2029" t="s">
        <v>12187</v>
      </c>
    </row>
    <row r="2030" spans="1:43" x14ac:dyDescent="0.2">
      <c r="A2030" t="s">
        <v>12250</v>
      </c>
      <c r="B2030" t="s">
        <v>11038</v>
      </c>
      <c r="C2030" t="s">
        <v>11039</v>
      </c>
      <c r="D2030" t="s">
        <v>12858</v>
      </c>
      <c r="E2030" t="s">
        <v>12859</v>
      </c>
      <c r="F2030" t="s">
        <v>12858</v>
      </c>
      <c r="G2030" s="1">
        <v>2000000</v>
      </c>
      <c r="H2030" s="2">
        <v>2000000</v>
      </c>
      <c r="I2030" s="2">
        <v>2003727.59</v>
      </c>
      <c r="J2030" s="2">
        <v>8469.0400000000009</v>
      </c>
      <c r="K2030" s="2">
        <v>0</v>
      </c>
      <c r="L2030" s="2">
        <v>2012196.63</v>
      </c>
      <c r="M2030" s="3">
        <v>6.1993330000000002</v>
      </c>
      <c r="N2030" s="4">
        <v>4.5779599999999998E-3</v>
      </c>
      <c r="O2030" s="5">
        <v>45015</v>
      </c>
      <c r="P2030" s="5">
        <v>45015</v>
      </c>
      <c r="Q2030" s="1">
        <v>6.44</v>
      </c>
      <c r="R2030" s="2">
        <v>0.93</v>
      </c>
      <c r="S2030" s="6">
        <v>0.87820253481999999</v>
      </c>
      <c r="T2030" t="s">
        <v>111</v>
      </c>
      <c r="U2030" t="s">
        <v>11040</v>
      </c>
      <c r="V2030" t="s">
        <v>11041</v>
      </c>
      <c r="W2030" t="s">
        <v>43</v>
      </c>
      <c r="X2030" t="s">
        <v>11034</v>
      </c>
      <c r="Y2030" t="s">
        <v>44</v>
      </c>
      <c r="Z2030" t="s">
        <v>44</v>
      </c>
      <c r="AA2030" t="s">
        <v>10979</v>
      </c>
      <c r="AB2030" t="s">
        <v>44</v>
      </c>
      <c r="AC2030" s="4">
        <v>6.2127848300000004</v>
      </c>
      <c r="AD2030" s="4">
        <v>6.0425928500000001</v>
      </c>
      <c r="AE2030" s="2">
        <v>6.21</v>
      </c>
      <c r="AF2030" s="4">
        <v>6.0425928500000001</v>
      </c>
      <c r="AG2030" s="2">
        <v>13.51</v>
      </c>
      <c r="AH2030" s="2">
        <v>2012196.63</v>
      </c>
      <c r="AI2030" s="2">
        <v>0</v>
      </c>
      <c r="AJ2030" s="5">
        <v>44673</v>
      </c>
      <c r="AK2030" t="s">
        <v>12251</v>
      </c>
      <c r="AL2030" s="2">
        <v>6.12</v>
      </c>
      <c r="AM2030" s="2">
        <v>6.44</v>
      </c>
      <c r="AN2030" s="2">
        <v>0.88</v>
      </c>
      <c r="AO2030" t="s">
        <v>11165</v>
      </c>
      <c r="AP2030" t="s">
        <v>12860</v>
      </c>
      <c r="AQ2030" t="s">
        <v>12859</v>
      </c>
    </row>
    <row r="2031" spans="1:43" x14ac:dyDescent="0.2">
      <c r="A2031" t="s">
        <v>12250</v>
      </c>
      <c r="B2031" t="s">
        <v>11038</v>
      </c>
      <c r="C2031" t="s">
        <v>11039</v>
      </c>
      <c r="D2031" t="s">
        <v>11390</v>
      </c>
      <c r="E2031" t="s">
        <v>11391</v>
      </c>
      <c r="F2031" t="s">
        <v>11390</v>
      </c>
      <c r="G2031" s="1">
        <v>500000</v>
      </c>
      <c r="H2031" s="2">
        <v>482692.88</v>
      </c>
      <c r="I2031" s="2">
        <v>482692.88</v>
      </c>
      <c r="J2031" s="2">
        <v>0</v>
      </c>
      <c r="K2031" s="2">
        <v>0</v>
      </c>
      <c r="L2031" s="2">
        <v>482692.88</v>
      </c>
      <c r="M2031" s="3">
        <v>5.7867119999999996</v>
      </c>
      <c r="N2031" s="4">
        <v>1.09818E-3</v>
      </c>
      <c r="O2031" s="5" t="s">
        <v>44</v>
      </c>
      <c r="P2031" s="5">
        <v>44902</v>
      </c>
      <c r="Q2031" s="1">
        <v>0</v>
      </c>
      <c r="R2031" s="2">
        <v>0.62</v>
      </c>
      <c r="S2031" s="6">
        <v>0.59776029928999996</v>
      </c>
      <c r="T2031" t="s">
        <v>112</v>
      </c>
      <c r="U2031" t="s">
        <v>11040</v>
      </c>
      <c r="V2031" t="s">
        <v>11238</v>
      </c>
      <c r="W2031" t="s">
        <v>43</v>
      </c>
      <c r="X2031" t="s">
        <v>44</v>
      </c>
      <c r="Y2031" t="s">
        <v>44</v>
      </c>
      <c r="Z2031" t="s">
        <v>44</v>
      </c>
      <c r="AA2031" t="s">
        <v>10913</v>
      </c>
      <c r="AB2031" t="s">
        <v>44</v>
      </c>
      <c r="AC2031" s="4">
        <v>5.8501835199999999</v>
      </c>
      <c r="AD2031" s="4">
        <v>5.6989443299999998</v>
      </c>
      <c r="AE2031" s="2">
        <v>5.85</v>
      </c>
      <c r="AF2031" s="4">
        <v>5.6989443299999998</v>
      </c>
      <c r="AG2031" s="2">
        <v>3.24</v>
      </c>
      <c r="AH2031" s="2">
        <v>482692.88</v>
      </c>
      <c r="AI2031" s="2">
        <v>0</v>
      </c>
      <c r="AJ2031" s="5">
        <v>44673</v>
      </c>
      <c r="AK2031" t="s">
        <v>12251</v>
      </c>
      <c r="AL2031" s="2">
        <v>5.77</v>
      </c>
      <c r="AM2031" s="2">
        <v>0</v>
      </c>
      <c r="AN2031" s="2">
        <v>0.6</v>
      </c>
      <c r="AO2031" t="s">
        <v>10922</v>
      </c>
      <c r="AP2031" t="s">
        <v>11392</v>
      </c>
      <c r="AQ2031" t="s">
        <v>11391</v>
      </c>
    </row>
    <row r="2032" spans="1:43" x14ac:dyDescent="0.2">
      <c r="A2032" t="s">
        <v>12250</v>
      </c>
      <c r="B2032" t="s">
        <v>11038</v>
      </c>
      <c r="C2032" t="s">
        <v>11039</v>
      </c>
      <c r="D2032" t="s">
        <v>12257</v>
      </c>
      <c r="E2032" t="s">
        <v>12258</v>
      </c>
      <c r="F2032" t="s">
        <v>12257</v>
      </c>
      <c r="G2032" s="1">
        <v>200000</v>
      </c>
      <c r="H2032" s="2">
        <v>193099.99</v>
      </c>
      <c r="I2032" s="2">
        <v>193099.99</v>
      </c>
      <c r="J2032" s="2">
        <v>0</v>
      </c>
      <c r="K2032" s="2">
        <v>0</v>
      </c>
      <c r="L2032" s="2">
        <v>193099.99</v>
      </c>
      <c r="M2032" s="3">
        <v>5.7911989999999998</v>
      </c>
      <c r="N2032" s="4">
        <v>4.3931999999999999E-4</v>
      </c>
      <c r="O2032" s="5" t="s">
        <v>44</v>
      </c>
      <c r="P2032" s="5">
        <v>44909</v>
      </c>
      <c r="Q2032" s="1">
        <v>0</v>
      </c>
      <c r="R2032" s="2">
        <v>0.64</v>
      </c>
      <c r="S2032" s="6">
        <v>0.6155984269</v>
      </c>
      <c r="T2032" t="s">
        <v>112</v>
      </c>
      <c r="U2032" t="s">
        <v>11040</v>
      </c>
      <c r="V2032" t="s">
        <v>11238</v>
      </c>
      <c r="W2032" t="s">
        <v>43</v>
      </c>
      <c r="X2032" t="s">
        <v>44</v>
      </c>
      <c r="Y2032" t="s">
        <v>44</v>
      </c>
      <c r="Z2032" t="s">
        <v>44</v>
      </c>
      <c r="AA2032" t="s">
        <v>10913</v>
      </c>
      <c r="AB2032" t="s">
        <v>44</v>
      </c>
      <c r="AC2032" s="4">
        <v>5.8515238099999998</v>
      </c>
      <c r="AD2032" s="4">
        <v>5.7002165500000004</v>
      </c>
      <c r="AE2032" s="2">
        <v>5.85</v>
      </c>
      <c r="AF2032" s="4">
        <v>5.7002165500000004</v>
      </c>
      <c r="AG2032" s="2">
        <v>1.3</v>
      </c>
      <c r="AH2032" s="2">
        <v>193099.99</v>
      </c>
      <c r="AI2032" s="2">
        <v>0</v>
      </c>
      <c r="AJ2032" s="5">
        <v>44673</v>
      </c>
      <c r="AK2032" t="s">
        <v>12251</v>
      </c>
      <c r="AL2032" s="2">
        <v>5.77</v>
      </c>
      <c r="AM2032" s="2">
        <v>0</v>
      </c>
      <c r="AN2032" s="2">
        <v>0.62</v>
      </c>
      <c r="AO2032" t="s">
        <v>10922</v>
      </c>
      <c r="AP2032" t="s">
        <v>12259</v>
      </c>
      <c r="AQ2032" t="s">
        <v>12258</v>
      </c>
    </row>
    <row r="2033" spans="1:43" x14ac:dyDescent="0.2">
      <c r="A2033" t="s">
        <v>12250</v>
      </c>
      <c r="B2033" t="s">
        <v>11038</v>
      </c>
      <c r="C2033" t="s">
        <v>11039</v>
      </c>
      <c r="D2033" t="s">
        <v>11399</v>
      </c>
      <c r="E2033" t="s">
        <v>11400</v>
      </c>
      <c r="F2033" t="s">
        <v>11399</v>
      </c>
      <c r="G2033" s="1">
        <v>400000</v>
      </c>
      <c r="H2033" s="2">
        <v>388073.17</v>
      </c>
      <c r="I2033" s="2">
        <v>388073.17</v>
      </c>
      <c r="J2033" s="2">
        <v>0</v>
      </c>
      <c r="K2033" s="2">
        <v>0</v>
      </c>
      <c r="L2033" s="2">
        <v>388073.17</v>
      </c>
      <c r="M2033" s="3">
        <v>5.4191849999999997</v>
      </c>
      <c r="N2033" s="4">
        <v>8.8290999999999999E-4</v>
      </c>
      <c r="O2033" s="5" t="s">
        <v>44</v>
      </c>
      <c r="P2033" s="5">
        <v>44881</v>
      </c>
      <c r="Q2033" s="1">
        <v>0</v>
      </c>
      <c r="R2033" s="2">
        <v>0.56000000000000005</v>
      </c>
      <c r="S2033" s="6">
        <v>0.54505428138000001</v>
      </c>
      <c r="T2033" t="s">
        <v>112</v>
      </c>
      <c r="U2033" t="s">
        <v>11040</v>
      </c>
      <c r="V2033" t="s">
        <v>11238</v>
      </c>
      <c r="W2033" t="s">
        <v>43</v>
      </c>
      <c r="X2033" t="s">
        <v>44</v>
      </c>
      <c r="Y2033" t="s">
        <v>44</v>
      </c>
      <c r="Z2033" t="s">
        <v>44</v>
      </c>
      <c r="AA2033" t="s">
        <v>10913</v>
      </c>
      <c r="AB2033" t="s">
        <v>44</v>
      </c>
      <c r="AC2033" s="4">
        <v>5.4834100699999997</v>
      </c>
      <c r="AD2033" s="4">
        <v>5.3502421900000003</v>
      </c>
      <c r="AE2033" s="2">
        <v>5.48</v>
      </c>
      <c r="AF2033" s="4">
        <v>5.3502421900000003</v>
      </c>
      <c r="AG2033" s="2">
        <v>2.61</v>
      </c>
      <c r="AH2033" s="2">
        <v>388073.17</v>
      </c>
      <c r="AI2033" s="2">
        <v>0</v>
      </c>
      <c r="AJ2033" s="5">
        <v>44673</v>
      </c>
      <c r="AK2033" t="s">
        <v>12251</v>
      </c>
      <c r="AL2033" s="2">
        <v>5.41</v>
      </c>
      <c r="AM2033" s="2">
        <v>0</v>
      </c>
      <c r="AN2033" s="2">
        <v>0.55000000000000004</v>
      </c>
      <c r="AO2033" t="s">
        <v>10922</v>
      </c>
      <c r="AP2033" t="s">
        <v>11401</v>
      </c>
      <c r="AQ2033" t="s">
        <v>11400</v>
      </c>
    </row>
    <row r="2034" spans="1:43" x14ac:dyDescent="0.2">
      <c r="A2034" t="s">
        <v>12250</v>
      </c>
      <c r="B2034" t="s">
        <v>11038</v>
      </c>
      <c r="C2034" t="s">
        <v>11039</v>
      </c>
      <c r="D2034" t="s">
        <v>11405</v>
      </c>
      <c r="E2034" t="s">
        <v>11406</v>
      </c>
      <c r="F2034" t="s">
        <v>11405</v>
      </c>
      <c r="G2034" s="1">
        <v>500000</v>
      </c>
      <c r="H2034" s="2">
        <v>484394.15</v>
      </c>
      <c r="I2034" s="2">
        <v>484394.15</v>
      </c>
      <c r="J2034" s="2">
        <v>0</v>
      </c>
      <c r="K2034" s="2">
        <v>0</v>
      </c>
      <c r="L2034" s="2">
        <v>484394.15</v>
      </c>
      <c r="M2034" s="3">
        <v>5.5672899999999998</v>
      </c>
      <c r="N2034" s="4">
        <v>1.10205E-3</v>
      </c>
      <c r="O2034" s="5" t="s">
        <v>44</v>
      </c>
      <c r="P2034" s="5">
        <v>44888</v>
      </c>
      <c r="Q2034" s="1">
        <v>0</v>
      </c>
      <c r="R2034" s="2">
        <v>0.57999999999999996</v>
      </c>
      <c r="S2034" s="6">
        <v>0.56262873229999999</v>
      </c>
      <c r="T2034" t="s">
        <v>112</v>
      </c>
      <c r="U2034" t="s">
        <v>11040</v>
      </c>
      <c r="V2034" t="s">
        <v>11238</v>
      </c>
      <c r="W2034" t="s">
        <v>43</v>
      </c>
      <c r="X2034" t="s">
        <v>44</v>
      </c>
      <c r="Y2034" t="s">
        <v>44</v>
      </c>
      <c r="Z2034" t="s">
        <v>44</v>
      </c>
      <c r="AA2034" t="s">
        <v>10913</v>
      </c>
      <c r="AB2034" t="s">
        <v>44</v>
      </c>
      <c r="AC2034" s="4">
        <v>5.6320586500000003</v>
      </c>
      <c r="AD2034" s="4">
        <v>5.4917004399999998</v>
      </c>
      <c r="AE2034" s="2">
        <v>5.63</v>
      </c>
      <c r="AF2034" s="4">
        <v>5.4917004399999998</v>
      </c>
      <c r="AG2034" s="2">
        <v>3.25</v>
      </c>
      <c r="AH2034" s="2">
        <v>484394.15</v>
      </c>
      <c r="AI2034" s="2">
        <v>0</v>
      </c>
      <c r="AJ2034" s="5">
        <v>44673</v>
      </c>
      <c r="AK2034" t="s">
        <v>12251</v>
      </c>
      <c r="AL2034" s="2">
        <v>5.55</v>
      </c>
      <c r="AM2034" s="2">
        <v>0</v>
      </c>
      <c r="AN2034" s="2">
        <v>0.56000000000000005</v>
      </c>
      <c r="AO2034" t="s">
        <v>10922</v>
      </c>
      <c r="AP2034" t="s">
        <v>11407</v>
      </c>
      <c r="AQ2034" t="s">
        <v>11406</v>
      </c>
    </row>
    <row r="2035" spans="1:43" x14ac:dyDescent="0.2">
      <c r="A2035" t="s">
        <v>12250</v>
      </c>
      <c r="B2035" t="s">
        <v>11038</v>
      </c>
      <c r="C2035" t="s">
        <v>11039</v>
      </c>
      <c r="D2035" t="s">
        <v>12727</v>
      </c>
      <c r="E2035" t="s">
        <v>12728</v>
      </c>
      <c r="F2035" t="s">
        <v>12727</v>
      </c>
      <c r="G2035" s="1">
        <v>1000000</v>
      </c>
      <c r="H2035" s="2">
        <v>1000000</v>
      </c>
      <c r="I2035" s="2">
        <v>1001071.52</v>
      </c>
      <c r="J2035" s="2">
        <v>6213.7</v>
      </c>
      <c r="K2035" s="2">
        <v>0</v>
      </c>
      <c r="L2035" s="2">
        <v>1007285.22</v>
      </c>
      <c r="M2035" s="3">
        <v>6.1328639999999996</v>
      </c>
      <c r="N2035" s="4">
        <v>2.2916799999999999E-3</v>
      </c>
      <c r="O2035" s="5">
        <v>45001</v>
      </c>
      <c r="P2035" s="5">
        <v>45001</v>
      </c>
      <c r="Q2035" s="1">
        <v>6.3</v>
      </c>
      <c r="R2035" s="2">
        <v>0.89</v>
      </c>
      <c r="S2035" s="6">
        <v>0.84430539241000002</v>
      </c>
      <c r="T2035" t="s">
        <v>111</v>
      </c>
      <c r="U2035" t="s">
        <v>11040</v>
      </c>
      <c r="V2035" t="s">
        <v>11041</v>
      </c>
      <c r="W2035" t="s">
        <v>43</v>
      </c>
      <c r="X2035" t="s">
        <v>11034</v>
      </c>
      <c r="Y2035" t="s">
        <v>44</v>
      </c>
      <c r="Z2035" t="s">
        <v>44</v>
      </c>
      <c r="AA2035" t="s">
        <v>10979</v>
      </c>
      <c r="AB2035" t="s">
        <v>44</v>
      </c>
      <c r="AC2035" s="4">
        <v>6.1531520899999999</v>
      </c>
      <c r="AD2035" s="4">
        <v>5.9861510000000004</v>
      </c>
      <c r="AE2035" s="2">
        <v>6.15</v>
      </c>
      <c r="AF2035" s="4">
        <v>5.9861510000000004</v>
      </c>
      <c r="AG2035" s="2">
        <v>6.76</v>
      </c>
      <c r="AH2035" s="2">
        <v>1007285.22</v>
      </c>
      <c r="AI2035" s="2">
        <v>0</v>
      </c>
      <c r="AJ2035" s="5">
        <v>44673</v>
      </c>
      <c r="AK2035" t="s">
        <v>12251</v>
      </c>
      <c r="AL2035" s="2">
        <v>6.06</v>
      </c>
      <c r="AM2035" s="2">
        <v>6.3</v>
      </c>
      <c r="AN2035" s="2">
        <v>0.84</v>
      </c>
      <c r="AO2035" t="s">
        <v>11179</v>
      </c>
      <c r="AP2035" t="s">
        <v>12729</v>
      </c>
      <c r="AQ2035" t="s">
        <v>12728</v>
      </c>
    </row>
    <row r="2036" spans="1:43" x14ac:dyDescent="0.2">
      <c r="A2036" t="s">
        <v>12250</v>
      </c>
      <c r="B2036" t="s">
        <v>11038</v>
      </c>
      <c r="C2036" t="s">
        <v>11222</v>
      </c>
      <c r="D2036" t="s">
        <v>12965</v>
      </c>
      <c r="E2036" t="s">
        <v>12966</v>
      </c>
      <c r="F2036" t="s">
        <v>12965</v>
      </c>
      <c r="G2036" s="1">
        <v>2000000</v>
      </c>
      <c r="H2036" s="2">
        <v>2000000</v>
      </c>
      <c r="I2036" s="2">
        <v>2000292.28</v>
      </c>
      <c r="J2036" s="2">
        <v>3875.62</v>
      </c>
      <c r="K2036" s="2">
        <v>0</v>
      </c>
      <c r="L2036" s="2">
        <v>2004167.9</v>
      </c>
      <c r="M2036" s="3">
        <v>6.4004060000000003</v>
      </c>
      <c r="N2036" s="4">
        <v>4.5596999999999999E-3</v>
      </c>
      <c r="O2036" s="5">
        <v>45057</v>
      </c>
      <c r="P2036" s="5">
        <v>45057</v>
      </c>
      <c r="Q2036" s="1">
        <v>6.43</v>
      </c>
      <c r="R2036" s="2">
        <v>1.04</v>
      </c>
      <c r="S2036" s="6">
        <v>0.97846466510999996</v>
      </c>
      <c r="T2036" t="s">
        <v>111</v>
      </c>
      <c r="U2036" t="s">
        <v>11040</v>
      </c>
      <c r="V2036" t="s">
        <v>11041</v>
      </c>
      <c r="W2036" t="s">
        <v>43</v>
      </c>
      <c r="X2036" t="s">
        <v>11034</v>
      </c>
      <c r="Y2036" t="s">
        <v>44</v>
      </c>
      <c r="Z2036" t="s">
        <v>44</v>
      </c>
      <c r="AA2036" t="s">
        <v>10979</v>
      </c>
      <c r="AB2036" t="s">
        <v>44</v>
      </c>
      <c r="AC2036" s="4">
        <v>6.3916291899999997</v>
      </c>
      <c r="AD2036" s="4">
        <v>6.2116933599999999</v>
      </c>
      <c r="AE2036" s="2">
        <v>6.39</v>
      </c>
      <c r="AF2036" s="4">
        <v>6.2116933599999999</v>
      </c>
      <c r="AG2036" s="2">
        <v>13.46</v>
      </c>
      <c r="AH2036" s="2">
        <v>2004167.9</v>
      </c>
      <c r="AI2036" s="2">
        <v>0</v>
      </c>
      <c r="AJ2036" s="5">
        <v>44673</v>
      </c>
      <c r="AK2036" t="s">
        <v>12251</v>
      </c>
      <c r="AL2036" s="2">
        <v>6.29</v>
      </c>
      <c r="AM2036" s="2">
        <v>6.43</v>
      </c>
      <c r="AN2036" s="2">
        <v>0.98</v>
      </c>
      <c r="AO2036" t="s">
        <v>11054</v>
      </c>
      <c r="AP2036" t="s">
        <v>12967</v>
      </c>
      <c r="AQ2036" t="s">
        <v>12966</v>
      </c>
    </row>
    <row r="2037" spans="1:43" x14ac:dyDescent="0.2">
      <c r="A2037" t="s">
        <v>12250</v>
      </c>
      <c r="B2037" t="s">
        <v>10951</v>
      </c>
      <c r="C2037" t="s">
        <v>10952</v>
      </c>
      <c r="D2037" t="s">
        <v>12254</v>
      </c>
      <c r="E2037" t="s">
        <v>12255</v>
      </c>
      <c r="F2037" t="s">
        <v>12254</v>
      </c>
      <c r="G2037" s="1">
        <v>783</v>
      </c>
      <c r="H2037" s="2">
        <v>19469.87</v>
      </c>
      <c r="I2037" s="2">
        <v>696.87</v>
      </c>
      <c r="J2037" s="2">
        <v>0</v>
      </c>
      <c r="K2037" s="2">
        <v>0</v>
      </c>
      <c r="L2037" s="2">
        <v>696.87</v>
      </c>
      <c r="M2037" s="3">
        <v>89</v>
      </c>
      <c r="N2037" s="4">
        <v>1.59E-6</v>
      </c>
      <c r="O2037" s="5" t="s">
        <v>44</v>
      </c>
      <c r="P2037" s="5" t="s">
        <v>44</v>
      </c>
      <c r="Q2037" s="1"/>
      <c r="R2037" s="2"/>
      <c r="S2037" s="6"/>
      <c r="T2037" t="s">
        <v>10902</v>
      </c>
      <c r="U2037" t="s">
        <v>10953</v>
      </c>
      <c r="V2037" t="s">
        <v>10902</v>
      </c>
      <c r="W2037" t="s">
        <v>43</v>
      </c>
      <c r="X2037" t="s">
        <v>44</v>
      </c>
      <c r="Y2037" t="s">
        <v>44</v>
      </c>
      <c r="Z2037" t="s">
        <v>44</v>
      </c>
      <c r="AA2037" t="s">
        <v>44</v>
      </c>
      <c r="AB2037" t="s">
        <v>44</v>
      </c>
      <c r="AC2037" s="4"/>
      <c r="AD2037" s="4"/>
      <c r="AE2037" s="2">
        <v>0</v>
      </c>
      <c r="AF2037" s="4">
        <v>0</v>
      </c>
      <c r="AG2037" s="2">
        <v>0</v>
      </c>
      <c r="AH2037" s="2">
        <v>696.87</v>
      </c>
      <c r="AI2037" s="2">
        <v>0</v>
      </c>
      <c r="AJ2037" s="5">
        <v>44673</v>
      </c>
      <c r="AK2037" t="s">
        <v>12251</v>
      </c>
      <c r="AL2037" s="2">
        <v>0</v>
      </c>
      <c r="AM2037" s="2">
        <v>0</v>
      </c>
      <c r="AN2037" s="2">
        <v>0</v>
      </c>
      <c r="AO2037" t="s">
        <v>44</v>
      </c>
      <c r="AP2037" t="s">
        <v>12256</v>
      </c>
      <c r="AQ2037" t="s">
        <v>12255</v>
      </c>
    </row>
    <row r="2038" spans="1:43" x14ac:dyDescent="0.2">
      <c r="A2038" t="s">
        <v>12250</v>
      </c>
      <c r="B2038" t="s">
        <v>11408</v>
      </c>
      <c r="C2038" t="s">
        <v>11408</v>
      </c>
      <c r="D2038" t="s">
        <v>11761</v>
      </c>
      <c r="E2038" t="s">
        <v>11762</v>
      </c>
      <c r="F2038" t="s">
        <v>11763</v>
      </c>
      <c r="G2038" s="1">
        <v>239.84209999999999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3"/>
      <c r="N2038" s="4">
        <v>0</v>
      </c>
      <c r="O2038" s="5" t="s">
        <v>44</v>
      </c>
      <c r="P2038" s="5">
        <v>44777</v>
      </c>
      <c r="Q2038" s="1">
        <v>0</v>
      </c>
      <c r="R2038" s="2"/>
      <c r="S2038" s="6"/>
      <c r="T2038" t="s">
        <v>11412</v>
      </c>
      <c r="U2038" t="s">
        <v>11413</v>
      </c>
      <c r="V2038" t="s">
        <v>11414</v>
      </c>
      <c r="W2038" t="s">
        <v>43</v>
      </c>
      <c r="X2038" t="s">
        <v>44</v>
      </c>
      <c r="Y2038" t="s">
        <v>44</v>
      </c>
      <c r="Z2038" t="s">
        <v>44</v>
      </c>
      <c r="AA2038" t="s">
        <v>10979</v>
      </c>
      <c r="AB2038" t="s">
        <v>44</v>
      </c>
      <c r="AC2038" s="4"/>
      <c r="AD2038" s="4"/>
      <c r="AE2038" s="2">
        <v>0</v>
      </c>
      <c r="AF2038" s="4">
        <v>0</v>
      </c>
      <c r="AG2038" s="2">
        <v>0</v>
      </c>
      <c r="AH2038" s="2">
        <v>0</v>
      </c>
      <c r="AI2038" s="2">
        <v>0</v>
      </c>
      <c r="AJ2038" s="5">
        <v>44673</v>
      </c>
      <c r="AK2038" t="s">
        <v>12251</v>
      </c>
      <c r="AL2038" s="2">
        <v>0</v>
      </c>
      <c r="AM2038" s="2">
        <v>0</v>
      </c>
      <c r="AN2038" s="2">
        <v>0</v>
      </c>
      <c r="AO2038" t="s">
        <v>11165</v>
      </c>
      <c r="AP2038" t="s">
        <v>44</v>
      </c>
      <c r="AQ2038" t="s">
        <v>44</v>
      </c>
    </row>
    <row r="2039" spans="1:43" x14ac:dyDescent="0.2">
      <c r="A2039" t="s">
        <v>12250</v>
      </c>
      <c r="B2039" t="s">
        <v>11408</v>
      </c>
      <c r="C2039" t="s">
        <v>11408</v>
      </c>
      <c r="D2039" t="s">
        <v>11764</v>
      </c>
      <c r="E2039" t="s">
        <v>11762</v>
      </c>
      <c r="F2039" t="s">
        <v>11765</v>
      </c>
      <c r="G2039" s="1">
        <v>-7250004.2000000002</v>
      </c>
      <c r="H2039" s="2">
        <v>0</v>
      </c>
      <c r="I2039" s="2">
        <v>0</v>
      </c>
      <c r="J2039" s="2">
        <v>-19217.48</v>
      </c>
      <c r="K2039" s="2">
        <v>0</v>
      </c>
      <c r="L2039" s="2">
        <v>-19217.48</v>
      </c>
      <c r="M2039" s="3"/>
      <c r="N2039" s="4">
        <v>-4.3720000000000002E-5</v>
      </c>
      <c r="O2039" s="5" t="s">
        <v>44</v>
      </c>
      <c r="P2039" s="5">
        <v>44777</v>
      </c>
      <c r="Q2039" s="1">
        <v>0</v>
      </c>
      <c r="R2039" s="2"/>
      <c r="S2039" s="6"/>
      <c r="T2039" t="s">
        <v>11412</v>
      </c>
      <c r="U2039" t="s">
        <v>11413</v>
      </c>
      <c r="V2039" t="s">
        <v>11414</v>
      </c>
      <c r="W2039" t="s">
        <v>43</v>
      </c>
      <c r="X2039" t="s">
        <v>44</v>
      </c>
      <c r="Y2039" t="s">
        <v>44</v>
      </c>
      <c r="Z2039" t="s">
        <v>44</v>
      </c>
      <c r="AA2039" t="s">
        <v>10979</v>
      </c>
      <c r="AB2039" t="s">
        <v>44</v>
      </c>
      <c r="AC2039" s="4"/>
      <c r="AD2039" s="4"/>
      <c r="AE2039" s="2">
        <v>0</v>
      </c>
      <c r="AF2039" s="4">
        <v>0</v>
      </c>
      <c r="AG2039" s="2">
        <v>-0.13</v>
      </c>
      <c r="AH2039" s="2">
        <v>-7269221.6799999997</v>
      </c>
      <c r="AI2039" s="2">
        <v>-0.02</v>
      </c>
      <c r="AJ2039" s="5">
        <v>44673</v>
      </c>
      <c r="AK2039" t="s">
        <v>12251</v>
      </c>
      <c r="AL2039" s="2">
        <v>0</v>
      </c>
      <c r="AM2039" s="2">
        <v>0</v>
      </c>
      <c r="AN2039" s="2">
        <v>0</v>
      </c>
      <c r="AO2039" t="s">
        <v>11165</v>
      </c>
      <c r="AP2039" t="s">
        <v>44</v>
      </c>
      <c r="AQ2039" t="s">
        <v>44</v>
      </c>
    </row>
    <row r="2040" spans="1:43" x14ac:dyDescent="0.2">
      <c r="A2040" t="s">
        <v>12250</v>
      </c>
      <c r="B2040" t="s">
        <v>11408</v>
      </c>
      <c r="C2040" t="s">
        <v>11408</v>
      </c>
      <c r="D2040" t="s">
        <v>11766</v>
      </c>
      <c r="E2040" t="s">
        <v>11762</v>
      </c>
      <c r="F2040" t="s">
        <v>11767</v>
      </c>
      <c r="G2040" s="1">
        <v>239.84209999999999</v>
      </c>
      <c r="H2040" s="2">
        <v>0</v>
      </c>
      <c r="I2040" s="2">
        <v>-322784.28000000003</v>
      </c>
      <c r="J2040" s="2">
        <v>0</v>
      </c>
      <c r="K2040" s="2">
        <v>0</v>
      </c>
      <c r="L2040" s="2">
        <v>-322784.28000000003</v>
      </c>
      <c r="M2040" s="3">
        <v>28882.42</v>
      </c>
      <c r="N2040" s="4">
        <v>-7.3437000000000003E-4</v>
      </c>
      <c r="O2040" s="5" t="s">
        <v>44</v>
      </c>
      <c r="P2040" s="5">
        <v>44777</v>
      </c>
      <c r="Q2040" s="1">
        <v>0</v>
      </c>
      <c r="R2040" s="2"/>
      <c r="S2040" s="6"/>
      <c r="T2040" t="s">
        <v>11412</v>
      </c>
      <c r="U2040" t="s">
        <v>11413</v>
      </c>
      <c r="V2040" t="s">
        <v>11414</v>
      </c>
      <c r="W2040" t="s">
        <v>43</v>
      </c>
      <c r="X2040" t="s">
        <v>44</v>
      </c>
      <c r="Y2040" t="s">
        <v>44</v>
      </c>
      <c r="Z2040" t="s">
        <v>44</v>
      </c>
      <c r="AA2040" t="s">
        <v>10979</v>
      </c>
      <c r="AB2040" t="s">
        <v>44</v>
      </c>
      <c r="AC2040" s="4"/>
      <c r="AD2040" s="4"/>
      <c r="AE2040" s="2">
        <v>0</v>
      </c>
      <c r="AF2040" s="4">
        <v>0</v>
      </c>
      <c r="AG2040" s="2">
        <v>-2.17</v>
      </c>
      <c r="AH2040" s="2">
        <v>6927219.9199999999</v>
      </c>
      <c r="AI2040" s="2">
        <v>0.02</v>
      </c>
      <c r="AJ2040" s="5">
        <v>44673</v>
      </c>
      <c r="AK2040" t="s">
        <v>12251</v>
      </c>
      <c r="AL2040" s="2">
        <v>0</v>
      </c>
      <c r="AM2040" s="2">
        <v>0</v>
      </c>
      <c r="AN2040" s="2">
        <v>0</v>
      </c>
      <c r="AO2040" t="s">
        <v>11165</v>
      </c>
      <c r="AP2040" t="s">
        <v>44</v>
      </c>
      <c r="AQ2040" t="s">
        <v>44</v>
      </c>
    </row>
    <row r="2041" spans="1:43" x14ac:dyDescent="0.2">
      <c r="A2041" t="s">
        <v>12250</v>
      </c>
      <c r="B2041" t="s">
        <v>11030</v>
      </c>
      <c r="C2041" t="s">
        <v>11030</v>
      </c>
      <c r="D2041" t="s">
        <v>11775</v>
      </c>
      <c r="E2041" t="s">
        <v>11754</v>
      </c>
      <c r="F2041" t="s">
        <v>11775</v>
      </c>
      <c r="G2041" s="1">
        <v>9</v>
      </c>
      <c r="H2041" s="2"/>
      <c r="I2041" s="2">
        <v>0</v>
      </c>
      <c r="J2041" s="2"/>
      <c r="K2041" s="2"/>
      <c r="L2041" s="2">
        <v>0</v>
      </c>
      <c r="M2041" s="3"/>
      <c r="N2041" s="4">
        <v>0</v>
      </c>
      <c r="O2041" s="5" t="s">
        <v>44</v>
      </c>
      <c r="P2041" s="5" t="s">
        <v>44</v>
      </c>
      <c r="Q2041" s="1"/>
      <c r="R2041" s="2"/>
      <c r="S2041" s="6"/>
      <c r="T2041" t="s">
        <v>11031</v>
      </c>
      <c r="U2041" t="s">
        <v>11032</v>
      </c>
      <c r="V2041" t="s">
        <v>45</v>
      </c>
      <c r="W2041" t="s">
        <v>43</v>
      </c>
      <c r="X2041" t="s">
        <v>44</v>
      </c>
      <c r="Y2041" t="s">
        <v>44</v>
      </c>
      <c r="Z2041" t="s">
        <v>44</v>
      </c>
      <c r="AA2041" t="s">
        <v>44</v>
      </c>
      <c r="AB2041" t="s">
        <v>44</v>
      </c>
      <c r="AC2041" s="4"/>
      <c r="AD2041" s="4"/>
      <c r="AE2041" s="2">
        <v>0</v>
      </c>
      <c r="AF2041" s="4">
        <v>0</v>
      </c>
      <c r="AG2041" s="2">
        <v>0</v>
      </c>
      <c r="AH2041" s="2">
        <v>-1801080</v>
      </c>
      <c r="AI2041" s="2">
        <v>0</v>
      </c>
      <c r="AJ2041" s="5">
        <v>44673</v>
      </c>
      <c r="AK2041" t="s">
        <v>12251</v>
      </c>
      <c r="AL2041" s="2">
        <v>0</v>
      </c>
      <c r="AM2041" s="2">
        <v>0</v>
      </c>
      <c r="AN2041" s="2">
        <v>0</v>
      </c>
      <c r="AO2041" t="s">
        <v>44</v>
      </c>
      <c r="AP2041" t="s">
        <v>44</v>
      </c>
      <c r="AQ2041" t="s">
        <v>11182</v>
      </c>
    </row>
    <row r="2042" spans="1:43" x14ac:dyDescent="0.2">
      <c r="A2042" t="s">
        <v>12250</v>
      </c>
      <c r="B2042" t="s">
        <v>11030</v>
      </c>
      <c r="C2042" t="s">
        <v>11030</v>
      </c>
      <c r="D2042" t="s">
        <v>11776</v>
      </c>
      <c r="E2042" t="s">
        <v>11756</v>
      </c>
      <c r="F2042" t="s">
        <v>11776</v>
      </c>
      <c r="G2042" s="1">
        <v>9</v>
      </c>
      <c r="H2042" s="2"/>
      <c r="I2042" s="2">
        <v>0</v>
      </c>
      <c r="J2042" s="2"/>
      <c r="K2042" s="2"/>
      <c r="L2042" s="2">
        <v>0</v>
      </c>
      <c r="M2042" s="3"/>
      <c r="N2042" s="4">
        <v>0</v>
      </c>
      <c r="O2042" s="5" t="s">
        <v>44</v>
      </c>
      <c r="P2042" s="5" t="s">
        <v>44</v>
      </c>
      <c r="Q2042" s="1"/>
      <c r="R2042" s="2"/>
      <c r="S2042" s="6"/>
      <c r="T2042" t="s">
        <v>11031</v>
      </c>
      <c r="U2042" t="s">
        <v>11032</v>
      </c>
      <c r="V2042" t="s">
        <v>45</v>
      </c>
      <c r="W2042" t="s">
        <v>43</v>
      </c>
      <c r="X2042" t="s">
        <v>44</v>
      </c>
      <c r="Y2042" t="s">
        <v>44</v>
      </c>
      <c r="Z2042" t="s">
        <v>44</v>
      </c>
      <c r="AA2042" t="s">
        <v>44</v>
      </c>
      <c r="AB2042" t="s">
        <v>44</v>
      </c>
      <c r="AC2042" s="4"/>
      <c r="AD2042" s="4"/>
      <c r="AE2042" s="2">
        <v>0</v>
      </c>
      <c r="AF2042" s="4">
        <v>0</v>
      </c>
      <c r="AG2042" s="2">
        <v>0</v>
      </c>
      <c r="AH2042" s="2">
        <v>-2616030</v>
      </c>
      <c r="AI2042" s="2">
        <v>-0.01</v>
      </c>
      <c r="AJ2042" s="5">
        <v>44673</v>
      </c>
      <c r="AK2042" t="s">
        <v>12251</v>
      </c>
      <c r="AL2042" s="2">
        <v>0</v>
      </c>
      <c r="AM2042" s="2">
        <v>0</v>
      </c>
      <c r="AN2042" s="2">
        <v>0</v>
      </c>
      <c r="AO2042" t="s">
        <v>44</v>
      </c>
      <c r="AP2042" t="s">
        <v>44</v>
      </c>
      <c r="AQ2042" t="s">
        <v>11182</v>
      </c>
    </row>
    <row r="2043" spans="1:43" x14ac:dyDescent="0.2">
      <c r="A2043" t="s">
        <v>12260</v>
      </c>
      <c r="B2043" t="s">
        <v>10900</v>
      </c>
      <c r="C2043" t="s">
        <v>11033</v>
      </c>
      <c r="D2043" t="s">
        <v>11241</v>
      </c>
      <c r="E2043" t="s">
        <v>11242</v>
      </c>
      <c r="F2043" t="s">
        <v>11241</v>
      </c>
      <c r="G2043" s="1">
        <v>4000000</v>
      </c>
      <c r="H2043" s="2">
        <v>4047465.23</v>
      </c>
      <c r="I2043" s="2">
        <v>4141954.4</v>
      </c>
      <c r="J2043" s="2">
        <v>67962.740000000005</v>
      </c>
      <c r="K2043" s="2">
        <v>0</v>
      </c>
      <c r="L2043" s="2">
        <v>4209917.1399999997</v>
      </c>
      <c r="M2043" s="3">
        <v>7.56</v>
      </c>
      <c r="N2043" s="4">
        <v>9.5780099999999996E-3</v>
      </c>
      <c r="O2043" s="5">
        <v>44791</v>
      </c>
      <c r="P2043" s="5">
        <v>45340</v>
      </c>
      <c r="Q2043" s="1">
        <v>9.69</v>
      </c>
      <c r="R2043" s="2">
        <v>1.69</v>
      </c>
      <c r="S2043" s="6">
        <v>1.624693049</v>
      </c>
      <c r="T2043" t="s">
        <v>111</v>
      </c>
      <c r="U2043" t="s">
        <v>111</v>
      </c>
      <c r="V2043" t="s">
        <v>10944</v>
      </c>
      <c r="W2043" t="s">
        <v>43</v>
      </c>
      <c r="X2043" t="s">
        <v>10988</v>
      </c>
      <c r="Y2043" t="s">
        <v>44</v>
      </c>
      <c r="Z2043" t="s">
        <v>44</v>
      </c>
      <c r="AA2043" t="s">
        <v>10979</v>
      </c>
      <c r="AB2043" t="s">
        <v>44</v>
      </c>
      <c r="AC2043" s="4">
        <v>7.7028840000000001</v>
      </c>
      <c r="AD2043" s="4">
        <v>7.4436089399999998</v>
      </c>
      <c r="AE2043" s="2">
        <v>7.7</v>
      </c>
      <c r="AF2043" s="4">
        <v>7.4436089399999998</v>
      </c>
      <c r="AG2043" s="2">
        <v>0.4</v>
      </c>
      <c r="AH2043" s="2">
        <v>4209917.1399999997</v>
      </c>
      <c r="AI2043" s="2">
        <v>0.01</v>
      </c>
      <c r="AJ2043" s="5">
        <v>44673</v>
      </c>
      <c r="AK2043" t="s">
        <v>12261</v>
      </c>
      <c r="AL2043" s="2">
        <v>7.56</v>
      </c>
      <c r="AM2043" s="2">
        <v>9.69</v>
      </c>
      <c r="AN2043" s="2">
        <v>1.62</v>
      </c>
      <c r="AO2043" t="s">
        <v>11048</v>
      </c>
      <c r="AP2043" t="s">
        <v>11244</v>
      </c>
      <c r="AQ2043" t="s">
        <v>11242</v>
      </c>
    </row>
    <row r="2044" spans="1:43" x14ac:dyDescent="0.2">
      <c r="A2044" t="s">
        <v>12260</v>
      </c>
      <c r="B2044" t="s">
        <v>10900</v>
      </c>
      <c r="C2044" t="s">
        <v>11033</v>
      </c>
      <c r="D2044" t="s">
        <v>12262</v>
      </c>
      <c r="E2044" t="s">
        <v>12263</v>
      </c>
      <c r="F2044" t="s">
        <v>12262</v>
      </c>
      <c r="G2044" s="1">
        <v>100000</v>
      </c>
      <c r="H2044" s="2">
        <v>99451.91</v>
      </c>
      <c r="I2044" s="2">
        <v>104865.94</v>
      </c>
      <c r="J2044" s="2">
        <v>1720.71</v>
      </c>
      <c r="K2044" s="2">
        <v>0</v>
      </c>
      <c r="L2044" s="2">
        <v>106586.65</v>
      </c>
      <c r="M2044" s="3">
        <v>7.23</v>
      </c>
      <c r="N2044" s="4">
        <v>2.4250000000000001E-4</v>
      </c>
      <c r="O2044" s="5">
        <v>44795</v>
      </c>
      <c r="P2044" s="5">
        <v>45342</v>
      </c>
      <c r="Q2044" s="1">
        <v>10.130000000000001</v>
      </c>
      <c r="R2044" s="2">
        <v>1.69</v>
      </c>
      <c r="S2044" s="6">
        <v>1.628299706</v>
      </c>
      <c r="T2044" t="s">
        <v>111</v>
      </c>
      <c r="U2044" t="s">
        <v>111</v>
      </c>
      <c r="V2044" t="s">
        <v>10944</v>
      </c>
      <c r="W2044" t="s">
        <v>43</v>
      </c>
      <c r="X2044" t="s">
        <v>10988</v>
      </c>
      <c r="Y2044" t="s">
        <v>44</v>
      </c>
      <c r="Z2044" t="s">
        <v>44</v>
      </c>
      <c r="AA2044" t="s">
        <v>10979</v>
      </c>
      <c r="AB2044" t="s">
        <v>44</v>
      </c>
      <c r="AC2044" s="4">
        <v>7.36068225</v>
      </c>
      <c r="AD2044" s="4">
        <v>7.1234440000000001</v>
      </c>
      <c r="AE2044" s="2">
        <v>7.36</v>
      </c>
      <c r="AF2044" s="4">
        <v>7.1234440000000001</v>
      </c>
      <c r="AG2044" s="2">
        <v>0.01</v>
      </c>
      <c r="AH2044" s="2">
        <v>106586.65</v>
      </c>
      <c r="AI2044" s="2">
        <v>0</v>
      </c>
      <c r="AJ2044" s="5">
        <v>44673</v>
      </c>
      <c r="AK2044" t="s">
        <v>12261</v>
      </c>
      <c r="AL2044" s="2">
        <v>7.23</v>
      </c>
      <c r="AM2044" s="2">
        <v>10.130000000000001</v>
      </c>
      <c r="AN2044" s="2">
        <v>1.63</v>
      </c>
      <c r="AO2044" t="s">
        <v>11179</v>
      </c>
      <c r="AP2044" t="s">
        <v>12264</v>
      </c>
      <c r="AQ2044" t="s">
        <v>12263</v>
      </c>
    </row>
    <row r="2045" spans="1:43" x14ac:dyDescent="0.2">
      <c r="A2045" t="s">
        <v>12260</v>
      </c>
      <c r="B2045" t="s">
        <v>10900</v>
      </c>
      <c r="C2045" t="s">
        <v>11033</v>
      </c>
      <c r="D2045" t="s">
        <v>11245</v>
      </c>
      <c r="E2045" t="s">
        <v>11246</v>
      </c>
      <c r="F2045" t="s">
        <v>11245</v>
      </c>
      <c r="G2045" s="1">
        <v>1980000</v>
      </c>
      <c r="H2045" s="2">
        <v>2026009.61</v>
      </c>
      <c r="I2045" s="2">
        <v>2085271.06</v>
      </c>
      <c r="J2045" s="2">
        <v>98424.99</v>
      </c>
      <c r="K2045" s="2">
        <v>0</v>
      </c>
      <c r="L2045" s="2">
        <v>2183696.0499999998</v>
      </c>
      <c r="M2045" s="3">
        <v>7.0979999999999999</v>
      </c>
      <c r="N2045" s="4">
        <v>4.9681400000000002E-3</v>
      </c>
      <c r="O2045" s="5">
        <v>44687</v>
      </c>
      <c r="P2045" s="5">
        <v>45236</v>
      </c>
      <c r="Q2045" s="1">
        <v>10.8</v>
      </c>
      <c r="R2045" s="2">
        <v>1.39</v>
      </c>
      <c r="S2045" s="6">
        <v>1.339661854</v>
      </c>
      <c r="T2045" t="s">
        <v>111</v>
      </c>
      <c r="U2045" t="s">
        <v>111</v>
      </c>
      <c r="V2045" t="s">
        <v>10944</v>
      </c>
      <c r="W2045" t="s">
        <v>43</v>
      </c>
      <c r="X2045" t="s">
        <v>10988</v>
      </c>
      <c r="Y2045" t="s">
        <v>44</v>
      </c>
      <c r="Z2045" t="s">
        <v>44</v>
      </c>
      <c r="AA2045" t="s">
        <v>10979</v>
      </c>
      <c r="AB2045" t="s">
        <v>44</v>
      </c>
      <c r="AC2045" s="4">
        <v>7.2239540099999999</v>
      </c>
      <c r="AD2045" s="4">
        <v>6.9952590600000004</v>
      </c>
      <c r="AE2045" s="2">
        <v>7.22</v>
      </c>
      <c r="AF2045" s="4">
        <v>6.9952590600000004</v>
      </c>
      <c r="AG2045" s="2">
        <v>0.21</v>
      </c>
      <c r="AH2045" s="2">
        <v>2183696.0499999998</v>
      </c>
      <c r="AI2045" s="2">
        <v>0</v>
      </c>
      <c r="AJ2045" s="5">
        <v>44673</v>
      </c>
      <c r="AK2045" t="s">
        <v>12261</v>
      </c>
      <c r="AL2045" s="2">
        <v>7.1</v>
      </c>
      <c r="AM2045" s="2">
        <v>10.8</v>
      </c>
      <c r="AN2045" s="2">
        <v>1.34</v>
      </c>
      <c r="AO2045" t="s">
        <v>10982</v>
      </c>
      <c r="AP2045" t="s">
        <v>11247</v>
      </c>
      <c r="AQ2045" t="s">
        <v>11246</v>
      </c>
    </row>
    <row r="2046" spans="1:43" x14ac:dyDescent="0.2">
      <c r="A2046" t="s">
        <v>12260</v>
      </c>
      <c r="B2046" t="s">
        <v>10900</v>
      </c>
      <c r="C2046" t="s">
        <v>10950</v>
      </c>
      <c r="D2046" t="s">
        <v>11141</v>
      </c>
      <c r="E2046" t="s">
        <v>11142</v>
      </c>
      <c r="F2046" t="s">
        <v>11141</v>
      </c>
      <c r="G2046" s="1">
        <v>1254840000</v>
      </c>
      <c r="H2046" s="2">
        <v>1030840327.6</v>
      </c>
      <c r="I2046" s="2">
        <v>1031461414.1799999</v>
      </c>
      <c r="J2046" s="2">
        <v>16245959.630000001</v>
      </c>
      <c r="K2046" s="2">
        <v>0</v>
      </c>
      <c r="L2046" s="2">
        <v>1047707373.8099999</v>
      </c>
      <c r="M2046" s="3">
        <v>10.805</v>
      </c>
      <c r="N2046" s="4">
        <v>2.3836470799999998</v>
      </c>
      <c r="O2046" s="5">
        <v>44804</v>
      </c>
      <c r="P2046" s="5">
        <v>54116</v>
      </c>
      <c r="Q2046" s="1">
        <v>8.75</v>
      </c>
      <c r="R2046" s="2">
        <v>9.2200000000000006</v>
      </c>
      <c r="S2046" s="6">
        <v>8.7507641760000006</v>
      </c>
      <c r="T2046" t="s">
        <v>111</v>
      </c>
      <c r="U2046" t="s">
        <v>111</v>
      </c>
      <c r="V2046" t="s">
        <v>10944</v>
      </c>
      <c r="W2046" t="s">
        <v>43</v>
      </c>
      <c r="X2046" t="s">
        <v>10945</v>
      </c>
      <c r="Y2046" t="s">
        <v>44</v>
      </c>
      <c r="Z2046" t="s">
        <v>44</v>
      </c>
      <c r="AA2046" t="s">
        <v>10913</v>
      </c>
      <c r="AB2046" t="s">
        <v>44</v>
      </c>
      <c r="AC2046" s="4">
        <v>11.096870060000001</v>
      </c>
      <c r="AD2046" s="4">
        <v>10.56950999</v>
      </c>
      <c r="AE2046" s="2">
        <v>11.1</v>
      </c>
      <c r="AF2046" s="4">
        <v>10.56950999</v>
      </c>
      <c r="AG2046" s="2">
        <v>100.03</v>
      </c>
      <c r="AH2046" s="2">
        <v>1047707373.8099999</v>
      </c>
      <c r="AI2046" s="2">
        <v>2.38</v>
      </c>
      <c r="AJ2046" s="5">
        <v>44673</v>
      </c>
      <c r="AK2046" t="s">
        <v>12261</v>
      </c>
      <c r="AL2046" s="2">
        <v>10.8</v>
      </c>
      <c r="AM2046" s="2">
        <v>8.75</v>
      </c>
      <c r="AN2046" s="2">
        <v>8.75</v>
      </c>
      <c r="AO2046" t="s">
        <v>10922</v>
      </c>
      <c r="AP2046" t="s">
        <v>11143</v>
      </c>
      <c r="AQ2046" t="s">
        <v>11142</v>
      </c>
    </row>
    <row r="2047" spans="1:43" x14ac:dyDescent="0.2">
      <c r="A2047" t="s">
        <v>12260</v>
      </c>
      <c r="B2047" t="s">
        <v>45</v>
      </c>
      <c r="C2047" t="s">
        <v>11000</v>
      </c>
      <c r="D2047" t="s">
        <v>11421</v>
      </c>
      <c r="E2047" t="s">
        <v>11422</v>
      </c>
      <c r="F2047" t="s">
        <v>11421</v>
      </c>
      <c r="G2047" s="1">
        <v>8000000</v>
      </c>
      <c r="H2047" s="2">
        <v>8000000</v>
      </c>
      <c r="I2047" s="2">
        <v>8000000</v>
      </c>
      <c r="J2047" s="2">
        <v>32794.51</v>
      </c>
      <c r="K2047" s="2">
        <v>0</v>
      </c>
      <c r="L2047" s="2">
        <v>8032794.5099999998</v>
      </c>
      <c r="M2047" s="3">
        <v>4.2</v>
      </c>
      <c r="N2047" s="4">
        <v>1.8275469999999999E-2</v>
      </c>
      <c r="O2047" s="5" t="s">
        <v>44</v>
      </c>
      <c r="P2047" s="5">
        <v>55153</v>
      </c>
      <c r="Q2047" s="1">
        <v>4.2</v>
      </c>
      <c r="R2047" s="2">
        <v>0.08</v>
      </c>
      <c r="S2047" s="6">
        <v>2.5947269999999998E-3</v>
      </c>
      <c r="T2047" t="s">
        <v>112</v>
      </c>
      <c r="U2047" t="s">
        <v>46</v>
      </c>
      <c r="V2047" t="s">
        <v>11270</v>
      </c>
      <c r="W2047" t="s">
        <v>43</v>
      </c>
      <c r="X2047" t="s">
        <v>44</v>
      </c>
      <c r="Y2047" t="s">
        <v>44</v>
      </c>
      <c r="Z2047" t="s">
        <v>44</v>
      </c>
      <c r="AA2047" t="s">
        <v>10913</v>
      </c>
      <c r="AB2047" t="s">
        <v>44</v>
      </c>
      <c r="AC2047" s="4">
        <v>4.2819052299999996</v>
      </c>
      <c r="AD2047" s="4">
        <v>4.20010057</v>
      </c>
      <c r="AE2047" s="2">
        <v>4.28</v>
      </c>
      <c r="AF2047" s="4">
        <v>4.20010057</v>
      </c>
      <c r="AG2047" s="2">
        <v>0.77</v>
      </c>
      <c r="AH2047" s="2">
        <v>8032794.5099999998</v>
      </c>
      <c r="AI2047" s="2">
        <v>0.02</v>
      </c>
      <c r="AJ2047" s="5">
        <v>44673</v>
      </c>
      <c r="AK2047" t="s">
        <v>12261</v>
      </c>
      <c r="AL2047" s="2">
        <v>4.24</v>
      </c>
      <c r="AM2047" s="2">
        <v>4.2</v>
      </c>
      <c r="AN2047" s="2">
        <v>0</v>
      </c>
      <c r="AO2047" t="s">
        <v>11423</v>
      </c>
      <c r="AP2047" t="s">
        <v>44</v>
      </c>
      <c r="AQ2047" t="s">
        <v>11422</v>
      </c>
    </row>
    <row r="2048" spans="1:43" x14ac:dyDescent="0.2">
      <c r="A2048" t="s">
        <v>12260</v>
      </c>
      <c r="B2048" t="s">
        <v>45</v>
      </c>
      <c r="C2048" t="s">
        <v>11000</v>
      </c>
      <c r="D2048" t="s">
        <v>11424</v>
      </c>
      <c r="E2048" t="s">
        <v>11425</v>
      </c>
      <c r="F2048" t="s">
        <v>11424</v>
      </c>
      <c r="G2048" s="1">
        <v>2000000</v>
      </c>
      <c r="H2048" s="2">
        <v>2000000</v>
      </c>
      <c r="I2048" s="2">
        <v>2000000</v>
      </c>
      <c r="J2048" s="2">
        <v>18641.099999999999</v>
      </c>
      <c r="K2048" s="2">
        <v>0</v>
      </c>
      <c r="L2048" s="2">
        <v>2018641.1</v>
      </c>
      <c r="M2048" s="3">
        <v>4.2</v>
      </c>
      <c r="N2048" s="4">
        <v>4.5926300000000003E-3</v>
      </c>
      <c r="O2048" s="5" t="s">
        <v>44</v>
      </c>
      <c r="P2048" s="5">
        <v>55153</v>
      </c>
      <c r="Q2048" s="1">
        <v>4.2</v>
      </c>
      <c r="R2048" s="2">
        <v>0.08</v>
      </c>
      <c r="S2048" s="6">
        <v>2.5986049999999999E-3</v>
      </c>
      <c r="T2048" t="s">
        <v>112</v>
      </c>
      <c r="U2048" t="s">
        <v>46</v>
      </c>
      <c r="V2048" t="s">
        <v>11270</v>
      </c>
      <c r="W2048" t="s">
        <v>43</v>
      </c>
      <c r="X2048" t="s">
        <v>44</v>
      </c>
      <c r="Y2048" t="s">
        <v>44</v>
      </c>
      <c r="Z2048" t="s">
        <v>44</v>
      </c>
      <c r="AA2048" t="s">
        <v>11035</v>
      </c>
      <c r="AB2048" t="s">
        <v>44</v>
      </c>
      <c r="AC2048" s="4">
        <v>4.2819052299999996</v>
      </c>
      <c r="AD2048" s="4">
        <v>4.20010057</v>
      </c>
      <c r="AE2048" s="2">
        <v>4.28</v>
      </c>
      <c r="AF2048" s="4">
        <v>4.20010057</v>
      </c>
      <c r="AG2048" s="2">
        <v>0.19</v>
      </c>
      <c r="AH2048" s="2">
        <v>2018641.1</v>
      </c>
      <c r="AI2048" s="2">
        <v>0</v>
      </c>
      <c r="AJ2048" s="5">
        <v>44673</v>
      </c>
      <c r="AK2048" t="s">
        <v>12261</v>
      </c>
      <c r="AL2048" s="2">
        <v>4.24</v>
      </c>
      <c r="AM2048" s="2">
        <v>4.2</v>
      </c>
      <c r="AN2048" s="2">
        <v>0</v>
      </c>
      <c r="AO2048" t="s">
        <v>11053</v>
      </c>
      <c r="AP2048" t="s">
        <v>44</v>
      </c>
      <c r="AQ2048" t="s">
        <v>11425</v>
      </c>
    </row>
    <row r="2049" spans="1:43" x14ac:dyDescent="0.2">
      <c r="A2049" t="s">
        <v>12260</v>
      </c>
      <c r="B2049" t="s">
        <v>45</v>
      </c>
      <c r="C2049" t="s">
        <v>47</v>
      </c>
      <c r="D2049" t="s">
        <v>48</v>
      </c>
      <c r="E2049" t="s">
        <v>49</v>
      </c>
      <c r="F2049" t="s">
        <v>50</v>
      </c>
      <c r="G2049" s="1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-5715.85</v>
      </c>
      <c r="M2049" s="3"/>
      <c r="N2049" s="4">
        <v>-1.2999999999999999E-5</v>
      </c>
      <c r="O2049" s="5" t="s">
        <v>44</v>
      </c>
      <c r="P2049" s="5" t="s">
        <v>44</v>
      </c>
      <c r="Q2049" s="1"/>
      <c r="R2049" s="2">
        <v>0.08</v>
      </c>
      <c r="S2049" s="6"/>
      <c r="T2049" t="s">
        <v>45</v>
      </c>
      <c r="U2049" t="s">
        <v>46</v>
      </c>
      <c r="V2049" t="s">
        <v>44</v>
      </c>
      <c r="W2049" t="s">
        <v>43</v>
      </c>
      <c r="X2049" t="s">
        <v>44</v>
      </c>
      <c r="Y2049" t="s">
        <v>44</v>
      </c>
      <c r="Z2049" t="s">
        <v>44</v>
      </c>
      <c r="AA2049" t="s">
        <v>44</v>
      </c>
      <c r="AB2049" t="s">
        <v>44</v>
      </c>
      <c r="AC2049" s="4">
        <v>5.1163389600000002</v>
      </c>
      <c r="AD2049" s="4">
        <v>5.0001424999999999</v>
      </c>
      <c r="AE2049" s="2">
        <v>5.12</v>
      </c>
      <c r="AF2049" s="4">
        <v>5.0001424999999999</v>
      </c>
      <c r="AG2049" s="2">
        <v>0</v>
      </c>
      <c r="AH2049" s="2">
        <v>-5715.85</v>
      </c>
      <c r="AI2049" s="2">
        <v>0</v>
      </c>
      <c r="AJ2049" s="5">
        <v>44673</v>
      </c>
      <c r="AK2049" t="s">
        <v>12261</v>
      </c>
      <c r="AL2049" s="2">
        <v>5.05</v>
      </c>
      <c r="AM2049" s="2">
        <v>0</v>
      </c>
      <c r="AN2049" s="2">
        <v>0</v>
      </c>
      <c r="AO2049" t="s">
        <v>44</v>
      </c>
      <c r="AP2049" t="s">
        <v>44</v>
      </c>
      <c r="AQ2049" t="s">
        <v>44</v>
      </c>
    </row>
    <row r="2050" spans="1:43" x14ac:dyDescent="0.2">
      <c r="A2050" t="s">
        <v>12260</v>
      </c>
      <c r="B2050" t="s">
        <v>45</v>
      </c>
      <c r="C2050" t="s">
        <v>47</v>
      </c>
      <c r="D2050" t="s">
        <v>51</v>
      </c>
      <c r="E2050" t="s">
        <v>52</v>
      </c>
      <c r="F2050" t="s">
        <v>51</v>
      </c>
      <c r="G2050" s="1">
        <v>-64635.81</v>
      </c>
      <c r="H2050" s="2">
        <v>-64636.480000000003</v>
      </c>
      <c r="I2050" s="2">
        <v>-64635.81</v>
      </c>
      <c r="J2050" s="2">
        <v>0</v>
      </c>
      <c r="K2050" s="2">
        <v>0</v>
      </c>
      <c r="L2050" s="2">
        <v>-64635.81</v>
      </c>
      <c r="M2050" s="3"/>
      <c r="N2050" s="4">
        <v>-1.4705E-4</v>
      </c>
      <c r="O2050" s="5" t="s">
        <v>44</v>
      </c>
      <c r="P2050" s="5" t="s">
        <v>44</v>
      </c>
      <c r="Q2050" s="1"/>
      <c r="R2050" s="2">
        <v>0.08</v>
      </c>
      <c r="S2050" s="6"/>
      <c r="T2050" t="s">
        <v>45</v>
      </c>
      <c r="U2050" t="s">
        <v>53</v>
      </c>
      <c r="V2050" t="s">
        <v>44</v>
      </c>
      <c r="W2050" t="s">
        <v>43</v>
      </c>
      <c r="X2050" t="s">
        <v>44</v>
      </c>
      <c r="Y2050" t="s">
        <v>44</v>
      </c>
      <c r="Z2050" t="s">
        <v>44</v>
      </c>
      <c r="AA2050" t="s">
        <v>44</v>
      </c>
      <c r="AB2050" t="s">
        <v>44</v>
      </c>
      <c r="AC2050" s="4">
        <v>5.1163389600000002</v>
      </c>
      <c r="AD2050" s="4">
        <v>5.0001424999999999</v>
      </c>
      <c r="AE2050" s="2">
        <v>5.12</v>
      </c>
      <c r="AF2050" s="4">
        <v>5.0001424999999999</v>
      </c>
      <c r="AG2050" s="2">
        <v>-0.01</v>
      </c>
      <c r="AH2050" s="2">
        <v>-64635.81</v>
      </c>
      <c r="AI2050" s="2">
        <v>0</v>
      </c>
      <c r="AJ2050" s="5">
        <v>44673</v>
      </c>
      <c r="AK2050" t="s">
        <v>12261</v>
      </c>
      <c r="AL2050" s="2">
        <v>5.05</v>
      </c>
      <c r="AM2050" s="2">
        <v>0</v>
      </c>
      <c r="AN2050" s="2">
        <v>0</v>
      </c>
      <c r="AO2050" t="s">
        <v>44</v>
      </c>
      <c r="AP2050" t="s">
        <v>44</v>
      </c>
      <c r="AQ2050" t="s">
        <v>43</v>
      </c>
    </row>
    <row r="2051" spans="1:43" x14ac:dyDescent="0.2">
      <c r="A2051" t="s">
        <v>12260</v>
      </c>
      <c r="B2051" t="s">
        <v>45</v>
      </c>
      <c r="C2051" t="s">
        <v>11005</v>
      </c>
      <c r="D2051" t="s">
        <v>11006</v>
      </c>
      <c r="E2051" t="s">
        <v>11007</v>
      </c>
      <c r="F2051" t="s">
        <v>11006</v>
      </c>
      <c r="G2051" s="1">
        <v>-89674.92</v>
      </c>
      <c r="H2051" s="2">
        <v>-89674.92</v>
      </c>
      <c r="I2051" s="2">
        <v>-89674.92</v>
      </c>
      <c r="J2051" s="2">
        <v>0</v>
      </c>
      <c r="K2051" s="2"/>
      <c r="L2051" s="2">
        <v>-89674.92</v>
      </c>
      <c r="M2051" s="3"/>
      <c r="N2051" s="4">
        <v>-2.0401999999999999E-4</v>
      </c>
      <c r="O2051" s="5" t="s">
        <v>44</v>
      </c>
      <c r="P2051" s="5">
        <v>73051</v>
      </c>
      <c r="Q2051" s="1">
        <v>0</v>
      </c>
      <c r="R2051" s="2">
        <v>0.08</v>
      </c>
      <c r="S2051" s="6"/>
      <c r="T2051" t="s">
        <v>45</v>
      </c>
      <c r="U2051" t="s">
        <v>11008</v>
      </c>
      <c r="V2051" t="s">
        <v>44</v>
      </c>
      <c r="W2051" t="s">
        <v>43</v>
      </c>
      <c r="X2051" t="s">
        <v>44</v>
      </c>
      <c r="Y2051" t="s">
        <v>44</v>
      </c>
      <c r="Z2051" t="s">
        <v>44</v>
      </c>
      <c r="AA2051" t="s">
        <v>44</v>
      </c>
      <c r="AB2051" t="s">
        <v>44</v>
      </c>
      <c r="AC2051" s="4">
        <v>5.1163389600000002</v>
      </c>
      <c r="AD2051" s="4">
        <v>5.0001424999999999</v>
      </c>
      <c r="AE2051" s="2">
        <v>5.12</v>
      </c>
      <c r="AF2051" s="4">
        <v>5.0001424999999999</v>
      </c>
      <c r="AG2051" s="2">
        <v>-0.01</v>
      </c>
      <c r="AH2051" s="2">
        <v>-89674.92</v>
      </c>
      <c r="AI2051" s="2">
        <v>0</v>
      </c>
      <c r="AJ2051" s="5">
        <v>44673</v>
      </c>
      <c r="AK2051" t="s">
        <v>12261</v>
      </c>
      <c r="AL2051" s="2">
        <v>5.05</v>
      </c>
      <c r="AM2051" s="2">
        <v>0</v>
      </c>
      <c r="AN2051" s="2">
        <v>0</v>
      </c>
      <c r="AO2051" t="s">
        <v>44</v>
      </c>
      <c r="AP2051" t="s">
        <v>44</v>
      </c>
      <c r="AQ2051" t="s">
        <v>44</v>
      </c>
    </row>
    <row r="2052" spans="1:43" x14ac:dyDescent="0.2">
      <c r="A2052" t="s">
        <v>12260</v>
      </c>
      <c r="B2052" t="s">
        <v>45</v>
      </c>
      <c r="C2052" t="s">
        <v>11005</v>
      </c>
      <c r="D2052" t="s">
        <v>12265</v>
      </c>
      <c r="E2052" t="s">
        <v>12266</v>
      </c>
      <c r="F2052" t="s">
        <v>12265</v>
      </c>
      <c r="G2052" s="1">
        <v>-0.82</v>
      </c>
      <c r="H2052" s="2">
        <v>-0.82</v>
      </c>
      <c r="I2052" s="2">
        <v>-0.82</v>
      </c>
      <c r="J2052" s="2">
        <v>0</v>
      </c>
      <c r="K2052" s="2"/>
      <c r="L2052" s="2">
        <v>-0.82</v>
      </c>
      <c r="M2052" s="3"/>
      <c r="N2052" s="4">
        <v>0</v>
      </c>
      <c r="O2052" s="5" t="s">
        <v>44</v>
      </c>
      <c r="P2052" s="5">
        <v>73051</v>
      </c>
      <c r="Q2052" s="1">
        <v>0</v>
      </c>
      <c r="R2052" s="2">
        <v>0.08</v>
      </c>
      <c r="S2052" s="6"/>
      <c r="T2052" t="s">
        <v>45</v>
      </c>
      <c r="U2052" t="s">
        <v>11008</v>
      </c>
      <c r="V2052" t="s">
        <v>44</v>
      </c>
      <c r="W2052" t="s">
        <v>43</v>
      </c>
      <c r="X2052" t="s">
        <v>44</v>
      </c>
      <c r="Y2052" t="s">
        <v>44</v>
      </c>
      <c r="Z2052" t="s">
        <v>44</v>
      </c>
      <c r="AA2052" t="s">
        <v>44</v>
      </c>
      <c r="AB2052" t="s">
        <v>44</v>
      </c>
      <c r="AC2052" s="4">
        <v>5.1163389600000002</v>
      </c>
      <c r="AD2052" s="4">
        <v>5.0001424999999999</v>
      </c>
      <c r="AE2052" s="2">
        <v>5.12</v>
      </c>
      <c r="AF2052" s="4">
        <v>5.0001424999999999</v>
      </c>
      <c r="AG2052" s="2">
        <v>0</v>
      </c>
      <c r="AH2052" s="2">
        <v>-0.82</v>
      </c>
      <c r="AI2052" s="2">
        <v>0</v>
      </c>
      <c r="AJ2052" s="5">
        <v>44673</v>
      </c>
      <c r="AK2052" t="s">
        <v>12261</v>
      </c>
      <c r="AL2052" s="2">
        <v>5.05</v>
      </c>
      <c r="AM2052" s="2">
        <v>0</v>
      </c>
      <c r="AN2052" s="2">
        <v>0</v>
      </c>
      <c r="AO2052" t="s">
        <v>44</v>
      </c>
      <c r="AP2052" t="s">
        <v>44</v>
      </c>
      <c r="AQ2052" t="s">
        <v>44</v>
      </c>
    </row>
    <row r="2053" spans="1:43" x14ac:dyDescent="0.2">
      <c r="A2053" t="s">
        <v>12260</v>
      </c>
      <c r="B2053" t="s">
        <v>45</v>
      </c>
      <c r="C2053" t="s">
        <v>11005</v>
      </c>
      <c r="D2053" t="s">
        <v>11009</v>
      </c>
      <c r="E2053" t="s">
        <v>11010</v>
      </c>
      <c r="F2053" t="s">
        <v>44</v>
      </c>
      <c r="G2053" s="1">
        <v>-205068.63</v>
      </c>
      <c r="H2053" s="2">
        <v>-205068.63</v>
      </c>
      <c r="I2053" s="2">
        <v>-205068.63</v>
      </c>
      <c r="J2053" s="2">
        <v>0</v>
      </c>
      <c r="K2053" s="2"/>
      <c r="L2053" s="2">
        <v>-205068.63</v>
      </c>
      <c r="M2053" s="3"/>
      <c r="N2053" s="4">
        <v>-4.6654999999999998E-4</v>
      </c>
      <c r="O2053" s="5" t="s">
        <v>44</v>
      </c>
      <c r="P2053" s="5">
        <v>73051</v>
      </c>
      <c r="Q2053" s="1">
        <v>0</v>
      </c>
      <c r="R2053" s="2">
        <v>0.08</v>
      </c>
      <c r="S2053" s="6"/>
      <c r="T2053" t="s">
        <v>45</v>
      </c>
      <c r="U2053" t="s">
        <v>44</v>
      </c>
      <c r="V2053" t="s">
        <v>44</v>
      </c>
      <c r="W2053" t="s">
        <v>43</v>
      </c>
      <c r="X2053" t="s">
        <v>44</v>
      </c>
      <c r="Y2053" t="s">
        <v>44</v>
      </c>
      <c r="Z2053" t="s">
        <v>44</v>
      </c>
      <c r="AA2053" t="s">
        <v>44</v>
      </c>
      <c r="AB2053" t="s">
        <v>44</v>
      </c>
      <c r="AC2053" s="4">
        <v>5.1163389600000002</v>
      </c>
      <c r="AD2053" s="4">
        <v>5.0001424999999999</v>
      </c>
      <c r="AE2053" s="2">
        <v>5.12</v>
      </c>
      <c r="AF2053" s="4">
        <v>5.0001424999999999</v>
      </c>
      <c r="AG2053" s="2">
        <v>-0.02</v>
      </c>
      <c r="AH2053" s="2">
        <v>-205068.63</v>
      </c>
      <c r="AI2053" s="2">
        <v>0</v>
      </c>
      <c r="AJ2053" s="5">
        <v>44673</v>
      </c>
      <c r="AK2053" t="s">
        <v>12261</v>
      </c>
      <c r="AL2053" s="2">
        <v>5.05</v>
      </c>
      <c r="AM2053" s="2">
        <v>0</v>
      </c>
      <c r="AN2053" s="2">
        <v>0</v>
      </c>
      <c r="AO2053" t="s">
        <v>44</v>
      </c>
      <c r="AP2053" t="s">
        <v>44</v>
      </c>
      <c r="AQ2053" t="s">
        <v>44</v>
      </c>
    </row>
    <row r="2054" spans="1:43" x14ac:dyDescent="0.2">
      <c r="A2054" t="s">
        <v>12260</v>
      </c>
      <c r="B2054" t="s">
        <v>45</v>
      </c>
      <c r="C2054" t="s">
        <v>11005</v>
      </c>
      <c r="D2054" t="s">
        <v>11011</v>
      </c>
      <c r="E2054" t="s">
        <v>11012</v>
      </c>
      <c r="F2054" t="s">
        <v>44</v>
      </c>
      <c r="G2054" s="1">
        <v>-20907.22</v>
      </c>
      <c r="H2054" s="2">
        <v>-20907.22</v>
      </c>
      <c r="I2054" s="2">
        <v>-20907.22</v>
      </c>
      <c r="J2054" s="2">
        <v>0</v>
      </c>
      <c r="K2054" s="2"/>
      <c r="L2054" s="2">
        <v>-20907.22</v>
      </c>
      <c r="M2054" s="3"/>
      <c r="N2054" s="4">
        <v>-4.757E-5</v>
      </c>
      <c r="O2054" s="5" t="s">
        <v>44</v>
      </c>
      <c r="P2054" s="5">
        <v>73051</v>
      </c>
      <c r="Q2054" s="1">
        <v>0</v>
      </c>
      <c r="R2054" s="2">
        <v>0.08</v>
      </c>
      <c r="S2054" s="6"/>
      <c r="T2054" t="s">
        <v>45</v>
      </c>
      <c r="U2054" t="s">
        <v>44</v>
      </c>
      <c r="V2054" t="s">
        <v>44</v>
      </c>
      <c r="W2054" t="s">
        <v>43</v>
      </c>
      <c r="X2054" t="s">
        <v>44</v>
      </c>
      <c r="Y2054" t="s">
        <v>44</v>
      </c>
      <c r="Z2054" t="s">
        <v>44</v>
      </c>
      <c r="AA2054" t="s">
        <v>44</v>
      </c>
      <c r="AB2054" t="s">
        <v>44</v>
      </c>
      <c r="AC2054" s="4">
        <v>5.1163389600000002</v>
      </c>
      <c r="AD2054" s="4">
        <v>5.0001424999999999</v>
      </c>
      <c r="AE2054" s="2">
        <v>5.12</v>
      </c>
      <c r="AF2054" s="4">
        <v>5.0001424999999999</v>
      </c>
      <c r="AG2054" s="2">
        <v>0</v>
      </c>
      <c r="AH2054" s="2">
        <v>-20907.22</v>
      </c>
      <c r="AI2054" s="2">
        <v>0</v>
      </c>
      <c r="AJ2054" s="5">
        <v>44673</v>
      </c>
      <c r="AK2054" t="s">
        <v>12261</v>
      </c>
      <c r="AL2054" s="2">
        <v>5.05</v>
      </c>
      <c r="AM2054" s="2">
        <v>0</v>
      </c>
      <c r="AN2054" s="2">
        <v>0</v>
      </c>
      <c r="AO2054" t="s">
        <v>44</v>
      </c>
      <c r="AP2054" t="s">
        <v>44</v>
      </c>
      <c r="AQ2054" t="s">
        <v>44</v>
      </c>
    </row>
    <row r="2055" spans="1:43" x14ac:dyDescent="0.2">
      <c r="A2055" t="s">
        <v>12267</v>
      </c>
      <c r="B2055" t="s">
        <v>10900</v>
      </c>
      <c r="C2055" t="s">
        <v>11049</v>
      </c>
      <c r="D2055" t="s">
        <v>11114</v>
      </c>
      <c r="E2055" t="s">
        <v>167</v>
      </c>
      <c r="F2055" t="s">
        <v>11114</v>
      </c>
      <c r="G2055" s="1">
        <v>2056000</v>
      </c>
      <c r="H2055" s="2">
        <v>2062951.44</v>
      </c>
      <c r="I2055" s="2">
        <v>2104835.7599999998</v>
      </c>
      <c r="J2055" s="2">
        <v>30980.82</v>
      </c>
      <c r="K2055" s="2">
        <v>0</v>
      </c>
      <c r="L2055" s="2">
        <v>2135816.58</v>
      </c>
      <c r="M2055" s="3">
        <v>7.04</v>
      </c>
      <c r="N2055" s="4">
        <v>4.8592100000000001E-3</v>
      </c>
      <c r="O2055" s="5">
        <v>44802</v>
      </c>
      <c r="P2055" s="5">
        <v>44984</v>
      </c>
      <c r="Q2055" s="1">
        <v>10</v>
      </c>
      <c r="R2055" s="2">
        <v>0.82</v>
      </c>
      <c r="S2055" s="6">
        <v>0.79120145600000003</v>
      </c>
      <c r="T2055" t="s">
        <v>111</v>
      </c>
      <c r="U2055" t="s">
        <v>111</v>
      </c>
      <c r="V2055" t="s">
        <v>10944</v>
      </c>
      <c r="W2055" t="s">
        <v>43</v>
      </c>
      <c r="X2055" t="s">
        <v>10988</v>
      </c>
      <c r="Y2055" t="s">
        <v>44</v>
      </c>
      <c r="Z2055" t="s">
        <v>44</v>
      </c>
      <c r="AA2055" t="s">
        <v>10979</v>
      </c>
      <c r="AB2055" t="s">
        <v>44</v>
      </c>
      <c r="AC2055" s="4">
        <v>7.1639039999999996</v>
      </c>
      <c r="AD2055" s="4">
        <v>6.9389138299999997</v>
      </c>
      <c r="AE2055" s="2">
        <v>7.16</v>
      </c>
      <c r="AF2055" s="4">
        <v>6.9389138299999997</v>
      </c>
      <c r="AG2055" s="2">
        <v>7.0000000000000007E-2</v>
      </c>
      <c r="AH2055" s="2">
        <v>2135816.58</v>
      </c>
      <c r="AI2055" s="2">
        <v>0</v>
      </c>
      <c r="AJ2055" s="5">
        <v>44673</v>
      </c>
      <c r="AK2055" t="s">
        <v>12268</v>
      </c>
      <c r="AL2055" s="2">
        <v>7.04</v>
      </c>
      <c r="AM2055" s="2">
        <v>10</v>
      </c>
      <c r="AN2055" s="2">
        <v>0.79</v>
      </c>
      <c r="AO2055" t="s">
        <v>11048</v>
      </c>
      <c r="AP2055" t="s">
        <v>11116</v>
      </c>
      <c r="AQ2055" t="s">
        <v>167</v>
      </c>
    </row>
    <row r="2056" spans="1:43" x14ac:dyDescent="0.2">
      <c r="A2056" t="s">
        <v>12267</v>
      </c>
      <c r="B2056" t="s">
        <v>10900</v>
      </c>
      <c r="C2056" t="s">
        <v>11049</v>
      </c>
      <c r="D2056" t="s">
        <v>11457</v>
      </c>
      <c r="E2056" t="s">
        <v>11458</v>
      </c>
      <c r="F2056" t="s">
        <v>11457</v>
      </c>
      <c r="G2056" s="1">
        <v>2200000</v>
      </c>
      <c r="H2056" s="2">
        <v>2200144.56</v>
      </c>
      <c r="I2056" s="2">
        <v>2200008.17</v>
      </c>
      <c r="J2056" s="2">
        <v>26481.73</v>
      </c>
      <c r="K2056" s="2">
        <v>0</v>
      </c>
      <c r="L2056" s="2">
        <v>2226489.9</v>
      </c>
      <c r="M2056" s="3">
        <v>5.4289139999999998</v>
      </c>
      <c r="N2056" s="4">
        <v>5.0654999999999997E-3</v>
      </c>
      <c r="O2056" s="5">
        <v>44684</v>
      </c>
      <c r="P2056" s="5">
        <v>44957</v>
      </c>
      <c r="Q2056" s="1">
        <v>5.3579999999999997</v>
      </c>
      <c r="R2056" s="2">
        <v>0.02</v>
      </c>
      <c r="S2056" s="6">
        <v>1.4426938812E-2</v>
      </c>
      <c r="T2056" t="s">
        <v>111</v>
      </c>
      <c r="U2056" t="s">
        <v>111</v>
      </c>
      <c r="V2056" t="s">
        <v>11189</v>
      </c>
      <c r="W2056" t="s">
        <v>43</v>
      </c>
      <c r="X2056" t="s">
        <v>11034</v>
      </c>
      <c r="Y2056" t="s">
        <v>44</v>
      </c>
      <c r="Z2056" t="s">
        <v>44</v>
      </c>
      <c r="AA2056" t="s">
        <v>10979</v>
      </c>
      <c r="AB2056" t="s">
        <v>44</v>
      </c>
      <c r="AC2056" s="4">
        <v>5.5025962599999998</v>
      </c>
      <c r="AD2056" s="4">
        <v>5.3685105899999996</v>
      </c>
      <c r="AE2056" s="2">
        <v>5.5</v>
      </c>
      <c r="AF2056" s="4">
        <v>5.3685105899999996</v>
      </c>
      <c r="AG2056" s="2">
        <v>7.0000000000000007E-2</v>
      </c>
      <c r="AH2056" s="2">
        <v>2226489.9</v>
      </c>
      <c r="AI2056" s="2">
        <v>0.01</v>
      </c>
      <c r="AJ2056" s="5">
        <v>44673</v>
      </c>
      <c r="AK2056" t="s">
        <v>12268</v>
      </c>
      <c r="AL2056" s="2">
        <v>5.43</v>
      </c>
      <c r="AM2056" s="2">
        <v>5.36</v>
      </c>
      <c r="AN2056" s="2">
        <v>0.01</v>
      </c>
      <c r="AO2056" t="s">
        <v>11048</v>
      </c>
      <c r="AP2056" t="s">
        <v>11459</v>
      </c>
      <c r="AQ2056" t="s">
        <v>11458</v>
      </c>
    </row>
    <row r="2057" spans="1:43" x14ac:dyDescent="0.2">
      <c r="A2057" t="s">
        <v>12267</v>
      </c>
      <c r="B2057" t="s">
        <v>10900</v>
      </c>
      <c r="C2057" t="s">
        <v>11049</v>
      </c>
      <c r="D2057" t="s">
        <v>11791</v>
      </c>
      <c r="E2057" t="s">
        <v>11792</v>
      </c>
      <c r="F2057" t="s">
        <v>11791</v>
      </c>
      <c r="G2057" s="1">
        <v>135000000</v>
      </c>
      <c r="H2057" s="2">
        <v>135000000</v>
      </c>
      <c r="I2057" s="2">
        <v>136564029</v>
      </c>
      <c r="J2057" s="2">
        <v>1475975.34</v>
      </c>
      <c r="K2057" s="2">
        <v>0</v>
      </c>
      <c r="L2057" s="2">
        <v>138040004.34</v>
      </c>
      <c r="M2057" s="3">
        <v>3.91</v>
      </c>
      <c r="N2057" s="4">
        <v>0.31405587000000001</v>
      </c>
      <c r="O2057" s="5">
        <v>44804</v>
      </c>
      <c r="P2057" s="5">
        <v>44804</v>
      </c>
      <c r="Q2057" s="1">
        <v>7.39</v>
      </c>
      <c r="R2057" s="2">
        <v>0.35</v>
      </c>
      <c r="S2057" s="6">
        <v>0.345941314</v>
      </c>
      <c r="T2057" t="s">
        <v>111</v>
      </c>
      <c r="U2057" t="s">
        <v>111</v>
      </c>
      <c r="V2057" t="s">
        <v>114</v>
      </c>
      <c r="W2057" t="s">
        <v>43</v>
      </c>
      <c r="X2057" t="s">
        <v>44</v>
      </c>
      <c r="Y2057" t="s">
        <v>44</v>
      </c>
      <c r="Z2057" t="s">
        <v>44</v>
      </c>
      <c r="AA2057" t="s">
        <v>10913</v>
      </c>
      <c r="AB2057" t="s">
        <v>44</v>
      </c>
      <c r="AC2057" s="4">
        <v>3.9482202499999999</v>
      </c>
      <c r="AD2057" s="4">
        <v>3.8785251199999999</v>
      </c>
      <c r="AE2057" s="2">
        <v>3.95</v>
      </c>
      <c r="AF2057" s="4">
        <v>3.8785251199999999</v>
      </c>
      <c r="AG2057" s="2">
        <v>4.45</v>
      </c>
      <c r="AH2057" s="2">
        <v>138040004.34</v>
      </c>
      <c r="AI2057" s="2">
        <v>0.31</v>
      </c>
      <c r="AJ2057" s="5">
        <v>44673</v>
      </c>
      <c r="AK2057" t="s">
        <v>12268</v>
      </c>
      <c r="AL2057" s="2">
        <v>3.91</v>
      </c>
      <c r="AM2057" s="2">
        <v>7.39</v>
      </c>
      <c r="AN2057" s="2">
        <v>0.35</v>
      </c>
      <c r="AO2057" t="s">
        <v>10922</v>
      </c>
      <c r="AP2057" t="s">
        <v>11793</v>
      </c>
      <c r="AQ2057" t="s">
        <v>11792</v>
      </c>
    </row>
    <row r="2058" spans="1:43" x14ac:dyDescent="0.2">
      <c r="A2058" t="s">
        <v>12267</v>
      </c>
      <c r="B2058" t="s">
        <v>10900</v>
      </c>
      <c r="C2058" t="s">
        <v>11049</v>
      </c>
      <c r="D2058" t="s">
        <v>11477</v>
      </c>
      <c r="E2058" t="s">
        <v>11478</v>
      </c>
      <c r="F2058" t="s">
        <v>11477</v>
      </c>
      <c r="G2058" s="1">
        <v>120000000</v>
      </c>
      <c r="H2058" s="2">
        <v>120000000</v>
      </c>
      <c r="I2058" s="2">
        <v>119929272</v>
      </c>
      <c r="J2058" s="2">
        <v>1322630.1399999999</v>
      </c>
      <c r="K2058" s="2">
        <v>0</v>
      </c>
      <c r="L2058" s="2">
        <v>121251902.14</v>
      </c>
      <c r="M2058" s="3">
        <v>7.45</v>
      </c>
      <c r="N2058" s="4">
        <v>0.27586113000000001</v>
      </c>
      <c r="O2058" s="5">
        <v>44804</v>
      </c>
      <c r="P2058" s="5">
        <v>44804</v>
      </c>
      <c r="Q2058" s="1">
        <v>7.45</v>
      </c>
      <c r="R2058" s="2">
        <v>0.35</v>
      </c>
      <c r="S2058" s="6">
        <v>0.34175620000000001</v>
      </c>
      <c r="T2058" t="s">
        <v>111</v>
      </c>
      <c r="U2058" t="s">
        <v>111</v>
      </c>
      <c r="V2058" t="s">
        <v>114</v>
      </c>
      <c r="W2058" t="s">
        <v>43</v>
      </c>
      <c r="X2058" t="s">
        <v>10988</v>
      </c>
      <c r="Y2058" t="s">
        <v>44</v>
      </c>
      <c r="Z2058" t="s">
        <v>44</v>
      </c>
      <c r="AA2058" t="s">
        <v>10913</v>
      </c>
      <c r="AB2058" t="s">
        <v>44</v>
      </c>
      <c r="AC2058" s="4">
        <v>7.5887562500000003</v>
      </c>
      <c r="AD2058" s="4">
        <v>7.3369344600000002</v>
      </c>
      <c r="AE2058" s="2">
        <v>7.59</v>
      </c>
      <c r="AF2058" s="4">
        <v>7.3369344600000002</v>
      </c>
      <c r="AG2058" s="2">
        <v>3.91</v>
      </c>
      <c r="AH2058" s="2">
        <v>121251902.14</v>
      </c>
      <c r="AI2058" s="2">
        <v>0.28000000000000003</v>
      </c>
      <c r="AJ2058" s="5">
        <v>44673</v>
      </c>
      <c r="AK2058" t="s">
        <v>12268</v>
      </c>
      <c r="AL2058" s="2">
        <v>7.45</v>
      </c>
      <c r="AM2058" s="2">
        <v>7.45</v>
      </c>
      <c r="AN2058" s="2">
        <v>0.34</v>
      </c>
      <c r="AO2058" t="s">
        <v>10922</v>
      </c>
      <c r="AP2058" t="s">
        <v>11479</v>
      </c>
      <c r="AQ2058" t="s">
        <v>11478</v>
      </c>
    </row>
    <row r="2059" spans="1:43" x14ac:dyDescent="0.2">
      <c r="A2059" t="s">
        <v>12267</v>
      </c>
      <c r="B2059" t="s">
        <v>10900</v>
      </c>
      <c r="C2059" t="s">
        <v>11049</v>
      </c>
      <c r="D2059" t="s">
        <v>12269</v>
      </c>
      <c r="E2059" t="s">
        <v>12270</v>
      </c>
      <c r="F2059" t="s">
        <v>12269</v>
      </c>
      <c r="G2059" s="1">
        <v>2900000</v>
      </c>
      <c r="H2059" s="2">
        <v>2900000</v>
      </c>
      <c r="I2059" s="2">
        <v>2908427.69</v>
      </c>
      <c r="J2059" s="2">
        <v>34577.53</v>
      </c>
      <c r="K2059" s="2">
        <v>0</v>
      </c>
      <c r="L2059" s="2">
        <v>2943005.22</v>
      </c>
      <c r="M2059" s="3">
        <v>6.43</v>
      </c>
      <c r="N2059" s="4">
        <v>6.69565E-3</v>
      </c>
      <c r="O2059" s="5">
        <v>44795</v>
      </c>
      <c r="P2059" s="5">
        <v>44978</v>
      </c>
      <c r="Q2059" s="1">
        <v>6.8</v>
      </c>
      <c r="R2059" s="2">
        <v>0.81</v>
      </c>
      <c r="S2059" s="6">
        <v>0.78433783400000001</v>
      </c>
      <c r="T2059" t="s">
        <v>111</v>
      </c>
      <c r="U2059" t="s">
        <v>111</v>
      </c>
      <c r="V2059" t="s">
        <v>114</v>
      </c>
      <c r="W2059" t="s">
        <v>43</v>
      </c>
      <c r="X2059" t="s">
        <v>44</v>
      </c>
      <c r="Y2059" t="s">
        <v>44</v>
      </c>
      <c r="Z2059" t="s">
        <v>44</v>
      </c>
      <c r="AA2059" t="s">
        <v>10979</v>
      </c>
      <c r="AB2059" t="s">
        <v>44</v>
      </c>
      <c r="AC2059" s="4">
        <v>6.5333622499999997</v>
      </c>
      <c r="AD2059" s="4">
        <v>6.3455195</v>
      </c>
      <c r="AE2059" s="2">
        <v>6.53</v>
      </c>
      <c r="AF2059" s="4">
        <v>6.3455195</v>
      </c>
      <c r="AG2059" s="2">
        <v>0.09</v>
      </c>
      <c r="AH2059" s="2">
        <v>2943005.22</v>
      </c>
      <c r="AI2059" s="2">
        <v>0.01</v>
      </c>
      <c r="AJ2059" s="5">
        <v>44673</v>
      </c>
      <c r="AK2059" t="s">
        <v>12268</v>
      </c>
      <c r="AL2059" s="2">
        <v>6.43</v>
      </c>
      <c r="AM2059" s="2">
        <v>6.8</v>
      </c>
      <c r="AN2059" s="2">
        <v>0.78</v>
      </c>
      <c r="AO2059" t="s">
        <v>10982</v>
      </c>
      <c r="AP2059" t="s">
        <v>12271</v>
      </c>
      <c r="AQ2059" t="s">
        <v>12270</v>
      </c>
    </row>
    <row r="2060" spans="1:43" x14ac:dyDescent="0.2">
      <c r="A2060" t="s">
        <v>12267</v>
      </c>
      <c r="B2060" t="s">
        <v>10900</v>
      </c>
      <c r="C2060" t="s">
        <v>11049</v>
      </c>
      <c r="D2060" t="s">
        <v>11487</v>
      </c>
      <c r="E2060" t="s">
        <v>11488</v>
      </c>
      <c r="F2060" t="s">
        <v>11487</v>
      </c>
      <c r="G2060" s="1">
        <v>120000000</v>
      </c>
      <c r="H2060" s="2">
        <v>120000000</v>
      </c>
      <c r="I2060" s="2">
        <v>119996376</v>
      </c>
      <c r="J2060" s="2">
        <v>1994958.9</v>
      </c>
      <c r="K2060" s="2">
        <v>0</v>
      </c>
      <c r="L2060" s="2">
        <v>121991334.90000001</v>
      </c>
      <c r="M2060" s="3">
        <v>7.4</v>
      </c>
      <c r="N2060" s="4">
        <v>0.27754341999999999</v>
      </c>
      <c r="O2060" s="5">
        <v>44773</v>
      </c>
      <c r="P2060" s="5">
        <v>44773</v>
      </c>
      <c r="Q2060" s="1">
        <v>7.4</v>
      </c>
      <c r="R2060" s="2">
        <v>0.27</v>
      </c>
      <c r="S2060" s="6">
        <v>0.26062797900000001</v>
      </c>
      <c r="T2060" t="s">
        <v>111</v>
      </c>
      <c r="U2060" t="s">
        <v>111</v>
      </c>
      <c r="V2060" t="s">
        <v>114</v>
      </c>
      <c r="W2060" t="s">
        <v>43</v>
      </c>
      <c r="X2060" t="s">
        <v>44</v>
      </c>
      <c r="Y2060" t="s">
        <v>44</v>
      </c>
      <c r="Z2060" t="s">
        <v>44</v>
      </c>
      <c r="AA2060" t="s">
        <v>10913</v>
      </c>
      <c r="AB2060" t="s">
        <v>44</v>
      </c>
      <c r="AC2060" s="4">
        <v>7.5369000000000002</v>
      </c>
      <c r="AD2060" s="4">
        <v>7.2884304699999998</v>
      </c>
      <c r="AE2060" s="2">
        <v>7.54</v>
      </c>
      <c r="AF2060" s="4">
        <v>7.2884304699999998</v>
      </c>
      <c r="AG2060" s="2">
        <v>3.93</v>
      </c>
      <c r="AH2060" s="2">
        <v>121991334.90000001</v>
      </c>
      <c r="AI2060" s="2">
        <v>0.28000000000000003</v>
      </c>
      <c r="AJ2060" s="5">
        <v>44673</v>
      </c>
      <c r="AK2060" t="s">
        <v>12268</v>
      </c>
      <c r="AL2060" s="2">
        <v>7.4</v>
      </c>
      <c r="AM2060" s="2">
        <v>7.4</v>
      </c>
      <c r="AN2060" s="2">
        <v>0.26</v>
      </c>
      <c r="AO2060" t="s">
        <v>10922</v>
      </c>
      <c r="AP2060" t="s">
        <v>11489</v>
      </c>
      <c r="AQ2060" t="s">
        <v>11488</v>
      </c>
    </row>
    <row r="2061" spans="1:43" x14ac:dyDescent="0.2">
      <c r="A2061" t="s">
        <v>12267</v>
      </c>
      <c r="B2061" t="s">
        <v>10900</v>
      </c>
      <c r="C2061" t="s">
        <v>11049</v>
      </c>
      <c r="D2061" t="s">
        <v>11800</v>
      </c>
      <c r="E2061" t="s">
        <v>11801</v>
      </c>
      <c r="F2061" t="s">
        <v>11800</v>
      </c>
      <c r="G2061" s="1">
        <v>100000000</v>
      </c>
      <c r="H2061" s="2">
        <v>100000000</v>
      </c>
      <c r="I2061" s="2">
        <v>99996980</v>
      </c>
      <c r="J2061" s="2">
        <v>1662465.75</v>
      </c>
      <c r="K2061" s="2">
        <v>0</v>
      </c>
      <c r="L2061" s="2">
        <v>101659445.75</v>
      </c>
      <c r="M2061" s="3">
        <v>7.4</v>
      </c>
      <c r="N2061" s="4">
        <v>0.23128618000000001</v>
      </c>
      <c r="O2061" s="5">
        <v>44592</v>
      </c>
      <c r="P2061" s="5">
        <v>44773</v>
      </c>
      <c r="Q2061" s="1">
        <v>7.4</v>
      </c>
      <c r="R2061" s="2">
        <v>0.27</v>
      </c>
      <c r="S2061" s="6">
        <v>0.26062797900000001</v>
      </c>
      <c r="T2061" t="s">
        <v>111</v>
      </c>
      <c r="U2061" t="s">
        <v>111</v>
      </c>
      <c r="V2061" t="s">
        <v>114</v>
      </c>
      <c r="W2061" t="s">
        <v>43</v>
      </c>
      <c r="X2061" t="s">
        <v>10988</v>
      </c>
      <c r="Y2061" t="s">
        <v>44</v>
      </c>
      <c r="Z2061" t="s">
        <v>44</v>
      </c>
      <c r="AA2061" t="s">
        <v>10913</v>
      </c>
      <c r="AB2061" t="s">
        <v>44</v>
      </c>
      <c r="AC2061" s="4">
        <v>7.5369000000000002</v>
      </c>
      <c r="AD2061" s="4">
        <v>7.2884304699999998</v>
      </c>
      <c r="AE2061" s="2">
        <v>7.54</v>
      </c>
      <c r="AF2061" s="4">
        <v>7.2884304699999998</v>
      </c>
      <c r="AG2061" s="2">
        <v>3.28</v>
      </c>
      <c r="AH2061" s="2">
        <v>101659445.75</v>
      </c>
      <c r="AI2061" s="2">
        <v>0.23</v>
      </c>
      <c r="AJ2061" s="5">
        <v>44673</v>
      </c>
      <c r="AK2061" t="s">
        <v>12268</v>
      </c>
      <c r="AL2061" s="2">
        <v>7.4</v>
      </c>
      <c r="AM2061" s="2">
        <v>7.4</v>
      </c>
      <c r="AN2061" s="2">
        <v>0.26</v>
      </c>
      <c r="AO2061" t="s">
        <v>10922</v>
      </c>
      <c r="AP2061" t="s">
        <v>11802</v>
      </c>
      <c r="AQ2061" t="s">
        <v>11801</v>
      </c>
    </row>
    <row r="2062" spans="1:43" x14ac:dyDescent="0.2">
      <c r="A2062" t="s">
        <v>12267</v>
      </c>
      <c r="B2062" t="s">
        <v>10900</v>
      </c>
      <c r="C2062" t="s">
        <v>11033</v>
      </c>
      <c r="D2062" t="s">
        <v>11241</v>
      </c>
      <c r="E2062" t="s">
        <v>11242</v>
      </c>
      <c r="F2062" t="s">
        <v>11241</v>
      </c>
      <c r="G2062" s="1">
        <v>468000</v>
      </c>
      <c r="H2062" s="2">
        <v>468549.4</v>
      </c>
      <c r="I2062" s="2">
        <v>484608.66</v>
      </c>
      <c r="J2062" s="2">
        <v>7951.64</v>
      </c>
      <c r="K2062" s="2">
        <v>0</v>
      </c>
      <c r="L2062" s="2">
        <v>492560.3</v>
      </c>
      <c r="M2062" s="3">
        <v>7.56</v>
      </c>
      <c r="N2062" s="4">
        <v>1.1206300000000001E-3</v>
      </c>
      <c r="O2062" s="5">
        <v>44791</v>
      </c>
      <c r="P2062" s="5">
        <v>45340</v>
      </c>
      <c r="Q2062" s="1">
        <v>9.69</v>
      </c>
      <c r="R2062" s="2">
        <v>1.69</v>
      </c>
      <c r="S2062" s="6">
        <v>1.624693049</v>
      </c>
      <c r="T2062" t="s">
        <v>111</v>
      </c>
      <c r="U2062" t="s">
        <v>111</v>
      </c>
      <c r="V2062" t="s">
        <v>10944</v>
      </c>
      <c r="W2062" t="s">
        <v>43</v>
      </c>
      <c r="X2062" t="s">
        <v>10988</v>
      </c>
      <c r="Y2062" t="s">
        <v>44</v>
      </c>
      <c r="Z2062" t="s">
        <v>44</v>
      </c>
      <c r="AA2062" t="s">
        <v>10979</v>
      </c>
      <c r="AB2062" t="s">
        <v>44</v>
      </c>
      <c r="AC2062" s="4">
        <v>7.7028840000000001</v>
      </c>
      <c r="AD2062" s="4">
        <v>7.4436089399999998</v>
      </c>
      <c r="AE2062" s="2">
        <v>7.7</v>
      </c>
      <c r="AF2062" s="4">
        <v>7.4436089399999998</v>
      </c>
      <c r="AG2062" s="2">
        <v>0.02</v>
      </c>
      <c r="AH2062" s="2">
        <v>492560.3</v>
      </c>
      <c r="AI2062" s="2">
        <v>0</v>
      </c>
      <c r="AJ2062" s="5">
        <v>44673</v>
      </c>
      <c r="AK2062" t="s">
        <v>12268</v>
      </c>
      <c r="AL2062" s="2">
        <v>7.56</v>
      </c>
      <c r="AM2062" s="2">
        <v>9.69</v>
      </c>
      <c r="AN2062" s="2">
        <v>1.62</v>
      </c>
      <c r="AO2062" t="s">
        <v>11048</v>
      </c>
      <c r="AP2062" t="s">
        <v>11244</v>
      </c>
      <c r="AQ2062" t="s">
        <v>11242</v>
      </c>
    </row>
    <row r="2063" spans="1:43" x14ac:dyDescent="0.2">
      <c r="A2063" t="s">
        <v>12267</v>
      </c>
      <c r="B2063" t="s">
        <v>10900</v>
      </c>
      <c r="C2063" t="s">
        <v>11033</v>
      </c>
      <c r="D2063" t="s">
        <v>11059</v>
      </c>
      <c r="E2063" t="s">
        <v>11060</v>
      </c>
      <c r="F2063" t="s">
        <v>11059</v>
      </c>
      <c r="G2063" s="1">
        <v>5809000</v>
      </c>
      <c r="H2063" s="2">
        <v>6115601.8499999996</v>
      </c>
      <c r="I2063" s="2">
        <v>6224086.1600000001</v>
      </c>
      <c r="J2063" s="2">
        <v>229256.56</v>
      </c>
      <c r="K2063" s="2">
        <v>0</v>
      </c>
      <c r="L2063" s="2">
        <v>6453342.7199999997</v>
      </c>
      <c r="M2063" s="3">
        <v>7.69</v>
      </c>
      <c r="N2063" s="4">
        <v>1.468205E-2</v>
      </c>
      <c r="O2063" s="5">
        <v>44722</v>
      </c>
      <c r="P2063" s="5">
        <v>45636</v>
      </c>
      <c r="Q2063" s="1">
        <v>10.75</v>
      </c>
      <c r="R2063" s="2">
        <v>2.2799999999999998</v>
      </c>
      <c r="S2063" s="6">
        <v>2.1998010890000002</v>
      </c>
      <c r="T2063" t="s">
        <v>111</v>
      </c>
      <c r="U2063" t="s">
        <v>111</v>
      </c>
      <c r="V2063" t="s">
        <v>10944</v>
      </c>
      <c r="W2063" t="s">
        <v>43</v>
      </c>
      <c r="X2063" t="s">
        <v>10988</v>
      </c>
      <c r="Y2063" t="s">
        <v>44</v>
      </c>
      <c r="Z2063" t="s">
        <v>44</v>
      </c>
      <c r="AA2063" t="s">
        <v>10979</v>
      </c>
      <c r="AB2063" t="s">
        <v>44</v>
      </c>
      <c r="AC2063" s="4">
        <v>7.8378402500000002</v>
      </c>
      <c r="AD2063" s="4">
        <v>7.5696180699999998</v>
      </c>
      <c r="AE2063" s="2">
        <v>7.84</v>
      </c>
      <c r="AF2063" s="4">
        <v>7.5696180699999998</v>
      </c>
      <c r="AG2063" s="2">
        <v>0.21</v>
      </c>
      <c r="AH2063" s="2">
        <v>6453342.7199999997</v>
      </c>
      <c r="AI2063" s="2">
        <v>0.01</v>
      </c>
      <c r="AJ2063" s="5">
        <v>44673</v>
      </c>
      <c r="AK2063" t="s">
        <v>12268</v>
      </c>
      <c r="AL2063" s="2">
        <v>7.69</v>
      </c>
      <c r="AM2063" s="2">
        <v>10.75</v>
      </c>
      <c r="AN2063" s="2">
        <v>2.2000000000000002</v>
      </c>
      <c r="AO2063" t="s">
        <v>11054</v>
      </c>
      <c r="AP2063" t="s">
        <v>11061</v>
      </c>
      <c r="AQ2063" t="s">
        <v>11060</v>
      </c>
    </row>
    <row r="2064" spans="1:43" x14ac:dyDescent="0.2">
      <c r="A2064" t="s">
        <v>12267</v>
      </c>
      <c r="B2064" t="s">
        <v>10900</v>
      </c>
      <c r="C2064" t="s">
        <v>11033</v>
      </c>
      <c r="D2064" t="s">
        <v>12272</v>
      </c>
      <c r="E2064" t="s">
        <v>12273</v>
      </c>
      <c r="F2064" t="s">
        <v>12272</v>
      </c>
      <c r="G2064" s="1">
        <v>8900000</v>
      </c>
      <c r="H2064" s="2">
        <v>8806506.9499999993</v>
      </c>
      <c r="I2064" s="2">
        <v>9172016.8399999999</v>
      </c>
      <c r="J2064" s="2">
        <v>155321.34</v>
      </c>
      <c r="K2064" s="2">
        <v>0</v>
      </c>
      <c r="L2064" s="2">
        <v>9327338.1799999997</v>
      </c>
      <c r="M2064" s="3">
        <v>6.5510429999999999</v>
      </c>
      <c r="N2064" s="4">
        <v>2.1220699999999999E-2</v>
      </c>
      <c r="O2064" s="5">
        <v>44690</v>
      </c>
      <c r="P2064" s="5">
        <v>45238</v>
      </c>
      <c r="Q2064" s="1">
        <v>8.6080000000000005</v>
      </c>
      <c r="R2064" s="2">
        <v>0.04</v>
      </c>
      <c r="S2064" s="6">
        <v>3.6839598049999998E-2</v>
      </c>
      <c r="T2064" t="s">
        <v>111</v>
      </c>
      <c r="U2064" t="s">
        <v>111</v>
      </c>
      <c r="V2064" t="s">
        <v>11189</v>
      </c>
      <c r="W2064" t="s">
        <v>43</v>
      </c>
      <c r="X2064" t="s">
        <v>11034</v>
      </c>
      <c r="Y2064" t="s">
        <v>44</v>
      </c>
      <c r="Z2064" t="s">
        <v>44</v>
      </c>
      <c r="AA2064" t="s">
        <v>10979</v>
      </c>
      <c r="AB2064" t="s">
        <v>44</v>
      </c>
      <c r="AC2064" s="4">
        <v>6.6583336299999996</v>
      </c>
      <c r="AD2064" s="4">
        <v>6.4633837200000004</v>
      </c>
      <c r="AE2064" s="2">
        <v>6.66</v>
      </c>
      <c r="AF2064" s="4">
        <v>6.4633837200000004</v>
      </c>
      <c r="AG2064" s="2">
        <v>0.3</v>
      </c>
      <c r="AH2064" s="2">
        <v>9327338.1799999997</v>
      </c>
      <c r="AI2064" s="2">
        <v>0.02</v>
      </c>
      <c r="AJ2064" s="5">
        <v>44673</v>
      </c>
      <c r="AK2064" t="s">
        <v>12268</v>
      </c>
      <c r="AL2064" s="2">
        <v>6.55</v>
      </c>
      <c r="AM2064" s="2">
        <v>8.61</v>
      </c>
      <c r="AN2064" s="2">
        <v>0.04</v>
      </c>
      <c r="AO2064" t="s">
        <v>11054</v>
      </c>
      <c r="AP2064" t="s">
        <v>12274</v>
      </c>
      <c r="AQ2064" t="s">
        <v>12273</v>
      </c>
    </row>
    <row r="2065" spans="1:43" x14ac:dyDescent="0.2">
      <c r="A2065" t="s">
        <v>12267</v>
      </c>
      <c r="B2065" t="s">
        <v>10900</v>
      </c>
      <c r="C2065" t="s">
        <v>11033</v>
      </c>
      <c r="D2065" t="s">
        <v>11815</v>
      </c>
      <c r="E2065" t="s">
        <v>11816</v>
      </c>
      <c r="F2065" t="s">
        <v>11815</v>
      </c>
      <c r="G2065" s="1">
        <v>1000000</v>
      </c>
      <c r="H2065" s="2">
        <v>1000174.15</v>
      </c>
      <c r="I2065" s="2">
        <v>999946.81</v>
      </c>
      <c r="J2065" s="2">
        <v>11136.68</v>
      </c>
      <c r="K2065" s="2">
        <v>0</v>
      </c>
      <c r="L2065" s="2">
        <v>1011083.49</v>
      </c>
      <c r="M2065" s="3">
        <v>6.1638650000000004</v>
      </c>
      <c r="N2065" s="4">
        <v>2.3003199999999998E-3</v>
      </c>
      <c r="O2065" s="5">
        <v>44697</v>
      </c>
      <c r="P2065" s="5">
        <v>45519</v>
      </c>
      <c r="Q2065" s="1">
        <v>6.0670000000000002</v>
      </c>
      <c r="R2065" s="2">
        <v>0.06</v>
      </c>
      <c r="S2065" s="6">
        <v>2.7386669091000002E-2</v>
      </c>
      <c r="T2065" t="s">
        <v>111</v>
      </c>
      <c r="U2065" t="s">
        <v>111</v>
      </c>
      <c r="V2065" t="s">
        <v>11189</v>
      </c>
      <c r="W2065" t="s">
        <v>43</v>
      </c>
      <c r="X2065" t="s">
        <v>11034</v>
      </c>
      <c r="Y2065" t="s">
        <v>44</v>
      </c>
      <c r="Z2065" t="s">
        <v>44</v>
      </c>
      <c r="AA2065" t="s">
        <v>11225</v>
      </c>
      <c r="AB2065" t="s">
        <v>44</v>
      </c>
      <c r="AC2065" s="4">
        <v>6.2588480500000001</v>
      </c>
      <c r="AD2065" s="4">
        <v>6.0861713799999997</v>
      </c>
      <c r="AE2065" s="2">
        <v>6.26</v>
      </c>
      <c r="AF2065" s="4">
        <v>6.0861713799999997</v>
      </c>
      <c r="AG2065" s="2">
        <v>0.03</v>
      </c>
      <c r="AH2065" s="2">
        <v>1011083.49</v>
      </c>
      <c r="AI2065" s="2">
        <v>0</v>
      </c>
      <c r="AJ2065" s="5">
        <v>44673</v>
      </c>
      <c r="AK2065" t="s">
        <v>12268</v>
      </c>
      <c r="AL2065" s="2">
        <v>6.16</v>
      </c>
      <c r="AM2065" s="2">
        <v>6.07</v>
      </c>
      <c r="AN2065" s="2">
        <v>0.03</v>
      </c>
      <c r="AO2065" t="s">
        <v>11817</v>
      </c>
      <c r="AP2065" t="s">
        <v>11818</v>
      </c>
      <c r="AQ2065" t="s">
        <v>11816</v>
      </c>
    </row>
    <row r="2066" spans="1:43" x14ac:dyDescent="0.2">
      <c r="A2066" t="s">
        <v>12267</v>
      </c>
      <c r="B2066" t="s">
        <v>10900</v>
      </c>
      <c r="C2066" t="s">
        <v>11033</v>
      </c>
      <c r="D2066" t="s">
        <v>11822</v>
      </c>
      <c r="E2066" t="s">
        <v>11823</v>
      </c>
      <c r="F2066" t="s">
        <v>11822</v>
      </c>
      <c r="G2066" s="1">
        <v>660000</v>
      </c>
      <c r="H2066" s="2">
        <v>655122.66</v>
      </c>
      <c r="I2066" s="2">
        <v>654897.5</v>
      </c>
      <c r="J2066" s="2">
        <v>7214</v>
      </c>
      <c r="K2066" s="2">
        <v>0</v>
      </c>
      <c r="L2066" s="2">
        <v>662111.5</v>
      </c>
      <c r="M2066" s="3">
        <v>6.4745299999999997</v>
      </c>
      <c r="N2066" s="4">
        <v>1.5063699999999999E-3</v>
      </c>
      <c r="O2066" s="5">
        <v>44693</v>
      </c>
      <c r="P2066" s="5">
        <v>45242</v>
      </c>
      <c r="Q2066" s="1">
        <v>5.867</v>
      </c>
      <c r="R2066" s="2">
        <v>0.05</v>
      </c>
      <c r="S2066" s="6">
        <v>1.5942423563000001E-2</v>
      </c>
      <c r="T2066" t="s">
        <v>111</v>
      </c>
      <c r="U2066" t="s">
        <v>111</v>
      </c>
      <c r="V2066" t="s">
        <v>11189</v>
      </c>
      <c r="W2066" t="s">
        <v>43</v>
      </c>
      <c r="X2066" t="s">
        <v>11034</v>
      </c>
      <c r="Y2066" t="s">
        <v>44</v>
      </c>
      <c r="Z2066" t="s">
        <v>44</v>
      </c>
      <c r="AA2066" t="s">
        <v>10979</v>
      </c>
      <c r="AB2066" t="s">
        <v>44</v>
      </c>
      <c r="AC2066" s="4">
        <v>6.5793283799999998</v>
      </c>
      <c r="AD2066" s="4">
        <v>6.3888862499999997</v>
      </c>
      <c r="AE2066" s="2">
        <v>6.58</v>
      </c>
      <c r="AF2066" s="4">
        <v>6.3888862499999997</v>
      </c>
      <c r="AG2066" s="2">
        <v>0.02</v>
      </c>
      <c r="AH2066" s="2">
        <v>662111.5</v>
      </c>
      <c r="AI2066" s="2">
        <v>0</v>
      </c>
      <c r="AJ2066" s="5">
        <v>44673</v>
      </c>
      <c r="AK2066" t="s">
        <v>12268</v>
      </c>
      <c r="AL2066" s="2">
        <v>6.47</v>
      </c>
      <c r="AM2066" s="2">
        <v>5.87</v>
      </c>
      <c r="AN2066" s="2">
        <v>0.02</v>
      </c>
      <c r="AO2066" t="s">
        <v>11824</v>
      </c>
      <c r="AP2066" t="s">
        <v>11825</v>
      </c>
      <c r="AQ2066" t="s">
        <v>11823</v>
      </c>
    </row>
    <row r="2067" spans="1:43" x14ac:dyDescent="0.2">
      <c r="A2067" t="s">
        <v>12267</v>
      </c>
      <c r="B2067" t="s">
        <v>10900</v>
      </c>
      <c r="C2067" t="s">
        <v>11033</v>
      </c>
      <c r="D2067" t="s">
        <v>12275</v>
      </c>
      <c r="E2067" t="s">
        <v>12276</v>
      </c>
      <c r="F2067" t="s">
        <v>12275</v>
      </c>
      <c r="G2067" s="1">
        <v>212000</v>
      </c>
      <c r="H2067" s="2">
        <v>212934.42</v>
      </c>
      <c r="I2067" s="2">
        <v>223448.61</v>
      </c>
      <c r="J2067" s="2">
        <v>1977.99</v>
      </c>
      <c r="K2067" s="2">
        <v>0</v>
      </c>
      <c r="L2067" s="2">
        <v>225426.6</v>
      </c>
      <c r="M2067" s="3">
        <v>6.6449999999999996</v>
      </c>
      <c r="N2067" s="4">
        <v>5.1287000000000001E-4</v>
      </c>
      <c r="O2067" s="5">
        <v>44823</v>
      </c>
      <c r="P2067" s="5">
        <v>45370</v>
      </c>
      <c r="Q2067" s="1">
        <v>9.73</v>
      </c>
      <c r="R2067" s="2">
        <v>1.77</v>
      </c>
      <c r="S2067" s="6">
        <v>1.7117726900000001</v>
      </c>
      <c r="T2067" t="s">
        <v>111</v>
      </c>
      <c r="U2067" t="s">
        <v>111</v>
      </c>
      <c r="V2067" t="s">
        <v>10944</v>
      </c>
      <c r="W2067" t="s">
        <v>43</v>
      </c>
      <c r="X2067" t="s">
        <v>10988</v>
      </c>
      <c r="Y2067" t="s">
        <v>44</v>
      </c>
      <c r="Z2067" t="s">
        <v>44</v>
      </c>
      <c r="AA2067" t="s">
        <v>11035</v>
      </c>
      <c r="AB2067" t="s">
        <v>44</v>
      </c>
      <c r="AC2067" s="4">
        <v>6.7553900599999999</v>
      </c>
      <c r="AD2067" s="4">
        <v>6.5548332299999998</v>
      </c>
      <c r="AE2067" s="2">
        <v>6.76</v>
      </c>
      <c r="AF2067" s="4">
        <v>6.5548332299999998</v>
      </c>
      <c r="AG2067" s="2">
        <v>0.01</v>
      </c>
      <c r="AH2067" s="2">
        <v>225426.6</v>
      </c>
      <c r="AI2067" s="2">
        <v>0</v>
      </c>
      <c r="AJ2067" s="5">
        <v>44673</v>
      </c>
      <c r="AK2067" t="s">
        <v>12268</v>
      </c>
      <c r="AL2067" s="2">
        <v>6.65</v>
      </c>
      <c r="AM2067" s="2">
        <v>9.73</v>
      </c>
      <c r="AN2067" s="2">
        <v>1.71</v>
      </c>
      <c r="AO2067" t="s">
        <v>11036</v>
      </c>
      <c r="AP2067" t="s">
        <v>12277</v>
      </c>
      <c r="AQ2067" t="s">
        <v>12276</v>
      </c>
    </row>
    <row r="2068" spans="1:43" x14ac:dyDescent="0.2">
      <c r="A2068" t="s">
        <v>12267</v>
      </c>
      <c r="B2068" t="s">
        <v>10900</v>
      </c>
      <c r="C2068" t="s">
        <v>11033</v>
      </c>
      <c r="D2068" t="s">
        <v>12278</v>
      </c>
      <c r="E2068" t="s">
        <v>12279</v>
      </c>
      <c r="F2068" t="s">
        <v>12278</v>
      </c>
      <c r="G2068" s="1">
        <v>10000000</v>
      </c>
      <c r="H2068" s="2">
        <v>10161901.189999999</v>
      </c>
      <c r="I2068" s="2">
        <v>10297864.050000001</v>
      </c>
      <c r="J2068" s="2">
        <v>7416.16</v>
      </c>
      <c r="K2068" s="2">
        <v>0</v>
      </c>
      <c r="L2068" s="2">
        <v>10305280.210000001</v>
      </c>
      <c r="M2068" s="3">
        <v>6.8454860000000002</v>
      </c>
      <c r="N2068" s="4">
        <v>2.344562E-2</v>
      </c>
      <c r="O2068" s="5">
        <v>44762</v>
      </c>
      <c r="P2068" s="5">
        <v>45219</v>
      </c>
      <c r="Q2068" s="1">
        <v>9.0229999999999997</v>
      </c>
      <c r="R2068" s="2">
        <v>0.24</v>
      </c>
      <c r="S2068" s="6">
        <v>0.217032525127</v>
      </c>
      <c r="T2068" t="s">
        <v>111</v>
      </c>
      <c r="U2068" t="s">
        <v>111</v>
      </c>
      <c r="V2068" t="s">
        <v>11189</v>
      </c>
      <c r="W2068" t="s">
        <v>43</v>
      </c>
      <c r="X2068" t="s">
        <v>11034</v>
      </c>
      <c r="Y2068" t="s">
        <v>44</v>
      </c>
      <c r="Z2068" t="s">
        <v>44</v>
      </c>
      <c r="AA2068" t="s">
        <v>11035</v>
      </c>
      <c r="AB2068" t="s">
        <v>44</v>
      </c>
      <c r="AC2068" s="4">
        <v>6.9626377799999997</v>
      </c>
      <c r="AD2068" s="4">
        <v>6.7498534499999998</v>
      </c>
      <c r="AE2068" s="2">
        <v>6.96</v>
      </c>
      <c r="AF2068" s="4">
        <v>6.7498534499999998</v>
      </c>
      <c r="AG2068" s="2">
        <v>0.33</v>
      </c>
      <c r="AH2068" s="2">
        <v>10305280.210000001</v>
      </c>
      <c r="AI2068" s="2">
        <v>0.02</v>
      </c>
      <c r="AJ2068" s="5">
        <v>44673</v>
      </c>
      <c r="AK2068" t="s">
        <v>12268</v>
      </c>
      <c r="AL2068" s="2">
        <v>6.85</v>
      </c>
      <c r="AM2068" s="2">
        <v>9.02</v>
      </c>
      <c r="AN2068" s="2">
        <v>0.22</v>
      </c>
      <c r="AO2068" t="s">
        <v>11036</v>
      </c>
      <c r="AP2068" t="s">
        <v>12280</v>
      </c>
      <c r="AQ2068" t="s">
        <v>12279</v>
      </c>
    </row>
    <row r="2069" spans="1:43" x14ac:dyDescent="0.2">
      <c r="A2069" t="s">
        <v>12267</v>
      </c>
      <c r="B2069" t="s">
        <v>10900</v>
      </c>
      <c r="C2069" t="s">
        <v>11033</v>
      </c>
      <c r="D2069" t="s">
        <v>12982</v>
      </c>
      <c r="E2069" t="s">
        <v>12983</v>
      </c>
      <c r="F2069" t="s">
        <v>12982</v>
      </c>
      <c r="G2069" s="1">
        <v>38200000</v>
      </c>
      <c r="H2069" s="2">
        <v>38200000</v>
      </c>
      <c r="I2069" s="2">
        <v>39817608.719999999</v>
      </c>
      <c r="J2069" s="2">
        <v>490183.45</v>
      </c>
      <c r="K2069" s="2">
        <v>0</v>
      </c>
      <c r="L2069" s="2">
        <v>40307792.170000002</v>
      </c>
      <c r="M2069" s="3">
        <v>6.0747210000000003</v>
      </c>
      <c r="N2069" s="4">
        <v>9.1704569999999999E-2</v>
      </c>
      <c r="O2069" s="5">
        <v>44706</v>
      </c>
      <c r="P2069" s="5">
        <v>45439</v>
      </c>
      <c r="Q2069" s="1">
        <v>8.2170000000000005</v>
      </c>
      <c r="R2069" s="2">
        <v>0.08</v>
      </c>
      <c r="S2069" s="6">
        <v>9.4979191527000004E-2</v>
      </c>
      <c r="T2069" t="s">
        <v>111</v>
      </c>
      <c r="U2069" t="s">
        <v>111</v>
      </c>
      <c r="V2069" t="s">
        <v>11189</v>
      </c>
      <c r="W2069" t="s">
        <v>43</v>
      </c>
      <c r="X2069" t="s">
        <v>11034</v>
      </c>
      <c r="Y2069" t="s">
        <v>44</v>
      </c>
      <c r="Z2069" t="s">
        <v>44</v>
      </c>
      <c r="AA2069" t="s">
        <v>44</v>
      </c>
      <c r="AB2069" t="s">
        <v>44</v>
      </c>
      <c r="AC2069" s="4">
        <v>6.1669761000000003</v>
      </c>
      <c r="AD2069" s="4">
        <v>5.9992378899999999</v>
      </c>
      <c r="AE2069" s="2">
        <v>6.17</v>
      </c>
      <c r="AF2069" s="4">
        <v>5.9992378899999999</v>
      </c>
      <c r="AG2069" s="2">
        <v>1.3</v>
      </c>
      <c r="AH2069" s="2">
        <v>40307792.170000002</v>
      </c>
      <c r="AI2069" s="2">
        <v>0.09</v>
      </c>
      <c r="AJ2069" s="5">
        <v>44673</v>
      </c>
      <c r="AK2069" t="s">
        <v>12268</v>
      </c>
      <c r="AL2069" s="2">
        <v>6.07</v>
      </c>
      <c r="AM2069" s="2">
        <v>8.2200000000000006</v>
      </c>
      <c r="AN2069" s="2">
        <v>0.09</v>
      </c>
      <c r="AO2069" t="s">
        <v>12984</v>
      </c>
      <c r="AP2069" t="s">
        <v>12985</v>
      </c>
      <c r="AQ2069" t="s">
        <v>12983</v>
      </c>
    </row>
    <row r="2070" spans="1:43" x14ac:dyDescent="0.2">
      <c r="A2070" t="s">
        <v>12267</v>
      </c>
      <c r="B2070" t="s">
        <v>10900</v>
      </c>
      <c r="C2070" t="s">
        <v>11033</v>
      </c>
      <c r="D2070" t="s">
        <v>11192</v>
      </c>
      <c r="E2070" t="s">
        <v>11193</v>
      </c>
      <c r="F2070" t="s">
        <v>11192</v>
      </c>
      <c r="G2070" s="1">
        <v>22390000</v>
      </c>
      <c r="H2070" s="2">
        <v>22390000</v>
      </c>
      <c r="I2070" s="2">
        <v>23268954.379999999</v>
      </c>
      <c r="J2070" s="2">
        <v>123691.56</v>
      </c>
      <c r="K2070" s="2">
        <v>0</v>
      </c>
      <c r="L2070" s="2">
        <v>23392645.940000001</v>
      </c>
      <c r="M2070" s="3">
        <v>6.4487519999999998</v>
      </c>
      <c r="N2070" s="4">
        <v>5.3220789999999997E-2</v>
      </c>
      <c r="O2070" s="5">
        <v>44742</v>
      </c>
      <c r="P2070" s="5">
        <v>45379</v>
      </c>
      <c r="Q2070" s="1">
        <v>8.7669999999999995</v>
      </c>
      <c r="R2070" s="2">
        <v>0.18</v>
      </c>
      <c r="S2070" s="6">
        <v>0.176703783398</v>
      </c>
      <c r="T2070" t="s">
        <v>111</v>
      </c>
      <c r="U2070" t="s">
        <v>111</v>
      </c>
      <c r="V2070" t="s">
        <v>11189</v>
      </c>
      <c r="W2070" t="s">
        <v>43</v>
      </c>
      <c r="X2070" t="s">
        <v>11034</v>
      </c>
      <c r="Y2070" t="s">
        <v>44</v>
      </c>
      <c r="Z2070" t="s">
        <v>44</v>
      </c>
      <c r="AA2070" t="s">
        <v>10979</v>
      </c>
      <c r="AB2070" t="s">
        <v>44</v>
      </c>
      <c r="AC2070" s="4">
        <v>6.5527180200000004</v>
      </c>
      <c r="AD2070" s="4">
        <v>6.3637827900000001</v>
      </c>
      <c r="AE2070" s="2">
        <v>6.55</v>
      </c>
      <c r="AF2070" s="4">
        <v>6.3637827900000001</v>
      </c>
      <c r="AG2070" s="2">
        <v>0.75</v>
      </c>
      <c r="AH2070" s="2">
        <v>23392645.940000001</v>
      </c>
      <c r="AI2070" s="2">
        <v>0.05</v>
      </c>
      <c r="AJ2070" s="5">
        <v>44673</v>
      </c>
      <c r="AK2070" t="s">
        <v>12268</v>
      </c>
      <c r="AL2070" s="2">
        <v>6.45</v>
      </c>
      <c r="AM2070" s="2">
        <v>8.77</v>
      </c>
      <c r="AN2070" s="2">
        <v>0.18</v>
      </c>
      <c r="AO2070" t="s">
        <v>11179</v>
      </c>
      <c r="AP2070" t="s">
        <v>11194</v>
      </c>
      <c r="AQ2070" t="s">
        <v>11193</v>
      </c>
    </row>
    <row r="2071" spans="1:43" x14ac:dyDescent="0.2">
      <c r="A2071" t="s">
        <v>12267</v>
      </c>
      <c r="B2071" t="s">
        <v>10900</v>
      </c>
      <c r="C2071" t="s">
        <v>11033</v>
      </c>
      <c r="D2071" t="s">
        <v>11843</v>
      </c>
      <c r="E2071" t="s">
        <v>11844</v>
      </c>
      <c r="F2071" t="s">
        <v>11843</v>
      </c>
      <c r="G2071" s="1">
        <v>32799000</v>
      </c>
      <c r="H2071" s="2">
        <v>32800642.609999999</v>
      </c>
      <c r="I2071" s="2">
        <v>32651031.449999999</v>
      </c>
      <c r="J2071" s="2">
        <v>24380.89</v>
      </c>
      <c r="K2071" s="2">
        <v>0</v>
      </c>
      <c r="L2071" s="2">
        <v>32675412.34</v>
      </c>
      <c r="M2071" s="3">
        <v>6.9820180000000001</v>
      </c>
      <c r="N2071" s="4">
        <v>7.4340080000000003E-2</v>
      </c>
      <c r="O2071" s="5">
        <v>44760</v>
      </c>
      <c r="P2071" s="5">
        <v>45398</v>
      </c>
      <c r="Q2071" s="1">
        <v>6.7830000000000004</v>
      </c>
      <c r="R2071" s="2">
        <v>0.23</v>
      </c>
      <c r="S2071" s="6">
        <v>0.182016060841</v>
      </c>
      <c r="T2071" t="s">
        <v>111</v>
      </c>
      <c r="U2071" t="s">
        <v>111</v>
      </c>
      <c r="V2071" t="s">
        <v>11189</v>
      </c>
      <c r="W2071" t="s">
        <v>43</v>
      </c>
      <c r="X2071" t="s">
        <v>11034</v>
      </c>
      <c r="Y2071" t="s">
        <v>44</v>
      </c>
      <c r="Z2071" t="s">
        <v>44</v>
      </c>
      <c r="AA2071" t="s">
        <v>10979</v>
      </c>
      <c r="AB2071" t="s">
        <v>44</v>
      </c>
      <c r="AC2071" s="4">
        <v>7.1038890300000004</v>
      </c>
      <c r="AD2071" s="4">
        <v>6.8825725699999998</v>
      </c>
      <c r="AE2071" s="2">
        <v>7.1</v>
      </c>
      <c r="AF2071" s="4">
        <v>6.8825725699999998</v>
      </c>
      <c r="AG2071" s="2">
        <v>1.05</v>
      </c>
      <c r="AH2071" s="2">
        <v>32675412.34</v>
      </c>
      <c r="AI2071" s="2">
        <v>7.0000000000000007E-2</v>
      </c>
      <c r="AJ2071" s="5">
        <v>44673</v>
      </c>
      <c r="AK2071" t="s">
        <v>12268</v>
      </c>
      <c r="AL2071" s="2">
        <v>6.98</v>
      </c>
      <c r="AM2071" s="2">
        <v>6.78</v>
      </c>
      <c r="AN2071" s="2">
        <v>0.18</v>
      </c>
      <c r="AO2071" t="s">
        <v>11179</v>
      </c>
      <c r="AP2071" t="s">
        <v>11845</v>
      </c>
      <c r="AQ2071" t="s">
        <v>11844</v>
      </c>
    </row>
    <row r="2072" spans="1:43" x14ac:dyDescent="0.2">
      <c r="A2072" t="s">
        <v>12267</v>
      </c>
      <c r="B2072" t="s">
        <v>10900</v>
      </c>
      <c r="C2072" t="s">
        <v>11033</v>
      </c>
      <c r="D2072" t="s">
        <v>12262</v>
      </c>
      <c r="E2072" t="s">
        <v>12263</v>
      </c>
      <c r="F2072" t="s">
        <v>12262</v>
      </c>
      <c r="G2072" s="1">
        <v>1099000</v>
      </c>
      <c r="H2072" s="2">
        <v>1112183.53</v>
      </c>
      <c r="I2072" s="2">
        <v>1152476.68</v>
      </c>
      <c r="J2072" s="2">
        <v>18910.63</v>
      </c>
      <c r="K2072" s="2">
        <v>0</v>
      </c>
      <c r="L2072" s="2">
        <v>1171387.31</v>
      </c>
      <c r="M2072" s="3">
        <v>7.23</v>
      </c>
      <c r="N2072" s="4">
        <v>2.6650300000000001E-3</v>
      </c>
      <c r="O2072" s="5">
        <v>44795</v>
      </c>
      <c r="P2072" s="5">
        <v>45342</v>
      </c>
      <c r="Q2072" s="1">
        <v>10.130000000000001</v>
      </c>
      <c r="R2072" s="2">
        <v>1.69</v>
      </c>
      <c r="S2072" s="6">
        <v>1.628299706</v>
      </c>
      <c r="T2072" t="s">
        <v>111</v>
      </c>
      <c r="U2072" t="s">
        <v>111</v>
      </c>
      <c r="V2072" t="s">
        <v>10944</v>
      </c>
      <c r="W2072" t="s">
        <v>43</v>
      </c>
      <c r="X2072" t="s">
        <v>10988</v>
      </c>
      <c r="Y2072" t="s">
        <v>44</v>
      </c>
      <c r="Z2072" t="s">
        <v>44</v>
      </c>
      <c r="AA2072" t="s">
        <v>10979</v>
      </c>
      <c r="AB2072" t="s">
        <v>44</v>
      </c>
      <c r="AC2072" s="4">
        <v>7.36068225</v>
      </c>
      <c r="AD2072" s="4">
        <v>7.1234440000000001</v>
      </c>
      <c r="AE2072" s="2">
        <v>7.36</v>
      </c>
      <c r="AF2072" s="4">
        <v>7.1234440000000001</v>
      </c>
      <c r="AG2072" s="2">
        <v>0.04</v>
      </c>
      <c r="AH2072" s="2">
        <v>1171387.31</v>
      </c>
      <c r="AI2072" s="2">
        <v>0</v>
      </c>
      <c r="AJ2072" s="5">
        <v>44673</v>
      </c>
      <c r="AK2072" t="s">
        <v>12268</v>
      </c>
      <c r="AL2072" s="2">
        <v>7.23</v>
      </c>
      <c r="AM2072" s="2">
        <v>10.130000000000001</v>
      </c>
      <c r="AN2072" s="2">
        <v>1.63</v>
      </c>
      <c r="AO2072" t="s">
        <v>11179</v>
      </c>
      <c r="AP2072" t="s">
        <v>12264</v>
      </c>
      <c r="AQ2072" t="s">
        <v>12263</v>
      </c>
    </row>
    <row r="2073" spans="1:43" x14ac:dyDescent="0.2">
      <c r="A2073" t="s">
        <v>12267</v>
      </c>
      <c r="B2073" t="s">
        <v>10900</v>
      </c>
      <c r="C2073" t="s">
        <v>11033</v>
      </c>
      <c r="D2073" t="s">
        <v>11245</v>
      </c>
      <c r="E2073" t="s">
        <v>11246</v>
      </c>
      <c r="F2073" t="s">
        <v>11245</v>
      </c>
      <c r="G2073" s="1">
        <v>139000</v>
      </c>
      <c r="H2073" s="2">
        <v>140762.82</v>
      </c>
      <c r="I2073" s="2">
        <v>146390.24</v>
      </c>
      <c r="J2073" s="2">
        <v>6909.63</v>
      </c>
      <c r="K2073" s="2">
        <v>0</v>
      </c>
      <c r="L2073" s="2">
        <v>153299.87</v>
      </c>
      <c r="M2073" s="3">
        <v>7.0979999999999999</v>
      </c>
      <c r="N2073" s="4">
        <v>3.4876999999999998E-4</v>
      </c>
      <c r="O2073" s="5">
        <v>44687</v>
      </c>
      <c r="P2073" s="5">
        <v>45236</v>
      </c>
      <c r="Q2073" s="1">
        <v>10.8</v>
      </c>
      <c r="R2073" s="2">
        <v>1.39</v>
      </c>
      <c r="S2073" s="6">
        <v>1.339661854</v>
      </c>
      <c r="T2073" t="s">
        <v>111</v>
      </c>
      <c r="U2073" t="s">
        <v>111</v>
      </c>
      <c r="V2073" t="s">
        <v>10944</v>
      </c>
      <c r="W2073" t="s">
        <v>43</v>
      </c>
      <c r="X2073" t="s">
        <v>10988</v>
      </c>
      <c r="Y2073" t="s">
        <v>44</v>
      </c>
      <c r="Z2073" t="s">
        <v>44</v>
      </c>
      <c r="AA2073" t="s">
        <v>10979</v>
      </c>
      <c r="AB2073" t="s">
        <v>44</v>
      </c>
      <c r="AC2073" s="4">
        <v>7.2239540099999999</v>
      </c>
      <c r="AD2073" s="4">
        <v>6.9952590600000004</v>
      </c>
      <c r="AE2073" s="2">
        <v>7.22</v>
      </c>
      <c r="AF2073" s="4">
        <v>6.9952590600000004</v>
      </c>
      <c r="AG2073" s="2">
        <v>0</v>
      </c>
      <c r="AH2073" s="2">
        <v>153299.87</v>
      </c>
      <c r="AI2073" s="2">
        <v>0</v>
      </c>
      <c r="AJ2073" s="5">
        <v>44673</v>
      </c>
      <c r="AK2073" t="s">
        <v>12268</v>
      </c>
      <c r="AL2073" s="2">
        <v>7.1</v>
      </c>
      <c r="AM2073" s="2">
        <v>10.8</v>
      </c>
      <c r="AN2073" s="2">
        <v>1.34</v>
      </c>
      <c r="AO2073" t="s">
        <v>10982</v>
      </c>
      <c r="AP2073" t="s">
        <v>11247</v>
      </c>
      <c r="AQ2073" t="s">
        <v>11246</v>
      </c>
    </row>
    <row r="2074" spans="1:43" x14ac:dyDescent="0.2">
      <c r="A2074" t="s">
        <v>12267</v>
      </c>
      <c r="B2074" t="s">
        <v>10900</v>
      </c>
      <c r="C2074" t="s">
        <v>10943</v>
      </c>
      <c r="D2074" t="s">
        <v>11552</v>
      </c>
      <c r="E2074" t="s">
        <v>11553</v>
      </c>
      <c r="F2074" t="s">
        <v>11552</v>
      </c>
      <c r="G2074" s="1">
        <v>100000</v>
      </c>
      <c r="H2074" s="2">
        <v>100000</v>
      </c>
      <c r="I2074" s="2">
        <v>100000.34</v>
      </c>
      <c r="J2074" s="2">
        <v>1268.8699999999999</v>
      </c>
      <c r="K2074" s="2">
        <v>0</v>
      </c>
      <c r="L2074" s="2">
        <v>101269.21</v>
      </c>
      <c r="M2074" s="3">
        <v>5.7189139999999998</v>
      </c>
      <c r="N2074" s="4">
        <v>2.3039999999999999E-4</v>
      </c>
      <c r="O2074" s="5">
        <v>44684</v>
      </c>
      <c r="P2074" s="5">
        <v>46418</v>
      </c>
      <c r="Q2074" s="1">
        <v>5.6479999999999997</v>
      </c>
      <c r="R2074" s="2">
        <v>0.02</v>
      </c>
      <c r="S2074" s="6">
        <v>-2.0490922419E-2</v>
      </c>
      <c r="T2074" t="s">
        <v>111</v>
      </c>
      <c r="U2074" t="s">
        <v>111</v>
      </c>
      <c r="V2074" t="s">
        <v>11189</v>
      </c>
      <c r="W2074" t="s">
        <v>43</v>
      </c>
      <c r="X2074" t="s">
        <v>11034</v>
      </c>
      <c r="Y2074" t="s">
        <v>44</v>
      </c>
      <c r="Z2074" t="s">
        <v>44</v>
      </c>
      <c r="AA2074" t="s">
        <v>10979</v>
      </c>
      <c r="AB2074" t="s">
        <v>44</v>
      </c>
      <c r="AC2074" s="4">
        <v>5.8006784400000004</v>
      </c>
      <c r="AD2074" s="4">
        <v>5.6519431300000003</v>
      </c>
      <c r="AE2074" s="2">
        <v>5.8</v>
      </c>
      <c r="AF2074" s="4">
        <v>5.6519431300000003</v>
      </c>
      <c r="AG2074" s="2">
        <v>0</v>
      </c>
      <c r="AH2074" s="2">
        <v>101269.21</v>
      </c>
      <c r="AI2074" s="2">
        <v>0</v>
      </c>
      <c r="AJ2074" s="5">
        <v>44673</v>
      </c>
      <c r="AK2074" t="s">
        <v>12268</v>
      </c>
      <c r="AL2074" s="2">
        <v>5.72</v>
      </c>
      <c r="AM2074" s="2">
        <v>5.65</v>
      </c>
      <c r="AN2074" s="2">
        <v>-0.02</v>
      </c>
      <c r="AO2074" t="s">
        <v>11048</v>
      </c>
      <c r="AP2074" t="s">
        <v>11554</v>
      </c>
      <c r="AQ2074" t="s">
        <v>11553</v>
      </c>
    </row>
    <row r="2075" spans="1:43" x14ac:dyDescent="0.2">
      <c r="A2075" t="s">
        <v>12267</v>
      </c>
      <c r="B2075" t="s">
        <v>10900</v>
      </c>
      <c r="C2075" t="s">
        <v>10943</v>
      </c>
      <c r="D2075" t="s">
        <v>11555</v>
      </c>
      <c r="E2075" t="s">
        <v>11556</v>
      </c>
      <c r="F2075" t="s">
        <v>11555</v>
      </c>
      <c r="G2075" s="1">
        <v>32700000</v>
      </c>
      <c r="H2075" s="2">
        <v>32700000</v>
      </c>
      <c r="I2075" s="2">
        <v>32074416.300000001</v>
      </c>
      <c r="J2075" s="2">
        <v>674784.66</v>
      </c>
      <c r="K2075" s="2">
        <v>0</v>
      </c>
      <c r="L2075" s="2">
        <v>32749200.960000001</v>
      </c>
      <c r="M2075" s="3">
        <v>9.9250000000000007</v>
      </c>
      <c r="N2075" s="4">
        <v>7.4507959999999998E-2</v>
      </c>
      <c r="O2075" s="5">
        <v>44775</v>
      </c>
      <c r="P2075" s="5">
        <v>46420</v>
      </c>
      <c r="Q2075" s="1">
        <v>9.4149999999999991</v>
      </c>
      <c r="R2075" s="2">
        <v>3.86</v>
      </c>
      <c r="S2075" s="6">
        <v>3.6810259830000001</v>
      </c>
      <c r="T2075" t="s">
        <v>111</v>
      </c>
      <c r="U2075" t="s">
        <v>111</v>
      </c>
      <c r="V2075" t="s">
        <v>10944</v>
      </c>
      <c r="W2075" t="s">
        <v>43</v>
      </c>
      <c r="X2075" t="s">
        <v>44</v>
      </c>
      <c r="Y2075" t="s">
        <v>44</v>
      </c>
      <c r="Z2075" t="s">
        <v>44</v>
      </c>
      <c r="AA2075" t="s">
        <v>10979</v>
      </c>
      <c r="AB2075" t="s">
        <v>44</v>
      </c>
      <c r="AC2075" s="4">
        <v>10.17126406</v>
      </c>
      <c r="AD2075" s="4">
        <v>9.72579277</v>
      </c>
      <c r="AE2075" s="2">
        <v>10.17</v>
      </c>
      <c r="AF2075" s="4">
        <v>9.72579277</v>
      </c>
      <c r="AG2075" s="2">
        <v>1.06</v>
      </c>
      <c r="AH2075" s="2">
        <v>32749200.960000001</v>
      </c>
      <c r="AI2075" s="2">
        <v>7.0000000000000007E-2</v>
      </c>
      <c r="AJ2075" s="5">
        <v>44673</v>
      </c>
      <c r="AK2075" t="s">
        <v>12268</v>
      </c>
      <c r="AL2075" s="2">
        <v>9.93</v>
      </c>
      <c r="AM2075" s="2">
        <v>9.41</v>
      </c>
      <c r="AN2075" s="2">
        <v>3.68</v>
      </c>
      <c r="AO2075" t="s">
        <v>11048</v>
      </c>
      <c r="AP2075" t="s">
        <v>11557</v>
      </c>
      <c r="AQ2075" t="s">
        <v>11556</v>
      </c>
    </row>
    <row r="2076" spans="1:43" x14ac:dyDescent="0.2">
      <c r="A2076" t="s">
        <v>12267</v>
      </c>
      <c r="B2076" t="s">
        <v>10900</v>
      </c>
      <c r="C2076" t="s">
        <v>10943</v>
      </c>
      <c r="D2076" t="s">
        <v>11846</v>
      </c>
      <c r="E2076" t="s">
        <v>11847</v>
      </c>
      <c r="F2076" t="s">
        <v>11846</v>
      </c>
      <c r="G2076" s="1">
        <v>2613000</v>
      </c>
      <c r="H2076" s="2">
        <v>2734578.93</v>
      </c>
      <c r="I2076" s="2">
        <v>2744433.12</v>
      </c>
      <c r="J2076" s="2">
        <v>102858.42</v>
      </c>
      <c r="K2076" s="2">
        <v>0</v>
      </c>
      <c r="L2076" s="2">
        <v>2847291.54</v>
      </c>
      <c r="M2076" s="3">
        <v>8.7050000000000001</v>
      </c>
      <c r="N2076" s="4">
        <v>6.47789E-3</v>
      </c>
      <c r="O2076" s="5">
        <v>44715</v>
      </c>
      <c r="P2076" s="5">
        <v>46176</v>
      </c>
      <c r="Q2076" s="1">
        <v>10.19</v>
      </c>
      <c r="R2076" s="2">
        <v>3.35</v>
      </c>
      <c r="S2076" s="6">
        <v>3.210117125</v>
      </c>
      <c r="T2076" t="s">
        <v>111</v>
      </c>
      <c r="U2076" t="s">
        <v>111</v>
      </c>
      <c r="V2076" t="s">
        <v>10944</v>
      </c>
      <c r="W2076" t="s">
        <v>43</v>
      </c>
      <c r="X2076" t="s">
        <v>44</v>
      </c>
      <c r="Y2076" t="s">
        <v>44</v>
      </c>
      <c r="Z2076" t="s">
        <v>44</v>
      </c>
      <c r="AA2076" t="s">
        <v>10979</v>
      </c>
      <c r="AB2076" t="s">
        <v>44</v>
      </c>
      <c r="AC2076" s="4">
        <v>8.8944425599999999</v>
      </c>
      <c r="AD2076" s="4">
        <v>8.5512049999999995</v>
      </c>
      <c r="AE2076" s="2">
        <v>8.89</v>
      </c>
      <c r="AF2076" s="4">
        <v>8.5512049999999995</v>
      </c>
      <c r="AG2076" s="2">
        <v>0.09</v>
      </c>
      <c r="AH2076" s="2">
        <v>2847291.54</v>
      </c>
      <c r="AI2076" s="2">
        <v>0.01</v>
      </c>
      <c r="AJ2076" s="5">
        <v>44673</v>
      </c>
      <c r="AK2076" t="s">
        <v>12268</v>
      </c>
      <c r="AL2076" s="2">
        <v>8.7100000000000009</v>
      </c>
      <c r="AM2076" s="2">
        <v>10.19</v>
      </c>
      <c r="AN2076" s="2">
        <v>3.21</v>
      </c>
      <c r="AO2076" t="s">
        <v>11054</v>
      </c>
      <c r="AP2076" t="s">
        <v>11848</v>
      </c>
      <c r="AQ2076" t="s">
        <v>11847</v>
      </c>
    </row>
    <row r="2077" spans="1:43" x14ac:dyDescent="0.2">
      <c r="A2077" t="s">
        <v>12267</v>
      </c>
      <c r="B2077" t="s">
        <v>10900</v>
      </c>
      <c r="C2077" t="s">
        <v>10943</v>
      </c>
      <c r="D2077" t="s">
        <v>11849</v>
      </c>
      <c r="E2077" t="s">
        <v>11850</v>
      </c>
      <c r="F2077" t="s">
        <v>11849</v>
      </c>
      <c r="G2077" s="1">
        <v>2245000</v>
      </c>
      <c r="H2077" s="2">
        <v>2359073.7599999998</v>
      </c>
      <c r="I2077" s="2">
        <v>2338363.94</v>
      </c>
      <c r="J2077" s="2">
        <v>12854.93</v>
      </c>
      <c r="K2077" s="2">
        <v>0</v>
      </c>
      <c r="L2077" s="2">
        <v>2351218.87</v>
      </c>
      <c r="M2077" s="3">
        <v>8.3550000000000004</v>
      </c>
      <c r="N2077" s="4">
        <v>5.3492799999999997E-3</v>
      </c>
      <c r="O2077" s="5">
        <v>44837</v>
      </c>
      <c r="P2077" s="5">
        <v>46296</v>
      </c>
      <c r="Q2077" s="1">
        <v>9.5</v>
      </c>
      <c r="R2077" s="2">
        <v>3.72</v>
      </c>
      <c r="S2077" s="6">
        <v>3.5673572199999999</v>
      </c>
      <c r="T2077" t="s">
        <v>111</v>
      </c>
      <c r="U2077" t="s">
        <v>111</v>
      </c>
      <c r="V2077" t="s">
        <v>10944</v>
      </c>
      <c r="W2077" t="s">
        <v>43</v>
      </c>
      <c r="X2077" t="s">
        <v>10988</v>
      </c>
      <c r="Y2077" t="s">
        <v>44</v>
      </c>
      <c r="Z2077" t="s">
        <v>44</v>
      </c>
      <c r="AA2077" t="s">
        <v>10979</v>
      </c>
      <c r="AB2077" t="s">
        <v>44</v>
      </c>
      <c r="AC2077" s="4">
        <v>8.5295150599999996</v>
      </c>
      <c r="AD2077" s="4">
        <v>8.2131770100000008</v>
      </c>
      <c r="AE2077" s="2">
        <v>8.5299999999999994</v>
      </c>
      <c r="AF2077" s="4">
        <v>8.2131770100000008</v>
      </c>
      <c r="AG2077" s="2">
        <v>0.08</v>
      </c>
      <c r="AH2077" s="2">
        <v>2351218.87</v>
      </c>
      <c r="AI2077" s="2">
        <v>0.01</v>
      </c>
      <c r="AJ2077" s="5">
        <v>44673</v>
      </c>
      <c r="AK2077" t="s">
        <v>12268</v>
      </c>
      <c r="AL2077" s="2">
        <v>8.35</v>
      </c>
      <c r="AM2077" s="2">
        <v>9.5</v>
      </c>
      <c r="AN2077" s="2">
        <v>3.57</v>
      </c>
      <c r="AO2077" t="s">
        <v>11054</v>
      </c>
      <c r="AP2077" t="s">
        <v>11851</v>
      </c>
      <c r="AQ2077" t="s">
        <v>11850</v>
      </c>
    </row>
    <row r="2078" spans="1:43" x14ac:dyDescent="0.2">
      <c r="A2078" t="s">
        <v>12267</v>
      </c>
      <c r="B2078" t="s">
        <v>10900</v>
      </c>
      <c r="C2078" t="s">
        <v>10943</v>
      </c>
      <c r="D2078" t="s">
        <v>11558</v>
      </c>
      <c r="E2078" t="s">
        <v>11559</v>
      </c>
      <c r="F2078" t="s">
        <v>11558</v>
      </c>
      <c r="G2078" s="1">
        <v>14500000</v>
      </c>
      <c r="H2078" s="2">
        <v>14498105.68</v>
      </c>
      <c r="I2078" s="2">
        <v>14273847.85</v>
      </c>
      <c r="J2078" s="2">
        <v>12958.63</v>
      </c>
      <c r="K2078" s="2">
        <v>0</v>
      </c>
      <c r="L2078" s="2">
        <v>14286806.48</v>
      </c>
      <c r="M2078" s="3">
        <v>8.625</v>
      </c>
      <c r="N2078" s="4">
        <v>3.2504020000000002E-2</v>
      </c>
      <c r="O2078" s="5">
        <v>44853</v>
      </c>
      <c r="P2078" s="5">
        <v>46131</v>
      </c>
      <c r="Q2078" s="1">
        <v>8.1549999999999994</v>
      </c>
      <c r="R2078" s="2">
        <v>3.47</v>
      </c>
      <c r="S2078" s="6">
        <v>3.327828963</v>
      </c>
      <c r="T2078" t="s">
        <v>111</v>
      </c>
      <c r="U2078" t="s">
        <v>111</v>
      </c>
      <c r="V2078" t="s">
        <v>10944</v>
      </c>
      <c r="W2078" t="s">
        <v>43</v>
      </c>
      <c r="X2078" t="s">
        <v>44</v>
      </c>
      <c r="Y2078" t="s">
        <v>44</v>
      </c>
      <c r="Z2078" t="s">
        <v>44</v>
      </c>
      <c r="AA2078" t="s">
        <v>10979</v>
      </c>
      <c r="AB2078" t="s">
        <v>44</v>
      </c>
      <c r="AC2078" s="4">
        <v>8.8109765600000003</v>
      </c>
      <c r="AD2078" s="4">
        <v>8.4739831300000006</v>
      </c>
      <c r="AE2078" s="2">
        <v>8.81</v>
      </c>
      <c r="AF2078" s="4">
        <v>8.4739831300000006</v>
      </c>
      <c r="AG2078" s="2">
        <v>0.46</v>
      </c>
      <c r="AH2078" s="2">
        <v>14286806.48</v>
      </c>
      <c r="AI2078" s="2">
        <v>0.03</v>
      </c>
      <c r="AJ2078" s="5">
        <v>44673</v>
      </c>
      <c r="AK2078" t="s">
        <v>12268</v>
      </c>
      <c r="AL2078" s="2">
        <v>8.6300000000000008</v>
      </c>
      <c r="AM2078" s="2">
        <v>8.15</v>
      </c>
      <c r="AN2078" s="2">
        <v>3.33</v>
      </c>
      <c r="AO2078" t="s">
        <v>11054</v>
      </c>
      <c r="AP2078" t="s">
        <v>11560</v>
      </c>
      <c r="AQ2078" t="s">
        <v>11559</v>
      </c>
    </row>
    <row r="2079" spans="1:43" x14ac:dyDescent="0.2">
      <c r="A2079" t="s">
        <v>12267</v>
      </c>
      <c r="B2079" t="s">
        <v>10900</v>
      </c>
      <c r="C2079" t="s">
        <v>10943</v>
      </c>
      <c r="D2079" t="s">
        <v>11569</v>
      </c>
      <c r="E2079" t="s">
        <v>11570</v>
      </c>
      <c r="F2079" t="s">
        <v>11569</v>
      </c>
      <c r="G2079" s="1">
        <v>19700000</v>
      </c>
      <c r="H2079" s="2">
        <v>19700000</v>
      </c>
      <c r="I2079" s="2">
        <v>19806457.239999998</v>
      </c>
      <c r="J2079" s="2">
        <v>269747.51</v>
      </c>
      <c r="K2079" s="2">
        <v>0</v>
      </c>
      <c r="L2079" s="2">
        <v>20076204.75</v>
      </c>
      <c r="M2079" s="3">
        <v>8.5241640000000007</v>
      </c>
      <c r="N2079" s="4">
        <v>4.5675529999999999E-2</v>
      </c>
      <c r="O2079" s="5">
        <v>44705</v>
      </c>
      <c r="P2079" s="5">
        <v>46166</v>
      </c>
      <c r="Q2079" s="1">
        <v>8.6170000000000009</v>
      </c>
      <c r="R2079" s="2">
        <v>0.08</v>
      </c>
      <c r="S2079" s="6">
        <v>-9.3404076700000001E-3</v>
      </c>
      <c r="T2079" t="s">
        <v>111</v>
      </c>
      <c r="U2079" t="s">
        <v>111</v>
      </c>
      <c r="V2079" t="s">
        <v>11189</v>
      </c>
      <c r="W2079" t="s">
        <v>43</v>
      </c>
      <c r="X2079" t="s">
        <v>11034</v>
      </c>
      <c r="Y2079" t="s">
        <v>44</v>
      </c>
      <c r="Z2079" t="s">
        <v>44</v>
      </c>
      <c r="AA2079" t="s">
        <v>11035</v>
      </c>
      <c r="AB2079" t="s">
        <v>44</v>
      </c>
      <c r="AC2079" s="4">
        <v>8.7058170199999996</v>
      </c>
      <c r="AD2079" s="4">
        <v>8.3766132899999999</v>
      </c>
      <c r="AE2079" s="2">
        <v>8.7100000000000009</v>
      </c>
      <c r="AF2079" s="4">
        <v>8.3766132899999999</v>
      </c>
      <c r="AG2079" s="2">
        <v>0.65</v>
      </c>
      <c r="AH2079" s="2">
        <v>20076204.75</v>
      </c>
      <c r="AI2079" s="2">
        <v>0.05</v>
      </c>
      <c r="AJ2079" s="5">
        <v>44673</v>
      </c>
      <c r="AK2079" t="s">
        <v>12268</v>
      </c>
      <c r="AL2079" s="2">
        <v>8.52</v>
      </c>
      <c r="AM2079" s="2">
        <v>8.6199999999999992</v>
      </c>
      <c r="AN2079" s="2">
        <v>-0.01</v>
      </c>
      <c r="AO2079" t="s">
        <v>11226</v>
      </c>
      <c r="AP2079" t="s">
        <v>11571</v>
      </c>
      <c r="AQ2079" t="s">
        <v>11570</v>
      </c>
    </row>
    <row r="2080" spans="1:43" x14ac:dyDescent="0.2">
      <c r="A2080" t="s">
        <v>12267</v>
      </c>
      <c r="B2080" t="s">
        <v>10900</v>
      </c>
      <c r="C2080" t="s">
        <v>10943</v>
      </c>
      <c r="D2080" t="s">
        <v>11572</v>
      </c>
      <c r="E2080" t="s">
        <v>11573</v>
      </c>
      <c r="F2080" t="s">
        <v>11572</v>
      </c>
      <c r="G2080" s="1">
        <v>30000000</v>
      </c>
      <c r="H2080" s="2">
        <v>30000000</v>
      </c>
      <c r="I2080" s="2">
        <v>29997300.48</v>
      </c>
      <c r="J2080" s="2">
        <v>168118.36</v>
      </c>
      <c r="K2080" s="2">
        <v>0</v>
      </c>
      <c r="L2080" s="2">
        <v>30165418.84</v>
      </c>
      <c r="M2080" s="3">
        <v>6.3514429999999997</v>
      </c>
      <c r="N2080" s="4">
        <v>6.8629579999999996E-2</v>
      </c>
      <c r="O2080" s="5">
        <v>44734</v>
      </c>
      <c r="P2080" s="5">
        <v>46468</v>
      </c>
      <c r="Q2080" s="1">
        <v>6.3920000000000003</v>
      </c>
      <c r="R2080" s="2">
        <v>0.16</v>
      </c>
      <c r="S2080" s="6">
        <v>9.4330326845999998E-2</v>
      </c>
      <c r="T2080" t="s">
        <v>111</v>
      </c>
      <c r="U2080" t="s">
        <v>111</v>
      </c>
      <c r="V2080" t="s">
        <v>11189</v>
      </c>
      <c r="W2080" t="s">
        <v>43</v>
      </c>
      <c r="X2080" t="s">
        <v>11034</v>
      </c>
      <c r="Y2080" t="s">
        <v>44</v>
      </c>
      <c r="Z2080" t="s">
        <v>44</v>
      </c>
      <c r="AA2080" t="s">
        <v>11035</v>
      </c>
      <c r="AB2080" t="s">
        <v>44</v>
      </c>
      <c r="AC2080" s="4">
        <v>6.4522949799999996</v>
      </c>
      <c r="AD2080" s="4">
        <v>6.2689947500000001</v>
      </c>
      <c r="AE2080" s="2">
        <v>6.45</v>
      </c>
      <c r="AF2080" s="4">
        <v>6.2689947500000001</v>
      </c>
      <c r="AG2080" s="2">
        <v>0.97</v>
      </c>
      <c r="AH2080" s="2">
        <v>30165418.84</v>
      </c>
      <c r="AI2080" s="2">
        <v>7.0000000000000007E-2</v>
      </c>
      <c r="AJ2080" s="5">
        <v>44673</v>
      </c>
      <c r="AK2080" t="s">
        <v>12268</v>
      </c>
      <c r="AL2080" s="2">
        <v>6.35</v>
      </c>
      <c r="AM2080" s="2">
        <v>6.39</v>
      </c>
      <c r="AN2080" s="2">
        <v>0.09</v>
      </c>
      <c r="AO2080" t="s">
        <v>11226</v>
      </c>
      <c r="AP2080" t="s">
        <v>11574</v>
      </c>
      <c r="AQ2080" t="s">
        <v>11573</v>
      </c>
    </row>
    <row r="2081" spans="1:43" x14ac:dyDescent="0.2">
      <c r="A2081" t="s">
        <v>12267</v>
      </c>
      <c r="B2081" t="s">
        <v>10900</v>
      </c>
      <c r="C2081" t="s">
        <v>10943</v>
      </c>
      <c r="D2081" t="s">
        <v>11578</v>
      </c>
      <c r="E2081" t="s">
        <v>11579</v>
      </c>
      <c r="F2081" t="s">
        <v>11578</v>
      </c>
      <c r="G2081" s="1">
        <v>6300000</v>
      </c>
      <c r="H2081" s="2">
        <v>6286107.9800000004</v>
      </c>
      <c r="I2081" s="2">
        <v>5881066.3799999999</v>
      </c>
      <c r="J2081" s="2">
        <v>52435.25</v>
      </c>
      <c r="K2081" s="2">
        <v>0</v>
      </c>
      <c r="L2081" s="2">
        <v>5933501.6299999999</v>
      </c>
      <c r="M2081" s="3">
        <v>9.375</v>
      </c>
      <c r="N2081" s="4">
        <v>1.349936E-2</v>
      </c>
      <c r="O2081" s="5">
        <v>44819</v>
      </c>
      <c r="P2081" s="5">
        <v>46827</v>
      </c>
      <c r="Q2081" s="1">
        <v>7.8849999999999998</v>
      </c>
      <c r="R2081" s="2">
        <v>4.74</v>
      </c>
      <c r="S2081" s="6">
        <v>4.5243735450000004</v>
      </c>
      <c r="T2081" t="s">
        <v>111</v>
      </c>
      <c r="U2081" t="s">
        <v>111</v>
      </c>
      <c r="V2081" t="s">
        <v>10944</v>
      </c>
      <c r="W2081" t="s">
        <v>43</v>
      </c>
      <c r="X2081" t="s">
        <v>44</v>
      </c>
      <c r="Y2081" t="s">
        <v>44</v>
      </c>
      <c r="Z2081" t="s">
        <v>44</v>
      </c>
      <c r="AA2081" t="s">
        <v>11441</v>
      </c>
      <c r="AB2081" t="s">
        <v>44</v>
      </c>
      <c r="AC2081" s="4">
        <v>9.5947265599999998</v>
      </c>
      <c r="AD2081" s="4">
        <v>9.1969716100000003</v>
      </c>
      <c r="AE2081" s="2">
        <v>9.59</v>
      </c>
      <c r="AF2081" s="4">
        <v>9.1969716100000003</v>
      </c>
      <c r="AG2081" s="2">
        <v>0.19</v>
      </c>
      <c r="AH2081" s="2">
        <v>5933501.6299999999</v>
      </c>
      <c r="AI2081" s="2">
        <v>0.01</v>
      </c>
      <c r="AJ2081" s="5">
        <v>44673</v>
      </c>
      <c r="AK2081" t="s">
        <v>12268</v>
      </c>
      <c r="AL2081" s="2">
        <v>9.3800000000000008</v>
      </c>
      <c r="AM2081" s="2">
        <v>7.88</v>
      </c>
      <c r="AN2081" s="2">
        <v>4.5199999999999996</v>
      </c>
      <c r="AO2081" t="s">
        <v>11580</v>
      </c>
      <c r="AP2081" t="s">
        <v>11581</v>
      </c>
      <c r="AQ2081" t="s">
        <v>11579</v>
      </c>
    </row>
    <row r="2082" spans="1:43" x14ac:dyDescent="0.2">
      <c r="A2082" t="s">
        <v>12267</v>
      </c>
      <c r="B2082" t="s">
        <v>10900</v>
      </c>
      <c r="C2082" t="s">
        <v>10943</v>
      </c>
      <c r="D2082" t="s">
        <v>11919</v>
      </c>
      <c r="E2082" t="s">
        <v>11920</v>
      </c>
      <c r="F2082" t="s">
        <v>11919</v>
      </c>
      <c r="G2082" s="1">
        <v>8800000</v>
      </c>
      <c r="H2082" s="2">
        <v>8800000</v>
      </c>
      <c r="I2082" s="2">
        <v>9266503.9600000009</v>
      </c>
      <c r="J2082" s="2">
        <v>37640.61</v>
      </c>
      <c r="K2082" s="2">
        <v>0</v>
      </c>
      <c r="L2082" s="2">
        <v>9304144.5700000003</v>
      </c>
      <c r="M2082" s="3">
        <v>6.2178870000000002</v>
      </c>
      <c r="N2082" s="4">
        <v>2.1167930000000001E-2</v>
      </c>
      <c r="O2082" s="5">
        <v>44746</v>
      </c>
      <c r="P2082" s="5">
        <v>45840</v>
      </c>
      <c r="Q2082" s="1">
        <v>8.2170000000000005</v>
      </c>
      <c r="R2082" s="2">
        <v>0.19</v>
      </c>
      <c r="S2082" s="6">
        <v>0.21403134549399999</v>
      </c>
      <c r="T2082" t="s">
        <v>111</v>
      </c>
      <c r="U2082" t="s">
        <v>111</v>
      </c>
      <c r="V2082" t="s">
        <v>11189</v>
      </c>
      <c r="W2082" t="s">
        <v>43</v>
      </c>
      <c r="X2082" t="s">
        <v>11034</v>
      </c>
      <c r="Y2082" t="s">
        <v>44</v>
      </c>
      <c r="Z2082" t="s">
        <v>44</v>
      </c>
      <c r="AA2082" t="s">
        <v>11035</v>
      </c>
      <c r="AB2082" t="s">
        <v>44</v>
      </c>
      <c r="AC2082" s="4">
        <v>6.3145418700000002</v>
      </c>
      <c r="AD2082" s="4">
        <v>6.1388379000000004</v>
      </c>
      <c r="AE2082" s="2">
        <v>6.31</v>
      </c>
      <c r="AF2082" s="4">
        <v>6.1388379000000004</v>
      </c>
      <c r="AG2082" s="2">
        <v>0.3</v>
      </c>
      <c r="AH2082" s="2">
        <v>9304144.5700000003</v>
      </c>
      <c r="AI2082" s="2">
        <v>0.02</v>
      </c>
      <c r="AJ2082" s="5">
        <v>44673</v>
      </c>
      <c r="AK2082" t="s">
        <v>12268</v>
      </c>
      <c r="AL2082" s="2">
        <v>6.22</v>
      </c>
      <c r="AM2082" s="2">
        <v>8.2200000000000006</v>
      </c>
      <c r="AN2082" s="2">
        <v>0.21</v>
      </c>
      <c r="AO2082" t="s">
        <v>11036</v>
      </c>
      <c r="AP2082" t="s">
        <v>11921</v>
      </c>
      <c r="AQ2082" t="s">
        <v>11920</v>
      </c>
    </row>
    <row r="2083" spans="1:43" x14ac:dyDescent="0.2">
      <c r="A2083" t="s">
        <v>12267</v>
      </c>
      <c r="B2083" t="s">
        <v>10900</v>
      </c>
      <c r="C2083" t="s">
        <v>10943</v>
      </c>
      <c r="D2083" t="s">
        <v>11962</v>
      </c>
      <c r="E2083" t="s">
        <v>11963</v>
      </c>
      <c r="F2083" t="s">
        <v>11962</v>
      </c>
      <c r="G2083" s="1">
        <v>1100000</v>
      </c>
      <c r="H2083" s="2">
        <v>1128134.79</v>
      </c>
      <c r="I2083" s="2">
        <v>1127483.69</v>
      </c>
      <c r="J2083" s="2">
        <v>20586.580000000002</v>
      </c>
      <c r="K2083" s="2">
        <v>0</v>
      </c>
      <c r="L2083" s="2">
        <v>1148070.27</v>
      </c>
      <c r="M2083" s="3">
        <v>8.2411139999999996</v>
      </c>
      <c r="N2083" s="4">
        <v>2.6119799999999999E-3</v>
      </c>
      <c r="O2083" s="5">
        <v>44686</v>
      </c>
      <c r="P2083" s="5">
        <v>45874</v>
      </c>
      <c r="Q2083" s="1">
        <v>9.1080000000000005</v>
      </c>
      <c r="R2083" s="2">
        <v>0.03</v>
      </c>
      <c r="S2083" s="6">
        <v>-1.210173591E-2</v>
      </c>
      <c r="T2083" t="s">
        <v>111</v>
      </c>
      <c r="U2083" t="s">
        <v>111</v>
      </c>
      <c r="V2083" t="s">
        <v>11189</v>
      </c>
      <c r="W2083" t="s">
        <v>43</v>
      </c>
      <c r="X2083" t="s">
        <v>11034</v>
      </c>
      <c r="Y2083" t="s">
        <v>44</v>
      </c>
      <c r="Z2083" t="s">
        <v>44</v>
      </c>
      <c r="AA2083" t="s">
        <v>11035</v>
      </c>
      <c r="AB2083" t="s">
        <v>44</v>
      </c>
      <c r="AC2083" s="4">
        <v>8.4109039299999999</v>
      </c>
      <c r="AD2083" s="4">
        <v>8.1030845599999992</v>
      </c>
      <c r="AE2083" s="2">
        <v>8.41</v>
      </c>
      <c r="AF2083" s="4">
        <v>8.1030845599999992</v>
      </c>
      <c r="AG2083" s="2">
        <v>0.04</v>
      </c>
      <c r="AH2083" s="2">
        <v>1148070.27</v>
      </c>
      <c r="AI2083" s="2">
        <v>0</v>
      </c>
      <c r="AJ2083" s="5">
        <v>44673</v>
      </c>
      <c r="AK2083" t="s">
        <v>12268</v>
      </c>
      <c r="AL2083" s="2">
        <v>8.24</v>
      </c>
      <c r="AM2083" s="2">
        <v>9.11</v>
      </c>
      <c r="AN2083" s="2">
        <v>-0.01</v>
      </c>
      <c r="AO2083" t="s">
        <v>11036</v>
      </c>
      <c r="AP2083" t="s">
        <v>11964</v>
      </c>
      <c r="AQ2083" t="s">
        <v>11963</v>
      </c>
    </row>
    <row r="2084" spans="1:43" x14ac:dyDescent="0.2">
      <c r="A2084" t="s">
        <v>12267</v>
      </c>
      <c r="B2084" t="s">
        <v>10900</v>
      </c>
      <c r="C2084" t="s">
        <v>10943</v>
      </c>
      <c r="D2084" t="s">
        <v>11582</v>
      </c>
      <c r="E2084" t="s">
        <v>11583</v>
      </c>
      <c r="F2084" t="s">
        <v>11582</v>
      </c>
      <c r="G2084" s="1">
        <v>17500000</v>
      </c>
      <c r="H2084" s="2">
        <v>17500000</v>
      </c>
      <c r="I2084" s="2">
        <v>17500364.629999999</v>
      </c>
      <c r="J2084" s="2">
        <v>79369.45</v>
      </c>
      <c r="K2084" s="2">
        <v>0</v>
      </c>
      <c r="L2084" s="2">
        <v>17579734.079999998</v>
      </c>
      <c r="M2084" s="3">
        <v>6.2543709999999999</v>
      </c>
      <c r="N2084" s="4">
        <v>3.9995790000000003E-2</v>
      </c>
      <c r="O2084" s="5">
        <v>44739</v>
      </c>
      <c r="P2084" s="5">
        <v>46383</v>
      </c>
      <c r="Q2084" s="1">
        <v>6.367</v>
      </c>
      <c r="R2084" s="2">
        <v>0.17</v>
      </c>
      <c r="S2084" s="6">
        <v>0.11195984108699999</v>
      </c>
      <c r="T2084" t="s">
        <v>111</v>
      </c>
      <c r="U2084" t="s">
        <v>111</v>
      </c>
      <c r="V2084" t="s">
        <v>11189</v>
      </c>
      <c r="W2084" t="s">
        <v>43</v>
      </c>
      <c r="X2084" t="s">
        <v>11034</v>
      </c>
      <c r="Y2084" t="s">
        <v>44</v>
      </c>
      <c r="Z2084" t="s">
        <v>44</v>
      </c>
      <c r="AA2084" t="s">
        <v>11035</v>
      </c>
      <c r="AB2084" t="s">
        <v>44</v>
      </c>
      <c r="AC2084" s="4">
        <v>6.3521637200000001</v>
      </c>
      <c r="AD2084" s="4">
        <v>6.1744004700000001</v>
      </c>
      <c r="AE2084" s="2">
        <v>6.35</v>
      </c>
      <c r="AF2084" s="4">
        <v>6.1744004700000001</v>
      </c>
      <c r="AG2084" s="2">
        <v>0.56999999999999995</v>
      </c>
      <c r="AH2084" s="2">
        <v>17579734.079999998</v>
      </c>
      <c r="AI2084" s="2">
        <v>0.04</v>
      </c>
      <c r="AJ2084" s="5">
        <v>44673</v>
      </c>
      <c r="AK2084" t="s">
        <v>12268</v>
      </c>
      <c r="AL2084" s="2">
        <v>6.25</v>
      </c>
      <c r="AM2084" s="2">
        <v>6.37</v>
      </c>
      <c r="AN2084" s="2">
        <v>0.11</v>
      </c>
      <c r="AO2084" t="s">
        <v>11036</v>
      </c>
      <c r="AP2084" t="s">
        <v>11584</v>
      </c>
      <c r="AQ2084" t="s">
        <v>11583</v>
      </c>
    </row>
    <row r="2085" spans="1:43" x14ac:dyDescent="0.2">
      <c r="A2085" t="s">
        <v>12267</v>
      </c>
      <c r="B2085" t="s">
        <v>10900</v>
      </c>
      <c r="C2085" t="s">
        <v>10943</v>
      </c>
      <c r="D2085" t="s">
        <v>11585</v>
      </c>
      <c r="E2085" t="s">
        <v>11586</v>
      </c>
      <c r="F2085" t="s">
        <v>11585</v>
      </c>
      <c r="G2085" s="1">
        <v>800000</v>
      </c>
      <c r="H2085" s="2">
        <v>820362.23</v>
      </c>
      <c r="I2085" s="2">
        <v>832817.55</v>
      </c>
      <c r="J2085" s="2">
        <v>8993.32</v>
      </c>
      <c r="K2085" s="2">
        <v>0</v>
      </c>
      <c r="L2085" s="2">
        <v>841810.87</v>
      </c>
      <c r="M2085" s="3">
        <v>7.7660200000000001</v>
      </c>
      <c r="N2085" s="4">
        <v>1.9152100000000001E-3</v>
      </c>
      <c r="O2085" s="5">
        <v>44720</v>
      </c>
      <c r="P2085" s="5">
        <v>46273</v>
      </c>
      <c r="Q2085" s="1">
        <v>8.92</v>
      </c>
      <c r="R2085" s="2">
        <v>0.12</v>
      </c>
      <c r="S2085" s="6">
        <v>0.10556959685300001</v>
      </c>
      <c r="T2085" t="s">
        <v>111</v>
      </c>
      <c r="U2085" t="s">
        <v>111</v>
      </c>
      <c r="V2085" t="s">
        <v>11189</v>
      </c>
      <c r="W2085" t="s">
        <v>43</v>
      </c>
      <c r="X2085" t="s">
        <v>11034</v>
      </c>
      <c r="Y2085" t="s">
        <v>44</v>
      </c>
      <c r="Z2085" t="s">
        <v>44</v>
      </c>
      <c r="AA2085" t="s">
        <v>11035</v>
      </c>
      <c r="AB2085" t="s">
        <v>44</v>
      </c>
      <c r="AC2085" s="4">
        <v>7.9167972899999999</v>
      </c>
      <c r="AD2085" s="4">
        <v>7.6432735200000002</v>
      </c>
      <c r="AE2085" s="2">
        <v>7.92</v>
      </c>
      <c r="AF2085" s="4">
        <v>7.6432735200000002</v>
      </c>
      <c r="AG2085" s="2">
        <v>0.03</v>
      </c>
      <c r="AH2085" s="2">
        <v>841810.87</v>
      </c>
      <c r="AI2085" s="2">
        <v>0</v>
      </c>
      <c r="AJ2085" s="5">
        <v>44673</v>
      </c>
      <c r="AK2085" t="s">
        <v>12268</v>
      </c>
      <c r="AL2085" s="2">
        <v>7.77</v>
      </c>
      <c r="AM2085" s="2">
        <v>8.92</v>
      </c>
      <c r="AN2085" s="2">
        <v>0.11</v>
      </c>
      <c r="AO2085" t="s">
        <v>11036</v>
      </c>
      <c r="AP2085" t="s">
        <v>11587</v>
      </c>
      <c r="AQ2085" t="s">
        <v>11586</v>
      </c>
    </row>
    <row r="2086" spans="1:43" x14ac:dyDescent="0.2">
      <c r="A2086" t="s">
        <v>12267</v>
      </c>
      <c r="B2086" t="s">
        <v>10900</v>
      </c>
      <c r="C2086" t="s">
        <v>10943</v>
      </c>
      <c r="D2086" t="s">
        <v>11588</v>
      </c>
      <c r="E2086" t="s">
        <v>11589</v>
      </c>
      <c r="F2086" t="s">
        <v>11588</v>
      </c>
      <c r="G2086" s="1">
        <v>17500000</v>
      </c>
      <c r="H2086" s="2">
        <v>17500000</v>
      </c>
      <c r="I2086" s="2">
        <v>17500002.870000001</v>
      </c>
      <c r="J2086" s="2">
        <v>103179.04</v>
      </c>
      <c r="K2086" s="2">
        <v>0</v>
      </c>
      <c r="L2086" s="2">
        <v>17603181.91</v>
      </c>
      <c r="M2086" s="3">
        <v>8.1643709999999992</v>
      </c>
      <c r="N2086" s="4">
        <v>4.0049130000000002E-2</v>
      </c>
      <c r="O2086" s="5">
        <v>44739</v>
      </c>
      <c r="P2086" s="5">
        <v>46383</v>
      </c>
      <c r="Q2086" s="1">
        <v>8.2769999999999992</v>
      </c>
      <c r="R2086" s="2">
        <v>0.17</v>
      </c>
      <c r="S2086" s="6">
        <v>6.6173810217000001E-2</v>
      </c>
      <c r="T2086" t="s">
        <v>111</v>
      </c>
      <c r="U2086" t="s">
        <v>111</v>
      </c>
      <c r="V2086" t="s">
        <v>11189</v>
      </c>
      <c r="W2086" t="s">
        <v>43</v>
      </c>
      <c r="X2086" t="s">
        <v>11034</v>
      </c>
      <c r="Y2086" t="s">
        <v>44</v>
      </c>
      <c r="Z2086" t="s">
        <v>44</v>
      </c>
      <c r="AA2086" t="s">
        <v>11035</v>
      </c>
      <c r="AB2086" t="s">
        <v>44</v>
      </c>
      <c r="AC2086" s="4">
        <v>8.3310132100000001</v>
      </c>
      <c r="AD2086" s="4">
        <v>8.0288693599999998</v>
      </c>
      <c r="AE2086" s="2">
        <v>8.33</v>
      </c>
      <c r="AF2086" s="4">
        <v>8.0288693599999998</v>
      </c>
      <c r="AG2086" s="2">
        <v>0.56999999999999995</v>
      </c>
      <c r="AH2086" s="2">
        <v>17603181.91</v>
      </c>
      <c r="AI2086" s="2">
        <v>0.04</v>
      </c>
      <c r="AJ2086" s="5">
        <v>44673</v>
      </c>
      <c r="AK2086" t="s">
        <v>12268</v>
      </c>
      <c r="AL2086" s="2">
        <v>8.16</v>
      </c>
      <c r="AM2086" s="2">
        <v>8.2799999999999994</v>
      </c>
      <c r="AN2086" s="2">
        <v>7.0000000000000007E-2</v>
      </c>
      <c r="AO2086" t="s">
        <v>11036</v>
      </c>
      <c r="AP2086" t="s">
        <v>11590</v>
      </c>
      <c r="AQ2086" t="s">
        <v>11589</v>
      </c>
    </row>
    <row r="2087" spans="1:43" x14ac:dyDescent="0.2">
      <c r="A2087" t="s">
        <v>12267</v>
      </c>
      <c r="B2087" t="s">
        <v>10900</v>
      </c>
      <c r="C2087" t="s">
        <v>10943</v>
      </c>
      <c r="D2087" t="s">
        <v>11135</v>
      </c>
      <c r="E2087" t="s">
        <v>10946</v>
      </c>
      <c r="F2087" t="s">
        <v>11135</v>
      </c>
      <c r="G2087" s="1">
        <v>138731000</v>
      </c>
      <c r="H2087" s="2">
        <v>156387269.96000001</v>
      </c>
      <c r="I2087" s="2">
        <v>150721450.96000001</v>
      </c>
      <c r="J2087" s="2">
        <v>4908796.8899999997</v>
      </c>
      <c r="K2087" s="2">
        <v>0</v>
      </c>
      <c r="L2087" s="2">
        <v>155630247.84999999</v>
      </c>
      <c r="M2087" s="3">
        <v>8.2249999999999996</v>
      </c>
      <c r="N2087" s="4">
        <v>0.35407557000000001</v>
      </c>
      <c r="O2087" s="5">
        <v>44733</v>
      </c>
      <c r="P2087" s="5">
        <v>46377</v>
      </c>
      <c r="Q2087" s="1">
        <v>10.5</v>
      </c>
      <c r="R2087" s="2">
        <v>3.72</v>
      </c>
      <c r="S2087" s="6">
        <v>3.572672968</v>
      </c>
      <c r="T2087" t="s">
        <v>111</v>
      </c>
      <c r="U2087" t="s">
        <v>111</v>
      </c>
      <c r="V2087" t="s">
        <v>10944</v>
      </c>
      <c r="W2087" t="s">
        <v>43</v>
      </c>
      <c r="X2087" t="s">
        <v>10945</v>
      </c>
      <c r="Y2087" t="s">
        <v>44</v>
      </c>
      <c r="Z2087" t="s">
        <v>44</v>
      </c>
      <c r="AA2087" t="s">
        <v>10913</v>
      </c>
      <c r="AB2087" t="s">
        <v>44</v>
      </c>
      <c r="AC2087" s="4">
        <v>8.3941265600000001</v>
      </c>
      <c r="AD2087" s="4">
        <v>8.0875032299999994</v>
      </c>
      <c r="AE2087" s="2">
        <v>8.39</v>
      </c>
      <c r="AF2087" s="4">
        <v>8.0875032299999994</v>
      </c>
      <c r="AG2087" s="2">
        <v>5.01</v>
      </c>
      <c r="AH2087" s="2">
        <v>155630247.84999999</v>
      </c>
      <c r="AI2087" s="2">
        <v>0.35</v>
      </c>
      <c r="AJ2087" s="5">
        <v>44673</v>
      </c>
      <c r="AK2087" t="s">
        <v>12268</v>
      </c>
      <c r="AL2087" s="2">
        <v>8.23</v>
      </c>
      <c r="AM2087" s="2">
        <v>10.5</v>
      </c>
      <c r="AN2087" s="2">
        <v>3.57</v>
      </c>
      <c r="AO2087" t="s">
        <v>10922</v>
      </c>
      <c r="AP2087" t="s">
        <v>11136</v>
      </c>
      <c r="AQ2087" t="s">
        <v>10946</v>
      </c>
    </row>
    <row r="2088" spans="1:43" x14ac:dyDescent="0.2">
      <c r="A2088" t="s">
        <v>12267</v>
      </c>
      <c r="B2088" t="s">
        <v>10900</v>
      </c>
      <c r="C2088" t="s">
        <v>10943</v>
      </c>
      <c r="D2088" t="s">
        <v>12281</v>
      </c>
      <c r="E2088" t="s">
        <v>12282</v>
      </c>
      <c r="F2088" t="s">
        <v>12281</v>
      </c>
      <c r="G2088" s="1">
        <v>50000000</v>
      </c>
      <c r="H2088" s="2">
        <v>51032598.439999998</v>
      </c>
      <c r="I2088" s="2">
        <v>51625242.450000003</v>
      </c>
      <c r="J2088" s="2">
        <v>271400</v>
      </c>
      <c r="K2088" s="2">
        <v>0</v>
      </c>
      <c r="L2088" s="2">
        <v>51896642.450000003</v>
      </c>
      <c r="M2088" s="3">
        <v>7.4887519999999999</v>
      </c>
      <c r="N2088" s="4">
        <v>0.11807044999999999</v>
      </c>
      <c r="O2088" s="5">
        <v>44742</v>
      </c>
      <c r="P2088" s="5">
        <v>46112</v>
      </c>
      <c r="Q2088" s="1">
        <v>8.6140000000000008</v>
      </c>
      <c r="R2088" s="2">
        <v>0.18</v>
      </c>
      <c r="S2088" s="6">
        <v>0.15356772898599999</v>
      </c>
      <c r="T2088" t="s">
        <v>111</v>
      </c>
      <c r="U2088" t="s">
        <v>111</v>
      </c>
      <c r="V2088" t="s">
        <v>11189</v>
      </c>
      <c r="W2088" t="s">
        <v>43</v>
      </c>
      <c r="X2088" t="s">
        <v>11034</v>
      </c>
      <c r="Y2088" t="s">
        <v>44</v>
      </c>
      <c r="Z2088" t="s">
        <v>44</v>
      </c>
      <c r="AA2088" t="s">
        <v>10979</v>
      </c>
      <c r="AB2088" t="s">
        <v>44</v>
      </c>
      <c r="AC2088" s="4">
        <v>7.6289555299999998</v>
      </c>
      <c r="AD2088" s="4">
        <v>7.3745203000000004</v>
      </c>
      <c r="AE2088" s="2">
        <v>7.63</v>
      </c>
      <c r="AF2088" s="4">
        <v>7.3745203000000004</v>
      </c>
      <c r="AG2088" s="2">
        <v>1.67</v>
      </c>
      <c r="AH2088" s="2">
        <v>51896642.450000003</v>
      </c>
      <c r="AI2088" s="2">
        <v>0.12</v>
      </c>
      <c r="AJ2088" s="5">
        <v>44673</v>
      </c>
      <c r="AK2088" t="s">
        <v>12268</v>
      </c>
      <c r="AL2088" s="2">
        <v>7.49</v>
      </c>
      <c r="AM2088" s="2">
        <v>8.61</v>
      </c>
      <c r="AN2088" s="2">
        <v>0.15</v>
      </c>
      <c r="AO2088" t="s">
        <v>11179</v>
      </c>
      <c r="AP2088" t="s">
        <v>12283</v>
      </c>
      <c r="AQ2088" t="s">
        <v>12282</v>
      </c>
    </row>
    <row r="2089" spans="1:43" x14ac:dyDescent="0.2">
      <c r="A2089" t="s">
        <v>12267</v>
      </c>
      <c r="B2089" t="s">
        <v>10900</v>
      </c>
      <c r="C2089" t="s">
        <v>10943</v>
      </c>
      <c r="D2089" t="s">
        <v>12863</v>
      </c>
      <c r="E2089" t="s">
        <v>12864</v>
      </c>
      <c r="F2089" t="s">
        <v>12863</v>
      </c>
      <c r="G2089" s="1">
        <v>18400000</v>
      </c>
      <c r="H2089" s="2">
        <v>18400000</v>
      </c>
      <c r="I2089" s="2">
        <v>18420900.52</v>
      </c>
      <c r="J2089" s="2">
        <v>65792.350000000006</v>
      </c>
      <c r="K2089" s="2">
        <v>0</v>
      </c>
      <c r="L2089" s="2">
        <v>18486692.870000001</v>
      </c>
      <c r="M2089" s="3">
        <v>8.0409749999999995</v>
      </c>
      <c r="N2089" s="4">
        <v>4.2059220000000001E-2</v>
      </c>
      <c r="O2089" s="5">
        <v>44750</v>
      </c>
      <c r="P2089" s="5">
        <v>46485</v>
      </c>
      <c r="Q2089" s="1">
        <v>8.157</v>
      </c>
      <c r="R2089" s="2">
        <v>0.2</v>
      </c>
      <c r="S2089" s="6">
        <v>9.4975697833E-2</v>
      </c>
      <c r="T2089" t="s">
        <v>111</v>
      </c>
      <c r="U2089" t="s">
        <v>111</v>
      </c>
      <c r="V2089" t="s">
        <v>11189</v>
      </c>
      <c r="W2089" t="s">
        <v>43</v>
      </c>
      <c r="X2089" t="s">
        <v>11034</v>
      </c>
      <c r="Y2089" t="s">
        <v>44</v>
      </c>
      <c r="Z2089" t="s">
        <v>44</v>
      </c>
      <c r="AA2089" t="s">
        <v>11035</v>
      </c>
      <c r="AB2089" t="s">
        <v>44</v>
      </c>
      <c r="AC2089" s="4">
        <v>8.2026182599999995</v>
      </c>
      <c r="AD2089" s="4">
        <v>7.9094905600000001</v>
      </c>
      <c r="AE2089" s="2">
        <v>8.1999999999999993</v>
      </c>
      <c r="AF2089" s="4">
        <v>7.9094905600000001</v>
      </c>
      <c r="AG2089" s="2">
        <v>0.6</v>
      </c>
      <c r="AH2089" s="2">
        <v>18486692.870000001</v>
      </c>
      <c r="AI2089" s="2">
        <v>0.04</v>
      </c>
      <c r="AJ2089" s="5">
        <v>44673</v>
      </c>
      <c r="AK2089" t="s">
        <v>12268</v>
      </c>
      <c r="AL2089" s="2">
        <v>8.0399999999999991</v>
      </c>
      <c r="AM2089" s="2">
        <v>8.16</v>
      </c>
      <c r="AN2089" s="2">
        <v>0.09</v>
      </c>
      <c r="AO2089" t="s">
        <v>11496</v>
      </c>
      <c r="AP2089" t="s">
        <v>12865</v>
      </c>
      <c r="AQ2089" t="s">
        <v>12864</v>
      </c>
    </row>
    <row r="2090" spans="1:43" x14ac:dyDescent="0.2">
      <c r="A2090" t="s">
        <v>12267</v>
      </c>
      <c r="B2090" t="s">
        <v>10900</v>
      </c>
      <c r="C2090" t="s">
        <v>10943</v>
      </c>
      <c r="D2090" t="s">
        <v>11248</v>
      </c>
      <c r="E2090" t="s">
        <v>11249</v>
      </c>
      <c r="F2090" t="s">
        <v>11248</v>
      </c>
      <c r="G2090" s="1">
        <v>257000</v>
      </c>
      <c r="H2090" s="2">
        <v>256358.3</v>
      </c>
      <c r="I2090" s="2">
        <v>271885.40999999997</v>
      </c>
      <c r="J2090" s="2">
        <v>11251.32</v>
      </c>
      <c r="K2090" s="2">
        <v>0</v>
      </c>
      <c r="L2090" s="2">
        <v>283136.73</v>
      </c>
      <c r="M2090" s="3">
        <v>8.3450000000000006</v>
      </c>
      <c r="N2090" s="4">
        <v>6.4417000000000001E-4</v>
      </c>
      <c r="O2090" s="5">
        <v>44697</v>
      </c>
      <c r="P2090" s="5">
        <v>46157</v>
      </c>
      <c r="Q2090" s="1">
        <v>10.050000000000001</v>
      </c>
      <c r="R2090" s="2">
        <v>3.31</v>
      </c>
      <c r="S2090" s="6">
        <v>3.1777010620000001</v>
      </c>
      <c r="T2090" t="s">
        <v>111</v>
      </c>
      <c r="U2090" t="s">
        <v>111</v>
      </c>
      <c r="V2090" t="s">
        <v>10944</v>
      </c>
      <c r="W2090" t="s">
        <v>43</v>
      </c>
      <c r="X2090" t="s">
        <v>10988</v>
      </c>
      <c r="Y2090" t="s">
        <v>44</v>
      </c>
      <c r="Z2090" t="s">
        <v>44</v>
      </c>
      <c r="AA2090" t="s">
        <v>10979</v>
      </c>
      <c r="AB2090" t="s">
        <v>44</v>
      </c>
      <c r="AC2090" s="4">
        <v>8.5190975600000005</v>
      </c>
      <c r="AD2090" s="4">
        <v>8.2035121199999992</v>
      </c>
      <c r="AE2090" s="2">
        <v>8.52</v>
      </c>
      <c r="AF2090" s="4">
        <v>8.2035121199999992</v>
      </c>
      <c r="AG2090" s="2">
        <v>0.01</v>
      </c>
      <c r="AH2090" s="2">
        <v>283136.73</v>
      </c>
      <c r="AI2090" s="2">
        <v>0</v>
      </c>
      <c r="AJ2090" s="5">
        <v>44673</v>
      </c>
      <c r="AK2090" t="s">
        <v>12268</v>
      </c>
      <c r="AL2090" s="2">
        <v>8.35</v>
      </c>
      <c r="AM2090" s="2">
        <v>10.050000000000001</v>
      </c>
      <c r="AN2090" s="2">
        <v>3.18</v>
      </c>
      <c r="AO2090" t="s">
        <v>11179</v>
      </c>
      <c r="AP2090" t="s">
        <v>11250</v>
      </c>
      <c r="AQ2090" t="s">
        <v>11249</v>
      </c>
    </row>
    <row r="2091" spans="1:43" x14ac:dyDescent="0.2">
      <c r="A2091" t="s">
        <v>12267</v>
      </c>
      <c r="B2091" t="s">
        <v>10900</v>
      </c>
      <c r="C2091" t="s">
        <v>10943</v>
      </c>
      <c r="D2091" t="s">
        <v>11855</v>
      </c>
      <c r="E2091" t="s">
        <v>11856</v>
      </c>
      <c r="F2091" t="s">
        <v>11855</v>
      </c>
      <c r="G2091" s="1">
        <v>1515000</v>
      </c>
      <c r="H2091" s="2">
        <v>1611777.47</v>
      </c>
      <c r="I2091" s="2">
        <v>1577939.46</v>
      </c>
      <c r="J2091" s="2">
        <v>53611.08</v>
      </c>
      <c r="K2091" s="2">
        <v>0</v>
      </c>
      <c r="L2091" s="2">
        <v>1631550.54</v>
      </c>
      <c r="M2091" s="3">
        <v>8.76</v>
      </c>
      <c r="N2091" s="4">
        <v>3.7119499999999999E-3</v>
      </c>
      <c r="O2091" s="5">
        <v>44724</v>
      </c>
      <c r="P2091" s="5">
        <v>46550</v>
      </c>
      <c r="Q2091" s="1">
        <v>9.7850000000000001</v>
      </c>
      <c r="R2091" s="2">
        <v>4.04</v>
      </c>
      <c r="S2091" s="6">
        <v>3.8707805450000001</v>
      </c>
      <c r="T2091" t="s">
        <v>111</v>
      </c>
      <c r="U2091" t="s">
        <v>111</v>
      </c>
      <c r="V2091" t="s">
        <v>10944</v>
      </c>
      <c r="W2091" t="s">
        <v>43</v>
      </c>
      <c r="X2091" t="s">
        <v>10988</v>
      </c>
      <c r="Y2091" t="s">
        <v>44</v>
      </c>
      <c r="Z2091" t="s">
        <v>44</v>
      </c>
      <c r="AA2091" t="s">
        <v>10979</v>
      </c>
      <c r="AB2091" t="s">
        <v>44</v>
      </c>
      <c r="AC2091" s="4">
        <v>8.9518439999999995</v>
      </c>
      <c r="AD2091" s="4">
        <v>8.6042807299999993</v>
      </c>
      <c r="AE2091" s="2">
        <v>8.9499999999999993</v>
      </c>
      <c r="AF2091" s="4">
        <v>8.6042807299999993</v>
      </c>
      <c r="AG2091" s="2">
        <v>0.05</v>
      </c>
      <c r="AH2091" s="2">
        <v>1631550.54</v>
      </c>
      <c r="AI2091" s="2">
        <v>0</v>
      </c>
      <c r="AJ2091" s="5">
        <v>44673</v>
      </c>
      <c r="AK2091" t="s">
        <v>12268</v>
      </c>
      <c r="AL2091" s="2">
        <v>8.76</v>
      </c>
      <c r="AM2091" s="2">
        <v>9.7899999999999991</v>
      </c>
      <c r="AN2091" s="2">
        <v>3.87</v>
      </c>
      <c r="AO2091" t="s">
        <v>11179</v>
      </c>
      <c r="AP2091" t="s">
        <v>11857</v>
      </c>
      <c r="AQ2091" t="s">
        <v>11856</v>
      </c>
    </row>
    <row r="2092" spans="1:43" x14ac:dyDescent="0.2">
      <c r="A2092" t="s">
        <v>12267</v>
      </c>
      <c r="B2092" t="s">
        <v>10900</v>
      </c>
      <c r="C2092" t="s">
        <v>10943</v>
      </c>
      <c r="D2092" t="s">
        <v>11858</v>
      </c>
      <c r="E2092" t="s">
        <v>11859</v>
      </c>
      <c r="F2092" t="s">
        <v>11858</v>
      </c>
      <c r="G2092" s="1">
        <v>43000000</v>
      </c>
      <c r="H2092" s="2">
        <v>43000000</v>
      </c>
      <c r="I2092" s="2">
        <v>41956484.600000001</v>
      </c>
      <c r="J2092" s="2">
        <v>894447.12</v>
      </c>
      <c r="K2092" s="2">
        <v>0</v>
      </c>
      <c r="L2092" s="2">
        <v>42850931.719999999</v>
      </c>
      <c r="M2092" s="3">
        <v>10.77</v>
      </c>
      <c r="N2092" s="4">
        <v>9.7490480000000004E-2</v>
      </c>
      <c r="O2092" s="5">
        <v>44780</v>
      </c>
      <c r="P2092" s="5">
        <v>47156</v>
      </c>
      <c r="Q2092" s="1">
        <v>10.26</v>
      </c>
      <c r="R2092" s="2">
        <v>4.92</v>
      </c>
      <c r="S2092" s="6">
        <v>4.6700968569999999</v>
      </c>
      <c r="T2092" t="s">
        <v>111</v>
      </c>
      <c r="U2092" t="s">
        <v>111</v>
      </c>
      <c r="V2092" t="s">
        <v>10944</v>
      </c>
      <c r="W2092" t="s">
        <v>43</v>
      </c>
      <c r="X2092" t="s">
        <v>44</v>
      </c>
      <c r="Y2092" t="s">
        <v>44</v>
      </c>
      <c r="Z2092" t="s">
        <v>44</v>
      </c>
      <c r="AA2092" t="s">
        <v>10979</v>
      </c>
      <c r="AB2092" t="s">
        <v>44</v>
      </c>
      <c r="AC2092" s="4">
        <v>11.059982249999999</v>
      </c>
      <c r="AD2092" s="4">
        <v>10.536009160000001</v>
      </c>
      <c r="AE2092" s="2">
        <v>11.06</v>
      </c>
      <c r="AF2092" s="4">
        <v>10.536009160000001</v>
      </c>
      <c r="AG2092" s="2">
        <v>1.38</v>
      </c>
      <c r="AH2092" s="2">
        <v>42850931.719999999</v>
      </c>
      <c r="AI2092" s="2">
        <v>0.1</v>
      </c>
      <c r="AJ2092" s="5">
        <v>44673</v>
      </c>
      <c r="AK2092" t="s">
        <v>12268</v>
      </c>
      <c r="AL2092" s="2">
        <v>10.77</v>
      </c>
      <c r="AM2092" s="2">
        <v>10.26</v>
      </c>
      <c r="AN2092" s="2">
        <v>4.67</v>
      </c>
      <c r="AO2092" t="s">
        <v>10982</v>
      </c>
      <c r="AP2092" t="s">
        <v>11860</v>
      </c>
      <c r="AQ2092" t="s">
        <v>11859</v>
      </c>
    </row>
    <row r="2093" spans="1:43" x14ac:dyDescent="0.2">
      <c r="A2093" t="s">
        <v>12267</v>
      </c>
      <c r="B2093" t="s">
        <v>10900</v>
      </c>
      <c r="C2093" t="s">
        <v>10943</v>
      </c>
      <c r="D2093" t="s">
        <v>11251</v>
      </c>
      <c r="E2093" t="s">
        <v>11252</v>
      </c>
      <c r="F2093" t="s">
        <v>11251</v>
      </c>
      <c r="G2093" s="1">
        <v>2708000</v>
      </c>
      <c r="H2093" s="2">
        <v>2528610.11</v>
      </c>
      <c r="I2093" s="2">
        <v>2564841.31</v>
      </c>
      <c r="J2093" s="2">
        <v>105649.1</v>
      </c>
      <c r="K2093" s="2">
        <v>0</v>
      </c>
      <c r="L2093" s="2">
        <v>2670490.41</v>
      </c>
      <c r="M2093" s="3">
        <v>10.175000000000001</v>
      </c>
      <c r="N2093" s="4">
        <v>6.0756500000000001E-3</v>
      </c>
      <c r="O2093" s="5">
        <v>44697</v>
      </c>
      <c r="P2093" s="5">
        <v>46705</v>
      </c>
      <c r="Q2093" s="1">
        <v>8.9</v>
      </c>
      <c r="R2093" s="2">
        <v>4.29</v>
      </c>
      <c r="S2093" s="6">
        <v>4.0791219989999998</v>
      </c>
      <c r="T2093" t="s">
        <v>111</v>
      </c>
      <c r="U2093" t="s">
        <v>111</v>
      </c>
      <c r="V2093" t="s">
        <v>10944</v>
      </c>
      <c r="W2093" t="s">
        <v>43</v>
      </c>
      <c r="X2093" t="s">
        <v>10988</v>
      </c>
      <c r="Y2093" t="s">
        <v>44</v>
      </c>
      <c r="Z2093" t="s">
        <v>44</v>
      </c>
      <c r="AA2093" t="s">
        <v>10979</v>
      </c>
      <c r="AB2093" t="s">
        <v>44</v>
      </c>
      <c r="AC2093" s="4">
        <v>10.43382656</v>
      </c>
      <c r="AD2093" s="4">
        <v>9.9657844200000003</v>
      </c>
      <c r="AE2093" s="2">
        <v>10.43</v>
      </c>
      <c r="AF2093" s="4">
        <v>9.9657844200000003</v>
      </c>
      <c r="AG2093" s="2">
        <v>0.09</v>
      </c>
      <c r="AH2093" s="2">
        <v>2670490.41</v>
      </c>
      <c r="AI2093" s="2">
        <v>0.01</v>
      </c>
      <c r="AJ2093" s="5">
        <v>44673</v>
      </c>
      <c r="AK2093" t="s">
        <v>12268</v>
      </c>
      <c r="AL2093" s="2">
        <v>10.18</v>
      </c>
      <c r="AM2093" s="2">
        <v>8.9</v>
      </c>
      <c r="AN2093" s="2">
        <v>4.08</v>
      </c>
      <c r="AO2093" t="s">
        <v>10982</v>
      </c>
      <c r="AP2093" t="s">
        <v>11253</v>
      </c>
      <c r="AQ2093" t="s">
        <v>11252</v>
      </c>
    </row>
    <row r="2094" spans="1:43" x14ac:dyDescent="0.2">
      <c r="A2094" t="s">
        <v>12267</v>
      </c>
      <c r="B2094" t="s">
        <v>10900</v>
      </c>
      <c r="C2094" t="s">
        <v>10943</v>
      </c>
      <c r="D2094" t="s">
        <v>11254</v>
      </c>
      <c r="E2094" t="s">
        <v>11255</v>
      </c>
      <c r="F2094" t="s">
        <v>11254</v>
      </c>
      <c r="G2094" s="1">
        <v>850000</v>
      </c>
      <c r="H2094" s="2">
        <v>826688.69</v>
      </c>
      <c r="I2094" s="2">
        <v>862246.89</v>
      </c>
      <c r="J2094" s="2">
        <v>13937.67</v>
      </c>
      <c r="K2094" s="2">
        <v>0</v>
      </c>
      <c r="L2094" s="2">
        <v>876184.56</v>
      </c>
      <c r="M2094" s="3">
        <v>8.9849999999999994</v>
      </c>
      <c r="N2094" s="4">
        <v>1.9934100000000001E-3</v>
      </c>
      <c r="O2094" s="5">
        <v>44792</v>
      </c>
      <c r="P2094" s="5">
        <v>45888</v>
      </c>
      <c r="Q2094" s="1">
        <v>9.5</v>
      </c>
      <c r="R2094" s="2">
        <v>2.88</v>
      </c>
      <c r="S2094" s="6">
        <v>2.758619087</v>
      </c>
      <c r="T2094" t="s">
        <v>111</v>
      </c>
      <c r="U2094" t="s">
        <v>111</v>
      </c>
      <c r="V2094" t="s">
        <v>10944</v>
      </c>
      <c r="W2094" t="s">
        <v>43</v>
      </c>
      <c r="X2094" t="s">
        <v>10988</v>
      </c>
      <c r="Y2094" t="s">
        <v>44</v>
      </c>
      <c r="Z2094" t="s">
        <v>44</v>
      </c>
      <c r="AA2094" t="s">
        <v>10979</v>
      </c>
      <c r="AB2094" t="s">
        <v>44</v>
      </c>
      <c r="AC2094" s="4">
        <v>9.1868255600000008</v>
      </c>
      <c r="AD2094" s="4">
        <v>8.8212874400000008</v>
      </c>
      <c r="AE2094" s="2">
        <v>9.19</v>
      </c>
      <c r="AF2094" s="4">
        <v>8.8212874400000008</v>
      </c>
      <c r="AG2094" s="2">
        <v>0.03</v>
      </c>
      <c r="AH2094" s="2">
        <v>876184.56</v>
      </c>
      <c r="AI2094" s="2">
        <v>0</v>
      </c>
      <c r="AJ2094" s="5">
        <v>44673</v>
      </c>
      <c r="AK2094" t="s">
        <v>12268</v>
      </c>
      <c r="AL2094" s="2">
        <v>8.99</v>
      </c>
      <c r="AM2094" s="2">
        <v>9.5</v>
      </c>
      <c r="AN2094" s="2">
        <v>2.76</v>
      </c>
      <c r="AO2094" t="s">
        <v>10982</v>
      </c>
      <c r="AP2094" t="s">
        <v>11256</v>
      </c>
      <c r="AQ2094" t="s">
        <v>11255</v>
      </c>
    </row>
    <row r="2095" spans="1:43" x14ac:dyDescent="0.2">
      <c r="A2095" t="s">
        <v>12267</v>
      </c>
      <c r="B2095" t="s">
        <v>10900</v>
      </c>
      <c r="C2095" t="s">
        <v>10943</v>
      </c>
      <c r="D2095" t="s">
        <v>12284</v>
      </c>
      <c r="E2095" t="s">
        <v>12285</v>
      </c>
      <c r="F2095" t="s">
        <v>12284</v>
      </c>
      <c r="G2095" s="1">
        <v>30000000</v>
      </c>
      <c r="H2095" s="2">
        <v>30000000</v>
      </c>
      <c r="I2095" s="2">
        <v>30002627.649999999</v>
      </c>
      <c r="J2095" s="2">
        <v>383799.45</v>
      </c>
      <c r="K2095" s="2">
        <v>0</v>
      </c>
      <c r="L2095" s="2">
        <v>30386427.100000001</v>
      </c>
      <c r="M2095" s="3">
        <v>4.9272869999999998</v>
      </c>
      <c r="N2095" s="4">
        <v>6.9132390000000002E-2</v>
      </c>
      <c r="O2095" s="5">
        <v>44694</v>
      </c>
      <c r="P2095" s="5">
        <v>46247</v>
      </c>
      <c r="Q2095" s="1">
        <v>6.867</v>
      </c>
      <c r="R2095" s="2">
        <v>0.21</v>
      </c>
      <c r="S2095" s="6">
        <v>0.288627036108</v>
      </c>
      <c r="T2095" t="s">
        <v>111</v>
      </c>
      <c r="U2095" t="s">
        <v>111</v>
      </c>
      <c r="V2095" t="s">
        <v>11189</v>
      </c>
      <c r="W2095" t="s">
        <v>43</v>
      </c>
      <c r="X2095" t="s">
        <v>11034</v>
      </c>
      <c r="Y2095" t="s">
        <v>44</v>
      </c>
      <c r="Z2095" t="s">
        <v>44</v>
      </c>
      <c r="AA2095" t="s">
        <v>10979</v>
      </c>
      <c r="AB2095" t="s">
        <v>44</v>
      </c>
      <c r="AC2095" s="4">
        <v>4.9879819799999998</v>
      </c>
      <c r="AD2095" s="4">
        <v>4.8774555800000003</v>
      </c>
      <c r="AE2095" s="2">
        <v>4.99</v>
      </c>
      <c r="AF2095" s="4">
        <v>4.8774555800000003</v>
      </c>
      <c r="AG2095" s="2">
        <v>0.98</v>
      </c>
      <c r="AH2095" s="2">
        <v>30386427.100000001</v>
      </c>
      <c r="AI2095" s="2">
        <v>7.0000000000000007E-2</v>
      </c>
      <c r="AJ2095" s="5">
        <v>44673</v>
      </c>
      <c r="AK2095" t="s">
        <v>12268</v>
      </c>
      <c r="AL2095" s="2">
        <v>4.93</v>
      </c>
      <c r="AM2095" s="2">
        <v>6.87</v>
      </c>
      <c r="AN2095" s="2">
        <v>0.28999999999999998</v>
      </c>
      <c r="AO2095" t="s">
        <v>10982</v>
      </c>
      <c r="AP2095" t="s">
        <v>12286</v>
      </c>
      <c r="AQ2095" t="s">
        <v>12285</v>
      </c>
    </row>
    <row r="2096" spans="1:43" x14ac:dyDescent="0.2">
      <c r="A2096" t="s">
        <v>12267</v>
      </c>
      <c r="B2096" t="s">
        <v>10900</v>
      </c>
      <c r="C2096" t="s">
        <v>10943</v>
      </c>
      <c r="D2096" t="s">
        <v>12978</v>
      </c>
      <c r="E2096" t="s">
        <v>12979</v>
      </c>
      <c r="F2096" t="s">
        <v>12978</v>
      </c>
      <c r="G2096" s="1">
        <v>41460356</v>
      </c>
      <c r="H2096" s="2">
        <v>42670353.159999996</v>
      </c>
      <c r="I2096" s="2">
        <v>42457693.159999996</v>
      </c>
      <c r="J2096" s="2">
        <v>578116.39</v>
      </c>
      <c r="K2096" s="2">
        <v>0</v>
      </c>
      <c r="L2096" s="2">
        <v>43035809.549999997</v>
      </c>
      <c r="M2096" s="3">
        <v>10.525</v>
      </c>
      <c r="N2096" s="4">
        <v>9.7911100000000001E-2</v>
      </c>
      <c r="O2096" s="5">
        <v>44813</v>
      </c>
      <c r="P2096" s="5">
        <v>46090</v>
      </c>
      <c r="Q2096" s="1">
        <v>11.31</v>
      </c>
      <c r="R2096" s="2">
        <v>3.21</v>
      </c>
      <c r="S2096" s="6">
        <v>3.0471777879999999</v>
      </c>
      <c r="T2096" t="s">
        <v>111</v>
      </c>
      <c r="U2096" t="s">
        <v>111</v>
      </c>
      <c r="V2096" t="s">
        <v>10944</v>
      </c>
      <c r="W2096" t="s">
        <v>43</v>
      </c>
      <c r="X2096" t="s">
        <v>10988</v>
      </c>
      <c r="Y2096" t="s">
        <v>44</v>
      </c>
      <c r="Z2096" t="s">
        <v>44</v>
      </c>
      <c r="AA2096" t="s">
        <v>11441</v>
      </c>
      <c r="AB2096" t="s">
        <v>44</v>
      </c>
      <c r="AC2096" s="4">
        <v>10.80193906</v>
      </c>
      <c r="AD2096" s="4">
        <v>10.301373399999999</v>
      </c>
      <c r="AE2096" s="2">
        <v>10.8</v>
      </c>
      <c r="AF2096" s="4">
        <v>10.301373399999999</v>
      </c>
      <c r="AG2096" s="2">
        <v>1.39</v>
      </c>
      <c r="AH2096" s="2">
        <v>43035809.549999997</v>
      </c>
      <c r="AI2096" s="2">
        <v>0.1</v>
      </c>
      <c r="AJ2096" s="5">
        <v>44673</v>
      </c>
      <c r="AK2096" t="s">
        <v>12268</v>
      </c>
      <c r="AL2096" s="2">
        <v>10.52</v>
      </c>
      <c r="AM2096" s="2">
        <v>11.31</v>
      </c>
      <c r="AN2096" s="2">
        <v>3.05</v>
      </c>
      <c r="AO2096" t="s">
        <v>12980</v>
      </c>
      <c r="AP2096" t="s">
        <v>12981</v>
      </c>
      <c r="AQ2096" t="s">
        <v>12979</v>
      </c>
    </row>
    <row r="2097" spans="1:43" x14ac:dyDescent="0.2">
      <c r="A2097" t="s">
        <v>12267</v>
      </c>
      <c r="B2097" t="s">
        <v>10900</v>
      </c>
      <c r="C2097" t="s">
        <v>11137</v>
      </c>
      <c r="D2097" t="s">
        <v>12432</v>
      </c>
      <c r="E2097" t="s">
        <v>12433</v>
      </c>
      <c r="F2097" t="s">
        <v>12432</v>
      </c>
      <c r="G2097" s="1">
        <v>112400000</v>
      </c>
      <c r="H2097" s="2">
        <v>93967348.519999996</v>
      </c>
      <c r="I2097" s="2">
        <v>92383763.040000007</v>
      </c>
      <c r="J2097" s="2">
        <v>1164032.8799999999</v>
      </c>
      <c r="K2097" s="2">
        <v>0</v>
      </c>
      <c r="L2097" s="2">
        <v>93547795.920000002</v>
      </c>
      <c r="M2097" s="3">
        <v>10.085000000000001</v>
      </c>
      <c r="N2097" s="4">
        <v>0.21283131</v>
      </c>
      <c r="O2097" s="5">
        <v>44804</v>
      </c>
      <c r="P2097" s="5">
        <v>47907</v>
      </c>
      <c r="Q2097" s="1">
        <v>7</v>
      </c>
      <c r="R2097" s="2">
        <v>6.41</v>
      </c>
      <c r="S2097" s="6">
        <v>6.1024509699999996</v>
      </c>
      <c r="T2097" t="s">
        <v>111</v>
      </c>
      <c r="U2097" t="s">
        <v>111</v>
      </c>
      <c r="V2097" t="s">
        <v>10944</v>
      </c>
      <c r="W2097" t="s">
        <v>43</v>
      </c>
      <c r="X2097" t="s">
        <v>10945</v>
      </c>
      <c r="Y2097" t="s">
        <v>44</v>
      </c>
      <c r="Z2097" t="s">
        <v>44</v>
      </c>
      <c r="AA2097" t="s">
        <v>10913</v>
      </c>
      <c r="AB2097" t="s">
        <v>44</v>
      </c>
      <c r="AC2097" s="4">
        <v>10.33926806</v>
      </c>
      <c r="AD2097" s="4">
        <v>9.8794148499999999</v>
      </c>
      <c r="AE2097" s="2">
        <v>10.34</v>
      </c>
      <c r="AF2097" s="4">
        <v>9.8794148499999999</v>
      </c>
      <c r="AG2097" s="2">
        <v>3.01</v>
      </c>
      <c r="AH2097" s="2">
        <v>93547795.920000002</v>
      </c>
      <c r="AI2097" s="2">
        <v>0.21</v>
      </c>
      <c r="AJ2097" s="5">
        <v>44673</v>
      </c>
      <c r="AK2097" t="s">
        <v>12268</v>
      </c>
      <c r="AL2097" s="2">
        <v>10.08</v>
      </c>
      <c r="AM2097" s="2">
        <v>7</v>
      </c>
      <c r="AN2097" s="2">
        <v>6.1</v>
      </c>
      <c r="AO2097" t="s">
        <v>10922</v>
      </c>
      <c r="AP2097" t="s">
        <v>12434</v>
      </c>
      <c r="AQ2097" t="s">
        <v>12433</v>
      </c>
    </row>
    <row r="2098" spans="1:43" x14ac:dyDescent="0.2">
      <c r="A2098" t="s">
        <v>12267</v>
      </c>
      <c r="B2098" t="s">
        <v>10900</v>
      </c>
      <c r="C2098" t="s">
        <v>11137</v>
      </c>
      <c r="D2098" t="s">
        <v>11594</v>
      </c>
      <c r="E2098" t="s">
        <v>11595</v>
      </c>
      <c r="F2098" t="s">
        <v>11594</v>
      </c>
      <c r="G2098" s="1">
        <v>426980000</v>
      </c>
      <c r="H2098" s="2">
        <v>396390462.97000003</v>
      </c>
      <c r="I2098" s="2">
        <v>384961154.38999999</v>
      </c>
      <c r="J2098" s="2">
        <v>7673941.9199999999</v>
      </c>
      <c r="K2098" s="2">
        <v>0</v>
      </c>
      <c r="L2098" s="2">
        <v>392635096.31</v>
      </c>
      <c r="M2098" s="3">
        <v>9.84</v>
      </c>
      <c r="N2098" s="4">
        <v>0.89328711999999999</v>
      </c>
      <c r="O2098" s="5">
        <v>44774</v>
      </c>
      <c r="P2098" s="5">
        <v>47514</v>
      </c>
      <c r="Q2098" s="1">
        <v>8</v>
      </c>
      <c r="R2098" s="2">
        <v>5.71</v>
      </c>
      <c r="S2098" s="6">
        <v>5.4383328750000004</v>
      </c>
      <c r="T2098" t="s">
        <v>111</v>
      </c>
      <c r="U2098" t="s">
        <v>111</v>
      </c>
      <c r="V2098" t="s">
        <v>10944</v>
      </c>
      <c r="W2098" t="s">
        <v>43</v>
      </c>
      <c r="X2098" t="s">
        <v>10945</v>
      </c>
      <c r="Y2098" t="s">
        <v>44</v>
      </c>
      <c r="Z2098" t="s">
        <v>44</v>
      </c>
      <c r="AA2098" t="s">
        <v>10913</v>
      </c>
      <c r="AB2098" t="s">
        <v>44</v>
      </c>
      <c r="AC2098" s="4">
        <v>10.082064000000001</v>
      </c>
      <c r="AD2098" s="4">
        <v>9.6441413499999999</v>
      </c>
      <c r="AE2098" s="2">
        <v>10.08</v>
      </c>
      <c r="AF2098" s="4">
        <v>9.6441413499999999</v>
      </c>
      <c r="AG2098" s="2">
        <v>12.65</v>
      </c>
      <c r="AH2098" s="2">
        <v>392635096.31</v>
      </c>
      <c r="AI2098" s="2">
        <v>0.89</v>
      </c>
      <c r="AJ2098" s="5">
        <v>44673</v>
      </c>
      <c r="AK2098" t="s">
        <v>12268</v>
      </c>
      <c r="AL2098" s="2">
        <v>9.84</v>
      </c>
      <c r="AM2098" s="2">
        <v>8</v>
      </c>
      <c r="AN2098" s="2">
        <v>5.44</v>
      </c>
      <c r="AO2098" t="s">
        <v>10922</v>
      </c>
      <c r="AP2098" t="s">
        <v>11596</v>
      </c>
      <c r="AQ2098" t="s">
        <v>11595</v>
      </c>
    </row>
    <row r="2099" spans="1:43" x14ac:dyDescent="0.2">
      <c r="A2099" t="s">
        <v>12267</v>
      </c>
      <c r="B2099" t="s">
        <v>10900</v>
      </c>
      <c r="C2099" t="s">
        <v>11137</v>
      </c>
      <c r="D2099" t="s">
        <v>12435</v>
      </c>
      <c r="E2099" t="s">
        <v>12436</v>
      </c>
      <c r="F2099" t="s">
        <v>12435</v>
      </c>
      <c r="G2099" s="1">
        <v>105700000</v>
      </c>
      <c r="H2099" s="2">
        <v>94631245.329999998</v>
      </c>
      <c r="I2099" s="2">
        <v>92792814.450000003</v>
      </c>
      <c r="J2099" s="2">
        <v>549495.21</v>
      </c>
      <c r="K2099" s="2">
        <v>0</v>
      </c>
      <c r="L2099" s="2">
        <v>93342309.659999996</v>
      </c>
      <c r="M2099" s="3">
        <v>10.234999999999999</v>
      </c>
      <c r="N2099" s="4">
        <v>0.21236379999999999</v>
      </c>
      <c r="O2099" s="5">
        <v>44834</v>
      </c>
      <c r="P2099" s="5">
        <v>48304</v>
      </c>
      <c r="Q2099" s="1">
        <v>8.25</v>
      </c>
      <c r="R2099" s="2">
        <v>6.7</v>
      </c>
      <c r="S2099" s="6">
        <v>6.3768623690000004</v>
      </c>
      <c r="T2099" t="s">
        <v>111</v>
      </c>
      <c r="U2099" t="s">
        <v>111</v>
      </c>
      <c r="V2099" t="s">
        <v>10944</v>
      </c>
      <c r="W2099" t="s">
        <v>43</v>
      </c>
      <c r="X2099" t="s">
        <v>10945</v>
      </c>
      <c r="Y2099" t="s">
        <v>44</v>
      </c>
      <c r="Z2099" t="s">
        <v>44</v>
      </c>
      <c r="AA2099" t="s">
        <v>10913</v>
      </c>
      <c r="AB2099" t="s">
        <v>44</v>
      </c>
      <c r="AC2099" s="4">
        <v>10.49688806</v>
      </c>
      <c r="AD2099" s="4">
        <v>10.023347019999999</v>
      </c>
      <c r="AE2099" s="2">
        <v>10.5</v>
      </c>
      <c r="AF2099" s="4">
        <v>10.023347019999999</v>
      </c>
      <c r="AG2099" s="2">
        <v>3.01</v>
      </c>
      <c r="AH2099" s="2">
        <v>93342309.659999996</v>
      </c>
      <c r="AI2099" s="2">
        <v>0.21</v>
      </c>
      <c r="AJ2099" s="5">
        <v>44673</v>
      </c>
      <c r="AK2099" t="s">
        <v>12268</v>
      </c>
      <c r="AL2099" s="2">
        <v>10.23</v>
      </c>
      <c r="AM2099" s="2">
        <v>8.25</v>
      </c>
      <c r="AN2099" s="2">
        <v>6.38</v>
      </c>
      <c r="AO2099" t="s">
        <v>10922</v>
      </c>
      <c r="AP2099" t="s">
        <v>12437</v>
      </c>
      <c r="AQ2099" t="s">
        <v>12436</v>
      </c>
    </row>
    <row r="2100" spans="1:43" x14ac:dyDescent="0.2">
      <c r="A2100" t="s">
        <v>12267</v>
      </c>
      <c r="B2100" t="s">
        <v>10900</v>
      </c>
      <c r="C2100" t="s">
        <v>11137</v>
      </c>
      <c r="D2100" t="s">
        <v>12287</v>
      </c>
      <c r="E2100" t="s">
        <v>12288</v>
      </c>
      <c r="F2100" t="s">
        <v>12287</v>
      </c>
      <c r="G2100" s="1">
        <v>30000000</v>
      </c>
      <c r="H2100" s="2">
        <v>30534852.440000001</v>
      </c>
      <c r="I2100" s="2">
        <v>30036870</v>
      </c>
      <c r="J2100" s="2">
        <v>460035.62</v>
      </c>
      <c r="K2100" s="2">
        <v>0</v>
      </c>
      <c r="L2100" s="2">
        <v>30496905.620000001</v>
      </c>
      <c r="M2100" s="3">
        <v>10.34</v>
      </c>
      <c r="N2100" s="4">
        <v>6.9383739999999999E-2</v>
      </c>
      <c r="O2100" s="5">
        <v>44802</v>
      </c>
      <c r="P2100" s="5">
        <v>47723</v>
      </c>
      <c r="Q2100" s="1">
        <v>10.365</v>
      </c>
      <c r="R2100" s="2">
        <v>5.7</v>
      </c>
      <c r="S2100" s="6">
        <v>5.4164678860000004</v>
      </c>
      <c r="T2100" t="s">
        <v>111</v>
      </c>
      <c r="U2100" t="s">
        <v>111</v>
      </c>
      <c r="V2100" t="s">
        <v>10944</v>
      </c>
      <c r="W2100" t="s">
        <v>43</v>
      </c>
      <c r="X2100" t="s">
        <v>44</v>
      </c>
      <c r="Y2100" t="s">
        <v>44</v>
      </c>
      <c r="Z2100" t="s">
        <v>44</v>
      </c>
      <c r="AA2100" t="s">
        <v>10913</v>
      </c>
      <c r="AB2100" t="s">
        <v>44</v>
      </c>
      <c r="AC2100" s="4">
        <v>10.607289</v>
      </c>
      <c r="AD2100" s="4">
        <v>10.124048630000001</v>
      </c>
      <c r="AE2100" s="2">
        <v>10.61</v>
      </c>
      <c r="AF2100" s="4">
        <v>10.124048630000001</v>
      </c>
      <c r="AG2100" s="2">
        <v>0.98</v>
      </c>
      <c r="AH2100" s="2">
        <v>30496905.620000001</v>
      </c>
      <c r="AI2100" s="2">
        <v>7.0000000000000007E-2</v>
      </c>
      <c r="AJ2100" s="5">
        <v>44673</v>
      </c>
      <c r="AK2100" t="s">
        <v>12268</v>
      </c>
      <c r="AL2100" s="2">
        <v>10.34</v>
      </c>
      <c r="AM2100" s="2">
        <v>10.37</v>
      </c>
      <c r="AN2100" s="2">
        <v>5.42</v>
      </c>
      <c r="AO2100" t="s">
        <v>12289</v>
      </c>
      <c r="AP2100" t="s">
        <v>12290</v>
      </c>
      <c r="AQ2100" t="s">
        <v>12288</v>
      </c>
    </row>
    <row r="2101" spans="1:43" x14ac:dyDescent="0.2">
      <c r="A2101" t="s">
        <v>12267</v>
      </c>
      <c r="B2101" t="s">
        <v>10900</v>
      </c>
      <c r="C2101" t="s">
        <v>11137</v>
      </c>
      <c r="D2101" t="s">
        <v>11138</v>
      </c>
      <c r="E2101" t="s">
        <v>11139</v>
      </c>
      <c r="F2101" t="s">
        <v>11138</v>
      </c>
      <c r="G2101" s="1">
        <v>44700000</v>
      </c>
      <c r="H2101" s="2">
        <v>43580127.729999997</v>
      </c>
      <c r="I2101" s="2">
        <v>42741728.759999998</v>
      </c>
      <c r="J2101" s="2">
        <v>154306.85</v>
      </c>
      <c r="K2101" s="2">
        <v>0</v>
      </c>
      <c r="L2101" s="2">
        <v>42896035.609999999</v>
      </c>
      <c r="M2101" s="3">
        <v>11.316000000000001</v>
      </c>
      <c r="N2101" s="4">
        <v>9.7593100000000002E-2</v>
      </c>
      <c r="O2101" s="5">
        <v>44844</v>
      </c>
      <c r="P2101" s="5">
        <v>47765</v>
      </c>
      <c r="Q2101" s="1">
        <v>10.5</v>
      </c>
      <c r="R2101" s="2">
        <v>5.71</v>
      </c>
      <c r="S2101" s="6">
        <v>5.4077134439999996</v>
      </c>
      <c r="T2101" t="s">
        <v>111</v>
      </c>
      <c r="U2101" t="s">
        <v>111</v>
      </c>
      <c r="V2101" t="s">
        <v>10944</v>
      </c>
      <c r="W2101" t="s">
        <v>43</v>
      </c>
      <c r="X2101" t="s">
        <v>44</v>
      </c>
      <c r="Y2101" t="s">
        <v>44</v>
      </c>
      <c r="Z2101" t="s">
        <v>44</v>
      </c>
      <c r="AA2101" t="s">
        <v>10979</v>
      </c>
      <c r="AB2101" t="s">
        <v>44</v>
      </c>
      <c r="AC2101" s="4">
        <v>11.63612964</v>
      </c>
      <c r="AD2101" s="4">
        <v>11.058095140000001</v>
      </c>
      <c r="AE2101" s="2">
        <v>11.64</v>
      </c>
      <c r="AF2101" s="4">
        <v>11.058095140000001</v>
      </c>
      <c r="AG2101" s="2">
        <v>1.38</v>
      </c>
      <c r="AH2101" s="2">
        <v>42896035.609999999</v>
      </c>
      <c r="AI2101" s="2">
        <v>0.1</v>
      </c>
      <c r="AJ2101" s="5">
        <v>44673</v>
      </c>
      <c r="AK2101" t="s">
        <v>12268</v>
      </c>
      <c r="AL2101" s="2">
        <v>11.32</v>
      </c>
      <c r="AM2101" s="2">
        <v>10.5</v>
      </c>
      <c r="AN2101" s="2">
        <v>5.41</v>
      </c>
      <c r="AO2101" t="s">
        <v>10982</v>
      </c>
      <c r="AP2101" t="s">
        <v>11140</v>
      </c>
      <c r="AQ2101" t="s">
        <v>11139</v>
      </c>
    </row>
    <row r="2102" spans="1:43" x14ac:dyDescent="0.2">
      <c r="A2102" t="s">
        <v>12267</v>
      </c>
      <c r="B2102" t="s">
        <v>10900</v>
      </c>
      <c r="C2102" t="s">
        <v>10950</v>
      </c>
      <c r="D2102" t="s">
        <v>10983</v>
      </c>
      <c r="E2102" t="s">
        <v>10984</v>
      </c>
      <c r="F2102" t="s">
        <v>10983</v>
      </c>
      <c r="G2102" s="1">
        <v>345563000</v>
      </c>
      <c r="H2102" s="2">
        <v>285649488.47000003</v>
      </c>
      <c r="I2102" s="2">
        <v>288936455.10000002</v>
      </c>
      <c r="J2102" s="2">
        <v>6598833.1799999997</v>
      </c>
      <c r="K2102" s="2">
        <v>0</v>
      </c>
      <c r="L2102" s="2">
        <v>295535288.27999997</v>
      </c>
      <c r="M2102" s="3">
        <v>10.734999999999999</v>
      </c>
      <c r="N2102" s="4">
        <v>0.67237460000000004</v>
      </c>
      <c r="O2102" s="5">
        <v>44774</v>
      </c>
      <c r="P2102" s="5">
        <v>50071</v>
      </c>
      <c r="Q2102" s="1">
        <v>8.5</v>
      </c>
      <c r="R2102" s="2">
        <v>7.91</v>
      </c>
      <c r="S2102" s="6">
        <v>7.5106016819999999</v>
      </c>
      <c r="T2102" t="s">
        <v>111</v>
      </c>
      <c r="U2102" t="s">
        <v>111</v>
      </c>
      <c r="V2102" t="s">
        <v>10944</v>
      </c>
      <c r="W2102" t="s">
        <v>43</v>
      </c>
      <c r="X2102" t="s">
        <v>10945</v>
      </c>
      <c r="Y2102" t="s">
        <v>44</v>
      </c>
      <c r="Z2102" t="s">
        <v>44</v>
      </c>
      <c r="AA2102" t="s">
        <v>10913</v>
      </c>
      <c r="AB2102" t="s">
        <v>44</v>
      </c>
      <c r="AC2102" s="4">
        <v>11.02310056</v>
      </c>
      <c r="AD2102" s="4">
        <v>10.50250368</v>
      </c>
      <c r="AE2102" s="2">
        <v>11.02</v>
      </c>
      <c r="AF2102" s="4">
        <v>10.50250368</v>
      </c>
      <c r="AG2102" s="2">
        <v>9.52</v>
      </c>
      <c r="AH2102" s="2">
        <v>295535288.27999997</v>
      </c>
      <c r="AI2102" s="2">
        <v>0.67</v>
      </c>
      <c r="AJ2102" s="5">
        <v>44673</v>
      </c>
      <c r="AK2102" t="s">
        <v>12268</v>
      </c>
      <c r="AL2102" s="2">
        <v>10.73</v>
      </c>
      <c r="AM2102" s="2">
        <v>8.5</v>
      </c>
      <c r="AN2102" s="2">
        <v>7.51</v>
      </c>
      <c r="AO2102" t="s">
        <v>10922</v>
      </c>
      <c r="AP2102" t="s">
        <v>10985</v>
      </c>
      <c r="AQ2102" t="s">
        <v>10984</v>
      </c>
    </row>
    <row r="2103" spans="1:43" x14ac:dyDescent="0.2">
      <c r="A2103" t="s">
        <v>12267</v>
      </c>
      <c r="B2103" t="s">
        <v>10900</v>
      </c>
      <c r="C2103" t="s">
        <v>10950</v>
      </c>
      <c r="D2103" t="s">
        <v>12291</v>
      </c>
      <c r="E2103" t="s">
        <v>12292</v>
      </c>
      <c r="F2103" t="s">
        <v>12291</v>
      </c>
      <c r="G2103" s="1">
        <v>150000000</v>
      </c>
      <c r="H2103" s="2">
        <v>132101147.3</v>
      </c>
      <c r="I2103" s="2">
        <v>132059550</v>
      </c>
      <c r="J2103" s="2">
        <v>1969520.55</v>
      </c>
      <c r="K2103" s="2">
        <v>0</v>
      </c>
      <c r="L2103" s="2">
        <v>134029070.55</v>
      </c>
      <c r="M2103" s="3">
        <v>10.595000000000001</v>
      </c>
      <c r="N2103" s="4">
        <v>0.30493057000000001</v>
      </c>
      <c r="O2103" s="5">
        <v>44804</v>
      </c>
      <c r="P2103" s="5">
        <v>49368</v>
      </c>
      <c r="Q2103" s="1">
        <v>8.875</v>
      </c>
      <c r="R2103" s="2">
        <v>7.46</v>
      </c>
      <c r="S2103" s="6">
        <v>7.0866988800000001</v>
      </c>
      <c r="T2103" t="s">
        <v>111</v>
      </c>
      <c r="U2103" t="s">
        <v>111</v>
      </c>
      <c r="V2103" t="s">
        <v>10944</v>
      </c>
      <c r="W2103" t="s">
        <v>43</v>
      </c>
      <c r="X2103" t="s">
        <v>10945</v>
      </c>
      <c r="Y2103" t="s">
        <v>44</v>
      </c>
      <c r="Z2103" t="s">
        <v>44</v>
      </c>
      <c r="AA2103" t="s">
        <v>10913</v>
      </c>
      <c r="AB2103" t="s">
        <v>44</v>
      </c>
      <c r="AC2103" s="4">
        <v>10.87563506</v>
      </c>
      <c r="AD2103" s="4">
        <v>10.368435399999999</v>
      </c>
      <c r="AE2103" s="2">
        <v>10.88</v>
      </c>
      <c r="AF2103" s="4">
        <v>10.368435399999999</v>
      </c>
      <c r="AG2103" s="2">
        <v>4.32</v>
      </c>
      <c r="AH2103" s="2">
        <v>134029070.55</v>
      </c>
      <c r="AI2103" s="2">
        <v>0.3</v>
      </c>
      <c r="AJ2103" s="5">
        <v>44673</v>
      </c>
      <c r="AK2103" t="s">
        <v>12268</v>
      </c>
      <c r="AL2103" s="2">
        <v>10.59</v>
      </c>
      <c r="AM2103" s="2">
        <v>8.8800000000000008</v>
      </c>
      <c r="AN2103" s="2">
        <v>7.09</v>
      </c>
      <c r="AO2103" t="s">
        <v>10922</v>
      </c>
      <c r="AP2103" t="s">
        <v>12293</v>
      </c>
      <c r="AQ2103" t="s">
        <v>12292</v>
      </c>
    </row>
    <row r="2104" spans="1:43" x14ac:dyDescent="0.2">
      <c r="A2104" t="s">
        <v>12267</v>
      </c>
      <c r="B2104" t="s">
        <v>10900</v>
      </c>
      <c r="C2104" t="s">
        <v>10990</v>
      </c>
      <c r="D2104" t="s">
        <v>11922</v>
      </c>
      <c r="E2104" t="s">
        <v>1146</v>
      </c>
      <c r="F2104" t="s">
        <v>11922</v>
      </c>
      <c r="G2104" s="1">
        <v>7098844</v>
      </c>
      <c r="H2104" s="2">
        <v>21947660.5</v>
      </c>
      <c r="I2104" s="2">
        <v>22757301.59</v>
      </c>
      <c r="J2104" s="2">
        <v>442720.04</v>
      </c>
      <c r="K2104" s="2">
        <v>0</v>
      </c>
      <c r="L2104" s="2">
        <v>23200021.629999999</v>
      </c>
      <c r="M2104" s="3">
        <v>1.6559999999999999</v>
      </c>
      <c r="N2104" s="4">
        <v>5.2782549999999998E-2</v>
      </c>
      <c r="O2104" s="5">
        <v>44719</v>
      </c>
      <c r="P2104" s="5">
        <v>45267</v>
      </c>
      <c r="Q2104" s="1">
        <v>5.5</v>
      </c>
      <c r="R2104" s="2">
        <v>1.54</v>
      </c>
      <c r="S2104" s="6">
        <v>1.529789238</v>
      </c>
      <c r="T2104" t="s">
        <v>111</v>
      </c>
      <c r="U2104" t="s">
        <v>111</v>
      </c>
      <c r="V2104" t="s">
        <v>10992</v>
      </c>
      <c r="W2104" t="s">
        <v>43</v>
      </c>
      <c r="X2104" t="s">
        <v>10945</v>
      </c>
      <c r="Y2104" t="s">
        <v>44</v>
      </c>
      <c r="Z2104" t="s">
        <v>44</v>
      </c>
      <c r="AA2104" t="s">
        <v>10979</v>
      </c>
      <c r="AB2104" t="s">
        <v>44</v>
      </c>
      <c r="AC2104" s="4">
        <v>1.66285584</v>
      </c>
      <c r="AD2104" s="4">
        <v>1.65031554</v>
      </c>
      <c r="AE2104" s="2">
        <v>1.66</v>
      </c>
      <c r="AF2104" s="4">
        <v>1.65031554</v>
      </c>
      <c r="AG2104" s="2">
        <v>0.75</v>
      </c>
      <c r="AH2104" s="2">
        <v>23200021.629999999</v>
      </c>
      <c r="AI2104" s="2">
        <v>0.05</v>
      </c>
      <c r="AJ2104" s="5">
        <v>44673</v>
      </c>
      <c r="AK2104" t="s">
        <v>12268</v>
      </c>
      <c r="AL2104" s="2">
        <v>1.66</v>
      </c>
      <c r="AM2104" s="2">
        <v>5.5</v>
      </c>
      <c r="AN2104" s="2">
        <v>1.53</v>
      </c>
      <c r="AO2104" t="s">
        <v>11179</v>
      </c>
      <c r="AP2104" t="s">
        <v>11923</v>
      </c>
      <c r="AQ2104" t="s">
        <v>1146</v>
      </c>
    </row>
    <row r="2105" spans="1:43" x14ac:dyDescent="0.2">
      <c r="A2105" t="s">
        <v>12267</v>
      </c>
      <c r="B2105" t="s">
        <v>45</v>
      </c>
      <c r="C2105" t="s">
        <v>11000</v>
      </c>
      <c r="D2105" t="s">
        <v>11421</v>
      </c>
      <c r="E2105" t="s">
        <v>11422</v>
      </c>
      <c r="F2105" t="s">
        <v>11421</v>
      </c>
      <c r="G2105" s="1">
        <v>0</v>
      </c>
      <c r="H2105" s="2">
        <v>0</v>
      </c>
      <c r="I2105" s="2">
        <v>0</v>
      </c>
      <c r="J2105" s="2">
        <v>33715.06</v>
      </c>
      <c r="K2105" s="2">
        <v>0</v>
      </c>
      <c r="L2105" s="2">
        <v>33715.06</v>
      </c>
      <c r="M2105" s="3">
        <v>4.2</v>
      </c>
      <c r="N2105" s="4">
        <v>7.6710000000000002E-5</v>
      </c>
      <c r="O2105" s="5" t="s">
        <v>44</v>
      </c>
      <c r="P2105" s="5">
        <v>55153</v>
      </c>
      <c r="Q2105" s="1">
        <v>4.2</v>
      </c>
      <c r="R2105" s="2">
        <v>0.08</v>
      </c>
      <c r="S2105" s="6">
        <v>2.5947269999999998E-3</v>
      </c>
      <c r="T2105" t="s">
        <v>112</v>
      </c>
      <c r="U2105" t="s">
        <v>46</v>
      </c>
      <c r="V2105" t="s">
        <v>11270</v>
      </c>
      <c r="W2105" t="s">
        <v>43</v>
      </c>
      <c r="X2105" t="s">
        <v>44</v>
      </c>
      <c r="Y2105" t="s">
        <v>44</v>
      </c>
      <c r="Z2105" t="s">
        <v>44</v>
      </c>
      <c r="AA2105" t="s">
        <v>10913</v>
      </c>
      <c r="AB2105" t="s">
        <v>44</v>
      </c>
      <c r="AC2105" s="4">
        <v>4.2819052299999996</v>
      </c>
      <c r="AD2105" s="4">
        <v>4.20010057</v>
      </c>
      <c r="AE2105" s="2">
        <v>4.28</v>
      </c>
      <c r="AF2105" s="4">
        <v>4.20010057</v>
      </c>
      <c r="AG2105" s="2">
        <v>0</v>
      </c>
      <c r="AH2105" s="2">
        <v>33715.06</v>
      </c>
      <c r="AI2105" s="2">
        <v>0</v>
      </c>
      <c r="AJ2105" s="5">
        <v>44673</v>
      </c>
      <c r="AK2105" t="s">
        <v>12268</v>
      </c>
      <c r="AL2105" s="2">
        <v>4.24</v>
      </c>
      <c r="AM2105" s="2">
        <v>4.2</v>
      </c>
      <c r="AN2105" s="2">
        <v>0</v>
      </c>
      <c r="AO2105" t="s">
        <v>11423</v>
      </c>
      <c r="AP2105" t="s">
        <v>44</v>
      </c>
      <c r="AQ2105" t="s">
        <v>11422</v>
      </c>
    </row>
    <row r="2106" spans="1:43" x14ac:dyDescent="0.2">
      <c r="A2106" t="s">
        <v>12267</v>
      </c>
      <c r="B2106" t="s">
        <v>45</v>
      </c>
      <c r="C2106" t="s">
        <v>11000</v>
      </c>
      <c r="D2106" t="s">
        <v>11424</v>
      </c>
      <c r="E2106" t="s">
        <v>11425</v>
      </c>
      <c r="F2106" t="s">
        <v>11424</v>
      </c>
      <c r="G2106" s="1">
        <v>0</v>
      </c>
      <c r="H2106" s="2">
        <v>0</v>
      </c>
      <c r="I2106" s="2">
        <v>0</v>
      </c>
      <c r="J2106" s="2">
        <v>2991.78</v>
      </c>
      <c r="K2106" s="2">
        <v>0</v>
      </c>
      <c r="L2106" s="2">
        <v>2991.78</v>
      </c>
      <c r="M2106" s="3">
        <v>4.2</v>
      </c>
      <c r="N2106" s="4">
        <v>6.81E-6</v>
      </c>
      <c r="O2106" s="5" t="s">
        <v>44</v>
      </c>
      <c r="P2106" s="5">
        <v>55153</v>
      </c>
      <c r="Q2106" s="1">
        <v>4.2</v>
      </c>
      <c r="R2106" s="2">
        <v>0.08</v>
      </c>
      <c r="S2106" s="6">
        <v>2.5986049999999999E-3</v>
      </c>
      <c r="T2106" t="s">
        <v>112</v>
      </c>
      <c r="U2106" t="s">
        <v>46</v>
      </c>
      <c r="V2106" t="s">
        <v>11270</v>
      </c>
      <c r="W2106" t="s">
        <v>43</v>
      </c>
      <c r="X2106" t="s">
        <v>44</v>
      </c>
      <c r="Y2106" t="s">
        <v>44</v>
      </c>
      <c r="Z2106" t="s">
        <v>44</v>
      </c>
      <c r="AA2106" t="s">
        <v>11035</v>
      </c>
      <c r="AB2106" t="s">
        <v>44</v>
      </c>
      <c r="AC2106" s="4">
        <v>4.2819052299999996</v>
      </c>
      <c r="AD2106" s="4">
        <v>4.20010057</v>
      </c>
      <c r="AE2106" s="2">
        <v>4.28</v>
      </c>
      <c r="AF2106" s="4">
        <v>4.20010057</v>
      </c>
      <c r="AG2106" s="2">
        <v>0</v>
      </c>
      <c r="AH2106" s="2">
        <v>2991.78</v>
      </c>
      <c r="AI2106" s="2">
        <v>0</v>
      </c>
      <c r="AJ2106" s="5">
        <v>44673</v>
      </c>
      <c r="AK2106" t="s">
        <v>12268</v>
      </c>
      <c r="AL2106" s="2">
        <v>4.24</v>
      </c>
      <c r="AM2106" s="2">
        <v>4.2</v>
      </c>
      <c r="AN2106" s="2">
        <v>0</v>
      </c>
      <c r="AO2106" t="s">
        <v>11053</v>
      </c>
      <c r="AP2106" t="s">
        <v>44</v>
      </c>
      <c r="AQ2106" t="s">
        <v>11425</v>
      </c>
    </row>
    <row r="2107" spans="1:43" x14ac:dyDescent="0.2">
      <c r="A2107" t="s">
        <v>12267</v>
      </c>
      <c r="B2107" t="s">
        <v>45</v>
      </c>
      <c r="C2107" t="s">
        <v>11000</v>
      </c>
      <c r="D2107" t="s">
        <v>11001</v>
      </c>
      <c r="E2107" t="s">
        <v>11002</v>
      </c>
      <c r="F2107" t="s">
        <v>11001</v>
      </c>
      <c r="G2107" s="1">
        <v>755.55</v>
      </c>
      <c r="H2107" s="2">
        <v>755.55</v>
      </c>
      <c r="I2107" s="2">
        <v>755.55</v>
      </c>
      <c r="J2107" s="2">
        <v>2.38</v>
      </c>
      <c r="K2107" s="2">
        <v>0</v>
      </c>
      <c r="L2107" s="2">
        <v>757.93</v>
      </c>
      <c r="M2107" s="3"/>
      <c r="N2107" s="4">
        <v>1.72E-6</v>
      </c>
      <c r="O2107" s="5">
        <v>40756</v>
      </c>
      <c r="P2107" s="5">
        <v>73020</v>
      </c>
      <c r="Q2107" s="1">
        <v>0</v>
      </c>
      <c r="R2107" s="2"/>
      <c r="S2107" s="6"/>
      <c r="T2107" t="s">
        <v>111</v>
      </c>
      <c r="U2107" t="s">
        <v>11003</v>
      </c>
      <c r="V2107" t="s">
        <v>46</v>
      </c>
      <c r="W2107" t="s">
        <v>43</v>
      </c>
      <c r="X2107" t="s">
        <v>44</v>
      </c>
      <c r="Y2107" t="s">
        <v>44</v>
      </c>
      <c r="Z2107" t="s">
        <v>44</v>
      </c>
      <c r="AA2107" t="s">
        <v>44</v>
      </c>
      <c r="AB2107" t="s">
        <v>44</v>
      </c>
      <c r="AC2107" s="4"/>
      <c r="AD2107" s="4"/>
      <c r="AE2107" s="2">
        <v>0</v>
      </c>
      <c r="AF2107" s="4">
        <v>0</v>
      </c>
      <c r="AG2107" s="2">
        <v>0</v>
      </c>
      <c r="AH2107" s="2">
        <v>757.93</v>
      </c>
      <c r="AI2107" s="2">
        <v>0</v>
      </c>
      <c r="AJ2107" s="5">
        <v>44673</v>
      </c>
      <c r="AK2107" t="s">
        <v>12268</v>
      </c>
      <c r="AL2107" s="2">
        <v>0</v>
      </c>
      <c r="AM2107" s="2">
        <v>0</v>
      </c>
      <c r="AN2107" s="2">
        <v>0</v>
      </c>
      <c r="AO2107" t="s">
        <v>44</v>
      </c>
      <c r="AP2107" t="s">
        <v>11004</v>
      </c>
      <c r="AQ2107" t="s">
        <v>11002</v>
      </c>
    </row>
    <row r="2108" spans="1:43" x14ac:dyDescent="0.2">
      <c r="A2108" t="s">
        <v>12267</v>
      </c>
      <c r="B2108" t="s">
        <v>45</v>
      </c>
      <c r="C2108" t="s">
        <v>47</v>
      </c>
      <c r="D2108" t="s">
        <v>48</v>
      </c>
      <c r="E2108" t="s">
        <v>49</v>
      </c>
      <c r="F2108" t="s">
        <v>50</v>
      </c>
      <c r="G2108" s="1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-4636.1899999999996</v>
      </c>
      <c r="M2108" s="3"/>
      <c r="N2108" s="4">
        <v>-1.0550000000000001E-5</v>
      </c>
      <c r="O2108" s="5" t="s">
        <v>44</v>
      </c>
      <c r="P2108" s="5" t="s">
        <v>44</v>
      </c>
      <c r="Q2108" s="1"/>
      <c r="R2108" s="2">
        <v>0.08</v>
      </c>
      <c r="S2108" s="6"/>
      <c r="T2108" t="s">
        <v>45</v>
      </c>
      <c r="U2108" t="s">
        <v>46</v>
      </c>
      <c r="V2108" t="s">
        <v>44</v>
      </c>
      <c r="W2108" t="s">
        <v>43</v>
      </c>
      <c r="X2108" t="s">
        <v>44</v>
      </c>
      <c r="Y2108" t="s">
        <v>44</v>
      </c>
      <c r="Z2108" t="s">
        <v>44</v>
      </c>
      <c r="AA2108" t="s">
        <v>44</v>
      </c>
      <c r="AB2108" t="s">
        <v>44</v>
      </c>
      <c r="AC2108" s="4">
        <v>5.1163389600000002</v>
      </c>
      <c r="AD2108" s="4">
        <v>5.0001424999999999</v>
      </c>
      <c r="AE2108" s="2">
        <v>5.12</v>
      </c>
      <c r="AF2108" s="4">
        <v>5.0001424999999999</v>
      </c>
      <c r="AG2108" s="2">
        <v>0</v>
      </c>
      <c r="AH2108" s="2">
        <v>-4636.1899999999996</v>
      </c>
      <c r="AI2108" s="2">
        <v>0</v>
      </c>
      <c r="AJ2108" s="5">
        <v>44673</v>
      </c>
      <c r="AK2108" t="s">
        <v>12268</v>
      </c>
      <c r="AL2108" s="2">
        <v>5.05</v>
      </c>
      <c r="AM2108" s="2">
        <v>0</v>
      </c>
      <c r="AN2108" s="2">
        <v>0</v>
      </c>
      <c r="AO2108" t="s">
        <v>44</v>
      </c>
      <c r="AP2108" t="s">
        <v>44</v>
      </c>
      <c r="AQ2108" t="s">
        <v>44</v>
      </c>
    </row>
    <row r="2109" spans="1:43" x14ac:dyDescent="0.2">
      <c r="A2109" t="s">
        <v>12267</v>
      </c>
      <c r="B2109" t="s">
        <v>45</v>
      </c>
      <c r="C2109" t="s">
        <v>47</v>
      </c>
      <c r="D2109" t="s">
        <v>51</v>
      </c>
      <c r="E2109" t="s">
        <v>52</v>
      </c>
      <c r="F2109" t="s">
        <v>51</v>
      </c>
      <c r="G2109" s="1">
        <v>1831475.4</v>
      </c>
      <c r="H2109" s="2">
        <v>1831475.12</v>
      </c>
      <c r="I2109" s="2">
        <v>1831475.4</v>
      </c>
      <c r="J2109" s="2">
        <v>0</v>
      </c>
      <c r="K2109" s="2">
        <v>0</v>
      </c>
      <c r="L2109" s="2">
        <v>1831475.4</v>
      </c>
      <c r="M2109" s="3"/>
      <c r="N2109" s="4">
        <v>4.1668E-3</v>
      </c>
      <c r="O2109" s="5" t="s">
        <v>44</v>
      </c>
      <c r="P2109" s="5" t="s">
        <v>44</v>
      </c>
      <c r="Q2109" s="1"/>
      <c r="R2109" s="2">
        <v>0.08</v>
      </c>
      <c r="S2109" s="6"/>
      <c r="T2109" t="s">
        <v>45</v>
      </c>
      <c r="U2109" t="s">
        <v>53</v>
      </c>
      <c r="V2109" t="s">
        <v>44</v>
      </c>
      <c r="W2109" t="s">
        <v>43</v>
      </c>
      <c r="X2109" t="s">
        <v>44</v>
      </c>
      <c r="Y2109" t="s">
        <v>44</v>
      </c>
      <c r="Z2109" t="s">
        <v>44</v>
      </c>
      <c r="AA2109" t="s">
        <v>44</v>
      </c>
      <c r="AB2109" t="s">
        <v>44</v>
      </c>
      <c r="AC2109" s="4">
        <v>5.1163389600000002</v>
      </c>
      <c r="AD2109" s="4">
        <v>5.0001424999999999</v>
      </c>
      <c r="AE2109" s="2">
        <v>5.12</v>
      </c>
      <c r="AF2109" s="4">
        <v>5.0001424999999999</v>
      </c>
      <c r="AG2109" s="2">
        <v>0.06</v>
      </c>
      <c r="AH2109" s="2">
        <v>1831475.4</v>
      </c>
      <c r="AI2109" s="2">
        <v>0</v>
      </c>
      <c r="AJ2109" s="5">
        <v>44673</v>
      </c>
      <c r="AK2109" t="s">
        <v>12268</v>
      </c>
      <c r="AL2109" s="2">
        <v>5.05</v>
      </c>
      <c r="AM2109" s="2">
        <v>0</v>
      </c>
      <c r="AN2109" s="2">
        <v>0</v>
      </c>
      <c r="AO2109" t="s">
        <v>44</v>
      </c>
      <c r="AP2109" t="s">
        <v>44</v>
      </c>
      <c r="AQ2109" t="s">
        <v>43</v>
      </c>
    </row>
    <row r="2110" spans="1:43" x14ac:dyDescent="0.2">
      <c r="A2110" t="s">
        <v>12267</v>
      </c>
      <c r="B2110" t="s">
        <v>45</v>
      </c>
      <c r="C2110" t="s">
        <v>11005</v>
      </c>
      <c r="D2110" t="s">
        <v>11006</v>
      </c>
      <c r="E2110" t="s">
        <v>11007</v>
      </c>
      <c r="F2110" t="s">
        <v>11006</v>
      </c>
      <c r="G2110" s="1">
        <v>-75566.38</v>
      </c>
      <c r="H2110" s="2">
        <v>-75566.38</v>
      </c>
      <c r="I2110" s="2">
        <v>-75566.38</v>
      </c>
      <c r="J2110" s="2">
        <v>0</v>
      </c>
      <c r="K2110" s="2"/>
      <c r="L2110" s="2">
        <v>-75566.38</v>
      </c>
      <c r="M2110" s="3"/>
      <c r="N2110" s="4">
        <v>-1.7191999999999999E-4</v>
      </c>
      <c r="O2110" s="5" t="s">
        <v>44</v>
      </c>
      <c r="P2110" s="5">
        <v>73051</v>
      </c>
      <c r="Q2110" s="1">
        <v>0</v>
      </c>
      <c r="R2110" s="2">
        <v>0.08</v>
      </c>
      <c r="S2110" s="6"/>
      <c r="T2110" t="s">
        <v>45</v>
      </c>
      <c r="U2110" t="s">
        <v>11008</v>
      </c>
      <c r="V2110" t="s">
        <v>44</v>
      </c>
      <c r="W2110" t="s">
        <v>43</v>
      </c>
      <c r="X2110" t="s">
        <v>44</v>
      </c>
      <c r="Y2110" t="s">
        <v>44</v>
      </c>
      <c r="Z2110" t="s">
        <v>44</v>
      </c>
      <c r="AA2110" t="s">
        <v>44</v>
      </c>
      <c r="AB2110" t="s">
        <v>44</v>
      </c>
      <c r="AC2110" s="4">
        <v>5.1163389600000002</v>
      </c>
      <c r="AD2110" s="4">
        <v>5.0001424999999999</v>
      </c>
      <c r="AE2110" s="2">
        <v>5.12</v>
      </c>
      <c r="AF2110" s="4">
        <v>5.0001424999999999</v>
      </c>
      <c r="AG2110" s="2">
        <v>0</v>
      </c>
      <c r="AH2110" s="2">
        <v>-75566.38</v>
      </c>
      <c r="AI2110" s="2">
        <v>0</v>
      </c>
      <c r="AJ2110" s="5">
        <v>44673</v>
      </c>
      <c r="AK2110" t="s">
        <v>12268</v>
      </c>
      <c r="AL2110" s="2">
        <v>5.05</v>
      </c>
      <c r="AM2110" s="2">
        <v>0</v>
      </c>
      <c r="AN2110" s="2">
        <v>0</v>
      </c>
      <c r="AO2110" t="s">
        <v>44</v>
      </c>
      <c r="AP2110" t="s">
        <v>44</v>
      </c>
      <c r="AQ2110" t="s">
        <v>44</v>
      </c>
    </row>
    <row r="2111" spans="1:43" x14ac:dyDescent="0.2">
      <c r="A2111" t="s">
        <v>12267</v>
      </c>
      <c r="B2111" t="s">
        <v>45</v>
      </c>
      <c r="C2111" t="s">
        <v>11005</v>
      </c>
      <c r="D2111" t="s">
        <v>11009</v>
      </c>
      <c r="E2111" t="s">
        <v>11010</v>
      </c>
      <c r="F2111" t="s">
        <v>44</v>
      </c>
      <c r="G2111" s="1">
        <v>-9.4600000000000009</v>
      </c>
      <c r="H2111" s="2">
        <v>-9.4600000000000009</v>
      </c>
      <c r="I2111" s="2">
        <v>-9.4600000000000009</v>
      </c>
      <c r="J2111" s="2">
        <v>0</v>
      </c>
      <c r="K2111" s="2"/>
      <c r="L2111" s="2">
        <v>-9.4600000000000009</v>
      </c>
      <c r="M2111" s="3"/>
      <c r="N2111" s="4">
        <v>-2E-8</v>
      </c>
      <c r="O2111" s="5" t="s">
        <v>44</v>
      </c>
      <c r="P2111" s="5">
        <v>73051</v>
      </c>
      <c r="Q2111" s="1">
        <v>0</v>
      </c>
      <c r="R2111" s="2">
        <v>0.08</v>
      </c>
      <c r="S2111" s="6"/>
      <c r="T2111" t="s">
        <v>45</v>
      </c>
      <c r="U2111" t="s">
        <v>44</v>
      </c>
      <c r="V2111" t="s">
        <v>44</v>
      </c>
      <c r="W2111" t="s">
        <v>43</v>
      </c>
      <c r="X2111" t="s">
        <v>44</v>
      </c>
      <c r="Y2111" t="s">
        <v>44</v>
      </c>
      <c r="Z2111" t="s">
        <v>44</v>
      </c>
      <c r="AA2111" t="s">
        <v>44</v>
      </c>
      <c r="AB2111" t="s">
        <v>44</v>
      </c>
      <c r="AC2111" s="4">
        <v>5.1163389600000002</v>
      </c>
      <c r="AD2111" s="4">
        <v>5.0001424999999999</v>
      </c>
      <c r="AE2111" s="2">
        <v>5.12</v>
      </c>
      <c r="AF2111" s="4">
        <v>5.0001424999999999</v>
      </c>
      <c r="AG2111" s="2">
        <v>0</v>
      </c>
      <c r="AH2111" s="2">
        <v>-9.4600000000000009</v>
      </c>
      <c r="AI2111" s="2">
        <v>0</v>
      </c>
      <c r="AJ2111" s="5">
        <v>44673</v>
      </c>
      <c r="AK2111" t="s">
        <v>12268</v>
      </c>
      <c r="AL2111" s="2">
        <v>5.05</v>
      </c>
      <c r="AM2111" s="2">
        <v>0</v>
      </c>
      <c r="AN2111" s="2">
        <v>0</v>
      </c>
      <c r="AO2111" t="s">
        <v>44</v>
      </c>
      <c r="AP2111" t="s">
        <v>44</v>
      </c>
      <c r="AQ2111" t="s">
        <v>44</v>
      </c>
    </row>
    <row r="2112" spans="1:43" x14ac:dyDescent="0.2">
      <c r="A2112" t="s">
        <v>12267</v>
      </c>
      <c r="B2112" t="s">
        <v>45</v>
      </c>
      <c r="C2112" t="s">
        <v>11005</v>
      </c>
      <c r="D2112" t="s">
        <v>11011</v>
      </c>
      <c r="E2112" t="s">
        <v>11012</v>
      </c>
      <c r="F2112" t="s">
        <v>44</v>
      </c>
      <c r="G2112" s="1">
        <v>-78305.64</v>
      </c>
      <c r="H2112" s="2">
        <v>-78305.64</v>
      </c>
      <c r="I2112" s="2">
        <v>-78305.64</v>
      </c>
      <c r="J2112" s="2">
        <v>0</v>
      </c>
      <c r="K2112" s="2"/>
      <c r="L2112" s="2">
        <v>-78305.64</v>
      </c>
      <c r="M2112" s="3"/>
      <c r="N2112" s="4">
        <v>-1.7814999999999999E-4</v>
      </c>
      <c r="O2112" s="5" t="s">
        <v>44</v>
      </c>
      <c r="P2112" s="5">
        <v>73051</v>
      </c>
      <c r="Q2112" s="1">
        <v>0</v>
      </c>
      <c r="R2112" s="2">
        <v>0.08</v>
      </c>
      <c r="S2112" s="6"/>
      <c r="T2112" t="s">
        <v>45</v>
      </c>
      <c r="U2112" t="s">
        <v>44</v>
      </c>
      <c r="V2112" t="s">
        <v>44</v>
      </c>
      <c r="W2112" t="s">
        <v>43</v>
      </c>
      <c r="X2112" t="s">
        <v>44</v>
      </c>
      <c r="Y2112" t="s">
        <v>44</v>
      </c>
      <c r="Z2112" t="s">
        <v>44</v>
      </c>
      <c r="AA2112" t="s">
        <v>44</v>
      </c>
      <c r="AB2112" t="s">
        <v>44</v>
      </c>
      <c r="AC2112" s="4">
        <v>5.1163389600000002</v>
      </c>
      <c r="AD2112" s="4">
        <v>5.0001424999999999</v>
      </c>
      <c r="AE2112" s="2">
        <v>5.12</v>
      </c>
      <c r="AF2112" s="4">
        <v>5.0001424999999999</v>
      </c>
      <c r="AG2112" s="2">
        <v>0</v>
      </c>
      <c r="AH2112" s="2">
        <v>-78305.64</v>
      </c>
      <c r="AI2112" s="2">
        <v>0</v>
      </c>
      <c r="AJ2112" s="5">
        <v>44673</v>
      </c>
      <c r="AK2112" t="s">
        <v>12268</v>
      </c>
      <c r="AL2112" s="2">
        <v>5.05</v>
      </c>
      <c r="AM2112" s="2">
        <v>0</v>
      </c>
      <c r="AN2112" s="2">
        <v>0</v>
      </c>
      <c r="AO2112" t="s">
        <v>44</v>
      </c>
      <c r="AP2112" t="s">
        <v>44</v>
      </c>
      <c r="AQ2112" t="s">
        <v>44</v>
      </c>
    </row>
    <row r="2113" spans="1:43" x14ac:dyDescent="0.2">
      <c r="A2113" t="s">
        <v>12267</v>
      </c>
      <c r="B2113" t="s">
        <v>11013</v>
      </c>
      <c r="C2113" t="s">
        <v>11014</v>
      </c>
      <c r="D2113" t="s">
        <v>11751</v>
      </c>
      <c r="E2113" t="s">
        <v>11752</v>
      </c>
      <c r="F2113" t="s">
        <v>11751</v>
      </c>
      <c r="G2113" s="1">
        <v>572239213.66460001</v>
      </c>
      <c r="H2113" s="2">
        <v>590391785.11000001</v>
      </c>
      <c r="I2113" s="2">
        <v>567718523.88</v>
      </c>
      <c r="J2113" s="2">
        <v>0</v>
      </c>
      <c r="K2113" s="2">
        <v>0</v>
      </c>
      <c r="L2113" s="2">
        <v>567718523.88</v>
      </c>
      <c r="M2113" s="3">
        <v>0.99209999999999998</v>
      </c>
      <c r="N2113" s="4">
        <v>1.29162077</v>
      </c>
      <c r="O2113" s="5" t="s">
        <v>44</v>
      </c>
      <c r="P2113" s="5" t="s">
        <v>44</v>
      </c>
      <c r="Q2113" s="1"/>
      <c r="R2113" s="2"/>
      <c r="S2113" s="6"/>
      <c r="T2113" t="s">
        <v>10902</v>
      </c>
      <c r="U2113" t="s">
        <v>11003</v>
      </c>
      <c r="V2113" t="s">
        <v>11003</v>
      </c>
      <c r="W2113" t="s">
        <v>43</v>
      </c>
      <c r="X2113" t="s">
        <v>44</v>
      </c>
      <c r="Y2113" t="s">
        <v>44</v>
      </c>
      <c r="Z2113" t="s">
        <v>44</v>
      </c>
      <c r="AA2113" t="s">
        <v>44</v>
      </c>
      <c r="AB2113" t="s">
        <v>44</v>
      </c>
      <c r="AC2113" s="4"/>
      <c r="AD2113" s="4"/>
      <c r="AE2113" s="2">
        <v>0</v>
      </c>
      <c r="AF2113" s="4">
        <v>0</v>
      </c>
      <c r="AG2113" s="2">
        <v>18.29</v>
      </c>
      <c r="AH2113" s="2">
        <v>567718523.88</v>
      </c>
      <c r="AI2113" s="2">
        <v>1.29</v>
      </c>
      <c r="AJ2113" s="5">
        <v>44673</v>
      </c>
      <c r="AK2113" t="s">
        <v>12268</v>
      </c>
      <c r="AL2113" s="2">
        <v>0</v>
      </c>
      <c r="AM2113" s="2">
        <v>0</v>
      </c>
      <c r="AN2113" s="2">
        <v>0</v>
      </c>
      <c r="AO2113" t="s">
        <v>44</v>
      </c>
      <c r="AP2113" t="s">
        <v>11753</v>
      </c>
      <c r="AQ2113" t="s">
        <v>11752</v>
      </c>
    </row>
    <row r="2114" spans="1:43" x14ac:dyDescent="0.2">
      <c r="A2114" t="s">
        <v>12267</v>
      </c>
      <c r="B2114" t="s">
        <v>11038</v>
      </c>
      <c r="C2114" t="s">
        <v>11870</v>
      </c>
      <c r="D2114" t="s">
        <v>11056</v>
      </c>
      <c r="E2114" t="s">
        <v>11057</v>
      </c>
      <c r="F2114" t="s">
        <v>11056</v>
      </c>
      <c r="G2114" s="1">
        <v>8821520</v>
      </c>
      <c r="H2114" s="2">
        <v>8819413.2899999991</v>
      </c>
      <c r="I2114" s="2">
        <v>8821520</v>
      </c>
      <c r="J2114" s="2">
        <v>227383.5</v>
      </c>
      <c r="K2114" s="2">
        <v>0</v>
      </c>
      <c r="L2114" s="2">
        <v>9048903.5</v>
      </c>
      <c r="M2114" s="3"/>
      <c r="N2114" s="4">
        <v>2.0587230000000002E-2</v>
      </c>
      <c r="O2114" s="5">
        <v>44692</v>
      </c>
      <c r="P2114" s="5">
        <v>44692</v>
      </c>
      <c r="Q2114" s="1">
        <v>13.067</v>
      </c>
      <c r="R2114" s="2"/>
      <c r="S2114" s="6"/>
      <c r="T2114" t="s">
        <v>111</v>
      </c>
      <c r="U2114" t="s">
        <v>11040</v>
      </c>
      <c r="V2114" t="s">
        <v>115</v>
      </c>
      <c r="W2114" t="s">
        <v>43</v>
      </c>
      <c r="X2114" t="s">
        <v>44</v>
      </c>
      <c r="Y2114" t="s">
        <v>44</v>
      </c>
      <c r="Z2114" t="s">
        <v>44</v>
      </c>
      <c r="AA2114" t="s">
        <v>10979</v>
      </c>
      <c r="AB2114" t="s">
        <v>44</v>
      </c>
      <c r="AC2114" s="4"/>
      <c r="AD2114" s="4"/>
      <c r="AE2114" s="2">
        <v>0</v>
      </c>
      <c r="AF2114" s="4">
        <v>0</v>
      </c>
      <c r="AG2114" s="2">
        <v>0.28999999999999998</v>
      </c>
      <c r="AH2114" s="2">
        <v>9048903.5</v>
      </c>
      <c r="AI2114" s="2">
        <v>0.02</v>
      </c>
      <c r="AJ2114" s="5">
        <v>44673</v>
      </c>
      <c r="AK2114" t="s">
        <v>12268</v>
      </c>
      <c r="AL2114" s="2">
        <v>0</v>
      </c>
      <c r="AM2114" s="2">
        <v>13.07</v>
      </c>
      <c r="AN2114" s="2">
        <v>0</v>
      </c>
      <c r="AO2114" t="s">
        <v>10980</v>
      </c>
      <c r="AP2114" t="s">
        <v>11058</v>
      </c>
      <c r="AQ2114" t="s">
        <v>11057</v>
      </c>
    </row>
    <row r="2115" spans="1:43" x14ac:dyDescent="0.2">
      <c r="A2115" t="s">
        <v>12267</v>
      </c>
      <c r="B2115" t="s">
        <v>11038</v>
      </c>
      <c r="C2115" t="s">
        <v>11055</v>
      </c>
      <c r="D2115" t="s">
        <v>11872</v>
      </c>
      <c r="E2115" t="s">
        <v>11873</v>
      </c>
      <c r="F2115" t="s">
        <v>11872</v>
      </c>
      <c r="G2115" s="1">
        <v>32500000</v>
      </c>
      <c r="H2115" s="2">
        <v>32502849.68</v>
      </c>
      <c r="I2115" s="2">
        <v>32520146.199999999</v>
      </c>
      <c r="J2115" s="2">
        <v>279694.11</v>
      </c>
      <c r="K2115" s="2">
        <v>0</v>
      </c>
      <c r="L2115" s="2">
        <v>32799840.309999999</v>
      </c>
      <c r="M2115" s="3">
        <v>5.1502819999999998</v>
      </c>
      <c r="N2115" s="4">
        <v>7.4623170000000003E-2</v>
      </c>
      <c r="O2115" s="5">
        <v>44712</v>
      </c>
      <c r="P2115" s="5">
        <v>44712</v>
      </c>
      <c r="Q2115" s="1">
        <v>5.8170000000000002</v>
      </c>
      <c r="R2115" s="2">
        <v>0.1</v>
      </c>
      <c r="S2115" s="6">
        <v>9.3730576011000002E-2</v>
      </c>
      <c r="T2115" t="s">
        <v>111</v>
      </c>
      <c r="U2115" t="s">
        <v>11040</v>
      </c>
      <c r="V2115" t="s">
        <v>114</v>
      </c>
      <c r="W2115" t="s">
        <v>43</v>
      </c>
      <c r="X2115" t="s">
        <v>10988</v>
      </c>
      <c r="Y2115" t="s">
        <v>44</v>
      </c>
      <c r="Z2115" t="s">
        <v>44</v>
      </c>
      <c r="AA2115" t="s">
        <v>10979</v>
      </c>
      <c r="AB2115" t="s">
        <v>44</v>
      </c>
      <c r="AC2115" s="4">
        <v>5.2714900699999996</v>
      </c>
      <c r="AD2115" s="4">
        <v>5.1482567699999997</v>
      </c>
      <c r="AE2115" s="2">
        <v>5.27</v>
      </c>
      <c r="AF2115" s="4">
        <v>5.1482567699999997</v>
      </c>
      <c r="AG2115" s="2">
        <v>1.06</v>
      </c>
      <c r="AH2115" s="2">
        <v>32799840.309999999</v>
      </c>
      <c r="AI2115" s="2">
        <v>7.0000000000000007E-2</v>
      </c>
      <c r="AJ2115" s="5">
        <v>44673</v>
      </c>
      <c r="AK2115" t="s">
        <v>12268</v>
      </c>
      <c r="AL2115" s="2">
        <v>5.2</v>
      </c>
      <c r="AM2115" s="2">
        <v>5.82</v>
      </c>
      <c r="AN2115" s="2">
        <v>0.09</v>
      </c>
      <c r="AO2115" t="s">
        <v>11048</v>
      </c>
      <c r="AP2115" t="s">
        <v>11874</v>
      </c>
      <c r="AQ2115" t="s">
        <v>11873</v>
      </c>
    </row>
    <row r="2116" spans="1:43" x14ac:dyDescent="0.2">
      <c r="A2116" t="s">
        <v>12267</v>
      </c>
      <c r="B2116" t="s">
        <v>11038</v>
      </c>
      <c r="C2116" t="s">
        <v>11052</v>
      </c>
      <c r="D2116" t="s">
        <v>11875</v>
      </c>
      <c r="E2116" t="s">
        <v>11876</v>
      </c>
      <c r="F2116" t="s">
        <v>11875</v>
      </c>
      <c r="G2116" s="1">
        <v>3300000</v>
      </c>
      <c r="H2116" s="2">
        <v>3300000</v>
      </c>
      <c r="I2116" s="2">
        <v>3301865.5</v>
      </c>
      <c r="J2116" s="2">
        <v>44915.98</v>
      </c>
      <c r="K2116" s="2">
        <v>0</v>
      </c>
      <c r="L2116" s="2">
        <v>3346781.48</v>
      </c>
      <c r="M2116" s="3">
        <v>5.8453989999999996</v>
      </c>
      <c r="N2116" s="4">
        <v>7.6142900000000001E-3</v>
      </c>
      <c r="O2116" s="5">
        <v>44676</v>
      </c>
      <c r="P2116" s="5">
        <v>44765</v>
      </c>
      <c r="Q2116" s="1">
        <v>5.5819999999999999</v>
      </c>
      <c r="R2116" s="2">
        <v>0.25</v>
      </c>
      <c r="S2116" s="6">
        <v>-2.4241619880000002E-3</v>
      </c>
      <c r="T2116" t="s">
        <v>111</v>
      </c>
      <c r="U2116" t="s">
        <v>11040</v>
      </c>
      <c r="V2116" t="s">
        <v>114</v>
      </c>
      <c r="W2116" t="s">
        <v>43</v>
      </c>
      <c r="X2116" t="s">
        <v>10988</v>
      </c>
      <c r="Y2116" t="s">
        <v>44</v>
      </c>
      <c r="Z2116" t="s">
        <v>44</v>
      </c>
      <c r="AA2116" t="s">
        <v>10979</v>
      </c>
      <c r="AB2116" t="s">
        <v>44</v>
      </c>
      <c r="AC2116" s="4">
        <v>5.9749057099999998</v>
      </c>
      <c r="AD2116" s="4">
        <v>5.8172689999999996</v>
      </c>
      <c r="AE2116" s="2">
        <v>5.97</v>
      </c>
      <c r="AF2116" s="4">
        <v>5.8172689999999996</v>
      </c>
      <c r="AG2116" s="2">
        <v>0.11</v>
      </c>
      <c r="AH2116" s="2">
        <v>3346781.48</v>
      </c>
      <c r="AI2116" s="2">
        <v>0.01</v>
      </c>
      <c r="AJ2116" s="5">
        <v>44673</v>
      </c>
      <c r="AK2116" t="s">
        <v>12268</v>
      </c>
      <c r="AL2116" s="2">
        <v>5.89</v>
      </c>
      <c r="AM2116" s="2">
        <v>5.58</v>
      </c>
      <c r="AN2116" s="2">
        <v>0</v>
      </c>
      <c r="AO2116" t="s">
        <v>11048</v>
      </c>
      <c r="AP2116" t="s">
        <v>11877</v>
      </c>
      <c r="AQ2116" t="s">
        <v>11876</v>
      </c>
    </row>
    <row r="2117" spans="1:43" x14ac:dyDescent="0.2">
      <c r="A2117" t="s">
        <v>12267</v>
      </c>
      <c r="B2117" t="s">
        <v>11038</v>
      </c>
      <c r="C2117" t="s">
        <v>11039</v>
      </c>
      <c r="D2117" t="s">
        <v>12090</v>
      </c>
      <c r="E2117" t="s">
        <v>12091</v>
      </c>
      <c r="F2117" t="s">
        <v>12090</v>
      </c>
      <c r="G2117" s="1">
        <v>100000000</v>
      </c>
      <c r="H2117" s="2">
        <v>100000000</v>
      </c>
      <c r="I2117" s="2">
        <v>99969588.090000004</v>
      </c>
      <c r="J2117" s="2">
        <v>852328.77</v>
      </c>
      <c r="K2117" s="2">
        <v>0</v>
      </c>
      <c r="L2117" s="2">
        <v>100821916.86</v>
      </c>
      <c r="M2117" s="3">
        <v>6.0835429999999997</v>
      </c>
      <c r="N2117" s="4">
        <v>0.22938072000000001</v>
      </c>
      <c r="O2117" s="5">
        <v>44988</v>
      </c>
      <c r="P2117" s="5">
        <v>44988</v>
      </c>
      <c r="Q2117" s="1">
        <v>6.1</v>
      </c>
      <c r="R2117" s="2">
        <v>0.85</v>
      </c>
      <c r="S2117" s="6">
        <v>0.81254093581999998</v>
      </c>
      <c r="T2117" t="s">
        <v>111</v>
      </c>
      <c r="U2117" t="s">
        <v>11040</v>
      </c>
      <c r="V2117" t="s">
        <v>11041</v>
      </c>
      <c r="W2117" t="s">
        <v>43</v>
      </c>
      <c r="X2117" t="s">
        <v>11034</v>
      </c>
      <c r="Y2117" t="s">
        <v>44</v>
      </c>
      <c r="Z2117" t="s">
        <v>44</v>
      </c>
      <c r="AA2117" t="s">
        <v>10979</v>
      </c>
      <c r="AB2117" t="s">
        <v>44</v>
      </c>
      <c r="AC2117" s="4">
        <v>6.1100351799999997</v>
      </c>
      <c r="AD2117" s="4">
        <v>5.9453231400000002</v>
      </c>
      <c r="AE2117" s="2">
        <v>6.11</v>
      </c>
      <c r="AF2117" s="4">
        <v>5.9453231400000002</v>
      </c>
      <c r="AG2117" s="2">
        <v>3.25</v>
      </c>
      <c r="AH2117" s="2">
        <v>100821916.86</v>
      </c>
      <c r="AI2117" s="2">
        <v>0.23</v>
      </c>
      <c r="AJ2117" s="5">
        <v>44673</v>
      </c>
      <c r="AK2117" t="s">
        <v>12268</v>
      </c>
      <c r="AL2117" s="2">
        <v>6.02</v>
      </c>
      <c r="AM2117" s="2">
        <v>6.1</v>
      </c>
      <c r="AN2117" s="2">
        <v>0.81</v>
      </c>
      <c r="AO2117" t="s">
        <v>11165</v>
      </c>
      <c r="AP2117" t="s">
        <v>12092</v>
      </c>
      <c r="AQ2117" t="s">
        <v>12091</v>
      </c>
    </row>
    <row r="2118" spans="1:43" x14ac:dyDescent="0.2">
      <c r="A2118" t="s">
        <v>12267</v>
      </c>
      <c r="B2118" t="s">
        <v>11038</v>
      </c>
      <c r="C2118" t="s">
        <v>11039</v>
      </c>
      <c r="D2118" t="s">
        <v>11930</v>
      </c>
      <c r="E2118" t="s">
        <v>11931</v>
      </c>
      <c r="F2118" t="s">
        <v>11930</v>
      </c>
      <c r="G2118" s="1">
        <v>1890000</v>
      </c>
      <c r="H2118" s="2">
        <v>1895318.32</v>
      </c>
      <c r="I2118" s="2">
        <v>1894604.59</v>
      </c>
      <c r="J2118" s="2">
        <v>28074.94</v>
      </c>
      <c r="K2118" s="2">
        <v>0</v>
      </c>
      <c r="L2118" s="2">
        <v>1922679.53</v>
      </c>
      <c r="M2118" s="3">
        <v>6.0853989999999998</v>
      </c>
      <c r="N2118" s="4">
        <v>4.3743000000000002E-3</v>
      </c>
      <c r="O2118" s="5">
        <v>44676</v>
      </c>
      <c r="P2118" s="5">
        <v>44858</v>
      </c>
      <c r="Q2118" s="1">
        <v>6.0919999999999996</v>
      </c>
      <c r="R2118" s="2">
        <v>0.25</v>
      </c>
      <c r="S2118" s="6">
        <v>-5.0177142469999998E-3</v>
      </c>
      <c r="T2118" t="s">
        <v>111</v>
      </c>
      <c r="U2118" t="s">
        <v>11040</v>
      </c>
      <c r="V2118" t="s">
        <v>114</v>
      </c>
      <c r="W2118" t="s">
        <v>43</v>
      </c>
      <c r="X2118" t="s">
        <v>10988</v>
      </c>
      <c r="Y2118" t="s">
        <v>44</v>
      </c>
      <c r="Z2118" t="s">
        <v>44</v>
      </c>
      <c r="AA2118" t="s">
        <v>10979</v>
      </c>
      <c r="AB2118" t="s">
        <v>44</v>
      </c>
      <c r="AC2118" s="4">
        <v>6.2258147800000003</v>
      </c>
      <c r="AD2118" s="4">
        <v>6.0549217000000004</v>
      </c>
      <c r="AE2118" s="2">
        <v>6.23</v>
      </c>
      <c r="AF2118" s="4">
        <v>6.0549217000000004</v>
      </c>
      <c r="AG2118" s="2">
        <v>0.06</v>
      </c>
      <c r="AH2118" s="2">
        <v>1922679.53</v>
      </c>
      <c r="AI2118" s="2">
        <v>0</v>
      </c>
      <c r="AJ2118" s="5">
        <v>44673</v>
      </c>
      <c r="AK2118" t="s">
        <v>12268</v>
      </c>
      <c r="AL2118" s="2">
        <v>6.13</v>
      </c>
      <c r="AM2118" s="2">
        <v>6.09</v>
      </c>
      <c r="AN2118" s="2">
        <v>-0.01</v>
      </c>
      <c r="AO2118" t="s">
        <v>11048</v>
      </c>
      <c r="AP2118" t="s">
        <v>11932</v>
      </c>
      <c r="AQ2118" t="s">
        <v>11931</v>
      </c>
    </row>
    <row r="2119" spans="1:43" x14ac:dyDescent="0.2">
      <c r="A2119" t="s">
        <v>12267</v>
      </c>
      <c r="B2119" t="s">
        <v>11038</v>
      </c>
      <c r="C2119" t="s">
        <v>11222</v>
      </c>
      <c r="D2119" t="s">
        <v>12297</v>
      </c>
      <c r="E2119" t="s">
        <v>12298</v>
      </c>
      <c r="F2119" t="s">
        <v>12297</v>
      </c>
      <c r="G2119" s="1">
        <v>69000000</v>
      </c>
      <c r="H2119" s="2">
        <v>69000000</v>
      </c>
      <c r="I2119" s="2">
        <v>67215389.049999997</v>
      </c>
      <c r="J2119" s="2">
        <v>1045246.03</v>
      </c>
      <c r="K2119" s="2">
        <v>0</v>
      </c>
      <c r="L2119" s="2">
        <v>68260635.079999998</v>
      </c>
      <c r="M2119" s="3">
        <v>7.2734019999999999</v>
      </c>
      <c r="N2119" s="4">
        <v>0.15530029000000001</v>
      </c>
      <c r="O2119" s="5">
        <v>44763</v>
      </c>
      <c r="P2119" s="5">
        <v>45495</v>
      </c>
      <c r="Q2119" s="1">
        <v>6.01</v>
      </c>
      <c r="R2119" s="2">
        <v>2.1</v>
      </c>
      <c r="S2119" s="6">
        <v>2.02593598168</v>
      </c>
      <c r="T2119" t="s">
        <v>111</v>
      </c>
      <c r="U2119" t="s">
        <v>11040</v>
      </c>
      <c r="V2119" t="s">
        <v>11041</v>
      </c>
      <c r="W2119" t="s">
        <v>43</v>
      </c>
      <c r="X2119" t="s">
        <v>44</v>
      </c>
      <c r="Y2119" t="s">
        <v>44</v>
      </c>
      <c r="Z2119" t="s">
        <v>44</v>
      </c>
      <c r="AA2119" t="s">
        <v>10979</v>
      </c>
      <c r="AB2119" t="s">
        <v>44</v>
      </c>
      <c r="AC2119" s="4">
        <v>7.4056579999999999</v>
      </c>
      <c r="AD2119" s="4">
        <v>7.1655767900000003</v>
      </c>
      <c r="AE2119" s="2">
        <v>7.41</v>
      </c>
      <c r="AF2119" s="4">
        <v>7.1655767900000003</v>
      </c>
      <c r="AG2119" s="2">
        <v>2.2000000000000002</v>
      </c>
      <c r="AH2119" s="2">
        <v>68260635.079999998</v>
      </c>
      <c r="AI2119" s="2">
        <v>0.16</v>
      </c>
      <c r="AJ2119" s="5">
        <v>44673</v>
      </c>
      <c r="AK2119" t="s">
        <v>12268</v>
      </c>
      <c r="AL2119" s="2">
        <v>7.27</v>
      </c>
      <c r="AM2119" s="2">
        <v>6.01</v>
      </c>
      <c r="AN2119" s="2">
        <v>2.0299999999999998</v>
      </c>
      <c r="AO2119" t="s">
        <v>11054</v>
      </c>
      <c r="AP2119" t="s">
        <v>12299</v>
      </c>
      <c r="AQ2119" t="s">
        <v>12298</v>
      </c>
    </row>
    <row r="2120" spans="1:43" x14ac:dyDescent="0.2">
      <c r="A2120" t="s">
        <v>12267</v>
      </c>
      <c r="B2120" t="s">
        <v>11038</v>
      </c>
      <c r="C2120" t="s">
        <v>11222</v>
      </c>
      <c r="D2120" t="s">
        <v>12300</v>
      </c>
      <c r="E2120" t="s">
        <v>12301</v>
      </c>
      <c r="F2120" t="s">
        <v>12300</v>
      </c>
      <c r="G2120" s="1">
        <v>15000000</v>
      </c>
      <c r="H2120" s="2">
        <v>15000000</v>
      </c>
      <c r="I2120" s="2">
        <v>14580983.15</v>
      </c>
      <c r="J2120" s="2">
        <v>199495.89</v>
      </c>
      <c r="K2120" s="2">
        <v>0</v>
      </c>
      <c r="L2120" s="2">
        <v>14780479.039999999</v>
      </c>
      <c r="M2120" s="3">
        <v>7.2799759999999996</v>
      </c>
      <c r="N2120" s="4">
        <v>3.362718E-2</v>
      </c>
      <c r="O2120" s="5">
        <v>44771</v>
      </c>
      <c r="P2120" s="5">
        <v>45499</v>
      </c>
      <c r="Q2120" s="1">
        <v>5.92</v>
      </c>
      <c r="R2120" s="2">
        <v>2.11</v>
      </c>
      <c r="S2120" s="6">
        <v>2.0400044886500002</v>
      </c>
      <c r="T2120" t="s">
        <v>111</v>
      </c>
      <c r="U2120" t="s">
        <v>11040</v>
      </c>
      <c r="V2120" t="s">
        <v>11041</v>
      </c>
      <c r="W2120" t="s">
        <v>43</v>
      </c>
      <c r="X2120" t="s">
        <v>11034</v>
      </c>
      <c r="Y2120" t="s">
        <v>44</v>
      </c>
      <c r="Z2120" t="s">
        <v>44</v>
      </c>
      <c r="AA2120" t="s">
        <v>11035</v>
      </c>
      <c r="AB2120" t="s">
        <v>44</v>
      </c>
      <c r="AC2120" s="4">
        <v>7.4124711999999997</v>
      </c>
      <c r="AD2120" s="4">
        <v>7.1719579199999997</v>
      </c>
      <c r="AE2120" s="2">
        <v>7.41</v>
      </c>
      <c r="AF2120" s="4">
        <v>7.1719579199999997</v>
      </c>
      <c r="AG2120" s="2">
        <v>0.48</v>
      </c>
      <c r="AH2120" s="2">
        <v>14780479.039999999</v>
      </c>
      <c r="AI2120" s="2">
        <v>0.03</v>
      </c>
      <c r="AJ2120" s="5">
        <v>44673</v>
      </c>
      <c r="AK2120" t="s">
        <v>12268</v>
      </c>
      <c r="AL2120" s="2">
        <v>7.28</v>
      </c>
      <c r="AM2120" s="2">
        <v>5.92</v>
      </c>
      <c r="AN2120" s="2">
        <v>2.04</v>
      </c>
      <c r="AO2120" t="s">
        <v>11036</v>
      </c>
      <c r="AP2120" t="s">
        <v>12302</v>
      </c>
      <c r="AQ2120" t="s">
        <v>12301</v>
      </c>
    </row>
    <row r="2121" spans="1:43" x14ac:dyDescent="0.2">
      <c r="A2121" t="s">
        <v>12267</v>
      </c>
      <c r="B2121" t="s">
        <v>11038</v>
      </c>
      <c r="C2121" t="s">
        <v>11222</v>
      </c>
      <c r="D2121" t="s">
        <v>12303</v>
      </c>
      <c r="E2121" t="s">
        <v>12304</v>
      </c>
      <c r="F2121" t="s">
        <v>12303</v>
      </c>
      <c r="G2121" s="1">
        <v>18000000</v>
      </c>
      <c r="H2121" s="2">
        <v>18000000</v>
      </c>
      <c r="I2121" s="2">
        <v>17563384.760000002</v>
      </c>
      <c r="J2121" s="2">
        <v>275848.77</v>
      </c>
      <c r="K2121" s="2">
        <v>0</v>
      </c>
      <c r="L2121" s="2">
        <v>17839233.530000001</v>
      </c>
      <c r="M2121" s="3">
        <v>7.2687010000000001</v>
      </c>
      <c r="N2121" s="4">
        <v>4.0586179999999999E-2</v>
      </c>
      <c r="O2121" s="5">
        <v>44763</v>
      </c>
      <c r="P2121" s="5">
        <v>45492</v>
      </c>
      <c r="Q2121" s="1">
        <v>6.08</v>
      </c>
      <c r="R2121" s="2">
        <v>2.09</v>
      </c>
      <c r="S2121" s="6">
        <v>2.0175874409699999</v>
      </c>
      <c r="T2121" t="s">
        <v>111</v>
      </c>
      <c r="U2121" t="s">
        <v>11040</v>
      </c>
      <c r="V2121" t="s">
        <v>11041</v>
      </c>
      <c r="W2121" t="s">
        <v>43</v>
      </c>
      <c r="X2121" t="s">
        <v>11034</v>
      </c>
      <c r="Y2121" t="s">
        <v>44</v>
      </c>
      <c r="Z2121" t="s">
        <v>44</v>
      </c>
      <c r="AA2121" t="s">
        <v>11035</v>
      </c>
      <c r="AB2121" t="s">
        <v>44</v>
      </c>
      <c r="AC2121" s="4">
        <v>7.40078573</v>
      </c>
      <c r="AD2121" s="4">
        <v>7.1610132799999997</v>
      </c>
      <c r="AE2121" s="2">
        <v>7.4</v>
      </c>
      <c r="AF2121" s="4">
        <v>7.1610132799999997</v>
      </c>
      <c r="AG2121" s="2">
        <v>0.56999999999999995</v>
      </c>
      <c r="AH2121" s="2">
        <v>17839233.530000001</v>
      </c>
      <c r="AI2121" s="2">
        <v>0.04</v>
      </c>
      <c r="AJ2121" s="5">
        <v>44673</v>
      </c>
      <c r="AK2121" t="s">
        <v>12268</v>
      </c>
      <c r="AL2121" s="2">
        <v>7.27</v>
      </c>
      <c r="AM2121" s="2">
        <v>6.08</v>
      </c>
      <c r="AN2121" s="2">
        <v>2.02</v>
      </c>
      <c r="AO2121" t="s">
        <v>11036</v>
      </c>
      <c r="AP2121" t="s">
        <v>12305</v>
      </c>
      <c r="AQ2121" t="s">
        <v>12304</v>
      </c>
    </row>
    <row r="2122" spans="1:43" x14ac:dyDescent="0.2">
      <c r="A2122" t="s">
        <v>12267</v>
      </c>
      <c r="B2122" t="s">
        <v>11038</v>
      </c>
      <c r="C2122" t="s">
        <v>11222</v>
      </c>
      <c r="D2122" t="s">
        <v>11648</v>
      </c>
      <c r="E2122" t="s">
        <v>11649</v>
      </c>
      <c r="F2122" t="s">
        <v>11648</v>
      </c>
      <c r="G2122" s="1">
        <v>24770000</v>
      </c>
      <c r="H2122" s="2">
        <v>24772234.579999998</v>
      </c>
      <c r="I2122" s="2">
        <v>24841839.09</v>
      </c>
      <c r="J2122" s="2">
        <v>225996.05</v>
      </c>
      <c r="K2122" s="2">
        <v>0</v>
      </c>
      <c r="L2122" s="2">
        <v>25067835.140000001</v>
      </c>
      <c r="M2122" s="3">
        <v>6.0302819999999997</v>
      </c>
      <c r="N2122" s="4">
        <v>5.7032020000000003E-2</v>
      </c>
      <c r="O2122" s="5">
        <v>44712</v>
      </c>
      <c r="P2122" s="5">
        <v>45260</v>
      </c>
      <c r="Q2122" s="1">
        <v>6.1669999999999998</v>
      </c>
      <c r="R2122" s="2">
        <v>0.1</v>
      </c>
      <c r="S2122" s="6">
        <v>7.8177650525999995E-2</v>
      </c>
      <c r="T2122" t="s">
        <v>111</v>
      </c>
      <c r="U2122" t="s">
        <v>11040</v>
      </c>
      <c r="V2122" t="s">
        <v>114</v>
      </c>
      <c r="W2122" t="s">
        <v>43</v>
      </c>
      <c r="X2122" t="s">
        <v>10988</v>
      </c>
      <c r="Y2122" t="s">
        <v>44</v>
      </c>
      <c r="Z2122" t="s">
        <v>44</v>
      </c>
      <c r="AA2122" t="s">
        <v>10979</v>
      </c>
      <c r="AB2122" t="s">
        <v>44</v>
      </c>
      <c r="AC2122" s="4">
        <v>6.1968427300000002</v>
      </c>
      <c r="AD2122" s="4">
        <v>6.0275066400000004</v>
      </c>
      <c r="AE2122" s="2">
        <v>6.2</v>
      </c>
      <c r="AF2122" s="4">
        <v>6.0275066400000004</v>
      </c>
      <c r="AG2122" s="2">
        <v>0.81</v>
      </c>
      <c r="AH2122" s="2">
        <v>25067835.140000001</v>
      </c>
      <c r="AI2122" s="2">
        <v>0.06</v>
      </c>
      <c r="AJ2122" s="5">
        <v>44673</v>
      </c>
      <c r="AK2122" t="s">
        <v>12268</v>
      </c>
      <c r="AL2122" s="2">
        <v>6.1</v>
      </c>
      <c r="AM2122" s="2">
        <v>6.17</v>
      </c>
      <c r="AN2122" s="2">
        <v>0.08</v>
      </c>
      <c r="AO2122" t="s">
        <v>11048</v>
      </c>
      <c r="AP2122" t="s">
        <v>11650</v>
      </c>
      <c r="AQ2122" t="s">
        <v>11649</v>
      </c>
    </row>
    <row r="2123" spans="1:43" x14ac:dyDescent="0.2">
      <c r="A2123" t="s">
        <v>12267</v>
      </c>
      <c r="B2123" t="s">
        <v>11038</v>
      </c>
      <c r="C2123" t="s">
        <v>11222</v>
      </c>
      <c r="D2123" t="s">
        <v>11897</v>
      </c>
      <c r="E2123" t="s">
        <v>11898</v>
      </c>
      <c r="F2123" t="s">
        <v>11897</v>
      </c>
      <c r="G2123" s="1">
        <v>1600000</v>
      </c>
      <c r="H2123" s="2">
        <v>1600240.27</v>
      </c>
      <c r="I2123" s="2">
        <v>1599791.14</v>
      </c>
      <c r="J2123" s="2">
        <v>12808.72</v>
      </c>
      <c r="K2123" s="2">
        <v>0</v>
      </c>
      <c r="L2123" s="2">
        <v>1612599.86</v>
      </c>
      <c r="M2123" s="3">
        <v>6.2678570000000002</v>
      </c>
      <c r="N2123" s="4">
        <v>3.66884E-3</v>
      </c>
      <c r="O2123" s="5">
        <v>44719</v>
      </c>
      <c r="P2123" s="5">
        <v>45723</v>
      </c>
      <c r="Q2123" s="1">
        <v>6.2169999999999996</v>
      </c>
      <c r="R2123" s="2">
        <v>0.12</v>
      </c>
      <c r="S2123" s="6">
        <v>7.7282729554999999E-2</v>
      </c>
      <c r="T2123" t="s">
        <v>111</v>
      </c>
      <c r="U2123" t="s">
        <v>11040</v>
      </c>
      <c r="V2123" t="s">
        <v>114</v>
      </c>
      <c r="W2123" t="s">
        <v>43</v>
      </c>
      <c r="X2123" t="s">
        <v>10988</v>
      </c>
      <c r="Y2123" t="s">
        <v>44</v>
      </c>
      <c r="Z2123" t="s">
        <v>44</v>
      </c>
      <c r="AA2123" t="s">
        <v>11035</v>
      </c>
      <c r="AB2123" t="s">
        <v>44</v>
      </c>
      <c r="AC2123" s="4">
        <v>6.4439416999999999</v>
      </c>
      <c r="AD2123" s="4">
        <v>6.2611065000000004</v>
      </c>
      <c r="AE2123" s="2">
        <v>6.44</v>
      </c>
      <c r="AF2123" s="4">
        <v>6.2611065000000004</v>
      </c>
      <c r="AG2123" s="2">
        <v>0.05</v>
      </c>
      <c r="AH2123" s="2">
        <v>1612599.86</v>
      </c>
      <c r="AI2123" s="2">
        <v>0</v>
      </c>
      <c r="AJ2123" s="5">
        <v>44673</v>
      </c>
      <c r="AK2123" t="s">
        <v>12268</v>
      </c>
      <c r="AL2123" s="2">
        <v>6.34</v>
      </c>
      <c r="AM2123" s="2">
        <v>6.22</v>
      </c>
      <c r="AN2123" s="2">
        <v>0.08</v>
      </c>
      <c r="AO2123" t="s">
        <v>11437</v>
      </c>
      <c r="AP2123" t="s">
        <v>11899</v>
      </c>
      <c r="AQ2123" t="s">
        <v>11898</v>
      </c>
    </row>
    <row r="2124" spans="1:43" x14ac:dyDescent="0.2">
      <c r="A2124" t="s">
        <v>12267</v>
      </c>
      <c r="B2124" t="s">
        <v>11038</v>
      </c>
      <c r="C2124" t="s">
        <v>11222</v>
      </c>
      <c r="D2124" t="s">
        <v>11903</v>
      </c>
      <c r="E2124" t="s">
        <v>11904</v>
      </c>
      <c r="F2124" t="s">
        <v>11903</v>
      </c>
      <c r="G2124" s="1">
        <v>2000000</v>
      </c>
      <c r="H2124" s="2">
        <v>2000000</v>
      </c>
      <c r="I2124" s="2">
        <v>1999955.9</v>
      </c>
      <c r="J2124" s="2">
        <v>24330.080000000002</v>
      </c>
      <c r="K2124" s="2">
        <v>0</v>
      </c>
      <c r="L2124" s="2">
        <v>2024285.98</v>
      </c>
      <c r="M2124" s="3">
        <v>6.2325840000000001</v>
      </c>
      <c r="N2124" s="4">
        <v>4.6054700000000004E-3</v>
      </c>
      <c r="O2124" s="5">
        <v>44691</v>
      </c>
      <c r="P2124" s="5">
        <v>45422</v>
      </c>
      <c r="Q2124" s="1">
        <v>6.1669999999999998</v>
      </c>
      <c r="R2124" s="2">
        <v>0.04</v>
      </c>
      <c r="S2124" s="6">
        <v>1.3346666328999999E-2</v>
      </c>
      <c r="T2124" t="s">
        <v>111</v>
      </c>
      <c r="U2124" t="s">
        <v>11040</v>
      </c>
      <c r="V2124" t="s">
        <v>114</v>
      </c>
      <c r="W2124" t="s">
        <v>43</v>
      </c>
      <c r="X2124" t="s">
        <v>10988</v>
      </c>
      <c r="Y2124" t="s">
        <v>44</v>
      </c>
      <c r="Z2124" t="s">
        <v>44</v>
      </c>
      <c r="AA2124" t="s">
        <v>11035</v>
      </c>
      <c r="AB2124" t="s">
        <v>44</v>
      </c>
      <c r="AC2124" s="4">
        <v>6.4224278899999998</v>
      </c>
      <c r="AD2124" s="4">
        <v>6.2407877699999998</v>
      </c>
      <c r="AE2124" s="2">
        <v>6.42</v>
      </c>
      <c r="AF2124" s="4">
        <v>6.2407877699999998</v>
      </c>
      <c r="AG2124" s="2">
        <v>7.0000000000000007E-2</v>
      </c>
      <c r="AH2124" s="2">
        <v>2024285.98</v>
      </c>
      <c r="AI2124" s="2">
        <v>0</v>
      </c>
      <c r="AJ2124" s="5">
        <v>44673</v>
      </c>
      <c r="AK2124" t="s">
        <v>12268</v>
      </c>
      <c r="AL2124" s="2">
        <v>6.32</v>
      </c>
      <c r="AM2124" s="2">
        <v>6.17</v>
      </c>
      <c r="AN2124" s="2">
        <v>0.01</v>
      </c>
      <c r="AO2124" t="s">
        <v>11437</v>
      </c>
      <c r="AP2124" t="s">
        <v>11905</v>
      </c>
      <c r="AQ2124" t="s">
        <v>11904</v>
      </c>
    </row>
    <row r="2125" spans="1:43" x14ac:dyDescent="0.2">
      <c r="A2125" t="s">
        <v>12267</v>
      </c>
      <c r="B2125" t="s">
        <v>11160</v>
      </c>
      <c r="C2125" t="s">
        <v>11161</v>
      </c>
      <c r="D2125" t="s">
        <v>11162</v>
      </c>
      <c r="E2125" t="s">
        <v>11163</v>
      </c>
      <c r="F2125" t="s">
        <v>11162</v>
      </c>
      <c r="G2125" s="1">
        <v>29276</v>
      </c>
      <c r="H2125" s="2">
        <v>18236712.829999998</v>
      </c>
      <c r="I2125" s="2">
        <v>26348400</v>
      </c>
      <c r="J2125" s="2">
        <v>0</v>
      </c>
      <c r="K2125" s="2">
        <v>730175.52</v>
      </c>
      <c r="L2125" s="2">
        <v>27078575.52</v>
      </c>
      <c r="M2125" s="3">
        <v>90000</v>
      </c>
      <c r="N2125" s="4">
        <v>6.1606670000000002E-2</v>
      </c>
      <c r="O2125" s="5" t="s">
        <v>44</v>
      </c>
      <c r="P2125" s="5" t="s">
        <v>44</v>
      </c>
      <c r="Q2125" s="1"/>
      <c r="R2125" s="2"/>
      <c r="S2125" s="6"/>
      <c r="T2125" t="s">
        <v>10902</v>
      </c>
      <c r="U2125" t="s">
        <v>10902</v>
      </c>
      <c r="V2125" t="s">
        <v>11164</v>
      </c>
      <c r="W2125" t="s">
        <v>43</v>
      </c>
      <c r="X2125" t="s">
        <v>44</v>
      </c>
      <c r="Y2125" t="s">
        <v>44</v>
      </c>
      <c r="Z2125" t="s">
        <v>44</v>
      </c>
      <c r="AA2125" t="s">
        <v>10979</v>
      </c>
      <c r="AB2125" t="s">
        <v>44</v>
      </c>
      <c r="AC2125" s="4"/>
      <c r="AD2125" s="4"/>
      <c r="AE2125" s="2">
        <v>0</v>
      </c>
      <c r="AF2125" s="4">
        <v>0</v>
      </c>
      <c r="AG2125" s="2">
        <v>0.87</v>
      </c>
      <c r="AH2125" s="2">
        <v>27078575.52</v>
      </c>
      <c r="AI2125" s="2">
        <v>0.06</v>
      </c>
      <c r="AJ2125" s="5">
        <v>44673</v>
      </c>
      <c r="AK2125" t="s">
        <v>12268</v>
      </c>
      <c r="AL2125" s="2">
        <v>0</v>
      </c>
      <c r="AM2125" s="2">
        <v>0</v>
      </c>
      <c r="AN2125" s="2">
        <v>0</v>
      </c>
      <c r="AO2125" t="s">
        <v>11165</v>
      </c>
      <c r="AP2125" t="s">
        <v>11166</v>
      </c>
      <c r="AQ2125" t="s">
        <v>11163</v>
      </c>
    </row>
    <row r="2126" spans="1:43" x14ac:dyDescent="0.2">
      <c r="A2126" t="s">
        <v>12267</v>
      </c>
      <c r="B2126" t="s">
        <v>11160</v>
      </c>
      <c r="C2126" t="s">
        <v>11161</v>
      </c>
      <c r="D2126" t="s">
        <v>11654</v>
      </c>
      <c r="E2126" t="s">
        <v>11655</v>
      </c>
      <c r="F2126" t="s">
        <v>11654</v>
      </c>
      <c r="G2126" s="1">
        <v>189143</v>
      </c>
      <c r="H2126" s="2">
        <v>13623356.060000001</v>
      </c>
      <c r="I2126" s="2">
        <v>18136922.27</v>
      </c>
      <c r="J2126" s="2">
        <v>0</v>
      </c>
      <c r="K2126" s="2">
        <v>0</v>
      </c>
      <c r="L2126" s="2">
        <v>18136922.27</v>
      </c>
      <c r="M2126" s="3">
        <v>9589</v>
      </c>
      <c r="N2126" s="4">
        <v>4.126345E-2</v>
      </c>
      <c r="O2126" s="5" t="s">
        <v>44</v>
      </c>
      <c r="P2126" s="5" t="s">
        <v>44</v>
      </c>
      <c r="Q2126" s="1"/>
      <c r="R2126" s="2"/>
      <c r="S2126" s="6"/>
      <c r="T2126" t="s">
        <v>10902</v>
      </c>
      <c r="U2126" t="s">
        <v>10902</v>
      </c>
      <c r="V2126" t="s">
        <v>11164</v>
      </c>
      <c r="W2126" t="s">
        <v>43</v>
      </c>
      <c r="X2126" t="s">
        <v>44</v>
      </c>
      <c r="Y2126" t="s">
        <v>44</v>
      </c>
      <c r="Z2126" t="s">
        <v>44</v>
      </c>
      <c r="AA2126" t="s">
        <v>10979</v>
      </c>
      <c r="AB2126" t="s">
        <v>44</v>
      </c>
      <c r="AC2126" s="4"/>
      <c r="AD2126" s="4"/>
      <c r="AE2126" s="2">
        <v>0</v>
      </c>
      <c r="AF2126" s="4">
        <v>0</v>
      </c>
      <c r="AG2126" s="2">
        <v>0.57999999999999996</v>
      </c>
      <c r="AH2126" s="2">
        <v>18136922.27</v>
      </c>
      <c r="AI2126" s="2">
        <v>0.04</v>
      </c>
      <c r="AJ2126" s="5">
        <v>44673</v>
      </c>
      <c r="AK2126" t="s">
        <v>12268</v>
      </c>
      <c r="AL2126" s="2">
        <v>0</v>
      </c>
      <c r="AM2126" s="2">
        <v>0</v>
      </c>
      <c r="AN2126" s="2">
        <v>0</v>
      </c>
      <c r="AO2126" t="s">
        <v>11054</v>
      </c>
      <c r="AP2126" t="s">
        <v>11656</v>
      </c>
      <c r="AQ2126" t="s">
        <v>11655</v>
      </c>
    </row>
    <row r="2127" spans="1:43" x14ac:dyDescent="0.2">
      <c r="A2127" t="s">
        <v>12267</v>
      </c>
      <c r="B2127" t="s">
        <v>11160</v>
      </c>
      <c r="C2127" t="s">
        <v>11161</v>
      </c>
      <c r="D2127" t="s">
        <v>11176</v>
      </c>
      <c r="E2127" t="s">
        <v>11177</v>
      </c>
      <c r="F2127" t="s">
        <v>11178</v>
      </c>
      <c r="G2127" s="1">
        <v>279124</v>
      </c>
      <c r="H2127" s="2">
        <v>20016905.670000002</v>
      </c>
      <c r="I2127" s="2">
        <v>25788266.359999999</v>
      </c>
      <c r="J2127" s="2">
        <v>0</v>
      </c>
      <c r="K2127" s="2">
        <v>0</v>
      </c>
      <c r="L2127" s="2">
        <v>25788266.359999999</v>
      </c>
      <c r="M2127" s="3">
        <v>9239</v>
      </c>
      <c r="N2127" s="4">
        <v>5.867108E-2</v>
      </c>
      <c r="O2127" s="5" t="s">
        <v>44</v>
      </c>
      <c r="P2127" s="5" t="s">
        <v>44</v>
      </c>
      <c r="Q2127" s="1"/>
      <c r="R2127" s="2"/>
      <c r="S2127" s="6"/>
      <c r="T2127" t="s">
        <v>10902</v>
      </c>
      <c r="U2127" t="s">
        <v>10902</v>
      </c>
      <c r="V2127" t="s">
        <v>11164</v>
      </c>
      <c r="W2127" t="s">
        <v>43</v>
      </c>
      <c r="X2127" t="s">
        <v>44</v>
      </c>
      <c r="Y2127" t="s">
        <v>44</v>
      </c>
      <c r="Z2127" t="s">
        <v>44</v>
      </c>
      <c r="AA2127" t="s">
        <v>10979</v>
      </c>
      <c r="AB2127" t="s">
        <v>44</v>
      </c>
      <c r="AC2127" s="4"/>
      <c r="AD2127" s="4"/>
      <c r="AE2127" s="2">
        <v>0</v>
      </c>
      <c r="AF2127" s="4">
        <v>0</v>
      </c>
      <c r="AG2127" s="2">
        <v>0.83</v>
      </c>
      <c r="AH2127" s="2">
        <v>25788266.359999999</v>
      </c>
      <c r="AI2127" s="2">
        <v>0.06</v>
      </c>
      <c r="AJ2127" s="5">
        <v>44673</v>
      </c>
      <c r="AK2127" t="s">
        <v>12268</v>
      </c>
      <c r="AL2127" s="2">
        <v>0</v>
      </c>
      <c r="AM2127" s="2">
        <v>0</v>
      </c>
      <c r="AN2127" s="2">
        <v>0</v>
      </c>
      <c r="AO2127" t="s">
        <v>11179</v>
      </c>
      <c r="AP2127" t="s">
        <v>11180</v>
      </c>
      <c r="AQ2127" t="s">
        <v>11177</v>
      </c>
    </row>
    <row r="2128" spans="1:43" x14ac:dyDescent="0.2">
      <c r="A2128" t="s">
        <v>12306</v>
      </c>
      <c r="B2128" t="s">
        <v>45</v>
      </c>
      <c r="C2128" t="s">
        <v>11000</v>
      </c>
      <c r="D2128" t="s">
        <v>11001</v>
      </c>
      <c r="E2128" t="s">
        <v>11002</v>
      </c>
      <c r="F2128" t="s">
        <v>11001</v>
      </c>
      <c r="G2128" s="1">
        <v>7350000</v>
      </c>
      <c r="H2128" s="2">
        <v>7350000</v>
      </c>
      <c r="I2128" s="2">
        <v>7350000</v>
      </c>
      <c r="J2128" s="2">
        <v>18398.759999999998</v>
      </c>
      <c r="K2128" s="2">
        <v>0</v>
      </c>
      <c r="L2128" s="2">
        <v>7368398.7599999998</v>
      </c>
      <c r="M2128" s="3"/>
      <c r="N2128" s="4">
        <v>1.6763900000000002E-2</v>
      </c>
      <c r="O2128" s="5">
        <v>40756</v>
      </c>
      <c r="P2128" s="5">
        <v>73020</v>
      </c>
      <c r="Q2128" s="1">
        <v>0</v>
      </c>
      <c r="R2128" s="2"/>
      <c r="S2128" s="6"/>
      <c r="T2128" t="s">
        <v>111</v>
      </c>
      <c r="U2128" t="s">
        <v>11003</v>
      </c>
      <c r="V2128" t="s">
        <v>46</v>
      </c>
      <c r="W2128" t="s">
        <v>43</v>
      </c>
      <c r="X2128" t="s">
        <v>44</v>
      </c>
      <c r="Y2128" t="s">
        <v>44</v>
      </c>
      <c r="Z2128" t="s">
        <v>44</v>
      </c>
      <c r="AA2128" t="s">
        <v>44</v>
      </c>
      <c r="AB2128" t="s">
        <v>44</v>
      </c>
      <c r="AC2128" s="4"/>
      <c r="AD2128" s="4"/>
      <c r="AE2128" s="2">
        <v>0</v>
      </c>
      <c r="AF2128" s="4">
        <v>0</v>
      </c>
      <c r="AG2128" s="2">
        <v>5</v>
      </c>
      <c r="AH2128" s="2">
        <v>7368398.7599999998</v>
      </c>
      <c r="AI2128" s="2">
        <v>0.02</v>
      </c>
      <c r="AJ2128" s="5">
        <v>44673</v>
      </c>
      <c r="AK2128" t="s">
        <v>12307</v>
      </c>
      <c r="AL2128" s="2">
        <v>0</v>
      </c>
      <c r="AM2128" s="2">
        <v>0</v>
      </c>
      <c r="AN2128" s="2">
        <v>0</v>
      </c>
      <c r="AO2128" t="s">
        <v>44</v>
      </c>
      <c r="AP2128" t="s">
        <v>11004</v>
      </c>
      <c r="AQ2128" t="s">
        <v>11002</v>
      </c>
    </row>
    <row r="2129" spans="1:43" x14ac:dyDescent="0.2">
      <c r="A2129" t="s">
        <v>12306</v>
      </c>
      <c r="B2129" t="s">
        <v>45</v>
      </c>
      <c r="C2129" t="s">
        <v>47</v>
      </c>
      <c r="D2129" t="s">
        <v>48</v>
      </c>
      <c r="E2129" t="s">
        <v>49</v>
      </c>
      <c r="F2129" t="s">
        <v>50</v>
      </c>
      <c r="G2129" s="1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1208.8699999999999</v>
      </c>
      <c r="M2129" s="3"/>
      <c r="N2129" s="4">
        <v>2.7499999999999999E-6</v>
      </c>
      <c r="O2129" s="5" t="s">
        <v>44</v>
      </c>
      <c r="P2129" s="5" t="s">
        <v>44</v>
      </c>
      <c r="Q2129" s="1"/>
      <c r="R2129" s="2">
        <v>0.08</v>
      </c>
      <c r="S2129" s="6"/>
      <c r="T2129" t="s">
        <v>45</v>
      </c>
      <c r="U2129" t="s">
        <v>46</v>
      </c>
      <c r="V2129" t="s">
        <v>44</v>
      </c>
      <c r="W2129" t="s">
        <v>43</v>
      </c>
      <c r="X2129" t="s">
        <v>44</v>
      </c>
      <c r="Y2129" t="s">
        <v>44</v>
      </c>
      <c r="Z2129" t="s">
        <v>44</v>
      </c>
      <c r="AA2129" t="s">
        <v>44</v>
      </c>
      <c r="AB2129" t="s">
        <v>44</v>
      </c>
      <c r="AC2129" s="4">
        <v>5.1163389600000002</v>
      </c>
      <c r="AD2129" s="4">
        <v>5.0001424999999999</v>
      </c>
      <c r="AE2129" s="2">
        <v>5.12</v>
      </c>
      <c r="AF2129" s="4">
        <v>5.0001424999999999</v>
      </c>
      <c r="AG2129" s="2">
        <v>0</v>
      </c>
      <c r="AH2129" s="2">
        <v>1208.8699999999999</v>
      </c>
      <c r="AI2129" s="2">
        <v>0</v>
      </c>
      <c r="AJ2129" s="5">
        <v>44673</v>
      </c>
      <c r="AK2129" t="s">
        <v>12307</v>
      </c>
      <c r="AL2129" s="2">
        <v>5.05</v>
      </c>
      <c r="AM2129" s="2">
        <v>0</v>
      </c>
      <c r="AN2129" s="2">
        <v>0</v>
      </c>
      <c r="AO2129" t="s">
        <v>44</v>
      </c>
      <c r="AP2129" t="s">
        <v>44</v>
      </c>
      <c r="AQ2129" t="s">
        <v>44</v>
      </c>
    </row>
    <row r="2130" spans="1:43" x14ac:dyDescent="0.2">
      <c r="A2130" t="s">
        <v>12306</v>
      </c>
      <c r="B2130" t="s">
        <v>45</v>
      </c>
      <c r="C2130" t="s">
        <v>47</v>
      </c>
      <c r="D2130" t="s">
        <v>51</v>
      </c>
      <c r="E2130" t="s">
        <v>52</v>
      </c>
      <c r="F2130" t="s">
        <v>51</v>
      </c>
      <c r="G2130" s="1">
        <v>679712.56</v>
      </c>
      <c r="H2130" s="2">
        <v>679711.76</v>
      </c>
      <c r="I2130" s="2">
        <v>679712.56</v>
      </c>
      <c r="J2130" s="2">
        <v>0</v>
      </c>
      <c r="K2130" s="2">
        <v>0</v>
      </c>
      <c r="L2130" s="2">
        <v>679712.56</v>
      </c>
      <c r="M2130" s="3"/>
      <c r="N2130" s="4">
        <v>1.54642E-3</v>
      </c>
      <c r="O2130" s="5" t="s">
        <v>44</v>
      </c>
      <c r="P2130" s="5" t="s">
        <v>44</v>
      </c>
      <c r="Q2130" s="1"/>
      <c r="R2130" s="2">
        <v>0.08</v>
      </c>
      <c r="S2130" s="6"/>
      <c r="T2130" t="s">
        <v>45</v>
      </c>
      <c r="U2130" t="s">
        <v>53</v>
      </c>
      <c r="V2130" t="s">
        <v>44</v>
      </c>
      <c r="W2130" t="s">
        <v>43</v>
      </c>
      <c r="X2130" t="s">
        <v>44</v>
      </c>
      <c r="Y2130" t="s">
        <v>44</v>
      </c>
      <c r="Z2130" t="s">
        <v>44</v>
      </c>
      <c r="AA2130" t="s">
        <v>44</v>
      </c>
      <c r="AB2130" t="s">
        <v>44</v>
      </c>
      <c r="AC2130" s="4">
        <v>5.1163389600000002</v>
      </c>
      <c r="AD2130" s="4">
        <v>5.0001424999999999</v>
      </c>
      <c r="AE2130" s="2">
        <v>5.12</v>
      </c>
      <c r="AF2130" s="4">
        <v>5.0001424999999999</v>
      </c>
      <c r="AG2130" s="2">
        <v>0.46</v>
      </c>
      <c r="AH2130" s="2">
        <v>679712.56</v>
      </c>
      <c r="AI2130" s="2">
        <v>0</v>
      </c>
      <c r="AJ2130" s="5">
        <v>44673</v>
      </c>
      <c r="AK2130" t="s">
        <v>12307</v>
      </c>
      <c r="AL2130" s="2">
        <v>5.05</v>
      </c>
      <c r="AM2130" s="2">
        <v>0</v>
      </c>
      <c r="AN2130" s="2">
        <v>0</v>
      </c>
      <c r="AO2130" t="s">
        <v>44</v>
      </c>
      <c r="AP2130" t="s">
        <v>44</v>
      </c>
      <c r="AQ2130" t="s">
        <v>43</v>
      </c>
    </row>
    <row r="2131" spans="1:43" x14ac:dyDescent="0.2">
      <c r="A2131" t="s">
        <v>12306</v>
      </c>
      <c r="B2131" t="s">
        <v>45</v>
      </c>
      <c r="C2131" t="s">
        <v>47</v>
      </c>
      <c r="D2131" t="s">
        <v>11045</v>
      </c>
      <c r="E2131" t="s">
        <v>11046</v>
      </c>
      <c r="F2131" t="s">
        <v>11045</v>
      </c>
      <c r="G2131" s="1">
        <v>445.72</v>
      </c>
      <c r="H2131" s="2">
        <v>6527.06</v>
      </c>
      <c r="I2131" s="2">
        <v>6959.48</v>
      </c>
      <c r="J2131" s="2">
        <v>0</v>
      </c>
      <c r="K2131" s="2">
        <v>0</v>
      </c>
      <c r="L2131" s="2">
        <v>6959.48</v>
      </c>
      <c r="M2131" s="3">
        <v>1</v>
      </c>
      <c r="N2131" s="4">
        <v>1.5829999999999999E-5</v>
      </c>
      <c r="O2131" s="5" t="s">
        <v>44</v>
      </c>
      <c r="P2131" s="5" t="s">
        <v>44</v>
      </c>
      <c r="Q2131" s="1"/>
      <c r="R2131" s="2">
        <v>0.08</v>
      </c>
      <c r="S2131" s="6"/>
      <c r="T2131" t="s">
        <v>45</v>
      </c>
      <c r="U2131" t="s">
        <v>53</v>
      </c>
      <c r="V2131" t="s">
        <v>44</v>
      </c>
      <c r="W2131" t="s">
        <v>113</v>
      </c>
      <c r="X2131" t="s">
        <v>44</v>
      </c>
      <c r="Y2131" t="s">
        <v>44</v>
      </c>
      <c r="Z2131" t="s">
        <v>44</v>
      </c>
      <c r="AA2131" t="s">
        <v>44</v>
      </c>
      <c r="AB2131" t="s">
        <v>44</v>
      </c>
      <c r="AC2131" s="4"/>
      <c r="AD2131" s="4"/>
      <c r="AE2131" s="2">
        <v>0</v>
      </c>
      <c r="AF2131" s="4">
        <v>0</v>
      </c>
      <c r="AG2131" s="2">
        <v>0</v>
      </c>
      <c r="AH2131" s="2">
        <v>6959.48</v>
      </c>
      <c r="AI2131" s="2">
        <v>0</v>
      </c>
      <c r="AJ2131" s="5">
        <v>44673</v>
      </c>
      <c r="AK2131" t="s">
        <v>12307</v>
      </c>
      <c r="AL2131" s="2">
        <v>0</v>
      </c>
      <c r="AM2131" s="2">
        <v>0</v>
      </c>
      <c r="AN2131" s="2">
        <v>0</v>
      </c>
      <c r="AO2131" t="s">
        <v>44</v>
      </c>
      <c r="AP2131" t="s">
        <v>44</v>
      </c>
      <c r="AQ2131" t="s">
        <v>113</v>
      </c>
    </row>
    <row r="2132" spans="1:43" x14ac:dyDescent="0.2">
      <c r="A2132" t="s">
        <v>12306</v>
      </c>
      <c r="B2132" t="s">
        <v>45</v>
      </c>
      <c r="C2132" t="s">
        <v>11005</v>
      </c>
      <c r="D2132" t="s">
        <v>11006</v>
      </c>
      <c r="E2132" t="s">
        <v>11007</v>
      </c>
      <c r="F2132" t="s">
        <v>11006</v>
      </c>
      <c r="G2132" s="1">
        <v>-28175.5</v>
      </c>
      <c r="H2132" s="2">
        <v>-28175.5</v>
      </c>
      <c r="I2132" s="2">
        <v>-28175.5</v>
      </c>
      <c r="J2132" s="2">
        <v>0</v>
      </c>
      <c r="K2132" s="2"/>
      <c r="L2132" s="2">
        <v>-28175.5</v>
      </c>
      <c r="M2132" s="3"/>
      <c r="N2132" s="4">
        <v>-6.41E-5</v>
      </c>
      <c r="O2132" s="5" t="s">
        <v>44</v>
      </c>
      <c r="P2132" s="5">
        <v>73051</v>
      </c>
      <c r="Q2132" s="1">
        <v>0</v>
      </c>
      <c r="R2132" s="2">
        <v>0.08</v>
      </c>
      <c r="S2132" s="6"/>
      <c r="T2132" t="s">
        <v>45</v>
      </c>
      <c r="U2132" t="s">
        <v>11008</v>
      </c>
      <c r="V2132" t="s">
        <v>44</v>
      </c>
      <c r="W2132" t="s">
        <v>43</v>
      </c>
      <c r="X2132" t="s">
        <v>44</v>
      </c>
      <c r="Y2132" t="s">
        <v>44</v>
      </c>
      <c r="Z2132" t="s">
        <v>44</v>
      </c>
      <c r="AA2132" t="s">
        <v>44</v>
      </c>
      <c r="AB2132" t="s">
        <v>44</v>
      </c>
      <c r="AC2132" s="4">
        <v>5.1163389600000002</v>
      </c>
      <c r="AD2132" s="4">
        <v>5.0001424999999999</v>
      </c>
      <c r="AE2132" s="2">
        <v>5.12</v>
      </c>
      <c r="AF2132" s="4">
        <v>5.0001424999999999</v>
      </c>
      <c r="AG2132" s="2">
        <v>-0.02</v>
      </c>
      <c r="AH2132" s="2">
        <v>-28175.5</v>
      </c>
      <c r="AI2132" s="2">
        <v>0</v>
      </c>
      <c r="AJ2132" s="5">
        <v>44673</v>
      </c>
      <c r="AK2132" t="s">
        <v>12307</v>
      </c>
      <c r="AL2132" s="2">
        <v>5.05</v>
      </c>
      <c r="AM2132" s="2">
        <v>0</v>
      </c>
      <c r="AN2132" s="2">
        <v>0</v>
      </c>
      <c r="AO2132" t="s">
        <v>44</v>
      </c>
      <c r="AP2132" t="s">
        <v>44</v>
      </c>
      <c r="AQ2132" t="s">
        <v>44</v>
      </c>
    </row>
    <row r="2133" spans="1:43" x14ac:dyDescent="0.2">
      <c r="A2133" t="s">
        <v>12306</v>
      </c>
      <c r="B2133" t="s">
        <v>45</v>
      </c>
      <c r="C2133" t="s">
        <v>11005</v>
      </c>
      <c r="D2133" t="s">
        <v>11009</v>
      </c>
      <c r="E2133" t="s">
        <v>11010</v>
      </c>
      <c r="F2133" t="s">
        <v>44</v>
      </c>
      <c r="G2133" s="1">
        <v>-29060.53</v>
      </c>
      <c r="H2133" s="2">
        <v>-29060.53</v>
      </c>
      <c r="I2133" s="2">
        <v>-29060.53</v>
      </c>
      <c r="J2133" s="2">
        <v>0</v>
      </c>
      <c r="K2133" s="2"/>
      <c r="L2133" s="2">
        <v>-29060.53</v>
      </c>
      <c r="M2133" s="3"/>
      <c r="N2133" s="4">
        <v>-6.6119999999999997E-5</v>
      </c>
      <c r="O2133" s="5" t="s">
        <v>44</v>
      </c>
      <c r="P2133" s="5">
        <v>73051</v>
      </c>
      <c r="Q2133" s="1">
        <v>0</v>
      </c>
      <c r="R2133" s="2">
        <v>0.08</v>
      </c>
      <c r="S2133" s="6"/>
      <c r="T2133" t="s">
        <v>45</v>
      </c>
      <c r="U2133" t="s">
        <v>44</v>
      </c>
      <c r="V2133" t="s">
        <v>44</v>
      </c>
      <c r="W2133" t="s">
        <v>43</v>
      </c>
      <c r="X2133" t="s">
        <v>44</v>
      </c>
      <c r="Y2133" t="s">
        <v>44</v>
      </c>
      <c r="Z2133" t="s">
        <v>44</v>
      </c>
      <c r="AA2133" t="s">
        <v>44</v>
      </c>
      <c r="AB2133" t="s">
        <v>44</v>
      </c>
      <c r="AC2133" s="4">
        <v>5.1163389600000002</v>
      </c>
      <c r="AD2133" s="4">
        <v>5.0001424999999999</v>
      </c>
      <c r="AE2133" s="2">
        <v>5.12</v>
      </c>
      <c r="AF2133" s="4">
        <v>5.0001424999999999</v>
      </c>
      <c r="AG2133" s="2">
        <v>-0.02</v>
      </c>
      <c r="AH2133" s="2">
        <v>-29060.53</v>
      </c>
      <c r="AI2133" s="2">
        <v>0</v>
      </c>
      <c r="AJ2133" s="5">
        <v>44673</v>
      </c>
      <c r="AK2133" t="s">
        <v>12307</v>
      </c>
      <c r="AL2133" s="2">
        <v>5.05</v>
      </c>
      <c r="AM2133" s="2">
        <v>0</v>
      </c>
      <c r="AN2133" s="2">
        <v>0</v>
      </c>
      <c r="AO2133" t="s">
        <v>44</v>
      </c>
      <c r="AP2133" t="s">
        <v>44</v>
      </c>
      <c r="AQ2133" t="s">
        <v>44</v>
      </c>
    </row>
    <row r="2134" spans="1:43" x14ac:dyDescent="0.2">
      <c r="A2134" t="s">
        <v>12306</v>
      </c>
      <c r="B2134" t="s">
        <v>45</v>
      </c>
      <c r="C2134" t="s">
        <v>11005</v>
      </c>
      <c r="D2134" t="s">
        <v>11011</v>
      </c>
      <c r="E2134" t="s">
        <v>11012</v>
      </c>
      <c r="F2134" t="s">
        <v>44</v>
      </c>
      <c r="G2134" s="1">
        <v>-1926.23</v>
      </c>
      <c r="H2134" s="2">
        <v>-1926.23</v>
      </c>
      <c r="I2134" s="2">
        <v>-1926.23</v>
      </c>
      <c r="J2134" s="2">
        <v>0</v>
      </c>
      <c r="K2134" s="2"/>
      <c r="L2134" s="2">
        <v>-1926.23</v>
      </c>
      <c r="M2134" s="3"/>
      <c r="N2134" s="4">
        <v>-4.3800000000000004E-6</v>
      </c>
      <c r="O2134" s="5" t="s">
        <v>44</v>
      </c>
      <c r="P2134" s="5">
        <v>73051</v>
      </c>
      <c r="Q2134" s="1">
        <v>0</v>
      </c>
      <c r="R2134" s="2">
        <v>0.08</v>
      </c>
      <c r="S2134" s="6"/>
      <c r="T2134" t="s">
        <v>45</v>
      </c>
      <c r="U2134" t="s">
        <v>44</v>
      </c>
      <c r="V2134" t="s">
        <v>44</v>
      </c>
      <c r="W2134" t="s">
        <v>43</v>
      </c>
      <c r="X2134" t="s">
        <v>44</v>
      </c>
      <c r="Y2134" t="s">
        <v>44</v>
      </c>
      <c r="Z2134" t="s">
        <v>44</v>
      </c>
      <c r="AA2134" t="s">
        <v>44</v>
      </c>
      <c r="AB2134" t="s">
        <v>44</v>
      </c>
      <c r="AC2134" s="4">
        <v>5.1163389600000002</v>
      </c>
      <c r="AD2134" s="4">
        <v>5.0001424999999999</v>
      </c>
      <c r="AE2134" s="2">
        <v>5.12</v>
      </c>
      <c r="AF2134" s="4">
        <v>5.0001424999999999</v>
      </c>
      <c r="AG2134" s="2">
        <v>0</v>
      </c>
      <c r="AH2134" s="2">
        <v>-1926.23</v>
      </c>
      <c r="AI2134" s="2">
        <v>0</v>
      </c>
      <c r="AJ2134" s="5">
        <v>44673</v>
      </c>
      <c r="AK2134" t="s">
        <v>12307</v>
      </c>
      <c r="AL2134" s="2">
        <v>5.05</v>
      </c>
      <c r="AM2134" s="2">
        <v>0</v>
      </c>
      <c r="AN2134" s="2">
        <v>0</v>
      </c>
      <c r="AO2134" t="s">
        <v>44</v>
      </c>
      <c r="AP2134" t="s">
        <v>44</v>
      </c>
      <c r="AQ2134" t="s">
        <v>44</v>
      </c>
    </row>
    <row r="2135" spans="1:43" x14ac:dyDescent="0.2">
      <c r="A2135" t="s">
        <v>12306</v>
      </c>
      <c r="B2135" t="s">
        <v>11013</v>
      </c>
      <c r="C2135" t="s">
        <v>11047</v>
      </c>
      <c r="D2135" t="s">
        <v>12308</v>
      </c>
      <c r="E2135" t="s">
        <v>12309</v>
      </c>
      <c r="F2135" t="s">
        <v>12308</v>
      </c>
      <c r="G2135" s="1">
        <v>6048272.6879000003</v>
      </c>
      <c r="H2135" s="2">
        <v>126371679.61</v>
      </c>
      <c r="I2135" s="2">
        <v>139295842.13999999</v>
      </c>
      <c r="J2135" s="2">
        <v>0</v>
      </c>
      <c r="K2135" s="2">
        <v>0</v>
      </c>
      <c r="L2135" s="2">
        <v>139295842.13999999</v>
      </c>
      <c r="M2135" s="3">
        <v>1.4750000000000001</v>
      </c>
      <c r="N2135" s="4">
        <v>0.31691303999999998</v>
      </c>
      <c r="O2135" s="5" t="s">
        <v>44</v>
      </c>
      <c r="P2135" s="5" t="s">
        <v>44</v>
      </c>
      <c r="Q2135" s="1"/>
      <c r="R2135" s="2"/>
      <c r="S2135" s="6"/>
      <c r="T2135" t="s">
        <v>10902</v>
      </c>
      <c r="U2135" t="s">
        <v>11003</v>
      </c>
      <c r="V2135" t="s">
        <v>11003</v>
      </c>
      <c r="W2135" t="s">
        <v>113</v>
      </c>
      <c r="X2135" t="s">
        <v>44</v>
      </c>
      <c r="Y2135" t="s">
        <v>44</v>
      </c>
      <c r="Z2135" t="s">
        <v>44</v>
      </c>
      <c r="AA2135" t="s">
        <v>44</v>
      </c>
      <c r="AB2135" t="s">
        <v>44</v>
      </c>
      <c r="AC2135" s="4"/>
      <c r="AD2135" s="4"/>
      <c r="AE2135" s="2">
        <v>0</v>
      </c>
      <c r="AF2135" s="4">
        <v>0</v>
      </c>
      <c r="AG2135" s="2">
        <v>94.58</v>
      </c>
      <c r="AH2135" s="2">
        <v>139295842.13999999</v>
      </c>
      <c r="AI2135" s="2">
        <v>0.32</v>
      </c>
      <c r="AJ2135" s="5">
        <v>44673</v>
      </c>
      <c r="AK2135" t="s">
        <v>12307</v>
      </c>
      <c r="AL2135" s="2">
        <v>0</v>
      </c>
      <c r="AM2135" s="2">
        <v>0</v>
      </c>
      <c r="AN2135" s="2">
        <v>0</v>
      </c>
      <c r="AO2135" t="s">
        <v>44</v>
      </c>
      <c r="AP2135" t="s">
        <v>12310</v>
      </c>
      <c r="AQ2135" t="s">
        <v>12309</v>
      </c>
    </row>
    <row r="2136" spans="1:43" x14ac:dyDescent="0.2">
      <c r="A2136" t="s">
        <v>12311</v>
      </c>
      <c r="B2136" t="s">
        <v>45</v>
      </c>
      <c r="C2136" t="s">
        <v>47</v>
      </c>
      <c r="D2136" t="s">
        <v>48</v>
      </c>
      <c r="E2136" t="s">
        <v>49</v>
      </c>
      <c r="F2136" t="s">
        <v>50</v>
      </c>
      <c r="G2136" s="1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50.6</v>
      </c>
      <c r="M2136" s="3"/>
      <c r="N2136" s="4">
        <v>1.1999999999999999E-7</v>
      </c>
      <c r="O2136" s="5" t="s">
        <v>44</v>
      </c>
      <c r="P2136" s="5" t="s">
        <v>44</v>
      </c>
      <c r="Q2136" s="1"/>
      <c r="R2136" s="2">
        <v>0.08</v>
      </c>
      <c r="S2136" s="6"/>
      <c r="T2136" t="s">
        <v>45</v>
      </c>
      <c r="U2136" t="s">
        <v>46</v>
      </c>
      <c r="V2136" t="s">
        <v>44</v>
      </c>
      <c r="W2136" t="s">
        <v>43</v>
      </c>
      <c r="X2136" t="s">
        <v>44</v>
      </c>
      <c r="Y2136" t="s">
        <v>44</v>
      </c>
      <c r="Z2136" t="s">
        <v>44</v>
      </c>
      <c r="AA2136" t="s">
        <v>44</v>
      </c>
      <c r="AB2136" t="s">
        <v>44</v>
      </c>
      <c r="AC2136" s="4">
        <v>5.1163389600000002</v>
      </c>
      <c r="AD2136" s="4">
        <v>5.0001424999999999</v>
      </c>
      <c r="AE2136" s="2">
        <v>5.12</v>
      </c>
      <c r="AF2136" s="4">
        <v>5.0001424999999999</v>
      </c>
      <c r="AG2136" s="2">
        <v>0</v>
      </c>
      <c r="AH2136" s="2">
        <v>50.6</v>
      </c>
      <c r="AI2136" s="2">
        <v>0</v>
      </c>
      <c r="AJ2136" s="5">
        <v>44673</v>
      </c>
      <c r="AK2136" t="s">
        <v>12312</v>
      </c>
      <c r="AL2136" s="2">
        <v>5.05</v>
      </c>
      <c r="AM2136" s="2">
        <v>0</v>
      </c>
      <c r="AN2136" s="2">
        <v>0</v>
      </c>
      <c r="AO2136" t="s">
        <v>44</v>
      </c>
      <c r="AP2136" t="s">
        <v>44</v>
      </c>
      <c r="AQ2136" t="s">
        <v>44</v>
      </c>
    </row>
    <row r="2137" spans="1:43" x14ac:dyDescent="0.2">
      <c r="A2137" t="s">
        <v>12311</v>
      </c>
      <c r="B2137" t="s">
        <v>45</v>
      </c>
      <c r="C2137" t="s">
        <v>47</v>
      </c>
      <c r="D2137" t="s">
        <v>51</v>
      </c>
      <c r="E2137" t="s">
        <v>52</v>
      </c>
      <c r="F2137" t="s">
        <v>51</v>
      </c>
      <c r="G2137" s="1">
        <v>7955.47</v>
      </c>
      <c r="H2137" s="2">
        <v>7955.01</v>
      </c>
      <c r="I2137" s="2">
        <v>7955.47</v>
      </c>
      <c r="J2137" s="2">
        <v>0</v>
      </c>
      <c r="K2137" s="2">
        <v>0</v>
      </c>
      <c r="L2137" s="2">
        <v>7955.47</v>
      </c>
      <c r="M2137" s="3"/>
      <c r="N2137" s="4">
        <v>1.8099999999999999E-5</v>
      </c>
      <c r="O2137" s="5" t="s">
        <v>44</v>
      </c>
      <c r="P2137" s="5" t="s">
        <v>44</v>
      </c>
      <c r="Q2137" s="1"/>
      <c r="R2137" s="2">
        <v>0.08</v>
      </c>
      <c r="S2137" s="6"/>
      <c r="T2137" t="s">
        <v>45</v>
      </c>
      <c r="U2137" t="s">
        <v>53</v>
      </c>
      <c r="V2137" t="s">
        <v>44</v>
      </c>
      <c r="W2137" t="s">
        <v>43</v>
      </c>
      <c r="X2137" t="s">
        <v>44</v>
      </c>
      <c r="Y2137" t="s">
        <v>44</v>
      </c>
      <c r="Z2137" t="s">
        <v>44</v>
      </c>
      <c r="AA2137" t="s">
        <v>44</v>
      </c>
      <c r="AB2137" t="s">
        <v>44</v>
      </c>
      <c r="AC2137" s="4">
        <v>5.1163389600000002</v>
      </c>
      <c r="AD2137" s="4">
        <v>5.0001424999999999</v>
      </c>
      <c r="AE2137" s="2">
        <v>5.12</v>
      </c>
      <c r="AF2137" s="4">
        <v>5.0001424999999999</v>
      </c>
      <c r="AG2137" s="2">
        <v>0.14000000000000001</v>
      </c>
      <c r="AH2137" s="2">
        <v>7955.47</v>
      </c>
      <c r="AI2137" s="2">
        <v>0</v>
      </c>
      <c r="AJ2137" s="5">
        <v>44673</v>
      </c>
      <c r="AK2137" t="s">
        <v>12312</v>
      </c>
      <c r="AL2137" s="2">
        <v>5.05</v>
      </c>
      <c r="AM2137" s="2">
        <v>0</v>
      </c>
      <c r="AN2137" s="2">
        <v>0</v>
      </c>
      <c r="AO2137" t="s">
        <v>44</v>
      </c>
      <c r="AP2137" t="s">
        <v>44</v>
      </c>
      <c r="AQ2137" t="s">
        <v>43</v>
      </c>
    </row>
    <row r="2138" spans="1:43" x14ac:dyDescent="0.2">
      <c r="A2138" t="s">
        <v>12311</v>
      </c>
      <c r="B2138" t="s">
        <v>45</v>
      </c>
      <c r="C2138" t="s">
        <v>47</v>
      </c>
      <c r="D2138" t="s">
        <v>11045</v>
      </c>
      <c r="E2138" t="s">
        <v>11046</v>
      </c>
      <c r="F2138" t="s">
        <v>11045</v>
      </c>
      <c r="G2138" s="1">
        <v>472.34</v>
      </c>
      <c r="H2138" s="2">
        <v>6895.85</v>
      </c>
      <c r="I2138" s="2">
        <v>7375.13</v>
      </c>
      <c r="J2138" s="2">
        <v>0</v>
      </c>
      <c r="K2138" s="2">
        <v>0</v>
      </c>
      <c r="L2138" s="2">
        <v>7375.13</v>
      </c>
      <c r="M2138" s="3">
        <v>1</v>
      </c>
      <c r="N2138" s="4">
        <v>1.6779999999999999E-5</v>
      </c>
      <c r="O2138" s="5" t="s">
        <v>44</v>
      </c>
      <c r="P2138" s="5" t="s">
        <v>44</v>
      </c>
      <c r="Q2138" s="1"/>
      <c r="R2138" s="2">
        <v>0.08</v>
      </c>
      <c r="S2138" s="6"/>
      <c r="T2138" t="s">
        <v>45</v>
      </c>
      <c r="U2138" t="s">
        <v>53</v>
      </c>
      <c r="V2138" t="s">
        <v>44</v>
      </c>
      <c r="W2138" t="s">
        <v>113</v>
      </c>
      <c r="X2138" t="s">
        <v>44</v>
      </c>
      <c r="Y2138" t="s">
        <v>44</v>
      </c>
      <c r="Z2138" t="s">
        <v>44</v>
      </c>
      <c r="AA2138" t="s">
        <v>44</v>
      </c>
      <c r="AB2138" t="s">
        <v>44</v>
      </c>
      <c r="AC2138" s="4"/>
      <c r="AD2138" s="4"/>
      <c r="AE2138" s="2">
        <v>0</v>
      </c>
      <c r="AF2138" s="4">
        <v>0</v>
      </c>
      <c r="AG2138" s="2">
        <v>0.13</v>
      </c>
      <c r="AH2138" s="2">
        <v>7375.13</v>
      </c>
      <c r="AI2138" s="2">
        <v>0</v>
      </c>
      <c r="AJ2138" s="5">
        <v>44673</v>
      </c>
      <c r="AK2138" t="s">
        <v>12312</v>
      </c>
      <c r="AL2138" s="2">
        <v>0</v>
      </c>
      <c r="AM2138" s="2">
        <v>0</v>
      </c>
      <c r="AN2138" s="2">
        <v>0</v>
      </c>
      <c r="AO2138" t="s">
        <v>44</v>
      </c>
      <c r="AP2138" t="s">
        <v>44</v>
      </c>
      <c r="AQ2138" t="s">
        <v>113</v>
      </c>
    </row>
    <row r="2139" spans="1:43" x14ac:dyDescent="0.2">
      <c r="A2139" t="s">
        <v>12311</v>
      </c>
      <c r="B2139" t="s">
        <v>45</v>
      </c>
      <c r="C2139" t="s">
        <v>11005</v>
      </c>
      <c r="D2139" t="s">
        <v>11009</v>
      </c>
      <c r="E2139" t="s">
        <v>11010</v>
      </c>
      <c r="F2139" t="s">
        <v>44</v>
      </c>
      <c r="G2139" s="1">
        <v>-1510.58</v>
      </c>
      <c r="H2139" s="2">
        <v>-1510.58</v>
      </c>
      <c r="I2139" s="2">
        <v>-1510.58</v>
      </c>
      <c r="J2139" s="2">
        <v>0</v>
      </c>
      <c r="K2139" s="2"/>
      <c r="L2139" s="2">
        <v>-1510.58</v>
      </c>
      <c r="M2139" s="3"/>
      <c r="N2139" s="4">
        <v>-3.4400000000000001E-6</v>
      </c>
      <c r="O2139" s="5" t="s">
        <v>44</v>
      </c>
      <c r="P2139" s="5">
        <v>73051</v>
      </c>
      <c r="Q2139" s="1">
        <v>0</v>
      </c>
      <c r="R2139" s="2">
        <v>0.08</v>
      </c>
      <c r="S2139" s="6"/>
      <c r="T2139" t="s">
        <v>45</v>
      </c>
      <c r="U2139" t="s">
        <v>44</v>
      </c>
      <c r="V2139" t="s">
        <v>44</v>
      </c>
      <c r="W2139" t="s">
        <v>43</v>
      </c>
      <c r="X2139" t="s">
        <v>44</v>
      </c>
      <c r="Y2139" t="s">
        <v>44</v>
      </c>
      <c r="Z2139" t="s">
        <v>44</v>
      </c>
      <c r="AA2139" t="s">
        <v>44</v>
      </c>
      <c r="AB2139" t="s">
        <v>44</v>
      </c>
      <c r="AC2139" s="4">
        <v>5.1163389600000002</v>
      </c>
      <c r="AD2139" s="4">
        <v>5.0001424999999999</v>
      </c>
      <c r="AE2139" s="2">
        <v>5.12</v>
      </c>
      <c r="AF2139" s="4">
        <v>5.0001424999999999</v>
      </c>
      <c r="AG2139" s="2">
        <v>-0.03</v>
      </c>
      <c r="AH2139" s="2">
        <v>-1510.58</v>
      </c>
      <c r="AI2139" s="2">
        <v>0</v>
      </c>
      <c r="AJ2139" s="5">
        <v>44673</v>
      </c>
      <c r="AK2139" t="s">
        <v>12312</v>
      </c>
      <c r="AL2139" s="2">
        <v>5.05</v>
      </c>
      <c r="AM2139" s="2">
        <v>0</v>
      </c>
      <c r="AN2139" s="2">
        <v>0</v>
      </c>
      <c r="AO2139" t="s">
        <v>44</v>
      </c>
      <c r="AP2139" t="s">
        <v>44</v>
      </c>
      <c r="AQ2139" t="s">
        <v>44</v>
      </c>
    </row>
    <row r="2140" spans="1:43" x14ac:dyDescent="0.2">
      <c r="A2140" t="s">
        <v>12311</v>
      </c>
      <c r="B2140" t="s">
        <v>45</v>
      </c>
      <c r="C2140" t="s">
        <v>11005</v>
      </c>
      <c r="D2140" t="s">
        <v>11011</v>
      </c>
      <c r="E2140" t="s">
        <v>11012</v>
      </c>
      <c r="F2140" t="s">
        <v>44</v>
      </c>
      <c r="G2140" s="1">
        <v>-1349</v>
      </c>
      <c r="H2140" s="2">
        <v>-1349</v>
      </c>
      <c r="I2140" s="2">
        <v>-1349</v>
      </c>
      <c r="J2140" s="2">
        <v>0</v>
      </c>
      <c r="K2140" s="2"/>
      <c r="L2140" s="2">
        <v>-1349</v>
      </c>
      <c r="M2140" s="3"/>
      <c r="N2140" s="4">
        <v>-3.0699999999999998E-6</v>
      </c>
      <c r="O2140" s="5" t="s">
        <v>44</v>
      </c>
      <c r="P2140" s="5">
        <v>73051</v>
      </c>
      <c r="Q2140" s="1">
        <v>0</v>
      </c>
      <c r="R2140" s="2">
        <v>0.08</v>
      </c>
      <c r="S2140" s="6"/>
      <c r="T2140" t="s">
        <v>45</v>
      </c>
      <c r="U2140" t="s">
        <v>44</v>
      </c>
      <c r="V2140" t="s">
        <v>44</v>
      </c>
      <c r="W2140" t="s">
        <v>43</v>
      </c>
      <c r="X2140" t="s">
        <v>44</v>
      </c>
      <c r="Y2140" t="s">
        <v>44</v>
      </c>
      <c r="Z2140" t="s">
        <v>44</v>
      </c>
      <c r="AA2140" t="s">
        <v>44</v>
      </c>
      <c r="AB2140" t="s">
        <v>44</v>
      </c>
      <c r="AC2140" s="4">
        <v>5.1163389600000002</v>
      </c>
      <c r="AD2140" s="4">
        <v>5.0001424999999999</v>
      </c>
      <c r="AE2140" s="2">
        <v>5.12</v>
      </c>
      <c r="AF2140" s="4">
        <v>5.0001424999999999</v>
      </c>
      <c r="AG2140" s="2">
        <v>-0.02</v>
      </c>
      <c r="AH2140" s="2">
        <v>-1349</v>
      </c>
      <c r="AI2140" s="2">
        <v>0</v>
      </c>
      <c r="AJ2140" s="5">
        <v>44673</v>
      </c>
      <c r="AK2140" t="s">
        <v>12312</v>
      </c>
      <c r="AL2140" s="2">
        <v>5.05</v>
      </c>
      <c r="AM2140" s="2">
        <v>0</v>
      </c>
      <c r="AN2140" s="2">
        <v>0</v>
      </c>
      <c r="AO2140" t="s">
        <v>44</v>
      </c>
      <c r="AP2140" t="s">
        <v>44</v>
      </c>
      <c r="AQ2140" t="s">
        <v>44</v>
      </c>
    </row>
    <row r="2141" spans="1:43" x14ac:dyDescent="0.2">
      <c r="A2141" t="s">
        <v>12311</v>
      </c>
      <c r="B2141" t="s">
        <v>11013</v>
      </c>
      <c r="C2141" t="s">
        <v>11047</v>
      </c>
      <c r="D2141" t="s">
        <v>12313</v>
      </c>
      <c r="E2141" t="s">
        <v>12314</v>
      </c>
      <c r="F2141" t="s">
        <v>12313</v>
      </c>
      <c r="G2141" s="1">
        <v>209643.32879999999</v>
      </c>
      <c r="H2141" s="2">
        <v>4687258.9400000004</v>
      </c>
      <c r="I2141" s="2">
        <v>5577831.6799999997</v>
      </c>
      <c r="J2141" s="2">
        <v>0</v>
      </c>
      <c r="K2141" s="2">
        <v>0</v>
      </c>
      <c r="L2141" s="2">
        <v>5577831.6799999997</v>
      </c>
      <c r="M2141" s="3">
        <v>1.704</v>
      </c>
      <c r="N2141" s="4">
        <v>1.2690170000000001E-2</v>
      </c>
      <c r="O2141" s="5" t="s">
        <v>44</v>
      </c>
      <c r="P2141" s="5" t="s">
        <v>44</v>
      </c>
      <c r="Q2141" s="1"/>
      <c r="R2141" s="2"/>
      <c r="S2141" s="6"/>
      <c r="T2141" t="s">
        <v>10902</v>
      </c>
      <c r="U2141" t="s">
        <v>11003</v>
      </c>
      <c r="V2141" t="s">
        <v>11003</v>
      </c>
      <c r="W2141" t="s">
        <v>113</v>
      </c>
      <c r="X2141" t="s">
        <v>44</v>
      </c>
      <c r="Y2141" t="s">
        <v>44</v>
      </c>
      <c r="Z2141" t="s">
        <v>44</v>
      </c>
      <c r="AA2141" t="s">
        <v>44</v>
      </c>
      <c r="AB2141" t="s">
        <v>44</v>
      </c>
      <c r="AC2141" s="4"/>
      <c r="AD2141" s="4"/>
      <c r="AE2141" s="2">
        <v>0</v>
      </c>
      <c r="AF2141" s="4">
        <v>0</v>
      </c>
      <c r="AG2141" s="2">
        <v>99.78</v>
      </c>
      <c r="AH2141" s="2">
        <v>5577831.6799999997</v>
      </c>
      <c r="AI2141" s="2">
        <v>0.01</v>
      </c>
      <c r="AJ2141" s="5">
        <v>44673</v>
      </c>
      <c r="AK2141" t="s">
        <v>12312</v>
      </c>
      <c r="AL2141" s="2">
        <v>0</v>
      </c>
      <c r="AM2141" s="2">
        <v>0</v>
      </c>
      <c r="AN2141" s="2">
        <v>0</v>
      </c>
      <c r="AO2141" t="s">
        <v>44</v>
      </c>
      <c r="AP2141" t="s">
        <v>44</v>
      </c>
      <c r="AQ2141" t="s">
        <v>12314</v>
      </c>
    </row>
    <row r="2142" spans="1:43" x14ac:dyDescent="0.2">
      <c r="A2142" t="s">
        <v>12315</v>
      </c>
      <c r="B2142" t="s">
        <v>10900</v>
      </c>
      <c r="C2142" t="s">
        <v>10943</v>
      </c>
      <c r="D2142" t="s">
        <v>10977</v>
      </c>
      <c r="E2142" t="s">
        <v>10978</v>
      </c>
      <c r="F2142" t="s">
        <v>10977</v>
      </c>
      <c r="G2142" s="1">
        <v>6774000</v>
      </c>
      <c r="H2142" s="2">
        <v>6867094.3499999996</v>
      </c>
      <c r="I2142" s="2">
        <v>6366694.2800000003</v>
      </c>
      <c r="J2142" s="2">
        <v>311758.96999999997</v>
      </c>
      <c r="K2142" s="2">
        <v>0</v>
      </c>
      <c r="L2142" s="2">
        <v>6678453.25</v>
      </c>
      <c r="M2142" s="3">
        <v>11.88</v>
      </c>
      <c r="N2142" s="4">
        <v>1.51942E-2</v>
      </c>
      <c r="O2142" s="5">
        <v>44697</v>
      </c>
      <c r="P2142" s="5">
        <v>46888</v>
      </c>
      <c r="Q2142" s="1">
        <v>10.565</v>
      </c>
      <c r="R2142" s="2">
        <v>4.7300000000000004</v>
      </c>
      <c r="S2142" s="6">
        <v>4.4668326030000003</v>
      </c>
      <c r="T2142" t="s">
        <v>111</v>
      </c>
      <c r="U2142" t="s">
        <v>111</v>
      </c>
      <c r="V2142" t="s">
        <v>10944</v>
      </c>
      <c r="W2142" t="s">
        <v>43</v>
      </c>
      <c r="X2142" t="s">
        <v>44</v>
      </c>
      <c r="Y2142" t="s">
        <v>44</v>
      </c>
      <c r="Z2142" t="s">
        <v>44</v>
      </c>
      <c r="AA2142" t="s">
        <v>10979</v>
      </c>
      <c r="AB2142" t="s">
        <v>44</v>
      </c>
      <c r="AC2142" s="4">
        <v>12.232836000000001</v>
      </c>
      <c r="AD2142" s="4">
        <v>11.596213730000001</v>
      </c>
      <c r="AE2142" s="2">
        <v>12.23</v>
      </c>
      <c r="AF2142" s="4">
        <v>11.596213730000001</v>
      </c>
      <c r="AG2142" s="2">
        <v>3.09</v>
      </c>
      <c r="AH2142" s="2">
        <v>6678453.25</v>
      </c>
      <c r="AI2142" s="2">
        <v>0.02</v>
      </c>
      <c r="AJ2142" s="5">
        <v>44673</v>
      </c>
      <c r="AK2142" t="s">
        <v>12316</v>
      </c>
      <c r="AL2142" s="2">
        <v>11.88</v>
      </c>
      <c r="AM2142" s="2">
        <v>10.56</v>
      </c>
      <c r="AN2142" s="2">
        <v>4.47</v>
      </c>
      <c r="AO2142" t="s">
        <v>10980</v>
      </c>
      <c r="AP2142" t="s">
        <v>10981</v>
      </c>
      <c r="AQ2142" t="s">
        <v>10978</v>
      </c>
    </row>
    <row r="2143" spans="1:43" x14ac:dyDescent="0.2">
      <c r="A2143" t="s">
        <v>12315</v>
      </c>
      <c r="B2143" t="s">
        <v>10900</v>
      </c>
      <c r="C2143" t="s">
        <v>11137</v>
      </c>
      <c r="D2143" t="s">
        <v>11138</v>
      </c>
      <c r="E2143" t="s">
        <v>11139</v>
      </c>
      <c r="F2143" t="s">
        <v>11138</v>
      </c>
      <c r="G2143" s="1">
        <v>1930000</v>
      </c>
      <c r="H2143" s="2">
        <v>1911267.65</v>
      </c>
      <c r="I2143" s="2">
        <v>1845448.24</v>
      </c>
      <c r="J2143" s="2">
        <v>6662.47</v>
      </c>
      <c r="K2143" s="2">
        <v>0</v>
      </c>
      <c r="L2143" s="2">
        <v>1852110.71</v>
      </c>
      <c r="M2143" s="3">
        <v>11.316000000000001</v>
      </c>
      <c r="N2143" s="4">
        <v>4.2137499999999996E-3</v>
      </c>
      <c r="O2143" s="5">
        <v>44844</v>
      </c>
      <c r="P2143" s="5">
        <v>47765</v>
      </c>
      <c r="Q2143" s="1">
        <v>10.5</v>
      </c>
      <c r="R2143" s="2">
        <v>5.71</v>
      </c>
      <c r="S2143" s="6">
        <v>5.4077134439999996</v>
      </c>
      <c r="T2143" t="s">
        <v>111</v>
      </c>
      <c r="U2143" t="s">
        <v>111</v>
      </c>
      <c r="V2143" t="s">
        <v>10944</v>
      </c>
      <c r="W2143" t="s">
        <v>43</v>
      </c>
      <c r="X2143" t="s">
        <v>44</v>
      </c>
      <c r="Y2143" t="s">
        <v>44</v>
      </c>
      <c r="Z2143" t="s">
        <v>44</v>
      </c>
      <c r="AA2143" t="s">
        <v>10979</v>
      </c>
      <c r="AB2143" t="s">
        <v>44</v>
      </c>
      <c r="AC2143" s="4">
        <v>11.63612964</v>
      </c>
      <c r="AD2143" s="4">
        <v>11.058095140000001</v>
      </c>
      <c r="AE2143" s="2">
        <v>11.64</v>
      </c>
      <c r="AF2143" s="4">
        <v>11.058095140000001</v>
      </c>
      <c r="AG2143" s="2">
        <v>0.86</v>
      </c>
      <c r="AH2143" s="2">
        <v>1852110.71</v>
      </c>
      <c r="AI2143" s="2">
        <v>0</v>
      </c>
      <c r="AJ2143" s="5">
        <v>44673</v>
      </c>
      <c r="AK2143" t="s">
        <v>12316</v>
      </c>
      <c r="AL2143" s="2">
        <v>11.32</v>
      </c>
      <c r="AM2143" s="2">
        <v>10.5</v>
      </c>
      <c r="AN2143" s="2">
        <v>5.41</v>
      </c>
      <c r="AO2143" t="s">
        <v>10982</v>
      </c>
      <c r="AP2143" t="s">
        <v>11140</v>
      </c>
      <c r="AQ2143" t="s">
        <v>11139</v>
      </c>
    </row>
    <row r="2144" spans="1:43" x14ac:dyDescent="0.2">
      <c r="A2144" t="s">
        <v>12315</v>
      </c>
      <c r="B2144" t="s">
        <v>10900</v>
      </c>
      <c r="C2144" t="s">
        <v>10950</v>
      </c>
      <c r="D2144" t="s">
        <v>11141</v>
      </c>
      <c r="E2144" t="s">
        <v>11142</v>
      </c>
      <c r="F2144" t="s">
        <v>11141</v>
      </c>
      <c r="G2144" s="1">
        <v>5300000</v>
      </c>
      <c r="H2144" s="2">
        <v>4262958.33</v>
      </c>
      <c r="I2144" s="2">
        <v>4356527.92</v>
      </c>
      <c r="J2144" s="2">
        <v>70047.98</v>
      </c>
      <c r="K2144" s="2">
        <v>0</v>
      </c>
      <c r="L2144" s="2">
        <v>4426575.9000000004</v>
      </c>
      <c r="M2144" s="3">
        <v>10.805</v>
      </c>
      <c r="N2144" s="4">
        <v>1.007094E-2</v>
      </c>
      <c r="O2144" s="5">
        <v>44804</v>
      </c>
      <c r="P2144" s="5">
        <v>54116</v>
      </c>
      <c r="Q2144" s="1">
        <v>8.75</v>
      </c>
      <c r="R2144" s="2">
        <v>9.2200000000000006</v>
      </c>
      <c r="S2144" s="6">
        <v>8.7507641760000006</v>
      </c>
      <c r="T2144" t="s">
        <v>111</v>
      </c>
      <c r="U2144" t="s">
        <v>111</v>
      </c>
      <c r="V2144" t="s">
        <v>10944</v>
      </c>
      <c r="W2144" t="s">
        <v>43</v>
      </c>
      <c r="X2144" t="s">
        <v>10945</v>
      </c>
      <c r="Y2144" t="s">
        <v>44</v>
      </c>
      <c r="Z2144" t="s">
        <v>44</v>
      </c>
      <c r="AA2144" t="s">
        <v>10913</v>
      </c>
      <c r="AB2144" t="s">
        <v>44</v>
      </c>
      <c r="AC2144" s="4">
        <v>11.096870060000001</v>
      </c>
      <c r="AD2144" s="4">
        <v>10.56950999</v>
      </c>
      <c r="AE2144" s="2">
        <v>11.1</v>
      </c>
      <c r="AF2144" s="4">
        <v>10.56950999</v>
      </c>
      <c r="AG2144" s="2">
        <v>2.0499999999999998</v>
      </c>
      <c r="AH2144" s="2">
        <v>4426575.9000000004</v>
      </c>
      <c r="AI2144" s="2">
        <v>0.01</v>
      </c>
      <c r="AJ2144" s="5">
        <v>44673</v>
      </c>
      <c r="AK2144" t="s">
        <v>12316</v>
      </c>
      <c r="AL2144" s="2">
        <v>10.8</v>
      </c>
      <c r="AM2144" s="2">
        <v>8.75</v>
      </c>
      <c r="AN2144" s="2">
        <v>8.75</v>
      </c>
      <c r="AO2144" t="s">
        <v>10922</v>
      </c>
      <c r="AP2144" t="s">
        <v>11143</v>
      </c>
      <c r="AQ2144" t="s">
        <v>11142</v>
      </c>
    </row>
    <row r="2145" spans="1:43" x14ac:dyDescent="0.2">
      <c r="A2145" t="s">
        <v>12315</v>
      </c>
      <c r="B2145" t="s">
        <v>10900</v>
      </c>
      <c r="C2145" t="s">
        <v>10950</v>
      </c>
      <c r="D2145" t="s">
        <v>10983</v>
      </c>
      <c r="E2145" t="s">
        <v>10984</v>
      </c>
      <c r="F2145" t="s">
        <v>10983</v>
      </c>
      <c r="G2145" s="1">
        <v>4730000</v>
      </c>
      <c r="H2145" s="2">
        <v>4008191.49</v>
      </c>
      <c r="I2145" s="2">
        <v>3954906.73</v>
      </c>
      <c r="J2145" s="2">
        <v>88926.34</v>
      </c>
      <c r="K2145" s="2">
        <v>0</v>
      </c>
      <c r="L2145" s="2">
        <v>4043833.07</v>
      </c>
      <c r="M2145" s="3">
        <v>10.734999999999999</v>
      </c>
      <c r="N2145" s="4">
        <v>9.2001600000000006E-3</v>
      </c>
      <c r="O2145" s="5">
        <v>44774</v>
      </c>
      <c r="P2145" s="5">
        <v>50071</v>
      </c>
      <c r="Q2145" s="1">
        <v>8.5</v>
      </c>
      <c r="R2145" s="2">
        <v>7.91</v>
      </c>
      <c r="S2145" s="6">
        <v>7.5106016819999999</v>
      </c>
      <c r="T2145" t="s">
        <v>111</v>
      </c>
      <c r="U2145" t="s">
        <v>111</v>
      </c>
      <c r="V2145" t="s">
        <v>10944</v>
      </c>
      <c r="W2145" t="s">
        <v>43</v>
      </c>
      <c r="X2145" t="s">
        <v>10945</v>
      </c>
      <c r="Y2145" t="s">
        <v>44</v>
      </c>
      <c r="Z2145" t="s">
        <v>44</v>
      </c>
      <c r="AA2145" t="s">
        <v>10913</v>
      </c>
      <c r="AB2145" t="s">
        <v>44</v>
      </c>
      <c r="AC2145" s="4">
        <v>11.02310056</v>
      </c>
      <c r="AD2145" s="4">
        <v>10.50250368</v>
      </c>
      <c r="AE2145" s="2">
        <v>11.02</v>
      </c>
      <c r="AF2145" s="4">
        <v>10.50250368</v>
      </c>
      <c r="AG2145" s="2">
        <v>1.87</v>
      </c>
      <c r="AH2145" s="2">
        <v>4043833.07</v>
      </c>
      <c r="AI2145" s="2">
        <v>0.01</v>
      </c>
      <c r="AJ2145" s="5">
        <v>44673</v>
      </c>
      <c r="AK2145" t="s">
        <v>12316</v>
      </c>
      <c r="AL2145" s="2">
        <v>10.73</v>
      </c>
      <c r="AM2145" s="2">
        <v>8.5</v>
      </c>
      <c r="AN2145" s="2">
        <v>7.51</v>
      </c>
      <c r="AO2145" t="s">
        <v>10922</v>
      </c>
      <c r="AP2145" t="s">
        <v>10985</v>
      </c>
      <c r="AQ2145" t="s">
        <v>10984</v>
      </c>
    </row>
    <row r="2146" spans="1:43" x14ac:dyDescent="0.2">
      <c r="A2146" t="s">
        <v>12315</v>
      </c>
      <c r="B2146" t="s">
        <v>10900</v>
      </c>
      <c r="C2146" t="s">
        <v>10950</v>
      </c>
      <c r="D2146" t="s">
        <v>10986</v>
      </c>
      <c r="E2146" t="s">
        <v>10987</v>
      </c>
      <c r="F2146" t="s">
        <v>10986</v>
      </c>
      <c r="G2146" s="1">
        <v>5630000</v>
      </c>
      <c r="H2146" s="2">
        <v>5225903.4400000004</v>
      </c>
      <c r="I2146" s="2">
        <v>5091918.9400000004</v>
      </c>
      <c r="J2146" s="2">
        <v>23214.11</v>
      </c>
      <c r="K2146" s="2">
        <v>0</v>
      </c>
      <c r="L2146" s="2">
        <v>5115133.05</v>
      </c>
      <c r="M2146" s="3">
        <v>12.05</v>
      </c>
      <c r="N2146" s="4">
        <v>1.163748E-2</v>
      </c>
      <c r="O2146" s="5">
        <v>44844</v>
      </c>
      <c r="P2146" s="5">
        <v>51418</v>
      </c>
      <c r="Q2146" s="1">
        <v>10.75</v>
      </c>
      <c r="R2146" s="2">
        <v>7.89</v>
      </c>
      <c r="S2146" s="6">
        <v>7.4432483840000003</v>
      </c>
      <c r="T2146" t="s">
        <v>111</v>
      </c>
      <c r="U2146" t="s">
        <v>111</v>
      </c>
      <c r="V2146" t="s">
        <v>10944</v>
      </c>
      <c r="W2146" t="s">
        <v>43</v>
      </c>
      <c r="X2146" t="s">
        <v>10988</v>
      </c>
      <c r="Y2146" t="s">
        <v>44</v>
      </c>
      <c r="Z2146" t="s">
        <v>44</v>
      </c>
      <c r="AA2146" t="s">
        <v>10979</v>
      </c>
      <c r="AB2146" t="s">
        <v>44</v>
      </c>
      <c r="AC2146" s="4">
        <v>12.41300625</v>
      </c>
      <c r="AD2146" s="4">
        <v>11.758178470000001</v>
      </c>
      <c r="AE2146" s="2">
        <v>12.41</v>
      </c>
      <c r="AF2146" s="4">
        <v>11.758178470000001</v>
      </c>
      <c r="AG2146" s="2">
        <v>2.37</v>
      </c>
      <c r="AH2146" s="2">
        <v>5115133.05</v>
      </c>
      <c r="AI2146" s="2">
        <v>0.01</v>
      </c>
      <c r="AJ2146" s="5">
        <v>44673</v>
      </c>
      <c r="AK2146" t="s">
        <v>12316</v>
      </c>
      <c r="AL2146" s="2">
        <v>12.05</v>
      </c>
      <c r="AM2146" s="2">
        <v>10.75</v>
      </c>
      <c r="AN2146" s="2">
        <v>7.44</v>
      </c>
      <c r="AO2146" t="s">
        <v>10982</v>
      </c>
      <c r="AP2146" t="s">
        <v>10989</v>
      </c>
      <c r="AQ2146" t="s">
        <v>10987</v>
      </c>
    </row>
    <row r="2147" spans="1:43" x14ac:dyDescent="0.2">
      <c r="A2147" t="s">
        <v>12315</v>
      </c>
      <c r="B2147" t="s">
        <v>10900</v>
      </c>
      <c r="C2147" t="s">
        <v>10990</v>
      </c>
      <c r="D2147" t="s">
        <v>10991</v>
      </c>
      <c r="E2147" t="s">
        <v>1153</v>
      </c>
      <c r="F2147" t="s">
        <v>10991</v>
      </c>
      <c r="G2147" s="1">
        <v>4100000</v>
      </c>
      <c r="H2147" s="2">
        <v>5280271.8899999997</v>
      </c>
      <c r="I2147" s="2">
        <v>5301743.1100000003</v>
      </c>
      <c r="J2147" s="2">
        <v>33206.769999999997</v>
      </c>
      <c r="K2147" s="2">
        <v>0</v>
      </c>
      <c r="L2147" s="2">
        <v>5334949.88</v>
      </c>
      <c r="M2147" s="3">
        <v>3.9</v>
      </c>
      <c r="N2147" s="4">
        <v>1.213759E-2</v>
      </c>
      <c r="O2147" s="5">
        <v>44774</v>
      </c>
      <c r="P2147" s="5">
        <v>50436</v>
      </c>
      <c r="Q2147" s="1">
        <v>2.25</v>
      </c>
      <c r="R2147" s="2">
        <v>12.94</v>
      </c>
      <c r="S2147" s="6">
        <v>12.689805079999999</v>
      </c>
      <c r="T2147" t="s">
        <v>111</v>
      </c>
      <c r="U2147" t="s">
        <v>111</v>
      </c>
      <c r="V2147" t="s">
        <v>10992</v>
      </c>
      <c r="W2147" t="s">
        <v>43</v>
      </c>
      <c r="X2147" t="s">
        <v>10945</v>
      </c>
      <c r="Y2147" t="s">
        <v>44</v>
      </c>
      <c r="Z2147" t="s">
        <v>44</v>
      </c>
      <c r="AA2147" t="s">
        <v>10913</v>
      </c>
      <c r="AB2147" t="s">
        <v>44</v>
      </c>
      <c r="AC2147" s="4">
        <v>3.9380250000000001</v>
      </c>
      <c r="AD2147" s="4">
        <v>3.8686849699999999</v>
      </c>
      <c r="AE2147" s="2">
        <v>3.94</v>
      </c>
      <c r="AF2147" s="4">
        <v>3.8686849699999999</v>
      </c>
      <c r="AG2147" s="2">
        <v>2.4700000000000002</v>
      </c>
      <c r="AH2147" s="2">
        <v>5334949.88</v>
      </c>
      <c r="AI2147" s="2">
        <v>0.01</v>
      </c>
      <c r="AJ2147" s="5">
        <v>44673</v>
      </c>
      <c r="AK2147" t="s">
        <v>12316</v>
      </c>
      <c r="AL2147" s="2">
        <v>3.9</v>
      </c>
      <c r="AM2147" s="2">
        <v>2.25</v>
      </c>
      <c r="AN2147" s="2">
        <v>12.69</v>
      </c>
      <c r="AO2147" t="s">
        <v>10922</v>
      </c>
      <c r="AP2147" t="s">
        <v>10993</v>
      </c>
      <c r="AQ2147" t="s">
        <v>1153</v>
      </c>
    </row>
    <row r="2148" spans="1:43" x14ac:dyDescent="0.2">
      <c r="A2148" t="s">
        <v>12315</v>
      </c>
      <c r="B2148" t="s">
        <v>10900</v>
      </c>
      <c r="C2148" t="s">
        <v>10990</v>
      </c>
      <c r="D2148" t="s">
        <v>10994</v>
      </c>
      <c r="E2148" t="s">
        <v>1190</v>
      </c>
      <c r="F2148" t="s">
        <v>10994</v>
      </c>
      <c r="G2148" s="1">
        <v>4450000</v>
      </c>
      <c r="H2148" s="2">
        <v>5233071.42</v>
      </c>
      <c r="I2148" s="2">
        <v>5264951.7300000004</v>
      </c>
      <c r="J2148" s="2">
        <v>10586.73</v>
      </c>
      <c r="K2148" s="2">
        <v>0</v>
      </c>
      <c r="L2148" s="2">
        <v>5275538.46</v>
      </c>
      <c r="M2148" s="3">
        <v>3.9</v>
      </c>
      <c r="N2148" s="4">
        <v>1.200242E-2</v>
      </c>
      <c r="O2148" s="5">
        <v>44834</v>
      </c>
      <c r="P2148" s="5">
        <v>53417</v>
      </c>
      <c r="Q2148" s="1">
        <v>2.5</v>
      </c>
      <c r="R2148" s="2">
        <v>17.22</v>
      </c>
      <c r="S2148" s="6">
        <v>16.886631569999999</v>
      </c>
      <c r="T2148" t="s">
        <v>111</v>
      </c>
      <c r="U2148" t="s">
        <v>111</v>
      </c>
      <c r="V2148" t="s">
        <v>10992</v>
      </c>
      <c r="W2148" t="s">
        <v>43</v>
      </c>
      <c r="X2148" t="s">
        <v>10945</v>
      </c>
      <c r="Y2148" t="s">
        <v>44</v>
      </c>
      <c r="Z2148" t="s">
        <v>44</v>
      </c>
      <c r="AA2148" t="s">
        <v>10913</v>
      </c>
      <c r="AB2148" t="s">
        <v>44</v>
      </c>
      <c r="AC2148" s="4">
        <v>3.9380250000000001</v>
      </c>
      <c r="AD2148" s="4">
        <v>3.8686849699999999</v>
      </c>
      <c r="AE2148" s="2">
        <v>3.94</v>
      </c>
      <c r="AF2148" s="4">
        <v>3.8686849699999999</v>
      </c>
      <c r="AG2148" s="2">
        <v>2.44</v>
      </c>
      <c r="AH2148" s="2">
        <v>5275538.46</v>
      </c>
      <c r="AI2148" s="2">
        <v>0.01</v>
      </c>
      <c r="AJ2148" s="5">
        <v>44673</v>
      </c>
      <c r="AK2148" t="s">
        <v>12316</v>
      </c>
      <c r="AL2148" s="2">
        <v>3.9</v>
      </c>
      <c r="AM2148" s="2">
        <v>2.5</v>
      </c>
      <c r="AN2148" s="2">
        <v>16.89</v>
      </c>
      <c r="AO2148" t="s">
        <v>10922</v>
      </c>
      <c r="AP2148" t="s">
        <v>10995</v>
      </c>
      <c r="AQ2148" t="s">
        <v>1190</v>
      </c>
    </row>
    <row r="2149" spans="1:43" x14ac:dyDescent="0.2">
      <c r="A2149" t="s">
        <v>12315</v>
      </c>
      <c r="B2149" t="s">
        <v>10900</v>
      </c>
      <c r="C2149" t="s">
        <v>10990</v>
      </c>
      <c r="D2149" t="s">
        <v>10996</v>
      </c>
      <c r="E2149" t="s">
        <v>1160</v>
      </c>
      <c r="F2149" t="s">
        <v>10996</v>
      </c>
      <c r="G2149" s="1">
        <v>5060000</v>
      </c>
      <c r="H2149" s="2">
        <v>6166027.5199999996</v>
      </c>
      <c r="I2149" s="2">
        <v>6153009.0499999998</v>
      </c>
      <c r="J2149" s="2">
        <v>62692.54</v>
      </c>
      <c r="K2149" s="2">
        <v>0</v>
      </c>
      <c r="L2149" s="2">
        <v>6215701.5899999999</v>
      </c>
      <c r="M2149" s="3">
        <v>3.9</v>
      </c>
      <c r="N2149" s="4">
        <v>1.414139E-2</v>
      </c>
      <c r="O2149" s="5">
        <v>44742</v>
      </c>
      <c r="P2149" s="5">
        <v>55153</v>
      </c>
      <c r="Q2149" s="1">
        <v>2.5</v>
      </c>
      <c r="R2149" s="2">
        <v>19.05</v>
      </c>
      <c r="S2149" s="6">
        <v>18.689623709999999</v>
      </c>
      <c r="T2149" t="s">
        <v>111</v>
      </c>
      <c r="U2149" t="s">
        <v>111</v>
      </c>
      <c r="V2149" t="s">
        <v>10992</v>
      </c>
      <c r="W2149" t="s">
        <v>43</v>
      </c>
      <c r="X2149" t="s">
        <v>10945</v>
      </c>
      <c r="Y2149" t="s">
        <v>44</v>
      </c>
      <c r="Z2149" t="s">
        <v>44</v>
      </c>
      <c r="AA2149" t="s">
        <v>10913</v>
      </c>
      <c r="AB2149" t="s">
        <v>44</v>
      </c>
      <c r="AC2149" s="4">
        <v>3.9380250000000001</v>
      </c>
      <c r="AD2149" s="4">
        <v>3.8686849699999999</v>
      </c>
      <c r="AE2149" s="2">
        <v>3.94</v>
      </c>
      <c r="AF2149" s="4">
        <v>3.8686849699999999</v>
      </c>
      <c r="AG2149" s="2">
        <v>2.88</v>
      </c>
      <c r="AH2149" s="2">
        <v>6215701.5899999999</v>
      </c>
      <c r="AI2149" s="2">
        <v>0.01</v>
      </c>
      <c r="AJ2149" s="5">
        <v>44673</v>
      </c>
      <c r="AK2149" t="s">
        <v>12316</v>
      </c>
      <c r="AL2149" s="2">
        <v>3.9</v>
      </c>
      <c r="AM2149" s="2">
        <v>2.5</v>
      </c>
      <c r="AN2149" s="2">
        <v>18.690000000000001</v>
      </c>
      <c r="AO2149" t="s">
        <v>10922</v>
      </c>
      <c r="AP2149" t="s">
        <v>10997</v>
      </c>
      <c r="AQ2149" t="s">
        <v>1160</v>
      </c>
    </row>
    <row r="2150" spans="1:43" x14ac:dyDescent="0.2">
      <c r="A2150" t="s">
        <v>12315</v>
      </c>
      <c r="B2150" t="s">
        <v>10900</v>
      </c>
      <c r="C2150" t="s">
        <v>10990</v>
      </c>
      <c r="D2150" t="s">
        <v>10998</v>
      </c>
      <c r="E2150" t="s">
        <v>1197</v>
      </c>
      <c r="F2150" t="s">
        <v>10998</v>
      </c>
      <c r="G2150" s="1">
        <v>4800000</v>
      </c>
      <c r="H2150" s="2">
        <v>5447455.21</v>
      </c>
      <c r="I2150" s="2">
        <v>5432323.8899999997</v>
      </c>
      <c r="J2150" s="2">
        <v>18187.57</v>
      </c>
      <c r="K2150" s="2">
        <v>0</v>
      </c>
      <c r="L2150" s="2">
        <v>5450511.46</v>
      </c>
      <c r="M2150" s="3">
        <v>3.82</v>
      </c>
      <c r="N2150" s="4">
        <v>1.24005E-2</v>
      </c>
      <c r="O2150" s="5">
        <v>44804</v>
      </c>
      <c r="P2150" s="5">
        <v>48638</v>
      </c>
      <c r="Q2150" s="1">
        <v>1.875</v>
      </c>
      <c r="R2150" s="2">
        <v>9.7100000000000009</v>
      </c>
      <c r="S2150" s="6">
        <v>9.5277218819999998</v>
      </c>
      <c r="T2150" t="s">
        <v>111</v>
      </c>
      <c r="U2150" t="s">
        <v>111</v>
      </c>
      <c r="V2150" t="s">
        <v>10992</v>
      </c>
      <c r="W2150" t="s">
        <v>43</v>
      </c>
      <c r="X2150" t="s">
        <v>10945</v>
      </c>
      <c r="Y2150" t="s">
        <v>44</v>
      </c>
      <c r="Z2150" t="s">
        <v>44</v>
      </c>
      <c r="AA2150" t="s">
        <v>10913</v>
      </c>
      <c r="AB2150" t="s">
        <v>44</v>
      </c>
      <c r="AC2150" s="4">
        <v>3.856481</v>
      </c>
      <c r="AD2150" s="4">
        <v>3.7899492800000001</v>
      </c>
      <c r="AE2150" s="2">
        <v>3.86</v>
      </c>
      <c r="AF2150" s="4">
        <v>3.7899492800000001</v>
      </c>
      <c r="AG2150" s="2">
        <v>2.5299999999999998</v>
      </c>
      <c r="AH2150" s="2">
        <v>5450511.46</v>
      </c>
      <c r="AI2150" s="2">
        <v>0.01</v>
      </c>
      <c r="AJ2150" s="5">
        <v>44673</v>
      </c>
      <c r="AK2150" t="s">
        <v>12316</v>
      </c>
      <c r="AL2150" s="2">
        <v>3.82</v>
      </c>
      <c r="AM2150" s="2">
        <v>1.88</v>
      </c>
      <c r="AN2150" s="2">
        <v>9.5299999999999994</v>
      </c>
      <c r="AO2150" t="s">
        <v>10922</v>
      </c>
      <c r="AP2150" t="s">
        <v>10999</v>
      </c>
      <c r="AQ2150" t="s">
        <v>1197</v>
      </c>
    </row>
    <row r="2151" spans="1:43" x14ac:dyDescent="0.2">
      <c r="A2151" t="s">
        <v>12315</v>
      </c>
      <c r="B2151" t="s">
        <v>45</v>
      </c>
      <c r="C2151" t="s">
        <v>11000</v>
      </c>
      <c r="D2151" t="s">
        <v>11001</v>
      </c>
      <c r="E2151" t="s">
        <v>11002</v>
      </c>
      <c r="F2151" t="s">
        <v>11001</v>
      </c>
      <c r="G2151" s="1">
        <v>11450000</v>
      </c>
      <c r="H2151" s="2">
        <v>11450000</v>
      </c>
      <c r="I2151" s="2">
        <v>11450000</v>
      </c>
      <c r="J2151" s="2">
        <v>22507.200000000001</v>
      </c>
      <c r="K2151" s="2">
        <v>0</v>
      </c>
      <c r="L2151" s="2">
        <v>11472507.199999999</v>
      </c>
      <c r="M2151" s="3"/>
      <c r="N2151" s="4">
        <v>2.610119E-2</v>
      </c>
      <c r="O2151" s="5">
        <v>40756</v>
      </c>
      <c r="P2151" s="5">
        <v>73020</v>
      </c>
      <c r="Q2151" s="1">
        <v>0</v>
      </c>
      <c r="R2151" s="2"/>
      <c r="S2151" s="6"/>
      <c r="T2151" t="s">
        <v>111</v>
      </c>
      <c r="U2151" t="s">
        <v>11003</v>
      </c>
      <c r="V2151" t="s">
        <v>46</v>
      </c>
      <c r="W2151" t="s">
        <v>43</v>
      </c>
      <c r="X2151" t="s">
        <v>44</v>
      </c>
      <c r="Y2151" t="s">
        <v>44</v>
      </c>
      <c r="Z2151" t="s">
        <v>44</v>
      </c>
      <c r="AA2151" t="s">
        <v>44</v>
      </c>
      <c r="AB2151" t="s">
        <v>44</v>
      </c>
      <c r="AC2151" s="4"/>
      <c r="AD2151" s="4"/>
      <c r="AE2151" s="2">
        <v>0</v>
      </c>
      <c r="AF2151" s="4">
        <v>0</v>
      </c>
      <c r="AG2151" s="2">
        <v>5.32</v>
      </c>
      <c r="AH2151" s="2">
        <v>11472507.199999999</v>
      </c>
      <c r="AI2151" s="2">
        <v>0.03</v>
      </c>
      <c r="AJ2151" s="5">
        <v>44673</v>
      </c>
      <c r="AK2151" t="s">
        <v>12316</v>
      </c>
      <c r="AL2151" s="2">
        <v>0</v>
      </c>
      <c r="AM2151" s="2">
        <v>0</v>
      </c>
      <c r="AN2151" s="2">
        <v>0</v>
      </c>
      <c r="AO2151" t="s">
        <v>44</v>
      </c>
      <c r="AP2151" t="s">
        <v>11004</v>
      </c>
      <c r="AQ2151" t="s">
        <v>11002</v>
      </c>
    </row>
    <row r="2152" spans="1:43" x14ac:dyDescent="0.2">
      <c r="A2152" t="s">
        <v>12315</v>
      </c>
      <c r="B2152" t="s">
        <v>45</v>
      </c>
      <c r="C2152" t="s">
        <v>11144</v>
      </c>
      <c r="D2152" t="s">
        <v>11145</v>
      </c>
      <c r="E2152" t="s">
        <v>11146</v>
      </c>
      <c r="F2152" t="s">
        <v>11147</v>
      </c>
      <c r="G2152" s="1">
        <v>7144571</v>
      </c>
      <c r="H2152" s="2">
        <v>7144571</v>
      </c>
      <c r="I2152" s="2">
        <v>7144571</v>
      </c>
      <c r="J2152" s="2">
        <v>23757.67</v>
      </c>
      <c r="K2152" s="2">
        <v>0</v>
      </c>
      <c r="L2152" s="2">
        <v>7168328.6699999999</v>
      </c>
      <c r="M2152" s="3">
        <v>6.88</v>
      </c>
      <c r="N2152" s="4">
        <v>1.6308719999999999E-2</v>
      </c>
      <c r="O2152" s="5" t="s">
        <v>44</v>
      </c>
      <c r="P2152" s="5">
        <v>55153</v>
      </c>
      <c r="Q2152" s="1">
        <v>6.88</v>
      </c>
      <c r="R2152" s="2">
        <v>0.08</v>
      </c>
      <c r="S2152" s="6">
        <v>2.6006750000000002E-3</v>
      </c>
      <c r="T2152" t="s">
        <v>112</v>
      </c>
      <c r="U2152" t="s">
        <v>46</v>
      </c>
      <c r="V2152" t="s">
        <v>11148</v>
      </c>
      <c r="W2152" t="s">
        <v>43</v>
      </c>
      <c r="X2152" t="s">
        <v>44</v>
      </c>
      <c r="Y2152" t="s">
        <v>44</v>
      </c>
      <c r="Z2152" t="s">
        <v>44</v>
      </c>
      <c r="AA2152" t="s">
        <v>44</v>
      </c>
      <c r="AB2152" t="s">
        <v>44</v>
      </c>
      <c r="AC2152" s="4"/>
      <c r="AD2152" s="4"/>
      <c r="AE2152" s="2">
        <v>0</v>
      </c>
      <c r="AF2152" s="4">
        <v>0</v>
      </c>
      <c r="AG2152" s="2">
        <v>3.32</v>
      </c>
      <c r="AH2152" s="2">
        <v>7168328.6699999999</v>
      </c>
      <c r="AI2152" s="2">
        <v>0.02</v>
      </c>
      <c r="AJ2152" s="5">
        <v>44673</v>
      </c>
      <c r="AK2152" t="s">
        <v>12316</v>
      </c>
      <c r="AL2152" s="2">
        <v>0</v>
      </c>
      <c r="AM2152" s="2">
        <v>6.88</v>
      </c>
      <c r="AN2152" s="2">
        <v>0</v>
      </c>
      <c r="AO2152" t="s">
        <v>11146</v>
      </c>
      <c r="AP2152" t="s">
        <v>44</v>
      </c>
      <c r="AQ2152" t="s">
        <v>11146</v>
      </c>
    </row>
    <row r="2153" spans="1:43" x14ac:dyDescent="0.2">
      <c r="A2153" t="s">
        <v>12315</v>
      </c>
      <c r="B2153" t="s">
        <v>45</v>
      </c>
      <c r="C2153" t="s">
        <v>47</v>
      </c>
      <c r="D2153" t="s">
        <v>48</v>
      </c>
      <c r="E2153" t="s">
        <v>49</v>
      </c>
      <c r="F2153" t="s">
        <v>50</v>
      </c>
      <c r="G2153" s="1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6329.09</v>
      </c>
      <c r="M2153" s="3"/>
      <c r="N2153" s="4">
        <v>1.4399999999999999E-5</v>
      </c>
      <c r="O2153" s="5" t="s">
        <v>44</v>
      </c>
      <c r="P2153" s="5" t="s">
        <v>44</v>
      </c>
      <c r="Q2153" s="1"/>
      <c r="R2153" s="2">
        <v>0.08</v>
      </c>
      <c r="S2153" s="6"/>
      <c r="T2153" t="s">
        <v>45</v>
      </c>
      <c r="U2153" t="s">
        <v>46</v>
      </c>
      <c r="V2153" t="s">
        <v>44</v>
      </c>
      <c r="W2153" t="s">
        <v>43</v>
      </c>
      <c r="X2153" t="s">
        <v>44</v>
      </c>
      <c r="Y2153" t="s">
        <v>44</v>
      </c>
      <c r="Z2153" t="s">
        <v>44</v>
      </c>
      <c r="AA2153" t="s">
        <v>44</v>
      </c>
      <c r="AB2153" t="s">
        <v>44</v>
      </c>
      <c r="AC2153" s="4">
        <v>5.1163389600000002</v>
      </c>
      <c r="AD2153" s="4">
        <v>5.0001424999999999</v>
      </c>
      <c r="AE2153" s="2">
        <v>5.12</v>
      </c>
      <c r="AF2153" s="4">
        <v>5.0001424999999999</v>
      </c>
      <c r="AG2153" s="2">
        <v>0</v>
      </c>
      <c r="AH2153" s="2">
        <v>6329.09</v>
      </c>
      <c r="AI2153" s="2">
        <v>0</v>
      </c>
      <c r="AJ2153" s="5">
        <v>44673</v>
      </c>
      <c r="AK2153" t="s">
        <v>12316</v>
      </c>
      <c r="AL2153" s="2">
        <v>5.05</v>
      </c>
      <c r="AM2153" s="2">
        <v>0</v>
      </c>
      <c r="AN2153" s="2">
        <v>0</v>
      </c>
      <c r="AO2153" t="s">
        <v>44</v>
      </c>
      <c r="AP2153" t="s">
        <v>44</v>
      </c>
      <c r="AQ2153" t="s">
        <v>44</v>
      </c>
    </row>
    <row r="2154" spans="1:43" x14ac:dyDescent="0.2">
      <c r="A2154" t="s">
        <v>12315</v>
      </c>
      <c r="B2154" t="s">
        <v>45</v>
      </c>
      <c r="C2154" t="s">
        <v>47</v>
      </c>
      <c r="D2154" t="s">
        <v>51</v>
      </c>
      <c r="E2154" t="s">
        <v>52</v>
      </c>
      <c r="F2154" t="s">
        <v>51</v>
      </c>
      <c r="G2154" s="1">
        <v>2124838.21</v>
      </c>
      <c r="H2154" s="2">
        <v>2124838.21</v>
      </c>
      <c r="I2154" s="2">
        <v>2124838.21</v>
      </c>
      <c r="J2154" s="2">
        <v>0</v>
      </c>
      <c r="K2154" s="2">
        <v>0</v>
      </c>
      <c r="L2154" s="2">
        <v>2124838.21</v>
      </c>
      <c r="M2154" s="3"/>
      <c r="N2154" s="4">
        <v>4.8342400000000001E-3</v>
      </c>
      <c r="O2154" s="5" t="s">
        <v>44</v>
      </c>
      <c r="P2154" s="5" t="s">
        <v>44</v>
      </c>
      <c r="Q2154" s="1"/>
      <c r="R2154" s="2">
        <v>0.08</v>
      </c>
      <c r="S2154" s="6"/>
      <c r="T2154" t="s">
        <v>45</v>
      </c>
      <c r="U2154" t="s">
        <v>53</v>
      </c>
      <c r="V2154" t="s">
        <v>44</v>
      </c>
      <c r="W2154" t="s">
        <v>43</v>
      </c>
      <c r="X2154" t="s">
        <v>44</v>
      </c>
      <c r="Y2154" t="s">
        <v>44</v>
      </c>
      <c r="Z2154" t="s">
        <v>44</v>
      </c>
      <c r="AA2154" t="s">
        <v>44</v>
      </c>
      <c r="AB2154" t="s">
        <v>44</v>
      </c>
      <c r="AC2154" s="4">
        <v>5.1163389600000002</v>
      </c>
      <c r="AD2154" s="4">
        <v>5.0001424999999999</v>
      </c>
      <c r="AE2154" s="2">
        <v>5.12</v>
      </c>
      <c r="AF2154" s="4">
        <v>5.0001424999999999</v>
      </c>
      <c r="AG2154" s="2">
        <v>0.98</v>
      </c>
      <c r="AH2154" s="2">
        <v>2124838.21</v>
      </c>
      <c r="AI2154" s="2">
        <v>0</v>
      </c>
      <c r="AJ2154" s="5">
        <v>44673</v>
      </c>
      <c r="AK2154" t="s">
        <v>12316</v>
      </c>
      <c r="AL2154" s="2">
        <v>5.05</v>
      </c>
      <c r="AM2154" s="2">
        <v>0</v>
      </c>
      <c r="AN2154" s="2">
        <v>0</v>
      </c>
      <c r="AO2154" t="s">
        <v>44</v>
      </c>
      <c r="AP2154" t="s">
        <v>44</v>
      </c>
      <c r="AQ2154" t="s">
        <v>43</v>
      </c>
    </row>
    <row r="2155" spans="1:43" x14ac:dyDescent="0.2">
      <c r="A2155" t="s">
        <v>12315</v>
      </c>
      <c r="B2155" t="s">
        <v>45</v>
      </c>
      <c r="C2155" t="s">
        <v>11005</v>
      </c>
      <c r="D2155" t="s">
        <v>11006</v>
      </c>
      <c r="E2155" t="s">
        <v>11007</v>
      </c>
      <c r="F2155" t="s">
        <v>11006</v>
      </c>
      <c r="G2155" s="1">
        <v>-89674.92</v>
      </c>
      <c r="H2155" s="2">
        <v>-89674.92</v>
      </c>
      <c r="I2155" s="2">
        <v>-89674.92</v>
      </c>
      <c r="J2155" s="2">
        <v>0</v>
      </c>
      <c r="K2155" s="2"/>
      <c r="L2155" s="2">
        <v>-89674.92</v>
      </c>
      <c r="M2155" s="3"/>
      <c r="N2155" s="4">
        <v>-2.0401999999999999E-4</v>
      </c>
      <c r="O2155" s="5" t="s">
        <v>44</v>
      </c>
      <c r="P2155" s="5">
        <v>73051</v>
      </c>
      <c r="Q2155" s="1">
        <v>0</v>
      </c>
      <c r="R2155" s="2">
        <v>0.08</v>
      </c>
      <c r="S2155" s="6"/>
      <c r="T2155" t="s">
        <v>45</v>
      </c>
      <c r="U2155" t="s">
        <v>11008</v>
      </c>
      <c r="V2155" t="s">
        <v>44</v>
      </c>
      <c r="W2155" t="s">
        <v>43</v>
      </c>
      <c r="X2155" t="s">
        <v>44</v>
      </c>
      <c r="Y2155" t="s">
        <v>44</v>
      </c>
      <c r="Z2155" t="s">
        <v>44</v>
      </c>
      <c r="AA2155" t="s">
        <v>44</v>
      </c>
      <c r="AB2155" t="s">
        <v>44</v>
      </c>
      <c r="AC2155" s="4">
        <v>5.1163389600000002</v>
      </c>
      <c r="AD2155" s="4">
        <v>5.0001424999999999</v>
      </c>
      <c r="AE2155" s="2">
        <v>5.12</v>
      </c>
      <c r="AF2155" s="4">
        <v>5.0001424999999999</v>
      </c>
      <c r="AG2155" s="2">
        <v>-0.04</v>
      </c>
      <c r="AH2155" s="2">
        <v>-89674.92</v>
      </c>
      <c r="AI2155" s="2">
        <v>0</v>
      </c>
      <c r="AJ2155" s="5">
        <v>44673</v>
      </c>
      <c r="AK2155" t="s">
        <v>12316</v>
      </c>
      <c r="AL2155" s="2">
        <v>5.05</v>
      </c>
      <c r="AM2155" s="2">
        <v>0</v>
      </c>
      <c r="AN2155" s="2">
        <v>0</v>
      </c>
      <c r="AO2155" t="s">
        <v>44</v>
      </c>
      <c r="AP2155" t="s">
        <v>44</v>
      </c>
      <c r="AQ2155" t="s">
        <v>44</v>
      </c>
    </row>
    <row r="2156" spans="1:43" x14ac:dyDescent="0.2">
      <c r="A2156" t="s">
        <v>12315</v>
      </c>
      <c r="B2156" t="s">
        <v>45</v>
      </c>
      <c r="C2156" t="s">
        <v>11005</v>
      </c>
      <c r="D2156" t="s">
        <v>11009</v>
      </c>
      <c r="E2156" t="s">
        <v>11010</v>
      </c>
      <c r="F2156" t="s">
        <v>44</v>
      </c>
      <c r="G2156" s="1">
        <v>-85555.91</v>
      </c>
      <c r="H2156" s="2">
        <v>-85555.91</v>
      </c>
      <c r="I2156" s="2">
        <v>-85555.91</v>
      </c>
      <c r="J2156" s="2">
        <v>0</v>
      </c>
      <c r="K2156" s="2"/>
      <c r="L2156" s="2">
        <v>-85555.91</v>
      </c>
      <c r="M2156" s="3"/>
      <c r="N2156" s="4">
        <v>-1.9464999999999999E-4</v>
      </c>
      <c r="O2156" s="5" t="s">
        <v>44</v>
      </c>
      <c r="P2156" s="5">
        <v>73051</v>
      </c>
      <c r="Q2156" s="1">
        <v>0</v>
      </c>
      <c r="R2156" s="2">
        <v>0.08</v>
      </c>
      <c r="S2156" s="6"/>
      <c r="T2156" t="s">
        <v>45</v>
      </c>
      <c r="U2156" t="s">
        <v>44</v>
      </c>
      <c r="V2156" t="s">
        <v>44</v>
      </c>
      <c r="W2156" t="s">
        <v>43</v>
      </c>
      <c r="X2156" t="s">
        <v>44</v>
      </c>
      <c r="Y2156" t="s">
        <v>44</v>
      </c>
      <c r="Z2156" t="s">
        <v>44</v>
      </c>
      <c r="AA2156" t="s">
        <v>44</v>
      </c>
      <c r="AB2156" t="s">
        <v>44</v>
      </c>
      <c r="AC2156" s="4">
        <v>5.1163389600000002</v>
      </c>
      <c r="AD2156" s="4">
        <v>5.0001424999999999</v>
      </c>
      <c r="AE2156" s="2">
        <v>5.12</v>
      </c>
      <c r="AF2156" s="4">
        <v>5.0001424999999999</v>
      </c>
      <c r="AG2156" s="2">
        <v>-0.04</v>
      </c>
      <c r="AH2156" s="2">
        <v>-85555.91</v>
      </c>
      <c r="AI2156" s="2">
        <v>0</v>
      </c>
      <c r="AJ2156" s="5">
        <v>44673</v>
      </c>
      <c r="AK2156" t="s">
        <v>12316</v>
      </c>
      <c r="AL2156" s="2">
        <v>5.05</v>
      </c>
      <c r="AM2156" s="2">
        <v>0</v>
      </c>
      <c r="AN2156" s="2">
        <v>0</v>
      </c>
      <c r="AO2156" t="s">
        <v>44</v>
      </c>
      <c r="AP2156" t="s">
        <v>44</v>
      </c>
      <c r="AQ2156" t="s">
        <v>44</v>
      </c>
    </row>
    <row r="2157" spans="1:43" x14ac:dyDescent="0.2">
      <c r="A2157" t="s">
        <v>12315</v>
      </c>
      <c r="B2157" t="s">
        <v>45</v>
      </c>
      <c r="C2157" t="s">
        <v>11005</v>
      </c>
      <c r="D2157" t="s">
        <v>11011</v>
      </c>
      <c r="E2157" t="s">
        <v>11012</v>
      </c>
      <c r="F2157" t="s">
        <v>44</v>
      </c>
      <c r="G2157" s="1">
        <v>-6068.75</v>
      </c>
      <c r="H2157" s="2">
        <v>-6068.75</v>
      </c>
      <c r="I2157" s="2">
        <v>-6068.75</v>
      </c>
      <c r="J2157" s="2">
        <v>0</v>
      </c>
      <c r="K2157" s="2"/>
      <c r="L2157" s="2">
        <v>-6068.75</v>
      </c>
      <c r="M2157" s="3"/>
      <c r="N2157" s="4">
        <v>-1.381E-5</v>
      </c>
      <c r="O2157" s="5" t="s">
        <v>44</v>
      </c>
      <c r="P2157" s="5">
        <v>73051</v>
      </c>
      <c r="Q2157" s="1">
        <v>0</v>
      </c>
      <c r="R2157" s="2">
        <v>0.08</v>
      </c>
      <c r="S2157" s="6"/>
      <c r="T2157" t="s">
        <v>45</v>
      </c>
      <c r="U2157" t="s">
        <v>44</v>
      </c>
      <c r="V2157" t="s">
        <v>44</v>
      </c>
      <c r="W2157" t="s">
        <v>43</v>
      </c>
      <c r="X2157" t="s">
        <v>44</v>
      </c>
      <c r="Y2157" t="s">
        <v>44</v>
      </c>
      <c r="Z2157" t="s">
        <v>44</v>
      </c>
      <c r="AA2157" t="s">
        <v>44</v>
      </c>
      <c r="AB2157" t="s">
        <v>44</v>
      </c>
      <c r="AC2157" s="4">
        <v>5.1163389600000002</v>
      </c>
      <c r="AD2157" s="4">
        <v>5.0001424999999999</v>
      </c>
      <c r="AE2157" s="2">
        <v>5.12</v>
      </c>
      <c r="AF2157" s="4">
        <v>5.0001424999999999</v>
      </c>
      <c r="AG2157" s="2">
        <v>0</v>
      </c>
      <c r="AH2157" s="2">
        <v>-6068.75</v>
      </c>
      <c r="AI2157" s="2">
        <v>0</v>
      </c>
      <c r="AJ2157" s="5">
        <v>44673</v>
      </c>
      <c r="AK2157" t="s">
        <v>12316</v>
      </c>
      <c r="AL2157" s="2">
        <v>5.05</v>
      </c>
      <c r="AM2157" s="2">
        <v>0</v>
      </c>
      <c r="AN2157" s="2">
        <v>0</v>
      </c>
      <c r="AO2157" t="s">
        <v>44</v>
      </c>
      <c r="AP2157" t="s">
        <v>44</v>
      </c>
      <c r="AQ2157" t="s">
        <v>44</v>
      </c>
    </row>
    <row r="2158" spans="1:43" x14ac:dyDescent="0.2">
      <c r="A2158" t="s">
        <v>12315</v>
      </c>
      <c r="B2158" t="s">
        <v>45</v>
      </c>
      <c r="C2158" t="s">
        <v>11005</v>
      </c>
      <c r="D2158" t="s">
        <v>11149</v>
      </c>
      <c r="E2158" t="s">
        <v>11150</v>
      </c>
      <c r="F2158" t="s">
        <v>44</v>
      </c>
      <c r="G2158" s="1">
        <v>-2004775.43</v>
      </c>
      <c r="H2158" s="2">
        <v>-2004775.43</v>
      </c>
      <c r="I2158" s="2">
        <v>-2004775.43</v>
      </c>
      <c r="J2158" s="2">
        <v>0</v>
      </c>
      <c r="K2158" s="2"/>
      <c r="L2158" s="2">
        <v>-2004775.43</v>
      </c>
      <c r="M2158" s="3"/>
      <c r="N2158" s="4">
        <v>-4.5610800000000003E-3</v>
      </c>
      <c r="O2158" s="5" t="s">
        <v>44</v>
      </c>
      <c r="P2158" s="5">
        <v>73051</v>
      </c>
      <c r="Q2158" s="1">
        <v>0</v>
      </c>
      <c r="R2158" s="2">
        <v>0.08</v>
      </c>
      <c r="S2158" s="6"/>
      <c r="T2158" t="s">
        <v>45</v>
      </c>
      <c r="U2158" t="s">
        <v>44</v>
      </c>
      <c r="V2158" t="s">
        <v>44</v>
      </c>
      <c r="W2158" t="s">
        <v>43</v>
      </c>
      <c r="X2158" t="s">
        <v>44</v>
      </c>
      <c r="Y2158" t="s">
        <v>44</v>
      </c>
      <c r="Z2158" t="s">
        <v>44</v>
      </c>
      <c r="AA2158" t="s">
        <v>44</v>
      </c>
      <c r="AB2158" t="s">
        <v>44</v>
      </c>
      <c r="AC2158" s="4">
        <v>5.1163389600000002</v>
      </c>
      <c r="AD2158" s="4">
        <v>5.0001424999999999</v>
      </c>
      <c r="AE2158" s="2">
        <v>5.12</v>
      </c>
      <c r="AF2158" s="4">
        <v>5.0001424999999999</v>
      </c>
      <c r="AG2158" s="2">
        <v>-0.93</v>
      </c>
      <c r="AH2158" s="2">
        <v>-2004775.43</v>
      </c>
      <c r="AI2158" s="2">
        <v>0</v>
      </c>
      <c r="AJ2158" s="5">
        <v>44673</v>
      </c>
      <c r="AK2158" t="s">
        <v>12316</v>
      </c>
      <c r="AL2158" s="2">
        <v>5.05</v>
      </c>
      <c r="AM2158" s="2">
        <v>0</v>
      </c>
      <c r="AN2158" s="2">
        <v>0</v>
      </c>
      <c r="AO2158" t="s">
        <v>44</v>
      </c>
      <c r="AP2158" t="s">
        <v>44</v>
      </c>
      <c r="AQ2158" t="s">
        <v>44</v>
      </c>
    </row>
    <row r="2159" spans="1:43" x14ac:dyDescent="0.2">
      <c r="A2159" t="s">
        <v>12315</v>
      </c>
      <c r="B2159" t="s">
        <v>11013</v>
      </c>
      <c r="C2159" t="s">
        <v>11014</v>
      </c>
      <c r="D2159" t="s">
        <v>11015</v>
      </c>
      <c r="E2159" t="s">
        <v>11016</v>
      </c>
      <c r="F2159" t="s">
        <v>11015</v>
      </c>
      <c r="G2159" s="1">
        <v>11345415.5288</v>
      </c>
      <c r="H2159" s="2">
        <v>12029650.51</v>
      </c>
      <c r="I2159" s="2">
        <v>11784483.109999999</v>
      </c>
      <c r="J2159" s="2">
        <v>0</v>
      </c>
      <c r="K2159" s="2">
        <v>0</v>
      </c>
      <c r="L2159" s="2">
        <v>11784483.109999999</v>
      </c>
      <c r="M2159" s="3">
        <v>1.0387</v>
      </c>
      <c r="N2159" s="4">
        <v>2.681097E-2</v>
      </c>
      <c r="O2159" s="5" t="s">
        <v>44</v>
      </c>
      <c r="P2159" s="5" t="s">
        <v>44</v>
      </c>
      <c r="Q2159" s="1"/>
      <c r="R2159" s="2"/>
      <c r="S2159" s="6"/>
      <c r="T2159" t="s">
        <v>10902</v>
      </c>
      <c r="U2159" t="s">
        <v>11003</v>
      </c>
      <c r="V2159" t="s">
        <v>11003</v>
      </c>
      <c r="W2159" t="s">
        <v>43</v>
      </c>
      <c r="X2159" t="s">
        <v>44</v>
      </c>
      <c r="Y2159" t="s">
        <v>44</v>
      </c>
      <c r="Z2159" t="s">
        <v>44</v>
      </c>
      <c r="AA2159" t="s">
        <v>44</v>
      </c>
      <c r="AB2159" t="s">
        <v>44</v>
      </c>
      <c r="AC2159" s="4"/>
      <c r="AD2159" s="4"/>
      <c r="AE2159" s="2">
        <v>0</v>
      </c>
      <c r="AF2159" s="4">
        <v>0</v>
      </c>
      <c r="AG2159" s="2">
        <v>5.46</v>
      </c>
      <c r="AH2159" s="2">
        <v>11784483.109999999</v>
      </c>
      <c r="AI2159" s="2">
        <v>0.03</v>
      </c>
      <c r="AJ2159" s="5">
        <v>44673</v>
      </c>
      <c r="AK2159" t="s">
        <v>12316</v>
      </c>
      <c r="AL2159" s="2">
        <v>0</v>
      </c>
      <c r="AM2159" s="2">
        <v>0</v>
      </c>
      <c r="AN2159" s="2">
        <v>0</v>
      </c>
      <c r="AO2159" t="s">
        <v>44</v>
      </c>
      <c r="AP2159" t="s">
        <v>11017</v>
      </c>
      <c r="AQ2159" t="s">
        <v>11016</v>
      </c>
    </row>
    <row r="2160" spans="1:43" x14ac:dyDescent="0.2">
      <c r="A2160" t="s">
        <v>12315</v>
      </c>
      <c r="B2160" t="s">
        <v>11013</v>
      </c>
      <c r="C2160" t="s">
        <v>11014</v>
      </c>
      <c r="D2160" t="s">
        <v>11018</v>
      </c>
      <c r="E2160" t="s">
        <v>11019</v>
      </c>
      <c r="F2160" t="s">
        <v>11018</v>
      </c>
      <c r="G2160" s="1">
        <v>22029879.217300002</v>
      </c>
      <c r="H2160" s="2">
        <v>22026567.030000001</v>
      </c>
      <c r="I2160" s="2">
        <v>22153246.539999999</v>
      </c>
      <c r="J2160" s="2">
        <v>0</v>
      </c>
      <c r="K2160" s="2">
        <v>0</v>
      </c>
      <c r="L2160" s="2">
        <v>22153246.539999999</v>
      </c>
      <c r="M2160" s="3">
        <v>1.0056</v>
      </c>
      <c r="N2160" s="4">
        <v>5.0401019999999998E-2</v>
      </c>
      <c r="O2160" s="5" t="s">
        <v>44</v>
      </c>
      <c r="P2160" s="5" t="s">
        <v>44</v>
      </c>
      <c r="Q2160" s="1"/>
      <c r="R2160" s="2"/>
      <c r="S2160" s="6"/>
      <c r="T2160" t="s">
        <v>10902</v>
      </c>
      <c r="U2160" t="s">
        <v>11003</v>
      </c>
      <c r="V2160" t="s">
        <v>11003</v>
      </c>
      <c r="W2160" t="s">
        <v>43</v>
      </c>
      <c r="X2160" t="s">
        <v>44</v>
      </c>
      <c r="Y2160" t="s">
        <v>44</v>
      </c>
      <c r="Z2160" t="s">
        <v>44</v>
      </c>
      <c r="AA2160" t="s">
        <v>44</v>
      </c>
      <c r="AB2160" t="s">
        <v>44</v>
      </c>
      <c r="AC2160" s="4"/>
      <c r="AD2160" s="4"/>
      <c r="AE2160" s="2">
        <v>0</v>
      </c>
      <c r="AF2160" s="4">
        <v>0</v>
      </c>
      <c r="AG2160" s="2">
        <v>10.27</v>
      </c>
      <c r="AH2160" s="2">
        <v>22153246.539999999</v>
      </c>
      <c r="AI2160" s="2">
        <v>0.05</v>
      </c>
      <c r="AJ2160" s="5">
        <v>44673</v>
      </c>
      <c r="AK2160" t="s">
        <v>12316</v>
      </c>
      <c r="AL2160" s="2">
        <v>0</v>
      </c>
      <c r="AM2160" s="2">
        <v>0</v>
      </c>
      <c r="AN2160" s="2">
        <v>0</v>
      </c>
      <c r="AO2160" t="s">
        <v>44</v>
      </c>
      <c r="AP2160" t="s">
        <v>11020</v>
      </c>
      <c r="AQ2160" t="s">
        <v>11019</v>
      </c>
    </row>
    <row r="2161" spans="1:43" x14ac:dyDescent="0.2">
      <c r="A2161" t="s">
        <v>12315</v>
      </c>
      <c r="B2161" t="s">
        <v>11013</v>
      </c>
      <c r="C2161" t="s">
        <v>11014</v>
      </c>
      <c r="D2161" t="s">
        <v>11021</v>
      </c>
      <c r="E2161" t="s">
        <v>11022</v>
      </c>
      <c r="F2161" t="s">
        <v>11021</v>
      </c>
      <c r="G2161" s="1">
        <v>17279011.335700002</v>
      </c>
      <c r="H2161" s="2">
        <v>13901789.42</v>
      </c>
      <c r="I2161" s="2">
        <v>17348127.379999999</v>
      </c>
      <c r="J2161" s="2">
        <v>0</v>
      </c>
      <c r="K2161" s="2">
        <v>0</v>
      </c>
      <c r="L2161" s="2">
        <v>17348127.379999999</v>
      </c>
      <c r="M2161" s="3">
        <v>1.004</v>
      </c>
      <c r="N2161" s="4">
        <v>3.9468860000000001E-2</v>
      </c>
      <c r="O2161" s="5" t="s">
        <v>44</v>
      </c>
      <c r="P2161" s="5" t="s">
        <v>44</v>
      </c>
      <c r="Q2161" s="1"/>
      <c r="R2161" s="2"/>
      <c r="S2161" s="6"/>
      <c r="T2161" t="s">
        <v>10902</v>
      </c>
      <c r="U2161" t="s">
        <v>11003</v>
      </c>
      <c r="V2161" t="s">
        <v>11003</v>
      </c>
      <c r="W2161" t="s">
        <v>43</v>
      </c>
      <c r="X2161" t="s">
        <v>44</v>
      </c>
      <c r="Y2161" t="s">
        <v>44</v>
      </c>
      <c r="Z2161" t="s">
        <v>44</v>
      </c>
      <c r="AA2161" t="s">
        <v>44</v>
      </c>
      <c r="AB2161" t="s">
        <v>44</v>
      </c>
      <c r="AC2161" s="4"/>
      <c r="AD2161" s="4"/>
      <c r="AE2161" s="2">
        <v>0</v>
      </c>
      <c r="AF2161" s="4">
        <v>0</v>
      </c>
      <c r="AG2161" s="2">
        <v>8.0399999999999991</v>
      </c>
      <c r="AH2161" s="2">
        <v>17348127.379999999</v>
      </c>
      <c r="AI2161" s="2">
        <v>0.04</v>
      </c>
      <c r="AJ2161" s="5">
        <v>44673</v>
      </c>
      <c r="AK2161" t="s">
        <v>12316</v>
      </c>
      <c r="AL2161" s="2">
        <v>0</v>
      </c>
      <c r="AM2161" s="2">
        <v>0</v>
      </c>
      <c r="AN2161" s="2">
        <v>0</v>
      </c>
      <c r="AO2161" t="s">
        <v>44</v>
      </c>
      <c r="AP2161" t="s">
        <v>11023</v>
      </c>
      <c r="AQ2161" t="s">
        <v>11022</v>
      </c>
    </row>
    <row r="2162" spans="1:43" x14ac:dyDescent="0.2">
      <c r="A2162" t="s">
        <v>12315</v>
      </c>
      <c r="B2162" t="s">
        <v>11024</v>
      </c>
      <c r="C2162" t="s">
        <v>57</v>
      </c>
      <c r="D2162" t="s">
        <v>12717</v>
      </c>
      <c r="E2162" t="s">
        <v>12717</v>
      </c>
      <c r="F2162" t="s">
        <v>12717</v>
      </c>
      <c r="G2162" s="1">
        <v>-78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3">
        <v>65943</v>
      </c>
      <c r="N2162" s="4">
        <v>0</v>
      </c>
      <c r="O2162" s="5" t="s">
        <v>44</v>
      </c>
      <c r="P2162" s="5">
        <v>44910</v>
      </c>
      <c r="Q2162" s="1"/>
      <c r="R2162" s="2"/>
      <c r="S2162" s="6"/>
      <c r="T2162" t="s">
        <v>11026</v>
      </c>
      <c r="U2162" t="s">
        <v>11025</v>
      </c>
      <c r="V2162" t="s">
        <v>11027</v>
      </c>
      <c r="W2162" t="s">
        <v>43</v>
      </c>
      <c r="X2162" t="s">
        <v>44</v>
      </c>
      <c r="Y2162" t="s">
        <v>44</v>
      </c>
      <c r="Z2162" t="s">
        <v>44</v>
      </c>
      <c r="AA2162" t="s">
        <v>44</v>
      </c>
      <c r="AB2162" t="s">
        <v>44</v>
      </c>
      <c r="AC2162" s="4"/>
      <c r="AD2162" s="4"/>
      <c r="AE2162" s="2">
        <v>0</v>
      </c>
      <c r="AF2162" s="4">
        <v>0</v>
      </c>
      <c r="AG2162" s="2">
        <v>0</v>
      </c>
      <c r="AH2162" s="2">
        <v>-51435540</v>
      </c>
      <c r="AI2162" s="2">
        <v>-0.12</v>
      </c>
      <c r="AJ2162" s="5">
        <v>44673</v>
      </c>
      <c r="AK2162" t="s">
        <v>12316</v>
      </c>
      <c r="AL2162" s="2">
        <v>0</v>
      </c>
      <c r="AM2162" s="2">
        <v>0</v>
      </c>
      <c r="AN2162" s="2">
        <v>0</v>
      </c>
      <c r="AO2162" t="s">
        <v>44</v>
      </c>
      <c r="AP2162" t="s">
        <v>12718</v>
      </c>
      <c r="AQ2162" t="s">
        <v>12717</v>
      </c>
    </row>
    <row r="2163" spans="1:43" x14ac:dyDescent="0.2">
      <c r="A2163" t="s">
        <v>12315</v>
      </c>
      <c r="B2163" t="s">
        <v>11024</v>
      </c>
      <c r="C2163" t="s">
        <v>57</v>
      </c>
      <c r="D2163" t="s">
        <v>12719</v>
      </c>
      <c r="E2163" t="s">
        <v>12719</v>
      </c>
      <c r="F2163" t="s">
        <v>12719</v>
      </c>
      <c r="G2163" s="1">
        <v>143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3">
        <v>23175</v>
      </c>
      <c r="N2163" s="4">
        <v>0</v>
      </c>
      <c r="O2163" s="5" t="s">
        <v>44</v>
      </c>
      <c r="P2163" s="5">
        <v>44910</v>
      </c>
      <c r="Q2163" s="1"/>
      <c r="R2163" s="2"/>
      <c r="S2163" s="6"/>
      <c r="T2163" t="s">
        <v>11153</v>
      </c>
      <c r="U2163" t="s">
        <v>11025</v>
      </c>
      <c r="V2163" t="s">
        <v>11154</v>
      </c>
      <c r="W2163" t="s">
        <v>43</v>
      </c>
      <c r="X2163" t="s">
        <v>44</v>
      </c>
      <c r="Y2163" t="s">
        <v>44</v>
      </c>
      <c r="Z2163" t="s">
        <v>44</v>
      </c>
      <c r="AA2163" t="s">
        <v>44</v>
      </c>
      <c r="AB2163" t="s">
        <v>44</v>
      </c>
      <c r="AC2163" s="4"/>
      <c r="AD2163" s="4"/>
      <c r="AE2163" s="2">
        <v>0</v>
      </c>
      <c r="AF2163" s="4">
        <v>0</v>
      </c>
      <c r="AG2163" s="2">
        <v>0</v>
      </c>
      <c r="AH2163" s="2">
        <v>35047391.649999999</v>
      </c>
      <c r="AI2163" s="2">
        <v>0.08</v>
      </c>
      <c r="AJ2163" s="5">
        <v>44673</v>
      </c>
      <c r="AK2163" t="s">
        <v>12316</v>
      </c>
      <c r="AL2163" s="2">
        <v>0</v>
      </c>
      <c r="AM2163" s="2">
        <v>0</v>
      </c>
      <c r="AN2163" s="2">
        <v>0</v>
      </c>
      <c r="AO2163" t="s">
        <v>44</v>
      </c>
      <c r="AP2163" t="s">
        <v>12720</v>
      </c>
      <c r="AQ2163" t="s">
        <v>12719</v>
      </c>
    </row>
    <row r="2164" spans="1:43" x14ac:dyDescent="0.2">
      <c r="A2164" t="s">
        <v>12315</v>
      </c>
      <c r="B2164" t="s">
        <v>11024</v>
      </c>
      <c r="C2164" t="s">
        <v>57</v>
      </c>
      <c r="D2164" t="s">
        <v>11151</v>
      </c>
      <c r="E2164" t="s">
        <v>11151</v>
      </c>
      <c r="F2164" t="s">
        <v>11151</v>
      </c>
      <c r="G2164" s="1">
        <v>107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3">
        <v>65704</v>
      </c>
      <c r="N2164" s="4">
        <v>0</v>
      </c>
      <c r="O2164" s="5" t="s">
        <v>44</v>
      </c>
      <c r="P2164" s="5">
        <v>44727</v>
      </c>
      <c r="Q2164" s="1"/>
      <c r="R2164" s="2"/>
      <c r="S2164" s="6"/>
      <c r="T2164" t="s">
        <v>11026</v>
      </c>
      <c r="U2164" t="s">
        <v>11025</v>
      </c>
      <c r="V2164" t="s">
        <v>11027</v>
      </c>
      <c r="W2164" t="s">
        <v>43</v>
      </c>
      <c r="X2164" t="s">
        <v>44</v>
      </c>
      <c r="Y2164" t="s">
        <v>44</v>
      </c>
      <c r="Z2164" t="s">
        <v>44</v>
      </c>
      <c r="AA2164" t="s">
        <v>44</v>
      </c>
      <c r="AB2164" t="s">
        <v>44</v>
      </c>
      <c r="AC2164" s="4"/>
      <c r="AD2164" s="4"/>
      <c r="AE2164" s="2">
        <v>0</v>
      </c>
      <c r="AF2164" s="4">
        <v>0</v>
      </c>
      <c r="AG2164" s="2">
        <v>0</v>
      </c>
      <c r="AH2164" s="2">
        <v>70303280</v>
      </c>
      <c r="AI2164" s="2">
        <v>0.16</v>
      </c>
      <c r="AJ2164" s="5">
        <v>44673</v>
      </c>
      <c r="AK2164" t="s">
        <v>12316</v>
      </c>
      <c r="AL2164" s="2">
        <v>0</v>
      </c>
      <c r="AM2164" s="2">
        <v>0</v>
      </c>
      <c r="AN2164" s="2">
        <v>0</v>
      </c>
      <c r="AO2164" t="s">
        <v>44</v>
      </c>
      <c r="AP2164" t="s">
        <v>11152</v>
      </c>
      <c r="AQ2164" t="s">
        <v>11151</v>
      </c>
    </row>
    <row r="2165" spans="1:43" x14ac:dyDescent="0.2">
      <c r="A2165" t="s">
        <v>12315</v>
      </c>
      <c r="B2165" t="s">
        <v>11024</v>
      </c>
      <c r="C2165" t="s">
        <v>57</v>
      </c>
      <c r="D2165" t="s">
        <v>12995</v>
      </c>
      <c r="E2165" t="s">
        <v>12995</v>
      </c>
      <c r="F2165" t="s">
        <v>12995</v>
      </c>
      <c r="G2165" s="1">
        <v>-33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3">
        <v>11809</v>
      </c>
      <c r="N2165" s="4">
        <v>0</v>
      </c>
      <c r="O2165" s="5" t="s">
        <v>44</v>
      </c>
      <c r="P2165" s="5">
        <v>44727</v>
      </c>
      <c r="Q2165" s="1"/>
      <c r="R2165" s="2"/>
      <c r="S2165" s="6"/>
      <c r="T2165" t="s">
        <v>11153</v>
      </c>
      <c r="U2165" t="s">
        <v>11025</v>
      </c>
      <c r="V2165" t="s">
        <v>11154</v>
      </c>
      <c r="W2165" t="s">
        <v>43</v>
      </c>
      <c r="X2165" t="s">
        <v>44</v>
      </c>
      <c r="Y2165" t="s">
        <v>44</v>
      </c>
      <c r="Z2165" t="s">
        <v>44</v>
      </c>
      <c r="AA2165" t="s">
        <v>44</v>
      </c>
      <c r="AB2165" t="s">
        <v>44</v>
      </c>
      <c r="AC2165" s="4"/>
      <c r="AD2165" s="4"/>
      <c r="AE2165" s="2">
        <v>0</v>
      </c>
      <c r="AF2165" s="4">
        <v>0</v>
      </c>
      <c r="AG2165" s="2">
        <v>0</v>
      </c>
      <c r="AH2165" s="2">
        <v>6561325.9699999997</v>
      </c>
      <c r="AI2165" s="2">
        <v>0.01</v>
      </c>
      <c r="AJ2165" s="5">
        <v>44673</v>
      </c>
      <c r="AK2165" t="s">
        <v>12316</v>
      </c>
      <c r="AL2165" s="2">
        <v>0</v>
      </c>
      <c r="AM2165" s="2">
        <v>0</v>
      </c>
      <c r="AN2165" s="2">
        <v>0</v>
      </c>
      <c r="AO2165" t="s">
        <v>44</v>
      </c>
      <c r="AP2165" t="s">
        <v>12999</v>
      </c>
      <c r="AQ2165" t="s">
        <v>12995</v>
      </c>
    </row>
    <row r="2166" spans="1:43" x14ac:dyDescent="0.2">
      <c r="A2166" t="s">
        <v>12315</v>
      </c>
      <c r="B2166" t="s">
        <v>11024</v>
      </c>
      <c r="C2166" t="s">
        <v>57</v>
      </c>
      <c r="D2166" t="s">
        <v>11155</v>
      </c>
      <c r="E2166" t="s">
        <v>11155</v>
      </c>
      <c r="F2166" t="s">
        <v>11155</v>
      </c>
      <c r="G2166" s="1">
        <v>-82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3">
        <v>615</v>
      </c>
      <c r="N2166" s="4">
        <v>0</v>
      </c>
      <c r="O2166" s="5" t="s">
        <v>44</v>
      </c>
      <c r="P2166" s="5">
        <v>44727</v>
      </c>
      <c r="Q2166" s="1"/>
      <c r="R2166" s="2"/>
      <c r="S2166" s="6"/>
      <c r="T2166" t="s">
        <v>11153</v>
      </c>
      <c r="U2166" t="s">
        <v>11025</v>
      </c>
      <c r="V2166" t="s">
        <v>11154</v>
      </c>
      <c r="W2166" t="s">
        <v>43</v>
      </c>
      <c r="X2166" t="s">
        <v>44</v>
      </c>
      <c r="Y2166" t="s">
        <v>44</v>
      </c>
      <c r="Z2166" t="s">
        <v>44</v>
      </c>
      <c r="AA2166" t="s">
        <v>44</v>
      </c>
      <c r="AB2166" t="s">
        <v>44</v>
      </c>
      <c r="AC2166" s="4"/>
      <c r="AD2166" s="4"/>
      <c r="AE2166" s="2">
        <v>0</v>
      </c>
      <c r="AF2166" s="4">
        <v>0</v>
      </c>
      <c r="AG2166" s="2">
        <v>0</v>
      </c>
      <c r="AH2166" s="2">
        <v>-1983423.67</v>
      </c>
      <c r="AI2166" s="2">
        <v>0</v>
      </c>
      <c r="AJ2166" s="5">
        <v>44673</v>
      </c>
      <c r="AK2166" t="s">
        <v>12316</v>
      </c>
      <c r="AL2166" s="2">
        <v>0</v>
      </c>
      <c r="AM2166" s="2">
        <v>0</v>
      </c>
      <c r="AN2166" s="2">
        <v>0</v>
      </c>
      <c r="AO2166" t="s">
        <v>44</v>
      </c>
      <c r="AP2166" t="s">
        <v>11156</v>
      </c>
      <c r="AQ2166" t="s">
        <v>11155</v>
      </c>
    </row>
    <row r="2167" spans="1:43" x14ac:dyDescent="0.2">
      <c r="A2167" t="s">
        <v>12315</v>
      </c>
      <c r="B2167" t="s">
        <v>11024</v>
      </c>
      <c r="C2167" t="s">
        <v>57</v>
      </c>
      <c r="D2167" t="s">
        <v>11157</v>
      </c>
      <c r="E2167" t="s">
        <v>11157</v>
      </c>
      <c r="F2167" t="s">
        <v>11157</v>
      </c>
      <c r="G2167" s="1">
        <v>-34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3">
        <v>65741</v>
      </c>
      <c r="N2167" s="4">
        <v>0</v>
      </c>
      <c r="O2167" s="5" t="s">
        <v>44</v>
      </c>
      <c r="P2167" s="5">
        <v>44819</v>
      </c>
      <c r="Q2167" s="1"/>
      <c r="R2167" s="2"/>
      <c r="S2167" s="6"/>
      <c r="T2167" t="s">
        <v>11026</v>
      </c>
      <c r="U2167" t="s">
        <v>11025</v>
      </c>
      <c r="V2167" t="s">
        <v>11027</v>
      </c>
      <c r="W2167" t="s">
        <v>43</v>
      </c>
      <c r="X2167" t="s">
        <v>44</v>
      </c>
      <c r="Y2167" t="s">
        <v>44</v>
      </c>
      <c r="Z2167" t="s">
        <v>44</v>
      </c>
      <c r="AA2167" t="s">
        <v>44</v>
      </c>
      <c r="AB2167" t="s">
        <v>44</v>
      </c>
      <c r="AC2167" s="4"/>
      <c r="AD2167" s="4"/>
      <c r="AE2167" s="2">
        <v>0</v>
      </c>
      <c r="AF2167" s="4">
        <v>0</v>
      </c>
      <c r="AG2167" s="2">
        <v>0</v>
      </c>
      <c r="AH2167" s="2">
        <v>-22351940</v>
      </c>
      <c r="AI2167" s="2">
        <v>-0.05</v>
      </c>
      <c r="AJ2167" s="5">
        <v>44673</v>
      </c>
      <c r="AK2167" t="s">
        <v>12316</v>
      </c>
      <c r="AL2167" s="2">
        <v>0</v>
      </c>
      <c r="AM2167" s="2">
        <v>0</v>
      </c>
      <c r="AN2167" s="2">
        <v>0</v>
      </c>
      <c r="AO2167" t="s">
        <v>44</v>
      </c>
      <c r="AP2167" t="s">
        <v>11158</v>
      </c>
      <c r="AQ2167" t="s">
        <v>11157</v>
      </c>
    </row>
    <row r="2168" spans="1:43" x14ac:dyDescent="0.2">
      <c r="A2168" t="s">
        <v>12315</v>
      </c>
      <c r="B2168" t="s">
        <v>11024</v>
      </c>
      <c r="C2168" t="s">
        <v>57</v>
      </c>
      <c r="D2168" t="s">
        <v>12738</v>
      </c>
      <c r="E2168" t="s">
        <v>12738</v>
      </c>
      <c r="F2168" t="s">
        <v>12738</v>
      </c>
      <c r="G2168" s="1">
        <v>96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3">
        <v>17668</v>
      </c>
      <c r="N2168" s="4">
        <v>0</v>
      </c>
      <c r="O2168" s="5" t="s">
        <v>44</v>
      </c>
      <c r="P2168" s="5">
        <v>44819</v>
      </c>
      <c r="Q2168" s="1"/>
      <c r="R2168" s="2"/>
      <c r="S2168" s="6"/>
      <c r="T2168" t="s">
        <v>11153</v>
      </c>
      <c r="U2168" t="s">
        <v>11025</v>
      </c>
      <c r="V2168" t="s">
        <v>11154</v>
      </c>
      <c r="W2168" t="s">
        <v>43</v>
      </c>
      <c r="X2168" t="s">
        <v>44</v>
      </c>
      <c r="Y2168" t="s">
        <v>44</v>
      </c>
      <c r="Z2168" t="s">
        <v>44</v>
      </c>
      <c r="AA2168" t="s">
        <v>44</v>
      </c>
      <c r="AB2168" t="s">
        <v>44</v>
      </c>
      <c r="AC2168" s="4"/>
      <c r="AD2168" s="4"/>
      <c r="AE2168" s="2">
        <v>0</v>
      </c>
      <c r="AF2168" s="4">
        <v>0</v>
      </c>
      <c r="AG2168" s="2">
        <v>0</v>
      </c>
      <c r="AH2168" s="2">
        <v>22757740.18</v>
      </c>
      <c r="AI2168" s="2">
        <v>0.05</v>
      </c>
      <c r="AJ2168" s="5">
        <v>44673</v>
      </c>
      <c r="AK2168" t="s">
        <v>12316</v>
      </c>
      <c r="AL2168" s="2">
        <v>0</v>
      </c>
      <c r="AM2168" s="2">
        <v>0</v>
      </c>
      <c r="AN2168" s="2">
        <v>0</v>
      </c>
      <c r="AO2168" t="s">
        <v>44</v>
      </c>
      <c r="AP2168" t="s">
        <v>12741</v>
      </c>
      <c r="AQ2168" t="s">
        <v>12738</v>
      </c>
    </row>
    <row r="2169" spans="1:43" x14ac:dyDescent="0.2">
      <c r="A2169" t="s">
        <v>12315</v>
      </c>
      <c r="B2169" t="s">
        <v>11024</v>
      </c>
      <c r="C2169" t="s">
        <v>57</v>
      </c>
      <c r="D2169" t="s">
        <v>12722</v>
      </c>
      <c r="E2169" t="s">
        <v>12722</v>
      </c>
      <c r="F2169" t="s">
        <v>12722</v>
      </c>
      <c r="G2169" s="1">
        <v>97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3">
        <v>14076</v>
      </c>
      <c r="N2169" s="4">
        <v>0</v>
      </c>
      <c r="O2169" s="5" t="s">
        <v>44</v>
      </c>
      <c r="P2169" s="5">
        <v>44819</v>
      </c>
      <c r="Q2169" s="1"/>
      <c r="R2169" s="2"/>
      <c r="S2169" s="6"/>
      <c r="T2169" t="s">
        <v>11153</v>
      </c>
      <c r="U2169" t="s">
        <v>11025</v>
      </c>
      <c r="V2169" t="s">
        <v>11154</v>
      </c>
      <c r="W2169" t="s">
        <v>43</v>
      </c>
      <c r="X2169" t="s">
        <v>44</v>
      </c>
      <c r="Y2169" t="s">
        <v>44</v>
      </c>
      <c r="Z2169" t="s">
        <v>44</v>
      </c>
      <c r="AA2169" t="s">
        <v>44</v>
      </c>
      <c r="AB2169" t="s">
        <v>44</v>
      </c>
      <c r="AC2169" s="4"/>
      <c r="AD2169" s="4"/>
      <c r="AE2169" s="2">
        <v>0</v>
      </c>
      <c r="AF2169" s="4">
        <v>0</v>
      </c>
      <c r="AG2169" s="2">
        <v>0</v>
      </c>
      <c r="AH2169" s="2">
        <v>19800020.030000001</v>
      </c>
      <c r="AI2169" s="2">
        <v>0.05</v>
      </c>
      <c r="AJ2169" s="5">
        <v>44673</v>
      </c>
      <c r="AK2169" t="s">
        <v>12316</v>
      </c>
      <c r="AL2169" s="2">
        <v>0</v>
      </c>
      <c r="AM2169" s="2">
        <v>0</v>
      </c>
      <c r="AN2169" s="2">
        <v>0</v>
      </c>
      <c r="AO2169" t="s">
        <v>44</v>
      </c>
      <c r="AP2169" t="s">
        <v>12723</v>
      </c>
      <c r="AQ2169" t="s">
        <v>12722</v>
      </c>
    </row>
    <row r="2170" spans="1:43" x14ac:dyDescent="0.2">
      <c r="A2170" t="s">
        <v>12315</v>
      </c>
      <c r="B2170" t="s">
        <v>11024</v>
      </c>
      <c r="C2170" t="s">
        <v>57</v>
      </c>
      <c r="D2170" t="s">
        <v>12996</v>
      </c>
      <c r="E2170" t="s">
        <v>12996</v>
      </c>
      <c r="F2170" t="s">
        <v>12996</v>
      </c>
      <c r="G2170" s="1">
        <v>-81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3">
        <v>5097</v>
      </c>
      <c r="N2170" s="4">
        <v>0</v>
      </c>
      <c r="O2170" s="5" t="s">
        <v>44</v>
      </c>
      <c r="P2170" s="5">
        <v>44819</v>
      </c>
      <c r="Q2170" s="1"/>
      <c r="R2170" s="2"/>
      <c r="S2170" s="6"/>
      <c r="T2170" t="s">
        <v>11153</v>
      </c>
      <c r="U2170" t="s">
        <v>11025</v>
      </c>
      <c r="V2170" t="s">
        <v>11154</v>
      </c>
      <c r="W2170" t="s">
        <v>43</v>
      </c>
      <c r="X2170" t="s">
        <v>44</v>
      </c>
      <c r="Y2170" t="s">
        <v>44</v>
      </c>
      <c r="Z2170" t="s">
        <v>44</v>
      </c>
      <c r="AA2170" t="s">
        <v>44</v>
      </c>
      <c r="AB2170" t="s">
        <v>44</v>
      </c>
      <c r="AC2170" s="4"/>
      <c r="AD2170" s="4"/>
      <c r="AE2170" s="2">
        <v>0</v>
      </c>
      <c r="AF2170" s="4">
        <v>0</v>
      </c>
      <c r="AG2170" s="2">
        <v>0</v>
      </c>
      <c r="AH2170" s="2">
        <v>-7825305.3700000001</v>
      </c>
      <c r="AI2170" s="2">
        <v>-0.02</v>
      </c>
      <c r="AJ2170" s="5">
        <v>44673</v>
      </c>
      <c r="AK2170" t="s">
        <v>12316</v>
      </c>
      <c r="AL2170" s="2">
        <v>0</v>
      </c>
      <c r="AM2170" s="2">
        <v>0</v>
      </c>
      <c r="AN2170" s="2">
        <v>0</v>
      </c>
      <c r="AO2170" t="s">
        <v>44</v>
      </c>
      <c r="AP2170" t="s">
        <v>13000</v>
      </c>
      <c r="AQ2170" t="s">
        <v>12996</v>
      </c>
    </row>
    <row r="2171" spans="1:43" x14ac:dyDescent="0.2">
      <c r="A2171" t="s">
        <v>12315</v>
      </c>
      <c r="B2171" t="s">
        <v>11024</v>
      </c>
      <c r="C2171" t="s">
        <v>57</v>
      </c>
      <c r="D2171" t="s">
        <v>12739</v>
      </c>
      <c r="E2171" t="s">
        <v>12739</v>
      </c>
      <c r="F2171" t="s">
        <v>12739</v>
      </c>
      <c r="G2171" s="1">
        <v>-82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3">
        <v>2268</v>
      </c>
      <c r="N2171" s="4">
        <v>0</v>
      </c>
      <c r="O2171" s="5" t="s">
        <v>44</v>
      </c>
      <c r="P2171" s="5">
        <v>44819</v>
      </c>
      <c r="Q2171" s="1"/>
      <c r="R2171" s="2"/>
      <c r="S2171" s="6"/>
      <c r="T2171" t="s">
        <v>11153</v>
      </c>
      <c r="U2171" t="s">
        <v>11025</v>
      </c>
      <c r="V2171" t="s">
        <v>11154</v>
      </c>
      <c r="W2171" t="s">
        <v>43</v>
      </c>
      <c r="X2171" t="s">
        <v>44</v>
      </c>
      <c r="Y2171" t="s">
        <v>44</v>
      </c>
      <c r="Z2171" t="s">
        <v>44</v>
      </c>
      <c r="AA2171" t="s">
        <v>44</v>
      </c>
      <c r="AB2171" t="s">
        <v>44</v>
      </c>
      <c r="AC2171" s="4"/>
      <c r="AD2171" s="4"/>
      <c r="AE2171" s="2">
        <v>0</v>
      </c>
      <c r="AF2171" s="4">
        <v>0</v>
      </c>
      <c r="AG2171" s="2">
        <v>0</v>
      </c>
      <c r="AH2171" s="2">
        <v>-4071876.71</v>
      </c>
      <c r="AI2171" s="2">
        <v>-0.01</v>
      </c>
      <c r="AJ2171" s="5">
        <v>44673</v>
      </c>
      <c r="AK2171" t="s">
        <v>12316</v>
      </c>
      <c r="AL2171" s="2">
        <v>0</v>
      </c>
      <c r="AM2171" s="2">
        <v>0</v>
      </c>
      <c r="AN2171" s="2">
        <v>0</v>
      </c>
      <c r="AO2171" t="s">
        <v>44</v>
      </c>
      <c r="AP2171" t="s">
        <v>12742</v>
      </c>
      <c r="AQ2171" t="s">
        <v>12739</v>
      </c>
    </row>
    <row r="2172" spans="1:43" x14ac:dyDescent="0.2">
      <c r="A2172" t="s">
        <v>12315</v>
      </c>
      <c r="B2172" t="s">
        <v>11038</v>
      </c>
      <c r="C2172" t="s">
        <v>11870</v>
      </c>
      <c r="D2172" t="s">
        <v>11056</v>
      </c>
      <c r="E2172" t="s">
        <v>11057</v>
      </c>
      <c r="F2172" t="s">
        <v>11056</v>
      </c>
      <c r="G2172" s="1">
        <v>3587435</v>
      </c>
      <c r="H2172" s="2">
        <v>3586578.27</v>
      </c>
      <c r="I2172" s="2">
        <v>3587435</v>
      </c>
      <c r="J2172" s="2">
        <v>92469.72</v>
      </c>
      <c r="K2172" s="2">
        <v>0</v>
      </c>
      <c r="L2172" s="2">
        <v>3679904.72</v>
      </c>
      <c r="M2172" s="3"/>
      <c r="N2172" s="4">
        <v>8.3721799999999999E-3</v>
      </c>
      <c r="O2172" s="5">
        <v>44692</v>
      </c>
      <c r="P2172" s="5">
        <v>44692</v>
      </c>
      <c r="Q2172" s="1">
        <v>13.067</v>
      </c>
      <c r="R2172" s="2"/>
      <c r="S2172" s="6"/>
      <c r="T2172" t="s">
        <v>111</v>
      </c>
      <c r="U2172" t="s">
        <v>11040</v>
      </c>
      <c r="V2172" t="s">
        <v>115</v>
      </c>
      <c r="W2172" t="s">
        <v>43</v>
      </c>
      <c r="X2172" t="s">
        <v>44</v>
      </c>
      <c r="Y2172" t="s">
        <v>44</v>
      </c>
      <c r="Z2172" t="s">
        <v>44</v>
      </c>
      <c r="AA2172" t="s">
        <v>10979</v>
      </c>
      <c r="AB2172" t="s">
        <v>44</v>
      </c>
      <c r="AC2172" s="4"/>
      <c r="AD2172" s="4"/>
      <c r="AE2172" s="2">
        <v>0</v>
      </c>
      <c r="AF2172" s="4">
        <v>0</v>
      </c>
      <c r="AG2172" s="2">
        <v>1.71</v>
      </c>
      <c r="AH2172" s="2">
        <v>3679904.72</v>
      </c>
      <c r="AI2172" s="2">
        <v>0.01</v>
      </c>
      <c r="AJ2172" s="5">
        <v>44673</v>
      </c>
      <c r="AK2172" t="s">
        <v>12316</v>
      </c>
      <c r="AL2172" s="2">
        <v>0</v>
      </c>
      <c r="AM2172" s="2">
        <v>13.07</v>
      </c>
      <c r="AN2172" s="2">
        <v>0</v>
      </c>
      <c r="AO2172" t="s">
        <v>10980</v>
      </c>
      <c r="AP2172" t="s">
        <v>11058</v>
      </c>
      <c r="AQ2172" t="s">
        <v>11057</v>
      </c>
    </row>
    <row r="2173" spans="1:43" x14ac:dyDescent="0.2">
      <c r="A2173" t="s">
        <v>12315</v>
      </c>
      <c r="B2173" t="s">
        <v>11038</v>
      </c>
      <c r="C2173" t="s">
        <v>11039</v>
      </c>
      <c r="D2173" t="s">
        <v>11216</v>
      </c>
      <c r="E2173" t="s">
        <v>11217</v>
      </c>
      <c r="F2173" t="s">
        <v>11216</v>
      </c>
      <c r="G2173" s="1">
        <v>20000000</v>
      </c>
      <c r="H2173" s="2">
        <v>20000000</v>
      </c>
      <c r="I2173" s="2">
        <v>19976651.690000001</v>
      </c>
      <c r="J2173" s="2">
        <v>195616.44</v>
      </c>
      <c r="K2173" s="2">
        <v>0</v>
      </c>
      <c r="L2173" s="2">
        <v>20172268.129999999</v>
      </c>
      <c r="M2173" s="3">
        <v>6.0366650000000002</v>
      </c>
      <c r="N2173" s="4">
        <v>4.5894079999999997E-2</v>
      </c>
      <c r="O2173" s="5">
        <v>44979</v>
      </c>
      <c r="P2173" s="5">
        <v>44979</v>
      </c>
      <c r="Q2173" s="1">
        <v>5.95</v>
      </c>
      <c r="R2173" s="2">
        <v>0.83</v>
      </c>
      <c r="S2173" s="6">
        <v>0.79052188852000005</v>
      </c>
      <c r="T2173" t="s">
        <v>111</v>
      </c>
      <c r="U2173" t="s">
        <v>11040</v>
      </c>
      <c r="V2173" t="s">
        <v>11041</v>
      </c>
      <c r="W2173" t="s">
        <v>43</v>
      </c>
      <c r="X2173" t="s">
        <v>11034</v>
      </c>
      <c r="Y2173" t="s">
        <v>44</v>
      </c>
      <c r="Z2173" t="s">
        <v>44</v>
      </c>
      <c r="AA2173" t="s">
        <v>10979</v>
      </c>
      <c r="AB2173" t="s">
        <v>44</v>
      </c>
      <c r="AC2173" s="4">
        <v>6.0672128599999997</v>
      </c>
      <c r="AD2173" s="4">
        <v>5.9047591700000002</v>
      </c>
      <c r="AE2173" s="2">
        <v>6.07</v>
      </c>
      <c r="AF2173" s="4">
        <v>5.9047591700000002</v>
      </c>
      <c r="AG2173" s="2">
        <v>9.35</v>
      </c>
      <c r="AH2173" s="2">
        <v>20172268.129999999</v>
      </c>
      <c r="AI2173" s="2">
        <v>0.05</v>
      </c>
      <c r="AJ2173" s="5">
        <v>44673</v>
      </c>
      <c r="AK2173" t="s">
        <v>12316</v>
      </c>
      <c r="AL2173" s="2">
        <v>5.98</v>
      </c>
      <c r="AM2173" s="2">
        <v>5.95</v>
      </c>
      <c r="AN2173" s="2">
        <v>0.79</v>
      </c>
      <c r="AO2173" t="s">
        <v>11165</v>
      </c>
      <c r="AP2173" t="s">
        <v>11218</v>
      </c>
      <c r="AQ2173" t="s">
        <v>11217</v>
      </c>
    </row>
    <row r="2174" spans="1:43" x14ac:dyDescent="0.2">
      <c r="A2174" t="s">
        <v>12315</v>
      </c>
      <c r="B2174" t="s">
        <v>11038</v>
      </c>
      <c r="C2174" t="s">
        <v>11039</v>
      </c>
      <c r="D2174" t="s">
        <v>12866</v>
      </c>
      <c r="E2174" t="s">
        <v>12867</v>
      </c>
      <c r="F2174" t="s">
        <v>12866</v>
      </c>
      <c r="G2174" s="1">
        <v>13000000</v>
      </c>
      <c r="H2174" s="2">
        <v>13000000</v>
      </c>
      <c r="I2174" s="2">
        <v>12996821.07</v>
      </c>
      <c r="J2174" s="2">
        <v>39908.22</v>
      </c>
      <c r="K2174" s="2">
        <v>0</v>
      </c>
      <c r="L2174" s="2">
        <v>13036729.289999999</v>
      </c>
      <c r="M2174" s="3">
        <v>6.2311399999999999</v>
      </c>
      <c r="N2174" s="4">
        <v>2.9659959999999999E-2</v>
      </c>
      <c r="O2174" s="5">
        <v>45021</v>
      </c>
      <c r="P2174" s="5">
        <v>45021</v>
      </c>
      <c r="Q2174" s="1">
        <v>6.2249999999999996</v>
      </c>
      <c r="R2174" s="2">
        <v>0.95</v>
      </c>
      <c r="S2174" s="6">
        <v>0.89263205706000004</v>
      </c>
      <c r="T2174" t="s">
        <v>111</v>
      </c>
      <c r="U2174" t="s">
        <v>11040</v>
      </c>
      <c r="V2174" t="s">
        <v>11041</v>
      </c>
      <c r="W2174" t="s">
        <v>43</v>
      </c>
      <c r="X2174" t="s">
        <v>11034</v>
      </c>
      <c r="Y2174" t="s">
        <v>44</v>
      </c>
      <c r="Z2174" t="s">
        <v>44</v>
      </c>
      <c r="AA2174" t="s">
        <v>10979</v>
      </c>
      <c r="AB2174" t="s">
        <v>44</v>
      </c>
      <c r="AC2174" s="4">
        <v>6.2415867</v>
      </c>
      <c r="AD2174" s="4">
        <v>6.0698431499999996</v>
      </c>
      <c r="AE2174" s="2">
        <v>6.24</v>
      </c>
      <c r="AF2174" s="4">
        <v>6.0698431499999996</v>
      </c>
      <c r="AG2174" s="2">
        <v>6.04</v>
      </c>
      <c r="AH2174" s="2">
        <v>13036729.289999999</v>
      </c>
      <c r="AI2174" s="2">
        <v>0.03</v>
      </c>
      <c r="AJ2174" s="5">
        <v>44673</v>
      </c>
      <c r="AK2174" t="s">
        <v>12316</v>
      </c>
      <c r="AL2174" s="2">
        <v>6.15</v>
      </c>
      <c r="AM2174" s="2">
        <v>6.22</v>
      </c>
      <c r="AN2174" s="2">
        <v>0.89</v>
      </c>
      <c r="AO2174" t="s">
        <v>11054</v>
      </c>
      <c r="AP2174" t="s">
        <v>12868</v>
      </c>
      <c r="AQ2174" t="s">
        <v>12867</v>
      </c>
    </row>
    <row r="2175" spans="1:43" x14ac:dyDescent="0.2">
      <c r="A2175" t="s">
        <v>12315</v>
      </c>
      <c r="B2175" t="s">
        <v>11038</v>
      </c>
      <c r="C2175" t="s">
        <v>11039</v>
      </c>
      <c r="D2175" t="s">
        <v>11042</v>
      </c>
      <c r="E2175" t="s">
        <v>11043</v>
      </c>
      <c r="F2175" t="s">
        <v>11042</v>
      </c>
      <c r="G2175" s="1">
        <v>21000000</v>
      </c>
      <c r="H2175" s="2">
        <v>21000000</v>
      </c>
      <c r="I2175" s="2">
        <v>20985229.16</v>
      </c>
      <c r="J2175" s="2">
        <v>232783.56</v>
      </c>
      <c r="K2175" s="2">
        <v>0</v>
      </c>
      <c r="L2175" s="2">
        <v>21218012.719999999</v>
      </c>
      <c r="M2175" s="3">
        <v>5.9730699999999999</v>
      </c>
      <c r="N2175" s="4">
        <v>4.8273259999999998E-2</v>
      </c>
      <c r="O2175" s="5">
        <v>44971</v>
      </c>
      <c r="P2175" s="5">
        <v>44971</v>
      </c>
      <c r="Q2175" s="1">
        <v>5.95</v>
      </c>
      <c r="R2175" s="2">
        <v>0.81</v>
      </c>
      <c r="S2175" s="6">
        <v>0.77099882388999996</v>
      </c>
      <c r="T2175" t="s">
        <v>111</v>
      </c>
      <c r="U2175" t="s">
        <v>11040</v>
      </c>
      <c r="V2175" t="s">
        <v>11041</v>
      </c>
      <c r="W2175" t="s">
        <v>43</v>
      </c>
      <c r="X2175" t="s">
        <v>11034</v>
      </c>
      <c r="Y2175" t="s">
        <v>44</v>
      </c>
      <c r="Z2175" t="s">
        <v>44</v>
      </c>
      <c r="AA2175" t="s">
        <v>11035</v>
      </c>
      <c r="AB2175" t="s">
        <v>44</v>
      </c>
      <c r="AC2175" s="4">
        <v>6.0068705900000001</v>
      </c>
      <c r="AD2175" s="4">
        <v>5.8475737299999997</v>
      </c>
      <c r="AE2175" s="2">
        <v>6.01</v>
      </c>
      <c r="AF2175" s="4">
        <v>5.8475737299999997</v>
      </c>
      <c r="AG2175" s="2">
        <v>9.83</v>
      </c>
      <c r="AH2175" s="2">
        <v>21218012.719999999</v>
      </c>
      <c r="AI2175" s="2">
        <v>0.05</v>
      </c>
      <c r="AJ2175" s="5">
        <v>44673</v>
      </c>
      <c r="AK2175" t="s">
        <v>12316</v>
      </c>
      <c r="AL2175" s="2">
        <v>5.92</v>
      </c>
      <c r="AM2175" s="2">
        <v>5.95</v>
      </c>
      <c r="AN2175" s="2">
        <v>0.77</v>
      </c>
      <c r="AO2175" t="s">
        <v>11036</v>
      </c>
      <c r="AP2175" t="s">
        <v>11044</v>
      </c>
      <c r="AQ2175" t="s">
        <v>11043</v>
      </c>
    </row>
    <row r="2176" spans="1:43" x14ac:dyDescent="0.2">
      <c r="A2176" t="s">
        <v>12315</v>
      </c>
      <c r="B2176" t="s">
        <v>11038</v>
      </c>
      <c r="C2176" t="s">
        <v>11039</v>
      </c>
      <c r="D2176" t="s">
        <v>12838</v>
      </c>
      <c r="E2176" t="s">
        <v>12839</v>
      </c>
      <c r="F2176" t="s">
        <v>12838</v>
      </c>
      <c r="G2176" s="1">
        <v>4000000</v>
      </c>
      <c r="H2176" s="2">
        <v>4000000</v>
      </c>
      <c r="I2176" s="2">
        <v>4004172.63</v>
      </c>
      <c r="J2176" s="2">
        <v>16005.48</v>
      </c>
      <c r="K2176" s="2">
        <v>0</v>
      </c>
      <c r="L2176" s="2">
        <v>4020178.11</v>
      </c>
      <c r="M2176" s="3">
        <v>6.2045560000000002</v>
      </c>
      <c r="N2176" s="4">
        <v>9.1463399999999993E-3</v>
      </c>
      <c r="O2176" s="5">
        <v>45016</v>
      </c>
      <c r="P2176" s="5">
        <v>45016</v>
      </c>
      <c r="Q2176" s="1">
        <v>6.35</v>
      </c>
      <c r="R2176" s="2">
        <v>0.93</v>
      </c>
      <c r="S2176" s="6">
        <v>0.88061116438999998</v>
      </c>
      <c r="T2176" t="s">
        <v>111</v>
      </c>
      <c r="U2176" t="s">
        <v>11040</v>
      </c>
      <c r="V2176" t="s">
        <v>11041</v>
      </c>
      <c r="W2176" t="s">
        <v>43</v>
      </c>
      <c r="X2176" t="s">
        <v>11034</v>
      </c>
      <c r="Y2176" t="s">
        <v>44</v>
      </c>
      <c r="Z2176" t="s">
        <v>44</v>
      </c>
      <c r="AA2176" t="s">
        <v>10979</v>
      </c>
      <c r="AB2176" t="s">
        <v>44</v>
      </c>
      <c r="AC2176" s="4">
        <v>6.2175109700000002</v>
      </c>
      <c r="AD2176" s="4">
        <v>6.0470648499999999</v>
      </c>
      <c r="AE2176" s="2">
        <v>6.22</v>
      </c>
      <c r="AF2176" s="4">
        <v>6.0470648499999999</v>
      </c>
      <c r="AG2176" s="2">
        <v>1.86</v>
      </c>
      <c r="AH2176" s="2">
        <v>4020178.11</v>
      </c>
      <c r="AI2176" s="2">
        <v>0.01</v>
      </c>
      <c r="AJ2176" s="5">
        <v>44673</v>
      </c>
      <c r="AK2176" t="s">
        <v>12316</v>
      </c>
      <c r="AL2176" s="2">
        <v>6.12</v>
      </c>
      <c r="AM2176" s="2">
        <v>6.35</v>
      </c>
      <c r="AN2176" s="2">
        <v>0.88</v>
      </c>
      <c r="AO2176" t="s">
        <v>11179</v>
      </c>
      <c r="AP2176" t="s">
        <v>12840</v>
      </c>
      <c r="AQ2176" t="s">
        <v>12839</v>
      </c>
    </row>
    <row r="2177" spans="1:43" x14ac:dyDescent="0.2">
      <c r="A2177" t="s">
        <v>12315</v>
      </c>
      <c r="B2177" t="s">
        <v>11038</v>
      </c>
      <c r="C2177" t="s">
        <v>11222</v>
      </c>
      <c r="D2177" t="s">
        <v>12965</v>
      </c>
      <c r="E2177" t="s">
        <v>12966</v>
      </c>
      <c r="F2177" t="s">
        <v>12965</v>
      </c>
      <c r="G2177" s="1">
        <v>3000000</v>
      </c>
      <c r="H2177" s="2">
        <v>3000000</v>
      </c>
      <c r="I2177" s="2">
        <v>3000438.43</v>
      </c>
      <c r="J2177" s="2">
        <v>5813.42</v>
      </c>
      <c r="K2177" s="2">
        <v>0</v>
      </c>
      <c r="L2177" s="2">
        <v>3006251.85</v>
      </c>
      <c r="M2177" s="3">
        <v>6.4004060000000003</v>
      </c>
      <c r="N2177" s="4">
        <v>6.8395499999999998E-3</v>
      </c>
      <c r="O2177" s="5">
        <v>45057</v>
      </c>
      <c r="P2177" s="5">
        <v>45057</v>
      </c>
      <c r="Q2177" s="1">
        <v>6.43</v>
      </c>
      <c r="R2177" s="2">
        <v>1.04</v>
      </c>
      <c r="S2177" s="6">
        <v>0.97846466510999996</v>
      </c>
      <c r="T2177" t="s">
        <v>111</v>
      </c>
      <c r="U2177" t="s">
        <v>11040</v>
      </c>
      <c r="V2177" t="s">
        <v>11041</v>
      </c>
      <c r="W2177" t="s">
        <v>43</v>
      </c>
      <c r="X2177" t="s">
        <v>11034</v>
      </c>
      <c r="Y2177" t="s">
        <v>44</v>
      </c>
      <c r="Z2177" t="s">
        <v>44</v>
      </c>
      <c r="AA2177" t="s">
        <v>10979</v>
      </c>
      <c r="AB2177" t="s">
        <v>44</v>
      </c>
      <c r="AC2177" s="4">
        <v>6.3916291899999997</v>
      </c>
      <c r="AD2177" s="4">
        <v>6.2116933599999999</v>
      </c>
      <c r="AE2177" s="2">
        <v>6.39</v>
      </c>
      <c r="AF2177" s="4">
        <v>6.2116933599999999</v>
      </c>
      <c r="AG2177" s="2">
        <v>1.39</v>
      </c>
      <c r="AH2177" s="2">
        <v>3006251.85</v>
      </c>
      <c r="AI2177" s="2">
        <v>0.01</v>
      </c>
      <c r="AJ2177" s="5">
        <v>44673</v>
      </c>
      <c r="AK2177" t="s">
        <v>12316</v>
      </c>
      <c r="AL2177" s="2">
        <v>6.29</v>
      </c>
      <c r="AM2177" s="2">
        <v>6.43</v>
      </c>
      <c r="AN2177" s="2">
        <v>0.98</v>
      </c>
      <c r="AO2177" t="s">
        <v>11054</v>
      </c>
      <c r="AP2177" t="s">
        <v>12967</v>
      </c>
      <c r="AQ2177" t="s">
        <v>12966</v>
      </c>
    </row>
    <row r="2178" spans="1:43" x14ac:dyDescent="0.2">
      <c r="A2178" t="s">
        <v>12315</v>
      </c>
      <c r="B2178" t="s">
        <v>11160</v>
      </c>
      <c r="C2178" t="s">
        <v>11161</v>
      </c>
      <c r="D2178" t="s">
        <v>11162</v>
      </c>
      <c r="E2178" t="s">
        <v>11163</v>
      </c>
      <c r="F2178" t="s">
        <v>11162</v>
      </c>
      <c r="G2178" s="1">
        <v>10974</v>
      </c>
      <c r="H2178" s="2">
        <v>7628053.8499999996</v>
      </c>
      <c r="I2178" s="2">
        <v>9876600</v>
      </c>
      <c r="J2178" s="2">
        <v>0</v>
      </c>
      <c r="K2178" s="2">
        <v>273703.59000000003</v>
      </c>
      <c r="L2178" s="2">
        <v>10150303.59</v>
      </c>
      <c r="M2178" s="3">
        <v>90000</v>
      </c>
      <c r="N2178" s="4">
        <v>2.3093030000000001E-2</v>
      </c>
      <c r="O2178" s="5" t="s">
        <v>44</v>
      </c>
      <c r="P2178" s="5" t="s">
        <v>44</v>
      </c>
      <c r="Q2178" s="1"/>
      <c r="R2178" s="2"/>
      <c r="S2178" s="6"/>
      <c r="T2178" t="s">
        <v>10902</v>
      </c>
      <c r="U2178" t="s">
        <v>10902</v>
      </c>
      <c r="V2178" t="s">
        <v>11164</v>
      </c>
      <c r="W2178" t="s">
        <v>43</v>
      </c>
      <c r="X2178" t="s">
        <v>44</v>
      </c>
      <c r="Y2178" t="s">
        <v>44</v>
      </c>
      <c r="Z2178" t="s">
        <v>44</v>
      </c>
      <c r="AA2178" t="s">
        <v>10979</v>
      </c>
      <c r="AB2178" t="s">
        <v>44</v>
      </c>
      <c r="AC2178" s="4"/>
      <c r="AD2178" s="4"/>
      <c r="AE2178" s="2">
        <v>0</v>
      </c>
      <c r="AF2178" s="4">
        <v>0</v>
      </c>
      <c r="AG2178" s="2">
        <v>4.7</v>
      </c>
      <c r="AH2178" s="2">
        <v>10150303.59</v>
      </c>
      <c r="AI2178" s="2">
        <v>0.02</v>
      </c>
      <c r="AJ2178" s="5">
        <v>44673</v>
      </c>
      <c r="AK2178" t="s">
        <v>12316</v>
      </c>
      <c r="AL2178" s="2">
        <v>0</v>
      </c>
      <c r="AM2178" s="2">
        <v>0</v>
      </c>
      <c r="AN2178" s="2">
        <v>0</v>
      </c>
      <c r="AO2178" t="s">
        <v>11165</v>
      </c>
      <c r="AP2178" t="s">
        <v>11166</v>
      </c>
      <c r="AQ2178" t="s">
        <v>11163</v>
      </c>
    </row>
    <row r="2179" spans="1:43" x14ac:dyDescent="0.2">
      <c r="A2179" t="s">
        <v>12315</v>
      </c>
      <c r="B2179" t="s">
        <v>11160</v>
      </c>
      <c r="C2179" t="s">
        <v>11161</v>
      </c>
      <c r="D2179" t="s">
        <v>11167</v>
      </c>
      <c r="E2179" t="s">
        <v>11168</v>
      </c>
      <c r="F2179" t="s">
        <v>11167</v>
      </c>
      <c r="G2179" s="1">
        <v>72386</v>
      </c>
      <c r="H2179" s="2">
        <v>6709260.6799999997</v>
      </c>
      <c r="I2179" s="2">
        <v>6996106.9000000004</v>
      </c>
      <c r="J2179" s="2">
        <v>0</v>
      </c>
      <c r="K2179" s="2">
        <v>0</v>
      </c>
      <c r="L2179" s="2">
        <v>6996106.9000000004</v>
      </c>
      <c r="M2179" s="3">
        <v>9665</v>
      </c>
      <c r="N2179" s="4">
        <v>1.5916900000000001E-2</v>
      </c>
      <c r="O2179" s="5" t="s">
        <v>44</v>
      </c>
      <c r="P2179" s="5" t="s">
        <v>44</v>
      </c>
      <c r="Q2179" s="1"/>
      <c r="R2179" s="2"/>
      <c r="S2179" s="6"/>
      <c r="T2179" t="s">
        <v>10902</v>
      </c>
      <c r="U2179" t="s">
        <v>10902</v>
      </c>
      <c r="V2179" t="s">
        <v>11164</v>
      </c>
      <c r="W2179" t="s">
        <v>43</v>
      </c>
      <c r="X2179" t="s">
        <v>11164</v>
      </c>
      <c r="Y2179" t="s">
        <v>44</v>
      </c>
      <c r="Z2179" t="s">
        <v>44</v>
      </c>
      <c r="AA2179" t="s">
        <v>44</v>
      </c>
      <c r="AB2179" t="s">
        <v>44</v>
      </c>
      <c r="AC2179" s="4"/>
      <c r="AD2179" s="4"/>
      <c r="AE2179" s="2">
        <v>0</v>
      </c>
      <c r="AF2179" s="4">
        <v>0</v>
      </c>
      <c r="AG2179" s="2">
        <v>3.24</v>
      </c>
      <c r="AH2179" s="2">
        <v>6996106.9000000004</v>
      </c>
      <c r="AI2179" s="2">
        <v>0.02</v>
      </c>
      <c r="AJ2179" s="5">
        <v>44673</v>
      </c>
      <c r="AK2179" t="s">
        <v>12316</v>
      </c>
      <c r="AL2179" s="2">
        <v>0</v>
      </c>
      <c r="AM2179" s="2">
        <v>0</v>
      </c>
      <c r="AN2179" s="2">
        <v>0</v>
      </c>
      <c r="AO2179" t="s">
        <v>44</v>
      </c>
      <c r="AP2179" t="s">
        <v>11169</v>
      </c>
      <c r="AQ2179" t="s">
        <v>11168</v>
      </c>
    </row>
    <row r="2180" spans="1:43" x14ac:dyDescent="0.2">
      <c r="A2180" t="s">
        <v>12315</v>
      </c>
      <c r="B2180" t="s">
        <v>11160</v>
      </c>
      <c r="C2180" t="s">
        <v>11161</v>
      </c>
      <c r="D2180" t="s">
        <v>11170</v>
      </c>
      <c r="E2180" t="s">
        <v>11171</v>
      </c>
      <c r="F2180" t="s">
        <v>11170</v>
      </c>
      <c r="G2180" s="1">
        <v>53483</v>
      </c>
      <c r="H2180" s="2">
        <v>4073912.54</v>
      </c>
      <c r="I2180" s="2">
        <v>5152552.22</v>
      </c>
      <c r="J2180" s="2">
        <v>0</v>
      </c>
      <c r="K2180" s="2">
        <v>0</v>
      </c>
      <c r="L2180" s="2">
        <v>5152552.22</v>
      </c>
      <c r="M2180" s="3">
        <v>9634</v>
      </c>
      <c r="N2180" s="4">
        <v>1.172261E-2</v>
      </c>
      <c r="O2180" s="5" t="s">
        <v>44</v>
      </c>
      <c r="P2180" s="5" t="s">
        <v>44</v>
      </c>
      <c r="Q2180" s="1"/>
      <c r="R2180" s="2"/>
      <c r="S2180" s="6"/>
      <c r="T2180" t="s">
        <v>10902</v>
      </c>
      <c r="U2180" t="s">
        <v>10902</v>
      </c>
      <c r="V2180" t="s">
        <v>11164</v>
      </c>
      <c r="W2180" t="s">
        <v>43</v>
      </c>
      <c r="X2180" t="s">
        <v>44</v>
      </c>
      <c r="Y2180" t="s">
        <v>44</v>
      </c>
      <c r="Z2180" t="s">
        <v>44</v>
      </c>
      <c r="AA2180" t="s">
        <v>44</v>
      </c>
      <c r="AB2180" t="s">
        <v>44</v>
      </c>
      <c r="AC2180" s="4"/>
      <c r="AD2180" s="4"/>
      <c r="AE2180" s="2">
        <v>0</v>
      </c>
      <c r="AF2180" s="4">
        <v>0</v>
      </c>
      <c r="AG2180" s="2">
        <v>2.39</v>
      </c>
      <c r="AH2180" s="2">
        <v>5152552.22</v>
      </c>
      <c r="AI2180" s="2">
        <v>0.01</v>
      </c>
      <c r="AJ2180" s="5">
        <v>44673</v>
      </c>
      <c r="AK2180" t="s">
        <v>12316</v>
      </c>
      <c r="AL2180" s="2">
        <v>0</v>
      </c>
      <c r="AM2180" s="2">
        <v>0</v>
      </c>
      <c r="AN2180" s="2">
        <v>0</v>
      </c>
      <c r="AO2180" t="s">
        <v>44</v>
      </c>
      <c r="AP2180" t="s">
        <v>11172</v>
      </c>
      <c r="AQ2180" t="s">
        <v>11171</v>
      </c>
    </row>
    <row r="2181" spans="1:43" x14ac:dyDescent="0.2">
      <c r="A2181" t="s">
        <v>12315</v>
      </c>
      <c r="B2181" t="s">
        <v>11160</v>
      </c>
      <c r="C2181" t="s">
        <v>11161</v>
      </c>
      <c r="D2181" t="s">
        <v>11173</v>
      </c>
      <c r="E2181" t="s">
        <v>11174</v>
      </c>
      <c r="F2181" t="s">
        <v>11173</v>
      </c>
      <c r="G2181" s="1">
        <v>17879</v>
      </c>
      <c r="H2181" s="2">
        <v>1410715.55</v>
      </c>
      <c r="I2181" s="2">
        <v>1537594</v>
      </c>
      <c r="J2181" s="2">
        <v>0</v>
      </c>
      <c r="K2181" s="2">
        <v>0</v>
      </c>
      <c r="L2181" s="2">
        <v>1537594</v>
      </c>
      <c r="M2181" s="3">
        <v>8600</v>
      </c>
      <c r="N2181" s="4">
        <v>3.49819E-3</v>
      </c>
      <c r="O2181" s="5" t="s">
        <v>44</v>
      </c>
      <c r="P2181" s="5" t="s">
        <v>44</v>
      </c>
      <c r="Q2181" s="1"/>
      <c r="R2181" s="2"/>
      <c r="S2181" s="6"/>
      <c r="T2181" t="s">
        <v>10902</v>
      </c>
      <c r="U2181" t="s">
        <v>10902</v>
      </c>
      <c r="V2181" t="s">
        <v>11164</v>
      </c>
      <c r="W2181" t="s">
        <v>43</v>
      </c>
      <c r="X2181" t="s">
        <v>44</v>
      </c>
      <c r="Y2181" t="s">
        <v>44</v>
      </c>
      <c r="Z2181" t="s">
        <v>44</v>
      </c>
      <c r="AA2181" t="s">
        <v>44</v>
      </c>
      <c r="AB2181" t="s">
        <v>44</v>
      </c>
      <c r="AC2181" s="4"/>
      <c r="AD2181" s="4"/>
      <c r="AE2181" s="2">
        <v>0</v>
      </c>
      <c r="AF2181" s="4">
        <v>0</v>
      </c>
      <c r="AG2181" s="2">
        <v>0.71</v>
      </c>
      <c r="AH2181" s="2">
        <v>1537594</v>
      </c>
      <c r="AI2181" s="2">
        <v>0</v>
      </c>
      <c r="AJ2181" s="5">
        <v>44673</v>
      </c>
      <c r="AK2181" t="s">
        <v>12316</v>
      </c>
      <c r="AL2181" s="2">
        <v>0</v>
      </c>
      <c r="AM2181" s="2">
        <v>0</v>
      </c>
      <c r="AN2181" s="2">
        <v>0</v>
      </c>
      <c r="AO2181" t="s">
        <v>44</v>
      </c>
      <c r="AP2181" t="s">
        <v>11175</v>
      </c>
      <c r="AQ2181" t="s">
        <v>11174</v>
      </c>
    </row>
    <row r="2182" spans="1:43" x14ac:dyDescent="0.2">
      <c r="A2182" t="s">
        <v>12315</v>
      </c>
      <c r="B2182" t="s">
        <v>11160</v>
      </c>
      <c r="C2182" t="s">
        <v>11161</v>
      </c>
      <c r="D2182" t="s">
        <v>11176</v>
      </c>
      <c r="E2182" t="s">
        <v>11177</v>
      </c>
      <c r="F2182" t="s">
        <v>11178</v>
      </c>
      <c r="G2182" s="1">
        <v>35526</v>
      </c>
      <c r="H2182" s="2">
        <v>2848008.17</v>
      </c>
      <c r="I2182" s="2">
        <v>3282247.14</v>
      </c>
      <c r="J2182" s="2">
        <v>0</v>
      </c>
      <c r="K2182" s="2">
        <v>0</v>
      </c>
      <c r="L2182" s="2">
        <v>3282247.14</v>
      </c>
      <c r="M2182" s="3">
        <v>9239</v>
      </c>
      <c r="N2182" s="4">
        <v>7.4674700000000004E-3</v>
      </c>
      <c r="O2182" s="5" t="s">
        <v>44</v>
      </c>
      <c r="P2182" s="5" t="s">
        <v>44</v>
      </c>
      <c r="Q2182" s="1"/>
      <c r="R2182" s="2"/>
      <c r="S2182" s="6"/>
      <c r="T2182" t="s">
        <v>10902</v>
      </c>
      <c r="U2182" t="s">
        <v>10902</v>
      </c>
      <c r="V2182" t="s">
        <v>11164</v>
      </c>
      <c r="W2182" t="s">
        <v>43</v>
      </c>
      <c r="X2182" t="s">
        <v>44</v>
      </c>
      <c r="Y2182" t="s">
        <v>44</v>
      </c>
      <c r="Z2182" t="s">
        <v>44</v>
      </c>
      <c r="AA2182" t="s">
        <v>10979</v>
      </c>
      <c r="AB2182" t="s">
        <v>44</v>
      </c>
      <c r="AC2182" s="4"/>
      <c r="AD2182" s="4"/>
      <c r="AE2182" s="2">
        <v>0</v>
      </c>
      <c r="AF2182" s="4">
        <v>0</v>
      </c>
      <c r="AG2182" s="2">
        <v>1.52</v>
      </c>
      <c r="AH2182" s="2">
        <v>3282247.14</v>
      </c>
      <c r="AI2182" s="2">
        <v>0.01</v>
      </c>
      <c r="AJ2182" s="5">
        <v>44673</v>
      </c>
      <c r="AK2182" t="s">
        <v>12316</v>
      </c>
      <c r="AL2182" s="2">
        <v>0</v>
      </c>
      <c r="AM2182" s="2">
        <v>0</v>
      </c>
      <c r="AN2182" s="2">
        <v>0</v>
      </c>
      <c r="AO2182" t="s">
        <v>11179</v>
      </c>
      <c r="AP2182" t="s">
        <v>11180</v>
      </c>
      <c r="AQ2182" t="s">
        <v>11177</v>
      </c>
    </row>
    <row r="2183" spans="1:43" x14ac:dyDescent="0.2">
      <c r="A2183" t="s">
        <v>12315</v>
      </c>
      <c r="B2183" t="s">
        <v>10951</v>
      </c>
      <c r="C2183" t="s">
        <v>10952</v>
      </c>
      <c r="D2183" t="s">
        <v>11028</v>
      </c>
      <c r="E2183" t="s">
        <v>11029</v>
      </c>
      <c r="F2183" t="s">
        <v>11028</v>
      </c>
      <c r="G2183" s="1">
        <v>10804851.7552</v>
      </c>
      <c r="H2183" s="2">
        <v>10817440</v>
      </c>
      <c r="I2183" s="2">
        <v>10818898.060000001</v>
      </c>
      <c r="J2183" s="2">
        <v>0</v>
      </c>
      <c r="K2183" s="2">
        <v>0</v>
      </c>
      <c r="L2183" s="2">
        <v>10818898.060000001</v>
      </c>
      <c r="M2183" s="3">
        <v>1.0013000000000001</v>
      </c>
      <c r="N2183" s="4">
        <v>2.461416E-2</v>
      </c>
      <c r="O2183" s="5" t="s">
        <v>44</v>
      </c>
      <c r="P2183" s="5" t="s">
        <v>44</v>
      </c>
      <c r="Q2183" s="1"/>
      <c r="R2183" s="2"/>
      <c r="S2183" s="6"/>
      <c r="T2183" t="s">
        <v>10902</v>
      </c>
      <c r="U2183" t="s">
        <v>10953</v>
      </c>
      <c r="V2183" t="s">
        <v>10954</v>
      </c>
      <c r="W2183" t="s">
        <v>43</v>
      </c>
      <c r="X2183" t="s">
        <v>44</v>
      </c>
      <c r="Y2183" t="s">
        <v>44</v>
      </c>
      <c r="Z2183" t="s">
        <v>44</v>
      </c>
      <c r="AA2183" t="s">
        <v>44</v>
      </c>
      <c r="AB2183" t="s">
        <v>44</v>
      </c>
      <c r="AC2183" s="4"/>
      <c r="AD2183" s="4"/>
      <c r="AE2183" s="2">
        <v>0</v>
      </c>
      <c r="AF2183" s="4">
        <v>0</v>
      </c>
      <c r="AG2183" s="2">
        <v>5.01</v>
      </c>
      <c r="AH2183" s="2">
        <v>10818898.060000001</v>
      </c>
      <c r="AI2183" s="2">
        <v>0.02</v>
      </c>
      <c r="AJ2183" s="5">
        <v>44673</v>
      </c>
      <c r="AK2183" t="s">
        <v>12316</v>
      </c>
      <c r="AL2183" s="2">
        <v>0</v>
      </c>
      <c r="AM2183" s="2">
        <v>0</v>
      </c>
      <c r="AN2183" s="2">
        <v>0</v>
      </c>
      <c r="AO2183" t="s">
        <v>44</v>
      </c>
      <c r="AP2183" t="s">
        <v>44</v>
      </c>
      <c r="AQ2183" t="s">
        <v>11029</v>
      </c>
    </row>
    <row r="2184" spans="1:43" x14ac:dyDescent="0.2">
      <c r="A2184" t="s">
        <v>12315</v>
      </c>
      <c r="B2184" t="s">
        <v>11030</v>
      </c>
      <c r="C2184" t="s">
        <v>11030</v>
      </c>
      <c r="D2184" t="s">
        <v>12724</v>
      </c>
      <c r="E2184" t="s">
        <v>12717</v>
      </c>
      <c r="F2184" t="s">
        <v>12724</v>
      </c>
      <c r="G2184" s="1">
        <v>-78</v>
      </c>
      <c r="H2184" s="2"/>
      <c r="I2184" s="2">
        <v>0</v>
      </c>
      <c r="J2184" s="2"/>
      <c r="K2184" s="2"/>
      <c r="L2184" s="2">
        <v>0</v>
      </c>
      <c r="M2184" s="3"/>
      <c r="N2184" s="4">
        <v>0</v>
      </c>
      <c r="O2184" s="5" t="s">
        <v>44</v>
      </c>
      <c r="P2184" s="5" t="s">
        <v>44</v>
      </c>
      <c r="Q2184" s="1"/>
      <c r="R2184" s="2"/>
      <c r="S2184" s="6"/>
      <c r="T2184" t="s">
        <v>11031</v>
      </c>
      <c r="U2184" t="s">
        <v>11032</v>
      </c>
      <c r="V2184" t="s">
        <v>45</v>
      </c>
      <c r="W2184" t="s">
        <v>43</v>
      </c>
      <c r="X2184" t="s">
        <v>44</v>
      </c>
      <c r="Y2184" t="s">
        <v>44</v>
      </c>
      <c r="Z2184" t="s">
        <v>44</v>
      </c>
      <c r="AA2184" t="s">
        <v>44</v>
      </c>
      <c r="AB2184" t="s">
        <v>44</v>
      </c>
      <c r="AC2184" s="4"/>
      <c r="AD2184" s="4"/>
      <c r="AE2184" s="2">
        <v>0</v>
      </c>
      <c r="AF2184" s="4">
        <v>0</v>
      </c>
      <c r="AG2184" s="2">
        <v>0</v>
      </c>
      <c r="AH2184" s="2">
        <v>51435540</v>
      </c>
      <c r="AI2184" s="2">
        <v>0.12</v>
      </c>
      <c r="AJ2184" s="5">
        <v>44673</v>
      </c>
      <c r="AK2184" t="s">
        <v>12316</v>
      </c>
      <c r="AL2184" s="2">
        <v>0</v>
      </c>
      <c r="AM2184" s="2">
        <v>0</v>
      </c>
      <c r="AN2184" s="2">
        <v>0</v>
      </c>
      <c r="AO2184" t="s">
        <v>44</v>
      </c>
      <c r="AP2184" t="s">
        <v>44</v>
      </c>
      <c r="AQ2184" t="s">
        <v>11182</v>
      </c>
    </row>
    <row r="2185" spans="1:43" x14ac:dyDescent="0.2">
      <c r="A2185" t="s">
        <v>12315</v>
      </c>
      <c r="B2185" t="s">
        <v>11030</v>
      </c>
      <c r="C2185" t="s">
        <v>11030</v>
      </c>
      <c r="D2185" t="s">
        <v>12725</v>
      </c>
      <c r="E2185" t="s">
        <v>12719</v>
      </c>
      <c r="F2185" t="s">
        <v>12725</v>
      </c>
      <c r="G2185" s="1">
        <v>143</v>
      </c>
      <c r="H2185" s="2"/>
      <c r="I2185" s="2">
        <v>0</v>
      </c>
      <c r="J2185" s="2"/>
      <c r="K2185" s="2"/>
      <c r="L2185" s="2">
        <v>0</v>
      </c>
      <c r="M2185" s="3"/>
      <c r="N2185" s="4">
        <v>0</v>
      </c>
      <c r="O2185" s="5" t="s">
        <v>44</v>
      </c>
      <c r="P2185" s="5" t="s">
        <v>44</v>
      </c>
      <c r="Q2185" s="1"/>
      <c r="R2185" s="2"/>
      <c r="S2185" s="6"/>
      <c r="T2185" t="s">
        <v>11031</v>
      </c>
      <c r="U2185" t="s">
        <v>11183</v>
      </c>
      <c r="V2185" t="s">
        <v>45</v>
      </c>
      <c r="W2185" t="s">
        <v>43</v>
      </c>
      <c r="X2185" t="s">
        <v>44</v>
      </c>
      <c r="Y2185" t="s">
        <v>44</v>
      </c>
      <c r="Z2185" t="s">
        <v>44</v>
      </c>
      <c r="AA2185" t="s">
        <v>44</v>
      </c>
      <c r="AB2185" t="s">
        <v>44</v>
      </c>
      <c r="AC2185" s="4"/>
      <c r="AD2185" s="4"/>
      <c r="AE2185" s="2">
        <v>0</v>
      </c>
      <c r="AF2185" s="4">
        <v>0</v>
      </c>
      <c r="AG2185" s="2">
        <v>0</v>
      </c>
      <c r="AH2185" s="2">
        <v>-35047391.649999999</v>
      </c>
      <c r="AI2185" s="2">
        <v>-0.08</v>
      </c>
      <c r="AJ2185" s="5">
        <v>44673</v>
      </c>
      <c r="AK2185" t="s">
        <v>12316</v>
      </c>
      <c r="AL2185" s="2">
        <v>0</v>
      </c>
      <c r="AM2185" s="2">
        <v>0</v>
      </c>
      <c r="AN2185" s="2">
        <v>0</v>
      </c>
      <c r="AO2185" t="s">
        <v>44</v>
      </c>
      <c r="AP2185" t="s">
        <v>44</v>
      </c>
      <c r="AQ2185" t="s">
        <v>11182</v>
      </c>
    </row>
    <row r="2186" spans="1:43" x14ac:dyDescent="0.2">
      <c r="A2186" t="s">
        <v>12315</v>
      </c>
      <c r="B2186" t="s">
        <v>11030</v>
      </c>
      <c r="C2186" t="s">
        <v>11030</v>
      </c>
      <c r="D2186" t="s">
        <v>11181</v>
      </c>
      <c r="E2186" t="s">
        <v>11151</v>
      </c>
      <c r="F2186" t="s">
        <v>11181</v>
      </c>
      <c r="G2186" s="1">
        <v>107</v>
      </c>
      <c r="H2186" s="2"/>
      <c r="I2186" s="2">
        <v>0</v>
      </c>
      <c r="J2186" s="2"/>
      <c r="K2186" s="2"/>
      <c r="L2186" s="2">
        <v>0</v>
      </c>
      <c r="M2186" s="3"/>
      <c r="N2186" s="4">
        <v>0</v>
      </c>
      <c r="O2186" s="5" t="s">
        <v>44</v>
      </c>
      <c r="P2186" s="5" t="s">
        <v>44</v>
      </c>
      <c r="Q2186" s="1"/>
      <c r="R2186" s="2"/>
      <c r="S2186" s="6"/>
      <c r="T2186" t="s">
        <v>11031</v>
      </c>
      <c r="U2186" t="s">
        <v>11032</v>
      </c>
      <c r="V2186" t="s">
        <v>45</v>
      </c>
      <c r="W2186" t="s">
        <v>43</v>
      </c>
      <c r="X2186" t="s">
        <v>44</v>
      </c>
      <c r="Y2186" t="s">
        <v>44</v>
      </c>
      <c r="Z2186" t="s">
        <v>44</v>
      </c>
      <c r="AA2186" t="s">
        <v>44</v>
      </c>
      <c r="AB2186" t="s">
        <v>44</v>
      </c>
      <c r="AC2186" s="4"/>
      <c r="AD2186" s="4"/>
      <c r="AE2186" s="2">
        <v>0</v>
      </c>
      <c r="AF2186" s="4">
        <v>0</v>
      </c>
      <c r="AG2186" s="2">
        <v>0</v>
      </c>
      <c r="AH2186" s="2">
        <v>-70303280</v>
      </c>
      <c r="AI2186" s="2">
        <v>-0.16</v>
      </c>
      <c r="AJ2186" s="5">
        <v>44673</v>
      </c>
      <c r="AK2186" t="s">
        <v>12316</v>
      </c>
      <c r="AL2186" s="2">
        <v>0</v>
      </c>
      <c r="AM2186" s="2">
        <v>0</v>
      </c>
      <c r="AN2186" s="2">
        <v>0</v>
      </c>
      <c r="AO2186" t="s">
        <v>44</v>
      </c>
      <c r="AP2186" t="s">
        <v>44</v>
      </c>
      <c r="AQ2186" t="s">
        <v>11182</v>
      </c>
    </row>
    <row r="2187" spans="1:43" x14ac:dyDescent="0.2">
      <c r="A2187" t="s">
        <v>12315</v>
      </c>
      <c r="B2187" t="s">
        <v>11030</v>
      </c>
      <c r="C2187" t="s">
        <v>11030</v>
      </c>
      <c r="D2187" t="s">
        <v>13001</v>
      </c>
      <c r="E2187" t="s">
        <v>12995</v>
      </c>
      <c r="F2187" t="s">
        <v>13001</v>
      </c>
      <c r="G2187" s="1">
        <v>-33</v>
      </c>
      <c r="H2187" s="2"/>
      <c r="I2187" s="2">
        <v>0</v>
      </c>
      <c r="J2187" s="2"/>
      <c r="K2187" s="2"/>
      <c r="L2187" s="2">
        <v>0</v>
      </c>
      <c r="M2187" s="3"/>
      <c r="N2187" s="4">
        <v>0</v>
      </c>
      <c r="O2187" s="5" t="s">
        <v>44</v>
      </c>
      <c r="P2187" s="5" t="s">
        <v>44</v>
      </c>
      <c r="Q2187" s="1"/>
      <c r="R2187" s="2"/>
      <c r="S2187" s="6"/>
      <c r="T2187" t="s">
        <v>11031</v>
      </c>
      <c r="U2187" t="s">
        <v>11183</v>
      </c>
      <c r="V2187" t="s">
        <v>45</v>
      </c>
      <c r="W2187" t="s">
        <v>43</v>
      </c>
      <c r="X2187" t="s">
        <v>44</v>
      </c>
      <c r="Y2187" t="s">
        <v>44</v>
      </c>
      <c r="Z2187" t="s">
        <v>44</v>
      </c>
      <c r="AA2187" t="s">
        <v>44</v>
      </c>
      <c r="AB2187" t="s">
        <v>44</v>
      </c>
      <c r="AC2187" s="4"/>
      <c r="AD2187" s="4"/>
      <c r="AE2187" s="2">
        <v>0</v>
      </c>
      <c r="AF2187" s="4">
        <v>0</v>
      </c>
      <c r="AG2187" s="2">
        <v>0</v>
      </c>
      <c r="AH2187" s="2">
        <v>-6561325.9699999997</v>
      </c>
      <c r="AI2187" s="2">
        <v>-0.01</v>
      </c>
      <c r="AJ2187" s="5">
        <v>44673</v>
      </c>
      <c r="AK2187" t="s">
        <v>12316</v>
      </c>
      <c r="AL2187" s="2">
        <v>0</v>
      </c>
      <c r="AM2187" s="2">
        <v>0</v>
      </c>
      <c r="AN2187" s="2">
        <v>0</v>
      </c>
      <c r="AO2187" t="s">
        <v>44</v>
      </c>
      <c r="AP2187" t="s">
        <v>44</v>
      </c>
      <c r="AQ2187" t="s">
        <v>11182</v>
      </c>
    </row>
    <row r="2188" spans="1:43" x14ac:dyDescent="0.2">
      <c r="A2188" t="s">
        <v>12315</v>
      </c>
      <c r="B2188" t="s">
        <v>11030</v>
      </c>
      <c r="C2188" t="s">
        <v>11030</v>
      </c>
      <c r="D2188" t="s">
        <v>11184</v>
      </c>
      <c r="E2188" t="s">
        <v>11155</v>
      </c>
      <c r="F2188" t="s">
        <v>11184</v>
      </c>
      <c r="G2188" s="1">
        <v>-82</v>
      </c>
      <c r="H2188" s="2"/>
      <c r="I2188" s="2">
        <v>0</v>
      </c>
      <c r="J2188" s="2"/>
      <c r="K2188" s="2"/>
      <c r="L2188" s="2">
        <v>0</v>
      </c>
      <c r="M2188" s="3"/>
      <c r="N2188" s="4">
        <v>0</v>
      </c>
      <c r="O2188" s="5" t="s">
        <v>44</v>
      </c>
      <c r="P2188" s="5" t="s">
        <v>44</v>
      </c>
      <c r="Q2188" s="1"/>
      <c r="R2188" s="2"/>
      <c r="S2188" s="6"/>
      <c r="T2188" t="s">
        <v>11031</v>
      </c>
      <c r="U2188" t="s">
        <v>11183</v>
      </c>
      <c r="V2188" t="s">
        <v>45</v>
      </c>
      <c r="W2188" t="s">
        <v>43</v>
      </c>
      <c r="X2188" t="s">
        <v>44</v>
      </c>
      <c r="Y2188" t="s">
        <v>44</v>
      </c>
      <c r="Z2188" t="s">
        <v>44</v>
      </c>
      <c r="AA2188" t="s">
        <v>44</v>
      </c>
      <c r="AB2188" t="s">
        <v>44</v>
      </c>
      <c r="AC2188" s="4"/>
      <c r="AD2188" s="4"/>
      <c r="AE2188" s="2">
        <v>0</v>
      </c>
      <c r="AF2188" s="4">
        <v>0</v>
      </c>
      <c r="AG2188" s="2">
        <v>0</v>
      </c>
      <c r="AH2188" s="2">
        <v>1983423.67</v>
      </c>
      <c r="AI2188" s="2">
        <v>0</v>
      </c>
      <c r="AJ2188" s="5">
        <v>44673</v>
      </c>
      <c r="AK2188" t="s">
        <v>12316</v>
      </c>
      <c r="AL2188" s="2">
        <v>0</v>
      </c>
      <c r="AM2188" s="2">
        <v>0</v>
      </c>
      <c r="AN2188" s="2">
        <v>0</v>
      </c>
      <c r="AO2188" t="s">
        <v>44</v>
      </c>
      <c r="AP2188" t="s">
        <v>44</v>
      </c>
      <c r="AQ2188" t="s">
        <v>11182</v>
      </c>
    </row>
    <row r="2189" spans="1:43" x14ac:dyDescent="0.2">
      <c r="A2189" t="s">
        <v>12315</v>
      </c>
      <c r="B2189" t="s">
        <v>11030</v>
      </c>
      <c r="C2189" t="s">
        <v>11030</v>
      </c>
      <c r="D2189" t="s">
        <v>11185</v>
      </c>
      <c r="E2189" t="s">
        <v>11157</v>
      </c>
      <c r="F2189" t="s">
        <v>11185</v>
      </c>
      <c r="G2189" s="1">
        <v>-34</v>
      </c>
      <c r="H2189" s="2"/>
      <c r="I2189" s="2">
        <v>0</v>
      </c>
      <c r="J2189" s="2"/>
      <c r="K2189" s="2"/>
      <c r="L2189" s="2">
        <v>0</v>
      </c>
      <c r="M2189" s="3"/>
      <c r="N2189" s="4">
        <v>0</v>
      </c>
      <c r="O2189" s="5" t="s">
        <v>44</v>
      </c>
      <c r="P2189" s="5" t="s">
        <v>44</v>
      </c>
      <c r="Q2189" s="1"/>
      <c r="R2189" s="2"/>
      <c r="S2189" s="6"/>
      <c r="T2189" t="s">
        <v>11031</v>
      </c>
      <c r="U2189" t="s">
        <v>11032</v>
      </c>
      <c r="V2189" t="s">
        <v>45</v>
      </c>
      <c r="W2189" t="s">
        <v>43</v>
      </c>
      <c r="X2189" t="s">
        <v>44</v>
      </c>
      <c r="Y2189" t="s">
        <v>44</v>
      </c>
      <c r="Z2189" t="s">
        <v>44</v>
      </c>
      <c r="AA2189" t="s">
        <v>44</v>
      </c>
      <c r="AB2189" t="s">
        <v>44</v>
      </c>
      <c r="AC2189" s="4"/>
      <c r="AD2189" s="4"/>
      <c r="AE2189" s="2">
        <v>0</v>
      </c>
      <c r="AF2189" s="4">
        <v>0</v>
      </c>
      <c r="AG2189" s="2">
        <v>0</v>
      </c>
      <c r="AH2189" s="2">
        <v>22351940</v>
      </c>
      <c r="AI2189" s="2">
        <v>0.05</v>
      </c>
      <c r="AJ2189" s="5">
        <v>44673</v>
      </c>
      <c r="AK2189" t="s">
        <v>12316</v>
      </c>
      <c r="AL2189" s="2">
        <v>0</v>
      </c>
      <c r="AM2189" s="2">
        <v>0</v>
      </c>
      <c r="AN2189" s="2">
        <v>0</v>
      </c>
      <c r="AO2189" t="s">
        <v>44</v>
      </c>
      <c r="AP2189" t="s">
        <v>44</v>
      </c>
      <c r="AQ2189" t="s">
        <v>11182</v>
      </c>
    </row>
    <row r="2190" spans="1:43" x14ac:dyDescent="0.2">
      <c r="A2190" t="s">
        <v>12315</v>
      </c>
      <c r="B2190" t="s">
        <v>11030</v>
      </c>
      <c r="C2190" t="s">
        <v>11030</v>
      </c>
      <c r="D2190" t="s">
        <v>12743</v>
      </c>
      <c r="E2190" t="s">
        <v>12738</v>
      </c>
      <c r="F2190" t="s">
        <v>12743</v>
      </c>
      <c r="G2190" s="1">
        <v>96</v>
      </c>
      <c r="H2190" s="2"/>
      <c r="I2190" s="2">
        <v>0</v>
      </c>
      <c r="J2190" s="2"/>
      <c r="K2190" s="2"/>
      <c r="L2190" s="2">
        <v>0</v>
      </c>
      <c r="M2190" s="3"/>
      <c r="N2190" s="4">
        <v>0</v>
      </c>
      <c r="O2190" s="5" t="s">
        <v>44</v>
      </c>
      <c r="P2190" s="5" t="s">
        <v>44</v>
      </c>
      <c r="Q2190" s="1"/>
      <c r="R2190" s="2"/>
      <c r="S2190" s="6"/>
      <c r="T2190" t="s">
        <v>11031</v>
      </c>
      <c r="U2190" t="s">
        <v>11183</v>
      </c>
      <c r="V2190" t="s">
        <v>45</v>
      </c>
      <c r="W2190" t="s">
        <v>43</v>
      </c>
      <c r="X2190" t="s">
        <v>44</v>
      </c>
      <c r="Y2190" t="s">
        <v>44</v>
      </c>
      <c r="Z2190" t="s">
        <v>44</v>
      </c>
      <c r="AA2190" t="s">
        <v>44</v>
      </c>
      <c r="AB2190" t="s">
        <v>44</v>
      </c>
      <c r="AC2190" s="4"/>
      <c r="AD2190" s="4"/>
      <c r="AE2190" s="2">
        <v>0</v>
      </c>
      <c r="AF2190" s="4">
        <v>0</v>
      </c>
      <c r="AG2190" s="2">
        <v>0</v>
      </c>
      <c r="AH2190" s="2">
        <v>-22757740.18</v>
      </c>
      <c r="AI2190" s="2">
        <v>-0.05</v>
      </c>
      <c r="AJ2190" s="5">
        <v>44673</v>
      </c>
      <c r="AK2190" t="s">
        <v>12316</v>
      </c>
      <c r="AL2190" s="2">
        <v>0</v>
      </c>
      <c r="AM2190" s="2">
        <v>0</v>
      </c>
      <c r="AN2190" s="2">
        <v>0</v>
      </c>
      <c r="AO2190" t="s">
        <v>44</v>
      </c>
      <c r="AP2190" t="s">
        <v>44</v>
      </c>
      <c r="AQ2190" t="s">
        <v>11182</v>
      </c>
    </row>
    <row r="2191" spans="1:43" x14ac:dyDescent="0.2">
      <c r="A2191" t="s">
        <v>12315</v>
      </c>
      <c r="B2191" t="s">
        <v>11030</v>
      </c>
      <c r="C2191" t="s">
        <v>11030</v>
      </c>
      <c r="D2191" t="s">
        <v>12726</v>
      </c>
      <c r="E2191" t="s">
        <v>12722</v>
      </c>
      <c r="F2191" t="s">
        <v>12726</v>
      </c>
      <c r="G2191" s="1">
        <v>97</v>
      </c>
      <c r="H2191" s="2"/>
      <c r="I2191" s="2">
        <v>0</v>
      </c>
      <c r="J2191" s="2"/>
      <c r="K2191" s="2"/>
      <c r="L2191" s="2">
        <v>0</v>
      </c>
      <c r="M2191" s="3"/>
      <c r="N2191" s="4">
        <v>0</v>
      </c>
      <c r="O2191" s="5" t="s">
        <v>44</v>
      </c>
      <c r="P2191" s="5" t="s">
        <v>44</v>
      </c>
      <c r="Q2191" s="1"/>
      <c r="R2191" s="2"/>
      <c r="S2191" s="6"/>
      <c r="T2191" t="s">
        <v>11031</v>
      </c>
      <c r="U2191" t="s">
        <v>11183</v>
      </c>
      <c r="V2191" t="s">
        <v>45</v>
      </c>
      <c r="W2191" t="s">
        <v>43</v>
      </c>
      <c r="X2191" t="s">
        <v>44</v>
      </c>
      <c r="Y2191" t="s">
        <v>44</v>
      </c>
      <c r="Z2191" t="s">
        <v>44</v>
      </c>
      <c r="AA2191" t="s">
        <v>44</v>
      </c>
      <c r="AB2191" t="s">
        <v>44</v>
      </c>
      <c r="AC2191" s="4"/>
      <c r="AD2191" s="4"/>
      <c r="AE2191" s="2">
        <v>0</v>
      </c>
      <c r="AF2191" s="4">
        <v>0</v>
      </c>
      <c r="AG2191" s="2">
        <v>0</v>
      </c>
      <c r="AH2191" s="2">
        <v>-19800020.030000001</v>
      </c>
      <c r="AI2191" s="2">
        <v>-0.05</v>
      </c>
      <c r="AJ2191" s="5">
        <v>44673</v>
      </c>
      <c r="AK2191" t="s">
        <v>12316</v>
      </c>
      <c r="AL2191" s="2">
        <v>0</v>
      </c>
      <c r="AM2191" s="2">
        <v>0</v>
      </c>
      <c r="AN2191" s="2">
        <v>0</v>
      </c>
      <c r="AO2191" t="s">
        <v>44</v>
      </c>
      <c r="AP2191" t="s">
        <v>44</v>
      </c>
      <c r="AQ2191" t="s">
        <v>11182</v>
      </c>
    </row>
    <row r="2192" spans="1:43" x14ac:dyDescent="0.2">
      <c r="A2192" t="s">
        <v>12315</v>
      </c>
      <c r="B2192" t="s">
        <v>11030</v>
      </c>
      <c r="C2192" t="s">
        <v>11030</v>
      </c>
      <c r="D2192" t="s">
        <v>13002</v>
      </c>
      <c r="E2192" t="s">
        <v>12996</v>
      </c>
      <c r="F2192" t="s">
        <v>13002</v>
      </c>
      <c r="G2192" s="1">
        <v>-81</v>
      </c>
      <c r="H2192" s="2"/>
      <c r="I2192" s="2">
        <v>0</v>
      </c>
      <c r="J2192" s="2"/>
      <c r="K2192" s="2"/>
      <c r="L2192" s="2">
        <v>0</v>
      </c>
      <c r="M2192" s="3"/>
      <c r="N2192" s="4">
        <v>0</v>
      </c>
      <c r="O2192" s="5" t="s">
        <v>44</v>
      </c>
      <c r="P2192" s="5" t="s">
        <v>44</v>
      </c>
      <c r="Q2192" s="1"/>
      <c r="R2192" s="2"/>
      <c r="S2192" s="6"/>
      <c r="T2192" t="s">
        <v>11031</v>
      </c>
      <c r="U2192" t="s">
        <v>11183</v>
      </c>
      <c r="V2192" t="s">
        <v>45</v>
      </c>
      <c r="W2192" t="s">
        <v>43</v>
      </c>
      <c r="X2192" t="s">
        <v>44</v>
      </c>
      <c r="Y2192" t="s">
        <v>44</v>
      </c>
      <c r="Z2192" t="s">
        <v>44</v>
      </c>
      <c r="AA2192" t="s">
        <v>44</v>
      </c>
      <c r="AB2192" t="s">
        <v>44</v>
      </c>
      <c r="AC2192" s="4"/>
      <c r="AD2192" s="4"/>
      <c r="AE2192" s="2">
        <v>0</v>
      </c>
      <c r="AF2192" s="4">
        <v>0</v>
      </c>
      <c r="AG2192" s="2">
        <v>0</v>
      </c>
      <c r="AH2192" s="2">
        <v>7825305.3700000001</v>
      </c>
      <c r="AI2192" s="2">
        <v>0.02</v>
      </c>
      <c r="AJ2192" s="5">
        <v>44673</v>
      </c>
      <c r="AK2192" t="s">
        <v>12316</v>
      </c>
      <c r="AL2192" s="2">
        <v>0</v>
      </c>
      <c r="AM2192" s="2">
        <v>0</v>
      </c>
      <c r="AN2192" s="2">
        <v>0</v>
      </c>
      <c r="AO2192" t="s">
        <v>44</v>
      </c>
      <c r="AP2192" t="s">
        <v>44</v>
      </c>
      <c r="AQ2192" t="s">
        <v>11182</v>
      </c>
    </row>
    <row r="2193" spans="1:43" x14ac:dyDescent="0.2">
      <c r="A2193" t="s">
        <v>12315</v>
      </c>
      <c r="B2193" t="s">
        <v>11030</v>
      </c>
      <c r="C2193" t="s">
        <v>11030</v>
      </c>
      <c r="D2193" t="s">
        <v>12744</v>
      </c>
      <c r="E2193" t="s">
        <v>12739</v>
      </c>
      <c r="F2193" t="s">
        <v>12744</v>
      </c>
      <c r="G2193" s="1">
        <v>-82</v>
      </c>
      <c r="H2193" s="2"/>
      <c r="I2193" s="2">
        <v>0</v>
      </c>
      <c r="J2193" s="2"/>
      <c r="K2193" s="2"/>
      <c r="L2193" s="2">
        <v>0</v>
      </c>
      <c r="M2193" s="3"/>
      <c r="N2193" s="4">
        <v>0</v>
      </c>
      <c r="O2193" s="5" t="s">
        <v>44</v>
      </c>
      <c r="P2193" s="5" t="s">
        <v>44</v>
      </c>
      <c r="Q2193" s="1"/>
      <c r="R2193" s="2"/>
      <c r="S2193" s="6"/>
      <c r="T2193" t="s">
        <v>11031</v>
      </c>
      <c r="U2193" t="s">
        <v>11183</v>
      </c>
      <c r="V2193" t="s">
        <v>45</v>
      </c>
      <c r="W2193" t="s">
        <v>43</v>
      </c>
      <c r="X2193" t="s">
        <v>44</v>
      </c>
      <c r="Y2193" t="s">
        <v>44</v>
      </c>
      <c r="Z2193" t="s">
        <v>44</v>
      </c>
      <c r="AA2193" t="s">
        <v>44</v>
      </c>
      <c r="AB2193" t="s">
        <v>44</v>
      </c>
      <c r="AC2193" s="4"/>
      <c r="AD2193" s="4"/>
      <c r="AE2193" s="2">
        <v>0</v>
      </c>
      <c r="AF2193" s="4">
        <v>0</v>
      </c>
      <c r="AG2193" s="2">
        <v>0</v>
      </c>
      <c r="AH2193" s="2">
        <v>4071876.71</v>
      </c>
      <c r="AI2193" s="2">
        <v>0.01</v>
      </c>
      <c r="AJ2193" s="5">
        <v>44673</v>
      </c>
      <c r="AK2193" t="s">
        <v>12316</v>
      </c>
      <c r="AL2193" s="2">
        <v>0</v>
      </c>
      <c r="AM2193" s="2">
        <v>0</v>
      </c>
      <c r="AN2193" s="2">
        <v>0</v>
      </c>
      <c r="AO2193" t="s">
        <v>44</v>
      </c>
      <c r="AP2193" t="s">
        <v>44</v>
      </c>
      <c r="AQ2193" t="s">
        <v>11182</v>
      </c>
    </row>
    <row r="2194" spans="1:43" x14ac:dyDescent="0.2">
      <c r="A2194" t="s">
        <v>12317</v>
      </c>
      <c r="B2194" t="s">
        <v>10900</v>
      </c>
      <c r="C2194" t="s">
        <v>11049</v>
      </c>
      <c r="D2194" t="s">
        <v>11265</v>
      </c>
      <c r="E2194" t="s">
        <v>11266</v>
      </c>
      <c r="F2194" t="s">
        <v>11265</v>
      </c>
      <c r="G2194" s="1">
        <v>2600000</v>
      </c>
      <c r="H2194" s="2">
        <v>2475873.9900000002</v>
      </c>
      <c r="I2194" s="2">
        <v>2475873.9900000002</v>
      </c>
      <c r="J2194" s="2">
        <v>0</v>
      </c>
      <c r="K2194" s="2">
        <v>0</v>
      </c>
      <c r="L2194" s="2">
        <v>2475873.9900000002</v>
      </c>
      <c r="M2194" s="3">
        <v>6.3099970000000001</v>
      </c>
      <c r="N2194" s="4">
        <v>5.6328799999999998E-3</v>
      </c>
      <c r="O2194" s="5" t="s">
        <v>44</v>
      </c>
      <c r="P2194" s="5">
        <v>44964</v>
      </c>
      <c r="Q2194" s="1">
        <v>0</v>
      </c>
      <c r="R2194" s="2">
        <v>0.79</v>
      </c>
      <c r="S2194" s="6">
        <v>0.75161913127000002</v>
      </c>
      <c r="T2194" t="s">
        <v>112</v>
      </c>
      <c r="U2194" t="s">
        <v>111</v>
      </c>
      <c r="V2194" t="s">
        <v>11238</v>
      </c>
      <c r="W2194" t="s">
        <v>43</v>
      </c>
      <c r="X2194" t="s">
        <v>44</v>
      </c>
      <c r="Y2194" t="s">
        <v>44</v>
      </c>
      <c r="Z2194" t="s">
        <v>44</v>
      </c>
      <c r="AA2194" t="s">
        <v>10979</v>
      </c>
      <c r="AB2194" t="s">
        <v>44</v>
      </c>
      <c r="AC2194" s="4">
        <v>6.4095368800000001</v>
      </c>
      <c r="AD2194" s="4">
        <v>6.2286110399999997</v>
      </c>
      <c r="AE2194" s="2">
        <v>6.41</v>
      </c>
      <c r="AF2194" s="4">
        <v>6.2286110399999997</v>
      </c>
      <c r="AG2194" s="2">
        <v>0.68</v>
      </c>
      <c r="AH2194" s="2">
        <v>2475873.9900000002</v>
      </c>
      <c r="AI2194" s="2">
        <v>0.01</v>
      </c>
      <c r="AJ2194" s="5">
        <v>44673</v>
      </c>
      <c r="AK2194" t="s">
        <v>12318</v>
      </c>
      <c r="AL2194" s="2">
        <v>6.31</v>
      </c>
      <c r="AM2194" s="2">
        <v>0</v>
      </c>
      <c r="AN2194" s="2">
        <v>0.75</v>
      </c>
      <c r="AO2194" t="s">
        <v>10982</v>
      </c>
      <c r="AP2194" t="s">
        <v>11267</v>
      </c>
      <c r="AQ2194" t="s">
        <v>11266</v>
      </c>
    </row>
    <row r="2195" spans="1:43" x14ac:dyDescent="0.2">
      <c r="A2195" t="s">
        <v>12317</v>
      </c>
      <c r="B2195" t="s">
        <v>45</v>
      </c>
      <c r="C2195" t="s">
        <v>11000</v>
      </c>
      <c r="D2195" t="s">
        <v>11268</v>
      </c>
      <c r="E2195" t="s">
        <v>11269</v>
      </c>
      <c r="F2195" t="s">
        <v>11268</v>
      </c>
      <c r="G2195" s="1">
        <v>3740233.48</v>
      </c>
      <c r="H2195" s="2">
        <v>3740233.48</v>
      </c>
      <c r="I2195" s="2">
        <v>3740233.48</v>
      </c>
      <c r="J2195" s="2">
        <v>12015.27</v>
      </c>
      <c r="K2195" s="2">
        <v>0</v>
      </c>
      <c r="L2195" s="2">
        <v>3752248.75</v>
      </c>
      <c r="M2195" s="3">
        <v>4.617</v>
      </c>
      <c r="N2195" s="4">
        <v>8.5367700000000008E-3</v>
      </c>
      <c r="O2195" s="5" t="s">
        <v>44</v>
      </c>
      <c r="P2195" s="5">
        <v>47848</v>
      </c>
      <c r="Q2195" s="1">
        <v>4.617</v>
      </c>
      <c r="R2195" s="2">
        <v>0.08</v>
      </c>
      <c r="S2195" s="6"/>
      <c r="T2195" t="s">
        <v>112</v>
      </c>
      <c r="U2195" t="s">
        <v>46</v>
      </c>
      <c r="V2195" t="s">
        <v>11270</v>
      </c>
      <c r="W2195" t="s">
        <v>43</v>
      </c>
      <c r="X2195" t="s">
        <v>44</v>
      </c>
      <c r="Y2195" t="s">
        <v>44</v>
      </c>
      <c r="Z2195" t="s">
        <v>44</v>
      </c>
      <c r="AA2195" t="s">
        <v>44</v>
      </c>
      <c r="AB2195" t="s">
        <v>44</v>
      </c>
      <c r="AC2195" s="4">
        <v>4.7160921900000004</v>
      </c>
      <c r="AD2195" s="4">
        <v>4.6171215200000004</v>
      </c>
      <c r="AE2195" s="2">
        <v>4.72</v>
      </c>
      <c r="AF2195" s="4">
        <v>4.6171215200000004</v>
      </c>
      <c r="AG2195" s="2">
        <v>1.03</v>
      </c>
      <c r="AH2195" s="2">
        <v>3752248.75</v>
      </c>
      <c r="AI2195" s="2">
        <v>0.01</v>
      </c>
      <c r="AJ2195" s="5">
        <v>44673</v>
      </c>
      <c r="AK2195" t="s">
        <v>12318</v>
      </c>
      <c r="AL2195" s="2">
        <v>4.66</v>
      </c>
      <c r="AM2195" s="2">
        <v>4.62</v>
      </c>
      <c r="AN2195" s="2">
        <v>0</v>
      </c>
      <c r="AO2195" t="s">
        <v>44</v>
      </c>
      <c r="AP2195" t="s">
        <v>44</v>
      </c>
      <c r="AQ2195" t="s">
        <v>11269</v>
      </c>
    </row>
    <row r="2196" spans="1:43" x14ac:dyDescent="0.2">
      <c r="A2196" t="s">
        <v>12317</v>
      </c>
      <c r="B2196" t="s">
        <v>45</v>
      </c>
      <c r="C2196" t="s">
        <v>11000</v>
      </c>
      <c r="D2196" t="s">
        <v>11271</v>
      </c>
      <c r="E2196" t="s">
        <v>11272</v>
      </c>
      <c r="F2196" t="s">
        <v>11271</v>
      </c>
      <c r="G2196" s="1">
        <v>6330000</v>
      </c>
      <c r="H2196" s="2">
        <v>6330000</v>
      </c>
      <c r="I2196" s="2">
        <v>6330000</v>
      </c>
      <c r="J2196" s="2">
        <v>20334.73</v>
      </c>
      <c r="K2196" s="2">
        <v>0</v>
      </c>
      <c r="L2196" s="2">
        <v>6350334.7300000004</v>
      </c>
      <c r="M2196" s="3">
        <v>4.617</v>
      </c>
      <c r="N2196" s="4">
        <v>1.4447700000000001E-2</v>
      </c>
      <c r="O2196" s="5" t="s">
        <v>44</v>
      </c>
      <c r="P2196" s="5">
        <v>47848</v>
      </c>
      <c r="Q2196" s="1">
        <v>4.617</v>
      </c>
      <c r="R2196" s="2">
        <v>0.08</v>
      </c>
      <c r="S2196" s="6"/>
      <c r="T2196" t="s">
        <v>112</v>
      </c>
      <c r="U2196" t="s">
        <v>46</v>
      </c>
      <c r="V2196" t="s">
        <v>11270</v>
      </c>
      <c r="W2196" t="s">
        <v>43</v>
      </c>
      <c r="X2196" t="s">
        <v>44</v>
      </c>
      <c r="Y2196" t="s">
        <v>44</v>
      </c>
      <c r="Z2196" t="s">
        <v>44</v>
      </c>
      <c r="AA2196" t="s">
        <v>44</v>
      </c>
      <c r="AB2196" t="s">
        <v>44</v>
      </c>
      <c r="AC2196" s="4">
        <v>4.7160921900000004</v>
      </c>
      <c r="AD2196" s="4">
        <v>4.6171215200000004</v>
      </c>
      <c r="AE2196" s="2">
        <v>4.72</v>
      </c>
      <c r="AF2196" s="4">
        <v>4.6171215200000004</v>
      </c>
      <c r="AG2196" s="2">
        <v>1.74</v>
      </c>
      <c r="AH2196" s="2">
        <v>6350334.7300000004</v>
      </c>
      <c r="AI2196" s="2">
        <v>0.01</v>
      </c>
      <c r="AJ2196" s="5">
        <v>44673</v>
      </c>
      <c r="AK2196" t="s">
        <v>12318</v>
      </c>
      <c r="AL2196" s="2">
        <v>4.66</v>
      </c>
      <c r="AM2196" s="2">
        <v>4.62</v>
      </c>
      <c r="AN2196" s="2">
        <v>0</v>
      </c>
      <c r="AO2196" t="s">
        <v>44</v>
      </c>
      <c r="AP2196" t="s">
        <v>44</v>
      </c>
      <c r="AQ2196" t="s">
        <v>11272</v>
      </c>
    </row>
    <row r="2197" spans="1:43" x14ac:dyDescent="0.2">
      <c r="A2197" t="s">
        <v>12317</v>
      </c>
      <c r="B2197" t="s">
        <v>45</v>
      </c>
      <c r="C2197" t="s">
        <v>11000</v>
      </c>
      <c r="D2197" t="s">
        <v>11001</v>
      </c>
      <c r="E2197" t="s">
        <v>11002</v>
      </c>
      <c r="F2197" t="s">
        <v>11001</v>
      </c>
      <c r="G2197" s="1">
        <v>44158993.75</v>
      </c>
      <c r="H2197" s="2">
        <v>44158996.090000004</v>
      </c>
      <c r="I2197" s="2">
        <v>44158996.090000004</v>
      </c>
      <c r="J2197" s="2">
        <v>148751.59</v>
      </c>
      <c r="K2197" s="2">
        <v>0</v>
      </c>
      <c r="L2197" s="2">
        <v>44307747.68</v>
      </c>
      <c r="M2197" s="3"/>
      <c r="N2197" s="4">
        <v>0.1008049</v>
      </c>
      <c r="O2197" s="5">
        <v>40756</v>
      </c>
      <c r="P2197" s="5">
        <v>73020</v>
      </c>
      <c r="Q2197" s="1">
        <v>0</v>
      </c>
      <c r="R2197" s="2"/>
      <c r="S2197" s="6"/>
      <c r="T2197" t="s">
        <v>111</v>
      </c>
      <c r="U2197" t="s">
        <v>11003</v>
      </c>
      <c r="V2197" t="s">
        <v>46</v>
      </c>
      <c r="W2197" t="s">
        <v>43</v>
      </c>
      <c r="X2197" t="s">
        <v>44</v>
      </c>
      <c r="Y2197" t="s">
        <v>44</v>
      </c>
      <c r="Z2197" t="s">
        <v>44</v>
      </c>
      <c r="AA2197" t="s">
        <v>44</v>
      </c>
      <c r="AB2197" t="s">
        <v>44</v>
      </c>
      <c r="AC2197" s="4"/>
      <c r="AD2197" s="4"/>
      <c r="AE2197" s="2">
        <v>0</v>
      </c>
      <c r="AF2197" s="4">
        <v>0</v>
      </c>
      <c r="AG2197" s="2">
        <v>12.13</v>
      </c>
      <c r="AH2197" s="2">
        <v>44307747.68</v>
      </c>
      <c r="AI2197" s="2">
        <v>0.1</v>
      </c>
      <c r="AJ2197" s="5">
        <v>44673</v>
      </c>
      <c r="AK2197" t="s">
        <v>12318</v>
      </c>
      <c r="AL2197" s="2">
        <v>0</v>
      </c>
      <c r="AM2197" s="2">
        <v>0</v>
      </c>
      <c r="AN2197" s="2">
        <v>0</v>
      </c>
      <c r="AO2197" t="s">
        <v>44</v>
      </c>
      <c r="AP2197" t="s">
        <v>11004</v>
      </c>
      <c r="AQ2197" t="s">
        <v>11002</v>
      </c>
    </row>
    <row r="2198" spans="1:43" x14ac:dyDescent="0.2">
      <c r="A2198" t="s">
        <v>12317</v>
      </c>
      <c r="B2198" t="s">
        <v>45</v>
      </c>
      <c r="C2198" t="s">
        <v>11144</v>
      </c>
      <c r="D2198" t="s">
        <v>11145</v>
      </c>
      <c r="E2198" t="s">
        <v>11146</v>
      </c>
      <c r="F2198" t="s">
        <v>11147</v>
      </c>
      <c r="G2198" s="1">
        <v>21271918</v>
      </c>
      <c r="H2198" s="2">
        <v>21271918</v>
      </c>
      <c r="I2198" s="2">
        <v>21271918</v>
      </c>
      <c r="J2198" s="2">
        <v>55668.78</v>
      </c>
      <c r="K2198" s="2">
        <v>0</v>
      </c>
      <c r="L2198" s="2">
        <v>21327586.780000001</v>
      </c>
      <c r="M2198" s="3">
        <v>6.88</v>
      </c>
      <c r="N2198" s="4">
        <v>4.8522559999999999E-2</v>
      </c>
      <c r="O2198" s="5" t="s">
        <v>44</v>
      </c>
      <c r="P2198" s="5">
        <v>55153</v>
      </c>
      <c r="Q2198" s="1">
        <v>6.88</v>
      </c>
      <c r="R2198" s="2">
        <v>0.08</v>
      </c>
      <c r="S2198" s="6">
        <v>2.6006750000000002E-3</v>
      </c>
      <c r="T2198" t="s">
        <v>112</v>
      </c>
      <c r="U2198" t="s">
        <v>46</v>
      </c>
      <c r="V2198" t="s">
        <v>11148</v>
      </c>
      <c r="W2198" t="s">
        <v>43</v>
      </c>
      <c r="X2198" t="s">
        <v>44</v>
      </c>
      <c r="Y2198" t="s">
        <v>44</v>
      </c>
      <c r="Z2198" t="s">
        <v>44</v>
      </c>
      <c r="AA2198" t="s">
        <v>44</v>
      </c>
      <c r="AB2198" t="s">
        <v>44</v>
      </c>
      <c r="AC2198" s="4"/>
      <c r="AD2198" s="4"/>
      <c r="AE2198" s="2">
        <v>0</v>
      </c>
      <c r="AF2198" s="4">
        <v>0</v>
      </c>
      <c r="AG2198" s="2">
        <v>5.84</v>
      </c>
      <c r="AH2198" s="2">
        <v>21327586.780000001</v>
      </c>
      <c r="AI2198" s="2">
        <v>0.05</v>
      </c>
      <c r="AJ2198" s="5">
        <v>44673</v>
      </c>
      <c r="AK2198" t="s">
        <v>12318</v>
      </c>
      <c r="AL2198" s="2">
        <v>0</v>
      </c>
      <c r="AM2198" s="2">
        <v>6.88</v>
      </c>
      <c r="AN2198" s="2">
        <v>0</v>
      </c>
      <c r="AO2198" t="s">
        <v>11146</v>
      </c>
      <c r="AP2198" t="s">
        <v>44</v>
      </c>
      <c r="AQ2198" t="s">
        <v>11146</v>
      </c>
    </row>
    <row r="2199" spans="1:43" x14ac:dyDescent="0.2">
      <c r="A2199" t="s">
        <v>12317</v>
      </c>
      <c r="B2199" t="s">
        <v>45</v>
      </c>
      <c r="C2199" t="s">
        <v>47</v>
      </c>
      <c r="D2199" t="s">
        <v>48</v>
      </c>
      <c r="E2199" t="s">
        <v>49</v>
      </c>
      <c r="F2199" t="s">
        <v>50</v>
      </c>
      <c r="G2199" s="1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-958.14</v>
      </c>
      <c r="M2199" s="3"/>
      <c r="N2199" s="4">
        <v>-2.1799999999999999E-6</v>
      </c>
      <c r="O2199" s="5" t="s">
        <v>44</v>
      </c>
      <c r="P2199" s="5" t="s">
        <v>44</v>
      </c>
      <c r="Q2199" s="1"/>
      <c r="R2199" s="2">
        <v>0.08</v>
      </c>
      <c r="S2199" s="6"/>
      <c r="T2199" t="s">
        <v>45</v>
      </c>
      <c r="U2199" t="s">
        <v>46</v>
      </c>
      <c r="V2199" t="s">
        <v>44</v>
      </c>
      <c r="W2199" t="s">
        <v>43</v>
      </c>
      <c r="X2199" t="s">
        <v>44</v>
      </c>
      <c r="Y2199" t="s">
        <v>44</v>
      </c>
      <c r="Z2199" t="s">
        <v>44</v>
      </c>
      <c r="AA2199" t="s">
        <v>44</v>
      </c>
      <c r="AB2199" t="s">
        <v>44</v>
      </c>
      <c r="AC2199" s="4">
        <v>5.1163389600000002</v>
      </c>
      <c r="AD2199" s="4">
        <v>5.0001424999999999</v>
      </c>
      <c r="AE2199" s="2">
        <v>5.12</v>
      </c>
      <c r="AF2199" s="4">
        <v>5.0001424999999999</v>
      </c>
      <c r="AG2199" s="2">
        <v>0</v>
      </c>
      <c r="AH2199" s="2">
        <v>-958.14</v>
      </c>
      <c r="AI2199" s="2">
        <v>0</v>
      </c>
      <c r="AJ2199" s="5">
        <v>44673</v>
      </c>
      <c r="AK2199" t="s">
        <v>12318</v>
      </c>
      <c r="AL2199" s="2">
        <v>5.05</v>
      </c>
      <c r="AM2199" s="2">
        <v>0</v>
      </c>
      <c r="AN2199" s="2">
        <v>0</v>
      </c>
      <c r="AO2199" t="s">
        <v>44</v>
      </c>
      <c r="AP2199" t="s">
        <v>44</v>
      </c>
      <c r="AQ2199" t="s">
        <v>44</v>
      </c>
    </row>
    <row r="2200" spans="1:43" x14ac:dyDescent="0.2">
      <c r="A2200" t="s">
        <v>12317</v>
      </c>
      <c r="B2200" t="s">
        <v>45</v>
      </c>
      <c r="C2200" t="s">
        <v>47</v>
      </c>
      <c r="D2200" t="s">
        <v>51</v>
      </c>
      <c r="E2200" t="s">
        <v>52</v>
      </c>
      <c r="F2200" t="s">
        <v>51</v>
      </c>
      <c r="G2200" s="1">
        <v>646645.26</v>
      </c>
      <c r="H2200" s="2">
        <v>646645.26</v>
      </c>
      <c r="I2200" s="2">
        <v>646645.26</v>
      </c>
      <c r="J2200" s="2">
        <v>0</v>
      </c>
      <c r="K2200" s="2">
        <v>0</v>
      </c>
      <c r="L2200" s="2">
        <v>646645.26</v>
      </c>
      <c r="M2200" s="3"/>
      <c r="N2200" s="4">
        <v>1.47119E-3</v>
      </c>
      <c r="O2200" s="5" t="s">
        <v>44</v>
      </c>
      <c r="P2200" s="5" t="s">
        <v>44</v>
      </c>
      <c r="Q2200" s="1"/>
      <c r="R2200" s="2">
        <v>0.08</v>
      </c>
      <c r="S2200" s="6"/>
      <c r="T2200" t="s">
        <v>45</v>
      </c>
      <c r="U2200" t="s">
        <v>53</v>
      </c>
      <c r="V2200" t="s">
        <v>44</v>
      </c>
      <c r="W2200" t="s">
        <v>43</v>
      </c>
      <c r="X2200" t="s">
        <v>44</v>
      </c>
      <c r="Y2200" t="s">
        <v>44</v>
      </c>
      <c r="Z2200" t="s">
        <v>44</v>
      </c>
      <c r="AA2200" t="s">
        <v>44</v>
      </c>
      <c r="AB2200" t="s">
        <v>44</v>
      </c>
      <c r="AC2200" s="4">
        <v>5.1163389600000002</v>
      </c>
      <c r="AD2200" s="4">
        <v>5.0001424999999999</v>
      </c>
      <c r="AE2200" s="2">
        <v>5.12</v>
      </c>
      <c r="AF2200" s="4">
        <v>5.0001424999999999</v>
      </c>
      <c r="AG2200" s="2">
        <v>0.18</v>
      </c>
      <c r="AH2200" s="2">
        <v>646645.26</v>
      </c>
      <c r="AI2200" s="2">
        <v>0</v>
      </c>
      <c r="AJ2200" s="5">
        <v>44673</v>
      </c>
      <c r="AK2200" t="s">
        <v>12318</v>
      </c>
      <c r="AL2200" s="2">
        <v>5.05</v>
      </c>
      <c r="AM2200" s="2">
        <v>0</v>
      </c>
      <c r="AN2200" s="2">
        <v>0</v>
      </c>
      <c r="AO2200" t="s">
        <v>44</v>
      </c>
      <c r="AP2200" t="s">
        <v>44</v>
      </c>
      <c r="AQ2200" t="s">
        <v>43</v>
      </c>
    </row>
    <row r="2201" spans="1:43" x14ac:dyDescent="0.2">
      <c r="A2201" t="s">
        <v>12317</v>
      </c>
      <c r="B2201" t="s">
        <v>45</v>
      </c>
      <c r="C2201" t="s">
        <v>11005</v>
      </c>
      <c r="D2201" t="s">
        <v>11009</v>
      </c>
      <c r="E2201" t="s">
        <v>11010</v>
      </c>
      <c r="F2201" t="s">
        <v>44</v>
      </c>
      <c r="G2201" s="1">
        <v>-10830.4</v>
      </c>
      <c r="H2201" s="2">
        <v>-10830.4</v>
      </c>
      <c r="I2201" s="2">
        <v>-10830.4</v>
      </c>
      <c r="J2201" s="2">
        <v>0</v>
      </c>
      <c r="K2201" s="2"/>
      <c r="L2201" s="2">
        <v>-10830.4</v>
      </c>
      <c r="M2201" s="3"/>
      <c r="N2201" s="4">
        <v>-2.4640000000000001E-5</v>
      </c>
      <c r="O2201" s="5" t="s">
        <v>44</v>
      </c>
      <c r="P2201" s="5">
        <v>73051</v>
      </c>
      <c r="Q2201" s="1">
        <v>0</v>
      </c>
      <c r="R2201" s="2">
        <v>0.08</v>
      </c>
      <c r="S2201" s="6"/>
      <c r="T2201" t="s">
        <v>45</v>
      </c>
      <c r="U2201" t="s">
        <v>44</v>
      </c>
      <c r="V2201" t="s">
        <v>44</v>
      </c>
      <c r="W2201" t="s">
        <v>43</v>
      </c>
      <c r="X2201" t="s">
        <v>44</v>
      </c>
      <c r="Y2201" t="s">
        <v>44</v>
      </c>
      <c r="Z2201" t="s">
        <v>44</v>
      </c>
      <c r="AA2201" t="s">
        <v>44</v>
      </c>
      <c r="AB2201" t="s">
        <v>44</v>
      </c>
      <c r="AC2201" s="4">
        <v>5.1163389600000002</v>
      </c>
      <c r="AD2201" s="4">
        <v>5.0001424999999999</v>
      </c>
      <c r="AE2201" s="2">
        <v>5.12</v>
      </c>
      <c r="AF2201" s="4">
        <v>5.0001424999999999</v>
      </c>
      <c r="AG2201" s="2">
        <v>0</v>
      </c>
      <c r="AH2201" s="2">
        <v>-10830.4</v>
      </c>
      <c r="AI2201" s="2">
        <v>0</v>
      </c>
      <c r="AJ2201" s="5">
        <v>44673</v>
      </c>
      <c r="AK2201" t="s">
        <v>12318</v>
      </c>
      <c r="AL2201" s="2">
        <v>5.05</v>
      </c>
      <c r="AM2201" s="2">
        <v>0</v>
      </c>
      <c r="AN2201" s="2">
        <v>0</v>
      </c>
      <c r="AO2201" t="s">
        <v>44</v>
      </c>
      <c r="AP2201" t="s">
        <v>44</v>
      </c>
      <c r="AQ2201" t="s">
        <v>44</v>
      </c>
    </row>
    <row r="2202" spans="1:43" x14ac:dyDescent="0.2">
      <c r="A2202" t="s">
        <v>12317</v>
      </c>
      <c r="B2202" t="s">
        <v>45</v>
      </c>
      <c r="C2202" t="s">
        <v>11005</v>
      </c>
      <c r="D2202" t="s">
        <v>11011</v>
      </c>
      <c r="E2202" t="s">
        <v>11012</v>
      </c>
      <c r="F2202" t="s">
        <v>44</v>
      </c>
      <c r="G2202" s="1">
        <v>2000.48</v>
      </c>
      <c r="H2202" s="2">
        <v>2000.48</v>
      </c>
      <c r="I2202" s="2">
        <v>2000.48</v>
      </c>
      <c r="J2202" s="2">
        <v>0</v>
      </c>
      <c r="K2202" s="2"/>
      <c r="L2202" s="2">
        <v>2000.48</v>
      </c>
      <c r="M2202" s="3"/>
      <c r="N2202" s="4">
        <v>4.5499999999999996E-6</v>
      </c>
      <c r="O2202" s="5" t="s">
        <v>44</v>
      </c>
      <c r="P2202" s="5">
        <v>73051</v>
      </c>
      <c r="Q2202" s="1">
        <v>0</v>
      </c>
      <c r="R2202" s="2">
        <v>0.08</v>
      </c>
      <c r="S2202" s="6"/>
      <c r="T2202" t="s">
        <v>45</v>
      </c>
      <c r="U2202" t="s">
        <v>44</v>
      </c>
      <c r="V2202" t="s">
        <v>44</v>
      </c>
      <c r="W2202" t="s">
        <v>43</v>
      </c>
      <c r="X2202" t="s">
        <v>44</v>
      </c>
      <c r="Y2202" t="s">
        <v>44</v>
      </c>
      <c r="Z2202" t="s">
        <v>44</v>
      </c>
      <c r="AA2202" t="s">
        <v>44</v>
      </c>
      <c r="AB2202" t="s">
        <v>44</v>
      </c>
      <c r="AC2202" s="4">
        <v>5.1163389600000002</v>
      </c>
      <c r="AD2202" s="4">
        <v>5.0001424999999999</v>
      </c>
      <c r="AE2202" s="2">
        <v>5.12</v>
      </c>
      <c r="AF2202" s="4">
        <v>5.0001424999999999</v>
      </c>
      <c r="AG2202" s="2">
        <v>0</v>
      </c>
      <c r="AH2202" s="2">
        <v>2000.48</v>
      </c>
      <c r="AI2202" s="2">
        <v>0</v>
      </c>
      <c r="AJ2202" s="5">
        <v>44673</v>
      </c>
      <c r="AK2202" t="s">
        <v>12318</v>
      </c>
      <c r="AL2202" s="2">
        <v>5.05</v>
      </c>
      <c r="AM2202" s="2">
        <v>0</v>
      </c>
      <c r="AN2202" s="2">
        <v>0</v>
      </c>
      <c r="AO2202" t="s">
        <v>44</v>
      </c>
      <c r="AP2202" t="s">
        <v>44</v>
      </c>
      <c r="AQ2202" t="s">
        <v>44</v>
      </c>
    </row>
    <row r="2203" spans="1:43" x14ac:dyDescent="0.2">
      <c r="A2203" t="s">
        <v>12317</v>
      </c>
      <c r="B2203" t="s">
        <v>45</v>
      </c>
      <c r="C2203" t="s">
        <v>11005</v>
      </c>
      <c r="D2203" t="s">
        <v>11149</v>
      </c>
      <c r="E2203" t="s">
        <v>11150</v>
      </c>
      <c r="F2203" t="s">
        <v>44</v>
      </c>
      <c r="G2203" s="1">
        <v>734215.2</v>
      </c>
      <c r="H2203" s="2">
        <v>734215.2</v>
      </c>
      <c r="I2203" s="2">
        <v>734215.2</v>
      </c>
      <c r="J2203" s="2">
        <v>0</v>
      </c>
      <c r="K2203" s="2"/>
      <c r="L2203" s="2">
        <v>734215.2</v>
      </c>
      <c r="M2203" s="3"/>
      <c r="N2203" s="4">
        <v>1.6704199999999999E-3</v>
      </c>
      <c r="O2203" s="5" t="s">
        <v>44</v>
      </c>
      <c r="P2203" s="5">
        <v>73051</v>
      </c>
      <c r="Q2203" s="1">
        <v>0</v>
      </c>
      <c r="R2203" s="2">
        <v>0.08</v>
      </c>
      <c r="S2203" s="6"/>
      <c r="T2203" t="s">
        <v>45</v>
      </c>
      <c r="U2203" t="s">
        <v>44</v>
      </c>
      <c r="V2203" t="s">
        <v>44</v>
      </c>
      <c r="W2203" t="s">
        <v>43</v>
      </c>
      <c r="X2203" t="s">
        <v>44</v>
      </c>
      <c r="Y2203" t="s">
        <v>44</v>
      </c>
      <c r="Z2203" t="s">
        <v>44</v>
      </c>
      <c r="AA2203" t="s">
        <v>44</v>
      </c>
      <c r="AB2203" t="s">
        <v>44</v>
      </c>
      <c r="AC2203" s="4">
        <v>5.1163389600000002</v>
      </c>
      <c r="AD2203" s="4">
        <v>5.0001424999999999</v>
      </c>
      <c r="AE2203" s="2">
        <v>5.12</v>
      </c>
      <c r="AF2203" s="4">
        <v>5.0001424999999999</v>
      </c>
      <c r="AG2203" s="2">
        <v>0.2</v>
      </c>
      <c r="AH2203" s="2">
        <v>734215.2</v>
      </c>
      <c r="AI2203" s="2">
        <v>0</v>
      </c>
      <c r="AJ2203" s="5">
        <v>44673</v>
      </c>
      <c r="AK2203" t="s">
        <v>12318</v>
      </c>
      <c r="AL2203" s="2">
        <v>5.05</v>
      </c>
      <c r="AM2203" s="2">
        <v>0</v>
      </c>
      <c r="AN2203" s="2">
        <v>0</v>
      </c>
      <c r="AO2203" t="s">
        <v>44</v>
      </c>
      <c r="AP2203" t="s">
        <v>44</v>
      </c>
      <c r="AQ2203" t="s">
        <v>44</v>
      </c>
    </row>
    <row r="2204" spans="1:43" x14ac:dyDescent="0.2">
      <c r="A2204" t="s">
        <v>12317</v>
      </c>
      <c r="B2204" t="s">
        <v>11024</v>
      </c>
      <c r="C2204" t="s">
        <v>57</v>
      </c>
      <c r="D2204" t="s">
        <v>12319</v>
      </c>
      <c r="E2204" t="s">
        <v>12319</v>
      </c>
      <c r="F2204" t="s">
        <v>12319</v>
      </c>
      <c r="G2204" s="1">
        <v>1081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3">
        <v>10336.4</v>
      </c>
      <c r="N2204" s="4">
        <v>0</v>
      </c>
      <c r="O2204" s="5" t="s">
        <v>44</v>
      </c>
      <c r="P2204" s="5">
        <v>44687</v>
      </c>
      <c r="Q2204" s="1"/>
      <c r="R2204" s="2"/>
      <c r="S2204" s="6"/>
      <c r="T2204" t="s">
        <v>11026</v>
      </c>
      <c r="U2204" t="s">
        <v>11025</v>
      </c>
      <c r="V2204" t="s">
        <v>11027</v>
      </c>
      <c r="W2204" t="s">
        <v>43</v>
      </c>
      <c r="X2204" t="s">
        <v>44</v>
      </c>
      <c r="Y2204" t="s">
        <v>44</v>
      </c>
      <c r="Z2204" t="s">
        <v>44</v>
      </c>
      <c r="AA2204" t="s">
        <v>44</v>
      </c>
      <c r="AB2204" t="s">
        <v>44</v>
      </c>
      <c r="AC2204" s="4"/>
      <c r="AD2204" s="4"/>
      <c r="AE2204" s="2">
        <v>0</v>
      </c>
      <c r="AF2204" s="4">
        <v>0</v>
      </c>
      <c r="AG2204" s="2">
        <v>0</v>
      </c>
      <c r="AH2204" s="2">
        <v>111736484</v>
      </c>
      <c r="AI2204" s="2">
        <v>0.25</v>
      </c>
      <c r="AJ2204" s="5">
        <v>44673</v>
      </c>
      <c r="AK2204" t="s">
        <v>12318</v>
      </c>
      <c r="AL2204" s="2">
        <v>0</v>
      </c>
      <c r="AM2204" s="2">
        <v>0</v>
      </c>
      <c r="AN2204" s="2">
        <v>0</v>
      </c>
      <c r="AO2204" t="s">
        <v>44</v>
      </c>
      <c r="AP2204" t="s">
        <v>12320</v>
      </c>
      <c r="AQ2204" t="s">
        <v>12319</v>
      </c>
    </row>
    <row r="2205" spans="1:43" x14ac:dyDescent="0.2">
      <c r="A2205" t="s">
        <v>12317</v>
      </c>
      <c r="B2205" t="s">
        <v>11037</v>
      </c>
      <c r="C2205" t="s">
        <v>11050</v>
      </c>
      <c r="D2205" t="s">
        <v>12321</v>
      </c>
      <c r="E2205" t="s">
        <v>12322</v>
      </c>
      <c r="F2205" t="s">
        <v>12321</v>
      </c>
      <c r="G2205" s="1">
        <v>600000</v>
      </c>
      <c r="H2205" s="2">
        <v>60000000</v>
      </c>
      <c r="I2205" s="2">
        <v>62106180</v>
      </c>
      <c r="J2205" s="2">
        <v>0</v>
      </c>
      <c r="K2205" s="2">
        <v>0</v>
      </c>
      <c r="L2205" s="2">
        <v>62106180</v>
      </c>
      <c r="M2205" s="3">
        <v>103.5103</v>
      </c>
      <c r="N2205" s="4">
        <v>0.14129824999999999</v>
      </c>
      <c r="O2205" s="5" t="s">
        <v>44</v>
      </c>
      <c r="P2205" s="5" t="s">
        <v>44</v>
      </c>
      <c r="Q2205" s="1"/>
      <c r="R2205" s="2"/>
      <c r="S2205" s="6"/>
      <c r="T2205" t="s">
        <v>10902</v>
      </c>
      <c r="U2205" t="s">
        <v>10902</v>
      </c>
      <c r="V2205" t="s">
        <v>11051</v>
      </c>
      <c r="W2205" t="s">
        <v>43</v>
      </c>
      <c r="X2205" t="s">
        <v>11050</v>
      </c>
      <c r="Y2205" t="s">
        <v>44</v>
      </c>
      <c r="Z2205" t="s">
        <v>11050</v>
      </c>
      <c r="AA2205" t="s">
        <v>11035</v>
      </c>
      <c r="AB2205" t="s">
        <v>44</v>
      </c>
      <c r="AC2205" s="4"/>
      <c r="AD2205" s="4"/>
      <c r="AE2205" s="2">
        <v>0</v>
      </c>
      <c r="AF2205" s="4">
        <v>0</v>
      </c>
      <c r="AG2205" s="2">
        <v>17</v>
      </c>
      <c r="AH2205" s="2">
        <v>62106180</v>
      </c>
      <c r="AI2205" s="2">
        <v>0.14000000000000001</v>
      </c>
      <c r="AJ2205" s="5">
        <v>44673</v>
      </c>
      <c r="AK2205" t="s">
        <v>12318</v>
      </c>
      <c r="AL2205" s="2">
        <v>0</v>
      </c>
      <c r="AM2205" s="2">
        <v>0</v>
      </c>
      <c r="AN2205" s="2">
        <v>0</v>
      </c>
      <c r="AO2205" t="s">
        <v>11053</v>
      </c>
      <c r="AP2205" t="s">
        <v>44</v>
      </c>
      <c r="AQ2205" t="s">
        <v>12322</v>
      </c>
    </row>
    <row r="2206" spans="1:43" x14ac:dyDescent="0.2">
      <c r="A2206" t="s">
        <v>12317</v>
      </c>
      <c r="B2206" t="s">
        <v>11037</v>
      </c>
      <c r="C2206" t="s">
        <v>11195</v>
      </c>
      <c r="D2206" t="s">
        <v>12323</v>
      </c>
      <c r="E2206" t="s">
        <v>5348</v>
      </c>
      <c r="F2206" t="s">
        <v>12323</v>
      </c>
      <c r="G2206" s="1">
        <v>736145</v>
      </c>
      <c r="H2206" s="2">
        <v>5449433.8600000003</v>
      </c>
      <c r="I2206" s="2">
        <v>5167737.9000000004</v>
      </c>
      <c r="J2206" s="2">
        <v>0</v>
      </c>
      <c r="K2206" s="2">
        <v>0</v>
      </c>
      <c r="L2206" s="2">
        <v>5167737.9000000004</v>
      </c>
      <c r="M2206" s="3">
        <v>702</v>
      </c>
      <c r="N2206" s="4">
        <v>1.1757159999999999E-2</v>
      </c>
      <c r="O2206" s="5" t="s">
        <v>44</v>
      </c>
      <c r="P2206" s="5" t="s">
        <v>44</v>
      </c>
      <c r="Q2206" s="1"/>
      <c r="R2206" s="2"/>
      <c r="S2206" s="6"/>
      <c r="T2206" t="s">
        <v>10902</v>
      </c>
      <c r="U2206" t="s">
        <v>10902</v>
      </c>
      <c r="V2206" t="s">
        <v>10902</v>
      </c>
      <c r="W2206" t="s">
        <v>43</v>
      </c>
      <c r="X2206" t="s">
        <v>11197</v>
      </c>
      <c r="Y2206" t="s">
        <v>11198</v>
      </c>
      <c r="Z2206" t="s">
        <v>11195</v>
      </c>
      <c r="AA2206" t="s">
        <v>44</v>
      </c>
      <c r="AB2206" t="s">
        <v>44</v>
      </c>
      <c r="AC2206" s="4"/>
      <c r="AD2206" s="4"/>
      <c r="AE2206" s="2">
        <v>0</v>
      </c>
      <c r="AF2206" s="4">
        <v>0</v>
      </c>
      <c r="AG2206" s="2">
        <v>1.41</v>
      </c>
      <c r="AH2206" s="2">
        <v>5167737.9000000004</v>
      </c>
      <c r="AI2206" s="2">
        <v>0.01</v>
      </c>
      <c r="AJ2206" s="5">
        <v>44673</v>
      </c>
      <c r="AK2206" t="s">
        <v>12318</v>
      </c>
      <c r="AL2206" s="2">
        <v>0</v>
      </c>
      <c r="AM2206" s="2">
        <v>0</v>
      </c>
      <c r="AN2206" s="2">
        <v>0</v>
      </c>
      <c r="AO2206" t="s">
        <v>44</v>
      </c>
      <c r="AP2206" t="s">
        <v>12324</v>
      </c>
      <c r="AQ2206" t="s">
        <v>5348</v>
      </c>
    </row>
    <row r="2207" spans="1:43" x14ac:dyDescent="0.2">
      <c r="A2207" t="s">
        <v>12317</v>
      </c>
      <c r="B2207" t="s">
        <v>11037</v>
      </c>
      <c r="C2207" t="s">
        <v>11195</v>
      </c>
      <c r="D2207" t="s">
        <v>12325</v>
      </c>
      <c r="E2207" t="s">
        <v>5477</v>
      </c>
      <c r="F2207" t="s">
        <v>12325</v>
      </c>
      <c r="G2207" s="1">
        <v>292069</v>
      </c>
      <c r="H2207" s="2">
        <v>2746827.93</v>
      </c>
      <c r="I2207" s="2">
        <v>3119296.92</v>
      </c>
      <c r="J2207" s="2">
        <v>0</v>
      </c>
      <c r="K2207" s="2">
        <v>0</v>
      </c>
      <c r="L2207" s="2">
        <v>3119296.92</v>
      </c>
      <c r="M2207" s="3">
        <v>1068</v>
      </c>
      <c r="N2207" s="4">
        <v>7.0967399999999998E-3</v>
      </c>
      <c r="O2207" s="5" t="s">
        <v>44</v>
      </c>
      <c r="P2207" s="5" t="s">
        <v>44</v>
      </c>
      <c r="Q2207" s="1"/>
      <c r="R2207" s="2"/>
      <c r="S2207" s="6"/>
      <c r="T2207" t="s">
        <v>10902</v>
      </c>
      <c r="U2207" t="s">
        <v>10902</v>
      </c>
      <c r="V2207" t="s">
        <v>10902</v>
      </c>
      <c r="W2207" t="s">
        <v>43</v>
      </c>
      <c r="X2207" t="s">
        <v>11197</v>
      </c>
      <c r="Y2207" t="s">
        <v>11198</v>
      </c>
      <c r="Z2207" t="s">
        <v>11195</v>
      </c>
      <c r="AA2207" t="s">
        <v>44</v>
      </c>
      <c r="AB2207" t="s">
        <v>44</v>
      </c>
      <c r="AC2207" s="4"/>
      <c r="AD2207" s="4"/>
      <c r="AE2207" s="2">
        <v>0</v>
      </c>
      <c r="AF2207" s="4">
        <v>0</v>
      </c>
      <c r="AG2207" s="2">
        <v>0.85</v>
      </c>
      <c r="AH2207" s="2">
        <v>3119296.92</v>
      </c>
      <c r="AI2207" s="2">
        <v>0.01</v>
      </c>
      <c r="AJ2207" s="5">
        <v>44673</v>
      </c>
      <c r="AK2207" t="s">
        <v>12318</v>
      </c>
      <c r="AL2207" s="2">
        <v>0</v>
      </c>
      <c r="AM2207" s="2">
        <v>0</v>
      </c>
      <c r="AN2207" s="2">
        <v>0</v>
      </c>
      <c r="AO2207" t="s">
        <v>44</v>
      </c>
      <c r="AP2207" t="s">
        <v>12326</v>
      </c>
      <c r="AQ2207" t="s">
        <v>5477</v>
      </c>
    </row>
    <row r="2208" spans="1:43" x14ac:dyDescent="0.2">
      <c r="A2208" t="s">
        <v>12317</v>
      </c>
      <c r="B2208" t="s">
        <v>11037</v>
      </c>
      <c r="C2208" t="s">
        <v>11195</v>
      </c>
      <c r="D2208" t="s">
        <v>11196</v>
      </c>
      <c r="E2208" t="s">
        <v>5755</v>
      </c>
      <c r="F2208" t="s">
        <v>11196</v>
      </c>
      <c r="G2208" s="1">
        <v>683408</v>
      </c>
      <c r="H2208" s="2">
        <v>13533312.789999999</v>
      </c>
      <c r="I2208" s="2">
        <v>14747944.640000001</v>
      </c>
      <c r="J2208" s="2">
        <v>0</v>
      </c>
      <c r="K2208" s="2">
        <v>0</v>
      </c>
      <c r="L2208" s="2">
        <v>14747944.640000001</v>
      </c>
      <c r="M2208" s="3">
        <v>2158</v>
      </c>
      <c r="N2208" s="4">
        <v>3.3553159999999999E-2</v>
      </c>
      <c r="O2208" s="5" t="s">
        <v>44</v>
      </c>
      <c r="P2208" s="5" t="s">
        <v>44</v>
      </c>
      <c r="Q2208" s="1"/>
      <c r="R2208" s="2"/>
      <c r="S2208" s="6"/>
      <c r="T2208" t="s">
        <v>10902</v>
      </c>
      <c r="U2208" t="s">
        <v>10902</v>
      </c>
      <c r="V2208" t="s">
        <v>10902</v>
      </c>
      <c r="W2208" t="s">
        <v>43</v>
      </c>
      <c r="X2208" t="s">
        <v>11197</v>
      </c>
      <c r="Y2208" t="s">
        <v>11198</v>
      </c>
      <c r="Z2208" t="s">
        <v>11195</v>
      </c>
      <c r="AA2208" t="s">
        <v>44</v>
      </c>
      <c r="AB2208" t="s">
        <v>44</v>
      </c>
      <c r="AC2208" s="4"/>
      <c r="AD2208" s="4"/>
      <c r="AE2208" s="2">
        <v>0</v>
      </c>
      <c r="AF2208" s="4">
        <v>0</v>
      </c>
      <c r="AG2208" s="2">
        <v>4.04</v>
      </c>
      <c r="AH2208" s="2">
        <v>14747944.640000001</v>
      </c>
      <c r="AI2208" s="2">
        <v>0.03</v>
      </c>
      <c r="AJ2208" s="5">
        <v>44673</v>
      </c>
      <c r="AK2208" t="s">
        <v>12318</v>
      </c>
      <c r="AL2208" s="2">
        <v>0</v>
      </c>
      <c r="AM2208" s="2">
        <v>0</v>
      </c>
      <c r="AN2208" s="2">
        <v>0</v>
      </c>
      <c r="AO2208" t="s">
        <v>44</v>
      </c>
      <c r="AP2208" t="s">
        <v>11199</v>
      </c>
      <c r="AQ2208" t="s">
        <v>5755</v>
      </c>
    </row>
    <row r="2209" spans="1:43" x14ac:dyDescent="0.2">
      <c r="A2209" t="s">
        <v>12317</v>
      </c>
      <c r="B2209" t="s">
        <v>11037</v>
      </c>
      <c r="C2209" t="s">
        <v>11195</v>
      </c>
      <c r="D2209" t="s">
        <v>12337</v>
      </c>
      <c r="E2209" t="s">
        <v>12338</v>
      </c>
      <c r="F2209" t="s">
        <v>12339</v>
      </c>
      <c r="G2209" s="1">
        <v>1115207</v>
      </c>
      <c r="H2209" s="2">
        <v>3738578.65</v>
      </c>
      <c r="I2209" s="2">
        <v>3702487.24</v>
      </c>
      <c r="J2209" s="2">
        <v>0</v>
      </c>
      <c r="K2209" s="2">
        <v>0</v>
      </c>
      <c r="L2209" s="2">
        <v>3702487.24</v>
      </c>
      <c r="M2209" s="3">
        <v>332</v>
      </c>
      <c r="N2209" s="4">
        <v>8.4235600000000001E-3</v>
      </c>
      <c r="O2209" s="5" t="s">
        <v>44</v>
      </c>
      <c r="P2209" s="5" t="s">
        <v>44</v>
      </c>
      <c r="Q2209" s="1"/>
      <c r="R2209" s="2"/>
      <c r="S2209" s="6"/>
      <c r="T2209" t="s">
        <v>10902</v>
      </c>
      <c r="U2209" t="s">
        <v>10902</v>
      </c>
      <c r="V2209" t="s">
        <v>10902</v>
      </c>
      <c r="W2209" t="s">
        <v>43</v>
      </c>
      <c r="X2209" t="s">
        <v>11197</v>
      </c>
      <c r="Y2209" t="s">
        <v>11198</v>
      </c>
      <c r="Z2209" t="s">
        <v>11195</v>
      </c>
      <c r="AA2209" t="s">
        <v>44</v>
      </c>
      <c r="AB2209" t="s">
        <v>44</v>
      </c>
      <c r="AC2209" s="4"/>
      <c r="AD2209" s="4"/>
      <c r="AE2209" s="2">
        <v>0</v>
      </c>
      <c r="AF2209" s="4">
        <v>0</v>
      </c>
      <c r="AG2209" s="2">
        <v>1.01</v>
      </c>
      <c r="AH2209" s="2">
        <v>3702487.24</v>
      </c>
      <c r="AI2209" s="2">
        <v>0.01</v>
      </c>
      <c r="AJ2209" s="5">
        <v>44673</v>
      </c>
      <c r="AK2209" t="s">
        <v>12318</v>
      </c>
      <c r="AL2209" s="2">
        <v>0</v>
      </c>
      <c r="AM2209" s="2">
        <v>0</v>
      </c>
      <c r="AN2209" s="2">
        <v>0</v>
      </c>
      <c r="AO2209" t="s">
        <v>44</v>
      </c>
      <c r="AP2209" t="s">
        <v>12340</v>
      </c>
      <c r="AQ2209" t="s">
        <v>12338</v>
      </c>
    </row>
    <row r="2210" spans="1:43" x14ac:dyDescent="0.2">
      <c r="A2210" t="s">
        <v>12317</v>
      </c>
      <c r="B2210" t="s">
        <v>11037</v>
      </c>
      <c r="C2210" t="s">
        <v>11195</v>
      </c>
      <c r="D2210" t="s">
        <v>11200</v>
      </c>
      <c r="E2210" t="s">
        <v>5277</v>
      </c>
      <c r="F2210" t="s">
        <v>11200</v>
      </c>
      <c r="G2210" s="1">
        <v>354963</v>
      </c>
      <c r="H2210" s="2">
        <v>4307156.32</v>
      </c>
      <c r="I2210" s="2">
        <v>4426388.6100000003</v>
      </c>
      <c r="J2210" s="2">
        <v>0</v>
      </c>
      <c r="K2210" s="2">
        <v>0</v>
      </c>
      <c r="L2210" s="2">
        <v>4426388.6100000003</v>
      </c>
      <c r="M2210" s="3">
        <v>1247</v>
      </c>
      <c r="N2210" s="4">
        <v>1.007051E-2</v>
      </c>
      <c r="O2210" s="5" t="s">
        <v>44</v>
      </c>
      <c r="P2210" s="5" t="s">
        <v>44</v>
      </c>
      <c r="Q2210" s="1"/>
      <c r="R2210" s="2"/>
      <c r="S2210" s="6"/>
      <c r="T2210" t="s">
        <v>10902</v>
      </c>
      <c r="U2210" t="s">
        <v>10902</v>
      </c>
      <c r="V2210" t="s">
        <v>10902</v>
      </c>
      <c r="W2210" t="s">
        <v>43</v>
      </c>
      <c r="X2210" t="s">
        <v>11197</v>
      </c>
      <c r="Y2210" t="s">
        <v>11198</v>
      </c>
      <c r="Z2210" t="s">
        <v>11195</v>
      </c>
      <c r="AA2210" t="s">
        <v>44</v>
      </c>
      <c r="AB2210" t="s">
        <v>44</v>
      </c>
      <c r="AC2210" s="4"/>
      <c r="AD2210" s="4"/>
      <c r="AE2210" s="2">
        <v>0</v>
      </c>
      <c r="AF2210" s="4">
        <v>0</v>
      </c>
      <c r="AG2210" s="2">
        <v>1.21</v>
      </c>
      <c r="AH2210" s="2">
        <v>4426388.6100000003</v>
      </c>
      <c r="AI2210" s="2">
        <v>0.01</v>
      </c>
      <c r="AJ2210" s="5">
        <v>44673</v>
      </c>
      <c r="AK2210" t="s">
        <v>12318</v>
      </c>
      <c r="AL2210" s="2">
        <v>0</v>
      </c>
      <c r="AM2210" s="2">
        <v>0</v>
      </c>
      <c r="AN2210" s="2">
        <v>0</v>
      </c>
      <c r="AO2210" t="s">
        <v>44</v>
      </c>
      <c r="AP2210" t="s">
        <v>11201</v>
      </c>
      <c r="AQ2210" t="s">
        <v>5277</v>
      </c>
    </row>
    <row r="2211" spans="1:43" x14ac:dyDescent="0.2">
      <c r="A2211" t="s">
        <v>12317</v>
      </c>
      <c r="B2211" t="s">
        <v>11037</v>
      </c>
      <c r="C2211" t="s">
        <v>11195</v>
      </c>
      <c r="D2211" t="s">
        <v>12327</v>
      </c>
      <c r="E2211" t="s">
        <v>3174</v>
      </c>
      <c r="F2211" t="s">
        <v>12327</v>
      </c>
      <c r="G2211" s="1">
        <v>862991</v>
      </c>
      <c r="H2211" s="2">
        <v>5220117.54</v>
      </c>
      <c r="I2211" s="2">
        <v>2977318.95</v>
      </c>
      <c r="J2211" s="2">
        <v>0</v>
      </c>
      <c r="K2211" s="2">
        <v>0</v>
      </c>
      <c r="L2211" s="2">
        <v>2977318.95</v>
      </c>
      <c r="M2211" s="3">
        <v>345</v>
      </c>
      <c r="N2211" s="4">
        <v>6.7737199999999996E-3</v>
      </c>
      <c r="O2211" s="5" t="s">
        <v>44</v>
      </c>
      <c r="P2211" s="5" t="s">
        <v>44</v>
      </c>
      <c r="Q2211" s="1"/>
      <c r="R2211" s="2"/>
      <c r="S2211" s="6"/>
      <c r="T2211" t="s">
        <v>10902</v>
      </c>
      <c r="U2211" t="s">
        <v>10902</v>
      </c>
      <c r="V2211" t="s">
        <v>10902</v>
      </c>
      <c r="W2211" t="s">
        <v>43</v>
      </c>
      <c r="X2211" t="s">
        <v>11197</v>
      </c>
      <c r="Y2211" t="s">
        <v>11198</v>
      </c>
      <c r="Z2211" t="s">
        <v>11195</v>
      </c>
      <c r="AA2211" t="s">
        <v>44</v>
      </c>
      <c r="AB2211" t="s">
        <v>44</v>
      </c>
      <c r="AC2211" s="4"/>
      <c r="AD2211" s="4"/>
      <c r="AE2211" s="2">
        <v>0</v>
      </c>
      <c r="AF2211" s="4">
        <v>0</v>
      </c>
      <c r="AG2211" s="2">
        <v>0.82</v>
      </c>
      <c r="AH2211" s="2">
        <v>2977318.95</v>
      </c>
      <c r="AI2211" s="2">
        <v>0.01</v>
      </c>
      <c r="AJ2211" s="5">
        <v>44673</v>
      </c>
      <c r="AK2211" t="s">
        <v>12318</v>
      </c>
      <c r="AL2211" s="2">
        <v>0</v>
      </c>
      <c r="AM2211" s="2">
        <v>0</v>
      </c>
      <c r="AN2211" s="2">
        <v>0</v>
      </c>
      <c r="AO2211" t="s">
        <v>44</v>
      </c>
      <c r="AP2211" t="s">
        <v>12328</v>
      </c>
      <c r="AQ2211" t="s">
        <v>3174</v>
      </c>
    </row>
    <row r="2212" spans="1:43" x14ac:dyDescent="0.2">
      <c r="A2212" t="s">
        <v>12317</v>
      </c>
      <c r="B2212" t="s">
        <v>11037</v>
      </c>
      <c r="C2212" t="s">
        <v>11195</v>
      </c>
      <c r="D2212" t="s">
        <v>5988</v>
      </c>
      <c r="E2212" t="s">
        <v>3145</v>
      </c>
      <c r="F2212" t="s">
        <v>5988</v>
      </c>
      <c r="G2212" s="1">
        <v>988573</v>
      </c>
      <c r="H2212" s="2">
        <v>13713687.33</v>
      </c>
      <c r="I2212" s="2">
        <v>13840022</v>
      </c>
      <c r="J2212" s="2">
        <v>0</v>
      </c>
      <c r="K2212" s="2">
        <v>0</v>
      </c>
      <c r="L2212" s="2">
        <v>13840022</v>
      </c>
      <c r="M2212" s="3">
        <v>1400</v>
      </c>
      <c r="N2212" s="4">
        <v>3.1487540000000001E-2</v>
      </c>
      <c r="O2212" s="5" t="s">
        <v>44</v>
      </c>
      <c r="P2212" s="5" t="s">
        <v>44</v>
      </c>
      <c r="Q2212" s="1"/>
      <c r="R2212" s="2"/>
      <c r="S2212" s="6"/>
      <c r="T2212" t="s">
        <v>10902</v>
      </c>
      <c r="U2212" t="s">
        <v>10902</v>
      </c>
      <c r="V2212" t="s">
        <v>10902</v>
      </c>
      <c r="W2212" t="s">
        <v>43</v>
      </c>
      <c r="X2212" t="s">
        <v>11197</v>
      </c>
      <c r="Y2212" t="s">
        <v>11198</v>
      </c>
      <c r="Z2212" t="s">
        <v>11195</v>
      </c>
      <c r="AA2212" t="s">
        <v>44</v>
      </c>
      <c r="AB2212" t="s">
        <v>44</v>
      </c>
      <c r="AC2212" s="4"/>
      <c r="AD2212" s="4"/>
      <c r="AE2212" s="2">
        <v>0</v>
      </c>
      <c r="AF2212" s="4">
        <v>0</v>
      </c>
      <c r="AG2212" s="2">
        <v>3.79</v>
      </c>
      <c r="AH2212" s="2">
        <v>13840022</v>
      </c>
      <c r="AI2212" s="2">
        <v>0.03</v>
      </c>
      <c r="AJ2212" s="5">
        <v>44673</v>
      </c>
      <c r="AK2212" t="s">
        <v>12318</v>
      </c>
      <c r="AL2212" s="2">
        <v>0</v>
      </c>
      <c r="AM2212" s="2">
        <v>0</v>
      </c>
      <c r="AN2212" s="2">
        <v>0</v>
      </c>
      <c r="AO2212" t="s">
        <v>44</v>
      </c>
      <c r="AP2212" t="s">
        <v>11202</v>
      </c>
      <c r="AQ2212" t="s">
        <v>3145</v>
      </c>
    </row>
    <row r="2213" spans="1:43" x14ac:dyDescent="0.2">
      <c r="A2213" t="s">
        <v>12317</v>
      </c>
      <c r="B2213" t="s">
        <v>11037</v>
      </c>
      <c r="C2213" t="s">
        <v>11195</v>
      </c>
      <c r="D2213" t="s">
        <v>6332</v>
      </c>
      <c r="E2213" t="s">
        <v>3152</v>
      </c>
      <c r="F2213" t="s">
        <v>6332</v>
      </c>
      <c r="G2213" s="1">
        <v>340272</v>
      </c>
      <c r="H2213" s="2">
        <v>11280818.619999999</v>
      </c>
      <c r="I2213" s="2">
        <v>12277013.76</v>
      </c>
      <c r="J2213" s="2">
        <v>0</v>
      </c>
      <c r="K2213" s="2">
        <v>0</v>
      </c>
      <c r="L2213" s="2">
        <v>12277013.76</v>
      </c>
      <c r="M2213" s="3">
        <v>3608</v>
      </c>
      <c r="N2213" s="4">
        <v>2.793153E-2</v>
      </c>
      <c r="O2213" s="5" t="s">
        <v>44</v>
      </c>
      <c r="P2213" s="5" t="s">
        <v>44</v>
      </c>
      <c r="Q2213" s="1"/>
      <c r="R2213" s="2"/>
      <c r="S2213" s="6"/>
      <c r="T2213" t="s">
        <v>10902</v>
      </c>
      <c r="U2213" t="s">
        <v>10902</v>
      </c>
      <c r="V2213" t="s">
        <v>10902</v>
      </c>
      <c r="W2213" t="s">
        <v>43</v>
      </c>
      <c r="X2213" t="s">
        <v>11197</v>
      </c>
      <c r="Y2213" t="s">
        <v>11198</v>
      </c>
      <c r="Z2213" t="s">
        <v>11195</v>
      </c>
      <c r="AA2213" t="s">
        <v>44</v>
      </c>
      <c r="AB2213" t="s">
        <v>44</v>
      </c>
      <c r="AC2213" s="4"/>
      <c r="AD2213" s="4"/>
      <c r="AE2213" s="2">
        <v>0</v>
      </c>
      <c r="AF2213" s="4">
        <v>0</v>
      </c>
      <c r="AG2213" s="2">
        <v>3.36</v>
      </c>
      <c r="AH2213" s="2">
        <v>12277013.76</v>
      </c>
      <c r="AI2213" s="2">
        <v>0.03</v>
      </c>
      <c r="AJ2213" s="5">
        <v>44673</v>
      </c>
      <c r="AK2213" t="s">
        <v>12318</v>
      </c>
      <c r="AL2213" s="2">
        <v>0</v>
      </c>
      <c r="AM2213" s="2">
        <v>0</v>
      </c>
      <c r="AN2213" s="2">
        <v>0</v>
      </c>
      <c r="AO2213" t="s">
        <v>44</v>
      </c>
      <c r="AP2213" t="s">
        <v>11203</v>
      </c>
      <c r="AQ2213" t="s">
        <v>3152</v>
      </c>
    </row>
    <row r="2214" spans="1:43" x14ac:dyDescent="0.2">
      <c r="A2214" t="s">
        <v>12317</v>
      </c>
      <c r="B2214" t="s">
        <v>11037</v>
      </c>
      <c r="C2214" t="s">
        <v>11195</v>
      </c>
      <c r="D2214" t="s">
        <v>11710</v>
      </c>
      <c r="E2214" t="s">
        <v>5671</v>
      </c>
      <c r="F2214" t="s">
        <v>11710</v>
      </c>
      <c r="G2214" s="1">
        <v>570991</v>
      </c>
      <c r="H2214" s="2">
        <v>6253317.3300000001</v>
      </c>
      <c r="I2214" s="2">
        <v>7023189.2999999998</v>
      </c>
      <c r="J2214" s="2">
        <v>0</v>
      </c>
      <c r="K2214" s="2">
        <v>0</v>
      </c>
      <c r="L2214" s="2">
        <v>7023189.2999999998</v>
      </c>
      <c r="M2214" s="3">
        <v>1230</v>
      </c>
      <c r="N2214" s="4">
        <v>1.5978510000000001E-2</v>
      </c>
      <c r="O2214" s="5" t="s">
        <v>44</v>
      </c>
      <c r="P2214" s="5" t="s">
        <v>44</v>
      </c>
      <c r="Q2214" s="1"/>
      <c r="R2214" s="2"/>
      <c r="S2214" s="6"/>
      <c r="T2214" t="s">
        <v>10902</v>
      </c>
      <c r="U2214" t="s">
        <v>10902</v>
      </c>
      <c r="V2214" t="s">
        <v>10902</v>
      </c>
      <c r="W2214" t="s">
        <v>43</v>
      </c>
      <c r="X2214" t="s">
        <v>11197</v>
      </c>
      <c r="Y2214" t="s">
        <v>11198</v>
      </c>
      <c r="Z2214" t="s">
        <v>11195</v>
      </c>
      <c r="AA2214" t="s">
        <v>44</v>
      </c>
      <c r="AB2214" t="s">
        <v>44</v>
      </c>
      <c r="AC2214" s="4"/>
      <c r="AD2214" s="4"/>
      <c r="AE2214" s="2">
        <v>0</v>
      </c>
      <c r="AF2214" s="4">
        <v>0</v>
      </c>
      <c r="AG2214" s="2">
        <v>1.92</v>
      </c>
      <c r="AH2214" s="2">
        <v>7023189.2999999998</v>
      </c>
      <c r="AI2214" s="2">
        <v>0.02</v>
      </c>
      <c r="AJ2214" s="5">
        <v>44673</v>
      </c>
      <c r="AK2214" t="s">
        <v>12318</v>
      </c>
      <c r="AL2214" s="2">
        <v>0</v>
      </c>
      <c r="AM2214" s="2">
        <v>0</v>
      </c>
      <c r="AN2214" s="2">
        <v>0</v>
      </c>
      <c r="AO2214" t="s">
        <v>44</v>
      </c>
      <c r="AP2214" t="s">
        <v>11711</v>
      </c>
      <c r="AQ2214" t="s">
        <v>5671</v>
      </c>
    </row>
    <row r="2215" spans="1:43" x14ac:dyDescent="0.2">
      <c r="A2215" t="s">
        <v>12317</v>
      </c>
      <c r="B2215" t="s">
        <v>11037</v>
      </c>
      <c r="C2215" t="s">
        <v>11195</v>
      </c>
      <c r="D2215" t="s">
        <v>11759</v>
      </c>
      <c r="E2215" t="s">
        <v>5719</v>
      </c>
      <c r="F2215" t="s">
        <v>11759</v>
      </c>
      <c r="G2215" s="1">
        <v>271185</v>
      </c>
      <c r="H2215" s="2">
        <v>4372947.8</v>
      </c>
      <c r="I2215" s="2">
        <v>5857596</v>
      </c>
      <c r="J2215" s="2">
        <v>0</v>
      </c>
      <c r="K2215" s="2">
        <v>0</v>
      </c>
      <c r="L2215" s="2">
        <v>5857596</v>
      </c>
      <c r="M2215" s="3">
        <v>2160</v>
      </c>
      <c r="N2215" s="4">
        <v>1.3326660000000001E-2</v>
      </c>
      <c r="O2215" s="5" t="s">
        <v>44</v>
      </c>
      <c r="P2215" s="5" t="s">
        <v>44</v>
      </c>
      <c r="Q2215" s="1"/>
      <c r="R2215" s="2"/>
      <c r="S2215" s="6"/>
      <c r="T2215" t="s">
        <v>10902</v>
      </c>
      <c r="U2215" t="s">
        <v>10902</v>
      </c>
      <c r="V2215" t="s">
        <v>10902</v>
      </c>
      <c r="W2215" t="s">
        <v>43</v>
      </c>
      <c r="X2215" t="s">
        <v>11197</v>
      </c>
      <c r="Y2215" t="s">
        <v>11198</v>
      </c>
      <c r="Z2215" t="s">
        <v>11195</v>
      </c>
      <c r="AA2215" t="s">
        <v>44</v>
      </c>
      <c r="AB2215" t="s">
        <v>44</v>
      </c>
      <c r="AC2215" s="4"/>
      <c r="AD2215" s="4"/>
      <c r="AE2215" s="2">
        <v>0</v>
      </c>
      <c r="AF2215" s="4">
        <v>0</v>
      </c>
      <c r="AG2215" s="2">
        <v>1.6</v>
      </c>
      <c r="AH2215" s="2">
        <v>5857596</v>
      </c>
      <c r="AI2215" s="2">
        <v>0.01</v>
      </c>
      <c r="AJ2215" s="5">
        <v>44673</v>
      </c>
      <c r="AK2215" t="s">
        <v>12318</v>
      </c>
      <c r="AL2215" s="2">
        <v>0</v>
      </c>
      <c r="AM2215" s="2">
        <v>0</v>
      </c>
      <c r="AN2215" s="2">
        <v>0</v>
      </c>
      <c r="AO2215" t="s">
        <v>44</v>
      </c>
      <c r="AP2215" t="s">
        <v>11760</v>
      </c>
      <c r="AQ2215" t="s">
        <v>5719</v>
      </c>
    </row>
    <row r="2216" spans="1:43" x14ac:dyDescent="0.2">
      <c r="A2216" t="s">
        <v>12317</v>
      </c>
      <c r="B2216" t="s">
        <v>11037</v>
      </c>
      <c r="C2216" t="s">
        <v>11195</v>
      </c>
      <c r="D2216" t="s">
        <v>6923</v>
      </c>
      <c r="E2216" t="s">
        <v>5809</v>
      </c>
      <c r="F2216" t="s">
        <v>6923</v>
      </c>
      <c r="G2216" s="1">
        <v>390271</v>
      </c>
      <c r="H2216" s="2">
        <v>2056135.83</v>
      </c>
      <c r="I2216" s="2">
        <v>1564986.71</v>
      </c>
      <c r="J2216" s="2">
        <v>0</v>
      </c>
      <c r="K2216" s="2">
        <v>0</v>
      </c>
      <c r="L2216" s="2">
        <v>1564986.71</v>
      </c>
      <c r="M2216" s="3">
        <v>401</v>
      </c>
      <c r="N2216" s="4">
        <v>3.5605099999999998E-3</v>
      </c>
      <c r="O2216" s="5" t="s">
        <v>44</v>
      </c>
      <c r="P2216" s="5" t="s">
        <v>44</v>
      </c>
      <c r="Q2216" s="1"/>
      <c r="R2216" s="2"/>
      <c r="S2216" s="6"/>
      <c r="T2216" t="s">
        <v>10902</v>
      </c>
      <c r="U2216" t="s">
        <v>10902</v>
      </c>
      <c r="V2216" t="s">
        <v>10902</v>
      </c>
      <c r="W2216" t="s">
        <v>43</v>
      </c>
      <c r="X2216" t="s">
        <v>11197</v>
      </c>
      <c r="Y2216" t="s">
        <v>11198</v>
      </c>
      <c r="Z2216" t="s">
        <v>11195</v>
      </c>
      <c r="AA2216" t="s">
        <v>44</v>
      </c>
      <c r="AB2216" t="s">
        <v>44</v>
      </c>
      <c r="AC2216" s="4"/>
      <c r="AD2216" s="4"/>
      <c r="AE2216" s="2">
        <v>0</v>
      </c>
      <c r="AF2216" s="4">
        <v>0</v>
      </c>
      <c r="AG2216" s="2">
        <v>0.43</v>
      </c>
      <c r="AH2216" s="2">
        <v>1564986.71</v>
      </c>
      <c r="AI2216" s="2">
        <v>0</v>
      </c>
      <c r="AJ2216" s="5">
        <v>44673</v>
      </c>
      <c r="AK2216" t="s">
        <v>12318</v>
      </c>
      <c r="AL2216" s="2">
        <v>0</v>
      </c>
      <c r="AM2216" s="2">
        <v>0</v>
      </c>
      <c r="AN2216" s="2">
        <v>0</v>
      </c>
      <c r="AO2216" t="s">
        <v>44</v>
      </c>
      <c r="AP2216" t="s">
        <v>12329</v>
      </c>
      <c r="AQ2216" t="s">
        <v>5809</v>
      </c>
    </row>
    <row r="2217" spans="1:43" x14ac:dyDescent="0.2">
      <c r="A2217" t="s">
        <v>12317</v>
      </c>
      <c r="B2217" t="s">
        <v>11037</v>
      </c>
      <c r="C2217" t="s">
        <v>11195</v>
      </c>
      <c r="D2217" t="s">
        <v>12330</v>
      </c>
      <c r="E2217" t="s">
        <v>12331</v>
      </c>
      <c r="F2217" t="s">
        <v>12330</v>
      </c>
      <c r="G2217" s="1">
        <v>377559</v>
      </c>
      <c r="H2217" s="2">
        <v>0.01</v>
      </c>
      <c r="I2217" s="2">
        <v>0</v>
      </c>
      <c r="J2217" s="2">
        <v>0</v>
      </c>
      <c r="K2217" s="2">
        <v>0</v>
      </c>
      <c r="L2217" s="2">
        <v>0</v>
      </c>
      <c r="M2217" s="3">
        <v>0</v>
      </c>
      <c r="N2217" s="4">
        <v>0</v>
      </c>
      <c r="O2217" s="5" t="s">
        <v>44</v>
      </c>
      <c r="P2217" s="5" t="s">
        <v>44</v>
      </c>
      <c r="Q2217" s="1"/>
      <c r="R2217" s="2"/>
      <c r="S2217" s="6"/>
      <c r="T2217" t="s">
        <v>10902</v>
      </c>
      <c r="U2217" t="s">
        <v>10902</v>
      </c>
      <c r="V2217" t="s">
        <v>10902</v>
      </c>
      <c r="W2217" t="s">
        <v>43</v>
      </c>
      <c r="X2217" t="s">
        <v>11197</v>
      </c>
      <c r="Y2217" t="s">
        <v>11198</v>
      </c>
      <c r="Z2217" t="s">
        <v>11195</v>
      </c>
      <c r="AA2217" t="s">
        <v>44</v>
      </c>
      <c r="AB2217" t="s">
        <v>44</v>
      </c>
      <c r="AC2217" s="4"/>
      <c r="AD2217" s="4"/>
      <c r="AE2217" s="2">
        <v>0</v>
      </c>
      <c r="AF2217" s="4">
        <v>0</v>
      </c>
      <c r="AG2217" s="2">
        <v>0</v>
      </c>
      <c r="AH2217" s="2">
        <v>0</v>
      </c>
      <c r="AI2217" s="2">
        <v>0</v>
      </c>
      <c r="AJ2217" s="5">
        <v>44673</v>
      </c>
      <c r="AK2217" t="s">
        <v>12318</v>
      </c>
      <c r="AL2217" s="2">
        <v>0</v>
      </c>
      <c r="AM2217" s="2">
        <v>0</v>
      </c>
      <c r="AN2217" s="2">
        <v>0</v>
      </c>
      <c r="AO2217" t="s">
        <v>44</v>
      </c>
      <c r="AP2217" t="s">
        <v>12332</v>
      </c>
      <c r="AQ2217" t="s">
        <v>12331</v>
      </c>
    </row>
    <row r="2218" spans="1:43" x14ac:dyDescent="0.2">
      <c r="A2218" t="s">
        <v>12317</v>
      </c>
      <c r="B2218" t="s">
        <v>11037</v>
      </c>
      <c r="C2218" t="s">
        <v>11195</v>
      </c>
      <c r="D2218" t="s">
        <v>12333</v>
      </c>
      <c r="E2218" t="s">
        <v>6510</v>
      </c>
      <c r="F2218" t="s">
        <v>12333</v>
      </c>
      <c r="G2218" s="1">
        <v>731550</v>
      </c>
      <c r="H2218" s="2">
        <v>6316398.1600000001</v>
      </c>
      <c r="I2218" s="2">
        <v>6401062.5</v>
      </c>
      <c r="J2218" s="2">
        <v>0</v>
      </c>
      <c r="K2218" s="2">
        <v>0</v>
      </c>
      <c r="L2218" s="2">
        <v>6401062.5</v>
      </c>
      <c r="M2218" s="3">
        <v>875</v>
      </c>
      <c r="N2218" s="4">
        <v>1.4563110000000001E-2</v>
      </c>
      <c r="O2218" s="5" t="s">
        <v>44</v>
      </c>
      <c r="P2218" s="5" t="s">
        <v>44</v>
      </c>
      <c r="Q2218" s="1"/>
      <c r="R2218" s="2"/>
      <c r="S2218" s="6"/>
      <c r="T2218" t="s">
        <v>10902</v>
      </c>
      <c r="U2218" t="s">
        <v>10902</v>
      </c>
      <c r="V2218" t="s">
        <v>10902</v>
      </c>
      <c r="W2218" t="s">
        <v>43</v>
      </c>
      <c r="X2218" t="s">
        <v>11197</v>
      </c>
      <c r="Y2218" t="s">
        <v>11198</v>
      </c>
      <c r="Z2218" t="s">
        <v>11195</v>
      </c>
      <c r="AA2218" t="s">
        <v>44</v>
      </c>
      <c r="AB2218" t="s">
        <v>44</v>
      </c>
      <c r="AC2218" s="4"/>
      <c r="AD2218" s="4"/>
      <c r="AE2218" s="2">
        <v>0</v>
      </c>
      <c r="AF2218" s="4">
        <v>0</v>
      </c>
      <c r="AG2218" s="2">
        <v>1.75</v>
      </c>
      <c r="AH2218" s="2">
        <v>6401062.5</v>
      </c>
      <c r="AI2218" s="2">
        <v>0.01</v>
      </c>
      <c r="AJ2218" s="5">
        <v>44673</v>
      </c>
      <c r="AK2218" t="s">
        <v>12318</v>
      </c>
      <c r="AL2218" s="2">
        <v>0</v>
      </c>
      <c r="AM2218" s="2">
        <v>0</v>
      </c>
      <c r="AN2218" s="2">
        <v>0</v>
      </c>
      <c r="AO2218" t="s">
        <v>44</v>
      </c>
      <c r="AP2218" t="s">
        <v>12334</v>
      </c>
      <c r="AQ2218" t="s">
        <v>6510</v>
      </c>
    </row>
    <row r="2219" spans="1:43" x14ac:dyDescent="0.2">
      <c r="A2219" t="s">
        <v>12317</v>
      </c>
      <c r="B2219" t="s">
        <v>11037</v>
      </c>
      <c r="C2219" t="s">
        <v>11195</v>
      </c>
      <c r="D2219" t="s">
        <v>11204</v>
      </c>
      <c r="E2219" t="s">
        <v>5699</v>
      </c>
      <c r="F2219" t="s">
        <v>11204</v>
      </c>
      <c r="G2219" s="1">
        <v>414587</v>
      </c>
      <c r="H2219" s="2">
        <v>7046595.4100000001</v>
      </c>
      <c r="I2219" s="2">
        <v>9071163.5600000005</v>
      </c>
      <c r="J2219" s="2">
        <v>0</v>
      </c>
      <c r="K2219" s="2">
        <v>0</v>
      </c>
      <c r="L2219" s="2">
        <v>9071163.5600000005</v>
      </c>
      <c r="M2219" s="3">
        <v>2188</v>
      </c>
      <c r="N2219" s="4">
        <v>2.0637869999999999E-2</v>
      </c>
      <c r="O2219" s="5" t="s">
        <v>44</v>
      </c>
      <c r="P2219" s="5" t="s">
        <v>44</v>
      </c>
      <c r="Q2219" s="1"/>
      <c r="R2219" s="2"/>
      <c r="S2219" s="6"/>
      <c r="T2219" t="s">
        <v>10902</v>
      </c>
      <c r="U2219" t="s">
        <v>10902</v>
      </c>
      <c r="V2219" t="s">
        <v>10902</v>
      </c>
      <c r="W2219" t="s">
        <v>43</v>
      </c>
      <c r="X2219" t="s">
        <v>11197</v>
      </c>
      <c r="Y2219" t="s">
        <v>11198</v>
      </c>
      <c r="Z2219" t="s">
        <v>11195</v>
      </c>
      <c r="AA2219" t="s">
        <v>44</v>
      </c>
      <c r="AB2219" t="s">
        <v>44</v>
      </c>
      <c r="AC2219" s="4"/>
      <c r="AD2219" s="4"/>
      <c r="AE2219" s="2">
        <v>0</v>
      </c>
      <c r="AF2219" s="4">
        <v>0</v>
      </c>
      <c r="AG2219" s="2">
        <v>2.48</v>
      </c>
      <c r="AH2219" s="2">
        <v>9071163.5600000005</v>
      </c>
      <c r="AI2219" s="2">
        <v>0.02</v>
      </c>
      <c r="AJ2219" s="5">
        <v>44673</v>
      </c>
      <c r="AK2219" t="s">
        <v>12318</v>
      </c>
      <c r="AL2219" s="2">
        <v>0</v>
      </c>
      <c r="AM2219" s="2">
        <v>0</v>
      </c>
      <c r="AN2219" s="2">
        <v>0</v>
      </c>
      <c r="AO2219" t="s">
        <v>44</v>
      </c>
      <c r="AP2219" t="s">
        <v>11205</v>
      </c>
      <c r="AQ2219" t="s">
        <v>5699</v>
      </c>
    </row>
    <row r="2220" spans="1:43" x14ac:dyDescent="0.2">
      <c r="A2220" t="s">
        <v>12317</v>
      </c>
      <c r="B2220" t="s">
        <v>11037</v>
      </c>
      <c r="C2220" t="s">
        <v>11195</v>
      </c>
      <c r="D2220" t="s">
        <v>11206</v>
      </c>
      <c r="E2220" t="s">
        <v>5005</v>
      </c>
      <c r="F2220" t="s">
        <v>11206</v>
      </c>
      <c r="G2220" s="1">
        <v>132836</v>
      </c>
      <c r="H2220" s="2">
        <v>12856357.310000001</v>
      </c>
      <c r="I2220" s="2">
        <v>12792106.800000001</v>
      </c>
      <c r="J2220" s="2">
        <v>0</v>
      </c>
      <c r="K2220" s="2">
        <v>0</v>
      </c>
      <c r="L2220" s="2">
        <v>12792106.800000001</v>
      </c>
      <c r="M2220" s="3">
        <v>9630</v>
      </c>
      <c r="N2220" s="4">
        <v>2.9103420000000001E-2</v>
      </c>
      <c r="O2220" s="5" t="s">
        <v>44</v>
      </c>
      <c r="P2220" s="5" t="s">
        <v>44</v>
      </c>
      <c r="Q2220" s="1"/>
      <c r="R2220" s="2"/>
      <c r="S2220" s="6"/>
      <c r="T2220" t="s">
        <v>10902</v>
      </c>
      <c r="U2220" t="s">
        <v>10902</v>
      </c>
      <c r="V2220" t="s">
        <v>10902</v>
      </c>
      <c r="W2220" t="s">
        <v>43</v>
      </c>
      <c r="X2220" t="s">
        <v>11197</v>
      </c>
      <c r="Y2220" t="s">
        <v>11198</v>
      </c>
      <c r="Z2220" t="s">
        <v>11195</v>
      </c>
      <c r="AA2220" t="s">
        <v>44</v>
      </c>
      <c r="AB2220" t="s">
        <v>44</v>
      </c>
      <c r="AC2220" s="4"/>
      <c r="AD2220" s="4"/>
      <c r="AE2220" s="2">
        <v>0</v>
      </c>
      <c r="AF2220" s="4">
        <v>0</v>
      </c>
      <c r="AG2220" s="2">
        <v>3.5</v>
      </c>
      <c r="AH2220" s="2">
        <v>12792106.800000001</v>
      </c>
      <c r="AI2220" s="2">
        <v>0.03</v>
      </c>
      <c r="AJ2220" s="5">
        <v>44673</v>
      </c>
      <c r="AK2220" t="s">
        <v>12318</v>
      </c>
      <c r="AL2220" s="2">
        <v>0</v>
      </c>
      <c r="AM2220" s="2">
        <v>0</v>
      </c>
      <c r="AN2220" s="2">
        <v>0</v>
      </c>
      <c r="AO2220" t="s">
        <v>44</v>
      </c>
      <c r="AP2220" t="s">
        <v>11207</v>
      </c>
      <c r="AQ2220" t="s">
        <v>5005</v>
      </c>
    </row>
    <row r="2221" spans="1:43" x14ac:dyDescent="0.2">
      <c r="A2221" t="s">
        <v>12317</v>
      </c>
      <c r="B2221" t="s">
        <v>11037</v>
      </c>
      <c r="C2221" t="s">
        <v>11195</v>
      </c>
      <c r="D2221" t="s">
        <v>11208</v>
      </c>
      <c r="E2221" t="s">
        <v>3160</v>
      </c>
      <c r="F2221" t="s">
        <v>11208</v>
      </c>
      <c r="G2221" s="1">
        <v>2067689</v>
      </c>
      <c r="H2221" s="2">
        <v>9001628.25</v>
      </c>
      <c r="I2221" s="2">
        <v>9159862.2699999996</v>
      </c>
      <c r="J2221" s="2">
        <v>0</v>
      </c>
      <c r="K2221" s="2">
        <v>0</v>
      </c>
      <c r="L2221" s="2">
        <v>9159862.2699999996</v>
      </c>
      <c r="M2221" s="3">
        <v>443</v>
      </c>
      <c r="N2221" s="4">
        <v>2.0839670000000001E-2</v>
      </c>
      <c r="O2221" s="5" t="s">
        <v>44</v>
      </c>
      <c r="P2221" s="5" t="s">
        <v>44</v>
      </c>
      <c r="Q2221" s="1"/>
      <c r="R2221" s="2"/>
      <c r="S2221" s="6"/>
      <c r="T2221" t="s">
        <v>10902</v>
      </c>
      <c r="U2221" t="s">
        <v>10902</v>
      </c>
      <c r="V2221" t="s">
        <v>10902</v>
      </c>
      <c r="W2221" t="s">
        <v>43</v>
      </c>
      <c r="X2221" t="s">
        <v>11197</v>
      </c>
      <c r="Y2221" t="s">
        <v>11198</v>
      </c>
      <c r="Z2221" t="s">
        <v>11195</v>
      </c>
      <c r="AA2221" t="s">
        <v>44</v>
      </c>
      <c r="AB2221" t="s">
        <v>44</v>
      </c>
      <c r="AC2221" s="4"/>
      <c r="AD2221" s="4"/>
      <c r="AE2221" s="2">
        <v>0</v>
      </c>
      <c r="AF2221" s="4">
        <v>0</v>
      </c>
      <c r="AG2221" s="2">
        <v>2.5099999999999998</v>
      </c>
      <c r="AH2221" s="2">
        <v>9159862.2699999996</v>
      </c>
      <c r="AI2221" s="2">
        <v>0.02</v>
      </c>
      <c r="AJ2221" s="5">
        <v>44673</v>
      </c>
      <c r="AK2221" t="s">
        <v>12318</v>
      </c>
      <c r="AL2221" s="2">
        <v>0</v>
      </c>
      <c r="AM2221" s="2">
        <v>0</v>
      </c>
      <c r="AN2221" s="2">
        <v>0</v>
      </c>
      <c r="AO2221" t="s">
        <v>44</v>
      </c>
      <c r="AP2221" t="s">
        <v>11209</v>
      </c>
      <c r="AQ2221" t="s">
        <v>3160</v>
      </c>
    </row>
    <row r="2222" spans="1:43" x14ac:dyDescent="0.2">
      <c r="A2222" t="s">
        <v>12317</v>
      </c>
      <c r="B2222" t="s">
        <v>11037</v>
      </c>
      <c r="C2222" t="s">
        <v>11195</v>
      </c>
      <c r="D2222" t="s">
        <v>11210</v>
      </c>
      <c r="E2222" t="s">
        <v>3167</v>
      </c>
      <c r="F2222" t="s">
        <v>11211</v>
      </c>
      <c r="G2222" s="1">
        <v>91918</v>
      </c>
      <c r="H2222" s="2">
        <v>5378270.8300000001</v>
      </c>
      <c r="I2222" s="2">
        <v>5377203</v>
      </c>
      <c r="J2222" s="2">
        <v>0</v>
      </c>
      <c r="K2222" s="2">
        <v>0</v>
      </c>
      <c r="L2222" s="2">
        <v>5377203</v>
      </c>
      <c r="M2222" s="3">
        <v>5850</v>
      </c>
      <c r="N2222" s="4">
        <v>1.223372E-2</v>
      </c>
      <c r="O2222" s="5" t="s">
        <v>44</v>
      </c>
      <c r="P2222" s="5" t="s">
        <v>44</v>
      </c>
      <c r="Q2222" s="1"/>
      <c r="R2222" s="2"/>
      <c r="S2222" s="6"/>
      <c r="T2222" t="s">
        <v>10902</v>
      </c>
      <c r="U2222" t="s">
        <v>10902</v>
      </c>
      <c r="V2222" t="s">
        <v>11212</v>
      </c>
      <c r="W2222" t="s">
        <v>43</v>
      </c>
      <c r="X2222" t="s">
        <v>11197</v>
      </c>
      <c r="Y2222" t="s">
        <v>11198</v>
      </c>
      <c r="Z2222" t="s">
        <v>11195</v>
      </c>
      <c r="AA2222" t="s">
        <v>44</v>
      </c>
      <c r="AB2222" t="s">
        <v>44</v>
      </c>
      <c r="AC2222" s="4"/>
      <c r="AD2222" s="4"/>
      <c r="AE2222" s="2">
        <v>0</v>
      </c>
      <c r="AF2222" s="4">
        <v>0</v>
      </c>
      <c r="AG2222" s="2">
        <v>1.47</v>
      </c>
      <c r="AH2222" s="2">
        <v>5377203</v>
      </c>
      <c r="AI2222" s="2">
        <v>0.01</v>
      </c>
      <c r="AJ2222" s="5">
        <v>44673</v>
      </c>
      <c r="AK2222" t="s">
        <v>12318</v>
      </c>
      <c r="AL2222" s="2">
        <v>0</v>
      </c>
      <c r="AM2222" s="2">
        <v>0</v>
      </c>
      <c r="AN2222" s="2">
        <v>0</v>
      </c>
      <c r="AO2222" t="s">
        <v>44</v>
      </c>
      <c r="AP2222" t="s">
        <v>11213</v>
      </c>
      <c r="AQ2222" t="s">
        <v>3167</v>
      </c>
    </row>
    <row r="2223" spans="1:43" x14ac:dyDescent="0.2">
      <c r="A2223" t="s">
        <v>12317</v>
      </c>
      <c r="B2223" t="s">
        <v>11037</v>
      </c>
      <c r="C2223" t="s">
        <v>11195</v>
      </c>
      <c r="D2223" t="s">
        <v>12335</v>
      </c>
      <c r="E2223" t="s">
        <v>5192</v>
      </c>
      <c r="F2223" t="s">
        <v>12335</v>
      </c>
      <c r="G2223" s="1">
        <v>2391498</v>
      </c>
      <c r="H2223" s="2">
        <v>5240213.54</v>
      </c>
      <c r="I2223" s="2">
        <v>5428700.46</v>
      </c>
      <c r="J2223" s="2">
        <v>0</v>
      </c>
      <c r="K2223" s="2">
        <v>0</v>
      </c>
      <c r="L2223" s="2">
        <v>5428700.46</v>
      </c>
      <c r="M2223" s="3">
        <v>227</v>
      </c>
      <c r="N2223" s="4">
        <v>1.235088E-2</v>
      </c>
      <c r="O2223" s="5" t="s">
        <v>44</v>
      </c>
      <c r="P2223" s="5" t="s">
        <v>44</v>
      </c>
      <c r="Q2223" s="1"/>
      <c r="R2223" s="2"/>
      <c r="S2223" s="6"/>
      <c r="T2223" t="s">
        <v>10902</v>
      </c>
      <c r="U2223" t="s">
        <v>10902</v>
      </c>
      <c r="V2223" t="s">
        <v>10902</v>
      </c>
      <c r="W2223" t="s">
        <v>43</v>
      </c>
      <c r="X2223" t="s">
        <v>11197</v>
      </c>
      <c r="Y2223" t="s">
        <v>11198</v>
      </c>
      <c r="Z2223" t="s">
        <v>11195</v>
      </c>
      <c r="AA2223" t="s">
        <v>44</v>
      </c>
      <c r="AB2223" t="s">
        <v>44</v>
      </c>
      <c r="AC2223" s="4"/>
      <c r="AD2223" s="4"/>
      <c r="AE2223" s="2">
        <v>0</v>
      </c>
      <c r="AF2223" s="4">
        <v>0</v>
      </c>
      <c r="AG2223" s="2">
        <v>1.49</v>
      </c>
      <c r="AH2223" s="2">
        <v>5428700.46</v>
      </c>
      <c r="AI2223" s="2">
        <v>0.01</v>
      </c>
      <c r="AJ2223" s="5">
        <v>44673</v>
      </c>
      <c r="AK2223" t="s">
        <v>12318</v>
      </c>
      <c r="AL2223" s="2">
        <v>0</v>
      </c>
      <c r="AM2223" s="2">
        <v>0</v>
      </c>
      <c r="AN2223" s="2">
        <v>0</v>
      </c>
      <c r="AO2223" t="s">
        <v>44</v>
      </c>
      <c r="AP2223" t="s">
        <v>12336</v>
      </c>
      <c r="AQ2223" t="s">
        <v>5192</v>
      </c>
    </row>
    <row r="2224" spans="1:43" x14ac:dyDescent="0.2">
      <c r="A2224" t="s">
        <v>12317</v>
      </c>
      <c r="B2224" t="s">
        <v>11037</v>
      </c>
      <c r="C2224" t="s">
        <v>11195</v>
      </c>
      <c r="D2224" t="s">
        <v>6710</v>
      </c>
      <c r="E2224" t="s">
        <v>1780</v>
      </c>
      <c r="F2224" t="s">
        <v>6710</v>
      </c>
      <c r="G2224" s="1">
        <v>275733</v>
      </c>
      <c r="H2224" s="2">
        <v>5378841.1200000001</v>
      </c>
      <c r="I2224" s="2">
        <v>6562445.4000000004</v>
      </c>
      <c r="J2224" s="2">
        <v>0</v>
      </c>
      <c r="K2224" s="2">
        <v>0</v>
      </c>
      <c r="L2224" s="2">
        <v>6562445.4000000004</v>
      </c>
      <c r="M2224" s="3">
        <v>2380</v>
      </c>
      <c r="N2224" s="4">
        <v>1.4930270000000001E-2</v>
      </c>
      <c r="O2224" s="5" t="s">
        <v>44</v>
      </c>
      <c r="P2224" s="5" t="s">
        <v>44</v>
      </c>
      <c r="Q2224" s="1"/>
      <c r="R2224" s="2"/>
      <c r="S2224" s="6"/>
      <c r="T2224" t="s">
        <v>10902</v>
      </c>
      <c r="U2224" t="s">
        <v>10902</v>
      </c>
      <c r="V2224" t="s">
        <v>10902</v>
      </c>
      <c r="W2224" t="s">
        <v>43</v>
      </c>
      <c r="X2224" t="s">
        <v>11197</v>
      </c>
      <c r="Y2224" t="s">
        <v>11198</v>
      </c>
      <c r="Z2224" t="s">
        <v>11195</v>
      </c>
      <c r="AA2224" t="s">
        <v>44</v>
      </c>
      <c r="AB2224" t="s">
        <v>44</v>
      </c>
      <c r="AC2224" s="4"/>
      <c r="AD2224" s="4"/>
      <c r="AE2224" s="2">
        <v>0</v>
      </c>
      <c r="AF2224" s="4">
        <v>0</v>
      </c>
      <c r="AG2224" s="2">
        <v>1.8</v>
      </c>
      <c r="AH2224" s="2">
        <v>6562445.4000000004</v>
      </c>
      <c r="AI2224" s="2">
        <v>0.01</v>
      </c>
      <c r="AJ2224" s="5">
        <v>44673</v>
      </c>
      <c r="AK2224" t="s">
        <v>12318</v>
      </c>
      <c r="AL2224" s="2">
        <v>0</v>
      </c>
      <c r="AM2224" s="2">
        <v>0</v>
      </c>
      <c r="AN2224" s="2">
        <v>0</v>
      </c>
      <c r="AO2224" t="s">
        <v>44</v>
      </c>
      <c r="AP2224" t="s">
        <v>11214</v>
      </c>
      <c r="AQ2224" t="s">
        <v>1780</v>
      </c>
    </row>
    <row r="2225" spans="1:43" x14ac:dyDescent="0.2">
      <c r="A2225" t="s">
        <v>12317</v>
      </c>
      <c r="B2225" t="s">
        <v>11037</v>
      </c>
      <c r="C2225" t="s">
        <v>11195</v>
      </c>
      <c r="D2225" t="s">
        <v>11863</v>
      </c>
      <c r="E2225" t="s">
        <v>6987</v>
      </c>
      <c r="F2225" t="s">
        <v>11863</v>
      </c>
      <c r="G2225" s="1">
        <v>381840</v>
      </c>
      <c r="H2225" s="2">
        <v>5201468.34</v>
      </c>
      <c r="I2225" s="2">
        <v>5700871.2000000002</v>
      </c>
      <c r="J2225" s="2">
        <v>0</v>
      </c>
      <c r="K2225" s="2">
        <v>0</v>
      </c>
      <c r="L2225" s="2">
        <v>5700871.2000000002</v>
      </c>
      <c r="M2225" s="3">
        <v>1493</v>
      </c>
      <c r="N2225" s="4">
        <v>1.29701E-2</v>
      </c>
      <c r="O2225" s="5" t="s">
        <v>44</v>
      </c>
      <c r="P2225" s="5" t="s">
        <v>44</v>
      </c>
      <c r="Q2225" s="1"/>
      <c r="R2225" s="2"/>
      <c r="S2225" s="6"/>
      <c r="T2225" t="s">
        <v>10902</v>
      </c>
      <c r="U2225" t="s">
        <v>10902</v>
      </c>
      <c r="V2225" t="s">
        <v>10902</v>
      </c>
      <c r="W2225" t="s">
        <v>43</v>
      </c>
      <c r="X2225" t="s">
        <v>11197</v>
      </c>
      <c r="Y2225" t="s">
        <v>11198</v>
      </c>
      <c r="Z2225" t="s">
        <v>11195</v>
      </c>
      <c r="AA2225" t="s">
        <v>44</v>
      </c>
      <c r="AB2225" t="s">
        <v>44</v>
      </c>
      <c r="AC2225" s="4"/>
      <c r="AD2225" s="4"/>
      <c r="AE2225" s="2">
        <v>0</v>
      </c>
      <c r="AF2225" s="4">
        <v>0</v>
      </c>
      <c r="AG2225" s="2">
        <v>1.56</v>
      </c>
      <c r="AH2225" s="2">
        <v>5700871.2000000002</v>
      </c>
      <c r="AI2225" s="2">
        <v>0.01</v>
      </c>
      <c r="AJ2225" s="5">
        <v>44673</v>
      </c>
      <c r="AK2225" t="s">
        <v>12318</v>
      </c>
      <c r="AL2225" s="2">
        <v>0</v>
      </c>
      <c r="AM2225" s="2">
        <v>0</v>
      </c>
      <c r="AN2225" s="2">
        <v>0</v>
      </c>
      <c r="AO2225" t="s">
        <v>44</v>
      </c>
      <c r="AP2225" t="s">
        <v>11864</v>
      </c>
      <c r="AQ2225" t="s">
        <v>6987</v>
      </c>
    </row>
    <row r="2226" spans="1:43" x14ac:dyDescent="0.2">
      <c r="A2226" t="s">
        <v>12317</v>
      </c>
      <c r="B2226" t="s">
        <v>11037</v>
      </c>
      <c r="C2226" t="s">
        <v>11195</v>
      </c>
      <c r="D2226" t="s">
        <v>6348</v>
      </c>
      <c r="E2226" t="s">
        <v>5241</v>
      </c>
      <c r="F2226" t="s">
        <v>6348</v>
      </c>
      <c r="G2226" s="1">
        <v>900720</v>
      </c>
      <c r="H2226" s="2">
        <v>10266104.82</v>
      </c>
      <c r="I2226" s="2">
        <v>12069648</v>
      </c>
      <c r="J2226" s="2">
        <v>0</v>
      </c>
      <c r="K2226" s="2">
        <v>0</v>
      </c>
      <c r="L2226" s="2">
        <v>12069648</v>
      </c>
      <c r="M2226" s="3">
        <v>1340</v>
      </c>
      <c r="N2226" s="4">
        <v>2.7459750000000002E-2</v>
      </c>
      <c r="O2226" s="5" t="s">
        <v>44</v>
      </c>
      <c r="P2226" s="5" t="s">
        <v>44</v>
      </c>
      <c r="Q2226" s="1"/>
      <c r="R2226" s="2"/>
      <c r="S2226" s="6"/>
      <c r="T2226" t="s">
        <v>10902</v>
      </c>
      <c r="U2226" t="s">
        <v>10902</v>
      </c>
      <c r="V2226" t="s">
        <v>10902</v>
      </c>
      <c r="W2226" t="s">
        <v>43</v>
      </c>
      <c r="X2226" t="s">
        <v>11197</v>
      </c>
      <c r="Y2226" t="s">
        <v>11198</v>
      </c>
      <c r="Z2226" t="s">
        <v>11195</v>
      </c>
      <c r="AA2226" t="s">
        <v>44</v>
      </c>
      <c r="AB2226" t="s">
        <v>44</v>
      </c>
      <c r="AC2226" s="4"/>
      <c r="AD2226" s="4"/>
      <c r="AE2226" s="2">
        <v>0</v>
      </c>
      <c r="AF2226" s="4">
        <v>0</v>
      </c>
      <c r="AG2226" s="2">
        <v>3.3</v>
      </c>
      <c r="AH2226" s="2">
        <v>12069648</v>
      </c>
      <c r="AI2226" s="2">
        <v>0.03</v>
      </c>
      <c r="AJ2226" s="5">
        <v>44673</v>
      </c>
      <c r="AK2226" t="s">
        <v>12318</v>
      </c>
      <c r="AL2226" s="2">
        <v>0</v>
      </c>
      <c r="AM2226" s="2">
        <v>0</v>
      </c>
      <c r="AN2226" s="2">
        <v>0</v>
      </c>
      <c r="AO2226" t="s">
        <v>44</v>
      </c>
      <c r="AP2226" t="s">
        <v>11215</v>
      </c>
      <c r="AQ2226" t="s">
        <v>5241</v>
      </c>
    </row>
    <row r="2227" spans="1:43" x14ac:dyDescent="0.2">
      <c r="A2227" t="s">
        <v>12317</v>
      </c>
      <c r="B2227" t="s">
        <v>11038</v>
      </c>
      <c r="C2227" t="s">
        <v>11039</v>
      </c>
      <c r="D2227" t="s">
        <v>11971</v>
      </c>
      <c r="E2227" t="s">
        <v>11972</v>
      </c>
      <c r="F2227" t="s">
        <v>11971</v>
      </c>
      <c r="G2227" s="1">
        <v>7000000</v>
      </c>
      <c r="H2227" s="2">
        <v>7000000</v>
      </c>
      <c r="I2227" s="2">
        <v>6992746.3300000001</v>
      </c>
      <c r="J2227" s="2">
        <v>83021.919999999998</v>
      </c>
      <c r="K2227" s="2">
        <v>0</v>
      </c>
      <c r="L2227" s="2">
        <v>7075768.25</v>
      </c>
      <c r="M2227" s="3">
        <v>5.914955</v>
      </c>
      <c r="N2227" s="4">
        <v>1.6098129999999999E-2</v>
      </c>
      <c r="O2227" s="5">
        <v>44965</v>
      </c>
      <c r="P2227" s="5">
        <v>44965</v>
      </c>
      <c r="Q2227" s="1">
        <v>5.85</v>
      </c>
      <c r="R2227" s="2">
        <v>0.79</v>
      </c>
      <c r="S2227" s="6">
        <v>0.75635794914999999</v>
      </c>
      <c r="T2227" t="s">
        <v>111</v>
      </c>
      <c r="U2227" t="s">
        <v>11040</v>
      </c>
      <c r="V2227" t="s">
        <v>11041</v>
      </c>
      <c r="W2227" t="s">
        <v>43</v>
      </c>
      <c r="X2227" t="s">
        <v>11034</v>
      </c>
      <c r="Y2227" t="s">
        <v>44</v>
      </c>
      <c r="Z2227" t="s">
        <v>44</v>
      </c>
      <c r="AA2227" t="s">
        <v>10979</v>
      </c>
      <c r="AB2227" t="s">
        <v>44</v>
      </c>
      <c r="AC2227" s="4">
        <v>5.9509684500000004</v>
      </c>
      <c r="AD2227" s="4">
        <v>5.7945694899999998</v>
      </c>
      <c r="AE2227" s="2">
        <v>5.95</v>
      </c>
      <c r="AF2227" s="4">
        <v>5.7945694899999998</v>
      </c>
      <c r="AG2227" s="2">
        <v>1.94</v>
      </c>
      <c r="AH2227" s="2">
        <v>7075768.25</v>
      </c>
      <c r="AI2227" s="2">
        <v>0.02</v>
      </c>
      <c r="AJ2227" s="5">
        <v>44673</v>
      </c>
      <c r="AK2227" t="s">
        <v>12318</v>
      </c>
      <c r="AL2227" s="2">
        <v>5.86</v>
      </c>
      <c r="AM2227" s="2">
        <v>5.85</v>
      </c>
      <c r="AN2227" s="2">
        <v>0.76</v>
      </c>
      <c r="AO2227" t="s">
        <v>11165</v>
      </c>
      <c r="AP2227" t="s">
        <v>11973</v>
      </c>
      <c r="AQ2227" t="s">
        <v>11972</v>
      </c>
    </row>
    <row r="2228" spans="1:43" x14ac:dyDescent="0.2">
      <c r="A2228" t="s">
        <v>12317</v>
      </c>
      <c r="B2228" t="s">
        <v>11038</v>
      </c>
      <c r="C2228" t="s">
        <v>11039</v>
      </c>
      <c r="D2228" t="s">
        <v>11390</v>
      </c>
      <c r="E2228" t="s">
        <v>11391</v>
      </c>
      <c r="F2228" t="s">
        <v>11390</v>
      </c>
      <c r="G2228" s="1">
        <v>3300000</v>
      </c>
      <c r="H2228" s="2">
        <v>3185773.02</v>
      </c>
      <c r="I2228" s="2">
        <v>3185773.02</v>
      </c>
      <c r="J2228" s="2">
        <v>0</v>
      </c>
      <c r="K2228" s="2">
        <v>0</v>
      </c>
      <c r="L2228" s="2">
        <v>3185773.02</v>
      </c>
      <c r="M2228" s="3">
        <v>5.7867119999999996</v>
      </c>
      <c r="N2228" s="4">
        <v>7.2479800000000002E-3</v>
      </c>
      <c r="O2228" s="5" t="s">
        <v>44</v>
      </c>
      <c r="P2228" s="5">
        <v>44902</v>
      </c>
      <c r="Q2228" s="1">
        <v>0</v>
      </c>
      <c r="R2228" s="2">
        <v>0.62</v>
      </c>
      <c r="S2228" s="6">
        <v>0.59776029928999996</v>
      </c>
      <c r="T2228" t="s">
        <v>112</v>
      </c>
      <c r="U2228" t="s">
        <v>11040</v>
      </c>
      <c r="V2228" t="s">
        <v>11238</v>
      </c>
      <c r="W2228" t="s">
        <v>43</v>
      </c>
      <c r="X2228" t="s">
        <v>44</v>
      </c>
      <c r="Y2228" t="s">
        <v>44</v>
      </c>
      <c r="Z2228" t="s">
        <v>44</v>
      </c>
      <c r="AA2228" t="s">
        <v>10913</v>
      </c>
      <c r="AB2228" t="s">
        <v>44</v>
      </c>
      <c r="AC2228" s="4">
        <v>5.8501835199999999</v>
      </c>
      <c r="AD2228" s="4">
        <v>5.6989443299999998</v>
      </c>
      <c r="AE2228" s="2">
        <v>5.85</v>
      </c>
      <c r="AF2228" s="4">
        <v>5.6989443299999998</v>
      </c>
      <c r="AG2228" s="2">
        <v>0.87</v>
      </c>
      <c r="AH2228" s="2">
        <v>3185773.02</v>
      </c>
      <c r="AI2228" s="2">
        <v>0.01</v>
      </c>
      <c r="AJ2228" s="5">
        <v>44673</v>
      </c>
      <c r="AK2228" t="s">
        <v>12318</v>
      </c>
      <c r="AL2228" s="2">
        <v>5.77</v>
      </c>
      <c r="AM2228" s="2">
        <v>0</v>
      </c>
      <c r="AN2228" s="2">
        <v>0.6</v>
      </c>
      <c r="AO2228" t="s">
        <v>10922</v>
      </c>
      <c r="AP2228" t="s">
        <v>11392</v>
      </c>
      <c r="AQ2228" t="s">
        <v>11391</v>
      </c>
    </row>
    <row r="2229" spans="1:43" x14ac:dyDescent="0.2">
      <c r="A2229" t="s">
        <v>12317</v>
      </c>
      <c r="B2229" t="s">
        <v>11038</v>
      </c>
      <c r="C2229" t="s">
        <v>11039</v>
      </c>
      <c r="D2229" t="s">
        <v>11396</v>
      </c>
      <c r="E2229" t="s">
        <v>11397</v>
      </c>
      <c r="F2229" t="s">
        <v>11396</v>
      </c>
      <c r="G2229" s="1">
        <v>4000000</v>
      </c>
      <c r="H2229" s="2">
        <v>3837017.81</v>
      </c>
      <c r="I2229" s="2">
        <v>3837017.81</v>
      </c>
      <c r="J2229" s="2">
        <v>0</v>
      </c>
      <c r="K2229" s="2">
        <v>0</v>
      </c>
      <c r="L2229" s="2">
        <v>3837017.81</v>
      </c>
      <c r="M2229" s="3">
        <v>5.9260000000000002</v>
      </c>
      <c r="N2229" s="4">
        <v>8.7296300000000004E-3</v>
      </c>
      <c r="O2229" s="5" t="s">
        <v>44</v>
      </c>
      <c r="P2229" s="5">
        <v>44937</v>
      </c>
      <c r="Q2229" s="1">
        <v>0</v>
      </c>
      <c r="R2229" s="2">
        <v>0.72</v>
      </c>
      <c r="S2229" s="6">
        <v>0.68599929861999998</v>
      </c>
      <c r="T2229" t="s">
        <v>112</v>
      </c>
      <c r="U2229" t="s">
        <v>11040</v>
      </c>
      <c r="V2229" t="s">
        <v>11238</v>
      </c>
      <c r="W2229" t="s">
        <v>43</v>
      </c>
      <c r="X2229" t="s">
        <v>44</v>
      </c>
      <c r="Y2229" t="s">
        <v>44</v>
      </c>
      <c r="Z2229" t="s">
        <v>44</v>
      </c>
      <c r="AA2229" t="s">
        <v>10913</v>
      </c>
      <c r="AB2229" t="s">
        <v>44</v>
      </c>
      <c r="AC2229" s="4">
        <v>5.9756128500000001</v>
      </c>
      <c r="AD2229" s="4">
        <v>5.8179395100000004</v>
      </c>
      <c r="AE2229" s="2">
        <v>5.98</v>
      </c>
      <c r="AF2229" s="4">
        <v>5.8179395100000004</v>
      </c>
      <c r="AG2229" s="2">
        <v>1.05</v>
      </c>
      <c r="AH2229" s="2">
        <v>3837017.81</v>
      </c>
      <c r="AI2229" s="2">
        <v>0.01</v>
      </c>
      <c r="AJ2229" s="5">
        <v>44673</v>
      </c>
      <c r="AK2229" t="s">
        <v>12318</v>
      </c>
      <c r="AL2229" s="2">
        <v>5.89</v>
      </c>
      <c r="AM2229" s="2">
        <v>0</v>
      </c>
      <c r="AN2229" s="2">
        <v>0.69</v>
      </c>
      <c r="AO2229" t="s">
        <v>10922</v>
      </c>
      <c r="AP2229" t="s">
        <v>11398</v>
      </c>
      <c r="AQ2229" t="s">
        <v>11397</v>
      </c>
    </row>
    <row r="2230" spans="1:43" x14ac:dyDescent="0.2">
      <c r="A2230" t="s">
        <v>12317</v>
      </c>
      <c r="B2230" t="s">
        <v>11038</v>
      </c>
      <c r="C2230" t="s">
        <v>11039</v>
      </c>
      <c r="D2230" t="s">
        <v>11399</v>
      </c>
      <c r="E2230" t="s">
        <v>11400</v>
      </c>
      <c r="F2230" t="s">
        <v>11399</v>
      </c>
      <c r="G2230" s="1">
        <v>1600000</v>
      </c>
      <c r="H2230" s="2">
        <v>1552292.67</v>
      </c>
      <c r="I2230" s="2">
        <v>1552292.67</v>
      </c>
      <c r="J2230" s="2">
        <v>0</v>
      </c>
      <c r="K2230" s="2">
        <v>0</v>
      </c>
      <c r="L2230" s="2">
        <v>1552292.67</v>
      </c>
      <c r="M2230" s="3">
        <v>5.4191849999999997</v>
      </c>
      <c r="N2230" s="4">
        <v>3.53163E-3</v>
      </c>
      <c r="O2230" s="5" t="s">
        <v>44</v>
      </c>
      <c r="P2230" s="5">
        <v>44881</v>
      </c>
      <c r="Q2230" s="1">
        <v>0</v>
      </c>
      <c r="R2230" s="2">
        <v>0.56000000000000005</v>
      </c>
      <c r="S2230" s="6">
        <v>0.54505428138000001</v>
      </c>
      <c r="T2230" t="s">
        <v>112</v>
      </c>
      <c r="U2230" t="s">
        <v>11040</v>
      </c>
      <c r="V2230" t="s">
        <v>11238</v>
      </c>
      <c r="W2230" t="s">
        <v>43</v>
      </c>
      <c r="X2230" t="s">
        <v>44</v>
      </c>
      <c r="Y2230" t="s">
        <v>44</v>
      </c>
      <c r="Z2230" t="s">
        <v>44</v>
      </c>
      <c r="AA2230" t="s">
        <v>10913</v>
      </c>
      <c r="AB2230" t="s">
        <v>44</v>
      </c>
      <c r="AC2230" s="4">
        <v>5.4834100699999997</v>
      </c>
      <c r="AD2230" s="4">
        <v>5.3502421900000003</v>
      </c>
      <c r="AE2230" s="2">
        <v>5.48</v>
      </c>
      <c r="AF2230" s="4">
        <v>5.3502421900000003</v>
      </c>
      <c r="AG2230" s="2">
        <v>0.42</v>
      </c>
      <c r="AH2230" s="2">
        <v>1552292.67</v>
      </c>
      <c r="AI2230" s="2">
        <v>0</v>
      </c>
      <c r="AJ2230" s="5">
        <v>44673</v>
      </c>
      <c r="AK2230" t="s">
        <v>12318</v>
      </c>
      <c r="AL2230" s="2">
        <v>5.41</v>
      </c>
      <c r="AM2230" s="2">
        <v>0</v>
      </c>
      <c r="AN2230" s="2">
        <v>0.55000000000000004</v>
      </c>
      <c r="AO2230" t="s">
        <v>10922</v>
      </c>
      <c r="AP2230" t="s">
        <v>11401</v>
      </c>
      <c r="AQ2230" t="s">
        <v>11400</v>
      </c>
    </row>
    <row r="2231" spans="1:43" x14ac:dyDescent="0.2">
      <c r="A2231" t="s">
        <v>12317</v>
      </c>
      <c r="B2231" t="s">
        <v>11038</v>
      </c>
      <c r="C2231" t="s">
        <v>11039</v>
      </c>
      <c r="D2231" t="s">
        <v>11405</v>
      </c>
      <c r="E2231" t="s">
        <v>11406</v>
      </c>
      <c r="F2231" t="s">
        <v>11405</v>
      </c>
      <c r="G2231" s="1">
        <v>3600000</v>
      </c>
      <c r="H2231" s="2">
        <v>3487637.89</v>
      </c>
      <c r="I2231" s="2">
        <v>3487637.89</v>
      </c>
      <c r="J2231" s="2">
        <v>0</v>
      </c>
      <c r="K2231" s="2">
        <v>0</v>
      </c>
      <c r="L2231" s="2">
        <v>3487637.89</v>
      </c>
      <c r="M2231" s="3">
        <v>5.5672899999999998</v>
      </c>
      <c r="N2231" s="4">
        <v>7.9347500000000008E-3</v>
      </c>
      <c r="O2231" s="5" t="s">
        <v>44</v>
      </c>
      <c r="P2231" s="5">
        <v>44888</v>
      </c>
      <c r="Q2231" s="1">
        <v>0</v>
      </c>
      <c r="R2231" s="2">
        <v>0.57999999999999996</v>
      </c>
      <c r="S2231" s="6">
        <v>0.56262873229999999</v>
      </c>
      <c r="T2231" t="s">
        <v>112</v>
      </c>
      <c r="U2231" t="s">
        <v>11040</v>
      </c>
      <c r="V2231" t="s">
        <v>11238</v>
      </c>
      <c r="W2231" t="s">
        <v>43</v>
      </c>
      <c r="X2231" t="s">
        <v>44</v>
      </c>
      <c r="Y2231" t="s">
        <v>44</v>
      </c>
      <c r="Z2231" t="s">
        <v>44</v>
      </c>
      <c r="AA2231" t="s">
        <v>10913</v>
      </c>
      <c r="AB2231" t="s">
        <v>44</v>
      </c>
      <c r="AC2231" s="4">
        <v>5.6320586500000003</v>
      </c>
      <c r="AD2231" s="4">
        <v>5.4917004399999998</v>
      </c>
      <c r="AE2231" s="2">
        <v>5.63</v>
      </c>
      <c r="AF2231" s="4">
        <v>5.4917004399999998</v>
      </c>
      <c r="AG2231" s="2">
        <v>0.95</v>
      </c>
      <c r="AH2231" s="2">
        <v>3487637.89</v>
      </c>
      <c r="AI2231" s="2">
        <v>0.01</v>
      </c>
      <c r="AJ2231" s="5">
        <v>44673</v>
      </c>
      <c r="AK2231" t="s">
        <v>12318</v>
      </c>
      <c r="AL2231" s="2">
        <v>5.55</v>
      </c>
      <c r="AM2231" s="2">
        <v>0</v>
      </c>
      <c r="AN2231" s="2">
        <v>0.56000000000000005</v>
      </c>
      <c r="AO2231" t="s">
        <v>10922</v>
      </c>
      <c r="AP2231" t="s">
        <v>11407</v>
      </c>
      <c r="AQ2231" t="s">
        <v>11406</v>
      </c>
    </row>
    <row r="2232" spans="1:43" x14ac:dyDescent="0.2">
      <c r="A2232" t="s">
        <v>12317</v>
      </c>
      <c r="B2232" t="s">
        <v>11038</v>
      </c>
      <c r="C2232" t="s">
        <v>11039</v>
      </c>
      <c r="D2232" t="s">
        <v>12727</v>
      </c>
      <c r="E2232" t="s">
        <v>12728</v>
      </c>
      <c r="F2232" t="s">
        <v>12727</v>
      </c>
      <c r="G2232" s="1">
        <v>32000000</v>
      </c>
      <c r="H2232" s="2">
        <v>32000000</v>
      </c>
      <c r="I2232" s="2">
        <v>32034288.68</v>
      </c>
      <c r="J2232" s="2">
        <v>198838.36</v>
      </c>
      <c r="K2232" s="2">
        <v>0</v>
      </c>
      <c r="L2232" s="2">
        <v>32233127.039999999</v>
      </c>
      <c r="M2232" s="3">
        <v>6.1328639999999996</v>
      </c>
      <c r="N2232" s="4">
        <v>7.3333830000000003E-2</v>
      </c>
      <c r="O2232" s="5">
        <v>45001</v>
      </c>
      <c r="P2232" s="5">
        <v>45001</v>
      </c>
      <c r="Q2232" s="1">
        <v>6.3</v>
      </c>
      <c r="R2232" s="2">
        <v>0.89</v>
      </c>
      <c r="S2232" s="6">
        <v>0.84430539241000002</v>
      </c>
      <c r="T2232" t="s">
        <v>111</v>
      </c>
      <c r="U2232" t="s">
        <v>11040</v>
      </c>
      <c r="V2232" t="s">
        <v>11041</v>
      </c>
      <c r="W2232" t="s">
        <v>43</v>
      </c>
      <c r="X2232" t="s">
        <v>11034</v>
      </c>
      <c r="Y2232" t="s">
        <v>44</v>
      </c>
      <c r="Z2232" t="s">
        <v>44</v>
      </c>
      <c r="AA2232" t="s">
        <v>10979</v>
      </c>
      <c r="AB2232" t="s">
        <v>44</v>
      </c>
      <c r="AC2232" s="4">
        <v>6.1531520899999999</v>
      </c>
      <c r="AD2232" s="4">
        <v>5.9861510000000004</v>
      </c>
      <c r="AE2232" s="2">
        <v>6.15</v>
      </c>
      <c r="AF2232" s="4">
        <v>5.9861510000000004</v>
      </c>
      <c r="AG2232" s="2">
        <v>8.82</v>
      </c>
      <c r="AH2232" s="2">
        <v>32233127.039999999</v>
      </c>
      <c r="AI2232" s="2">
        <v>7.0000000000000007E-2</v>
      </c>
      <c r="AJ2232" s="5">
        <v>44673</v>
      </c>
      <c r="AK2232" t="s">
        <v>12318</v>
      </c>
      <c r="AL2232" s="2">
        <v>6.06</v>
      </c>
      <c r="AM2232" s="2">
        <v>6.3</v>
      </c>
      <c r="AN2232" s="2">
        <v>0.84</v>
      </c>
      <c r="AO2232" t="s">
        <v>11179</v>
      </c>
      <c r="AP2232" t="s">
        <v>12729</v>
      </c>
      <c r="AQ2232" t="s">
        <v>12728</v>
      </c>
    </row>
    <row r="2233" spans="1:43" x14ac:dyDescent="0.2">
      <c r="A2233" t="s">
        <v>12317</v>
      </c>
      <c r="B2233" t="s">
        <v>11038</v>
      </c>
      <c r="C2233" t="s">
        <v>11222</v>
      </c>
      <c r="D2233" t="s">
        <v>12965</v>
      </c>
      <c r="E2233" t="s">
        <v>12966</v>
      </c>
      <c r="F2233" t="s">
        <v>12965</v>
      </c>
      <c r="G2233" s="1">
        <v>26000000</v>
      </c>
      <c r="H2233" s="2">
        <v>26000000</v>
      </c>
      <c r="I2233" s="2">
        <v>26003799.690000001</v>
      </c>
      <c r="J2233" s="2">
        <v>50383.01</v>
      </c>
      <c r="K2233" s="2">
        <v>0</v>
      </c>
      <c r="L2233" s="2">
        <v>26054182.699999999</v>
      </c>
      <c r="M2233" s="3">
        <v>6.4004060000000003</v>
      </c>
      <c r="N2233" s="4">
        <v>5.927607E-2</v>
      </c>
      <c r="O2233" s="5">
        <v>45057</v>
      </c>
      <c r="P2233" s="5">
        <v>45057</v>
      </c>
      <c r="Q2233" s="1">
        <v>6.43</v>
      </c>
      <c r="R2233" s="2">
        <v>1.04</v>
      </c>
      <c r="S2233" s="6">
        <v>0.97846466510999996</v>
      </c>
      <c r="T2233" t="s">
        <v>111</v>
      </c>
      <c r="U2233" t="s">
        <v>11040</v>
      </c>
      <c r="V2233" t="s">
        <v>11041</v>
      </c>
      <c r="W2233" t="s">
        <v>43</v>
      </c>
      <c r="X2233" t="s">
        <v>11034</v>
      </c>
      <c r="Y2233" t="s">
        <v>44</v>
      </c>
      <c r="Z2233" t="s">
        <v>44</v>
      </c>
      <c r="AA2233" t="s">
        <v>10979</v>
      </c>
      <c r="AB2233" t="s">
        <v>44</v>
      </c>
      <c r="AC2233" s="4">
        <v>6.3916291899999997</v>
      </c>
      <c r="AD2233" s="4">
        <v>6.2116933599999999</v>
      </c>
      <c r="AE2233" s="2">
        <v>6.39</v>
      </c>
      <c r="AF2233" s="4">
        <v>6.2116933599999999</v>
      </c>
      <c r="AG2233" s="2">
        <v>7.13</v>
      </c>
      <c r="AH2233" s="2">
        <v>26054182.699999999</v>
      </c>
      <c r="AI2233" s="2">
        <v>0.06</v>
      </c>
      <c r="AJ2233" s="5">
        <v>44673</v>
      </c>
      <c r="AK2233" t="s">
        <v>12318</v>
      </c>
      <c r="AL2233" s="2">
        <v>6.29</v>
      </c>
      <c r="AM2233" s="2">
        <v>6.43</v>
      </c>
      <c r="AN2233" s="2">
        <v>0.98</v>
      </c>
      <c r="AO2233" t="s">
        <v>11054</v>
      </c>
      <c r="AP2233" t="s">
        <v>12967</v>
      </c>
      <c r="AQ2233" t="s">
        <v>12966</v>
      </c>
    </row>
    <row r="2234" spans="1:43" x14ac:dyDescent="0.2">
      <c r="A2234" t="s">
        <v>12317</v>
      </c>
      <c r="B2234" t="s">
        <v>11408</v>
      </c>
      <c r="C2234" t="s">
        <v>11408</v>
      </c>
      <c r="D2234" t="s">
        <v>12348</v>
      </c>
      <c r="E2234" t="s">
        <v>12349</v>
      </c>
      <c r="F2234" t="s">
        <v>12350</v>
      </c>
      <c r="G2234" s="1">
        <v>26262.4018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3"/>
      <c r="N2234" s="4">
        <v>0</v>
      </c>
      <c r="O2234" s="5" t="s">
        <v>44</v>
      </c>
      <c r="P2234" s="5">
        <v>44809</v>
      </c>
      <c r="Q2234" s="1">
        <v>0</v>
      </c>
      <c r="R2234" s="2"/>
      <c r="S2234" s="6"/>
      <c r="T2234" t="s">
        <v>11412</v>
      </c>
      <c r="U2234" t="s">
        <v>11413</v>
      </c>
      <c r="V2234" t="s">
        <v>11414</v>
      </c>
      <c r="W2234" t="s">
        <v>43</v>
      </c>
      <c r="X2234" t="s">
        <v>44</v>
      </c>
      <c r="Y2234" t="s">
        <v>44</v>
      </c>
      <c r="Z2234" t="s">
        <v>44</v>
      </c>
      <c r="AA2234" t="s">
        <v>11035</v>
      </c>
      <c r="AB2234" t="s">
        <v>44</v>
      </c>
      <c r="AC2234" s="4"/>
      <c r="AD2234" s="4"/>
      <c r="AE2234" s="2">
        <v>0</v>
      </c>
      <c r="AF2234" s="4">
        <v>0</v>
      </c>
      <c r="AG2234" s="2">
        <v>0</v>
      </c>
      <c r="AH2234" s="2">
        <v>0</v>
      </c>
      <c r="AI2234" s="2">
        <v>0</v>
      </c>
      <c r="AJ2234" s="5">
        <v>44673</v>
      </c>
      <c r="AK2234" t="s">
        <v>12318</v>
      </c>
      <c r="AL2234" s="2">
        <v>0</v>
      </c>
      <c r="AM2234" s="2">
        <v>0</v>
      </c>
      <c r="AN2234" s="2">
        <v>0</v>
      </c>
      <c r="AO2234" t="s">
        <v>11053</v>
      </c>
      <c r="AP2234" t="s">
        <v>44</v>
      </c>
      <c r="AQ2234" t="s">
        <v>44</v>
      </c>
    </row>
    <row r="2235" spans="1:43" x14ac:dyDescent="0.2">
      <c r="A2235" t="s">
        <v>12317</v>
      </c>
      <c r="B2235" t="s">
        <v>11408</v>
      </c>
      <c r="C2235" t="s">
        <v>11408</v>
      </c>
      <c r="D2235" t="s">
        <v>12351</v>
      </c>
      <c r="E2235" t="s">
        <v>12349</v>
      </c>
      <c r="F2235" t="s">
        <v>12352</v>
      </c>
      <c r="G2235" s="1">
        <v>-43657828.810000002</v>
      </c>
      <c r="H2235" s="2">
        <v>0</v>
      </c>
      <c r="I2235" s="2">
        <v>0</v>
      </c>
      <c r="J2235" s="2">
        <v>-114809.32</v>
      </c>
      <c r="K2235" s="2">
        <v>0</v>
      </c>
      <c r="L2235" s="2">
        <v>-114809.32</v>
      </c>
      <c r="M2235" s="3"/>
      <c r="N2235" s="4">
        <v>-2.6120000000000001E-4</v>
      </c>
      <c r="O2235" s="5" t="s">
        <v>44</v>
      </c>
      <c r="P2235" s="5">
        <v>44809</v>
      </c>
      <c r="Q2235" s="1">
        <v>0</v>
      </c>
      <c r="R2235" s="2"/>
      <c r="S2235" s="6"/>
      <c r="T2235" t="s">
        <v>11412</v>
      </c>
      <c r="U2235" t="s">
        <v>11413</v>
      </c>
      <c r="V2235" t="s">
        <v>11414</v>
      </c>
      <c r="W2235" t="s">
        <v>43</v>
      </c>
      <c r="X2235" t="s">
        <v>44</v>
      </c>
      <c r="Y2235" t="s">
        <v>44</v>
      </c>
      <c r="Z2235" t="s">
        <v>44</v>
      </c>
      <c r="AA2235" t="s">
        <v>11035</v>
      </c>
      <c r="AB2235" t="s">
        <v>44</v>
      </c>
      <c r="AC2235" s="4"/>
      <c r="AD2235" s="4"/>
      <c r="AE2235" s="2">
        <v>0</v>
      </c>
      <c r="AF2235" s="4">
        <v>0</v>
      </c>
      <c r="AG2235" s="2">
        <v>-0.03</v>
      </c>
      <c r="AH2235" s="2">
        <v>-43772638.130000003</v>
      </c>
      <c r="AI2235" s="2">
        <v>-0.1</v>
      </c>
      <c r="AJ2235" s="5">
        <v>44673</v>
      </c>
      <c r="AK2235" t="s">
        <v>12318</v>
      </c>
      <c r="AL2235" s="2">
        <v>0</v>
      </c>
      <c r="AM2235" s="2">
        <v>0</v>
      </c>
      <c r="AN2235" s="2">
        <v>0</v>
      </c>
      <c r="AO2235" t="s">
        <v>11053</v>
      </c>
      <c r="AP2235" t="s">
        <v>44</v>
      </c>
      <c r="AQ2235" t="s">
        <v>44</v>
      </c>
    </row>
    <row r="2236" spans="1:43" x14ac:dyDescent="0.2">
      <c r="A2236" t="s">
        <v>12317</v>
      </c>
      <c r="B2236" t="s">
        <v>11408</v>
      </c>
      <c r="C2236" t="s">
        <v>11408</v>
      </c>
      <c r="D2236" t="s">
        <v>12353</v>
      </c>
      <c r="E2236" t="s">
        <v>12349</v>
      </c>
      <c r="F2236" t="s">
        <v>12354</v>
      </c>
      <c r="G2236" s="1">
        <v>26262.4018</v>
      </c>
      <c r="H2236" s="2">
        <v>0</v>
      </c>
      <c r="I2236" s="2">
        <v>-526035.9</v>
      </c>
      <c r="J2236" s="2">
        <v>0</v>
      </c>
      <c r="K2236" s="2">
        <v>0</v>
      </c>
      <c r="L2236" s="2">
        <v>-526035.9</v>
      </c>
      <c r="M2236" s="3">
        <v>1642.34</v>
      </c>
      <c r="N2236" s="4">
        <v>-1.1967900000000001E-3</v>
      </c>
      <c r="O2236" s="5" t="s">
        <v>44</v>
      </c>
      <c r="P2236" s="5">
        <v>44809</v>
      </c>
      <c r="Q2236" s="1">
        <v>0</v>
      </c>
      <c r="R2236" s="2"/>
      <c r="S2236" s="6"/>
      <c r="T2236" t="s">
        <v>11412</v>
      </c>
      <c r="U2236" t="s">
        <v>11413</v>
      </c>
      <c r="V2236" t="s">
        <v>11414</v>
      </c>
      <c r="W2236" t="s">
        <v>43</v>
      </c>
      <c r="X2236" t="s">
        <v>44</v>
      </c>
      <c r="Y2236" t="s">
        <v>44</v>
      </c>
      <c r="Z2236" t="s">
        <v>44</v>
      </c>
      <c r="AA2236" t="s">
        <v>11035</v>
      </c>
      <c r="AB2236" t="s">
        <v>44</v>
      </c>
      <c r="AC2236" s="4"/>
      <c r="AD2236" s="4"/>
      <c r="AE2236" s="2">
        <v>0</v>
      </c>
      <c r="AF2236" s="4">
        <v>0</v>
      </c>
      <c r="AG2236" s="2">
        <v>-0.14000000000000001</v>
      </c>
      <c r="AH2236" s="2">
        <v>43131792.909999996</v>
      </c>
      <c r="AI2236" s="2">
        <v>0.1</v>
      </c>
      <c r="AJ2236" s="5">
        <v>44673</v>
      </c>
      <c r="AK2236" t="s">
        <v>12318</v>
      </c>
      <c r="AL2236" s="2">
        <v>0</v>
      </c>
      <c r="AM2236" s="2">
        <v>0</v>
      </c>
      <c r="AN2236" s="2">
        <v>0</v>
      </c>
      <c r="AO2236" t="s">
        <v>11053</v>
      </c>
      <c r="AP2236" t="s">
        <v>44</v>
      </c>
      <c r="AQ2236" t="s">
        <v>44</v>
      </c>
    </row>
    <row r="2237" spans="1:43" x14ac:dyDescent="0.2">
      <c r="A2237" t="s">
        <v>12317</v>
      </c>
      <c r="B2237" t="s">
        <v>11030</v>
      </c>
      <c r="C2237" t="s">
        <v>11030</v>
      </c>
      <c r="D2237" t="s">
        <v>12355</v>
      </c>
      <c r="E2237" t="s">
        <v>12319</v>
      </c>
      <c r="F2237" t="s">
        <v>12355</v>
      </c>
      <c r="G2237" s="1">
        <v>1081</v>
      </c>
      <c r="H2237" s="2"/>
      <c r="I2237" s="2">
        <v>0</v>
      </c>
      <c r="J2237" s="2"/>
      <c r="K2237" s="2"/>
      <c r="L2237" s="2">
        <v>0</v>
      </c>
      <c r="M2237" s="3"/>
      <c r="N2237" s="4">
        <v>0</v>
      </c>
      <c r="O2237" s="5" t="s">
        <v>44</v>
      </c>
      <c r="P2237" s="5" t="s">
        <v>44</v>
      </c>
      <c r="Q2237" s="1"/>
      <c r="R2237" s="2"/>
      <c r="S2237" s="6"/>
      <c r="T2237" t="s">
        <v>11031</v>
      </c>
      <c r="U2237" t="s">
        <v>11032</v>
      </c>
      <c r="V2237" t="s">
        <v>45</v>
      </c>
      <c r="W2237" t="s">
        <v>43</v>
      </c>
      <c r="X2237" t="s">
        <v>44</v>
      </c>
      <c r="Y2237" t="s">
        <v>44</v>
      </c>
      <c r="Z2237" t="s">
        <v>44</v>
      </c>
      <c r="AA2237" t="s">
        <v>44</v>
      </c>
      <c r="AB2237" t="s">
        <v>44</v>
      </c>
      <c r="AC2237" s="4"/>
      <c r="AD2237" s="4"/>
      <c r="AE2237" s="2">
        <v>0</v>
      </c>
      <c r="AF2237" s="4">
        <v>0</v>
      </c>
      <c r="AG2237" s="2">
        <v>0</v>
      </c>
      <c r="AH2237" s="2">
        <v>-111736484</v>
      </c>
      <c r="AI2237" s="2">
        <v>-0.25</v>
      </c>
      <c r="AJ2237" s="5">
        <v>44673</v>
      </c>
      <c r="AK2237" t="s">
        <v>12318</v>
      </c>
      <c r="AL2237" s="2">
        <v>0</v>
      </c>
      <c r="AM2237" s="2">
        <v>0</v>
      </c>
      <c r="AN2237" s="2">
        <v>0</v>
      </c>
      <c r="AO2237" t="s">
        <v>44</v>
      </c>
      <c r="AP2237" t="s">
        <v>44</v>
      </c>
      <c r="AQ2237" t="s">
        <v>11182</v>
      </c>
    </row>
    <row r="2238" spans="1:43" x14ac:dyDescent="0.2">
      <c r="A2238" t="s">
        <v>12356</v>
      </c>
      <c r="B2238" t="s">
        <v>10900</v>
      </c>
      <c r="C2238" t="s">
        <v>11049</v>
      </c>
      <c r="D2238" t="s">
        <v>11457</v>
      </c>
      <c r="E2238" t="s">
        <v>11458</v>
      </c>
      <c r="F2238" t="s">
        <v>11457</v>
      </c>
      <c r="G2238" s="1">
        <v>7700000</v>
      </c>
      <c r="H2238" s="2">
        <v>7700000</v>
      </c>
      <c r="I2238" s="2">
        <v>7700028.5999999996</v>
      </c>
      <c r="J2238" s="2">
        <v>92686.06</v>
      </c>
      <c r="K2238" s="2">
        <v>0</v>
      </c>
      <c r="L2238" s="2">
        <v>7792714.6600000001</v>
      </c>
      <c r="M2238" s="3">
        <v>5.4289139999999998</v>
      </c>
      <c r="N2238" s="4">
        <v>1.772926E-2</v>
      </c>
      <c r="O2238" s="5">
        <v>44684</v>
      </c>
      <c r="P2238" s="5">
        <v>44957</v>
      </c>
      <c r="Q2238" s="1">
        <v>5.3579999999999997</v>
      </c>
      <c r="R2238" s="2">
        <v>0.02</v>
      </c>
      <c r="S2238" s="6">
        <v>1.4426938812E-2</v>
      </c>
      <c r="T2238" t="s">
        <v>111</v>
      </c>
      <c r="U2238" t="s">
        <v>111</v>
      </c>
      <c r="V2238" t="s">
        <v>11189</v>
      </c>
      <c r="W2238" t="s">
        <v>43</v>
      </c>
      <c r="X2238" t="s">
        <v>11034</v>
      </c>
      <c r="Y2238" t="s">
        <v>44</v>
      </c>
      <c r="Z2238" t="s">
        <v>44</v>
      </c>
      <c r="AA2238" t="s">
        <v>10979</v>
      </c>
      <c r="AB2238" t="s">
        <v>44</v>
      </c>
      <c r="AC2238" s="4">
        <v>5.5025962599999998</v>
      </c>
      <c r="AD2238" s="4">
        <v>5.3685105899999996</v>
      </c>
      <c r="AE2238" s="2">
        <v>5.5</v>
      </c>
      <c r="AF2238" s="4">
        <v>5.3685105899999996</v>
      </c>
      <c r="AG2238" s="2">
        <v>1.58</v>
      </c>
      <c r="AH2238" s="2">
        <v>7792714.6600000001</v>
      </c>
      <c r="AI2238" s="2">
        <v>0.02</v>
      </c>
      <c r="AJ2238" s="5">
        <v>44673</v>
      </c>
      <c r="AK2238" t="s">
        <v>12357</v>
      </c>
      <c r="AL2238" s="2">
        <v>5.43</v>
      </c>
      <c r="AM2238" s="2">
        <v>5.36</v>
      </c>
      <c r="AN2238" s="2">
        <v>0.01</v>
      </c>
      <c r="AO2238" t="s">
        <v>11048</v>
      </c>
      <c r="AP2238" t="s">
        <v>11459</v>
      </c>
      <c r="AQ2238" t="s">
        <v>11458</v>
      </c>
    </row>
    <row r="2239" spans="1:43" x14ac:dyDescent="0.2">
      <c r="A2239" t="s">
        <v>12356</v>
      </c>
      <c r="B2239" t="s">
        <v>10900</v>
      </c>
      <c r="C2239" t="s">
        <v>11049</v>
      </c>
      <c r="D2239" t="s">
        <v>11460</v>
      </c>
      <c r="E2239" t="s">
        <v>11461</v>
      </c>
      <c r="F2239" t="s">
        <v>11460</v>
      </c>
      <c r="G2239" s="1">
        <v>19000000</v>
      </c>
      <c r="H2239" s="2">
        <v>19000000</v>
      </c>
      <c r="I2239" s="2">
        <v>19000000</v>
      </c>
      <c r="J2239" s="2">
        <v>258585.32</v>
      </c>
      <c r="K2239" s="2">
        <v>0</v>
      </c>
      <c r="L2239" s="2">
        <v>19258585.32</v>
      </c>
      <c r="M2239" s="3">
        <v>4.2116369999999996</v>
      </c>
      <c r="N2239" s="4">
        <v>4.3815359999999998E-2</v>
      </c>
      <c r="O2239" s="5">
        <v>44680</v>
      </c>
      <c r="P2239" s="5">
        <v>44865</v>
      </c>
      <c r="Q2239" s="1">
        <v>6.0579999999999998</v>
      </c>
      <c r="R2239" s="2">
        <v>7.0000000000000007E-2</v>
      </c>
      <c r="S2239" s="6">
        <v>7.3291687867999999E-2</v>
      </c>
      <c r="T2239" t="s">
        <v>111</v>
      </c>
      <c r="U2239" t="s">
        <v>111</v>
      </c>
      <c r="V2239" t="s">
        <v>114</v>
      </c>
      <c r="W2239" t="s">
        <v>43</v>
      </c>
      <c r="X2239" t="s">
        <v>10988</v>
      </c>
      <c r="Y2239" t="s">
        <v>44</v>
      </c>
      <c r="Z2239" t="s">
        <v>44</v>
      </c>
      <c r="AA2239" t="s">
        <v>11035</v>
      </c>
      <c r="AB2239" t="s">
        <v>44</v>
      </c>
      <c r="AC2239" s="4">
        <v>4.2559817600000001</v>
      </c>
      <c r="AD2239" s="4">
        <v>4.1751516899999999</v>
      </c>
      <c r="AE2239" s="2">
        <v>4.26</v>
      </c>
      <c r="AF2239" s="4">
        <v>4.1751516899999999</v>
      </c>
      <c r="AG2239" s="2">
        <v>3.91</v>
      </c>
      <c r="AH2239" s="2">
        <v>19258585.32</v>
      </c>
      <c r="AI2239" s="2">
        <v>0.04</v>
      </c>
      <c r="AJ2239" s="5">
        <v>44673</v>
      </c>
      <c r="AK2239" t="s">
        <v>12357</v>
      </c>
      <c r="AL2239" s="2">
        <v>4.21</v>
      </c>
      <c r="AM2239" s="2">
        <v>6.06</v>
      </c>
      <c r="AN2239" s="2">
        <v>7.0000000000000007E-2</v>
      </c>
      <c r="AO2239" t="s">
        <v>11437</v>
      </c>
      <c r="AP2239" t="s">
        <v>11462</v>
      </c>
      <c r="AQ2239" t="s">
        <v>11461</v>
      </c>
    </row>
    <row r="2240" spans="1:43" x14ac:dyDescent="0.2">
      <c r="A2240" t="s">
        <v>12356</v>
      </c>
      <c r="B2240" t="s">
        <v>10900</v>
      </c>
      <c r="C2240" t="s">
        <v>11049</v>
      </c>
      <c r="D2240" t="s">
        <v>11467</v>
      </c>
      <c r="E2240" t="s">
        <v>11468</v>
      </c>
      <c r="F2240" t="s">
        <v>11467</v>
      </c>
      <c r="G2240" s="1">
        <v>5400000</v>
      </c>
      <c r="H2240" s="2">
        <v>5400000</v>
      </c>
      <c r="I2240" s="2">
        <v>5400720.9000000004</v>
      </c>
      <c r="J2240" s="2">
        <v>130857.53</v>
      </c>
      <c r="K2240" s="2">
        <v>0</v>
      </c>
      <c r="L2240" s="2">
        <v>5531578.4299999997</v>
      </c>
      <c r="M2240" s="3">
        <v>6.1</v>
      </c>
      <c r="N2240" s="4">
        <v>1.2584939999999999E-2</v>
      </c>
      <c r="O2240" s="5">
        <v>44710</v>
      </c>
      <c r="P2240" s="5">
        <v>44894</v>
      </c>
      <c r="Q2240" s="1">
        <v>6.1</v>
      </c>
      <c r="R2240" s="2">
        <v>0.57999999999999996</v>
      </c>
      <c r="S2240" s="6">
        <v>0.56198351300000005</v>
      </c>
      <c r="T2240" t="s">
        <v>111</v>
      </c>
      <c r="U2240" t="s">
        <v>111</v>
      </c>
      <c r="V2240" t="s">
        <v>114</v>
      </c>
      <c r="W2240" t="s">
        <v>43</v>
      </c>
      <c r="X2240" t="s">
        <v>44</v>
      </c>
      <c r="Y2240" t="s">
        <v>44</v>
      </c>
      <c r="Z2240" t="s">
        <v>44</v>
      </c>
      <c r="AA2240" t="s">
        <v>11465</v>
      </c>
      <c r="AB2240" t="s">
        <v>44</v>
      </c>
      <c r="AC2240" s="4">
        <v>6.1930249999999996</v>
      </c>
      <c r="AD2240" s="4">
        <v>6.0238935700000003</v>
      </c>
      <c r="AE2240" s="2">
        <v>6.19</v>
      </c>
      <c r="AF2240" s="4">
        <v>6.0238935700000003</v>
      </c>
      <c r="AG2240" s="2">
        <v>1.1200000000000001</v>
      </c>
      <c r="AH2240" s="2">
        <v>5531578.4299999997</v>
      </c>
      <c r="AI2240" s="2">
        <v>0.01</v>
      </c>
      <c r="AJ2240" s="5">
        <v>44673</v>
      </c>
      <c r="AK2240" t="s">
        <v>12357</v>
      </c>
      <c r="AL2240" s="2">
        <v>6.1</v>
      </c>
      <c r="AM2240" s="2">
        <v>6.1</v>
      </c>
      <c r="AN2240" s="2">
        <v>0.56000000000000005</v>
      </c>
      <c r="AO2240" t="s">
        <v>11469</v>
      </c>
      <c r="AP2240" t="s">
        <v>11470</v>
      </c>
      <c r="AQ2240" t="s">
        <v>11468</v>
      </c>
    </row>
    <row r="2241" spans="1:43" x14ac:dyDescent="0.2">
      <c r="A2241" t="s">
        <v>12356</v>
      </c>
      <c r="B2241" t="s">
        <v>10900</v>
      </c>
      <c r="C2241" t="s">
        <v>11049</v>
      </c>
      <c r="D2241" t="s">
        <v>11797</v>
      </c>
      <c r="E2241" t="s">
        <v>11798</v>
      </c>
      <c r="F2241" t="s">
        <v>11797</v>
      </c>
      <c r="G2241" s="1">
        <v>29140000</v>
      </c>
      <c r="H2241" s="2">
        <v>29140000</v>
      </c>
      <c r="I2241" s="2">
        <v>29627118.489999998</v>
      </c>
      <c r="J2241" s="2">
        <v>180261.64</v>
      </c>
      <c r="K2241" s="2">
        <v>0</v>
      </c>
      <c r="L2241" s="2">
        <v>29807380.129999999</v>
      </c>
      <c r="M2241" s="3">
        <v>5.7687520000000001</v>
      </c>
      <c r="N2241" s="4">
        <v>6.7815E-2</v>
      </c>
      <c r="O2241" s="5">
        <v>44742</v>
      </c>
      <c r="P2241" s="5">
        <v>44834</v>
      </c>
      <c r="Q2241" s="1">
        <v>9.8170000000000002</v>
      </c>
      <c r="R2241" s="2">
        <v>0.18</v>
      </c>
      <c r="S2241" s="6">
        <v>0.17046604942900001</v>
      </c>
      <c r="T2241" t="s">
        <v>111</v>
      </c>
      <c r="U2241" t="s">
        <v>111</v>
      </c>
      <c r="V2241" t="s">
        <v>11189</v>
      </c>
      <c r="W2241" t="s">
        <v>43</v>
      </c>
      <c r="X2241" t="s">
        <v>11034</v>
      </c>
      <c r="Y2241" t="s">
        <v>44</v>
      </c>
      <c r="Z2241" t="s">
        <v>44</v>
      </c>
      <c r="AA2241" t="s">
        <v>11035</v>
      </c>
      <c r="AB2241" t="s">
        <v>2680</v>
      </c>
      <c r="AC2241" s="4">
        <v>5.8519482600000003</v>
      </c>
      <c r="AD2241" s="4">
        <v>5.7006194399999996</v>
      </c>
      <c r="AE2241" s="2">
        <v>5.85</v>
      </c>
      <c r="AF2241" s="4">
        <v>5.7006194399999996</v>
      </c>
      <c r="AG2241" s="2">
        <v>6.05</v>
      </c>
      <c r="AH2241" s="2">
        <v>29807380.129999999</v>
      </c>
      <c r="AI2241" s="2">
        <v>7.0000000000000007E-2</v>
      </c>
      <c r="AJ2241" s="5">
        <v>44673</v>
      </c>
      <c r="AK2241" t="s">
        <v>12357</v>
      </c>
      <c r="AL2241" s="2">
        <v>5.77</v>
      </c>
      <c r="AM2241" s="2">
        <v>9.82</v>
      </c>
      <c r="AN2241" s="2">
        <v>0.17</v>
      </c>
      <c r="AO2241" t="s">
        <v>11496</v>
      </c>
      <c r="AP2241" t="s">
        <v>11799</v>
      </c>
      <c r="AQ2241" t="s">
        <v>11798</v>
      </c>
    </row>
    <row r="2242" spans="1:43" x14ac:dyDescent="0.2">
      <c r="A2242" t="s">
        <v>12356</v>
      </c>
      <c r="B2242" t="s">
        <v>10900</v>
      </c>
      <c r="C2242" t="s">
        <v>11033</v>
      </c>
      <c r="D2242" t="s">
        <v>11803</v>
      </c>
      <c r="E2242" t="s">
        <v>11804</v>
      </c>
      <c r="F2242" t="s">
        <v>11803</v>
      </c>
      <c r="G2242" s="1">
        <v>19199000</v>
      </c>
      <c r="H2242" s="2">
        <v>19199000</v>
      </c>
      <c r="I2242" s="2">
        <v>19427351.93</v>
      </c>
      <c r="J2242" s="2">
        <v>189369.47</v>
      </c>
      <c r="K2242" s="2">
        <v>0</v>
      </c>
      <c r="L2242" s="2">
        <v>19616721.399999999</v>
      </c>
      <c r="M2242" s="3">
        <v>5.9316740000000001</v>
      </c>
      <c r="N2242" s="4">
        <v>4.463015E-2</v>
      </c>
      <c r="O2242" s="5">
        <v>44711</v>
      </c>
      <c r="P2242" s="5">
        <v>45259</v>
      </c>
      <c r="Q2242" s="1">
        <v>6.6669999999999998</v>
      </c>
      <c r="R2242" s="2">
        <v>0.1</v>
      </c>
      <c r="S2242" s="6">
        <v>8.3360787894999996E-2</v>
      </c>
      <c r="T2242" t="s">
        <v>111</v>
      </c>
      <c r="U2242" t="s">
        <v>111</v>
      </c>
      <c r="V2242" t="s">
        <v>11189</v>
      </c>
      <c r="W2242" t="s">
        <v>43</v>
      </c>
      <c r="X2242" t="s">
        <v>11034</v>
      </c>
      <c r="Y2242" t="s">
        <v>44</v>
      </c>
      <c r="Z2242" t="s">
        <v>44</v>
      </c>
      <c r="AA2242" t="s">
        <v>10979</v>
      </c>
      <c r="AB2242" t="s">
        <v>44</v>
      </c>
      <c r="AC2242" s="4">
        <v>6.0196354200000002</v>
      </c>
      <c r="AD2242" s="4">
        <v>5.8596732400000002</v>
      </c>
      <c r="AE2242" s="2">
        <v>6.02</v>
      </c>
      <c r="AF2242" s="4">
        <v>5.8596732400000002</v>
      </c>
      <c r="AG2242" s="2">
        <v>3.98</v>
      </c>
      <c r="AH2242" s="2">
        <v>19616721.399999999</v>
      </c>
      <c r="AI2242" s="2">
        <v>0.04</v>
      </c>
      <c r="AJ2242" s="5">
        <v>44673</v>
      </c>
      <c r="AK2242" t="s">
        <v>12357</v>
      </c>
      <c r="AL2242" s="2">
        <v>5.93</v>
      </c>
      <c r="AM2242" s="2">
        <v>6.67</v>
      </c>
      <c r="AN2242" s="2">
        <v>0.08</v>
      </c>
      <c r="AO2242" t="s">
        <v>11165</v>
      </c>
      <c r="AP2242" t="s">
        <v>11805</v>
      </c>
      <c r="AQ2242" t="s">
        <v>11804</v>
      </c>
    </row>
    <row r="2243" spans="1:43" x14ac:dyDescent="0.2">
      <c r="A2243" t="s">
        <v>12356</v>
      </c>
      <c r="B2243" t="s">
        <v>10900</v>
      </c>
      <c r="C2243" t="s">
        <v>11033</v>
      </c>
      <c r="D2243" t="s">
        <v>11518</v>
      </c>
      <c r="E2243" t="s">
        <v>11519</v>
      </c>
      <c r="F2243" t="s">
        <v>11518</v>
      </c>
      <c r="G2243" s="1">
        <v>10000000</v>
      </c>
      <c r="H2243" s="2">
        <v>10000000</v>
      </c>
      <c r="I2243" s="2">
        <v>10031728.9</v>
      </c>
      <c r="J2243" s="2">
        <v>104318.36</v>
      </c>
      <c r="K2243" s="2">
        <v>0</v>
      </c>
      <c r="L2243" s="2">
        <v>10136047.26</v>
      </c>
      <c r="M2243" s="3">
        <v>6.0730570000000004</v>
      </c>
      <c r="N2243" s="4">
        <v>2.3060600000000001E-2</v>
      </c>
      <c r="O2243" s="5">
        <v>44704</v>
      </c>
      <c r="P2243" s="5">
        <v>45159</v>
      </c>
      <c r="Q2243" s="1">
        <v>6.242</v>
      </c>
      <c r="R2243" s="2">
        <v>0.08</v>
      </c>
      <c r="S2243" s="6">
        <v>5.9720457003999999E-2</v>
      </c>
      <c r="T2243" t="s">
        <v>111</v>
      </c>
      <c r="U2243" t="s">
        <v>111</v>
      </c>
      <c r="V2243" t="s">
        <v>11189</v>
      </c>
      <c r="W2243" t="s">
        <v>43</v>
      </c>
      <c r="X2243" t="s">
        <v>11034</v>
      </c>
      <c r="Y2243" t="s">
        <v>44</v>
      </c>
      <c r="Z2243" t="s">
        <v>44</v>
      </c>
      <c r="AA2243" t="s">
        <v>11441</v>
      </c>
      <c r="AB2243" t="s">
        <v>44</v>
      </c>
      <c r="AC2243" s="4">
        <v>6.1652619800000004</v>
      </c>
      <c r="AD2243" s="4">
        <v>5.9976152599999999</v>
      </c>
      <c r="AE2243" s="2">
        <v>6.17</v>
      </c>
      <c r="AF2243" s="4">
        <v>5.9976152599999999</v>
      </c>
      <c r="AG2243" s="2">
        <v>2.06</v>
      </c>
      <c r="AH2243" s="2">
        <v>10136047.26</v>
      </c>
      <c r="AI2243" s="2">
        <v>0.02</v>
      </c>
      <c r="AJ2243" s="5">
        <v>44673</v>
      </c>
      <c r="AK2243" t="s">
        <v>12357</v>
      </c>
      <c r="AL2243" s="2">
        <v>6.07</v>
      </c>
      <c r="AM2243" s="2">
        <v>6.24</v>
      </c>
      <c r="AN2243" s="2">
        <v>0.06</v>
      </c>
      <c r="AO2243" t="s">
        <v>11520</v>
      </c>
      <c r="AP2243" t="s">
        <v>11521</v>
      </c>
      <c r="AQ2243" t="s">
        <v>11519</v>
      </c>
    </row>
    <row r="2244" spans="1:43" x14ac:dyDescent="0.2">
      <c r="A2244" t="s">
        <v>12356</v>
      </c>
      <c r="B2244" t="s">
        <v>10900</v>
      </c>
      <c r="C2244" t="s">
        <v>11033</v>
      </c>
      <c r="D2244" t="s">
        <v>11815</v>
      </c>
      <c r="E2244" t="s">
        <v>11816</v>
      </c>
      <c r="F2244" t="s">
        <v>11815</v>
      </c>
      <c r="G2244" s="1">
        <v>11300000</v>
      </c>
      <c r="H2244" s="2">
        <v>11300000</v>
      </c>
      <c r="I2244" s="2">
        <v>11299398.960000001</v>
      </c>
      <c r="J2244" s="2">
        <v>125844.54</v>
      </c>
      <c r="K2244" s="2">
        <v>0</v>
      </c>
      <c r="L2244" s="2">
        <v>11425243.5</v>
      </c>
      <c r="M2244" s="3">
        <v>6.1638650000000004</v>
      </c>
      <c r="N2244" s="4">
        <v>2.5993659999999998E-2</v>
      </c>
      <c r="O2244" s="5">
        <v>44697</v>
      </c>
      <c r="P2244" s="5">
        <v>45519</v>
      </c>
      <c r="Q2244" s="1">
        <v>6.0670000000000002</v>
      </c>
      <c r="R2244" s="2">
        <v>0.06</v>
      </c>
      <c r="S2244" s="6">
        <v>2.7386669091000002E-2</v>
      </c>
      <c r="T2244" t="s">
        <v>111</v>
      </c>
      <c r="U2244" t="s">
        <v>111</v>
      </c>
      <c r="V2244" t="s">
        <v>11189</v>
      </c>
      <c r="W2244" t="s">
        <v>43</v>
      </c>
      <c r="X2244" t="s">
        <v>11034</v>
      </c>
      <c r="Y2244" t="s">
        <v>44</v>
      </c>
      <c r="Z2244" t="s">
        <v>44</v>
      </c>
      <c r="AA2244" t="s">
        <v>11225</v>
      </c>
      <c r="AB2244" t="s">
        <v>44</v>
      </c>
      <c r="AC2244" s="4">
        <v>6.2588480500000001</v>
      </c>
      <c r="AD2244" s="4">
        <v>6.0861713799999997</v>
      </c>
      <c r="AE2244" s="2">
        <v>6.26</v>
      </c>
      <c r="AF2244" s="4">
        <v>6.0861713799999997</v>
      </c>
      <c r="AG2244" s="2">
        <v>2.3199999999999998</v>
      </c>
      <c r="AH2244" s="2">
        <v>11425243.5</v>
      </c>
      <c r="AI2244" s="2">
        <v>0.03</v>
      </c>
      <c r="AJ2244" s="5">
        <v>44673</v>
      </c>
      <c r="AK2244" t="s">
        <v>12357</v>
      </c>
      <c r="AL2244" s="2">
        <v>6.16</v>
      </c>
      <c r="AM2244" s="2">
        <v>6.07</v>
      </c>
      <c r="AN2244" s="2">
        <v>0.03</v>
      </c>
      <c r="AO2244" t="s">
        <v>11817</v>
      </c>
      <c r="AP2244" t="s">
        <v>11818</v>
      </c>
      <c r="AQ2244" t="s">
        <v>11816</v>
      </c>
    </row>
    <row r="2245" spans="1:43" x14ac:dyDescent="0.2">
      <c r="A2245" t="s">
        <v>12356</v>
      </c>
      <c r="B2245" t="s">
        <v>10900</v>
      </c>
      <c r="C2245" t="s">
        <v>11033</v>
      </c>
      <c r="D2245" t="s">
        <v>11826</v>
      </c>
      <c r="E2245" t="s">
        <v>11827</v>
      </c>
      <c r="F2245" t="s">
        <v>11826</v>
      </c>
      <c r="G2245" s="1">
        <v>20000000</v>
      </c>
      <c r="H2245" s="2">
        <v>20000000</v>
      </c>
      <c r="I2245" s="2">
        <v>19865362.149999999</v>
      </c>
      <c r="J2245" s="2">
        <v>117212.05</v>
      </c>
      <c r="K2245" s="2">
        <v>0</v>
      </c>
      <c r="L2245" s="2">
        <v>19982574.199999999</v>
      </c>
      <c r="M2245" s="3">
        <v>6.1816829999999996</v>
      </c>
      <c r="N2245" s="4">
        <v>4.5462509999999998E-2</v>
      </c>
      <c r="O2245" s="5">
        <v>44732</v>
      </c>
      <c r="P2245" s="5">
        <v>45644</v>
      </c>
      <c r="Q2245" s="1">
        <v>5.9420000000000002</v>
      </c>
      <c r="R2245" s="2">
        <v>0.15</v>
      </c>
      <c r="S2245" s="6">
        <v>0.106811678077</v>
      </c>
      <c r="T2245" t="s">
        <v>111</v>
      </c>
      <c r="U2245" t="s">
        <v>111</v>
      </c>
      <c r="V2245" t="s">
        <v>11189</v>
      </c>
      <c r="W2245" t="s">
        <v>43</v>
      </c>
      <c r="X2245" t="s">
        <v>11034</v>
      </c>
      <c r="Y2245" t="s">
        <v>44</v>
      </c>
      <c r="Z2245" t="s">
        <v>44</v>
      </c>
      <c r="AA2245" t="s">
        <v>10979</v>
      </c>
      <c r="AB2245" t="s">
        <v>44</v>
      </c>
      <c r="AC2245" s="4">
        <v>6.2772158899999999</v>
      </c>
      <c r="AD2245" s="4">
        <v>6.10354361</v>
      </c>
      <c r="AE2245" s="2">
        <v>6.28</v>
      </c>
      <c r="AF2245" s="4">
        <v>6.10354361</v>
      </c>
      <c r="AG2245" s="2">
        <v>4.05</v>
      </c>
      <c r="AH2245" s="2">
        <v>19982574.199999999</v>
      </c>
      <c r="AI2245" s="2">
        <v>0.05</v>
      </c>
      <c r="AJ2245" s="5">
        <v>44673</v>
      </c>
      <c r="AK2245" t="s">
        <v>12357</v>
      </c>
      <c r="AL2245" s="2">
        <v>6.18</v>
      </c>
      <c r="AM2245" s="2">
        <v>5.94</v>
      </c>
      <c r="AN2245" s="2">
        <v>0.11</v>
      </c>
      <c r="AO2245" t="s">
        <v>11824</v>
      </c>
      <c r="AP2245" t="s">
        <v>11828</v>
      </c>
      <c r="AQ2245" t="s">
        <v>11827</v>
      </c>
    </row>
    <row r="2246" spans="1:43" x14ac:dyDescent="0.2">
      <c r="A2246" t="s">
        <v>12356</v>
      </c>
      <c r="B2246" t="s">
        <v>10900</v>
      </c>
      <c r="C2246" t="s">
        <v>11033</v>
      </c>
      <c r="D2246" t="s">
        <v>12841</v>
      </c>
      <c r="E2246" t="s">
        <v>12842</v>
      </c>
      <c r="F2246" t="s">
        <v>12841</v>
      </c>
      <c r="G2246" s="1">
        <v>4900000</v>
      </c>
      <c r="H2246" s="2">
        <v>4900000</v>
      </c>
      <c r="I2246" s="2">
        <v>4900127.12</v>
      </c>
      <c r="J2246" s="2">
        <v>19627.919999999998</v>
      </c>
      <c r="K2246" s="2">
        <v>0</v>
      </c>
      <c r="L2246" s="2">
        <v>4919755.04</v>
      </c>
      <c r="M2246" s="3">
        <v>5.8547310000000001</v>
      </c>
      <c r="N2246" s="4">
        <v>1.119297E-2</v>
      </c>
      <c r="O2246" s="5">
        <v>44679</v>
      </c>
      <c r="P2246" s="5">
        <v>45044</v>
      </c>
      <c r="Q2246" s="1">
        <v>6.0919999999999996</v>
      </c>
      <c r="R2246" s="2">
        <v>0.01</v>
      </c>
      <c r="S2246" s="6">
        <v>-3.847892072E-3</v>
      </c>
      <c r="T2246" t="s">
        <v>111</v>
      </c>
      <c r="U2246" t="s">
        <v>111</v>
      </c>
      <c r="V2246" t="s">
        <v>114</v>
      </c>
      <c r="W2246" t="s">
        <v>43</v>
      </c>
      <c r="X2246" t="s">
        <v>44</v>
      </c>
      <c r="Y2246" t="s">
        <v>44</v>
      </c>
      <c r="Z2246" t="s">
        <v>44</v>
      </c>
      <c r="AA2246" t="s">
        <v>10979</v>
      </c>
      <c r="AB2246" t="s">
        <v>44</v>
      </c>
      <c r="AC2246" s="4">
        <v>5.9404258900000002</v>
      </c>
      <c r="AD2246" s="4">
        <v>5.7845705699999996</v>
      </c>
      <c r="AE2246" s="2">
        <v>5.94</v>
      </c>
      <c r="AF2246" s="4">
        <v>5.7845705699999996</v>
      </c>
      <c r="AG2246" s="2">
        <v>1</v>
      </c>
      <c r="AH2246" s="2">
        <v>4919755.04</v>
      </c>
      <c r="AI2246" s="2">
        <v>0.01</v>
      </c>
      <c r="AJ2246" s="5">
        <v>44673</v>
      </c>
      <c r="AK2246" t="s">
        <v>12357</v>
      </c>
      <c r="AL2246" s="2">
        <v>5.85</v>
      </c>
      <c r="AM2246" s="2">
        <v>6.09</v>
      </c>
      <c r="AN2246" s="2">
        <v>0</v>
      </c>
      <c r="AO2246" t="s">
        <v>11165</v>
      </c>
      <c r="AP2246" t="s">
        <v>12843</v>
      </c>
      <c r="AQ2246" t="s">
        <v>12842</v>
      </c>
    </row>
    <row r="2247" spans="1:43" x14ac:dyDescent="0.2">
      <c r="A2247" t="s">
        <v>12356</v>
      </c>
      <c r="B2247" t="s">
        <v>10900</v>
      </c>
      <c r="C2247" t="s">
        <v>11033</v>
      </c>
      <c r="D2247" t="s">
        <v>11829</v>
      </c>
      <c r="E2247" t="s">
        <v>11830</v>
      </c>
      <c r="F2247" t="s">
        <v>11829</v>
      </c>
      <c r="G2247" s="1">
        <v>6990000</v>
      </c>
      <c r="H2247" s="2">
        <v>6990000</v>
      </c>
      <c r="I2247" s="2">
        <v>6989107.8799999999</v>
      </c>
      <c r="J2247" s="2">
        <v>53257.86</v>
      </c>
      <c r="K2247" s="2">
        <v>0</v>
      </c>
      <c r="L2247" s="2">
        <v>7042365.7400000002</v>
      </c>
      <c r="M2247" s="3">
        <v>5.9678570000000004</v>
      </c>
      <c r="N2247" s="4">
        <v>1.6022140000000001E-2</v>
      </c>
      <c r="O2247" s="5">
        <v>44719</v>
      </c>
      <c r="P2247" s="5">
        <v>45723</v>
      </c>
      <c r="Q2247" s="1">
        <v>5.9169999999999998</v>
      </c>
      <c r="R2247" s="2">
        <v>0.12</v>
      </c>
      <c r="S2247" s="6">
        <v>8.2443218371999999E-2</v>
      </c>
      <c r="T2247" t="s">
        <v>111</v>
      </c>
      <c r="U2247" t="s">
        <v>111</v>
      </c>
      <c r="V2247" t="s">
        <v>11189</v>
      </c>
      <c r="W2247" t="s">
        <v>43</v>
      </c>
      <c r="X2247" t="s">
        <v>11034</v>
      </c>
      <c r="Y2247" t="s">
        <v>44</v>
      </c>
      <c r="Z2247" t="s">
        <v>44</v>
      </c>
      <c r="AA2247" t="s">
        <v>11035</v>
      </c>
      <c r="AB2247" t="s">
        <v>44</v>
      </c>
      <c r="AC2247" s="4">
        <v>6.0568952400000002</v>
      </c>
      <c r="AD2247" s="4">
        <v>5.8949834299999999</v>
      </c>
      <c r="AE2247" s="2">
        <v>6.06</v>
      </c>
      <c r="AF2247" s="4">
        <v>5.8949834299999999</v>
      </c>
      <c r="AG2247" s="2">
        <v>1.43</v>
      </c>
      <c r="AH2247" s="2">
        <v>7042365.7400000002</v>
      </c>
      <c r="AI2247" s="2">
        <v>0.02</v>
      </c>
      <c r="AJ2247" s="5">
        <v>44673</v>
      </c>
      <c r="AK2247" t="s">
        <v>12357</v>
      </c>
      <c r="AL2247" s="2">
        <v>5.97</v>
      </c>
      <c r="AM2247" s="2">
        <v>5.92</v>
      </c>
      <c r="AN2247" s="2">
        <v>0.08</v>
      </c>
      <c r="AO2247" t="s">
        <v>11437</v>
      </c>
      <c r="AP2247" t="s">
        <v>11831</v>
      </c>
      <c r="AQ2247" t="s">
        <v>11830</v>
      </c>
    </row>
    <row r="2248" spans="1:43" x14ac:dyDescent="0.2">
      <c r="A2248" t="s">
        <v>12356</v>
      </c>
      <c r="B2248" t="s">
        <v>10900</v>
      </c>
      <c r="C2248" t="s">
        <v>11033</v>
      </c>
      <c r="D2248" t="s">
        <v>12982</v>
      </c>
      <c r="E2248" t="s">
        <v>12983</v>
      </c>
      <c r="F2248" t="s">
        <v>12982</v>
      </c>
      <c r="G2248" s="1">
        <v>5400000</v>
      </c>
      <c r="H2248" s="2">
        <v>5400000</v>
      </c>
      <c r="I2248" s="2">
        <v>5628667.2000000002</v>
      </c>
      <c r="J2248" s="2">
        <v>69292.95</v>
      </c>
      <c r="K2248" s="2">
        <v>0</v>
      </c>
      <c r="L2248" s="2">
        <v>5697960.1500000004</v>
      </c>
      <c r="M2248" s="3">
        <v>6.0747210000000003</v>
      </c>
      <c r="N2248" s="4">
        <v>1.296347E-2</v>
      </c>
      <c r="O2248" s="5">
        <v>44706</v>
      </c>
      <c r="P2248" s="5">
        <v>45439</v>
      </c>
      <c r="Q2248" s="1">
        <v>8.2170000000000005</v>
      </c>
      <c r="R2248" s="2">
        <v>0.08</v>
      </c>
      <c r="S2248" s="6">
        <v>9.4979191527000004E-2</v>
      </c>
      <c r="T2248" t="s">
        <v>111</v>
      </c>
      <c r="U2248" t="s">
        <v>111</v>
      </c>
      <c r="V2248" t="s">
        <v>11189</v>
      </c>
      <c r="W2248" t="s">
        <v>43</v>
      </c>
      <c r="X2248" t="s">
        <v>11034</v>
      </c>
      <c r="Y2248" t="s">
        <v>44</v>
      </c>
      <c r="Z2248" t="s">
        <v>44</v>
      </c>
      <c r="AA2248" t="s">
        <v>44</v>
      </c>
      <c r="AB2248" t="s">
        <v>44</v>
      </c>
      <c r="AC2248" s="4">
        <v>6.1669761000000003</v>
      </c>
      <c r="AD2248" s="4">
        <v>5.9992378899999999</v>
      </c>
      <c r="AE2248" s="2">
        <v>6.17</v>
      </c>
      <c r="AF2248" s="4">
        <v>5.9992378899999999</v>
      </c>
      <c r="AG2248" s="2">
        <v>1.1599999999999999</v>
      </c>
      <c r="AH2248" s="2">
        <v>5697960.1500000004</v>
      </c>
      <c r="AI2248" s="2">
        <v>0.01</v>
      </c>
      <c r="AJ2248" s="5">
        <v>44673</v>
      </c>
      <c r="AK2248" t="s">
        <v>12357</v>
      </c>
      <c r="AL2248" s="2">
        <v>6.07</v>
      </c>
      <c r="AM2248" s="2">
        <v>8.2200000000000006</v>
      </c>
      <c r="AN2248" s="2">
        <v>0.09</v>
      </c>
      <c r="AO2248" t="s">
        <v>12984</v>
      </c>
      <c r="AP2248" t="s">
        <v>12985</v>
      </c>
      <c r="AQ2248" t="s">
        <v>12983</v>
      </c>
    </row>
    <row r="2249" spans="1:43" x14ac:dyDescent="0.2">
      <c r="A2249" t="s">
        <v>12356</v>
      </c>
      <c r="B2249" t="s">
        <v>10900</v>
      </c>
      <c r="C2249" t="s">
        <v>11033</v>
      </c>
      <c r="D2249" t="s">
        <v>11843</v>
      </c>
      <c r="E2249" t="s">
        <v>11844</v>
      </c>
      <c r="F2249" t="s">
        <v>11843</v>
      </c>
      <c r="G2249" s="1">
        <v>15686000</v>
      </c>
      <c r="H2249" s="2">
        <v>15686000</v>
      </c>
      <c r="I2249" s="2">
        <v>15615234.59</v>
      </c>
      <c r="J2249" s="2">
        <v>11660.07</v>
      </c>
      <c r="K2249" s="2">
        <v>0</v>
      </c>
      <c r="L2249" s="2">
        <v>15626894.66</v>
      </c>
      <c r="M2249" s="3">
        <v>6.9820180000000001</v>
      </c>
      <c r="N2249" s="4">
        <v>3.555287E-2</v>
      </c>
      <c r="O2249" s="5">
        <v>44760</v>
      </c>
      <c r="P2249" s="5">
        <v>45398</v>
      </c>
      <c r="Q2249" s="1">
        <v>6.7830000000000004</v>
      </c>
      <c r="R2249" s="2">
        <v>0.23</v>
      </c>
      <c r="S2249" s="6">
        <v>0.182016060841</v>
      </c>
      <c r="T2249" t="s">
        <v>111</v>
      </c>
      <c r="U2249" t="s">
        <v>111</v>
      </c>
      <c r="V2249" t="s">
        <v>11189</v>
      </c>
      <c r="W2249" t="s">
        <v>43</v>
      </c>
      <c r="X2249" t="s">
        <v>11034</v>
      </c>
      <c r="Y2249" t="s">
        <v>44</v>
      </c>
      <c r="Z2249" t="s">
        <v>44</v>
      </c>
      <c r="AA2249" t="s">
        <v>10979</v>
      </c>
      <c r="AB2249" t="s">
        <v>44</v>
      </c>
      <c r="AC2249" s="4">
        <v>7.1038890300000004</v>
      </c>
      <c r="AD2249" s="4">
        <v>6.8825725699999998</v>
      </c>
      <c r="AE2249" s="2">
        <v>7.1</v>
      </c>
      <c r="AF2249" s="4">
        <v>6.8825725699999998</v>
      </c>
      <c r="AG2249" s="2">
        <v>3.17</v>
      </c>
      <c r="AH2249" s="2">
        <v>15626894.66</v>
      </c>
      <c r="AI2249" s="2">
        <v>0.04</v>
      </c>
      <c r="AJ2249" s="5">
        <v>44673</v>
      </c>
      <c r="AK2249" t="s">
        <v>12357</v>
      </c>
      <c r="AL2249" s="2">
        <v>6.98</v>
      </c>
      <c r="AM2249" s="2">
        <v>6.78</v>
      </c>
      <c r="AN2249" s="2">
        <v>0.18</v>
      </c>
      <c r="AO2249" t="s">
        <v>11179</v>
      </c>
      <c r="AP2249" t="s">
        <v>11845</v>
      </c>
      <c r="AQ2249" t="s">
        <v>11844</v>
      </c>
    </row>
    <row r="2250" spans="1:43" x14ac:dyDescent="0.2">
      <c r="A2250" t="s">
        <v>12356</v>
      </c>
      <c r="B2250" t="s">
        <v>10900</v>
      </c>
      <c r="C2250" t="s">
        <v>10943</v>
      </c>
      <c r="D2250" t="s">
        <v>11552</v>
      </c>
      <c r="E2250" t="s">
        <v>11553</v>
      </c>
      <c r="F2250" t="s">
        <v>11552</v>
      </c>
      <c r="G2250" s="1">
        <v>2500000</v>
      </c>
      <c r="H2250" s="2">
        <v>2500000</v>
      </c>
      <c r="I2250" s="2">
        <v>2500008.59</v>
      </c>
      <c r="J2250" s="2">
        <v>31721.64</v>
      </c>
      <c r="K2250" s="2">
        <v>0</v>
      </c>
      <c r="L2250" s="2">
        <v>2531730.23</v>
      </c>
      <c r="M2250" s="3">
        <v>5.7189139999999998</v>
      </c>
      <c r="N2250" s="4">
        <v>5.7599599999999997E-3</v>
      </c>
      <c r="O2250" s="5">
        <v>44684</v>
      </c>
      <c r="P2250" s="5">
        <v>46418</v>
      </c>
      <c r="Q2250" s="1">
        <v>5.6479999999999997</v>
      </c>
      <c r="R2250" s="2">
        <v>0.02</v>
      </c>
      <c r="S2250" s="6">
        <v>-2.0490922419E-2</v>
      </c>
      <c r="T2250" t="s">
        <v>111</v>
      </c>
      <c r="U2250" t="s">
        <v>111</v>
      </c>
      <c r="V2250" t="s">
        <v>11189</v>
      </c>
      <c r="W2250" t="s">
        <v>43</v>
      </c>
      <c r="X2250" t="s">
        <v>11034</v>
      </c>
      <c r="Y2250" t="s">
        <v>44</v>
      </c>
      <c r="Z2250" t="s">
        <v>44</v>
      </c>
      <c r="AA2250" t="s">
        <v>10979</v>
      </c>
      <c r="AB2250" t="s">
        <v>44</v>
      </c>
      <c r="AC2250" s="4">
        <v>5.8006784400000004</v>
      </c>
      <c r="AD2250" s="4">
        <v>5.6519431300000003</v>
      </c>
      <c r="AE2250" s="2">
        <v>5.8</v>
      </c>
      <c r="AF2250" s="4">
        <v>5.6519431300000003</v>
      </c>
      <c r="AG2250" s="2">
        <v>0.51</v>
      </c>
      <c r="AH2250" s="2">
        <v>2531730.23</v>
      </c>
      <c r="AI2250" s="2">
        <v>0.01</v>
      </c>
      <c r="AJ2250" s="5">
        <v>44673</v>
      </c>
      <c r="AK2250" t="s">
        <v>12357</v>
      </c>
      <c r="AL2250" s="2">
        <v>5.72</v>
      </c>
      <c r="AM2250" s="2">
        <v>5.65</v>
      </c>
      <c r="AN2250" s="2">
        <v>-0.02</v>
      </c>
      <c r="AO2250" t="s">
        <v>11048</v>
      </c>
      <c r="AP2250" t="s">
        <v>11554</v>
      </c>
      <c r="AQ2250" t="s">
        <v>11553</v>
      </c>
    </row>
    <row r="2251" spans="1:43" x14ac:dyDescent="0.2">
      <c r="A2251" t="s">
        <v>12356</v>
      </c>
      <c r="B2251" t="s">
        <v>10900</v>
      </c>
      <c r="C2251" t="s">
        <v>10943</v>
      </c>
      <c r="D2251" t="s">
        <v>11555</v>
      </c>
      <c r="E2251" t="s">
        <v>11556</v>
      </c>
      <c r="F2251" t="s">
        <v>11555</v>
      </c>
      <c r="G2251" s="1">
        <v>5500000</v>
      </c>
      <c r="H2251" s="2">
        <v>5500000</v>
      </c>
      <c r="I2251" s="2">
        <v>5394779.5</v>
      </c>
      <c r="J2251" s="2">
        <v>113495.89</v>
      </c>
      <c r="K2251" s="2">
        <v>0</v>
      </c>
      <c r="L2251" s="2">
        <v>5508275.3899999997</v>
      </c>
      <c r="M2251" s="3">
        <v>9.9250000000000007</v>
      </c>
      <c r="N2251" s="4">
        <v>1.253192E-2</v>
      </c>
      <c r="O2251" s="5">
        <v>44775</v>
      </c>
      <c r="P2251" s="5">
        <v>46420</v>
      </c>
      <c r="Q2251" s="1">
        <v>9.4149999999999991</v>
      </c>
      <c r="R2251" s="2">
        <v>3.86</v>
      </c>
      <c r="S2251" s="6">
        <v>3.6810259830000001</v>
      </c>
      <c r="T2251" t="s">
        <v>111</v>
      </c>
      <c r="U2251" t="s">
        <v>111</v>
      </c>
      <c r="V2251" t="s">
        <v>10944</v>
      </c>
      <c r="W2251" t="s">
        <v>43</v>
      </c>
      <c r="X2251" t="s">
        <v>44</v>
      </c>
      <c r="Y2251" t="s">
        <v>44</v>
      </c>
      <c r="Z2251" t="s">
        <v>44</v>
      </c>
      <c r="AA2251" t="s">
        <v>10979</v>
      </c>
      <c r="AB2251" t="s">
        <v>44</v>
      </c>
      <c r="AC2251" s="4">
        <v>10.17126406</v>
      </c>
      <c r="AD2251" s="4">
        <v>9.72579277</v>
      </c>
      <c r="AE2251" s="2">
        <v>10.17</v>
      </c>
      <c r="AF2251" s="4">
        <v>9.72579277</v>
      </c>
      <c r="AG2251" s="2">
        <v>1.1200000000000001</v>
      </c>
      <c r="AH2251" s="2">
        <v>5508275.3899999997</v>
      </c>
      <c r="AI2251" s="2">
        <v>0.01</v>
      </c>
      <c r="AJ2251" s="5">
        <v>44673</v>
      </c>
      <c r="AK2251" t="s">
        <v>12357</v>
      </c>
      <c r="AL2251" s="2">
        <v>9.93</v>
      </c>
      <c r="AM2251" s="2">
        <v>9.41</v>
      </c>
      <c r="AN2251" s="2">
        <v>3.68</v>
      </c>
      <c r="AO2251" t="s">
        <v>11048</v>
      </c>
      <c r="AP2251" t="s">
        <v>11557</v>
      </c>
      <c r="AQ2251" t="s">
        <v>11556</v>
      </c>
    </row>
    <row r="2252" spans="1:43" x14ac:dyDescent="0.2">
      <c r="A2252" t="s">
        <v>12356</v>
      </c>
      <c r="B2252" t="s">
        <v>10900</v>
      </c>
      <c r="C2252" t="s">
        <v>10943</v>
      </c>
      <c r="D2252" t="s">
        <v>11558</v>
      </c>
      <c r="E2252" t="s">
        <v>11559</v>
      </c>
      <c r="F2252" t="s">
        <v>11558</v>
      </c>
      <c r="G2252" s="1">
        <v>6500000</v>
      </c>
      <c r="H2252" s="2">
        <v>6500000</v>
      </c>
      <c r="I2252" s="2">
        <v>6398621.4500000002</v>
      </c>
      <c r="J2252" s="2">
        <v>5809.04</v>
      </c>
      <c r="K2252" s="2">
        <v>0</v>
      </c>
      <c r="L2252" s="2">
        <v>6404430.4900000002</v>
      </c>
      <c r="M2252" s="3">
        <v>8.625</v>
      </c>
      <c r="N2252" s="4">
        <v>1.457077E-2</v>
      </c>
      <c r="O2252" s="5">
        <v>44853</v>
      </c>
      <c r="P2252" s="5">
        <v>46131</v>
      </c>
      <c r="Q2252" s="1">
        <v>8.1549999999999994</v>
      </c>
      <c r="R2252" s="2">
        <v>3.47</v>
      </c>
      <c r="S2252" s="6">
        <v>3.327828963</v>
      </c>
      <c r="T2252" t="s">
        <v>111</v>
      </c>
      <c r="U2252" t="s">
        <v>111</v>
      </c>
      <c r="V2252" t="s">
        <v>10944</v>
      </c>
      <c r="W2252" t="s">
        <v>43</v>
      </c>
      <c r="X2252" t="s">
        <v>44</v>
      </c>
      <c r="Y2252" t="s">
        <v>44</v>
      </c>
      <c r="Z2252" t="s">
        <v>44</v>
      </c>
      <c r="AA2252" t="s">
        <v>10979</v>
      </c>
      <c r="AB2252" t="s">
        <v>44</v>
      </c>
      <c r="AC2252" s="4">
        <v>8.8109765600000003</v>
      </c>
      <c r="AD2252" s="4">
        <v>8.4739831300000006</v>
      </c>
      <c r="AE2252" s="2">
        <v>8.81</v>
      </c>
      <c r="AF2252" s="4">
        <v>8.4739831300000006</v>
      </c>
      <c r="AG2252" s="2">
        <v>1.3</v>
      </c>
      <c r="AH2252" s="2">
        <v>6404430.4900000002</v>
      </c>
      <c r="AI2252" s="2">
        <v>0.01</v>
      </c>
      <c r="AJ2252" s="5">
        <v>44673</v>
      </c>
      <c r="AK2252" t="s">
        <v>12357</v>
      </c>
      <c r="AL2252" s="2">
        <v>8.6300000000000008</v>
      </c>
      <c r="AM2252" s="2">
        <v>8.15</v>
      </c>
      <c r="AN2252" s="2">
        <v>3.33</v>
      </c>
      <c r="AO2252" t="s">
        <v>11054</v>
      </c>
      <c r="AP2252" t="s">
        <v>11560</v>
      </c>
      <c r="AQ2252" t="s">
        <v>11559</v>
      </c>
    </row>
    <row r="2253" spans="1:43" x14ac:dyDescent="0.2">
      <c r="A2253" t="s">
        <v>12356</v>
      </c>
      <c r="B2253" t="s">
        <v>10900</v>
      </c>
      <c r="C2253" t="s">
        <v>10943</v>
      </c>
      <c r="D2253" t="s">
        <v>11569</v>
      </c>
      <c r="E2253" t="s">
        <v>11570</v>
      </c>
      <c r="F2253" t="s">
        <v>11569</v>
      </c>
      <c r="G2253" s="1">
        <v>11300000</v>
      </c>
      <c r="H2253" s="2">
        <v>11300000</v>
      </c>
      <c r="I2253" s="2">
        <v>11361064.310000001</v>
      </c>
      <c r="J2253" s="2">
        <v>154728.26999999999</v>
      </c>
      <c r="K2253" s="2">
        <v>0</v>
      </c>
      <c r="L2253" s="2">
        <v>11515792.58</v>
      </c>
      <c r="M2253" s="3">
        <v>8.5241640000000007</v>
      </c>
      <c r="N2253" s="4">
        <v>2.6199670000000001E-2</v>
      </c>
      <c r="O2253" s="5">
        <v>44705</v>
      </c>
      <c r="P2253" s="5">
        <v>46166</v>
      </c>
      <c r="Q2253" s="1">
        <v>8.6170000000000009</v>
      </c>
      <c r="R2253" s="2">
        <v>0.08</v>
      </c>
      <c r="S2253" s="6">
        <v>-9.3404076700000001E-3</v>
      </c>
      <c r="T2253" t="s">
        <v>111</v>
      </c>
      <c r="U2253" t="s">
        <v>111</v>
      </c>
      <c r="V2253" t="s">
        <v>11189</v>
      </c>
      <c r="W2253" t="s">
        <v>43</v>
      </c>
      <c r="X2253" t="s">
        <v>11034</v>
      </c>
      <c r="Y2253" t="s">
        <v>44</v>
      </c>
      <c r="Z2253" t="s">
        <v>44</v>
      </c>
      <c r="AA2253" t="s">
        <v>11035</v>
      </c>
      <c r="AB2253" t="s">
        <v>44</v>
      </c>
      <c r="AC2253" s="4">
        <v>8.7058170199999996</v>
      </c>
      <c r="AD2253" s="4">
        <v>8.3766132899999999</v>
      </c>
      <c r="AE2253" s="2">
        <v>8.7100000000000009</v>
      </c>
      <c r="AF2253" s="4">
        <v>8.3766132899999999</v>
      </c>
      <c r="AG2253" s="2">
        <v>2.34</v>
      </c>
      <c r="AH2253" s="2">
        <v>11515792.58</v>
      </c>
      <c r="AI2253" s="2">
        <v>0.03</v>
      </c>
      <c r="AJ2253" s="5">
        <v>44673</v>
      </c>
      <c r="AK2253" t="s">
        <v>12357</v>
      </c>
      <c r="AL2253" s="2">
        <v>8.52</v>
      </c>
      <c r="AM2253" s="2">
        <v>8.6199999999999992</v>
      </c>
      <c r="AN2253" s="2">
        <v>-0.01</v>
      </c>
      <c r="AO2253" t="s">
        <v>11226</v>
      </c>
      <c r="AP2253" t="s">
        <v>11571</v>
      </c>
      <c r="AQ2253" t="s">
        <v>11570</v>
      </c>
    </row>
    <row r="2254" spans="1:43" x14ac:dyDescent="0.2">
      <c r="A2254" t="s">
        <v>12356</v>
      </c>
      <c r="B2254" t="s">
        <v>10900</v>
      </c>
      <c r="C2254" t="s">
        <v>10943</v>
      </c>
      <c r="D2254" t="s">
        <v>11572</v>
      </c>
      <c r="E2254" t="s">
        <v>11573</v>
      </c>
      <c r="F2254" t="s">
        <v>11572</v>
      </c>
      <c r="G2254" s="1">
        <v>5300000</v>
      </c>
      <c r="H2254" s="2">
        <v>5300000</v>
      </c>
      <c r="I2254" s="2">
        <v>5299523.08</v>
      </c>
      <c r="J2254" s="2">
        <v>29700.91</v>
      </c>
      <c r="K2254" s="2">
        <v>0</v>
      </c>
      <c r="L2254" s="2">
        <v>5329223.99</v>
      </c>
      <c r="M2254" s="3">
        <v>6.3514429999999997</v>
      </c>
      <c r="N2254" s="4">
        <v>1.212456E-2</v>
      </c>
      <c r="O2254" s="5">
        <v>44734</v>
      </c>
      <c r="P2254" s="5">
        <v>46468</v>
      </c>
      <c r="Q2254" s="1">
        <v>6.3920000000000003</v>
      </c>
      <c r="R2254" s="2">
        <v>0.16</v>
      </c>
      <c r="S2254" s="6">
        <v>9.4330326845999998E-2</v>
      </c>
      <c r="T2254" t="s">
        <v>111</v>
      </c>
      <c r="U2254" t="s">
        <v>111</v>
      </c>
      <c r="V2254" t="s">
        <v>11189</v>
      </c>
      <c r="W2254" t="s">
        <v>43</v>
      </c>
      <c r="X2254" t="s">
        <v>11034</v>
      </c>
      <c r="Y2254" t="s">
        <v>44</v>
      </c>
      <c r="Z2254" t="s">
        <v>44</v>
      </c>
      <c r="AA2254" t="s">
        <v>11035</v>
      </c>
      <c r="AB2254" t="s">
        <v>44</v>
      </c>
      <c r="AC2254" s="4">
        <v>6.4522949799999996</v>
      </c>
      <c r="AD2254" s="4">
        <v>6.2689947500000001</v>
      </c>
      <c r="AE2254" s="2">
        <v>6.45</v>
      </c>
      <c r="AF2254" s="4">
        <v>6.2689947500000001</v>
      </c>
      <c r="AG2254" s="2">
        <v>1.08</v>
      </c>
      <c r="AH2254" s="2">
        <v>5329223.99</v>
      </c>
      <c r="AI2254" s="2">
        <v>0.01</v>
      </c>
      <c r="AJ2254" s="5">
        <v>44673</v>
      </c>
      <c r="AK2254" t="s">
        <v>12357</v>
      </c>
      <c r="AL2254" s="2">
        <v>6.35</v>
      </c>
      <c r="AM2254" s="2">
        <v>6.39</v>
      </c>
      <c r="AN2254" s="2">
        <v>0.09</v>
      </c>
      <c r="AO2254" t="s">
        <v>11226</v>
      </c>
      <c r="AP2254" t="s">
        <v>11574</v>
      </c>
      <c r="AQ2254" t="s">
        <v>11573</v>
      </c>
    </row>
    <row r="2255" spans="1:43" x14ac:dyDescent="0.2">
      <c r="A2255" t="s">
        <v>12356</v>
      </c>
      <c r="B2255" t="s">
        <v>10900</v>
      </c>
      <c r="C2255" t="s">
        <v>10943</v>
      </c>
      <c r="D2255" t="s">
        <v>11575</v>
      </c>
      <c r="E2255" t="s">
        <v>11576</v>
      </c>
      <c r="F2255" t="s">
        <v>11575</v>
      </c>
      <c r="G2255" s="1">
        <v>11700000</v>
      </c>
      <c r="H2255" s="2">
        <v>11700000</v>
      </c>
      <c r="I2255" s="2">
        <v>11406381.48</v>
      </c>
      <c r="J2255" s="2">
        <v>217376.38</v>
      </c>
      <c r="K2255" s="2">
        <v>0</v>
      </c>
      <c r="L2255" s="2">
        <v>11623757.859999999</v>
      </c>
      <c r="M2255" s="3">
        <v>9.07</v>
      </c>
      <c r="N2255" s="4">
        <v>2.6445300000000001E-2</v>
      </c>
      <c r="O2255" s="5">
        <v>44771</v>
      </c>
      <c r="P2255" s="5">
        <v>46051</v>
      </c>
      <c r="Q2255" s="1">
        <v>8.27</v>
      </c>
      <c r="R2255" s="2">
        <v>3.24</v>
      </c>
      <c r="S2255" s="6">
        <v>3.0998465770000001</v>
      </c>
      <c r="T2255" t="s">
        <v>111</v>
      </c>
      <c r="U2255" t="s">
        <v>111</v>
      </c>
      <c r="V2255" t="s">
        <v>10944</v>
      </c>
      <c r="W2255" t="s">
        <v>43</v>
      </c>
      <c r="X2255" t="s">
        <v>44</v>
      </c>
      <c r="Y2255" t="s">
        <v>44</v>
      </c>
      <c r="Z2255" t="s">
        <v>44</v>
      </c>
      <c r="AA2255" t="s">
        <v>11035</v>
      </c>
      <c r="AB2255" t="s">
        <v>44</v>
      </c>
      <c r="AC2255" s="4">
        <v>9.2756622499999999</v>
      </c>
      <c r="AD2255" s="4">
        <v>8.9032170799999992</v>
      </c>
      <c r="AE2255" s="2">
        <v>9.2799999999999994</v>
      </c>
      <c r="AF2255" s="4">
        <v>8.9032170799999992</v>
      </c>
      <c r="AG2255" s="2">
        <v>2.36</v>
      </c>
      <c r="AH2255" s="2">
        <v>11623757.859999999</v>
      </c>
      <c r="AI2255" s="2">
        <v>0.03</v>
      </c>
      <c r="AJ2255" s="5">
        <v>44673</v>
      </c>
      <c r="AK2255" t="s">
        <v>12357</v>
      </c>
      <c r="AL2255" s="2">
        <v>9.07</v>
      </c>
      <c r="AM2255" s="2">
        <v>8.27</v>
      </c>
      <c r="AN2255" s="2">
        <v>3.1</v>
      </c>
      <c r="AO2255" t="s">
        <v>11437</v>
      </c>
      <c r="AP2255" t="s">
        <v>11577</v>
      </c>
      <c r="AQ2255" t="s">
        <v>11576</v>
      </c>
    </row>
    <row r="2256" spans="1:43" x14ac:dyDescent="0.2">
      <c r="A2256" t="s">
        <v>12356</v>
      </c>
      <c r="B2256" t="s">
        <v>10900</v>
      </c>
      <c r="C2256" t="s">
        <v>10943</v>
      </c>
      <c r="D2256" t="s">
        <v>11578</v>
      </c>
      <c r="E2256" t="s">
        <v>11579</v>
      </c>
      <c r="F2256" t="s">
        <v>11578</v>
      </c>
      <c r="G2256" s="1">
        <v>3000000</v>
      </c>
      <c r="H2256" s="2">
        <v>3000000</v>
      </c>
      <c r="I2256" s="2">
        <v>2800507.8</v>
      </c>
      <c r="J2256" s="2">
        <v>24969.17</v>
      </c>
      <c r="K2256" s="2">
        <v>0</v>
      </c>
      <c r="L2256" s="2">
        <v>2825476.97</v>
      </c>
      <c r="M2256" s="3">
        <v>9.375</v>
      </c>
      <c r="N2256" s="4">
        <v>6.4282599999999999E-3</v>
      </c>
      <c r="O2256" s="5">
        <v>44819</v>
      </c>
      <c r="P2256" s="5">
        <v>46827</v>
      </c>
      <c r="Q2256" s="1">
        <v>7.8849999999999998</v>
      </c>
      <c r="R2256" s="2">
        <v>4.74</v>
      </c>
      <c r="S2256" s="6">
        <v>4.5243735450000004</v>
      </c>
      <c r="T2256" t="s">
        <v>111</v>
      </c>
      <c r="U2256" t="s">
        <v>111</v>
      </c>
      <c r="V2256" t="s">
        <v>10944</v>
      </c>
      <c r="W2256" t="s">
        <v>43</v>
      </c>
      <c r="X2256" t="s">
        <v>44</v>
      </c>
      <c r="Y2256" t="s">
        <v>44</v>
      </c>
      <c r="Z2256" t="s">
        <v>44</v>
      </c>
      <c r="AA2256" t="s">
        <v>11441</v>
      </c>
      <c r="AB2256" t="s">
        <v>44</v>
      </c>
      <c r="AC2256" s="4">
        <v>9.5947265599999998</v>
      </c>
      <c r="AD2256" s="4">
        <v>9.1969716100000003</v>
      </c>
      <c r="AE2256" s="2">
        <v>9.59</v>
      </c>
      <c r="AF2256" s="4">
        <v>9.1969716100000003</v>
      </c>
      <c r="AG2256" s="2">
        <v>0.56999999999999995</v>
      </c>
      <c r="AH2256" s="2">
        <v>2825476.97</v>
      </c>
      <c r="AI2256" s="2">
        <v>0.01</v>
      </c>
      <c r="AJ2256" s="5">
        <v>44673</v>
      </c>
      <c r="AK2256" t="s">
        <v>12357</v>
      </c>
      <c r="AL2256" s="2">
        <v>9.3800000000000008</v>
      </c>
      <c r="AM2256" s="2">
        <v>7.88</v>
      </c>
      <c r="AN2256" s="2">
        <v>4.5199999999999996</v>
      </c>
      <c r="AO2256" t="s">
        <v>11580</v>
      </c>
      <c r="AP2256" t="s">
        <v>11581</v>
      </c>
      <c r="AQ2256" t="s">
        <v>11579</v>
      </c>
    </row>
    <row r="2257" spans="1:43" x14ac:dyDescent="0.2">
      <c r="A2257" t="s">
        <v>12356</v>
      </c>
      <c r="B2257" t="s">
        <v>10900</v>
      </c>
      <c r="C2257" t="s">
        <v>10943</v>
      </c>
      <c r="D2257" t="s">
        <v>11919</v>
      </c>
      <c r="E2257" t="s">
        <v>11920</v>
      </c>
      <c r="F2257" t="s">
        <v>11919</v>
      </c>
      <c r="G2257" s="1">
        <v>7700000</v>
      </c>
      <c r="H2257" s="2">
        <v>7700000</v>
      </c>
      <c r="I2257" s="2">
        <v>8108190.9699999997</v>
      </c>
      <c r="J2257" s="2">
        <v>32935.54</v>
      </c>
      <c r="K2257" s="2">
        <v>0</v>
      </c>
      <c r="L2257" s="2">
        <v>8141126.5099999998</v>
      </c>
      <c r="M2257" s="3">
        <v>6.2178870000000002</v>
      </c>
      <c r="N2257" s="4">
        <v>1.8521940000000001E-2</v>
      </c>
      <c r="O2257" s="5">
        <v>44746</v>
      </c>
      <c r="P2257" s="5">
        <v>45840</v>
      </c>
      <c r="Q2257" s="1">
        <v>8.2170000000000005</v>
      </c>
      <c r="R2257" s="2">
        <v>0.19</v>
      </c>
      <c r="S2257" s="6">
        <v>0.21403134549399999</v>
      </c>
      <c r="T2257" t="s">
        <v>111</v>
      </c>
      <c r="U2257" t="s">
        <v>111</v>
      </c>
      <c r="V2257" t="s">
        <v>11189</v>
      </c>
      <c r="W2257" t="s">
        <v>43</v>
      </c>
      <c r="X2257" t="s">
        <v>11034</v>
      </c>
      <c r="Y2257" t="s">
        <v>44</v>
      </c>
      <c r="Z2257" t="s">
        <v>44</v>
      </c>
      <c r="AA2257" t="s">
        <v>11035</v>
      </c>
      <c r="AB2257" t="s">
        <v>44</v>
      </c>
      <c r="AC2257" s="4">
        <v>6.3145418700000002</v>
      </c>
      <c r="AD2257" s="4">
        <v>6.1388379000000004</v>
      </c>
      <c r="AE2257" s="2">
        <v>6.31</v>
      </c>
      <c r="AF2257" s="4">
        <v>6.1388379000000004</v>
      </c>
      <c r="AG2257" s="2">
        <v>1.65</v>
      </c>
      <c r="AH2257" s="2">
        <v>8141126.5099999998</v>
      </c>
      <c r="AI2257" s="2">
        <v>0.02</v>
      </c>
      <c r="AJ2257" s="5">
        <v>44673</v>
      </c>
      <c r="AK2257" t="s">
        <v>12357</v>
      </c>
      <c r="AL2257" s="2">
        <v>6.22</v>
      </c>
      <c r="AM2257" s="2">
        <v>8.2200000000000006</v>
      </c>
      <c r="AN2257" s="2">
        <v>0.21</v>
      </c>
      <c r="AO2257" t="s">
        <v>11036</v>
      </c>
      <c r="AP2257" t="s">
        <v>11921</v>
      </c>
      <c r="AQ2257" t="s">
        <v>11920</v>
      </c>
    </row>
    <row r="2258" spans="1:43" x14ac:dyDescent="0.2">
      <c r="A2258" t="s">
        <v>12356</v>
      </c>
      <c r="B2258" t="s">
        <v>10900</v>
      </c>
      <c r="C2258" t="s">
        <v>10943</v>
      </c>
      <c r="D2258" t="s">
        <v>11582</v>
      </c>
      <c r="E2258" t="s">
        <v>11583</v>
      </c>
      <c r="F2258" t="s">
        <v>11582</v>
      </c>
      <c r="G2258" s="1">
        <v>2900000</v>
      </c>
      <c r="H2258" s="2">
        <v>2900000</v>
      </c>
      <c r="I2258" s="2">
        <v>2900060.42</v>
      </c>
      <c r="J2258" s="2">
        <v>13152.65</v>
      </c>
      <c r="K2258" s="2">
        <v>0</v>
      </c>
      <c r="L2258" s="2">
        <v>2913213.07</v>
      </c>
      <c r="M2258" s="3">
        <v>6.2543709999999999</v>
      </c>
      <c r="N2258" s="4">
        <v>6.6278700000000001E-3</v>
      </c>
      <c r="O2258" s="5">
        <v>44739</v>
      </c>
      <c r="P2258" s="5">
        <v>46383</v>
      </c>
      <c r="Q2258" s="1">
        <v>6.367</v>
      </c>
      <c r="R2258" s="2">
        <v>0.17</v>
      </c>
      <c r="S2258" s="6">
        <v>0.11195984108699999</v>
      </c>
      <c r="T2258" t="s">
        <v>111</v>
      </c>
      <c r="U2258" t="s">
        <v>111</v>
      </c>
      <c r="V2258" t="s">
        <v>11189</v>
      </c>
      <c r="W2258" t="s">
        <v>43</v>
      </c>
      <c r="X2258" t="s">
        <v>11034</v>
      </c>
      <c r="Y2258" t="s">
        <v>44</v>
      </c>
      <c r="Z2258" t="s">
        <v>44</v>
      </c>
      <c r="AA2258" t="s">
        <v>11035</v>
      </c>
      <c r="AB2258" t="s">
        <v>44</v>
      </c>
      <c r="AC2258" s="4">
        <v>6.3521637200000001</v>
      </c>
      <c r="AD2258" s="4">
        <v>6.1744004700000001</v>
      </c>
      <c r="AE2258" s="2">
        <v>6.35</v>
      </c>
      <c r="AF2258" s="4">
        <v>6.1744004700000001</v>
      </c>
      <c r="AG2258" s="2">
        <v>0.59</v>
      </c>
      <c r="AH2258" s="2">
        <v>2913213.07</v>
      </c>
      <c r="AI2258" s="2">
        <v>0.01</v>
      </c>
      <c r="AJ2258" s="5">
        <v>44673</v>
      </c>
      <c r="AK2258" t="s">
        <v>12357</v>
      </c>
      <c r="AL2258" s="2">
        <v>6.25</v>
      </c>
      <c r="AM2258" s="2">
        <v>6.37</v>
      </c>
      <c r="AN2258" s="2">
        <v>0.11</v>
      </c>
      <c r="AO2258" t="s">
        <v>11036</v>
      </c>
      <c r="AP2258" t="s">
        <v>11584</v>
      </c>
      <c r="AQ2258" t="s">
        <v>11583</v>
      </c>
    </row>
    <row r="2259" spans="1:43" x14ac:dyDescent="0.2">
      <c r="A2259" t="s">
        <v>12356</v>
      </c>
      <c r="B2259" t="s">
        <v>10900</v>
      </c>
      <c r="C2259" t="s">
        <v>10943</v>
      </c>
      <c r="D2259" t="s">
        <v>11588</v>
      </c>
      <c r="E2259" t="s">
        <v>11589</v>
      </c>
      <c r="F2259" t="s">
        <v>11588</v>
      </c>
      <c r="G2259" s="1">
        <v>2900000</v>
      </c>
      <c r="H2259" s="2">
        <v>2900000</v>
      </c>
      <c r="I2259" s="2">
        <v>2900000.48</v>
      </c>
      <c r="J2259" s="2">
        <v>17098.240000000002</v>
      </c>
      <c r="K2259" s="2">
        <v>0</v>
      </c>
      <c r="L2259" s="2">
        <v>2917098.72</v>
      </c>
      <c r="M2259" s="3">
        <v>8.1643709999999992</v>
      </c>
      <c r="N2259" s="4">
        <v>6.6367099999999997E-3</v>
      </c>
      <c r="O2259" s="5">
        <v>44739</v>
      </c>
      <c r="P2259" s="5">
        <v>46383</v>
      </c>
      <c r="Q2259" s="1">
        <v>8.2769999999999992</v>
      </c>
      <c r="R2259" s="2">
        <v>0.17</v>
      </c>
      <c r="S2259" s="6">
        <v>6.6173810217000001E-2</v>
      </c>
      <c r="T2259" t="s">
        <v>111</v>
      </c>
      <c r="U2259" t="s">
        <v>111</v>
      </c>
      <c r="V2259" t="s">
        <v>11189</v>
      </c>
      <c r="W2259" t="s">
        <v>43</v>
      </c>
      <c r="X2259" t="s">
        <v>11034</v>
      </c>
      <c r="Y2259" t="s">
        <v>44</v>
      </c>
      <c r="Z2259" t="s">
        <v>44</v>
      </c>
      <c r="AA2259" t="s">
        <v>11035</v>
      </c>
      <c r="AB2259" t="s">
        <v>44</v>
      </c>
      <c r="AC2259" s="4">
        <v>8.3310132100000001</v>
      </c>
      <c r="AD2259" s="4">
        <v>8.0288693599999998</v>
      </c>
      <c r="AE2259" s="2">
        <v>8.33</v>
      </c>
      <c r="AF2259" s="4">
        <v>8.0288693599999998</v>
      </c>
      <c r="AG2259" s="2">
        <v>0.59</v>
      </c>
      <c r="AH2259" s="2">
        <v>2917098.72</v>
      </c>
      <c r="AI2259" s="2">
        <v>0.01</v>
      </c>
      <c r="AJ2259" s="5">
        <v>44673</v>
      </c>
      <c r="AK2259" t="s">
        <v>12357</v>
      </c>
      <c r="AL2259" s="2">
        <v>8.16</v>
      </c>
      <c r="AM2259" s="2">
        <v>8.2799999999999994</v>
      </c>
      <c r="AN2259" s="2">
        <v>7.0000000000000007E-2</v>
      </c>
      <c r="AO2259" t="s">
        <v>11036</v>
      </c>
      <c r="AP2259" t="s">
        <v>11590</v>
      </c>
      <c r="AQ2259" t="s">
        <v>11589</v>
      </c>
    </row>
    <row r="2260" spans="1:43" x14ac:dyDescent="0.2">
      <c r="A2260" t="s">
        <v>12356</v>
      </c>
      <c r="B2260" t="s">
        <v>10900</v>
      </c>
      <c r="C2260" t="s">
        <v>10943</v>
      </c>
      <c r="D2260" t="s">
        <v>11135</v>
      </c>
      <c r="E2260" t="s">
        <v>10946</v>
      </c>
      <c r="F2260" t="s">
        <v>11135</v>
      </c>
      <c r="G2260" s="1">
        <v>70506000</v>
      </c>
      <c r="H2260" s="2">
        <v>78374571.620000005</v>
      </c>
      <c r="I2260" s="2">
        <v>76599798.329999998</v>
      </c>
      <c r="J2260" s="2">
        <v>2494753.4</v>
      </c>
      <c r="K2260" s="2">
        <v>0</v>
      </c>
      <c r="L2260" s="2">
        <v>79094551.730000004</v>
      </c>
      <c r="M2260" s="3">
        <v>8.2249999999999996</v>
      </c>
      <c r="N2260" s="4">
        <v>0.17994862</v>
      </c>
      <c r="O2260" s="5">
        <v>44733</v>
      </c>
      <c r="P2260" s="5">
        <v>46377</v>
      </c>
      <c r="Q2260" s="1">
        <v>10.5</v>
      </c>
      <c r="R2260" s="2">
        <v>3.72</v>
      </c>
      <c r="S2260" s="6">
        <v>3.572672968</v>
      </c>
      <c r="T2260" t="s">
        <v>111</v>
      </c>
      <c r="U2260" t="s">
        <v>111</v>
      </c>
      <c r="V2260" t="s">
        <v>10944</v>
      </c>
      <c r="W2260" t="s">
        <v>43</v>
      </c>
      <c r="X2260" t="s">
        <v>10945</v>
      </c>
      <c r="Y2260" t="s">
        <v>44</v>
      </c>
      <c r="Z2260" t="s">
        <v>44</v>
      </c>
      <c r="AA2260" t="s">
        <v>10913</v>
      </c>
      <c r="AB2260" t="s">
        <v>44</v>
      </c>
      <c r="AC2260" s="4">
        <v>8.3941265600000001</v>
      </c>
      <c r="AD2260" s="4">
        <v>8.0875032299999994</v>
      </c>
      <c r="AE2260" s="2">
        <v>8.39</v>
      </c>
      <c r="AF2260" s="4">
        <v>8.0875032299999994</v>
      </c>
      <c r="AG2260" s="2">
        <v>16.05</v>
      </c>
      <c r="AH2260" s="2">
        <v>79094551.730000004</v>
      </c>
      <c r="AI2260" s="2">
        <v>0.18</v>
      </c>
      <c r="AJ2260" s="5">
        <v>44673</v>
      </c>
      <c r="AK2260" t="s">
        <v>12357</v>
      </c>
      <c r="AL2260" s="2">
        <v>8.23</v>
      </c>
      <c r="AM2260" s="2">
        <v>10.5</v>
      </c>
      <c r="AN2260" s="2">
        <v>3.57</v>
      </c>
      <c r="AO2260" t="s">
        <v>10922</v>
      </c>
      <c r="AP2260" t="s">
        <v>11136</v>
      </c>
      <c r="AQ2260" t="s">
        <v>10946</v>
      </c>
    </row>
    <row r="2261" spans="1:43" x14ac:dyDescent="0.2">
      <c r="A2261" t="s">
        <v>12356</v>
      </c>
      <c r="B2261" t="s">
        <v>10900</v>
      </c>
      <c r="C2261" t="s">
        <v>10943</v>
      </c>
      <c r="D2261" t="s">
        <v>12863</v>
      </c>
      <c r="E2261" t="s">
        <v>12864</v>
      </c>
      <c r="F2261" t="s">
        <v>12863</v>
      </c>
      <c r="G2261" s="1">
        <v>2900000</v>
      </c>
      <c r="H2261" s="2">
        <v>2900000</v>
      </c>
      <c r="I2261" s="2">
        <v>2903294.1</v>
      </c>
      <c r="J2261" s="2">
        <v>10369.450000000001</v>
      </c>
      <c r="K2261" s="2">
        <v>0</v>
      </c>
      <c r="L2261" s="2">
        <v>2913663.55</v>
      </c>
      <c r="M2261" s="3">
        <v>8.0409749999999995</v>
      </c>
      <c r="N2261" s="4">
        <v>6.6289000000000001E-3</v>
      </c>
      <c r="O2261" s="5">
        <v>44750</v>
      </c>
      <c r="P2261" s="5">
        <v>46485</v>
      </c>
      <c r="Q2261" s="1">
        <v>8.157</v>
      </c>
      <c r="R2261" s="2">
        <v>0.2</v>
      </c>
      <c r="S2261" s="6">
        <v>9.4975697833E-2</v>
      </c>
      <c r="T2261" t="s">
        <v>111</v>
      </c>
      <c r="U2261" t="s">
        <v>111</v>
      </c>
      <c r="V2261" t="s">
        <v>11189</v>
      </c>
      <c r="W2261" t="s">
        <v>43</v>
      </c>
      <c r="X2261" t="s">
        <v>11034</v>
      </c>
      <c r="Y2261" t="s">
        <v>44</v>
      </c>
      <c r="Z2261" t="s">
        <v>44</v>
      </c>
      <c r="AA2261" t="s">
        <v>11035</v>
      </c>
      <c r="AB2261" t="s">
        <v>44</v>
      </c>
      <c r="AC2261" s="4">
        <v>8.2026182599999995</v>
      </c>
      <c r="AD2261" s="4">
        <v>7.9094905600000001</v>
      </c>
      <c r="AE2261" s="2">
        <v>8.1999999999999993</v>
      </c>
      <c r="AF2261" s="4">
        <v>7.9094905600000001</v>
      </c>
      <c r="AG2261" s="2">
        <v>0.59</v>
      </c>
      <c r="AH2261" s="2">
        <v>2913663.55</v>
      </c>
      <c r="AI2261" s="2">
        <v>0.01</v>
      </c>
      <c r="AJ2261" s="5">
        <v>44673</v>
      </c>
      <c r="AK2261" t="s">
        <v>12357</v>
      </c>
      <c r="AL2261" s="2">
        <v>8.0399999999999991</v>
      </c>
      <c r="AM2261" s="2">
        <v>8.16</v>
      </c>
      <c r="AN2261" s="2">
        <v>0.09</v>
      </c>
      <c r="AO2261" t="s">
        <v>11496</v>
      </c>
      <c r="AP2261" t="s">
        <v>12865</v>
      </c>
      <c r="AQ2261" t="s">
        <v>12864</v>
      </c>
    </row>
    <row r="2262" spans="1:43" x14ac:dyDescent="0.2">
      <c r="A2262" t="s">
        <v>12356</v>
      </c>
      <c r="B2262" t="s">
        <v>10900</v>
      </c>
      <c r="C2262" t="s">
        <v>10943</v>
      </c>
      <c r="D2262" t="s">
        <v>11852</v>
      </c>
      <c r="E2262" t="s">
        <v>11853</v>
      </c>
      <c r="F2262" t="s">
        <v>11852</v>
      </c>
      <c r="G2262" s="1">
        <v>3700000</v>
      </c>
      <c r="H2262" s="2">
        <v>3700000</v>
      </c>
      <c r="I2262" s="2">
        <v>3914545.99</v>
      </c>
      <c r="J2262" s="2">
        <v>23835.3</v>
      </c>
      <c r="K2262" s="2">
        <v>0</v>
      </c>
      <c r="L2262" s="2">
        <v>3938381.29</v>
      </c>
      <c r="M2262" s="3">
        <v>5.9243709999999998</v>
      </c>
      <c r="N2262" s="4">
        <v>8.9602399999999995E-3</v>
      </c>
      <c r="O2262" s="5">
        <v>44739</v>
      </c>
      <c r="P2262" s="5">
        <v>45833</v>
      </c>
      <c r="Q2262" s="1">
        <v>8.1080000000000005</v>
      </c>
      <c r="R2262" s="2">
        <v>0.17</v>
      </c>
      <c r="S2262" s="6">
        <v>0.20785827684899999</v>
      </c>
      <c r="T2262" t="s">
        <v>111</v>
      </c>
      <c r="U2262" t="s">
        <v>111</v>
      </c>
      <c r="V2262" t="s">
        <v>11189</v>
      </c>
      <c r="W2262" t="s">
        <v>43</v>
      </c>
      <c r="X2262" t="s">
        <v>11034</v>
      </c>
      <c r="Y2262" t="s">
        <v>44</v>
      </c>
      <c r="Z2262" t="s">
        <v>44</v>
      </c>
      <c r="AA2262" t="s">
        <v>10979</v>
      </c>
      <c r="AB2262" t="s">
        <v>44</v>
      </c>
      <c r="AC2262" s="4">
        <v>6.0121162500000001</v>
      </c>
      <c r="AD2262" s="4">
        <v>5.8525461400000003</v>
      </c>
      <c r="AE2262" s="2">
        <v>6.01</v>
      </c>
      <c r="AF2262" s="4">
        <v>5.8525461400000003</v>
      </c>
      <c r="AG2262" s="2">
        <v>0.8</v>
      </c>
      <c r="AH2262" s="2">
        <v>3938381.29</v>
      </c>
      <c r="AI2262" s="2">
        <v>0.01</v>
      </c>
      <c r="AJ2262" s="5">
        <v>44673</v>
      </c>
      <c r="AK2262" t="s">
        <v>12357</v>
      </c>
      <c r="AL2262" s="2">
        <v>5.92</v>
      </c>
      <c r="AM2262" s="2">
        <v>8.11</v>
      </c>
      <c r="AN2262" s="2">
        <v>0.21</v>
      </c>
      <c r="AO2262" t="s">
        <v>11179</v>
      </c>
      <c r="AP2262" t="s">
        <v>11854</v>
      </c>
      <c r="AQ2262" t="s">
        <v>11853</v>
      </c>
    </row>
    <row r="2263" spans="1:43" x14ac:dyDescent="0.2">
      <c r="A2263" t="s">
        <v>12356</v>
      </c>
      <c r="B2263" t="s">
        <v>10900</v>
      </c>
      <c r="C2263" t="s">
        <v>10943</v>
      </c>
      <c r="D2263" t="s">
        <v>11858</v>
      </c>
      <c r="E2263" t="s">
        <v>11859</v>
      </c>
      <c r="F2263" t="s">
        <v>11858</v>
      </c>
      <c r="G2263" s="1">
        <v>600000</v>
      </c>
      <c r="H2263" s="2">
        <v>600000</v>
      </c>
      <c r="I2263" s="2">
        <v>585439.31999999995</v>
      </c>
      <c r="J2263" s="2">
        <v>12480.66</v>
      </c>
      <c r="K2263" s="2">
        <v>0</v>
      </c>
      <c r="L2263" s="2">
        <v>597919.98</v>
      </c>
      <c r="M2263" s="3">
        <v>10.77</v>
      </c>
      <c r="N2263" s="4">
        <v>1.3603300000000001E-3</v>
      </c>
      <c r="O2263" s="5">
        <v>44780</v>
      </c>
      <c r="P2263" s="5">
        <v>47156</v>
      </c>
      <c r="Q2263" s="1">
        <v>10.26</v>
      </c>
      <c r="R2263" s="2">
        <v>4.92</v>
      </c>
      <c r="S2263" s="6">
        <v>4.6700968569999999</v>
      </c>
      <c r="T2263" t="s">
        <v>111</v>
      </c>
      <c r="U2263" t="s">
        <v>111</v>
      </c>
      <c r="V2263" t="s">
        <v>10944</v>
      </c>
      <c r="W2263" t="s">
        <v>43</v>
      </c>
      <c r="X2263" t="s">
        <v>44</v>
      </c>
      <c r="Y2263" t="s">
        <v>44</v>
      </c>
      <c r="Z2263" t="s">
        <v>44</v>
      </c>
      <c r="AA2263" t="s">
        <v>10979</v>
      </c>
      <c r="AB2263" t="s">
        <v>44</v>
      </c>
      <c r="AC2263" s="4">
        <v>11.059982249999999</v>
      </c>
      <c r="AD2263" s="4">
        <v>10.536009160000001</v>
      </c>
      <c r="AE2263" s="2">
        <v>11.06</v>
      </c>
      <c r="AF2263" s="4">
        <v>10.536009160000001</v>
      </c>
      <c r="AG2263" s="2">
        <v>0.12</v>
      </c>
      <c r="AH2263" s="2">
        <v>597919.98</v>
      </c>
      <c r="AI2263" s="2">
        <v>0</v>
      </c>
      <c r="AJ2263" s="5">
        <v>44673</v>
      </c>
      <c r="AK2263" t="s">
        <v>12357</v>
      </c>
      <c r="AL2263" s="2">
        <v>10.77</v>
      </c>
      <c r="AM2263" s="2">
        <v>10.26</v>
      </c>
      <c r="AN2263" s="2">
        <v>4.67</v>
      </c>
      <c r="AO2263" t="s">
        <v>10982</v>
      </c>
      <c r="AP2263" t="s">
        <v>11860</v>
      </c>
      <c r="AQ2263" t="s">
        <v>11859</v>
      </c>
    </row>
    <row r="2264" spans="1:43" x14ac:dyDescent="0.2">
      <c r="A2264" t="s">
        <v>12356</v>
      </c>
      <c r="B2264" t="s">
        <v>10900</v>
      </c>
      <c r="C2264" t="s">
        <v>11137</v>
      </c>
      <c r="D2264" t="s">
        <v>11594</v>
      </c>
      <c r="E2264" t="s">
        <v>11595</v>
      </c>
      <c r="F2264" t="s">
        <v>11594</v>
      </c>
      <c r="G2264" s="1">
        <v>33895000</v>
      </c>
      <c r="H2264" s="2">
        <v>31988939.350000001</v>
      </c>
      <c r="I2264" s="2">
        <v>30559413.390000001</v>
      </c>
      <c r="J2264" s="2">
        <v>609181.36</v>
      </c>
      <c r="K2264" s="2">
        <v>0</v>
      </c>
      <c r="L2264" s="2">
        <v>31168594.75</v>
      </c>
      <c r="M2264" s="3">
        <v>9.84</v>
      </c>
      <c r="N2264" s="4">
        <v>7.0911909999999995E-2</v>
      </c>
      <c r="O2264" s="5">
        <v>44774</v>
      </c>
      <c r="P2264" s="5">
        <v>47514</v>
      </c>
      <c r="Q2264" s="1">
        <v>8</v>
      </c>
      <c r="R2264" s="2">
        <v>5.71</v>
      </c>
      <c r="S2264" s="6">
        <v>5.4383328750000004</v>
      </c>
      <c r="T2264" t="s">
        <v>111</v>
      </c>
      <c r="U2264" t="s">
        <v>111</v>
      </c>
      <c r="V2264" t="s">
        <v>10944</v>
      </c>
      <c r="W2264" t="s">
        <v>43</v>
      </c>
      <c r="X2264" t="s">
        <v>10945</v>
      </c>
      <c r="Y2264" t="s">
        <v>44</v>
      </c>
      <c r="Z2264" t="s">
        <v>44</v>
      </c>
      <c r="AA2264" t="s">
        <v>10913</v>
      </c>
      <c r="AB2264" t="s">
        <v>44</v>
      </c>
      <c r="AC2264" s="4">
        <v>10.082064000000001</v>
      </c>
      <c r="AD2264" s="4">
        <v>9.6441413499999999</v>
      </c>
      <c r="AE2264" s="2">
        <v>10.08</v>
      </c>
      <c r="AF2264" s="4">
        <v>9.6441413499999999</v>
      </c>
      <c r="AG2264" s="2">
        <v>6.32</v>
      </c>
      <c r="AH2264" s="2">
        <v>31168594.75</v>
      </c>
      <c r="AI2264" s="2">
        <v>7.0000000000000007E-2</v>
      </c>
      <c r="AJ2264" s="5">
        <v>44673</v>
      </c>
      <c r="AK2264" t="s">
        <v>12357</v>
      </c>
      <c r="AL2264" s="2">
        <v>9.84</v>
      </c>
      <c r="AM2264" s="2">
        <v>8</v>
      </c>
      <c r="AN2264" s="2">
        <v>5.44</v>
      </c>
      <c r="AO2264" t="s">
        <v>10922</v>
      </c>
      <c r="AP2264" t="s">
        <v>11596</v>
      </c>
      <c r="AQ2264" t="s">
        <v>11595</v>
      </c>
    </row>
    <row r="2265" spans="1:43" x14ac:dyDescent="0.2">
      <c r="A2265" t="s">
        <v>12356</v>
      </c>
      <c r="B2265" t="s">
        <v>10900</v>
      </c>
      <c r="C2265" t="s">
        <v>10950</v>
      </c>
      <c r="D2265" t="s">
        <v>10983</v>
      </c>
      <c r="E2265" t="s">
        <v>10984</v>
      </c>
      <c r="F2265" t="s">
        <v>10983</v>
      </c>
      <c r="G2265" s="1">
        <v>251000</v>
      </c>
      <c r="H2265" s="2">
        <v>216005.31</v>
      </c>
      <c r="I2265" s="2">
        <v>209869.26</v>
      </c>
      <c r="J2265" s="2">
        <v>4793.07</v>
      </c>
      <c r="K2265" s="2">
        <v>0</v>
      </c>
      <c r="L2265" s="2">
        <v>214662.33</v>
      </c>
      <c r="M2265" s="3">
        <v>10.734999999999999</v>
      </c>
      <c r="N2265" s="4">
        <v>4.8837999999999996E-4</v>
      </c>
      <c r="O2265" s="5">
        <v>44774</v>
      </c>
      <c r="P2265" s="5">
        <v>50071</v>
      </c>
      <c r="Q2265" s="1">
        <v>8.5</v>
      </c>
      <c r="R2265" s="2">
        <v>7.91</v>
      </c>
      <c r="S2265" s="6">
        <v>7.5106016819999999</v>
      </c>
      <c r="T2265" t="s">
        <v>111</v>
      </c>
      <c r="U2265" t="s">
        <v>111</v>
      </c>
      <c r="V2265" t="s">
        <v>10944</v>
      </c>
      <c r="W2265" t="s">
        <v>43</v>
      </c>
      <c r="X2265" t="s">
        <v>10945</v>
      </c>
      <c r="Y2265" t="s">
        <v>44</v>
      </c>
      <c r="Z2265" t="s">
        <v>44</v>
      </c>
      <c r="AA2265" t="s">
        <v>10913</v>
      </c>
      <c r="AB2265" t="s">
        <v>44</v>
      </c>
      <c r="AC2265" s="4">
        <v>11.02310056</v>
      </c>
      <c r="AD2265" s="4">
        <v>10.50250368</v>
      </c>
      <c r="AE2265" s="2">
        <v>11.02</v>
      </c>
      <c r="AF2265" s="4">
        <v>10.50250368</v>
      </c>
      <c r="AG2265" s="2">
        <v>0.04</v>
      </c>
      <c r="AH2265" s="2">
        <v>214662.33</v>
      </c>
      <c r="AI2265" s="2">
        <v>0</v>
      </c>
      <c r="AJ2265" s="5">
        <v>44673</v>
      </c>
      <c r="AK2265" t="s">
        <v>12357</v>
      </c>
      <c r="AL2265" s="2">
        <v>10.73</v>
      </c>
      <c r="AM2265" s="2">
        <v>8.5</v>
      </c>
      <c r="AN2265" s="2">
        <v>7.51</v>
      </c>
      <c r="AO2265" t="s">
        <v>10922</v>
      </c>
      <c r="AP2265" t="s">
        <v>10985</v>
      </c>
      <c r="AQ2265" t="s">
        <v>10984</v>
      </c>
    </row>
    <row r="2266" spans="1:43" x14ac:dyDescent="0.2">
      <c r="A2266" t="s">
        <v>12356</v>
      </c>
      <c r="B2266" t="s">
        <v>10900</v>
      </c>
      <c r="C2266" t="s">
        <v>10990</v>
      </c>
      <c r="D2266" t="s">
        <v>11603</v>
      </c>
      <c r="E2266" t="s">
        <v>11604</v>
      </c>
      <c r="F2266" t="s">
        <v>11603</v>
      </c>
      <c r="G2266" s="1">
        <v>1962500</v>
      </c>
      <c r="H2266" s="2">
        <v>6136492.54</v>
      </c>
      <c r="I2266" s="2">
        <v>6339770.6600000001</v>
      </c>
      <c r="J2266" s="2">
        <v>122391.49</v>
      </c>
      <c r="K2266" s="2">
        <v>0</v>
      </c>
      <c r="L2266" s="2">
        <v>6462162.1500000004</v>
      </c>
      <c r="M2266" s="3">
        <v>1.165</v>
      </c>
      <c r="N2266" s="4">
        <v>1.4702109999999999E-2</v>
      </c>
      <c r="O2266" s="5">
        <v>44719</v>
      </c>
      <c r="P2266" s="5">
        <v>45267</v>
      </c>
      <c r="Q2266" s="1">
        <v>5.5</v>
      </c>
      <c r="R2266" s="2">
        <v>1.54</v>
      </c>
      <c r="S2266" s="6">
        <v>1.5339230509999999</v>
      </c>
      <c r="T2266" t="s">
        <v>111</v>
      </c>
      <c r="U2266" t="s">
        <v>111</v>
      </c>
      <c r="V2266" t="s">
        <v>10992</v>
      </c>
      <c r="W2266" t="s">
        <v>43</v>
      </c>
      <c r="X2266" t="s">
        <v>10945</v>
      </c>
      <c r="Y2266" t="s">
        <v>44</v>
      </c>
      <c r="Z2266" t="s">
        <v>44</v>
      </c>
      <c r="AA2266" t="s">
        <v>10913</v>
      </c>
      <c r="AB2266" t="s">
        <v>44</v>
      </c>
      <c r="AC2266" s="4">
        <v>1.1683930600000001</v>
      </c>
      <c r="AD2266" s="4">
        <v>1.1621824700000001</v>
      </c>
      <c r="AE2266" s="2">
        <v>1.17</v>
      </c>
      <c r="AF2266" s="4">
        <v>1.1621824700000001</v>
      </c>
      <c r="AG2266" s="2">
        <v>1.31</v>
      </c>
      <c r="AH2266" s="2">
        <v>6462162.1500000004</v>
      </c>
      <c r="AI2266" s="2">
        <v>0.01</v>
      </c>
      <c r="AJ2266" s="5">
        <v>44673</v>
      </c>
      <c r="AK2266" t="s">
        <v>12357</v>
      </c>
      <c r="AL2266" s="2">
        <v>1.1599999999999999</v>
      </c>
      <c r="AM2266" s="2">
        <v>5.5</v>
      </c>
      <c r="AN2266" s="2">
        <v>1.53</v>
      </c>
      <c r="AO2266" t="s">
        <v>10922</v>
      </c>
      <c r="AP2266" t="s">
        <v>11605</v>
      </c>
      <c r="AQ2266" t="s">
        <v>11604</v>
      </c>
    </row>
    <row r="2267" spans="1:43" x14ac:dyDescent="0.2">
      <c r="A2267" t="s">
        <v>12356</v>
      </c>
      <c r="B2267" t="s">
        <v>45</v>
      </c>
      <c r="C2267" t="s">
        <v>11000</v>
      </c>
      <c r="D2267" t="s">
        <v>11421</v>
      </c>
      <c r="E2267" t="s">
        <v>11422</v>
      </c>
      <c r="F2267" t="s">
        <v>11421</v>
      </c>
      <c r="G2267" s="1">
        <v>7000000</v>
      </c>
      <c r="H2267" s="2">
        <v>7000000</v>
      </c>
      <c r="I2267" s="2">
        <v>7000000</v>
      </c>
      <c r="J2267" s="2">
        <v>26695.91</v>
      </c>
      <c r="K2267" s="2">
        <v>0</v>
      </c>
      <c r="L2267" s="2">
        <v>7026695.9100000001</v>
      </c>
      <c r="M2267" s="3">
        <v>4.2</v>
      </c>
      <c r="N2267" s="4">
        <v>1.5986489999999999E-2</v>
      </c>
      <c r="O2267" s="5" t="s">
        <v>44</v>
      </c>
      <c r="P2267" s="5">
        <v>55153</v>
      </c>
      <c r="Q2267" s="1">
        <v>4.2</v>
      </c>
      <c r="R2267" s="2">
        <v>0.08</v>
      </c>
      <c r="S2267" s="6">
        <v>2.5947269999999998E-3</v>
      </c>
      <c r="T2267" t="s">
        <v>112</v>
      </c>
      <c r="U2267" t="s">
        <v>46</v>
      </c>
      <c r="V2267" t="s">
        <v>11270</v>
      </c>
      <c r="W2267" t="s">
        <v>43</v>
      </c>
      <c r="X2267" t="s">
        <v>44</v>
      </c>
      <c r="Y2267" t="s">
        <v>44</v>
      </c>
      <c r="Z2267" t="s">
        <v>44</v>
      </c>
      <c r="AA2267" t="s">
        <v>10913</v>
      </c>
      <c r="AB2267" t="s">
        <v>44</v>
      </c>
      <c r="AC2267" s="4">
        <v>4.2819052299999996</v>
      </c>
      <c r="AD2267" s="4">
        <v>4.20010057</v>
      </c>
      <c r="AE2267" s="2">
        <v>4.28</v>
      </c>
      <c r="AF2267" s="4">
        <v>4.20010057</v>
      </c>
      <c r="AG2267" s="2">
        <v>1.43</v>
      </c>
      <c r="AH2267" s="2">
        <v>7026695.9100000001</v>
      </c>
      <c r="AI2267" s="2">
        <v>0.02</v>
      </c>
      <c r="AJ2267" s="5">
        <v>44673</v>
      </c>
      <c r="AK2267" t="s">
        <v>12357</v>
      </c>
      <c r="AL2267" s="2">
        <v>4.24</v>
      </c>
      <c r="AM2267" s="2">
        <v>4.2</v>
      </c>
      <c r="AN2267" s="2">
        <v>0</v>
      </c>
      <c r="AO2267" t="s">
        <v>11423</v>
      </c>
      <c r="AP2267" t="s">
        <v>44</v>
      </c>
      <c r="AQ2267" t="s">
        <v>11422</v>
      </c>
    </row>
    <row r="2268" spans="1:43" x14ac:dyDescent="0.2">
      <c r="A2268" t="s">
        <v>12356</v>
      </c>
      <c r="B2268" t="s">
        <v>45</v>
      </c>
      <c r="C2268" t="s">
        <v>11000</v>
      </c>
      <c r="D2268" t="s">
        <v>11424</v>
      </c>
      <c r="E2268" t="s">
        <v>11425</v>
      </c>
      <c r="F2268" t="s">
        <v>11424</v>
      </c>
      <c r="G2268" s="1">
        <v>1000000</v>
      </c>
      <c r="H2268" s="2">
        <v>1000000</v>
      </c>
      <c r="I2268" s="2">
        <v>1000000</v>
      </c>
      <c r="J2268" s="2">
        <v>2531.5100000000002</v>
      </c>
      <c r="K2268" s="2">
        <v>0</v>
      </c>
      <c r="L2268" s="2">
        <v>1002531.51</v>
      </c>
      <c r="M2268" s="3">
        <v>4.2</v>
      </c>
      <c r="N2268" s="4">
        <v>2.2808699999999999E-3</v>
      </c>
      <c r="O2268" s="5" t="s">
        <v>44</v>
      </c>
      <c r="P2268" s="5">
        <v>55153</v>
      </c>
      <c r="Q2268" s="1">
        <v>4.2</v>
      </c>
      <c r="R2268" s="2">
        <v>0.08</v>
      </c>
      <c r="S2268" s="6">
        <v>2.5986049999999999E-3</v>
      </c>
      <c r="T2268" t="s">
        <v>112</v>
      </c>
      <c r="U2268" t="s">
        <v>46</v>
      </c>
      <c r="V2268" t="s">
        <v>11270</v>
      </c>
      <c r="W2268" t="s">
        <v>43</v>
      </c>
      <c r="X2268" t="s">
        <v>44</v>
      </c>
      <c r="Y2268" t="s">
        <v>44</v>
      </c>
      <c r="Z2268" t="s">
        <v>44</v>
      </c>
      <c r="AA2268" t="s">
        <v>11035</v>
      </c>
      <c r="AB2268" t="s">
        <v>44</v>
      </c>
      <c r="AC2268" s="4">
        <v>4.2819052299999996</v>
      </c>
      <c r="AD2268" s="4">
        <v>4.20010057</v>
      </c>
      <c r="AE2268" s="2">
        <v>4.28</v>
      </c>
      <c r="AF2268" s="4">
        <v>4.20010057</v>
      </c>
      <c r="AG2268" s="2">
        <v>0.2</v>
      </c>
      <c r="AH2268" s="2">
        <v>1002531.51</v>
      </c>
      <c r="AI2268" s="2">
        <v>0</v>
      </c>
      <c r="AJ2268" s="5">
        <v>44673</v>
      </c>
      <c r="AK2268" t="s">
        <v>12357</v>
      </c>
      <c r="AL2268" s="2">
        <v>4.24</v>
      </c>
      <c r="AM2268" s="2">
        <v>4.2</v>
      </c>
      <c r="AN2268" s="2">
        <v>0</v>
      </c>
      <c r="AO2268" t="s">
        <v>11053</v>
      </c>
      <c r="AP2268" t="s">
        <v>44</v>
      </c>
      <c r="AQ2268" t="s">
        <v>11425</v>
      </c>
    </row>
    <row r="2269" spans="1:43" x14ac:dyDescent="0.2">
      <c r="A2269" t="s">
        <v>12356</v>
      </c>
      <c r="B2269" t="s">
        <v>45</v>
      </c>
      <c r="C2269" t="s">
        <v>11000</v>
      </c>
      <c r="D2269" t="s">
        <v>11001</v>
      </c>
      <c r="E2269" t="s">
        <v>11002</v>
      </c>
      <c r="F2269" t="s">
        <v>11001</v>
      </c>
      <c r="G2269" s="1">
        <v>34166.46</v>
      </c>
      <c r="H2269" s="2">
        <v>34166.46</v>
      </c>
      <c r="I2269" s="2">
        <v>34166.46</v>
      </c>
      <c r="J2269" s="2">
        <v>107.83</v>
      </c>
      <c r="K2269" s="2">
        <v>0</v>
      </c>
      <c r="L2269" s="2">
        <v>34274.29</v>
      </c>
      <c r="M2269" s="3"/>
      <c r="N2269" s="4">
        <v>7.7979999999999995E-5</v>
      </c>
      <c r="O2269" s="5">
        <v>40756</v>
      </c>
      <c r="P2269" s="5">
        <v>73020</v>
      </c>
      <c r="Q2269" s="1">
        <v>0</v>
      </c>
      <c r="R2269" s="2"/>
      <c r="S2269" s="6"/>
      <c r="T2269" t="s">
        <v>111</v>
      </c>
      <c r="U2269" t="s">
        <v>11003</v>
      </c>
      <c r="V2269" t="s">
        <v>46</v>
      </c>
      <c r="W2269" t="s">
        <v>43</v>
      </c>
      <c r="X2269" t="s">
        <v>44</v>
      </c>
      <c r="Y2269" t="s">
        <v>44</v>
      </c>
      <c r="Z2269" t="s">
        <v>44</v>
      </c>
      <c r="AA2269" t="s">
        <v>44</v>
      </c>
      <c r="AB2269" t="s">
        <v>44</v>
      </c>
      <c r="AC2269" s="4"/>
      <c r="AD2269" s="4"/>
      <c r="AE2269" s="2">
        <v>0</v>
      </c>
      <c r="AF2269" s="4">
        <v>0</v>
      </c>
      <c r="AG2269" s="2">
        <v>0.01</v>
      </c>
      <c r="AH2269" s="2">
        <v>34274.29</v>
      </c>
      <c r="AI2269" s="2">
        <v>0</v>
      </c>
      <c r="AJ2269" s="5">
        <v>44673</v>
      </c>
      <c r="AK2269" t="s">
        <v>12357</v>
      </c>
      <c r="AL2269" s="2">
        <v>0</v>
      </c>
      <c r="AM2269" s="2">
        <v>0</v>
      </c>
      <c r="AN2269" s="2">
        <v>0</v>
      </c>
      <c r="AO2269" t="s">
        <v>44</v>
      </c>
      <c r="AP2269" t="s">
        <v>11004</v>
      </c>
      <c r="AQ2269" t="s">
        <v>11002</v>
      </c>
    </row>
    <row r="2270" spans="1:43" x14ac:dyDescent="0.2">
      <c r="A2270" t="s">
        <v>12356</v>
      </c>
      <c r="B2270" t="s">
        <v>45</v>
      </c>
      <c r="C2270" t="s">
        <v>47</v>
      </c>
      <c r="D2270" t="s">
        <v>48</v>
      </c>
      <c r="E2270" t="s">
        <v>49</v>
      </c>
      <c r="F2270" t="s">
        <v>50</v>
      </c>
      <c r="G2270" s="1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2984.61</v>
      </c>
      <c r="M2270" s="3"/>
      <c r="N2270" s="4">
        <v>6.7900000000000002E-6</v>
      </c>
      <c r="O2270" s="5" t="s">
        <v>44</v>
      </c>
      <c r="P2270" s="5" t="s">
        <v>44</v>
      </c>
      <c r="Q2270" s="1"/>
      <c r="R2270" s="2">
        <v>0.08</v>
      </c>
      <c r="S2270" s="6"/>
      <c r="T2270" t="s">
        <v>45</v>
      </c>
      <c r="U2270" t="s">
        <v>46</v>
      </c>
      <c r="V2270" t="s">
        <v>44</v>
      </c>
      <c r="W2270" t="s">
        <v>43</v>
      </c>
      <c r="X2270" t="s">
        <v>44</v>
      </c>
      <c r="Y2270" t="s">
        <v>44</v>
      </c>
      <c r="Z2270" t="s">
        <v>44</v>
      </c>
      <c r="AA2270" t="s">
        <v>44</v>
      </c>
      <c r="AB2270" t="s">
        <v>44</v>
      </c>
      <c r="AC2270" s="4">
        <v>5.1163389600000002</v>
      </c>
      <c r="AD2270" s="4">
        <v>5.0001424999999999</v>
      </c>
      <c r="AE2270" s="2">
        <v>5.12</v>
      </c>
      <c r="AF2270" s="4">
        <v>5.0001424999999999</v>
      </c>
      <c r="AG2270" s="2">
        <v>0</v>
      </c>
      <c r="AH2270" s="2">
        <v>2984.61</v>
      </c>
      <c r="AI2270" s="2">
        <v>0</v>
      </c>
      <c r="AJ2270" s="5">
        <v>44673</v>
      </c>
      <c r="AK2270" t="s">
        <v>12357</v>
      </c>
      <c r="AL2270" s="2">
        <v>5.05</v>
      </c>
      <c r="AM2270" s="2">
        <v>0</v>
      </c>
      <c r="AN2270" s="2">
        <v>0</v>
      </c>
      <c r="AO2270" t="s">
        <v>44</v>
      </c>
      <c r="AP2270" t="s">
        <v>44</v>
      </c>
      <c r="AQ2270" t="s">
        <v>44</v>
      </c>
    </row>
    <row r="2271" spans="1:43" x14ac:dyDescent="0.2">
      <c r="A2271" t="s">
        <v>12356</v>
      </c>
      <c r="B2271" t="s">
        <v>45</v>
      </c>
      <c r="C2271" t="s">
        <v>47</v>
      </c>
      <c r="D2271" t="s">
        <v>51</v>
      </c>
      <c r="E2271" t="s">
        <v>52</v>
      </c>
      <c r="F2271" t="s">
        <v>51</v>
      </c>
      <c r="G2271" s="1">
        <v>1297755.3999999999</v>
      </c>
      <c r="H2271" s="2">
        <v>1297754.74</v>
      </c>
      <c r="I2271" s="2">
        <v>1297755.3999999999</v>
      </c>
      <c r="J2271" s="2">
        <v>0</v>
      </c>
      <c r="K2271" s="2">
        <v>0</v>
      </c>
      <c r="L2271" s="2">
        <v>1297755.3999999999</v>
      </c>
      <c r="M2271" s="3"/>
      <c r="N2271" s="4">
        <v>2.9525300000000001E-3</v>
      </c>
      <c r="O2271" s="5" t="s">
        <v>44</v>
      </c>
      <c r="P2271" s="5" t="s">
        <v>44</v>
      </c>
      <c r="Q2271" s="1"/>
      <c r="R2271" s="2">
        <v>0.08</v>
      </c>
      <c r="S2271" s="6"/>
      <c r="T2271" t="s">
        <v>45</v>
      </c>
      <c r="U2271" t="s">
        <v>53</v>
      </c>
      <c r="V2271" t="s">
        <v>44</v>
      </c>
      <c r="W2271" t="s">
        <v>43</v>
      </c>
      <c r="X2271" t="s">
        <v>44</v>
      </c>
      <c r="Y2271" t="s">
        <v>44</v>
      </c>
      <c r="Z2271" t="s">
        <v>44</v>
      </c>
      <c r="AA2271" t="s">
        <v>44</v>
      </c>
      <c r="AB2271" t="s">
        <v>44</v>
      </c>
      <c r="AC2271" s="4">
        <v>5.1163389600000002</v>
      </c>
      <c r="AD2271" s="4">
        <v>5.0001424999999999</v>
      </c>
      <c r="AE2271" s="2">
        <v>5.12</v>
      </c>
      <c r="AF2271" s="4">
        <v>5.0001424999999999</v>
      </c>
      <c r="AG2271" s="2">
        <v>0.26</v>
      </c>
      <c r="AH2271" s="2">
        <v>1297755.3999999999</v>
      </c>
      <c r="AI2271" s="2">
        <v>0</v>
      </c>
      <c r="AJ2271" s="5">
        <v>44673</v>
      </c>
      <c r="AK2271" t="s">
        <v>12357</v>
      </c>
      <c r="AL2271" s="2">
        <v>5.05</v>
      </c>
      <c r="AM2271" s="2">
        <v>0</v>
      </c>
      <c r="AN2271" s="2">
        <v>0</v>
      </c>
      <c r="AO2271" t="s">
        <v>44</v>
      </c>
      <c r="AP2271" t="s">
        <v>44</v>
      </c>
      <c r="AQ2271" t="s">
        <v>43</v>
      </c>
    </row>
    <row r="2272" spans="1:43" x14ac:dyDescent="0.2">
      <c r="A2272" t="s">
        <v>12356</v>
      </c>
      <c r="B2272" t="s">
        <v>45</v>
      </c>
      <c r="C2272" t="s">
        <v>11005</v>
      </c>
      <c r="D2272" t="s">
        <v>11006</v>
      </c>
      <c r="E2272" t="s">
        <v>11007</v>
      </c>
      <c r="F2272" t="s">
        <v>11006</v>
      </c>
      <c r="G2272" s="1">
        <v>-75566.38</v>
      </c>
      <c r="H2272" s="2">
        <v>-75566.38</v>
      </c>
      <c r="I2272" s="2">
        <v>-75566.38</v>
      </c>
      <c r="J2272" s="2">
        <v>0</v>
      </c>
      <c r="K2272" s="2"/>
      <c r="L2272" s="2">
        <v>-75566.38</v>
      </c>
      <c r="M2272" s="3"/>
      <c r="N2272" s="4">
        <v>-1.7191999999999999E-4</v>
      </c>
      <c r="O2272" s="5" t="s">
        <v>44</v>
      </c>
      <c r="P2272" s="5">
        <v>73051</v>
      </c>
      <c r="Q2272" s="1">
        <v>0</v>
      </c>
      <c r="R2272" s="2">
        <v>0.08</v>
      </c>
      <c r="S2272" s="6"/>
      <c r="T2272" t="s">
        <v>45</v>
      </c>
      <c r="U2272" t="s">
        <v>11008</v>
      </c>
      <c r="V2272" t="s">
        <v>44</v>
      </c>
      <c r="W2272" t="s">
        <v>43</v>
      </c>
      <c r="X2272" t="s">
        <v>44</v>
      </c>
      <c r="Y2272" t="s">
        <v>44</v>
      </c>
      <c r="Z2272" t="s">
        <v>44</v>
      </c>
      <c r="AA2272" t="s">
        <v>44</v>
      </c>
      <c r="AB2272" t="s">
        <v>44</v>
      </c>
      <c r="AC2272" s="4">
        <v>5.1163389600000002</v>
      </c>
      <c r="AD2272" s="4">
        <v>5.0001424999999999</v>
      </c>
      <c r="AE2272" s="2">
        <v>5.12</v>
      </c>
      <c r="AF2272" s="4">
        <v>5.0001424999999999</v>
      </c>
      <c r="AG2272" s="2">
        <v>-0.02</v>
      </c>
      <c r="AH2272" s="2">
        <v>-75566.38</v>
      </c>
      <c r="AI2272" s="2">
        <v>0</v>
      </c>
      <c r="AJ2272" s="5">
        <v>44673</v>
      </c>
      <c r="AK2272" t="s">
        <v>12357</v>
      </c>
      <c r="AL2272" s="2">
        <v>5.05</v>
      </c>
      <c r="AM2272" s="2">
        <v>0</v>
      </c>
      <c r="AN2272" s="2">
        <v>0</v>
      </c>
      <c r="AO2272" t="s">
        <v>44</v>
      </c>
      <c r="AP2272" t="s">
        <v>44</v>
      </c>
      <c r="AQ2272" t="s">
        <v>44</v>
      </c>
    </row>
    <row r="2273" spans="1:43" x14ac:dyDescent="0.2">
      <c r="A2273" t="s">
        <v>12356</v>
      </c>
      <c r="B2273" t="s">
        <v>45</v>
      </c>
      <c r="C2273" t="s">
        <v>11005</v>
      </c>
      <c r="D2273" t="s">
        <v>11009</v>
      </c>
      <c r="E2273" t="s">
        <v>11010</v>
      </c>
      <c r="F2273" t="s">
        <v>44</v>
      </c>
      <c r="G2273" s="1">
        <v>-60552.83</v>
      </c>
      <c r="H2273" s="2">
        <v>-60552.83</v>
      </c>
      <c r="I2273" s="2">
        <v>-60552.83</v>
      </c>
      <c r="J2273" s="2">
        <v>0</v>
      </c>
      <c r="K2273" s="2"/>
      <c r="L2273" s="2">
        <v>-60552.83</v>
      </c>
      <c r="M2273" s="3"/>
      <c r="N2273" s="4">
        <v>-1.3776000000000001E-4</v>
      </c>
      <c r="O2273" s="5" t="s">
        <v>44</v>
      </c>
      <c r="P2273" s="5">
        <v>73051</v>
      </c>
      <c r="Q2273" s="1">
        <v>0</v>
      </c>
      <c r="R2273" s="2">
        <v>0.08</v>
      </c>
      <c r="S2273" s="6"/>
      <c r="T2273" t="s">
        <v>45</v>
      </c>
      <c r="U2273" t="s">
        <v>44</v>
      </c>
      <c r="V2273" t="s">
        <v>44</v>
      </c>
      <c r="W2273" t="s">
        <v>43</v>
      </c>
      <c r="X2273" t="s">
        <v>44</v>
      </c>
      <c r="Y2273" t="s">
        <v>44</v>
      </c>
      <c r="Z2273" t="s">
        <v>44</v>
      </c>
      <c r="AA2273" t="s">
        <v>44</v>
      </c>
      <c r="AB2273" t="s">
        <v>44</v>
      </c>
      <c r="AC2273" s="4">
        <v>5.1163389600000002</v>
      </c>
      <c r="AD2273" s="4">
        <v>5.0001424999999999</v>
      </c>
      <c r="AE2273" s="2">
        <v>5.12</v>
      </c>
      <c r="AF2273" s="4">
        <v>5.0001424999999999</v>
      </c>
      <c r="AG2273" s="2">
        <v>-0.01</v>
      </c>
      <c r="AH2273" s="2">
        <v>-60552.83</v>
      </c>
      <c r="AI2273" s="2">
        <v>0</v>
      </c>
      <c r="AJ2273" s="5">
        <v>44673</v>
      </c>
      <c r="AK2273" t="s">
        <v>12357</v>
      </c>
      <c r="AL2273" s="2">
        <v>5.05</v>
      </c>
      <c r="AM2273" s="2">
        <v>0</v>
      </c>
      <c r="AN2273" s="2">
        <v>0</v>
      </c>
      <c r="AO2273" t="s">
        <v>44</v>
      </c>
      <c r="AP2273" t="s">
        <v>44</v>
      </c>
      <c r="AQ2273" t="s">
        <v>44</v>
      </c>
    </row>
    <row r="2274" spans="1:43" x14ac:dyDescent="0.2">
      <c r="A2274" t="s">
        <v>12356</v>
      </c>
      <c r="B2274" t="s">
        <v>45</v>
      </c>
      <c r="C2274" t="s">
        <v>11005</v>
      </c>
      <c r="D2274" t="s">
        <v>11011</v>
      </c>
      <c r="E2274" t="s">
        <v>11012</v>
      </c>
      <c r="F2274" t="s">
        <v>44</v>
      </c>
      <c r="G2274" s="1">
        <v>-6522.18</v>
      </c>
      <c r="H2274" s="2">
        <v>-6522.18</v>
      </c>
      <c r="I2274" s="2">
        <v>-6522.18</v>
      </c>
      <c r="J2274" s="2">
        <v>0</v>
      </c>
      <c r="K2274" s="2"/>
      <c r="L2274" s="2">
        <v>-6522.18</v>
      </c>
      <c r="M2274" s="3"/>
      <c r="N2274" s="4">
        <v>-1.484E-5</v>
      </c>
      <c r="O2274" s="5" t="s">
        <v>44</v>
      </c>
      <c r="P2274" s="5">
        <v>73051</v>
      </c>
      <c r="Q2274" s="1">
        <v>0</v>
      </c>
      <c r="R2274" s="2">
        <v>0.08</v>
      </c>
      <c r="S2274" s="6"/>
      <c r="T2274" t="s">
        <v>45</v>
      </c>
      <c r="U2274" t="s">
        <v>44</v>
      </c>
      <c r="V2274" t="s">
        <v>44</v>
      </c>
      <c r="W2274" t="s">
        <v>43</v>
      </c>
      <c r="X2274" t="s">
        <v>44</v>
      </c>
      <c r="Y2274" t="s">
        <v>44</v>
      </c>
      <c r="Z2274" t="s">
        <v>44</v>
      </c>
      <c r="AA2274" t="s">
        <v>44</v>
      </c>
      <c r="AB2274" t="s">
        <v>44</v>
      </c>
      <c r="AC2274" s="4">
        <v>5.1163389600000002</v>
      </c>
      <c r="AD2274" s="4">
        <v>5.0001424999999999</v>
      </c>
      <c r="AE2274" s="2">
        <v>5.12</v>
      </c>
      <c r="AF2274" s="4">
        <v>5.0001424999999999</v>
      </c>
      <c r="AG2274" s="2">
        <v>0</v>
      </c>
      <c r="AH2274" s="2">
        <v>-6522.18</v>
      </c>
      <c r="AI2274" s="2">
        <v>0</v>
      </c>
      <c r="AJ2274" s="5">
        <v>44673</v>
      </c>
      <c r="AK2274" t="s">
        <v>12357</v>
      </c>
      <c r="AL2274" s="2">
        <v>5.05</v>
      </c>
      <c r="AM2274" s="2">
        <v>0</v>
      </c>
      <c r="AN2274" s="2">
        <v>0</v>
      </c>
      <c r="AO2274" t="s">
        <v>44</v>
      </c>
      <c r="AP2274" t="s">
        <v>44</v>
      </c>
      <c r="AQ2274" t="s">
        <v>44</v>
      </c>
    </row>
    <row r="2275" spans="1:43" x14ac:dyDescent="0.2">
      <c r="A2275" t="s">
        <v>12356</v>
      </c>
      <c r="B2275" t="s">
        <v>11013</v>
      </c>
      <c r="C2275" t="s">
        <v>11014</v>
      </c>
      <c r="D2275" t="s">
        <v>11018</v>
      </c>
      <c r="E2275" t="s">
        <v>11019</v>
      </c>
      <c r="F2275" t="s">
        <v>11018</v>
      </c>
      <c r="G2275" s="1">
        <v>17111625.199200001</v>
      </c>
      <c r="H2275" s="2">
        <v>17297239.449999999</v>
      </c>
      <c r="I2275" s="2">
        <v>17207450.300000001</v>
      </c>
      <c r="J2275" s="2">
        <v>0</v>
      </c>
      <c r="K2275" s="2">
        <v>0</v>
      </c>
      <c r="L2275" s="2">
        <v>17207450.300000001</v>
      </c>
      <c r="M2275" s="3">
        <v>1.0056</v>
      </c>
      <c r="N2275" s="4">
        <v>3.9148799999999997E-2</v>
      </c>
      <c r="O2275" s="5" t="s">
        <v>44</v>
      </c>
      <c r="P2275" s="5" t="s">
        <v>44</v>
      </c>
      <c r="Q2275" s="1"/>
      <c r="R2275" s="2"/>
      <c r="S2275" s="6"/>
      <c r="T2275" t="s">
        <v>10902</v>
      </c>
      <c r="U2275" t="s">
        <v>11003</v>
      </c>
      <c r="V2275" t="s">
        <v>11003</v>
      </c>
      <c r="W2275" t="s">
        <v>43</v>
      </c>
      <c r="X2275" t="s">
        <v>44</v>
      </c>
      <c r="Y2275" t="s">
        <v>44</v>
      </c>
      <c r="Z2275" t="s">
        <v>44</v>
      </c>
      <c r="AA2275" t="s">
        <v>44</v>
      </c>
      <c r="AB2275" t="s">
        <v>44</v>
      </c>
      <c r="AC2275" s="4"/>
      <c r="AD2275" s="4"/>
      <c r="AE2275" s="2">
        <v>0</v>
      </c>
      <c r="AF2275" s="4">
        <v>0</v>
      </c>
      <c r="AG2275" s="2">
        <v>3.49</v>
      </c>
      <c r="AH2275" s="2">
        <v>17207450.300000001</v>
      </c>
      <c r="AI2275" s="2">
        <v>0.04</v>
      </c>
      <c r="AJ2275" s="5">
        <v>44673</v>
      </c>
      <c r="AK2275" t="s">
        <v>12357</v>
      </c>
      <c r="AL2275" s="2">
        <v>0</v>
      </c>
      <c r="AM2275" s="2">
        <v>0</v>
      </c>
      <c r="AN2275" s="2">
        <v>0</v>
      </c>
      <c r="AO2275" t="s">
        <v>44</v>
      </c>
      <c r="AP2275" t="s">
        <v>11020</v>
      </c>
      <c r="AQ2275" t="s">
        <v>11019</v>
      </c>
    </row>
    <row r="2276" spans="1:43" x14ac:dyDescent="0.2">
      <c r="A2276" t="s">
        <v>12356</v>
      </c>
      <c r="B2276" t="s">
        <v>11037</v>
      </c>
      <c r="C2276" t="s">
        <v>11195</v>
      </c>
      <c r="D2276" t="s">
        <v>11606</v>
      </c>
      <c r="E2276" t="s">
        <v>7660</v>
      </c>
      <c r="F2276" t="s">
        <v>11606</v>
      </c>
      <c r="G2276" s="1">
        <v>560314</v>
      </c>
      <c r="H2276" s="2">
        <v>5470305.7400000002</v>
      </c>
      <c r="I2276" s="2">
        <v>4566559.0999999996</v>
      </c>
      <c r="J2276" s="2">
        <v>0</v>
      </c>
      <c r="K2276" s="2">
        <v>0</v>
      </c>
      <c r="L2276" s="2">
        <v>4566559.0999999996</v>
      </c>
      <c r="M2276" s="3">
        <v>815</v>
      </c>
      <c r="N2276" s="4">
        <v>1.038941E-2</v>
      </c>
      <c r="O2276" s="5" t="s">
        <v>44</v>
      </c>
      <c r="P2276" s="5" t="s">
        <v>44</v>
      </c>
      <c r="Q2276" s="1"/>
      <c r="R2276" s="2"/>
      <c r="S2276" s="6"/>
      <c r="T2276" t="s">
        <v>10902</v>
      </c>
      <c r="U2276" t="s">
        <v>10902</v>
      </c>
      <c r="V2276" t="s">
        <v>10902</v>
      </c>
      <c r="W2276" t="s">
        <v>43</v>
      </c>
      <c r="X2276" t="s">
        <v>11197</v>
      </c>
      <c r="Y2276" t="s">
        <v>11198</v>
      </c>
      <c r="Z2276" t="s">
        <v>11195</v>
      </c>
      <c r="AA2276" t="s">
        <v>44</v>
      </c>
      <c r="AB2276" t="s">
        <v>44</v>
      </c>
      <c r="AC2276" s="4"/>
      <c r="AD2276" s="4"/>
      <c r="AE2276" s="2">
        <v>0</v>
      </c>
      <c r="AF2276" s="4">
        <v>0</v>
      </c>
      <c r="AG2276" s="2">
        <v>0.93</v>
      </c>
      <c r="AH2276" s="2">
        <v>4566559.0999999996</v>
      </c>
      <c r="AI2276" s="2">
        <v>0.01</v>
      </c>
      <c r="AJ2276" s="5">
        <v>44673</v>
      </c>
      <c r="AK2276" t="s">
        <v>12357</v>
      </c>
      <c r="AL2276" s="2">
        <v>0</v>
      </c>
      <c r="AM2276" s="2">
        <v>0</v>
      </c>
      <c r="AN2276" s="2">
        <v>0</v>
      </c>
      <c r="AO2276" t="s">
        <v>44</v>
      </c>
      <c r="AP2276" t="s">
        <v>11607</v>
      </c>
      <c r="AQ2276" t="s">
        <v>7660</v>
      </c>
    </row>
    <row r="2277" spans="1:43" x14ac:dyDescent="0.2">
      <c r="A2277" t="s">
        <v>12356</v>
      </c>
      <c r="B2277" t="s">
        <v>11608</v>
      </c>
      <c r="C2277" t="s">
        <v>11608</v>
      </c>
      <c r="D2277" t="s">
        <v>12745</v>
      </c>
      <c r="E2277" t="s">
        <v>12746</v>
      </c>
      <c r="F2277" t="s">
        <v>12745</v>
      </c>
      <c r="G2277" s="1">
        <v>51000000</v>
      </c>
      <c r="H2277" s="2">
        <v>0</v>
      </c>
      <c r="I2277" s="2">
        <v>18982.97</v>
      </c>
      <c r="J2277" s="2">
        <v>0</v>
      </c>
      <c r="K2277" s="2">
        <v>0</v>
      </c>
      <c r="L2277" s="2">
        <v>18982.97</v>
      </c>
      <c r="M2277" s="3">
        <v>3.7221999999999998E-2</v>
      </c>
      <c r="N2277" s="4">
        <v>4.3189999999999998E-5</v>
      </c>
      <c r="O2277" s="5" t="s">
        <v>44</v>
      </c>
      <c r="P2277" s="5">
        <v>44890</v>
      </c>
      <c r="Q2277" s="1">
        <v>0</v>
      </c>
      <c r="R2277" s="2"/>
      <c r="S2277" s="6">
        <v>0.34246575342500002</v>
      </c>
      <c r="T2277" t="s">
        <v>11412</v>
      </c>
      <c r="U2277" t="s">
        <v>11413</v>
      </c>
      <c r="V2277" t="s">
        <v>9802</v>
      </c>
      <c r="W2277" t="s">
        <v>43</v>
      </c>
      <c r="X2277" t="s">
        <v>44</v>
      </c>
      <c r="Y2277" t="s">
        <v>44</v>
      </c>
      <c r="Z2277" t="s">
        <v>44</v>
      </c>
      <c r="AA2277" t="s">
        <v>44</v>
      </c>
      <c r="AB2277" t="s">
        <v>44</v>
      </c>
      <c r="AC2277" s="4"/>
      <c r="AD2277" s="4"/>
      <c r="AE2277" s="2">
        <v>0</v>
      </c>
      <c r="AF2277" s="4">
        <v>0</v>
      </c>
      <c r="AG2277" s="2">
        <v>0</v>
      </c>
      <c r="AH2277" s="2">
        <v>18982.97</v>
      </c>
      <c r="AI2277" s="2">
        <v>0</v>
      </c>
      <c r="AJ2277" s="5">
        <v>44673</v>
      </c>
      <c r="AK2277" t="s">
        <v>12357</v>
      </c>
      <c r="AL2277" s="2">
        <v>0</v>
      </c>
      <c r="AM2277" s="2">
        <v>0</v>
      </c>
      <c r="AN2277" s="2">
        <v>0.34</v>
      </c>
      <c r="AO2277" t="s">
        <v>44</v>
      </c>
      <c r="AP2277" t="s">
        <v>44</v>
      </c>
      <c r="AQ2277" t="s">
        <v>44</v>
      </c>
    </row>
    <row r="2278" spans="1:43" x14ac:dyDescent="0.2">
      <c r="A2278" t="s">
        <v>12356</v>
      </c>
      <c r="B2278" t="s">
        <v>11608</v>
      </c>
      <c r="C2278" t="s">
        <v>11608</v>
      </c>
      <c r="D2278" t="s">
        <v>12747</v>
      </c>
      <c r="E2278" t="s">
        <v>12746</v>
      </c>
      <c r="F2278" t="s">
        <v>12747</v>
      </c>
      <c r="G2278" s="1">
        <v>-51000000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3"/>
      <c r="N2278" s="4">
        <v>0</v>
      </c>
      <c r="O2278" s="5" t="s">
        <v>44</v>
      </c>
      <c r="P2278" s="5">
        <v>44890</v>
      </c>
      <c r="Q2278" s="1">
        <v>0</v>
      </c>
      <c r="R2278" s="2"/>
      <c r="S2278" s="6"/>
      <c r="T2278" t="s">
        <v>11412</v>
      </c>
      <c r="U2278" t="s">
        <v>11413</v>
      </c>
      <c r="V2278" t="s">
        <v>9802</v>
      </c>
      <c r="W2278" t="s">
        <v>43</v>
      </c>
      <c r="X2278" t="s">
        <v>44</v>
      </c>
      <c r="Y2278" t="s">
        <v>44</v>
      </c>
      <c r="Z2278" t="s">
        <v>44</v>
      </c>
      <c r="AA2278" t="s">
        <v>44</v>
      </c>
      <c r="AB2278" t="s">
        <v>44</v>
      </c>
      <c r="AC2278" s="4"/>
      <c r="AD2278" s="4"/>
      <c r="AE2278" s="2">
        <v>0</v>
      </c>
      <c r="AF2278" s="4">
        <v>0</v>
      </c>
      <c r="AG2278" s="2">
        <v>0</v>
      </c>
      <c r="AH2278" s="2">
        <v>0</v>
      </c>
      <c r="AI2278" s="2">
        <v>0</v>
      </c>
      <c r="AJ2278" s="5">
        <v>44673</v>
      </c>
      <c r="AK2278" t="s">
        <v>12357</v>
      </c>
      <c r="AL2278" s="2">
        <v>0</v>
      </c>
      <c r="AM2278" s="2">
        <v>0</v>
      </c>
      <c r="AN2278" s="2">
        <v>0</v>
      </c>
      <c r="AO2278" t="s">
        <v>44</v>
      </c>
      <c r="AP2278" t="s">
        <v>44</v>
      </c>
      <c r="AQ2278" t="s">
        <v>44</v>
      </c>
    </row>
    <row r="2279" spans="1:43" x14ac:dyDescent="0.2">
      <c r="A2279" t="s">
        <v>12356</v>
      </c>
      <c r="B2279" t="s">
        <v>11608</v>
      </c>
      <c r="C2279" t="s">
        <v>11608</v>
      </c>
      <c r="D2279" t="s">
        <v>12748</v>
      </c>
      <c r="E2279" t="s">
        <v>12746</v>
      </c>
      <c r="F2279" t="s">
        <v>12748</v>
      </c>
      <c r="G2279" s="1">
        <v>51000000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3"/>
      <c r="N2279" s="4">
        <v>0</v>
      </c>
      <c r="O2279" s="5" t="s">
        <v>44</v>
      </c>
      <c r="P2279" s="5">
        <v>44890</v>
      </c>
      <c r="Q2279" s="1">
        <v>5.49</v>
      </c>
      <c r="R2279" s="2"/>
      <c r="S2279" s="6"/>
      <c r="T2279" t="s">
        <v>11412</v>
      </c>
      <c r="U2279" t="s">
        <v>11413</v>
      </c>
      <c r="V2279" t="s">
        <v>9802</v>
      </c>
      <c r="W2279" t="s">
        <v>43</v>
      </c>
      <c r="X2279" t="s">
        <v>44</v>
      </c>
      <c r="Y2279" t="s">
        <v>44</v>
      </c>
      <c r="Z2279" t="s">
        <v>44</v>
      </c>
      <c r="AA2279" t="s">
        <v>44</v>
      </c>
      <c r="AB2279" t="s">
        <v>44</v>
      </c>
      <c r="AC2279" s="4"/>
      <c r="AD2279" s="4"/>
      <c r="AE2279" s="2">
        <v>0</v>
      </c>
      <c r="AF2279" s="4">
        <v>0</v>
      </c>
      <c r="AG2279" s="2">
        <v>0</v>
      </c>
      <c r="AH2279" s="2">
        <v>0</v>
      </c>
      <c r="AI2279" s="2">
        <v>0</v>
      </c>
      <c r="AJ2279" s="5">
        <v>44673</v>
      </c>
      <c r="AK2279" t="s">
        <v>12357</v>
      </c>
      <c r="AL2279" s="2">
        <v>0</v>
      </c>
      <c r="AM2279" s="2">
        <v>5.49</v>
      </c>
      <c r="AN2279" s="2">
        <v>0</v>
      </c>
      <c r="AO2279" t="s">
        <v>44</v>
      </c>
      <c r="AP2279" t="s">
        <v>44</v>
      </c>
      <c r="AQ2279" t="s">
        <v>44</v>
      </c>
    </row>
    <row r="2280" spans="1:43" x14ac:dyDescent="0.2">
      <c r="A2280" t="s">
        <v>12356</v>
      </c>
      <c r="B2280" t="s">
        <v>11608</v>
      </c>
      <c r="C2280" t="s">
        <v>11608</v>
      </c>
      <c r="D2280" t="s">
        <v>11609</v>
      </c>
      <c r="E2280" t="s">
        <v>11610</v>
      </c>
      <c r="F2280" t="s">
        <v>11611</v>
      </c>
      <c r="G2280" s="1">
        <v>30000000</v>
      </c>
      <c r="H2280" s="2">
        <v>0</v>
      </c>
      <c r="I2280" s="2">
        <v>19758.689999999999</v>
      </c>
      <c r="J2280" s="2">
        <v>0</v>
      </c>
      <c r="K2280" s="2">
        <v>0</v>
      </c>
      <c r="L2280" s="2">
        <v>19758.689999999999</v>
      </c>
      <c r="M2280" s="3">
        <v>6.5862000000000004E-2</v>
      </c>
      <c r="N2280" s="4">
        <v>4.4950000000000002E-5</v>
      </c>
      <c r="O2280" s="5" t="s">
        <v>44</v>
      </c>
      <c r="P2280" s="5">
        <v>44914</v>
      </c>
      <c r="Q2280" s="1">
        <v>0</v>
      </c>
      <c r="R2280" s="2"/>
      <c r="S2280" s="6">
        <v>0.40273972602699998</v>
      </c>
      <c r="T2280" t="s">
        <v>11412</v>
      </c>
      <c r="U2280" t="s">
        <v>11413</v>
      </c>
      <c r="V2280" t="s">
        <v>9802</v>
      </c>
      <c r="W2280" t="s">
        <v>43</v>
      </c>
      <c r="X2280" t="s">
        <v>44</v>
      </c>
      <c r="Y2280" t="s">
        <v>44</v>
      </c>
      <c r="Z2280" t="s">
        <v>44</v>
      </c>
      <c r="AA2280" t="s">
        <v>44</v>
      </c>
      <c r="AB2280" t="s">
        <v>44</v>
      </c>
      <c r="AC2280" s="4"/>
      <c r="AD2280" s="4"/>
      <c r="AE2280" s="2">
        <v>0</v>
      </c>
      <c r="AF2280" s="4">
        <v>0</v>
      </c>
      <c r="AG2280" s="2">
        <v>0</v>
      </c>
      <c r="AH2280" s="2">
        <v>19758.689999999999</v>
      </c>
      <c r="AI2280" s="2">
        <v>0</v>
      </c>
      <c r="AJ2280" s="5">
        <v>44673</v>
      </c>
      <c r="AK2280" t="s">
        <v>12357</v>
      </c>
      <c r="AL2280" s="2">
        <v>0</v>
      </c>
      <c r="AM2280" s="2">
        <v>0</v>
      </c>
      <c r="AN2280" s="2">
        <v>0.4</v>
      </c>
      <c r="AO2280" t="s">
        <v>44</v>
      </c>
      <c r="AP2280" t="s">
        <v>44</v>
      </c>
      <c r="AQ2280" t="s">
        <v>44</v>
      </c>
    </row>
    <row r="2281" spans="1:43" x14ac:dyDescent="0.2">
      <c r="A2281" t="s">
        <v>12356</v>
      </c>
      <c r="B2281" t="s">
        <v>11608</v>
      </c>
      <c r="C2281" t="s">
        <v>11608</v>
      </c>
      <c r="D2281" t="s">
        <v>11612</v>
      </c>
      <c r="E2281" t="s">
        <v>11610</v>
      </c>
      <c r="F2281" t="s">
        <v>11613</v>
      </c>
      <c r="G2281" s="1">
        <v>-30000000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3"/>
      <c r="N2281" s="4">
        <v>0</v>
      </c>
      <c r="O2281" s="5" t="s">
        <v>44</v>
      </c>
      <c r="P2281" s="5">
        <v>44914</v>
      </c>
      <c r="Q2281" s="1">
        <v>0</v>
      </c>
      <c r="R2281" s="2"/>
      <c r="S2281" s="6"/>
      <c r="T2281" t="s">
        <v>11412</v>
      </c>
      <c r="U2281" t="s">
        <v>11413</v>
      </c>
      <c r="V2281" t="s">
        <v>9802</v>
      </c>
      <c r="W2281" t="s">
        <v>43</v>
      </c>
      <c r="X2281" t="s">
        <v>44</v>
      </c>
      <c r="Y2281" t="s">
        <v>44</v>
      </c>
      <c r="Z2281" t="s">
        <v>44</v>
      </c>
      <c r="AA2281" t="s">
        <v>44</v>
      </c>
      <c r="AB2281" t="s">
        <v>44</v>
      </c>
      <c r="AC2281" s="4"/>
      <c r="AD2281" s="4"/>
      <c r="AE2281" s="2">
        <v>0</v>
      </c>
      <c r="AF2281" s="4">
        <v>0</v>
      </c>
      <c r="AG2281" s="2">
        <v>0</v>
      </c>
      <c r="AH2281" s="2">
        <v>0</v>
      </c>
      <c r="AI2281" s="2">
        <v>0</v>
      </c>
      <c r="AJ2281" s="5">
        <v>44673</v>
      </c>
      <c r="AK2281" t="s">
        <v>12357</v>
      </c>
      <c r="AL2281" s="2">
        <v>0</v>
      </c>
      <c r="AM2281" s="2">
        <v>0</v>
      </c>
      <c r="AN2281" s="2">
        <v>0</v>
      </c>
      <c r="AO2281" t="s">
        <v>44</v>
      </c>
      <c r="AP2281" t="s">
        <v>44</v>
      </c>
      <c r="AQ2281" t="s">
        <v>44</v>
      </c>
    </row>
    <row r="2282" spans="1:43" x14ac:dyDescent="0.2">
      <c r="A2282" t="s">
        <v>12356</v>
      </c>
      <c r="B2282" t="s">
        <v>11608</v>
      </c>
      <c r="C2282" t="s">
        <v>11608</v>
      </c>
      <c r="D2282" t="s">
        <v>11614</v>
      </c>
      <c r="E2282" t="s">
        <v>11610</v>
      </c>
      <c r="F2282" t="s">
        <v>11615</v>
      </c>
      <c r="G2282" s="1">
        <v>30000000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3"/>
      <c r="N2282" s="4">
        <v>0</v>
      </c>
      <c r="O2282" s="5" t="s">
        <v>44</v>
      </c>
      <c r="P2282" s="5">
        <v>44914</v>
      </c>
      <c r="Q2282" s="1">
        <v>5.63</v>
      </c>
      <c r="R2282" s="2"/>
      <c r="S2282" s="6"/>
      <c r="T2282" t="s">
        <v>11412</v>
      </c>
      <c r="U2282" t="s">
        <v>11413</v>
      </c>
      <c r="V2282" t="s">
        <v>9802</v>
      </c>
      <c r="W2282" t="s">
        <v>43</v>
      </c>
      <c r="X2282" t="s">
        <v>44</v>
      </c>
      <c r="Y2282" t="s">
        <v>44</v>
      </c>
      <c r="Z2282" t="s">
        <v>44</v>
      </c>
      <c r="AA2282" t="s">
        <v>44</v>
      </c>
      <c r="AB2282" t="s">
        <v>44</v>
      </c>
      <c r="AC2282" s="4"/>
      <c r="AD2282" s="4"/>
      <c r="AE2282" s="2">
        <v>0</v>
      </c>
      <c r="AF2282" s="4">
        <v>0</v>
      </c>
      <c r="AG2282" s="2">
        <v>0</v>
      </c>
      <c r="AH2282" s="2">
        <v>0</v>
      </c>
      <c r="AI2282" s="2">
        <v>0</v>
      </c>
      <c r="AJ2282" s="5">
        <v>44673</v>
      </c>
      <c r="AK2282" t="s">
        <v>12357</v>
      </c>
      <c r="AL2282" s="2">
        <v>0</v>
      </c>
      <c r="AM2282" s="2">
        <v>5.63</v>
      </c>
      <c r="AN2282" s="2">
        <v>0</v>
      </c>
      <c r="AO2282" t="s">
        <v>44</v>
      </c>
      <c r="AP2282" t="s">
        <v>44</v>
      </c>
      <c r="AQ2282" t="s">
        <v>44</v>
      </c>
    </row>
    <row r="2283" spans="1:43" x14ac:dyDescent="0.2">
      <c r="A2283" t="s">
        <v>12356</v>
      </c>
      <c r="B2283" t="s">
        <v>11608</v>
      </c>
      <c r="C2283" t="s">
        <v>11608</v>
      </c>
      <c r="D2283" t="s">
        <v>12749</v>
      </c>
      <c r="E2283" t="s">
        <v>12750</v>
      </c>
      <c r="F2283" t="s">
        <v>12749</v>
      </c>
      <c r="G2283" s="1">
        <v>51000000</v>
      </c>
      <c r="H2283" s="2">
        <v>0</v>
      </c>
      <c r="I2283" s="2">
        <v>17734.55</v>
      </c>
      <c r="J2283" s="2">
        <v>0</v>
      </c>
      <c r="K2283" s="2">
        <v>0</v>
      </c>
      <c r="L2283" s="2">
        <v>17734.55</v>
      </c>
      <c r="M2283" s="3">
        <v>3.4773999999999999E-2</v>
      </c>
      <c r="N2283" s="4">
        <v>4.0349999999999998E-5</v>
      </c>
      <c r="O2283" s="5" t="s">
        <v>44</v>
      </c>
      <c r="P2283" s="5">
        <v>44890</v>
      </c>
      <c r="Q2283" s="1">
        <v>0</v>
      </c>
      <c r="R2283" s="2"/>
      <c r="S2283" s="6">
        <v>0.34246575342500002</v>
      </c>
      <c r="T2283" t="s">
        <v>11412</v>
      </c>
      <c r="U2283" t="s">
        <v>11413</v>
      </c>
      <c r="V2283" t="s">
        <v>9802</v>
      </c>
      <c r="W2283" t="s">
        <v>43</v>
      </c>
      <c r="X2283" t="s">
        <v>44</v>
      </c>
      <c r="Y2283" t="s">
        <v>44</v>
      </c>
      <c r="Z2283" t="s">
        <v>44</v>
      </c>
      <c r="AA2283" t="s">
        <v>44</v>
      </c>
      <c r="AB2283" t="s">
        <v>44</v>
      </c>
      <c r="AC2283" s="4"/>
      <c r="AD2283" s="4"/>
      <c r="AE2283" s="2">
        <v>0</v>
      </c>
      <c r="AF2283" s="4">
        <v>0</v>
      </c>
      <c r="AG2283" s="2">
        <v>0</v>
      </c>
      <c r="AH2283" s="2">
        <v>17734.55</v>
      </c>
      <c r="AI2283" s="2">
        <v>0</v>
      </c>
      <c r="AJ2283" s="5">
        <v>44673</v>
      </c>
      <c r="AK2283" t="s">
        <v>12357</v>
      </c>
      <c r="AL2283" s="2">
        <v>0</v>
      </c>
      <c r="AM2283" s="2">
        <v>0</v>
      </c>
      <c r="AN2283" s="2">
        <v>0.34</v>
      </c>
      <c r="AO2283" t="s">
        <v>44</v>
      </c>
      <c r="AP2283" t="s">
        <v>44</v>
      </c>
      <c r="AQ2283" t="s">
        <v>44</v>
      </c>
    </row>
    <row r="2284" spans="1:43" x14ac:dyDescent="0.2">
      <c r="A2284" t="s">
        <v>12356</v>
      </c>
      <c r="B2284" t="s">
        <v>11608</v>
      </c>
      <c r="C2284" t="s">
        <v>11608</v>
      </c>
      <c r="D2284" t="s">
        <v>12751</v>
      </c>
      <c r="E2284" t="s">
        <v>12750</v>
      </c>
      <c r="F2284" t="s">
        <v>12751</v>
      </c>
      <c r="G2284" s="1">
        <v>-51000000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3"/>
      <c r="N2284" s="4">
        <v>0</v>
      </c>
      <c r="O2284" s="5" t="s">
        <v>44</v>
      </c>
      <c r="P2284" s="5">
        <v>44890</v>
      </c>
      <c r="Q2284" s="1">
        <v>0</v>
      </c>
      <c r="R2284" s="2"/>
      <c r="S2284" s="6"/>
      <c r="T2284" t="s">
        <v>11412</v>
      </c>
      <c r="U2284" t="s">
        <v>11413</v>
      </c>
      <c r="V2284" t="s">
        <v>9802</v>
      </c>
      <c r="W2284" t="s">
        <v>43</v>
      </c>
      <c r="X2284" t="s">
        <v>44</v>
      </c>
      <c r="Y2284" t="s">
        <v>44</v>
      </c>
      <c r="Z2284" t="s">
        <v>44</v>
      </c>
      <c r="AA2284" t="s">
        <v>44</v>
      </c>
      <c r="AB2284" t="s">
        <v>44</v>
      </c>
      <c r="AC2284" s="4"/>
      <c r="AD2284" s="4"/>
      <c r="AE2284" s="2">
        <v>0</v>
      </c>
      <c r="AF2284" s="4">
        <v>0</v>
      </c>
      <c r="AG2284" s="2">
        <v>0</v>
      </c>
      <c r="AH2284" s="2">
        <v>0</v>
      </c>
      <c r="AI2284" s="2">
        <v>0</v>
      </c>
      <c r="AJ2284" s="5">
        <v>44673</v>
      </c>
      <c r="AK2284" t="s">
        <v>12357</v>
      </c>
      <c r="AL2284" s="2">
        <v>0</v>
      </c>
      <c r="AM2284" s="2">
        <v>0</v>
      </c>
      <c r="AN2284" s="2">
        <v>0</v>
      </c>
      <c r="AO2284" t="s">
        <v>44</v>
      </c>
      <c r="AP2284" t="s">
        <v>44</v>
      </c>
      <c r="AQ2284" t="s">
        <v>44</v>
      </c>
    </row>
    <row r="2285" spans="1:43" x14ac:dyDescent="0.2">
      <c r="A2285" t="s">
        <v>12356</v>
      </c>
      <c r="B2285" t="s">
        <v>11608</v>
      </c>
      <c r="C2285" t="s">
        <v>11608</v>
      </c>
      <c r="D2285" t="s">
        <v>12752</v>
      </c>
      <c r="E2285" t="s">
        <v>12750</v>
      </c>
      <c r="F2285" t="s">
        <v>12752</v>
      </c>
      <c r="G2285" s="1">
        <v>51000000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3"/>
      <c r="N2285" s="4">
        <v>0</v>
      </c>
      <c r="O2285" s="5" t="s">
        <v>44</v>
      </c>
      <c r="P2285" s="5">
        <v>44890</v>
      </c>
      <c r="Q2285" s="1">
        <v>5.48</v>
      </c>
      <c r="R2285" s="2"/>
      <c r="S2285" s="6"/>
      <c r="T2285" t="s">
        <v>11412</v>
      </c>
      <c r="U2285" t="s">
        <v>11413</v>
      </c>
      <c r="V2285" t="s">
        <v>9802</v>
      </c>
      <c r="W2285" t="s">
        <v>43</v>
      </c>
      <c r="X2285" t="s">
        <v>44</v>
      </c>
      <c r="Y2285" t="s">
        <v>44</v>
      </c>
      <c r="Z2285" t="s">
        <v>44</v>
      </c>
      <c r="AA2285" t="s">
        <v>44</v>
      </c>
      <c r="AB2285" t="s">
        <v>44</v>
      </c>
      <c r="AC2285" s="4"/>
      <c r="AD2285" s="4"/>
      <c r="AE2285" s="2">
        <v>0</v>
      </c>
      <c r="AF2285" s="4">
        <v>0</v>
      </c>
      <c r="AG2285" s="2">
        <v>0</v>
      </c>
      <c r="AH2285" s="2">
        <v>0</v>
      </c>
      <c r="AI2285" s="2">
        <v>0</v>
      </c>
      <c r="AJ2285" s="5">
        <v>44673</v>
      </c>
      <c r="AK2285" t="s">
        <v>12357</v>
      </c>
      <c r="AL2285" s="2">
        <v>0</v>
      </c>
      <c r="AM2285" s="2">
        <v>5.48</v>
      </c>
      <c r="AN2285" s="2">
        <v>0</v>
      </c>
      <c r="AO2285" t="s">
        <v>44</v>
      </c>
      <c r="AP2285" t="s">
        <v>44</v>
      </c>
      <c r="AQ2285" t="s">
        <v>44</v>
      </c>
    </row>
    <row r="2286" spans="1:43" x14ac:dyDescent="0.2">
      <c r="A2286" t="s">
        <v>12356</v>
      </c>
      <c r="B2286" t="s">
        <v>11038</v>
      </c>
      <c r="C2286" t="s">
        <v>11870</v>
      </c>
      <c r="D2286" t="s">
        <v>11056</v>
      </c>
      <c r="E2286" t="s">
        <v>11057</v>
      </c>
      <c r="F2286" t="s">
        <v>11056</v>
      </c>
      <c r="G2286" s="1">
        <v>7338509</v>
      </c>
      <c r="H2286" s="2">
        <v>7336756.4500000002</v>
      </c>
      <c r="I2286" s="2">
        <v>7338509</v>
      </c>
      <c r="J2286" s="2">
        <v>189157.41</v>
      </c>
      <c r="K2286" s="2">
        <v>0</v>
      </c>
      <c r="L2286" s="2">
        <v>7527666.4100000001</v>
      </c>
      <c r="M2286" s="3"/>
      <c r="N2286" s="4">
        <v>1.7126249999999999E-2</v>
      </c>
      <c r="O2286" s="5">
        <v>44692</v>
      </c>
      <c r="P2286" s="5">
        <v>44692</v>
      </c>
      <c r="Q2286" s="1">
        <v>13.067</v>
      </c>
      <c r="R2286" s="2"/>
      <c r="S2286" s="6"/>
      <c r="T2286" t="s">
        <v>111</v>
      </c>
      <c r="U2286" t="s">
        <v>11040</v>
      </c>
      <c r="V2286" t="s">
        <v>115</v>
      </c>
      <c r="W2286" t="s">
        <v>43</v>
      </c>
      <c r="X2286" t="s">
        <v>44</v>
      </c>
      <c r="Y2286" t="s">
        <v>44</v>
      </c>
      <c r="Z2286" t="s">
        <v>44</v>
      </c>
      <c r="AA2286" t="s">
        <v>10979</v>
      </c>
      <c r="AB2286" t="s">
        <v>44</v>
      </c>
      <c r="AC2286" s="4"/>
      <c r="AD2286" s="4"/>
      <c r="AE2286" s="2">
        <v>0</v>
      </c>
      <c r="AF2286" s="4">
        <v>0</v>
      </c>
      <c r="AG2286" s="2">
        <v>1.53</v>
      </c>
      <c r="AH2286" s="2">
        <v>7527666.4100000001</v>
      </c>
      <c r="AI2286" s="2">
        <v>0.02</v>
      </c>
      <c r="AJ2286" s="5">
        <v>44673</v>
      </c>
      <c r="AK2286" t="s">
        <v>12357</v>
      </c>
      <c r="AL2286" s="2">
        <v>0</v>
      </c>
      <c r="AM2286" s="2">
        <v>13.07</v>
      </c>
      <c r="AN2286" s="2">
        <v>0</v>
      </c>
      <c r="AO2286" t="s">
        <v>10980</v>
      </c>
      <c r="AP2286" t="s">
        <v>11058</v>
      </c>
      <c r="AQ2286" t="s">
        <v>11057</v>
      </c>
    </row>
    <row r="2287" spans="1:43" x14ac:dyDescent="0.2">
      <c r="A2287" t="s">
        <v>12356</v>
      </c>
      <c r="B2287" t="s">
        <v>11038</v>
      </c>
      <c r="C2287" t="s">
        <v>11870</v>
      </c>
      <c r="D2287" t="s">
        <v>11616</v>
      </c>
      <c r="E2287" t="s">
        <v>11617</v>
      </c>
      <c r="F2287" t="s">
        <v>11616</v>
      </c>
      <c r="G2287" s="1">
        <v>21800000</v>
      </c>
      <c r="H2287" s="2">
        <v>21800000</v>
      </c>
      <c r="I2287" s="2">
        <v>21809164.52</v>
      </c>
      <c r="J2287" s="2">
        <v>264128.8</v>
      </c>
      <c r="K2287" s="2">
        <v>0</v>
      </c>
      <c r="L2287" s="2">
        <v>22073293.32</v>
      </c>
      <c r="M2287" s="3">
        <v>4.9760429999999998</v>
      </c>
      <c r="N2287" s="4">
        <v>5.0219119999999999E-2</v>
      </c>
      <c r="O2287" s="5">
        <v>44690</v>
      </c>
      <c r="P2287" s="5">
        <v>44690</v>
      </c>
      <c r="Q2287" s="1">
        <v>6.0579999999999998</v>
      </c>
      <c r="R2287" s="2">
        <v>0.04</v>
      </c>
      <c r="S2287" s="6">
        <v>3.6514757501999999E-2</v>
      </c>
      <c r="T2287" t="s">
        <v>111</v>
      </c>
      <c r="U2287" t="s">
        <v>11040</v>
      </c>
      <c r="V2287" t="s">
        <v>114</v>
      </c>
      <c r="W2287" t="s">
        <v>43</v>
      </c>
      <c r="X2287" t="s">
        <v>10988</v>
      </c>
      <c r="Y2287" t="s">
        <v>44</v>
      </c>
      <c r="Z2287" t="s">
        <v>44</v>
      </c>
      <c r="AA2287" t="s">
        <v>10979</v>
      </c>
      <c r="AB2287" t="s">
        <v>44</v>
      </c>
      <c r="AC2287" s="4">
        <v>5.09694307</v>
      </c>
      <c r="AD2287" s="4">
        <v>4.9816122199999997</v>
      </c>
      <c r="AE2287" s="2">
        <v>5.0999999999999996</v>
      </c>
      <c r="AF2287" s="4">
        <v>4.9816122199999997</v>
      </c>
      <c r="AG2287" s="2">
        <v>4.4800000000000004</v>
      </c>
      <c r="AH2287" s="2">
        <v>22073293.32</v>
      </c>
      <c r="AI2287" s="2">
        <v>0.05</v>
      </c>
      <c r="AJ2287" s="5">
        <v>44673</v>
      </c>
      <c r="AK2287" t="s">
        <v>12357</v>
      </c>
      <c r="AL2287" s="2">
        <v>5.03</v>
      </c>
      <c r="AM2287" s="2">
        <v>6.06</v>
      </c>
      <c r="AN2287" s="2">
        <v>0.04</v>
      </c>
      <c r="AO2287" t="s">
        <v>11618</v>
      </c>
      <c r="AP2287" t="s">
        <v>11619</v>
      </c>
      <c r="AQ2287" t="s">
        <v>11617</v>
      </c>
    </row>
    <row r="2288" spans="1:43" x14ac:dyDescent="0.2">
      <c r="A2288" t="s">
        <v>12356</v>
      </c>
      <c r="B2288" t="s">
        <v>11038</v>
      </c>
      <c r="C2288" t="s">
        <v>11039</v>
      </c>
      <c r="D2288" t="s">
        <v>11878</v>
      </c>
      <c r="E2288" t="s">
        <v>11879</v>
      </c>
      <c r="F2288" t="s">
        <v>11878</v>
      </c>
      <c r="G2288" s="1">
        <v>5000000</v>
      </c>
      <c r="H2288" s="2">
        <v>5000000</v>
      </c>
      <c r="I2288" s="2">
        <v>4999565.09</v>
      </c>
      <c r="J2288" s="2">
        <v>32989.730000000003</v>
      </c>
      <c r="K2288" s="2">
        <v>0</v>
      </c>
      <c r="L2288" s="2">
        <v>5032554.82</v>
      </c>
      <c r="M2288" s="3">
        <v>6.1553490000000002</v>
      </c>
      <c r="N2288" s="4">
        <v>1.1449600000000001E-2</v>
      </c>
      <c r="O2288" s="5">
        <v>44727</v>
      </c>
      <c r="P2288" s="5">
        <v>45000</v>
      </c>
      <c r="Q2288" s="1">
        <v>6.1749999999999998</v>
      </c>
      <c r="R2288" s="2">
        <v>0.14000000000000001</v>
      </c>
      <c r="S2288" s="6">
        <v>0.121958312463</v>
      </c>
      <c r="T2288" t="s">
        <v>111</v>
      </c>
      <c r="U2288" t="s">
        <v>11040</v>
      </c>
      <c r="V2288" t="s">
        <v>114</v>
      </c>
      <c r="W2288" t="s">
        <v>43</v>
      </c>
      <c r="X2288" t="s">
        <v>10988</v>
      </c>
      <c r="Y2288" t="s">
        <v>44</v>
      </c>
      <c r="Z2288" t="s">
        <v>44</v>
      </c>
      <c r="AA2288" t="s">
        <v>10979</v>
      </c>
      <c r="AB2288" t="s">
        <v>44</v>
      </c>
      <c r="AC2288" s="4">
        <v>6.3207521</v>
      </c>
      <c r="AD2288" s="4">
        <v>6.1447089999999998</v>
      </c>
      <c r="AE2288" s="2">
        <v>6.32</v>
      </c>
      <c r="AF2288" s="4">
        <v>6.1447089999999998</v>
      </c>
      <c r="AG2288" s="2">
        <v>1.02</v>
      </c>
      <c r="AH2288" s="2">
        <v>5032554.82</v>
      </c>
      <c r="AI2288" s="2">
        <v>0.01</v>
      </c>
      <c r="AJ2288" s="5">
        <v>44673</v>
      </c>
      <c r="AK2288" t="s">
        <v>12357</v>
      </c>
      <c r="AL2288" s="2">
        <v>6.22</v>
      </c>
      <c r="AM2288" s="2">
        <v>6.17</v>
      </c>
      <c r="AN2288" s="2">
        <v>0.12</v>
      </c>
      <c r="AO2288" t="s">
        <v>11567</v>
      </c>
      <c r="AP2288" t="s">
        <v>11880</v>
      </c>
      <c r="AQ2288" t="s">
        <v>11879</v>
      </c>
    </row>
    <row r="2289" spans="1:43" x14ac:dyDescent="0.2">
      <c r="A2289" t="s">
        <v>12356</v>
      </c>
      <c r="B2289" t="s">
        <v>11038</v>
      </c>
      <c r="C2289" t="s">
        <v>11039</v>
      </c>
      <c r="D2289" t="s">
        <v>11881</v>
      </c>
      <c r="E2289" t="s">
        <v>11882</v>
      </c>
      <c r="F2289" t="s">
        <v>11881</v>
      </c>
      <c r="G2289" s="1">
        <v>3500000</v>
      </c>
      <c r="H2289" s="2">
        <v>3500000</v>
      </c>
      <c r="I2289" s="2">
        <v>3499695.57</v>
      </c>
      <c r="J2289" s="2">
        <v>23092.81</v>
      </c>
      <c r="K2289" s="2">
        <v>0</v>
      </c>
      <c r="L2289" s="2">
        <v>3522788.38</v>
      </c>
      <c r="M2289" s="3">
        <v>6.1553490000000002</v>
      </c>
      <c r="N2289" s="4">
        <v>8.0147199999999995E-3</v>
      </c>
      <c r="O2289" s="5">
        <v>44727</v>
      </c>
      <c r="P2289" s="5">
        <v>45000</v>
      </c>
      <c r="Q2289" s="1">
        <v>6.1749999999999998</v>
      </c>
      <c r="R2289" s="2">
        <v>0.14000000000000001</v>
      </c>
      <c r="S2289" s="6">
        <v>0.121958312463</v>
      </c>
      <c r="T2289" t="s">
        <v>111</v>
      </c>
      <c r="U2289" t="s">
        <v>11040</v>
      </c>
      <c r="V2289" t="s">
        <v>114</v>
      </c>
      <c r="W2289" t="s">
        <v>43</v>
      </c>
      <c r="X2289" t="s">
        <v>10988</v>
      </c>
      <c r="Y2289" t="s">
        <v>44</v>
      </c>
      <c r="Z2289" t="s">
        <v>44</v>
      </c>
      <c r="AA2289" t="s">
        <v>10979</v>
      </c>
      <c r="AB2289" t="s">
        <v>44</v>
      </c>
      <c r="AC2289" s="4">
        <v>6.3207521</v>
      </c>
      <c r="AD2289" s="4">
        <v>6.1447089999999998</v>
      </c>
      <c r="AE2289" s="2">
        <v>6.32</v>
      </c>
      <c r="AF2289" s="4">
        <v>6.1447089999999998</v>
      </c>
      <c r="AG2289" s="2">
        <v>0.71</v>
      </c>
      <c r="AH2289" s="2">
        <v>3522788.38</v>
      </c>
      <c r="AI2289" s="2">
        <v>0.01</v>
      </c>
      <c r="AJ2289" s="5">
        <v>44673</v>
      </c>
      <c r="AK2289" t="s">
        <v>12357</v>
      </c>
      <c r="AL2289" s="2">
        <v>6.22</v>
      </c>
      <c r="AM2289" s="2">
        <v>6.17</v>
      </c>
      <c r="AN2289" s="2">
        <v>0.12</v>
      </c>
      <c r="AO2289" t="s">
        <v>11567</v>
      </c>
      <c r="AP2289" t="s">
        <v>11883</v>
      </c>
      <c r="AQ2289" t="s">
        <v>11882</v>
      </c>
    </row>
    <row r="2290" spans="1:43" x14ac:dyDescent="0.2">
      <c r="A2290" t="s">
        <v>12356</v>
      </c>
      <c r="B2290" t="s">
        <v>11038</v>
      </c>
      <c r="C2290" t="s">
        <v>11039</v>
      </c>
      <c r="D2290" t="s">
        <v>11387</v>
      </c>
      <c r="E2290" t="s">
        <v>11388</v>
      </c>
      <c r="F2290" t="s">
        <v>11387</v>
      </c>
      <c r="G2290" s="1">
        <v>3000000</v>
      </c>
      <c r="H2290" s="2">
        <v>2993532.08</v>
      </c>
      <c r="I2290" s="2">
        <v>2995535.56</v>
      </c>
      <c r="J2290" s="2">
        <v>63024.66</v>
      </c>
      <c r="K2290" s="2">
        <v>0</v>
      </c>
      <c r="L2290" s="2">
        <v>3058560.22</v>
      </c>
      <c r="M2290" s="3">
        <v>5.5360769999999997</v>
      </c>
      <c r="N2290" s="4">
        <v>6.95855E-3</v>
      </c>
      <c r="O2290" s="5">
        <v>44897</v>
      </c>
      <c r="P2290" s="5">
        <v>44897</v>
      </c>
      <c r="Q2290" s="1">
        <v>5.4</v>
      </c>
      <c r="R2290" s="2">
        <v>0.61</v>
      </c>
      <c r="S2290" s="6">
        <v>0.58584213564999998</v>
      </c>
      <c r="T2290" t="s">
        <v>111</v>
      </c>
      <c r="U2290" t="s">
        <v>11040</v>
      </c>
      <c r="V2290" t="s">
        <v>11041</v>
      </c>
      <c r="W2290" t="s">
        <v>43</v>
      </c>
      <c r="X2290" t="s">
        <v>11034</v>
      </c>
      <c r="Y2290" t="s">
        <v>44</v>
      </c>
      <c r="Z2290" t="s">
        <v>44</v>
      </c>
      <c r="AA2290" t="s">
        <v>10979</v>
      </c>
      <c r="AB2290" t="s">
        <v>44</v>
      </c>
      <c r="AC2290" s="4">
        <v>5.5963009100000001</v>
      </c>
      <c r="AD2290" s="4">
        <v>5.4576890300000001</v>
      </c>
      <c r="AE2290" s="2">
        <v>5.6</v>
      </c>
      <c r="AF2290" s="4">
        <v>5.4576890300000001</v>
      </c>
      <c r="AG2290" s="2">
        <v>0.62</v>
      </c>
      <c r="AH2290" s="2">
        <v>3058560.22</v>
      </c>
      <c r="AI2290" s="2">
        <v>0.01</v>
      </c>
      <c r="AJ2290" s="5">
        <v>44673</v>
      </c>
      <c r="AK2290" t="s">
        <v>12357</v>
      </c>
      <c r="AL2290" s="2">
        <v>5.52</v>
      </c>
      <c r="AM2290" s="2">
        <v>5.4</v>
      </c>
      <c r="AN2290" s="2">
        <v>0.59</v>
      </c>
      <c r="AO2290" t="s">
        <v>11165</v>
      </c>
      <c r="AP2290" t="s">
        <v>11389</v>
      </c>
      <c r="AQ2290" t="s">
        <v>11388</v>
      </c>
    </row>
    <row r="2291" spans="1:43" x14ac:dyDescent="0.2">
      <c r="A2291" t="s">
        <v>12356</v>
      </c>
      <c r="B2291" t="s">
        <v>11038</v>
      </c>
      <c r="C2291" t="s">
        <v>11039</v>
      </c>
      <c r="D2291" t="s">
        <v>11042</v>
      </c>
      <c r="E2291" t="s">
        <v>11043</v>
      </c>
      <c r="F2291" t="s">
        <v>11042</v>
      </c>
      <c r="G2291" s="1">
        <v>5000000</v>
      </c>
      <c r="H2291" s="2">
        <v>5000000</v>
      </c>
      <c r="I2291" s="2">
        <v>4996483.13</v>
      </c>
      <c r="J2291" s="2">
        <v>55424.66</v>
      </c>
      <c r="K2291" s="2">
        <v>0</v>
      </c>
      <c r="L2291" s="2">
        <v>5051907.79</v>
      </c>
      <c r="M2291" s="3">
        <v>5.9730699999999999</v>
      </c>
      <c r="N2291" s="4">
        <v>1.1493629999999999E-2</v>
      </c>
      <c r="O2291" s="5">
        <v>44971</v>
      </c>
      <c r="P2291" s="5">
        <v>44971</v>
      </c>
      <c r="Q2291" s="1">
        <v>5.95</v>
      </c>
      <c r="R2291" s="2">
        <v>0.81</v>
      </c>
      <c r="S2291" s="6">
        <v>0.77099882388999996</v>
      </c>
      <c r="T2291" t="s">
        <v>111</v>
      </c>
      <c r="U2291" t="s">
        <v>11040</v>
      </c>
      <c r="V2291" t="s">
        <v>11041</v>
      </c>
      <c r="W2291" t="s">
        <v>43</v>
      </c>
      <c r="X2291" t="s">
        <v>11034</v>
      </c>
      <c r="Y2291" t="s">
        <v>44</v>
      </c>
      <c r="Z2291" t="s">
        <v>44</v>
      </c>
      <c r="AA2291" t="s">
        <v>11035</v>
      </c>
      <c r="AB2291" t="s">
        <v>44</v>
      </c>
      <c r="AC2291" s="4">
        <v>6.0068705900000001</v>
      </c>
      <c r="AD2291" s="4">
        <v>5.8475737299999997</v>
      </c>
      <c r="AE2291" s="2">
        <v>6.01</v>
      </c>
      <c r="AF2291" s="4">
        <v>5.8475737299999997</v>
      </c>
      <c r="AG2291" s="2">
        <v>1.03</v>
      </c>
      <c r="AH2291" s="2">
        <v>5051907.79</v>
      </c>
      <c r="AI2291" s="2">
        <v>0.01</v>
      </c>
      <c r="AJ2291" s="5">
        <v>44673</v>
      </c>
      <c r="AK2291" t="s">
        <v>12357</v>
      </c>
      <c r="AL2291" s="2">
        <v>5.92</v>
      </c>
      <c r="AM2291" s="2">
        <v>5.95</v>
      </c>
      <c r="AN2291" s="2">
        <v>0.77</v>
      </c>
      <c r="AO2291" t="s">
        <v>11036</v>
      </c>
      <c r="AP2291" t="s">
        <v>11044</v>
      </c>
      <c r="AQ2291" t="s">
        <v>11043</v>
      </c>
    </row>
    <row r="2292" spans="1:43" x14ac:dyDescent="0.2">
      <c r="A2292" t="s">
        <v>12356</v>
      </c>
      <c r="B2292" t="s">
        <v>11038</v>
      </c>
      <c r="C2292" t="s">
        <v>11039</v>
      </c>
      <c r="D2292" t="s">
        <v>11930</v>
      </c>
      <c r="E2292" t="s">
        <v>11931</v>
      </c>
      <c r="F2292" t="s">
        <v>11930</v>
      </c>
      <c r="G2292" s="1">
        <v>1030000</v>
      </c>
      <c r="H2292" s="2">
        <v>1030000</v>
      </c>
      <c r="I2292" s="2">
        <v>1032509.38</v>
      </c>
      <c r="J2292" s="2">
        <v>15300.1</v>
      </c>
      <c r="K2292" s="2">
        <v>0</v>
      </c>
      <c r="L2292" s="2">
        <v>1063613.69</v>
      </c>
      <c r="M2292" s="3">
        <v>6.0853989999999998</v>
      </c>
      <c r="N2292" s="4">
        <v>2.4198399999999999E-3</v>
      </c>
      <c r="O2292" s="5">
        <v>44676</v>
      </c>
      <c r="P2292" s="5">
        <v>44858</v>
      </c>
      <c r="Q2292" s="1">
        <v>6.0919999999999996</v>
      </c>
      <c r="R2292" s="2">
        <v>0.25</v>
      </c>
      <c r="S2292" s="6">
        <v>-5.0177142469999998E-3</v>
      </c>
      <c r="T2292" t="s">
        <v>111</v>
      </c>
      <c r="U2292" t="s">
        <v>11040</v>
      </c>
      <c r="V2292" t="s">
        <v>114</v>
      </c>
      <c r="W2292" t="s">
        <v>43</v>
      </c>
      <c r="X2292" t="s">
        <v>10988</v>
      </c>
      <c r="Y2292" t="s">
        <v>44</v>
      </c>
      <c r="Z2292" t="s">
        <v>44</v>
      </c>
      <c r="AA2292" t="s">
        <v>10979</v>
      </c>
      <c r="AB2292" t="s">
        <v>44</v>
      </c>
      <c r="AC2292" s="4">
        <v>6.2258147800000003</v>
      </c>
      <c r="AD2292" s="4">
        <v>6.0549217000000004</v>
      </c>
      <c r="AE2292" s="2">
        <v>6.23</v>
      </c>
      <c r="AF2292" s="4">
        <v>6.0549217000000004</v>
      </c>
      <c r="AG2292" s="2">
        <v>0.22</v>
      </c>
      <c r="AH2292" s="2">
        <v>1063613.69</v>
      </c>
      <c r="AI2292" s="2">
        <v>0</v>
      </c>
      <c r="AJ2292" s="5">
        <v>44673</v>
      </c>
      <c r="AK2292" t="s">
        <v>12357</v>
      </c>
      <c r="AL2292" s="2">
        <v>6.13</v>
      </c>
      <c r="AM2292" s="2">
        <v>6.09</v>
      </c>
      <c r="AN2292" s="2">
        <v>-0.01</v>
      </c>
      <c r="AO2292" t="s">
        <v>11048</v>
      </c>
      <c r="AP2292" t="s">
        <v>11932</v>
      </c>
      <c r="AQ2292" t="s">
        <v>11931</v>
      </c>
    </row>
    <row r="2293" spans="1:43" x14ac:dyDescent="0.2">
      <c r="A2293" t="s">
        <v>12356</v>
      </c>
      <c r="B2293" t="s">
        <v>11038</v>
      </c>
      <c r="C2293" t="s">
        <v>11039</v>
      </c>
      <c r="D2293" t="s">
        <v>11974</v>
      </c>
      <c r="E2293" t="s">
        <v>11975</v>
      </c>
      <c r="F2293" t="s">
        <v>11974</v>
      </c>
      <c r="G2293" s="1">
        <v>3000000</v>
      </c>
      <c r="H2293" s="2">
        <v>3000000</v>
      </c>
      <c r="I2293" s="2">
        <v>2995390.48</v>
      </c>
      <c r="J2293" s="2">
        <v>59473.97</v>
      </c>
      <c r="K2293" s="2">
        <v>0</v>
      </c>
      <c r="L2293" s="2">
        <v>3054864.45</v>
      </c>
      <c r="M2293" s="3">
        <v>5.5398290000000001</v>
      </c>
      <c r="N2293" s="4">
        <v>6.9501500000000004E-3</v>
      </c>
      <c r="O2293" s="5">
        <v>44907</v>
      </c>
      <c r="P2293" s="5">
        <v>44907</v>
      </c>
      <c r="Q2293" s="1">
        <v>5.4</v>
      </c>
      <c r="R2293" s="2">
        <v>0.63</v>
      </c>
      <c r="S2293" s="6">
        <v>0.61143946870999999</v>
      </c>
      <c r="T2293" t="s">
        <v>111</v>
      </c>
      <c r="U2293" t="s">
        <v>11040</v>
      </c>
      <c r="V2293" t="s">
        <v>11041</v>
      </c>
      <c r="W2293" t="s">
        <v>43</v>
      </c>
      <c r="X2293" t="s">
        <v>11034</v>
      </c>
      <c r="Y2293" t="s">
        <v>44</v>
      </c>
      <c r="Z2293" t="s">
        <v>44</v>
      </c>
      <c r="AA2293" t="s">
        <v>10979</v>
      </c>
      <c r="AB2293" t="s">
        <v>44</v>
      </c>
      <c r="AC2293" s="4">
        <v>5.5958904499999997</v>
      </c>
      <c r="AD2293" s="4">
        <v>5.45729855</v>
      </c>
      <c r="AE2293" s="2">
        <v>5.6</v>
      </c>
      <c r="AF2293" s="4">
        <v>5.45729855</v>
      </c>
      <c r="AG2293" s="2">
        <v>0.62</v>
      </c>
      <c r="AH2293" s="2">
        <v>3054864.45</v>
      </c>
      <c r="AI2293" s="2">
        <v>0.01</v>
      </c>
      <c r="AJ2293" s="5">
        <v>44673</v>
      </c>
      <c r="AK2293" t="s">
        <v>12357</v>
      </c>
      <c r="AL2293" s="2">
        <v>5.52</v>
      </c>
      <c r="AM2293" s="2">
        <v>5.4</v>
      </c>
      <c r="AN2293" s="2">
        <v>0.61</v>
      </c>
      <c r="AO2293" t="s">
        <v>11179</v>
      </c>
      <c r="AP2293" t="s">
        <v>11976</v>
      </c>
      <c r="AQ2293" t="s">
        <v>11975</v>
      </c>
    </row>
    <row r="2294" spans="1:43" x14ac:dyDescent="0.2">
      <c r="A2294" t="s">
        <v>12356</v>
      </c>
      <c r="B2294" t="s">
        <v>11038</v>
      </c>
      <c r="C2294" t="s">
        <v>11222</v>
      </c>
      <c r="D2294" t="s">
        <v>12965</v>
      </c>
      <c r="E2294" t="s">
        <v>12966</v>
      </c>
      <c r="F2294" t="s">
        <v>12965</v>
      </c>
      <c r="G2294" s="1">
        <v>1000000</v>
      </c>
      <c r="H2294" s="2">
        <v>1000000</v>
      </c>
      <c r="I2294" s="2">
        <v>1000146.14</v>
      </c>
      <c r="J2294" s="2">
        <v>1937.81</v>
      </c>
      <c r="K2294" s="2">
        <v>0</v>
      </c>
      <c r="L2294" s="2">
        <v>1002083.95</v>
      </c>
      <c r="M2294" s="3">
        <v>6.4004060000000003</v>
      </c>
      <c r="N2294" s="4">
        <v>2.2798499999999999E-3</v>
      </c>
      <c r="O2294" s="5">
        <v>45057</v>
      </c>
      <c r="P2294" s="5">
        <v>45057</v>
      </c>
      <c r="Q2294" s="1">
        <v>6.43</v>
      </c>
      <c r="R2294" s="2">
        <v>1.04</v>
      </c>
      <c r="S2294" s="6">
        <v>0.97846466510999996</v>
      </c>
      <c r="T2294" t="s">
        <v>111</v>
      </c>
      <c r="U2294" t="s">
        <v>11040</v>
      </c>
      <c r="V2294" t="s">
        <v>11041</v>
      </c>
      <c r="W2294" t="s">
        <v>43</v>
      </c>
      <c r="X2294" t="s">
        <v>11034</v>
      </c>
      <c r="Y2294" t="s">
        <v>44</v>
      </c>
      <c r="Z2294" t="s">
        <v>44</v>
      </c>
      <c r="AA2294" t="s">
        <v>10979</v>
      </c>
      <c r="AB2294" t="s">
        <v>44</v>
      </c>
      <c r="AC2294" s="4">
        <v>6.3916291899999997</v>
      </c>
      <c r="AD2294" s="4">
        <v>6.2116933599999999</v>
      </c>
      <c r="AE2294" s="2">
        <v>6.39</v>
      </c>
      <c r="AF2294" s="4">
        <v>6.2116933599999999</v>
      </c>
      <c r="AG2294" s="2">
        <v>0.2</v>
      </c>
      <c r="AH2294" s="2">
        <v>1002083.95</v>
      </c>
      <c r="AI2294" s="2">
        <v>0</v>
      </c>
      <c r="AJ2294" s="5">
        <v>44673</v>
      </c>
      <c r="AK2294" t="s">
        <v>12357</v>
      </c>
      <c r="AL2294" s="2">
        <v>6.29</v>
      </c>
      <c r="AM2294" s="2">
        <v>6.43</v>
      </c>
      <c r="AN2294" s="2">
        <v>0.98</v>
      </c>
      <c r="AO2294" t="s">
        <v>11054</v>
      </c>
      <c r="AP2294" t="s">
        <v>12967</v>
      </c>
      <c r="AQ2294" t="s">
        <v>12966</v>
      </c>
    </row>
    <row r="2295" spans="1:43" x14ac:dyDescent="0.2">
      <c r="A2295" t="s">
        <v>12356</v>
      </c>
      <c r="B2295" t="s">
        <v>11038</v>
      </c>
      <c r="C2295" t="s">
        <v>11222</v>
      </c>
      <c r="D2295" t="s">
        <v>12730</v>
      </c>
      <c r="E2295" t="s">
        <v>12731</v>
      </c>
      <c r="F2295" t="s">
        <v>12730</v>
      </c>
      <c r="G2295" s="1">
        <v>3400000</v>
      </c>
      <c r="H2295" s="2">
        <v>3400000</v>
      </c>
      <c r="I2295" s="2">
        <v>3400002.13</v>
      </c>
      <c r="J2295" s="2">
        <v>17715.580000000002</v>
      </c>
      <c r="K2295" s="2">
        <v>0</v>
      </c>
      <c r="L2295" s="2">
        <v>3417717.71</v>
      </c>
      <c r="M2295" s="3">
        <v>6.4543710000000001</v>
      </c>
      <c r="N2295" s="4">
        <v>7.7756800000000001E-3</v>
      </c>
      <c r="O2295" s="5">
        <v>44739</v>
      </c>
      <c r="P2295" s="5">
        <v>46563</v>
      </c>
      <c r="Q2295" s="1">
        <v>6.5579999999999998</v>
      </c>
      <c r="R2295" s="2">
        <v>0.17</v>
      </c>
      <c r="S2295" s="6">
        <v>0.10239071847800001</v>
      </c>
      <c r="T2295" t="s">
        <v>111</v>
      </c>
      <c r="U2295" t="s">
        <v>11040</v>
      </c>
      <c r="V2295" t="s">
        <v>11189</v>
      </c>
      <c r="W2295" t="s">
        <v>43</v>
      </c>
      <c r="X2295" t="s">
        <v>11034</v>
      </c>
      <c r="Y2295" t="s">
        <v>44</v>
      </c>
      <c r="Z2295" t="s">
        <v>44</v>
      </c>
      <c r="AA2295" t="s">
        <v>11035</v>
      </c>
      <c r="AB2295" t="s">
        <v>44</v>
      </c>
      <c r="AC2295" s="4">
        <v>6.6291599999999997</v>
      </c>
      <c r="AD2295" s="4">
        <v>6.4358805400000003</v>
      </c>
      <c r="AE2295" s="2">
        <v>6.63</v>
      </c>
      <c r="AF2295" s="4">
        <v>6.4358805400000003</v>
      </c>
      <c r="AG2295" s="2">
        <v>0.69</v>
      </c>
      <c r="AH2295" s="2">
        <v>3417717.71</v>
      </c>
      <c r="AI2295" s="2">
        <v>0.01</v>
      </c>
      <c r="AJ2295" s="5">
        <v>44673</v>
      </c>
      <c r="AK2295" t="s">
        <v>12357</v>
      </c>
      <c r="AL2295" s="2">
        <v>6.52</v>
      </c>
      <c r="AM2295" s="2">
        <v>6.56</v>
      </c>
      <c r="AN2295" s="2">
        <v>0.1</v>
      </c>
      <c r="AO2295" t="s">
        <v>11226</v>
      </c>
      <c r="AP2295" t="s">
        <v>12732</v>
      </c>
      <c r="AQ2295" t="s">
        <v>12731</v>
      </c>
    </row>
    <row r="2296" spans="1:43" x14ac:dyDescent="0.2">
      <c r="A2296" t="s">
        <v>12356</v>
      </c>
      <c r="B2296" t="s">
        <v>11038</v>
      </c>
      <c r="C2296" t="s">
        <v>11222</v>
      </c>
      <c r="D2296" t="s">
        <v>11648</v>
      </c>
      <c r="E2296" t="s">
        <v>11649</v>
      </c>
      <c r="F2296" t="s">
        <v>11648</v>
      </c>
      <c r="G2296" s="1">
        <v>9190000</v>
      </c>
      <c r="H2296" s="2">
        <v>9190000</v>
      </c>
      <c r="I2296" s="2">
        <v>9216653.2599999998</v>
      </c>
      <c r="J2296" s="2">
        <v>83847.55</v>
      </c>
      <c r="K2296" s="2">
        <v>0</v>
      </c>
      <c r="L2296" s="2">
        <v>9300500.8100000005</v>
      </c>
      <c r="M2296" s="3">
        <v>6.0302819999999997</v>
      </c>
      <c r="N2296" s="4">
        <v>2.115964E-2</v>
      </c>
      <c r="O2296" s="5">
        <v>44712</v>
      </c>
      <c r="P2296" s="5">
        <v>45260</v>
      </c>
      <c r="Q2296" s="1">
        <v>6.1669999999999998</v>
      </c>
      <c r="R2296" s="2">
        <v>0.1</v>
      </c>
      <c r="S2296" s="6">
        <v>7.8177650525999995E-2</v>
      </c>
      <c r="T2296" t="s">
        <v>111</v>
      </c>
      <c r="U2296" t="s">
        <v>11040</v>
      </c>
      <c r="V2296" t="s">
        <v>114</v>
      </c>
      <c r="W2296" t="s">
        <v>43</v>
      </c>
      <c r="X2296" t="s">
        <v>10988</v>
      </c>
      <c r="Y2296" t="s">
        <v>44</v>
      </c>
      <c r="Z2296" t="s">
        <v>44</v>
      </c>
      <c r="AA2296" t="s">
        <v>10979</v>
      </c>
      <c r="AB2296" t="s">
        <v>44</v>
      </c>
      <c r="AC2296" s="4">
        <v>6.1968427300000002</v>
      </c>
      <c r="AD2296" s="4">
        <v>6.0275066400000004</v>
      </c>
      <c r="AE2296" s="2">
        <v>6.2</v>
      </c>
      <c r="AF2296" s="4">
        <v>6.0275066400000004</v>
      </c>
      <c r="AG2296" s="2">
        <v>1.89</v>
      </c>
      <c r="AH2296" s="2">
        <v>9300500.8100000005</v>
      </c>
      <c r="AI2296" s="2">
        <v>0.02</v>
      </c>
      <c r="AJ2296" s="5">
        <v>44673</v>
      </c>
      <c r="AK2296" t="s">
        <v>12357</v>
      </c>
      <c r="AL2296" s="2">
        <v>6.1</v>
      </c>
      <c r="AM2296" s="2">
        <v>6.17</v>
      </c>
      <c r="AN2296" s="2">
        <v>0.08</v>
      </c>
      <c r="AO2296" t="s">
        <v>11048</v>
      </c>
      <c r="AP2296" t="s">
        <v>11650</v>
      </c>
      <c r="AQ2296" t="s">
        <v>11649</v>
      </c>
    </row>
    <row r="2297" spans="1:43" x14ac:dyDescent="0.2">
      <c r="A2297" t="s">
        <v>12356</v>
      </c>
      <c r="B2297" t="s">
        <v>11038</v>
      </c>
      <c r="C2297" t="s">
        <v>11222</v>
      </c>
      <c r="D2297" t="s">
        <v>11894</v>
      </c>
      <c r="E2297" t="s">
        <v>11895</v>
      </c>
      <c r="F2297" t="s">
        <v>11894</v>
      </c>
      <c r="G2297" s="1">
        <v>7660000</v>
      </c>
      <c r="H2297" s="2">
        <v>7660000</v>
      </c>
      <c r="I2297" s="2">
        <v>7659316.1399999997</v>
      </c>
      <c r="J2297" s="2">
        <v>51767.96</v>
      </c>
      <c r="K2297" s="2">
        <v>0</v>
      </c>
      <c r="L2297" s="2">
        <v>7711084.0999999996</v>
      </c>
      <c r="M2297" s="3">
        <v>6.3053489999999996</v>
      </c>
      <c r="N2297" s="4">
        <v>1.7543550000000002E-2</v>
      </c>
      <c r="O2297" s="5">
        <v>44727</v>
      </c>
      <c r="P2297" s="5">
        <v>45366</v>
      </c>
      <c r="Q2297" s="1">
        <v>6.3250000000000002</v>
      </c>
      <c r="R2297" s="2">
        <v>0.14000000000000001</v>
      </c>
      <c r="S2297" s="6">
        <v>0.10845508335</v>
      </c>
      <c r="T2297" t="s">
        <v>111</v>
      </c>
      <c r="U2297" t="s">
        <v>11040</v>
      </c>
      <c r="V2297" t="s">
        <v>114</v>
      </c>
      <c r="W2297" t="s">
        <v>43</v>
      </c>
      <c r="X2297" t="s">
        <v>10988</v>
      </c>
      <c r="Y2297" t="s">
        <v>44</v>
      </c>
      <c r="Z2297" t="s">
        <v>44</v>
      </c>
      <c r="AA2297" t="s">
        <v>10979</v>
      </c>
      <c r="AB2297" t="s">
        <v>44</v>
      </c>
      <c r="AC2297" s="4">
        <v>6.4789744799999998</v>
      </c>
      <c r="AD2297" s="4">
        <v>6.2941851800000004</v>
      </c>
      <c r="AE2297" s="2">
        <v>6.48</v>
      </c>
      <c r="AF2297" s="4">
        <v>6.2941851800000004</v>
      </c>
      <c r="AG2297" s="2">
        <v>1.56</v>
      </c>
      <c r="AH2297" s="2">
        <v>7711084.0999999996</v>
      </c>
      <c r="AI2297" s="2">
        <v>0.02</v>
      </c>
      <c r="AJ2297" s="5">
        <v>44673</v>
      </c>
      <c r="AK2297" t="s">
        <v>12357</v>
      </c>
      <c r="AL2297" s="2">
        <v>6.38</v>
      </c>
      <c r="AM2297" s="2">
        <v>6.33</v>
      </c>
      <c r="AN2297" s="2">
        <v>0.11</v>
      </c>
      <c r="AO2297" t="s">
        <v>11567</v>
      </c>
      <c r="AP2297" t="s">
        <v>11896</v>
      </c>
      <c r="AQ2297" t="s">
        <v>11895</v>
      </c>
    </row>
    <row r="2298" spans="1:43" x14ac:dyDescent="0.2">
      <c r="A2298" t="s">
        <v>12356</v>
      </c>
      <c r="B2298" t="s">
        <v>11038</v>
      </c>
      <c r="C2298" t="s">
        <v>11222</v>
      </c>
      <c r="D2298" t="s">
        <v>11897</v>
      </c>
      <c r="E2298" t="s">
        <v>11898</v>
      </c>
      <c r="F2298" t="s">
        <v>11897</v>
      </c>
      <c r="G2298" s="1">
        <v>2970000</v>
      </c>
      <c r="H2298" s="2">
        <v>2970000</v>
      </c>
      <c r="I2298" s="2">
        <v>2969612.31</v>
      </c>
      <c r="J2298" s="2">
        <v>23776.19</v>
      </c>
      <c r="K2298" s="2">
        <v>0</v>
      </c>
      <c r="L2298" s="2">
        <v>2993388.5</v>
      </c>
      <c r="M2298" s="3">
        <v>6.2678570000000002</v>
      </c>
      <c r="N2298" s="4">
        <v>6.8102800000000002E-3</v>
      </c>
      <c r="O2298" s="5">
        <v>44719</v>
      </c>
      <c r="P2298" s="5">
        <v>45723</v>
      </c>
      <c r="Q2298" s="1">
        <v>6.2169999999999996</v>
      </c>
      <c r="R2298" s="2">
        <v>0.12</v>
      </c>
      <c r="S2298" s="6">
        <v>7.7282729554999999E-2</v>
      </c>
      <c r="T2298" t="s">
        <v>111</v>
      </c>
      <c r="U2298" t="s">
        <v>11040</v>
      </c>
      <c r="V2298" t="s">
        <v>114</v>
      </c>
      <c r="W2298" t="s">
        <v>43</v>
      </c>
      <c r="X2298" t="s">
        <v>10988</v>
      </c>
      <c r="Y2298" t="s">
        <v>44</v>
      </c>
      <c r="Z2298" t="s">
        <v>44</v>
      </c>
      <c r="AA2298" t="s">
        <v>11035</v>
      </c>
      <c r="AB2298" t="s">
        <v>44</v>
      </c>
      <c r="AC2298" s="4">
        <v>6.4439416999999999</v>
      </c>
      <c r="AD2298" s="4">
        <v>6.2611065000000004</v>
      </c>
      <c r="AE2298" s="2">
        <v>6.44</v>
      </c>
      <c r="AF2298" s="4">
        <v>6.2611065000000004</v>
      </c>
      <c r="AG2298" s="2">
        <v>0.61</v>
      </c>
      <c r="AH2298" s="2">
        <v>2993388.5</v>
      </c>
      <c r="AI2298" s="2">
        <v>0.01</v>
      </c>
      <c r="AJ2298" s="5">
        <v>44673</v>
      </c>
      <c r="AK2298" t="s">
        <v>12357</v>
      </c>
      <c r="AL2298" s="2">
        <v>6.34</v>
      </c>
      <c r="AM2298" s="2">
        <v>6.22</v>
      </c>
      <c r="AN2298" s="2">
        <v>0.08</v>
      </c>
      <c r="AO2298" t="s">
        <v>11437</v>
      </c>
      <c r="AP2298" t="s">
        <v>11899</v>
      </c>
      <c r="AQ2298" t="s">
        <v>11898</v>
      </c>
    </row>
    <row r="2299" spans="1:43" x14ac:dyDescent="0.2">
      <c r="A2299" t="s">
        <v>12356</v>
      </c>
      <c r="B2299" t="s">
        <v>11038</v>
      </c>
      <c r="C2299" t="s">
        <v>11222</v>
      </c>
      <c r="D2299" t="s">
        <v>11900</v>
      </c>
      <c r="E2299" t="s">
        <v>11901</v>
      </c>
      <c r="F2299" t="s">
        <v>11900</v>
      </c>
      <c r="G2299" s="1">
        <v>21223000</v>
      </c>
      <c r="H2299" s="2">
        <v>21223000</v>
      </c>
      <c r="I2299" s="2">
        <v>21293169.030000001</v>
      </c>
      <c r="J2299" s="2">
        <v>269265.78999999998</v>
      </c>
      <c r="K2299" s="2">
        <v>0</v>
      </c>
      <c r="L2299" s="2">
        <v>21562434.82</v>
      </c>
      <c r="M2299" s="3">
        <v>6.1260430000000001</v>
      </c>
      <c r="N2299" s="4">
        <v>4.9056860000000001E-2</v>
      </c>
      <c r="O2299" s="5">
        <v>44690</v>
      </c>
      <c r="P2299" s="5">
        <v>45330</v>
      </c>
      <c r="Q2299" s="1">
        <v>6.258</v>
      </c>
      <c r="R2299" s="2">
        <v>0.04</v>
      </c>
      <c r="S2299" s="6">
        <v>1.7773178866000001E-2</v>
      </c>
      <c r="T2299" t="s">
        <v>111</v>
      </c>
      <c r="U2299" t="s">
        <v>11040</v>
      </c>
      <c r="V2299" t="s">
        <v>114</v>
      </c>
      <c r="W2299" t="s">
        <v>43</v>
      </c>
      <c r="X2299" t="s">
        <v>10988</v>
      </c>
      <c r="Y2299" t="s">
        <v>44</v>
      </c>
      <c r="Z2299" t="s">
        <v>44</v>
      </c>
      <c r="AA2299" t="s">
        <v>10979</v>
      </c>
      <c r="AB2299" t="s">
        <v>44</v>
      </c>
      <c r="AC2299" s="4">
        <v>6.3099366400000001</v>
      </c>
      <c r="AD2299" s="4">
        <v>6.1344839599999998</v>
      </c>
      <c r="AE2299" s="2">
        <v>6.31</v>
      </c>
      <c r="AF2299" s="4">
        <v>6.1344839599999998</v>
      </c>
      <c r="AG2299" s="2">
        <v>4.38</v>
      </c>
      <c r="AH2299" s="2">
        <v>21562434.82</v>
      </c>
      <c r="AI2299" s="2">
        <v>0.05</v>
      </c>
      <c r="AJ2299" s="5">
        <v>44673</v>
      </c>
      <c r="AK2299" t="s">
        <v>12357</v>
      </c>
      <c r="AL2299" s="2">
        <v>6.21</v>
      </c>
      <c r="AM2299" s="2">
        <v>6.26</v>
      </c>
      <c r="AN2299" s="2">
        <v>0.02</v>
      </c>
      <c r="AO2299" t="s">
        <v>11824</v>
      </c>
      <c r="AP2299" t="s">
        <v>11902</v>
      </c>
      <c r="AQ2299" t="s">
        <v>11901</v>
      </c>
    </row>
    <row r="2300" spans="1:43" x14ac:dyDescent="0.2">
      <c r="A2300" t="s">
        <v>12356</v>
      </c>
      <c r="B2300" t="s">
        <v>11160</v>
      </c>
      <c r="C2300" t="s">
        <v>11161</v>
      </c>
      <c r="D2300" t="s">
        <v>11162</v>
      </c>
      <c r="E2300" t="s">
        <v>11163</v>
      </c>
      <c r="F2300" t="s">
        <v>11162</v>
      </c>
      <c r="G2300" s="1">
        <v>1589</v>
      </c>
      <c r="H2300" s="2">
        <v>1210870.29</v>
      </c>
      <c r="I2300" s="2">
        <v>1430100</v>
      </c>
      <c r="J2300" s="2">
        <v>0</v>
      </c>
      <c r="K2300" s="2">
        <v>39631.4</v>
      </c>
      <c r="L2300" s="2">
        <v>1469731.4</v>
      </c>
      <c r="M2300" s="3">
        <v>90000</v>
      </c>
      <c r="N2300" s="4">
        <v>3.3438000000000001E-3</v>
      </c>
      <c r="O2300" s="5" t="s">
        <v>44</v>
      </c>
      <c r="P2300" s="5" t="s">
        <v>44</v>
      </c>
      <c r="Q2300" s="1"/>
      <c r="R2300" s="2"/>
      <c r="S2300" s="6"/>
      <c r="T2300" t="s">
        <v>10902</v>
      </c>
      <c r="U2300" t="s">
        <v>10902</v>
      </c>
      <c r="V2300" t="s">
        <v>11164</v>
      </c>
      <c r="W2300" t="s">
        <v>43</v>
      </c>
      <c r="X2300" t="s">
        <v>44</v>
      </c>
      <c r="Y2300" t="s">
        <v>44</v>
      </c>
      <c r="Z2300" t="s">
        <v>44</v>
      </c>
      <c r="AA2300" t="s">
        <v>10979</v>
      </c>
      <c r="AB2300" t="s">
        <v>44</v>
      </c>
      <c r="AC2300" s="4"/>
      <c r="AD2300" s="4"/>
      <c r="AE2300" s="2">
        <v>0</v>
      </c>
      <c r="AF2300" s="4">
        <v>0</v>
      </c>
      <c r="AG2300" s="2">
        <v>0.3</v>
      </c>
      <c r="AH2300" s="2">
        <v>1469731.4</v>
      </c>
      <c r="AI2300" s="2">
        <v>0</v>
      </c>
      <c r="AJ2300" s="5">
        <v>44673</v>
      </c>
      <c r="AK2300" t="s">
        <v>12357</v>
      </c>
      <c r="AL2300" s="2">
        <v>0</v>
      </c>
      <c r="AM2300" s="2">
        <v>0</v>
      </c>
      <c r="AN2300" s="2">
        <v>0</v>
      </c>
      <c r="AO2300" t="s">
        <v>11165</v>
      </c>
      <c r="AP2300" t="s">
        <v>11166</v>
      </c>
      <c r="AQ2300" t="s">
        <v>11163</v>
      </c>
    </row>
    <row r="2301" spans="1:43" x14ac:dyDescent="0.2">
      <c r="A2301" t="s">
        <v>12356</v>
      </c>
      <c r="B2301" t="s">
        <v>11160</v>
      </c>
      <c r="C2301" t="s">
        <v>11161</v>
      </c>
      <c r="D2301" t="s">
        <v>11654</v>
      </c>
      <c r="E2301" t="s">
        <v>11655</v>
      </c>
      <c r="F2301" t="s">
        <v>11654</v>
      </c>
      <c r="G2301" s="1">
        <v>66615</v>
      </c>
      <c r="H2301" s="2">
        <v>4994448.91</v>
      </c>
      <c r="I2301" s="2">
        <v>6387712.3499999996</v>
      </c>
      <c r="J2301" s="2">
        <v>0</v>
      </c>
      <c r="K2301" s="2">
        <v>0</v>
      </c>
      <c r="L2301" s="2">
        <v>6387712.3499999996</v>
      </c>
      <c r="M2301" s="3">
        <v>9589</v>
      </c>
      <c r="N2301" s="4">
        <v>1.4532730000000001E-2</v>
      </c>
      <c r="O2301" s="5" t="s">
        <v>44</v>
      </c>
      <c r="P2301" s="5" t="s">
        <v>44</v>
      </c>
      <c r="Q2301" s="1"/>
      <c r="R2301" s="2"/>
      <c r="S2301" s="6"/>
      <c r="T2301" t="s">
        <v>10902</v>
      </c>
      <c r="U2301" t="s">
        <v>10902</v>
      </c>
      <c r="V2301" t="s">
        <v>11164</v>
      </c>
      <c r="W2301" t="s">
        <v>43</v>
      </c>
      <c r="X2301" t="s">
        <v>44</v>
      </c>
      <c r="Y2301" t="s">
        <v>44</v>
      </c>
      <c r="Z2301" t="s">
        <v>44</v>
      </c>
      <c r="AA2301" t="s">
        <v>10979</v>
      </c>
      <c r="AB2301" t="s">
        <v>44</v>
      </c>
      <c r="AC2301" s="4"/>
      <c r="AD2301" s="4"/>
      <c r="AE2301" s="2">
        <v>0</v>
      </c>
      <c r="AF2301" s="4">
        <v>0</v>
      </c>
      <c r="AG2301" s="2">
        <v>1.3</v>
      </c>
      <c r="AH2301" s="2">
        <v>6387712.3499999996</v>
      </c>
      <c r="AI2301" s="2">
        <v>0.01</v>
      </c>
      <c r="AJ2301" s="5">
        <v>44673</v>
      </c>
      <c r="AK2301" t="s">
        <v>12357</v>
      </c>
      <c r="AL2301" s="2">
        <v>0</v>
      </c>
      <c r="AM2301" s="2">
        <v>0</v>
      </c>
      <c r="AN2301" s="2">
        <v>0</v>
      </c>
      <c r="AO2301" t="s">
        <v>11054</v>
      </c>
      <c r="AP2301" t="s">
        <v>11656</v>
      </c>
      <c r="AQ2301" t="s">
        <v>11655</v>
      </c>
    </row>
    <row r="2302" spans="1:43" x14ac:dyDescent="0.2">
      <c r="A2302" t="s">
        <v>12356</v>
      </c>
      <c r="B2302" t="s">
        <v>11160</v>
      </c>
      <c r="C2302" t="s">
        <v>11161</v>
      </c>
      <c r="D2302" t="s">
        <v>11176</v>
      </c>
      <c r="E2302" t="s">
        <v>11177</v>
      </c>
      <c r="F2302" t="s">
        <v>11178</v>
      </c>
      <c r="G2302" s="1">
        <v>79345</v>
      </c>
      <c r="H2302" s="2">
        <v>6647717.4400000004</v>
      </c>
      <c r="I2302" s="2">
        <v>7330684.5499999998</v>
      </c>
      <c r="J2302" s="2">
        <v>0</v>
      </c>
      <c r="K2302" s="2">
        <v>0</v>
      </c>
      <c r="L2302" s="2">
        <v>7330684.5499999998</v>
      </c>
      <c r="M2302" s="3">
        <v>9239</v>
      </c>
      <c r="N2302" s="4">
        <v>1.6678100000000001E-2</v>
      </c>
      <c r="O2302" s="5" t="s">
        <v>44</v>
      </c>
      <c r="P2302" s="5" t="s">
        <v>44</v>
      </c>
      <c r="Q2302" s="1"/>
      <c r="R2302" s="2"/>
      <c r="S2302" s="6"/>
      <c r="T2302" t="s">
        <v>10902</v>
      </c>
      <c r="U2302" t="s">
        <v>10902</v>
      </c>
      <c r="V2302" t="s">
        <v>11164</v>
      </c>
      <c r="W2302" t="s">
        <v>43</v>
      </c>
      <c r="X2302" t="s">
        <v>44</v>
      </c>
      <c r="Y2302" t="s">
        <v>44</v>
      </c>
      <c r="Z2302" t="s">
        <v>44</v>
      </c>
      <c r="AA2302" t="s">
        <v>10979</v>
      </c>
      <c r="AB2302" t="s">
        <v>44</v>
      </c>
      <c r="AC2302" s="4"/>
      <c r="AD2302" s="4"/>
      <c r="AE2302" s="2">
        <v>0</v>
      </c>
      <c r="AF2302" s="4">
        <v>0</v>
      </c>
      <c r="AG2302" s="2">
        <v>1.49</v>
      </c>
      <c r="AH2302" s="2">
        <v>7330684.5499999998</v>
      </c>
      <c r="AI2302" s="2">
        <v>0.02</v>
      </c>
      <c r="AJ2302" s="5">
        <v>44673</v>
      </c>
      <c r="AK2302" t="s">
        <v>12357</v>
      </c>
      <c r="AL2302" s="2">
        <v>0</v>
      </c>
      <c r="AM2302" s="2">
        <v>0</v>
      </c>
      <c r="AN2302" s="2">
        <v>0</v>
      </c>
      <c r="AO2302" t="s">
        <v>11179</v>
      </c>
      <c r="AP2302" t="s">
        <v>11180</v>
      </c>
      <c r="AQ2302" t="s">
        <v>11177</v>
      </c>
    </row>
    <row r="2303" spans="1:43" x14ac:dyDescent="0.2">
      <c r="A2303" t="s">
        <v>12356</v>
      </c>
      <c r="B2303" t="s">
        <v>10951</v>
      </c>
      <c r="C2303" t="s">
        <v>10952</v>
      </c>
      <c r="D2303" t="s">
        <v>11028</v>
      </c>
      <c r="E2303" t="s">
        <v>11029</v>
      </c>
      <c r="F2303" t="s">
        <v>11028</v>
      </c>
      <c r="G2303" s="1">
        <v>15734934.530099999</v>
      </c>
      <c r="H2303" s="2">
        <v>15679252.050000001</v>
      </c>
      <c r="I2303" s="2">
        <v>15755389.939999999</v>
      </c>
      <c r="J2303" s="2">
        <v>0</v>
      </c>
      <c r="K2303" s="2">
        <v>0</v>
      </c>
      <c r="L2303" s="2">
        <v>15755389.939999999</v>
      </c>
      <c r="M2303" s="3">
        <v>1.0013000000000001</v>
      </c>
      <c r="N2303" s="4">
        <v>3.5845210000000002E-2</v>
      </c>
      <c r="O2303" s="5" t="s">
        <v>44</v>
      </c>
      <c r="P2303" s="5" t="s">
        <v>44</v>
      </c>
      <c r="Q2303" s="1"/>
      <c r="R2303" s="2"/>
      <c r="S2303" s="6"/>
      <c r="T2303" t="s">
        <v>10902</v>
      </c>
      <c r="U2303" t="s">
        <v>10953</v>
      </c>
      <c r="V2303" t="s">
        <v>10954</v>
      </c>
      <c r="W2303" t="s">
        <v>43</v>
      </c>
      <c r="X2303" t="s">
        <v>44</v>
      </c>
      <c r="Y2303" t="s">
        <v>44</v>
      </c>
      <c r="Z2303" t="s">
        <v>44</v>
      </c>
      <c r="AA2303" t="s">
        <v>44</v>
      </c>
      <c r="AB2303" t="s">
        <v>44</v>
      </c>
      <c r="AC2303" s="4"/>
      <c r="AD2303" s="4"/>
      <c r="AE2303" s="2">
        <v>0</v>
      </c>
      <c r="AF2303" s="4">
        <v>0</v>
      </c>
      <c r="AG2303" s="2">
        <v>3.2</v>
      </c>
      <c r="AH2303" s="2">
        <v>15755389.939999999</v>
      </c>
      <c r="AI2303" s="2">
        <v>0.04</v>
      </c>
      <c r="AJ2303" s="5">
        <v>44673</v>
      </c>
      <c r="AK2303" t="s">
        <v>12357</v>
      </c>
      <c r="AL2303" s="2">
        <v>0</v>
      </c>
      <c r="AM2303" s="2">
        <v>0</v>
      </c>
      <c r="AN2303" s="2">
        <v>0</v>
      </c>
      <c r="AO2303" t="s">
        <v>44</v>
      </c>
      <c r="AP2303" t="s">
        <v>44</v>
      </c>
      <c r="AQ2303" t="s">
        <v>11029</v>
      </c>
    </row>
    <row r="2304" spans="1:43" x14ac:dyDescent="0.2">
      <c r="A2304" t="s">
        <v>12358</v>
      </c>
      <c r="B2304" t="s">
        <v>10900</v>
      </c>
      <c r="C2304" t="s">
        <v>11049</v>
      </c>
      <c r="D2304" t="s">
        <v>11453</v>
      </c>
      <c r="E2304" t="s">
        <v>11454</v>
      </c>
      <c r="F2304" t="s">
        <v>11453</v>
      </c>
      <c r="G2304" s="1">
        <v>1200000</v>
      </c>
      <c r="H2304" s="2">
        <v>1204346.3999999999</v>
      </c>
      <c r="I2304" s="2">
        <v>1204532.8600000001</v>
      </c>
      <c r="J2304" s="2">
        <v>9634.7800000000007</v>
      </c>
      <c r="K2304" s="2">
        <v>0</v>
      </c>
      <c r="L2304" s="2">
        <v>1214167.6399999999</v>
      </c>
      <c r="M2304" s="3">
        <v>5.0248049999999997</v>
      </c>
      <c r="N2304" s="4">
        <v>2.7623600000000002E-3</v>
      </c>
      <c r="O2304" s="5">
        <v>44707</v>
      </c>
      <c r="P2304" s="5">
        <v>44983</v>
      </c>
      <c r="Q2304" s="1">
        <v>5.4269999999999996</v>
      </c>
      <c r="R2304" s="2">
        <v>0.08</v>
      </c>
      <c r="S2304" s="6">
        <v>7.8644503066000002E-2</v>
      </c>
      <c r="T2304" t="s">
        <v>111</v>
      </c>
      <c r="U2304" t="s">
        <v>111</v>
      </c>
      <c r="V2304" t="s">
        <v>11189</v>
      </c>
      <c r="W2304" t="s">
        <v>43</v>
      </c>
      <c r="X2304" t="s">
        <v>11034</v>
      </c>
      <c r="Y2304" t="s">
        <v>44</v>
      </c>
      <c r="Z2304" t="s">
        <v>44</v>
      </c>
      <c r="AA2304" t="s">
        <v>11441</v>
      </c>
      <c r="AB2304" t="s">
        <v>44</v>
      </c>
      <c r="AC2304" s="4">
        <v>5.0879264600000003</v>
      </c>
      <c r="AD2304" s="4">
        <v>4.9729969399999998</v>
      </c>
      <c r="AE2304" s="2">
        <v>5.09</v>
      </c>
      <c r="AF2304" s="4">
        <v>4.9729969399999998</v>
      </c>
      <c r="AG2304" s="2">
        <v>0.4</v>
      </c>
      <c r="AH2304" s="2">
        <v>1214167.6399999999</v>
      </c>
      <c r="AI2304" s="2">
        <v>0</v>
      </c>
      <c r="AJ2304" s="5">
        <v>44673</v>
      </c>
      <c r="AK2304" t="s">
        <v>12359</v>
      </c>
      <c r="AL2304" s="2">
        <v>5.0199999999999996</v>
      </c>
      <c r="AM2304" s="2">
        <v>5.43</v>
      </c>
      <c r="AN2304" s="2">
        <v>0.08</v>
      </c>
      <c r="AO2304" t="s">
        <v>11455</v>
      </c>
      <c r="AP2304" t="s">
        <v>11456</v>
      </c>
      <c r="AQ2304" t="s">
        <v>11454</v>
      </c>
    </row>
    <row r="2305" spans="1:43" x14ac:dyDescent="0.2">
      <c r="A2305" t="s">
        <v>12358</v>
      </c>
      <c r="B2305" t="s">
        <v>10900</v>
      </c>
      <c r="C2305" t="s">
        <v>11049</v>
      </c>
      <c r="D2305" t="s">
        <v>11457</v>
      </c>
      <c r="E2305" t="s">
        <v>11458</v>
      </c>
      <c r="F2305" t="s">
        <v>11457</v>
      </c>
      <c r="G2305" s="1">
        <v>1200000</v>
      </c>
      <c r="H2305" s="2">
        <v>1199877.05</v>
      </c>
      <c r="I2305" s="2">
        <v>1200004.46</v>
      </c>
      <c r="J2305" s="2">
        <v>14444.58</v>
      </c>
      <c r="K2305" s="2">
        <v>0</v>
      </c>
      <c r="L2305" s="2">
        <v>1214449.04</v>
      </c>
      <c r="M2305" s="3">
        <v>5.4289139999999998</v>
      </c>
      <c r="N2305" s="4">
        <v>2.7629999999999998E-3</v>
      </c>
      <c r="O2305" s="5">
        <v>44684</v>
      </c>
      <c r="P2305" s="5">
        <v>44957</v>
      </c>
      <c r="Q2305" s="1">
        <v>5.3579999999999997</v>
      </c>
      <c r="R2305" s="2">
        <v>0.02</v>
      </c>
      <c r="S2305" s="6">
        <v>1.4426938812E-2</v>
      </c>
      <c r="T2305" t="s">
        <v>111</v>
      </c>
      <c r="U2305" t="s">
        <v>111</v>
      </c>
      <c r="V2305" t="s">
        <v>11189</v>
      </c>
      <c r="W2305" t="s">
        <v>43</v>
      </c>
      <c r="X2305" t="s">
        <v>11034</v>
      </c>
      <c r="Y2305" t="s">
        <v>44</v>
      </c>
      <c r="Z2305" t="s">
        <v>44</v>
      </c>
      <c r="AA2305" t="s">
        <v>10979</v>
      </c>
      <c r="AB2305" t="s">
        <v>44</v>
      </c>
      <c r="AC2305" s="4">
        <v>5.5025962599999998</v>
      </c>
      <c r="AD2305" s="4">
        <v>5.3685105899999996</v>
      </c>
      <c r="AE2305" s="2">
        <v>5.5</v>
      </c>
      <c r="AF2305" s="4">
        <v>5.3685105899999996</v>
      </c>
      <c r="AG2305" s="2">
        <v>0.4</v>
      </c>
      <c r="AH2305" s="2">
        <v>1214449.04</v>
      </c>
      <c r="AI2305" s="2">
        <v>0</v>
      </c>
      <c r="AJ2305" s="5">
        <v>44673</v>
      </c>
      <c r="AK2305" t="s">
        <v>12359</v>
      </c>
      <c r="AL2305" s="2">
        <v>5.43</v>
      </c>
      <c r="AM2305" s="2">
        <v>5.36</v>
      </c>
      <c r="AN2305" s="2">
        <v>0.01</v>
      </c>
      <c r="AO2305" t="s">
        <v>11048</v>
      </c>
      <c r="AP2305" t="s">
        <v>11459</v>
      </c>
      <c r="AQ2305" t="s">
        <v>11458</v>
      </c>
    </row>
    <row r="2306" spans="1:43" x14ac:dyDescent="0.2">
      <c r="A2306" t="s">
        <v>12358</v>
      </c>
      <c r="B2306" t="s">
        <v>10900</v>
      </c>
      <c r="C2306" t="s">
        <v>11049</v>
      </c>
      <c r="D2306" t="s">
        <v>11785</v>
      </c>
      <c r="E2306" t="s">
        <v>11786</v>
      </c>
      <c r="F2306" t="s">
        <v>11785</v>
      </c>
      <c r="G2306" s="1">
        <v>14000000</v>
      </c>
      <c r="H2306" s="2">
        <v>14123933.050000001</v>
      </c>
      <c r="I2306" s="2">
        <v>14142990.26</v>
      </c>
      <c r="J2306" s="2">
        <v>91342.9</v>
      </c>
      <c r="K2306" s="2">
        <v>0</v>
      </c>
      <c r="L2306" s="2">
        <v>14234333.16</v>
      </c>
      <c r="M2306" s="3">
        <v>4.8216830000000002</v>
      </c>
      <c r="N2306" s="4">
        <v>3.2384639999999999E-2</v>
      </c>
      <c r="O2306" s="5">
        <v>44732</v>
      </c>
      <c r="P2306" s="5">
        <v>44824</v>
      </c>
      <c r="Q2306" s="1">
        <v>7.4420000000000002</v>
      </c>
      <c r="R2306" s="2">
        <v>0.15</v>
      </c>
      <c r="S2306" s="6">
        <v>0.146783072519</v>
      </c>
      <c r="T2306" t="s">
        <v>111</v>
      </c>
      <c r="U2306" t="s">
        <v>111</v>
      </c>
      <c r="V2306" t="s">
        <v>11189</v>
      </c>
      <c r="W2306" t="s">
        <v>43</v>
      </c>
      <c r="X2306" t="s">
        <v>11034</v>
      </c>
      <c r="Y2306" t="s">
        <v>44</v>
      </c>
      <c r="Z2306" t="s">
        <v>44</v>
      </c>
      <c r="AA2306" t="s">
        <v>10979</v>
      </c>
      <c r="AB2306" t="s">
        <v>11441</v>
      </c>
      <c r="AC2306" s="4">
        <v>4.87980444</v>
      </c>
      <c r="AD2306" s="4">
        <v>4.7739498600000001</v>
      </c>
      <c r="AE2306" s="2">
        <v>4.88</v>
      </c>
      <c r="AF2306" s="4">
        <v>4.7739498600000001</v>
      </c>
      <c r="AG2306" s="2">
        <v>4.66</v>
      </c>
      <c r="AH2306" s="2">
        <v>14234333.16</v>
      </c>
      <c r="AI2306" s="2">
        <v>0.03</v>
      </c>
      <c r="AJ2306" s="5">
        <v>44673</v>
      </c>
      <c r="AK2306" t="s">
        <v>12359</v>
      </c>
      <c r="AL2306" s="2">
        <v>4.82</v>
      </c>
      <c r="AM2306" s="2">
        <v>7.44</v>
      </c>
      <c r="AN2306" s="2">
        <v>0.15</v>
      </c>
      <c r="AO2306" t="s">
        <v>11054</v>
      </c>
      <c r="AP2306" t="s">
        <v>11787</v>
      </c>
      <c r="AQ2306" t="s">
        <v>11786</v>
      </c>
    </row>
    <row r="2307" spans="1:43" x14ac:dyDescent="0.2">
      <c r="A2307" t="s">
        <v>12358</v>
      </c>
      <c r="B2307" t="s">
        <v>10900</v>
      </c>
      <c r="C2307" t="s">
        <v>11049</v>
      </c>
      <c r="D2307" t="s">
        <v>11467</v>
      </c>
      <c r="E2307" t="s">
        <v>11468</v>
      </c>
      <c r="F2307" t="s">
        <v>11467</v>
      </c>
      <c r="G2307" s="1">
        <v>3000000</v>
      </c>
      <c r="H2307" s="2">
        <v>2991384.28</v>
      </c>
      <c r="I2307" s="2">
        <v>3000400.5</v>
      </c>
      <c r="J2307" s="2">
        <v>72698.63</v>
      </c>
      <c r="K2307" s="2">
        <v>0</v>
      </c>
      <c r="L2307" s="2">
        <v>3073099.13</v>
      </c>
      <c r="M2307" s="3">
        <v>6.1</v>
      </c>
      <c r="N2307" s="4">
        <v>6.9916300000000004E-3</v>
      </c>
      <c r="O2307" s="5">
        <v>44710</v>
      </c>
      <c r="P2307" s="5">
        <v>44894</v>
      </c>
      <c r="Q2307" s="1">
        <v>6.1</v>
      </c>
      <c r="R2307" s="2">
        <v>0.57999999999999996</v>
      </c>
      <c r="S2307" s="6">
        <v>0.56198351300000005</v>
      </c>
      <c r="T2307" t="s">
        <v>111</v>
      </c>
      <c r="U2307" t="s">
        <v>111</v>
      </c>
      <c r="V2307" t="s">
        <v>114</v>
      </c>
      <c r="W2307" t="s">
        <v>43</v>
      </c>
      <c r="X2307" t="s">
        <v>44</v>
      </c>
      <c r="Y2307" t="s">
        <v>44</v>
      </c>
      <c r="Z2307" t="s">
        <v>44</v>
      </c>
      <c r="AA2307" t="s">
        <v>11465</v>
      </c>
      <c r="AB2307" t="s">
        <v>44</v>
      </c>
      <c r="AC2307" s="4">
        <v>6.1930249999999996</v>
      </c>
      <c r="AD2307" s="4">
        <v>6.0238935700000003</v>
      </c>
      <c r="AE2307" s="2">
        <v>6.19</v>
      </c>
      <c r="AF2307" s="4">
        <v>6.0238935700000003</v>
      </c>
      <c r="AG2307" s="2">
        <v>1.01</v>
      </c>
      <c r="AH2307" s="2">
        <v>3073099.13</v>
      </c>
      <c r="AI2307" s="2">
        <v>0.01</v>
      </c>
      <c r="AJ2307" s="5">
        <v>44673</v>
      </c>
      <c r="AK2307" t="s">
        <v>12359</v>
      </c>
      <c r="AL2307" s="2">
        <v>6.1</v>
      </c>
      <c r="AM2307" s="2">
        <v>6.1</v>
      </c>
      <c r="AN2307" s="2">
        <v>0.56000000000000005</v>
      </c>
      <c r="AO2307" t="s">
        <v>11469</v>
      </c>
      <c r="AP2307" t="s">
        <v>11470</v>
      </c>
      <c r="AQ2307" t="s">
        <v>11468</v>
      </c>
    </row>
    <row r="2308" spans="1:43" x14ac:dyDescent="0.2">
      <c r="A2308" t="s">
        <v>12358</v>
      </c>
      <c r="B2308" t="s">
        <v>10900</v>
      </c>
      <c r="C2308" t="s">
        <v>11049</v>
      </c>
      <c r="D2308" t="s">
        <v>11791</v>
      </c>
      <c r="E2308" t="s">
        <v>11792</v>
      </c>
      <c r="F2308" t="s">
        <v>11791</v>
      </c>
      <c r="G2308" s="1">
        <v>3900000</v>
      </c>
      <c r="H2308" s="2">
        <v>3947490.25</v>
      </c>
      <c r="I2308" s="2">
        <v>3945183.06</v>
      </c>
      <c r="J2308" s="2">
        <v>42639.29</v>
      </c>
      <c r="K2308" s="2">
        <v>0</v>
      </c>
      <c r="L2308" s="2">
        <v>3987822.35</v>
      </c>
      <c r="M2308" s="3">
        <v>3.91</v>
      </c>
      <c r="N2308" s="4">
        <v>9.0727299999999993E-3</v>
      </c>
      <c r="O2308" s="5">
        <v>44804</v>
      </c>
      <c r="P2308" s="5">
        <v>44804</v>
      </c>
      <c r="Q2308" s="1">
        <v>7.39</v>
      </c>
      <c r="R2308" s="2">
        <v>0.35</v>
      </c>
      <c r="S2308" s="6">
        <v>0.345941314</v>
      </c>
      <c r="T2308" t="s">
        <v>111</v>
      </c>
      <c r="U2308" t="s">
        <v>111</v>
      </c>
      <c r="V2308" t="s">
        <v>114</v>
      </c>
      <c r="W2308" t="s">
        <v>43</v>
      </c>
      <c r="X2308" t="s">
        <v>44</v>
      </c>
      <c r="Y2308" t="s">
        <v>44</v>
      </c>
      <c r="Z2308" t="s">
        <v>44</v>
      </c>
      <c r="AA2308" t="s">
        <v>10913</v>
      </c>
      <c r="AB2308" t="s">
        <v>44</v>
      </c>
      <c r="AC2308" s="4">
        <v>3.9482202499999999</v>
      </c>
      <c r="AD2308" s="4">
        <v>3.8785251199999999</v>
      </c>
      <c r="AE2308" s="2">
        <v>3.95</v>
      </c>
      <c r="AF2308" s="4">
        <v>3.8785251199999999</v>
      </c>
      <c r="AG2308" s="2">
        <v>1.31</v>
      </c>
      <c r="AH2308" s="2">
        <v>3987822.35</v>
      </c>
      <c r="AI2308" s="2">
        <v>0.01</v>
      </c>
      <c r="AJ2308" s="5">
        <v>44673</v>
      </c>
      <c r="AK2308" t="s">
        <v>12359</v>
      </c>
      <c r="AL2308" s="2">
        <v>3.91</v>
      </c>
      <c r="AM2308" s="2">
        <v>7.39</v>
      </c>
      <c r="AN2308" s="2">
        <v>0.35</v>
      </c>
      <c r="AO2308" t="s">
        <v>10922</v>
      </c>
      <c r="AP2308" t="s">
        <v>11793</v>
      </c>
      <c r="AQ2308" t="s">
        <v>11792</v>
      </c>
    </row>
    <row r="2309" spans="1:43" x14ac:dyDescent="0.2">
      <c r="A2309" t="s">
        <v>12358</v>
      </c>
      <c r="B2309" t="s">
        <v>10900</v>
      </c>
      <c r="C2309" t="s">
        <v>11049</v>
      </c>
      <c r="D2309" t="s">
        <v>11471</v>
      </c>
      <c r="E2309" t="s">
        <v>11472</v>
      </c>
      <c r="F2309" t="s">
        <v>11471</v>
      </c>
      <c r="G2309" s="1">
        <v>6600000</v>
      </c>
      <c r="H2309" s="2">
        <v>6599451.3099999996</v>
      </c>
      <c r="I2309" s="2">
        <v>6599503.0199999996</v>
      </c>
      <c r="J2309" s="2">
        <v>164584.10999999999</v>
      </c>
      <c r="K2309" s="2">
        <v>0</v>
      </c>
      <c r="L2309" s="2">
        <v>6764087.1299999999</v>
      </c>
      <c r="M2309" s="3">
        <v>7.4</v>
      </c>
      <c r="N2309" s="4">
        <v>1.538903E-2</v>
      </c>
      <c r="O2309" s="5">
        <v>44733</v>
      </c>
      <c r="P2309" s="5">
        <v>44916</v>
      </c>
      <c r="Q2309" s="1">
        <v>7.4</v>
      </c>
      <c r="R2309" s="2">
        <v>0.64</v>
      </c>
      <c r="S2309" s="6">
        <v>0.61596285799999995</v>
      </c>
      <c r="T2309" t="s">
        <v>111</v>
      </c>
      <c r="U2309" t="s">
        <v>111</v>
      </c>
      <c r="V2309" t="s">
        <v>114</v>
      </c>
      <c r="W2309" t="s">
        <v>43</v>
      </c>
      <c r="X2309" t="s">
        <v>10988</v>
      </c>
      <c r="Y2309" t="s">
        <v>44</v>
      </c>
      <c r="Z2309" t="s">
        <v>44</v>
      </c>
      <c r="AA2309" t="s">
        <v>10913</v>
      </c>
      <c r="AB2309" t="s">
        <v>44</v>
      </c>
      <c r="AC2309" s="4">
        <v>7.5369000000000002</v>
      </c>
      <c r="AD2309" s="4">
        <v>7.2884304699999998</v>
      </c>
      <c r="AE2309" s="2">
        <v>7.54</v>
      </c>
      <c r="AF2309" s="4">
        <v>7.2884304699999998</v>
      </c>
      <c r="AG2309" s="2">
        <v>2.2200000000000002</v>
      </c>
      <c r="AH2309" s="2">
        <v>6764087.1299999999</v>
      </c>
      <c r="AI2309" s="2">
        <v>0.02</v>
      </c>
      <c r="AJ2309" s="5">
        <v>44673</v>
      </c>
      <c r="AK2309" t="s">
        <v>12359</v>
      </c>
      <c r="AL2309" s="2">
        <v>7.4</v>
      </c>
      <c r="AM2309" s="2">
        <v>7.4</v>
      </c>
      <c r="AN2309" s="2">
        <v>0.62</v>
      </c>
      <c r="AO2309" t="s">
        <v>10922</v>
      </c>
      <c r="AP2309" t="s">
        <v>11473</v>
      </c>
      <c r="AQ2309" t="s">
        <v>11472</v>
      </c>
    </row>
    <row r="2310" spans="1:43" x14ac:dyDescent="0.2">
      <c r="A2310" t="s">
        <v>12358</v>
      </c>
      <c r="B2310" t="s">
        <v>10900</v>
      </c>
      <c r="C2310" t="s">
        <v>11049</v>
      </c>
      <c r="D2310" t="s">
        <v>11474</v>
      </c>
      <c r="E2310" t="s">
        <v>11475</v>
      </c>
      <c r="F2310" t="s">
        <v>11474</v>
      </c>
      <c r="G2310" s="1">
        <v>5800000</v>
      </c>
      <c r="H2310" s="2">
        <v>5799976.6799999997</v>
      </c>
      <c r="I2310" s="2">
        <v>5799871.2400000002</v>
      </c>
      <c r="J2310" s="2">
        <v>94207.89</v>
      </c>
      <c r="K2310" s="2">
        <v>0</v>
      </c>
      <c r="L2310" s="2">
        <v>5894079.1299999999</v>
      </c>
      <c r="M2310" s="3">
        <v>7.23</v>
      </c>
      <c r="N2310" s="4">
        <v>1.340966E-2</v>
      </c>
      <c r="O2310" s="5">
        <v>44773</v>
      </c>
      <c r="P2310" s="5">
        <v>44773</v>
      </c>
      <c r="Q2310" s="1">
        <v>7.23</v>
      </c>
      <c r="R2310" s="2">
        <v>0.27</v>
      </c>
      <c r="S2310" s="6">
        <v>0.26074350600000001</v>
      </c>
      <c r="T2310" t="s">
        <v>111</v>
      </c>
      <c r="U2310" t="s">
        <v>111</v>
      </c>
      <c r="V2310" t="s">
        <v>10944</v>
      </c>
      <c r="W2310" t="s">
        <v>43</v>
      </c>
      <c r="X2310" t="s">
        <v>44</v>
      </c>
      <c r="Y2310" t="s">
        <v>44</v>
      </c>
      <c r="Z2310" t="s">
        <v>44</v>
      </c>
      <c r="AA2310" t="s">
        <v>10913</v>
      </c>
      <c r="AB2310" t="s">
        <v>44</v>
      </c>
      <c r="AC2310" s="4">
        <v>7.36068225</v>
      </c>
      <c r="AD2310" s="4">
        <v>7.1234440000000001</v>
      </c>
      <c r="AE2310" s="2">
        <v>7.36</v>
      </c>
      <c r="AF2310" s="4">
        <v>7.1234440000000001</v>
      </c>
      <c r="AG2310" s="2">
        <v>1.93</v>
      </c>
      <c r="AH2310" s="2">
        <v>5894079.1299999999</v>
      </c>
      <c r="AI2310" s="2">
        <v>0.01</v>
      </c>
      <c r="AJ2310" s="5">
        <v>44673</v>
      </c>
      <c r="AK2310" t="s">
        <v>12359</v>
      </c>
      <c r="AL2310" s="2">
        <v>7.23</v>
      </c>
      <c r="AM2310" s="2">
        <v>7.23</v>
      </c>
      <c r="AN2310" s="2">
        <v>0.26</v>
      </c>
      <c r="AO2310" t="s">
        <v>10922</v>
      </c>
      <c r="AP2310" t="s">
        <v>11476</v>
      </c>
      <c r="AQ2310" t="s">
        <v>11475</v>
      </c>
    </row>
    <row r="2311" spans="1:43" x14ac:dyDescent="0.2">
      <c r="A2311" t="s">
        <v>12358</v>
      </c>
      <c r="B2311" t="s">
        <v>10900</v>
      </c>
      <c r="C2311" t="s">
        <v>11049</v>
      </c>
      <c r="D2311" t="s">
        <v>11794</v>
      </c>
      <c r="E2311" t="s">
        <v>11795</v>
      </c>
      <c r="F2311" t="s">
        <v>11794</v>
      </c>
      <c r="G2311" s="1">
        <v>800000</v>
      </c>
      <c r="H2311" s="2">
        <v>800151.51</v>
      </c>
      <c r="I2311" s="2">
        <v>800089.74</v>
      </c>
      <c r="J2311" s="2">
        <v>10168.9</v>
      </c>
      <c r="K2311" s="2">
        <v>0</v>
      </c>
      <c r="L2311" s="2">
        <v>810258.64</v>
      </c>
      <c r="M2311" s="3">
        <v>4.7002220000000001</v>
      </c>
      <c r="N2311" s="4">
        <v>1.8434300000000001E-3</v>
      </c>
      <c r="O2311" s="5">
        <v>44680</v>
      </c>
      <c r="P2311" s="5">
        <v>44680</v>
      </c>
      <c r="Q2311" s="1">
        <v>5.6580000000000004</v>
      </c>
      <c r="R2311" s="2">
        <v>0.01</v>
      </c>
      <c r="S2311" s="6">
        <v>1.0461427896999999E-2</v>
      </c>
      <c r="T2311" t="s">
        <v>111</v>
      </c>
      <c r="U2311" t="s">
        <v>111</v>
      </c>
      <c r="V2311" t="s">
        <v>11189</v>
      </c>
      <c r="W2311" t="s">
        <v>43</v>
      </c>
      <c r="X2311" t="s">
        <v>11034</v>
      </c>
      <c r="Y2311" t="s">
        <v>44</v>
      </c>
      <c r="Z2311" t="s">
        <v>44</v>
      </c>
      <c r="AA2311" t="s">
        <v>44</v>
      </c>
      <c r="AB2311" t="s">
        <v>11225</v>
      </c>
      <c r="AC2311" s="4">
        <v>4.7554521300000001</v>
      </c>
      <c r="AD2311" s="4">
        <v>4.6548469299999997</v>
      </c>
      <c r="AE2311" s="2">
        <v>4.76</v>
      </c>
      <c r="AF2311" s="4">
        <v>4.6548469299999997</v>
      </c>
      <c r="AG2311" s="2">
        <v>0.27</v>
      </c>
      <c r="AH2311" s="2">
        <v>810258.64</v>
      </c>
      <c r="AI2311" s="2">
        <v>0</v>
      </c>
      <c r="AJ2311" s="5">
        <v>44673</v>
      </c>
      <c r="AK2311" t="s">
        <v>12359</v>
      </c>
      <c r="AL2311" s="2">
        <v>4.7</v>
      </c>
      <c r="AM2311" s="2">
        <v>5.66</v>
      </c>
      <c r="AN2311" s="2">
        <v>0.01</v>
      </c>
      <c r="AO2311" t="s">
        <v>11527</v>
      </c>
      <c r="AP2311" t="s">
        <v>11796</v>
      </c>
      <c r="AQ2311" t="s">
        <v>11795</v>
      </c>
    </row>
    <row r="2312" spans="1:43" x14ac:dyDescent="0.2">
      <c r="A2312" t="s">
        <v>12358</v>
      </c>
      <c r="B2312" t="s">
        <v>10900</v>
      </c>
      <c r="C2312" t="s">
        <v>11049</v>
      </c>
      <c r="D2312" t="s">
        <v>11916</v>
      </c>
      <c r="E2312" t="s">
        <v>11917</v>
      </c>
      <c r="F2312" t="s">
        <v>11916</v>
      </c>
      <c r="G2312" s="1">
        <v>1600000</v>
      </c>
      <c r="H2312" s="2">
        <v>1596979.15</v>
      </c>
      <c r="I2312" s="2">
        <v>1596490.63</v>
      </c>
      <c r="J2312" s="2">
        <v>7914.26</v>
      </c>
      <c r="K2312" s="2">
        <v>0</v>
      </c>
      <c r="L2312" s="2">
        <v>1604404.89</v>
      </c>
      <c r="M2312" s="3">
        <v>5.6016830000000004</v>
      </c>
      <c r="N2312" s="4">
        <v>3.6501900000000002E-3</v>
      </c>
      <c r="O2312" s="5">
        <v>44732</v>
      </c>
      <c r="P2312" s="5">
        <v>44824</v>
      </c>
      <c r="Q2312" s="1">
        <v>5.6420000000000003</v>
      </c>
      <c r="R2312" s="2">
        <v>0.15</v>
      </c>
      <c r="S2312" s="6">
        <v>0.14281421501899999</v>
      </c>
      <c r="T2312" t="s">
        <v>111</v>
      </c>
      <c r="U2312" t="s">
        <v>111</v>
      </c>
      <c r="V2312" t="s">
        <v>11189</v>
      </c>
      <c r="W2312" t="s">
        <v>43</v>
      </c>
      <c r="X2312" t="s">
        <v>11034</v>
      </c>
      <c r="Y2312" t="s">
        <v>44</v>
      </c>
      <c r="Z2312" t="s">
        <v>44</v>
      </c>
      <c r="AA2312" t="s">
        <v>10979</v>
      </c>
      <c r="AB2312" t="s">
        <v>44</v>
      </c>
      <c r="AC2312" s="4">
        <v>5.6801300100000001</v>
      </c>
      <c r="AD2312" s="4">
        <v>5.5374074699999998</v>
      </c>
      <c r="AE2312" s="2">
        <v>5.68</v>
      </c>
      <c r="AF2312" s="4">
        <v>5.5374074699999998</v>
      </c>
      <c r="AG2312" s="2">
        <v>0.53</v>
      </c>
      <c r="AH2312" s="2">
        <v>1604404.89</v>
      </c>
      <c r="AI2312" s="2">
        <v>0</v>
      </c>
      <c r="AJ2312" s="5">
        <v>44673</v>
      </c>
      <c r="AK2312" t="s">
        <v>12359</v>
      </c>
      <c r="AL2312" s="2">
        <v>5.6</v>
      </c>
      <c r="AM2312" s="2">
        <v>5.64</v>
      </c>
      <c r="AN2312" s="2">
        <v>0.14000000000000001</v>
      </c>
      <c r="AO2312" t="s">
        <v>10980</v>
      </c>
      <c r="AP2312" t="s">
        <v>11918</v>
      </c>
      <c r="AQ2312" t="s">
        <v>11917</v>
      </c>
    </row>
    <row r="2313" spans="1:43" x14ac:dyDescent="0.2">
      <c r="A2313" t="s">
        <v>12358</v>
      </c>
      <c r="B2313" t="s">
        <v>10900</v>
      </c>
      <c r="C2313" t="s">
        <v>11049</v>
      </c>
      <c r="D2313" t="s">
        <v>11797</v>
      </c>
      <c r="E2313" t="s">
        <v>11798</v>
      </c>
      <c r="F2313" t="s">
        <v>11797</v>
      </c>
      <c r="G2313" s="1">
        <v>2400000</v>
      </c>
      <c r="H2313" s="2">
        <v>2437239.36</v>
      </c>
      <c r="I2313" s="2">
        <v>2440119.5699999998</v>
      </c>
      <c r="J2313" s="2">
        <v>14846.53</v>
      </c>
      <c r="K2313" s="2">
        <v>0</v>
      </c>
      <c r="L2313" s="2">
        <v>2454966.1</v>
      </c>
      <c r="M2313" s="3">
        <v>5.7687520000000001</v>
      </c>
      <c r="N2313" s="4">
        <v>5.5853099999999996E-3</v>
      </c>
      <c r="O2313" s="5">
        <v>44742</v>
      </c>
      <c r="P2313" s="5">
        <v>44834</v>
      </c>
      <c r="Q2313" s="1">
        <v>9.8170000000000002</v>
      </c>
      <c r="R2313" s="2">
        <v>0.18</v>
      </c>
      <c r="S2313" s="6">
        <v>0.17046604942900001</v>
      </c>
      <c r="T2313" t="s">
        <v>111</v>
      </c>
      <c r="U2313" t="s">
        <v>111</v>
      </c>
      <c r="V2313" t="s">
        <v>11189</v>
      </c>
      <c r="W2313" t="s">
        <v>43</v>
      </c>
      <c r="X2313" t="s">
        <v>11034</v>
      </c>
      <c r="Y2313" t="s">
        <v>44</v>
      </c>
      <c r="Z2313" t="s">
        <v>44</v>
      </c>
      <c r="AA2313" t="s">
        <v>11035</v>
      </c>
      <c r="AB2313" t="s">
        <v>2680</v>
      </c>
      <c r="AC2313" s="4">
        <v>5.8519482600000003</v>
      </c>
      <c r="AD2313" s="4">
        <v>5.7006194399999996</v>
      </c>
      <c r="AE2313" s="2">
        <v>5.85</v>
      </c>
      <c r="AF2313" s="4">
        <v>5.7006194399999996</v>
      </c>
      <c r="AG2313" s="2">
        <v>0.8</v>
      </c>
      <c r="AH2313" s="2">
        <v>2454966.1</v>
      </c>
      <c r="AI2313" s="2">
        <v>0.01</v>
      </c>
      <c r="AJ2313" s="5">
        <v>44673</v>
      </c>
      <c r="AK2313" t="s">
        <v>12359</v>
      </c>
      <c r="AL2313" s="2">
        <v>5.77</v>
      </c>
      <c r="AM2313" s="2">
        <v>9.82</v>
      </c>
      <c r="AN2313" s="2">
        <v>0.17</v>
      </c>
      <c r="AO2313" t="s">
        <v>11496</v>
      </c>
      <c r="AP2313" t="s">
        <v>11799</v>
      </c>
      <c r="AQ2313" t="s">
        <v>11798</v>
      </c>
    </row>
    <row r="2314" spans="1:43" x14ac:dyDescent="0.2">
      <c r="A2314" t="s">
        <v>12358</v>
      </c>
      <c r="B2314" t="s">
        <v>10900</v>
      </c>
      <c r="C2314" t="s">
        <v>11049</v>
      </c>
      <c r="D2314" t="s">
        <v>11800</v>
      </c>
      <c r="E2314" t="s">
        <v>11801</v>
      </c>
      <c r="F2314" t="s">
        <v>11800</v>
      </c>
      <c r="G2314" s="1">
        <v>2400000</v>
      </c>
      <c r="H2314" s="2">
        <v>2399966.4700000002</v>
      </c>
      <c r="I2314" s="2">
        <v>2399927.52</v>
      </c>
      <c r="J2314" s="2">
        <v>39899.18</v>
      </c>
      <c r="K2314" s="2">
        <v>0</v>
      </c>
      <c r="L2314" s="2">
        <v>2439826.7000000002</v>
      </c>
      <c r="M2314" s="3">
        <v>7.4</v>
      </c>
      <c r="N2314" s="4">
        <v>5.5508700000000003E-3</v>
      </c>
      <c r="O2314" s="5">
        <v>44592</v>
      </c>
      <c r="P2314" s="5">
        <v>44773</v>
      </c>
      <c r="Q2314" s="1">
        <v>7.4</v>
      </c>
      <c r="R2314" s="2">
        <v>0.27</v>
      </c>
      <c r="S2314" s="6">
        <v>0.26062797900000001</v>
      </c>
      <c r="T2314" t="s">
        <v>111</v>
      </c>
      <c r="U2314" t="s">
        <v>111</v>
      </c>
      <c r="V2314" t="s">
        <v>114</v>
      </c>
      <c r="W2314" t="s">
        <v>43</v>
      </c>
      <c r="X2314" t="s">
        <v>10988</v>
      </c>
      <c r="Y2314" t="s">
        <v>44</v>
      </c>
      <c r="Z2314" t="s">
        <v>44</v>
      </c>
      <c r="AA2314" t="s">
        <v>10913</v>
      </c>
      <c r="AB2314" t="s">
        <v>44</v>
      </c>
      <c r="AC2314" s="4">
        <v>7.5369000000000002</v>
      </c>
      <c r="AD2314" s="4">
        <v>7.2884304699999998</v>
      </c>
      <c r="AE2314" s="2">
        <v>7.54</v>
      </c>
      <c r="AF2314" s="4">
        <v>7.2884304699999998</v>
      </c>
      <c r="AG2314" s="2">
        <v>0.8</v>
      </c>
      <c r="AH2314" s="2">
        <v>2439826.7000000002</v>
      </c>
      <c r="AI2314" s="2">
        <v>0.01</v>
      </c>
      <c r="AJ2314" s="5">
        <v>44673</v>
      </c>
      <c r="AK2314" t="s">
        <v>12359</v>
      </c>
      <c r="AL2314" s="2">
        <v>7.4</v>
      </c>
      <c r="AM2314" s="2">
        <v>7.4</v>
      </c>
      <c r="AN2314" s="2">
        <v>0.26</v>
      </c>
      <c r="AO2314" t="s">
        <v>10922</v>
      </c>
      <c r="AP2314" t="s">
        <v>11802</v>
      </c>
      <c r="AQ2314" t="s">
        <v>11801</v>
      </c>
    </row>
    <row r="2315" spans="1:43" x14ac:dyDescent="0.2">
      <c r="A2315" t="s">
        <v>12358</v>
      </c>
      <c r="B2315" t="s">
        <v>10900</v>
      </c>
      <c r="C2315" t="s">
        <v>11033</v>
      </c>
      <c r="D2315" t="s">
        <v>11803</v>
      </c>
      <c r="E2315" t="s">
        <v>11804</v>
      </c>
      <c r="F2315" t="s">
        <v>11803</v>
      </c>
      <c r="G2315" s="1">
        <v>6600000</v>
      </c>
      <c r="H2315" s="2">
        <v>6674513.7300000004</v>
      </c>
      <c r="I2315" s="2">
        <v>6678500.0599999996</v>
      </c>
      <c r="J2315" s="2">
        <v>65099.15</v>
      </c>
      <c r="K2315" s="2">
        <v>0</v>
      </c>
      <c r="L2315" s="2">
        <v>6743599.21</v>
      </c>
      <c r="M2315" s="3">
        <v>5.9316740000000001</v>
      </c>
      <c r="N2315" s="4">
        <v>1.5342410000000001E-2</v>
      </c>
      <c r="O2315" s="5">
        <v>44711</v>
      </c>
      <c r="P2315" s="5">
        <v>45259</v>
      </c>
      <c r="Q2315" s="1">
        <v>6.6669999999999998</v>
      </c>
      <c r="R2315" s="2">
        <v>0.1</v>
      </c>
      <c r="S2315" s="6">
        <v>8.3360787894999996E-2</v>
      </c>
      <c r="T2315" t="s">
        <v>111</v>
      </c>
      <c r="U2315" t="s">
        <v>111</v>
      </c>
      <c r="V2315" t="s">
        <v>11189</v>
      </c>
      <c r="W2315" t="s">
        <v>43</v>
      </c>
      <c r="X2315" t="s">
        <v>11034</v>
      </c>
      <c r="Y2315" t="s">
        <v>44</v>
      </c>
      <c r="Z2315" t="s">
        <v>44</v>
      </c>
      <c r="AA2315" t="s">
        <v>10979</v>
      </c>
      <c r="AB2315" t="s">
        <v>44</v>
      </c>
      <c r="AC2315" s="4">
        <v>6.0196354200000002</v>
      </c>
      <c r="AD2315" s="4">
        <v>5.8596732400000002</v>
      </c>
      <c r="AE2315" s="2">
        <v>6.02</v>
      </c>
      <c r="AF2315" s="4">
        <v>5.8596732400000002</v>
      </c>
      <c r="AG2315" s="2">
        <v>2.21</v>
      </c>
      <c r="AH2315" s="2">
        <v>6743599.21</v>
      </c>
      <c r="AI2315" s="2">
        <v>0.02</v>
      </c>
      <c r="AJ2315" s="5">
        <v>44673</v>
      </c>
      <c r="AK2315" t="s">
        <v>12359</v>
      </c>
      <c r="AL2315" s="2">
        <v>5.93</v>
      </c>
      <c r="AM2315" s="2">
        <v>6.67</v>
      </c>
      <c r="AN2315" s="2">
        <v>0.08</v>
      </c>
      <c r="AO2315" t="s">
        <v>11165</v>
      </c>
      <c r="AP2315" t="s">
        <v>11805</v>
      </c>
      <c r="AQ2315" t="s">
        <v>11804</v>
      </c>
    </row>
    <row r="2316" spans="1:43" x14ac:dyDescent="0.2">
      <c r="A2316" t="s">
        <v>12358</v>
      </c>
      <c r="B2316" t="s">
        <v>10900</v>
      </c>
      <c r="C2316" t="s">
        <v>11033</v>
      </c>
      <c r="D2316" t="s">
        <v>11806</v>
      </c>
      <c r="E2316" t="s">
        <v>11807</v>
      </c>
      <c r="F2316" t="s">
        <v>11806</v>
      </c>
      <c r="G2316" s="1">
        <v>3200000</v>
      </c>
      <c r="H2316" s="2">
        <v>3237807.85</v>
      </c>
      <c r="I2316" s="2">
        <v>3237814.98</v>
      </c>
      <c r="J2316" s="2">
        <v>7136.09</v>
      </c>
      <c r="K2316" s="2">
        <v>0</v>
      </c>
      <c r="L2316" s="2">
        <v>3244951.07</v>
      </c>
      <c r="M2316" s="3">
        <v>6.0434890000000001</v>
      </c>
      <c r="N2316" s="4">
        <v>7.3826100000000004E-3</v>
      </c>
      <c r="O2316" s="5">
        <v>44753</v>
      </c>
      <c r="P2316" s="5">
        <v>45393</v>
      </c>
      <c r="Q2316" s="1">
        <v>6.7830000000000004</v>
      </c>
      <c r="R2316" s="2">
        <v>0.21</v>
      </c>
      <c r="S2316" s="6">
        <v>0.19079709986500001</v>
      </c>
      <c r="T2316" t="s">
        <v>111</v>
      </c>
      <c r="U2316" t="s">
        <v>111</v>
      </c>
      <c r="V2316" t="s">
        <v>11189</v>
      </c>
      <c r="W2316" t="s">
        <v>43</v>
      </c>
      <c r="X2316" t="s">
        <v>11034</v>
      </c>
      <c r="Y2316" t="s">
        <v>44</v>
      </c>
      <c r="Z2316" t="s">
        <v>44</v>
      </c>
      <c r="AA2316" t="s">
        <v>10979</v>
      </c>
      <c r="AB2316" t="s">
        <v>44</v>
      </c>
      <c r="AC2316" s="4">
        <v>6.1347979300000004</v>
      </c>
      <c r="AD2316" s="4">
        <v>5.9687731099999999</v>
      </c>
      <c r="AE2316" s="2">
        <v>6.13</v>
      </c>
      <c r="AF2316" s="4">
        <v>5.9687731099999999</v>
      </c>
      <c r="AG2316" s="2">
        <v>1.06</v>
      </c>
      <c r="AH2316" s="2">
        <v>3244951.07</v>
      </c>
      <c r="AI2316" s="2">
        <v>0.01</v>
      </c>
      <c r="AJ2316" s="5">
        <v>44673</v>
      </c>
      <c r="AK2316" t="s">
        <v>12359</v>
      </c>
      <c r="AL2316" s="2">
        <v>6.04</v>
      </c>
      <c r="AM2316" s="2">
        <v>6.78</v>
      </c>
      <c r="AN2316" s="2">
        <v>0.19</v>
      </c>
      <c r="AO2316" t="s">
        <v>11165</v>
      </c>
      <c r="AP2316" t="s">
        <v>11808</v>
      </c>
      <c r="AQ2316" t="s">
        <v>11807</v>
      </c>
    </row>
    <row r="2317" spans="1:43" x14ac:dyDescent="0.2">
      <c r="A2317" t="s">
        <v>12358</v>
      </c>
      <c r="B2317" t="s">
        <v>10900</v>
      </c>
      <c r="C2317" t="s">
        <v>11033</v>
      </c>
      <c r="D2317" t="s">
        <v>11059</v>
      </c>
      <c r="E2317" t="s">
        <v>11060</v>
      </c>
      <c r="F2317" t="s">
        <v>11059</v>
      </c>
      <c r="G2317" s="1">
        <v>300000</v>
      </c>
      <c r="H2317" s="2">
        <v>321975.15000000002</v>
      </c>
      <c r="I2317" s="2">
        <v>321436.71000000002</v>
      </c>
      <c r="J2317" s="2">
        <v>11839.73</v>
      </c>
      <c r="K2317" s="2">
        <v>0</v>
      </c>
      <c r="L2317" s="2">
        <v>333276.44</v>
      </c>
      <c r="M2317" s="3">
        <v>7.69</v>
      </c>
      <c r="N2317" s="4">
        <v>7.5823999999999998E-4</v>
      </c>
      <c r="O2317" s="5">
        <v>44722</v>
      </c>
      <c r="P2317" s="5">
        <v>45636</v>
      </c>
      <c r="Q2317" s="1">
        <v>10.75</v>
      </c>
      <c r="R2317" s="2">
        <v>2.2799999999999998</v>
      </c>
      <c r="S2317" s="6">
        <v>2.1998010890000002</v>
      </c>
      <c r="T2317" t="s">
        <v>111</v>
      </c>
      <c r="U2317" t="s">
        <v>111</v>
      </c>
      <c r="V2317" t="s">
        <v>10944</v>
      </c>
      <c r="W2317" t="s">
        <v>43</v>
      </c>
      <c r="X2317" t="s">
        <v>10988</v>
      </c>
      <c r="Y2317" t="s">
        <v>44</v>
      </c>
      <c r="Z2317" t="s">
        <v>44</v>
      </c>
      <c r="AA2317" t="s">
        <v>10979</v>
      </c>
      <c r="AB2317" t="s">
        <v>44</v>
      </c>
      <c r="AC2317" s="4">
        <v>7.8378402500000002</v>
      </c>
      <c r="AD2317" s="4">
        <v>7.5696180699999998</v>
      </c>
      <c r="AE2317" s="2">
        <v>7.84</v>
      </c>
      <c r="AF2317" s="4">
        <v>7.5696180699999998</v>
      </c>
      <c r="AG2317" s="2">
        <v>0.11</v>
      </c>
      <c r="AH2317" s="2">
        <v>333276.44</v>
      </c>
      <c r="AI2317" s="2">
        <v>0</v>
      </c>
      <c r="AJ2317" s="5">
        <v>44673</v>
      </c>
      <c r="AK2317" t="s">
        <v>12359</v>
      </c>
      <c r="AL2317" s="2">
        <v>7.69</v>
      </c>
      <c r="AM2317" s="2">
        <v>10.75</v>
      </c>
      <c r="AN2317" s="2">
        <v>2.2000000000000002</v>
      </c>
      <c r="AO2317" t="s">
        <v>11054</v>
      </c>
      <c r="AP2317" t="s">
        <v>11061</v>
      </c>
      <c r="AQ2317" t="s">
        <v>11060</v>
      </c>
    </row>
    <row r="2318" spans="1:43" x14ac:dyDescent="0.2">
      <c r="A2318" t="s">
        <v>12358</v>
      </c>
      <c r="B2318" t="s">
        <v>10900</v>
      </c>
      <c r="C2318" t="s">
        <v>11033</v>
      </c>
      <c r="D2318" t="s">
        <v>11812</v>
      </c>
      <c r="E2318" t="s">
        <v>11813</v>
      </c>
      <c r="F2318" t="s">
        <v>11812</v>
      </c>
      <c r="G2318" s="1">
        <v>372000</v>
      </c>
      <c r="H2318" s="2">
        <v>5504031.1600000001</v>
      </c>
      <c r="I2318" s="2">
        <v>5895309.8600000003</v>
      </c>
      <c r="J2318" s="2">
        <v>179496.14</v>
      </c>
      <c r="K2318" s="2">
        <v>0</v>
      </c>
      <c r="L2318" s="2">
        <v>6074806</v>
      </c>
      <c r="M2318" s="3"/>
      <c r="N2318" s="4">
        <v>1.3820839999999999E-2</v>
      </c>
      <c r="O2318" s="5">
        <v>44676</v>
      </c>
      <c r="P2318" s="5">
        <v>45039</v>
      </c>
      <c r="Q2318" s="1">
        <v>6.25</v>
      </c>
      <c r="R2318" s="2">
        <v>2.71</v>
      </c>
      <c r="S2318" s="6">
        <v>2.63</v>
      </c>
      <c r="T2318" t="s">
        <v>111</v>
      </c>
      <c r="U2318" t="s">
        <v>111</v>
      </c>
      <c r="V2318" t="s">
        <v>10944</v>
      </c>
      <c r="W2318" t="s">
        <v>113</v>
      </c>
      <c r="X2318" t="s">
        <v>44</v>
      </c>
      <c r="Y2318" t="s">
        <v>44</v>
      </c>
      <c r="Z2318" t="s">
        <v>44</v>
      </c>
      <c r="AA2318" t="s">
        <v>10979</v>
      </c>
      <c r="AB2318" t="s">
        <v>11465</v>
      </c>
      <c r="AC2318" s="4"/>
      <c r="AD2318" s="4"/>
      <c r="AE2318" s="2">
        <v>0</v>
      </c>
      <c r="AF2318" s="4">
        <v>0</v>
      </c>
      <c r="AG2318" s="2">
        <v>1.99</v>
      </c>
      <c r="AH2318" s="2">
        <v>6074806</v>
      </c>
      <c r="AI2318" s="2">
        <v>0.01</v>
      </c>
      <c r="AJ2318" s="5">
        <v>44673</v>
      </c>
      <c r="AK2318" t="s">
        <v>12359</v>
      </c>
      <c r="AL2318" s="2">
        <v>0</v>
      </c>
      <c r="AM2318" s="2">
        <v>6.25</v>
      </c>
      <c r="AN2318" s="2">
        <v>2.63</v>
      </c>
      <c r="AO2318" t="s">
        <v>11054</v>
      </c>
      <c r="AP2318" t="s">
        <v>11814</v>
      </c>
      <c r="AQ2318" t="s">
        <v>11813</v>
      </c>
    </row>
    <row r="2319" spans="1:43" x14ac:dyDescent="0.2">
      <c r="A2319" t="s">
        <v>12358</v>
      </c>
      <c r="B2319" t="s">
        <v>10900</v>
      </c>
      <c r="C2319" t="s">
        <v>11033</v>
      </c>
      <c r="D2319" t="s">
        <v>11815</v>
      </c>
      <c r="E2319" t="s">
        <v>11816</v>
      </c>
      <c r="F2319" t="s">
        <v>11815</v>
      </c>
      <c r="G2319" s="1">
        <v>1600000</v>
      </c>
      <c r="H2319" s="2">
        <v>1599908.75</v>
      </c>
      <c r="I2319" s="2">
        <v>1599914.9</v>
      </c>
      <c r="J2319" s="2">
        <v>17818.7</v>
      </c>
      <c r="K2319" s="2">
        <v>0</v>
      </c>
      <c r="L2319" s="2">
        <v>1617733.6</v>
      </c>
      <c r="M2319" s="3">
        <v>6.1638650000000004</v>
      </c>
      <c r="N2319" s="4">
        <v>3.6805200000000001E-3</v>
      </c>
      <c r="O2319" s="5">
        <v>44697</v>
      </c>
      <c r="P2319" s="5">
        <v>45519</v>
      </c>
      <c r="Q2319" s="1">
        <v>6.0670000000000002</v>
      </c>
      <c r="R2319" s="2">
        <v>0.06</v>
      </c>
      <c r="S2319" s="6">
        <v>2.7386669091000002E-2</v>
      </c>
      <c r="T2319" t="s">
        <v>111</v>
      </c>
      <c r="U2319" t="s">
        <v>111</v>
      </c>
      <c r="V2319" t="s">
        <v>11189</v>
      </c>
      <c r="W2319" t="s">
        <v>43</v>
      </c>
      <c r="X2319" t="s">
        <v>11034</v>
      </c>
      <c r="Y2319" t="s">
        <v>44</v>
      </c>
      <c r="Z2319" t="s">
        <v>44</v>
      </c>
      <c r="AA2319" t="s">
        <v>11225</v>
      </c>
      <c r="AB2319" t="s">
        <v>44</v>
      </c>
      <c r="AC2319" s="4">
        <v>6.2588480500000001</v>
      </c>
      <c r="AD2319" s="4">
        <v>6.0861713799999997</v>
      </c>
      <c r="AE2319" s="2">
        <v>6.26</v>
      </c>
      <c r="AF2319" s="4">
        <v>6.0861713799999997</v>
      </c>
      <c r="AG2319" s="2">
        <v>0.53</v>
      </c>
      <c r="AH2319" s="2">
        <v>1617733.6</v>
      </c>
      <c r="AI2319" s="2">
        <v>0</v>
      </c>
      <c r="AJ2319" s="5">
        <v>44673</v>
      </c>
      <c r="AK2319" t="s">
        <v>12359</v>
      </c>
      <c r="AL2319" s="2">
        <v>6.16</v>
      </c>
      <c r="AM2319" s="2">
        <v>6.07</v>
      </c>
      <c r="AN2319" s="2">
        <v>0.03</v>
      </c>
      <c r="AO2319" t="s">
        <v>11817</v>
      </c>
      <c r="AP2319" t="s">
        <v>11818</v>
      </c>
      <c r="AQ2319" t="s">
        <v>11816</v>
      </c>
    </row>
    <row r="2320" spans="1:43" x14ac:dyDescent="0.2">
      <c r="A2320" t="s">
        <v>12358</v>
      </c>
      <c r="B2320" t="s">
        <v>10900</v>
      </c>
      <c r="C2320" t="s">
        <v>11033</v>
      </c>
      <c r="D2320" t="s">
        <v>11819</v>
      </c>
      <c r="E2320" t="s">
        <v>11820</v>
      </c>
      <c r="F2320" t="s">
        <v>11819</v>
      </c>
      <c r="G2320" s="1">
        <v>1600000</v>
      </c>
      <c r="H2320" s="2">
        <v>1599986.32</v>
      </c>
      <c r="I2320" s="2">
        <v>1601002.95</v>
      </c>
      <c r="J2320" s="2">
        <v>6629.79</v>
      </c>
      <c r="K2320" s="2">
        <v>0</v>
      </c>
      <c r="L2320" s="2">
        <v>1607632.74</v>
      </c>
      <c r="M2320" s="3">
        <v>5.6743709999999998</v>
      </c>
      <c r="N2320" s="4">
        <v>3.6575399999999999E-3</v>
      </c>
      <c r="O2320" s="5">
        <v>44739</v>
      </c>
      <c r="P2320" s="5">
        <v>45470</v>
      </c>
      <c r="Q2320" s="1">
        <v>5.8170000000000002</v>
      </c>
      <c r="R2320" s="2">
        <v>0.17</v>
      </c>
      <c r="S2320" s="6">
        <v>0.145695338009</v>
      </c>
      <c r="T2320" t="s">
        <v>111</v>
      </c>
      <c r="U2320" t="s">
        <v>111</v>
      </c>
      <c r="V2320" t="s">
        <v>11189</v>
      </c>
      <c r="W2320" t="s">
        <v>43</v>
      </c>
      <c r="X2320" t="s">
        <v>11034</v>
      </c>
      <c r="Y2320" t="s">
        <v>44</v>
      </c>
      <c r="Z2320" t="s">
        <v>44</v>
      </c>
      <c r="AA2320" t="s">
        <v>10913</v>
      </c>
      <c r="AB2320" t="s">
        <v>44</v>
      </c>
      <c r="AC2320" s="4">
        <v>5.7548670399999997</v>
      </c>
      <c r="AD2320" s="4">
        <v>5.6084308399999996</v>
      </c>
      <c r="AE2320" s="2">
        <v>5.75</v>
      </c>
      <c r="AF2320" s="4">
        <v>5.6084308399999996</v>
      </c>
      <c r="AG2320" s="2">
        <v>0.53</v>
      </c>
      <c r="AH2320" s="2">
        <v>1607632.74</v>
      </c>
      <c r="AI2320" s="2">
        <v>0</v>
      </c>
      <c r="AJ2320" s="5">
        <v>44673</v>
      </c>
      <c r="AK2320" t="s">
        <v>12359</v>
      </c>
      <c r="AL2320" s="2">
        <v>5.67</v>
      </c>
      <c r="AM2320" s="2">
        <v>5.82</v>
      </c>
      <c r="AN2320" s="2">
        <v>0.15</v>
      </c>
      <c r="AO2320" t="s">
        <v>11563</v>
      </c>
      <c r="AP2320" t="s">
        <v>11821</v>
      </c>
      <c r="AQ2320" t="s">
        <v>11820</v>
      </c>
    </row>
    <row r="2321" spans="1:43" x14ac:dyDescent="0.2">
      <c r="A2321" t="s">
        <v>12358</v>
      </c>
      <c r="B2321" t="s">
        <v>10900</v>
      </c>
      <c r="C2321" t="s">
        <v>11033</v>
      </c>
      <c r="D2321" t="s">
        <v>11822</v>
      </c>
      <c r="E2321" t="s">
        <v>11823</v>
      </c>
      <c r="F2321" t="s">
        <v>11822</v>
      </c>
      <c r="G2321" s="1">
        <v>1600000</v>
      </c>
      <c r="H2321" s="2">
        <v>1587808.16</v>
      </c>
      <c r="I2321" s="2">
        <v>1587630.31</v>
      </c>
      <c r="J2321" s="2">
        <v>17488.48</v>
      </c>
      <c r="K2321" s="2">
        <v>0</v>
      </c>
      <c r="L2321" s="2">
        <v>1605118.79</v>
      </c>
      <c r="M2321" s="3">
        <v>6.4745299999999997</v>
      </c>
      <c r="N2321" s="4">
        <v>3.6518200000000001E-3</v>
      </c>
      <c r="O2321" s="5">
        <v>44693</v>
      </c>
      <c r="P2321" s="5">
        <v>45242</v>
      </c>
      <c r="Q2321" s="1">
        <v>5.867</v>
      </c>
      <c r="R2321" s="2">
        <v>0.05</v>
      </c>
      <c r="S2321" s="6">
        <v>1.5942423563000001E-2</v>
      </c>
      <c r="T2321" t="s">
        <v>111</v>
      </c>
      <c r="U2321" t="s">
        <v>111</v>
      </c>
      <c r="V2321" t="s">
        <v>11189</v>
      </c>
      <c r="W2321" t="s">
        <v>43</v>
      </c>
      <c r="X2321" t="s">
        <v>11034</v>
      </c>
      <c r="Y2321" t="s">
        <v>44</v>
      </c>
      <c r="Z2321" t="s">
        <v>44</v>
      </c>
      <c r="AA2321" t="s">
        <v>10979</v>
      </c>
      <c r="AB2321" t="s">
        <v>44</v>
      </c>
      <c r="AC2321" s="4">
        <v>6.5793283799999998</v>
      </c>
      <c r="AD2321" s="4">
        <v>6.3888862499999997</v>
      </c>
      <c r="AE2321" s="2">
        <v>6.58</v>
      </c>
      <c r="AF2321" s="4">
        <v>6.3888862499999997</v>
      </c>
      <c r="AG2321" s="2">
        <v>0.53</v>
      </c>
      <c r="AH2321" s="2">
        <v>1605118.79</v>
      </c>
      <c r="AI2321" s="2">
        <v>0</v>
      </c>
      <c r="AJ2321" s="5">
        <v>44673</v>
      </c>
      <c r="AK2321" t="s">
        <v>12359</v>
      </c>
      <c r="AL2321" s="2">
        <v>6.47</v>
      </c>
      <c r="AM2321" s="2">
        <v>5.87</v>
      </c>
      <c r="AN2321" s="2">
        <v>0.02</v>
      </c>
      <c r="AO2321" t="s">
        <v>11824</v>
      </c>
      <c r="AP2321" t="s">
        <v>11825</v>
      </c>
      <c r="AQ2321" t="s">
        <v>11823</v>
      </c>
    </row>
    <row r="2322" spans="1:43" x14ac:dyDescent="0.2">
      <c r="A2322" t="s">
        <v>12358</v>
      </c>
      <c r="B2322" t="s">
        <v>10900</v>
      </c>
      <c r="C2322" t="s">
        <v>11033</v>
      </c>
      <c r="D2322" t="s">
        <v>11826</v>
      </c>
      <c r="E2322" t="s">
        <v>11827</v>
      </c>
      <c r="F2322" t="s">
        <v>11826</v>
      </c>
      <c r="G2322" s="1">
        <v>3900000</v>
      </c>
      <c r="H2322" s="2">
        <v>3857146.87</v>
      </c>
      <c r="I2322" s="2">
        <v>3873745.62</v>
      </c>
      <c r="J2322" s="2">
        <v>22856.36</v>
      </c>
      <c r="K2322" s="2">
        <v>0</v>
      </c>
      <c r="L2322" s="2">
        <v>3896601.98</v>
      </c>
      <c r="M2322" s="3">
        <v>6.1816829999999996</v>
      </c>
      <c r="N2322" s="4">
        <v>8.8651900000000002E-3</v>
      </c>
      <c r="O2322" s="5">
        <v>44732</v>
      </c>
      <c r="P2322" s="5">
        <v>45644</v>
      </c>
      <c r="Q2322" s="1">
        <v>5.9420000000000002</v>
      </c>
      <c r="R2322" s="2">
        <v>0.15</v>
      </c>
      <c r="S2322" s="6">
        <v>0.106811678077</v>
      </c>
      <c r="T2322" t="s">
        <v>111</v>
      </c>
      <c r="U2322" t="s">
        <v>111</v>
      </c>
      <c r="V2322" t="s">
        <v>11189</v>
      </c>
      <c r="W2322" t="s">
        <v>43</v>
      </c>
      <c r="X2322" t="s">
        <v>11034</v>
      </c>
      <c r="Y2322" t="s">
        <v>44</v>
      </c>
      <c r="Z2322" t="s">
        <v>44</v>
      </c>
      <c r="AA2322" t="s">
        <v>10979</v>
      </c>
      <c r="AB2322" t="s">
        <v>44</v>
      </c>
      <c r="AC2322" s="4">
        <v>6.2772158899999999</v>
      </c>
      <c r="AD2322" s="4">
        <v>6.10354361</v>
      </c>
      <c r="AE2322" s="2">
        <v>6.28</v>
      </c>
      <c r="AF2322" s="4">
        <v>6.10354361</v>
      </c>
      <c r="AG2322" s="2">
        <v>1.28</v>
      </c>
      <c r="AH2322" s="2">
        <v>3896601.98</v>
      </c>
      <c r="AI2322" s="2">
        <v>0.01</v>
      </c>
      <c r="AJ2322" s="5">
        <v>44673</v>
      </c>
      <c r="AK2322" t="s">
        <v>12359</v>
      </c>
      <c r="AL2322" s="2">
        <v>6.18</v>
      </c>
      <c r="AM2322" s="2">
        <v>5.94</v>
      </c>
      <c r="AN2322" s="2">
        <v>0.11</v>
      </c>
      <c r="AO2322" t="s">
        <v>11824</v>
      </c>
      <c r="AP2322" t="s">
        <v>11828</v>
      </c>
      <c r="AQ2322" t="s">
        <v>11827</v>
      </c>
    </row>
    <row r="2323" spans="1:43" x14ac:dyDescent="0.2">
      <c r="A2323" t="s">
        <v>12358</v>
      </c>
      <c r="B2323" t="s">
        <v>10900</v>
      </c>
      <c r="C2323" t="s">
        <v>11033</v>
      </c>
      <c r="D2323" t="s">
        <v>12841</v>
      </c>
      <c r="E2323" t="s">
        <v>12842</v>
      </c>
      <c r="F2323" t="s">
        <v>12841</v>
      </c>
      <c r="G2323" s="1">
        <v>3000000</v>
      </c>
      <c r="H2323" s="2">
        <v>3000156.21</v>
      </c>
      <c r="I2323" s="2">
        <v>3000077.83</v>
      </c>
      <c r="J2323" s="2">
        <v>12017.1</v>
      </c>
      <c r="K2323" s="2">
        <v>0</v>
      </c>
      <c r="L2323" s="2">
        <v>3012094.93</v>
      </c>
      <c r="M2323" s="3">
        <v>5.8547310000000001</v>
      </c>
      <c r="N2323" s="4">
        <v>6.8528399999999998E-3</v>
      </c>
      <c r="O2323" s="5">
        <v>44679</v>
      </c>
      <c r="P2323" s="5">
        <v>45044</v>
      </c>
      <c r="Q2323" s="1">
        <v>6.0919999999999996</v>
      </c>
      <c r="R2323" s="2">
        <v>0.01</v>
      </c>
      <c r="S2323" s="6">
        <v>-3.847892072E-3</v>
      </c>
      <c r="T2323" t="s">
        <v>111</v>
      </c>
      <c r="U2323" t="s">
        <v>111</v>
      </c>
      <c r="V2323" t="s">
        <v>114</v>
      </c>
      <c r="W2323" t="s">
        <v>43</v>
      </c>
      <c r="X2323" t="s">
        <v>44</v>
      </c>
      <c r="Y2323" t="s">
        <v>44</v>
      </c>
      <c r="Z2323" t="s">
        <v>44</v>
      </c>
      <c r="AA2323" t="s">
        <v>10979</v>
      </c>
      <c r="AB2323" t="s">
        <v>44</v>
      </c>
      <c r="AC2323" s="4">
        <v>5.9404258900000002</v>
      </c>
      <c r="AD2323" s="4">
        <v>5.7845705699999996</v>
      </c>
      <c r="AE2323" s="2">
        <v>5.94</v>
      </c>
      <c r="AF2323" s="4">
        <v>5.7845705699999996</v>
      </c>
      <c r="AG2323" s="2">
        <v>0.99</v>
      </c>
      <c r="AH2323" s="2">
        <v>3012094.93</v>
      </c>
      <c r="AI2323" s="2">
        <v>0.01</v>
      </c>
      <c r="AJ2323" s="5">
        <v>44673</v>
      </c>
      <c r="AK2323" t="s">
        <v>12359</v>
      </c>
      <c r="AL2323" s="2">
        <v>5.85</v>
      </c>
      <c r="AM2323" s="2">
        <v>6.09</v>
      </c>
      <c r="AN2323" s="2">
        <v>0</v>
      </c>
      <c r="AO2323" t="s">
        <v>11165</v>
      </c>
      <c r="AP2323" t="s">
        <v>12843</v>
      </c>
      <c r="AQ2323" t="s">
        <v>12842</v>
      </c>
    </row>
    <row r="2324" spans="1:43" x14ac:dyDescent="0.2">
      <c r="A2324" t="s">
        <v>12358</v>
      </c>
      <c r="B2324" t="s">
        <v>10900</v>
      </c>
      <c r="C2324" t="s">
        <v>11033</v>
      </c>
      <c r="D2324" t="s">
        <v>11525</v>
      </c>
      <c r="E2324" t="s">
        <v>11526</v>
      </c>
      <c r="F2324" t="s">
        <v>11525</v>
      </c>
      <c r="G2324" s="1">
        <v>2400000</v>
      </c>
      <c r="H2324" s="2">
        <v>2404232.44</v>
      </c>
      <c r="I2324" s="2">
        <v>2404408.7400000002</v>
      </c>
      <c r="J2324" s="2">
        <v>3777.33</v>
      </c>
      <c r="K2324" s="2">
        <v>0</v>
      </c>
      <c r="L2324" s="2">
        <v>2408186.0699999998</v>
      </c>
      <c r="M2324" s="3">
        <v>6.20838</v>
      </c>
      <c r="N2324" s="4">
        <v>5.4788800000000002E-3</v>
      </c>
      <c r="O2324" s="5">
        <v>44756</v>
      </c>
      <c r="P2324" s="5">
        <v>45396</v>
      </c>
      <c r="Q2324" s="1">
        <v>6.383</v>
      </c>
      <c r="R2324" s="2">
        <v>0.22</v>
      </c>
      <c r="S2324" s="6">
        <v>0.18643150391999999</v>
      </c>
      <c r="T2324" t="s">
        <v>111</v>
      </c>
      <c r="U2324" t="s">
        <v>111</v>
      </c>
      <c r="V2324" t="s">
        <v>11189</v>
      </c>
      <c r="W2324" t="s">
        <v>43</v>
      </c>
      <c r="X2324" t="s">
        <v>11034</v>
      </c>
      <c r="Y2324" t="s">
        <v>44</v>
      </c>
      <c r="Z2324" t="s">
        <v>44</v>
      </c>
      <c r="AA2324" t="s">
        <v>44</v>
      </c>
      <c r="AB2324" t="s">
        <v>44</v>
      </c>
      <c r="AC2324" s="4">
        <v>6.30473952</v>
      </c>
      <c r="AD2324" s="4">
        <v>6.1295701999999999</v>
      </c>
      <c r="AE2324" s="2">
        <v>6.3</v>
      </c>
      <c r="AF2324" s="4">
        <v>6.1295701999999999</v>
      </c>
      <c r="AG2324" s="2">
        <v>0.79</v>
      </c>
      <c r="AH2324" s="2">
        <v>2408186.0699999998</v>
      </c>
      <c r="AI2324" s="2">
        <v>0.01</v>
      </c>
      <c r="AJ2324" s="5">
        <v>44673</v>
      </c>
      <c r="AK2324" t="s">
        <v>12359</v>
      </c>
      <c r="AL2324" s="2">
        <v>6.21</v>
      </c>
      <c r="AM2324" s="2">
        <v>6.38</v>
      </c>
      <c r="AN2324" s="2">
        <v>0.19</v>
      </c>
      <c r="AO2324" t="s">
        <v>11527</v>
      </c>
      <c r="AP2324" t="s">
        <v>11528</v>
      </c>
      <c r="AQ2324" t="s">
        <v>11526</v>
      </c>
    </row>
    <row r="2325" spans="1:43" x14ac:dyDescent="0.2">
      <c r="A2325" t="s">
        <v>12358</v>
      </c>
      <c r="B2325" t="s">
        <v>10900</v>
      </c>
      <c r="C2325" t="s">
        <v>11033</v>
      </c>
      <c r="D2325" t="s">
        <v>11829</v>
      </c>
      <c r="E2325" t="s">
        <v>11830</v>
      </c>
      <c r="F2325" t="s">
        <v>11829</v>
      </c>
      <c r="G2325" s="1">
        <v>1600000</v>
      </c>
      <c r="H2325" s="2">
        <v>1599695.05</v>
      </c>
      <c r="I2325" s="2">
        <v>1599795.8</v>
      </c>
      <c r="J2325" s="2">
        <v>12190.64</v>
      </c>
      <c r="K2325" s="2">
        <v>0</v>
      </c>
      <c r="L2325" s="2">
        <v>1611986.44</v>
      </c>
      <c r="M2325" s="3">
        <v>5.9678570000000004</v>
      </c>
      <c r="N2325" s="4">
        <v>3.6674400000000001E-3</v>
      </c>
      <c r="O2325" s="5">
        <v>44719</v>
      </c>
      <c r="P2325" s="5">
        <v>45723</v>
      </c>
      <c r="Q2325" s="1">
        <v>5.9169999999999998</v>
      </c>
      <c r="R2325" s="2">
        <v>0.12</v>
      </c>
      <c r="S2325" s="6">
        <v>8.2443218371999999E-2</v>
      </c>
      <c r="T2325" t="s">
        <v>111</v>
      </c>
      <c r="U2325" t="s">
        <v>111</v>
      </c>
      <c r="V2325" t="s">
        <v>11189</v>
      </c>
      <c r="W2325" t="s">
        <v>43</v>
      </c>
      <c r="X2325" t="s">
        <v>11034</v>
      </c>
      <c r="Y2325" t="s">
        <v>44</v>
      </c>
      <c r="Z2325" t="s">
        <v>44</v>
      </c>
      <c r="AA2325" t="s">
        <v>11035</v>
      </c>
      <c r="AB2325" t="s">
        <v>44</v>
      </c>
      <c r="AC2325" s="4">
        <v>6.0568952400000002</v>
      </c>
      <c r="AD2325" s="4">
        <v>5.8949834299999999</v>
      </c>
      <c r="AE2325" s="2">
        <v>6.06</v>
      </c>
      <c r="AF2325" s="4">
        <v>5.8949834299999999</v>
      </c>
      <c r="AG2325" s="2">
        <v>0.53</v>
      </c>
      <c r="AH2325" s="2">
        <v>1611986.44</v>
      </c>
      <c r="AI2325" s="2">
        <v>0</v>
      </c>
      <c r="AJ2325" s="5">
        <v>44673</v>
      </c>
      <c r="AK2325" t="s">
        <v>12359</v>
      </c>
      <c r="AL2325" s="2">
        <v>5.97</v>
      </c>
      <c r="AM2325" s="2">
        <v>5.92</v>
      </c>
      <c r="AN2325" s="2">
        <v>0.08</v>
      </c>
      <c r="AO2325" t="s">
        <v>11437</v>
      </c>
      <c r="AP2325" t="s">
        <v>11831</v>
      </c>
      <c r="AQ2325" t="s">
        <v>11830</v>
      </c>
    </row>
    <row r="2326" spans="1:43" x14ac:dyDescent="0.2">
      <c r="A2326" t="s">
        <v>12358</v>
      </c>
      <c r="B2326" t="s">
        <v>10900</v>
      </c>
      <c r="C2326" t="s">
        <v>11033</v>
      </c>
      <c r="D2326" t="s">
        <v>12982</v>
      </c>
      <c r="E2326" t="s">
        <v>12983</v>
      </c>
      <c r="F2326" t="s">
        <v>12982</v>
      </c>
      <c r="G2326" s="1">
        <v>1600000</v>
      </c>
      <c r="H2326" s="2">
        <v>1600000</v>
      </c>
      <c r="I2326" s="2">
        <v>1667753.24</v>
      </c>
      <c r="J2326" s="2">
        <v>20531.240000000002</v>
      </c>
      <c r="K2326" s="2">
        <v>0</v>
      </c>
      <c r="L2326" s="2">
        <v>1688284.48</v>
      </c>
      <c r="M2326" s="3">
        <v>6.0747210000000003</v>
      </c>
      <c r="N2326" s="4">
        <v>3.8410300000000001E-3</v>
      </c>
      <c r="O2326" s="5">
        <v>44706</v>
      </c>
      <c r="P2326" s="5">
        <v>45439</v>
      </c>
      <c r="Q2326" s="1">
        <v>8.2170000000000005</v>
      </c>
      <c r="R2326" s="2">
        <v>0.08</v>
      </c>
      <c r="S2326" s="6">
        <v>9.4979191527000004E-2</v>
      </c>
      <c r="T2326" t="s">
        <v>111</v>
      </c>
      <c r="U2326" t="s">
        <v>111</v>
      </c>
      <c r="V2326" t="s">
        <v>11189</v>
      </c>
      <c r="W2326" t="s">
        <v>43</v>
      </c>
      <c r="X2326" t="s">
        <v>11034</v>
      </c>
      <c r="Y2326" t="s">
        <v>44</v>
      </c>
      <c r="Z2326" t="s">
        <v>44</v>
      </c>
      <c r="AA2326" t="s">
        <v>44</v>
      </c>
      <c r="AB2326" t="s">
        <v>44</v>
      </c>
      <c r="AC2326" s="4">
        <v>6.1669761000000003</v>
      </c>
      <c r="AD2326" s="4">
        <v>5.9992378899999999</v>
      </c>
      <c r="AE2326" s="2">
        <v>6.17</v>
      </c>
      <c r="AF2326" s="4">
        <v>5.9992378899999999</v>
      </c>
      <c r="AG2326" s="2">
        <v>0.55000000000000004</v>
      </c>
      <c r="AH2326" s="2">
        <v>1688284.48</v>
      </c>
      <c r="AI2326" s="2">
        <v>0</v>
      </c>
      <c r="AJ2326" s="5">
        <v>44673</v>
      </c>
      <c r="AK2326" t="s">
        <v>12359</v>
      </c>
      <c r="AL2326" s="2">
        <v>6.07</v>
      </c>
      <c r="AM2326" s="2">
        <v>8.2200000000000006</v>
      </c>
      <c r="AN2326" s="2">
        <v>0.09</v>
      </c>
      <c r="AO2326" t="s">
        <v>12984</v>
      </c>
      <c r="AP2326" t="s">
        <v>12985</v>
      </c>
      <c r="AQ2326" t="s">
        <v>12983</v>
      </c>
    </row>
    <row r="2327" spans="1:43" x14ac:dyDescent="0.2">
      <c r="A2327" t="s">
        <v>12358</v>
      </c>
      <c r="B2327" t="s">
        <v>10900</v>
      </c>
      <c r="C2327" t="s">
        <v>11033</v>
      </c>
      <c r="D2327" t="s">
        <v>11838</v>
      </c>
      <c r="E2327" t="s">
        <v>11839</v>
      </c>
      <c r="F2327" t="s">
        <v>11838</v>
      </c>
      <c r="G2327" s="1">
        <v>2400000</v>
      </c>
      <c r="H2327" s="2">
        <v>2399905.7000000002</v>
      </c>
      <c r="I2327" s="2">
        <v>2400048.2200000002</v>
      </c>
      <c r="J2327" s="2">
        <v>9923.84</v>
      </c>
      <c r="K2327" s="2">
        <v>0</v>
      </c>
      <c r="L2327" s="2">
        <v>2409972.06</v>
      </c>
      <c r="M2327" s="3">
        <v>5.9270630000000004</v>
      </c>
      <c r="N2327" s="4">
        <v>5.4829500000000003E-3</v>
      </c>
      <c r="O2327" s="5">
        <v>44741</v>
      </c>
      <c r="P2327" s="5">
        <v>45380</v>
      </c>
      <c r="Q2327" s="1">
        <v>6.0369999999999999</v>
      </c>
      <c r="R2327" s="2">
        <v>0.18</v>
      </c>
      <c r="S2327" s="6">
        <v>0.14918711395799999</v>
      </c>
      <c r="T2327" t="s">
        <v>111</v>
      </c>
      <c r="U2327" t="s">
        <v>111</v>
      </c>
      <c r="V2327" t="s">
        <v>11189</v>
      </c>
      <c r="W2327" t="s">
        <v>43</v>
      </c>
      <c r="X2327" t="s">
        <v>11840</v>
      </c>
      <c r="Y2327" t="s">
        <v>44</v>
      </c>
      <c r="Z2327" t="s">
        <v>44</v>
      </c>
      <c r="AA2327" t="s">
        <v>10979</v>
      </c>
      <c r="AB2327" t="s">
        <v>44</v>
      </c>
      <c r="AC2327" s="4">
        <v>6.0148877399999998</v>
      </c>
      <c r="AD2327" s="4">
        <v>5.8551731699999996</v>
      </c>
      <c r="AE2327" s="2">
        <v>6.01</v>
      </c>
      <c r="AF2327" s="4">
        <v>5.8551731699999996</v>
      </c>
      <c r="AG2327" s="2">
        <v>0.79</v>
      </c>
      <c r="AH2327" s="2">
        <v>2409972.06</v>
      </c>
      <c r="AI2327" s="2">
        <v>0.01</v>
      </c>
      <c r="AJ2327" s="5">
        <v>44673</v>
      </c>
      <c r="AK2327" t="s">
        <v>12359</v>
      </c>
      <c r="AL2327" s="2">
        <v>5.93</v>
      </c>
      <c r="AM2327" s="2">
        <v>6.04</v>
      </c>
      <c r="AN2327" s="2">
        <v>0.15</v>
      </c>
      <c r="AO2327" t="s">
        <v>11841</v>
      </c>
      <c r="AP2327" t="s">
        <v>11842</v>
      </c>
      <c r="AQ2327" t="s">
        <v>11839</v>
      </c>
    </row>
    <row r="2328" spans="1:43" x14ac:dyDescent="0.2">
      <c r="A2328" t="s">
        <v>12358</v>
      </c>
      <c r="B2328" t="s">
        <v>10900</v>
      </c>
      <c r="C2328" t="s">
        <v>11033</v>
      </c>
      <c r="D2328" t="s">
        <v>11843</v>
      </c>
      <c r="E2328" t="s">
        <v>11844</v>
      </c>
      <c r="F2328" t="s">
        <v>11843</v>
      </c>
      <c r="G2328" s="1">
        <v>9800000</v>
      </c>
      <c r="H2328" s="2">
        <v>9751401.1699999999</v>
      </c>
      <c r="I2328" s="2">
        <v>9755788.5399999991</v>
      </c>
      <c r="J2328" s="2">
        <v>-34528.25</v>
      </c>
      <c r="K2328" s="2">
        <v>0</v>
      </c>
      <c r="L2328" s="2">
        <v>9721260.2899999991</v>
      </c>
      <c r="M2328" s="3">
        <v>6.9820180000000001</v>
      </c>
      <c r="N2328" s="4">
        <v>2.211691E-2</v>
      </c>
      <c r="O2328" s="5">
        <v>44760</v>
      </c>
      <c r="P2328" s="5">
        <v>45398</v>
      </c>
      <c r="Q2328" s="1">
        <v>6.7830000000000004</v>
      </c>
      <c r="R2328" s="2">
        <v>0.23</v>
      </c>
      <c r="S2328" s="6">
        <v>0.182016060841</v>
      </c>
      <c r="T2328" t="s">
        <v>111</v>
      </c>
      <c r="U2328" t="s">
        <v>111</v>
      </c>
      <c r="V2328" t="s">
        <v>11189</v>
      </c>
      <c r="W2328" t="s">
        <v>43</v>
      </c>
      <c r="X2328" t="s">
        <v>11034</v>
      </c>
      <c r="Y2328" t="s">
        <v>44</v>
      </c>
      <c r="Z2328" t="s">
        <v>44</v>
      </c>
      <c r="AA2328" t="s">
        <v>10979</v>
      </c>
      <c r="AB2328" t="s">
        <v>44</v>
      </c>
      <c r="AC2328" s="4">
        <v>7.1038890300000004</v>
      </c>
      <c r="AD2328" s="4">
        <v>6.8825725699999998</v>
      </c>
      <c r="AE2328" s="2">
        <v>7.1</v>
      </c>
      <c r="AF2328" s="4">
        <v>6.8825725699999998</v>
      </c>
      <c r="AG2328" s="2">
        <v>3.18</v>
      </c>
      <c r="AH2328" s="2">
        <v>9721260.2899999991</v>
      </c>
      <c r="AI2328" s="2">
        <v>0.02</v>
      </c>
      <c r="AJ2328" s="5">
        <v>44673</v>
      </c>
      <c r="AK2328" t="s">
        <v>12359</v>
      </c>
      <c r="AL2328" s="2">
        <v>6.98</v>
      </c>
      <c r="AM2328" s="2">
        <v>6.78</v>
      </c>
      <c r="AN2328" s="2">
        <v>0.18</v>
      </c>
      <c r="AO2328" t="s">
        <v>11179</v>
      </c>
      <c r="AP2328" t="s">
        <v>11845</v>
      </c>
      <c r="AQ2328" t="s">
        <v>11844</v>
      </c>
    </row>
    <row r="2329" spans="1:43" x14ac:dyDescent="0.2">
      <c r="A2329" t="s">
        <v>12358</v>
      </c>
      <c r="B2329" t="s">
        <v>10900</v>
      </c>
      <c r="C2329" t="s">
        <v>10943</v>
      </c>
      <c r="D2329" t="s">
        <v>11552</v>
      </c>
      <c r="E2329" t="s">
        <v>11553</v>
      </c>
      <c r="F2329" t="s">
        <v>11552</v>
      </c>
      <c r="G2329" s="1">
        <v>400000</v>
      </c>
      <c r="H2329" s="2">
        <v>399958.16</v>
      </c>
      <c r="I2329" s="2">
        <v>400001.37</v>
      </c>
      <c r="J2329" s="2">
        <v>5075.46</v>
      </c>
      <c r="K2329" s="2">
        <v>0</v>
      </c>
      <c r="L2329" s="2">
        <v>405076.83</v>
      </c>
      <c r="M2329" s="3">
        <v>5.7189139999999998</v>
      </c>
      <c r="N2329" s="4">
        <v>9.2159000000000002E-4</v>
      </c>
      <c r="O2329" s="5">
        <v>44684</v>
      </c>
      <c r="P2329" s="5">
        <v>46418</v>
      </c>
      <c r="Q2329" s="1">
        <v>5.6479999999999997</v>
      </c>
      <c r="R2329" s="2">
        <v>0.02</v>
      </c>
      <c r="S2329" s="6">
        <v>-2.0490922419E-2</v>
      </c>
      <c r="T2329" t="s">
        <v>111</v>
      </c>
      <c r="U2329" t="s">
        <v>111</v>
      </c>
      <c r="V2329" t="s">
        <v>11189</v>
      </c>
      <c r="W2329" t="s">
        <v>43</v>
      </c>
      <c r="X2329" t="s">
        <v>11034</v>
      </c>
      <c r="Y2329" t="s">
        <v>44</v>
      </c>
      <c r="Z2329" t="s">
        <v>44</v>
      </c>
      <c r="AA2329" t="s">
        <v>10979</v>
      </c>
      <c r="AB2329" t="s">
        <v>44</v>
      </c>
      <c r="AC2329" s="4">
        <v>5.8006784400000004</v>
      </c>
      <c r="AD2329" s="4">
        <v>5.6519431300000003</v>
      </c>
      <c r="AE2329" s="2">
        <v>5.8</v>
      </c>
      <c r="AF2329" s="4">
        <v>5.6519431300000003</v>
      </c>
      <c r="AG2329" s="2">
        <v>0.13</v>
      </c>
      <c r="AH2329" s="2">
        <v>405076.83</v>
      </c>
      <c r="AI2329" s="2">
        <v>0</v>
      </c>
      <c r="AJ2329" s="5">
        <v>44673</v>
      </c>
      <c r="AK2329" t="s">
        <v>12359</v>
      </c>
      <c r="AL2329" s="2">
        <v>5.72</v>
      </c>
      <c r="AM2329" s="2">
        <v>5.65</v>
      </c>
      <c r="AN2329" s="2">
        <v>-0.02</v>
      </c>
      <c r="AO2329" t="s">
        <v>11048</v>
      </c>
      <c r="AP2329" t="s">
        <v>11554</v>
      </c>
      <c r="AQ2329" t="s">
        <v>11553</v>
      </c>
    </row>
    <row r="2330" spans="1:43" x14ac:dyDescent="0.2">
      <c r="A2330" t="s">
        <v>12358</v>
      </c>
      <c r="B2330" t="s">
        <v>10900</v>
      </c>
      <c r="C2330" t="s">
        <v>10943</v>
      </c>
      <c r="D2330" t="s">
        <v>11555</v>
      </c>
      <c r="E2330" t="s">
        <v>11556</v>
      </c>
      <c r="F2330" t="s">
        <v>11555</v>
      </c>
      <c r="G2330" s="1">
        <v>3200000</v>
      </c>
      <c r="H2330" s="2">
        <v>3131302.44</v>
      </c>
      <c r="I2330" s="2">
        <v>3138780.8</v>
      </c>
      <c r="J2330" s="2">
        <v>66033.97</v>
      </c>
      <c r="K2330" s="2">
        <v>0</v>
      </c>
      <c r="L2330" s="2">
        <v>3204814.77</v>
      </c>
      <c r="M2330" s="3">
        <v>9.9250000000000007</v>
      </c>
      <c r="N2330" s="4">
        <v>7.2912999999999997E-3</v>
      </c>
      <c r="O2330" s="5">
        <v>44775</v>
      </c>
      <c r="P2330" s="5">
        <v>46420</v>
      </c>
      <c r="Q2330" s="1">
        <v>9.4149999999999991</v>
      </c>
      <c r="R2330" s="2">
        <v>3.86</v>
      </c>
      <c r="S2330" s="6">
        <v>3.6810259830000001</v>
      </c>
      <c r="T2330" t="s">
        <v>111</v>
      </c>
      <c r="U2330" t="s">
        <v>111</v>
      </c>
      <c r="V2330" t="s">
        <v>10944</v>
      </c>
      <c r="W2330" t="s">
        <v>43</v>
      </c>
      <c r="X2330" t="s">
        <v>44</v>
      </c>
      <c r="Y2330" t="s">
        <v>44</v>
      </c>
      <c r="Z2330" t="s">
        <v>44</v>
      </c>
      <c r="AA2330" t="s">
        <v>10979</v>
      </c>
      <c r="AB2330" t="s">
        <v>44</v>
      </c>
      <c r="AC2330" s="4">
        <v>10.17126406</v>
      </c>
      <c r="AD2330" s="4">
        <v>9.72579277</v>
      </c>
      <c r="AE2330" s="2">
        <v>10.17</v>
      </c>
      <c r="AF2330" s="4">
        <v>9.72579277</v>
      </c>
      <c r="AG2330" s="2">
        <v>1.05</v>
      </c>
      <c r="AH2330" s="2">
        <v>3204814.77</v>
      </c>
      <c r="AI2330" s="2">
        <v>0.01</v>
      </c>
      <c r="AJ2330" s="5">
        <v>44673</v>
      </c>
      <c r="AK2330" t="s">
        <v>12359</v>
      </c>
      <c r="AL2330" s="2">
        <v>9.93</v>
      </c>
      <c r="AM2330" s="2">
        <v>9.41</v>
      </c>
      <c r="AN2330" s="2">
        <v>3.68</v>
      </c>
      <c r="AO2330" t="s">
        <v>11048</v>
      </c>
      <c r="AP2330" t="s">
        <v>11557</v>
      </c>
      <c r="AQ2330" t="s">
        <v>11556</v>
      </c>
    </row>
    <row r="2331" spans="1:43" x14ac:dyDescent="0.2">
      <c r="A2331" t="s">
        <v>12358</v>
      </c>
      <c r="B2331" t="s">
        <v>10900</v>
      </c>
      <c r="C2331" t="s">
        <v>10943</v>
      </c>
      <c r="D2331" t="s">
        <v>11846</v>
      </c>
      <c r="E2331" t="s">
        <v>11847</v>
      </c>
      <c r="F2331" t="s">
        <v>11846</v>
      </c>
      <c r="G2331" s="1">
        <v>300000</v>
      </c>
      <c r="H2331" s="2">
        <v>315193.64</v>
      </c>
      <c r="I2331" s="2">
        <v>315089.90999999997</v>
      </c>
      <c r="J2331" s="2">
        <v>11809.23</v>
      </c>
      <c r="K2331" s="2">
        <v>0</v>
      </c>
      <c r="L2331" s="2">
        <v>326899.14</v>
      </c>
      <c r="M2331" s="3">
        <v>8.7050000000000001</v>
      </c>
      <c r="N2331" s="4">
        <v>7.4372999999999996E-4</v>
      </c>
      <c r="O2331" s="5">
        <v>44715</v>
      </c>
      <c r="P2331" s="5">
        <v>46176</v>
      </c>
      <c r="Q2331" s="1">
        <v>10.19</v>
      </c>
      <c r="R2331" s="2">
        <v>3.35</v>
      </c>
      <c r="S2331" s="6">
        <v>3.210117125</v>
      </c>
      <c r="T2331" t="s">
        <v>111</v>
      </c>
      <c r="U2331" t="s">
        <v>111</v>
      </c>
      <c r="V2331" t="s">
        <v>10944</v>
      </c>
      <c r="W2331" t="s">
        <v>43</v>
      </c>
      <c r="X2331" t="s">
        <v>44</v>
      </c>
      <c r="Y2331" t="s">
        <v>44</v>
      </c>
      <c r="Z2331" t="s">
        <v>44</v>
      </c>
      <c r="AA2331" t="s">
        <v>10979</v>
      </c>
      <c r="AB2331" t="s">
        <v>44</v>
      </c>
      <c r="AC2331" s="4">
        <v>8.8944425599999999</v>
      </c>
      <c r="AD2331" s="4">
        <v>8.5512049999999995</v>
      </c>
      <c r="AE2331" s="2">
        <v>8.89</v>
      </c>
      <c r="AF2331" s="4">
        <v>8.5512049999999995</v>
      </c>
      <c r="AG2331" s="2">
        <v>0.11</v>
      </c>
      <c r="AH2331" s="2">
        <v>326899.14</v>
      </c>
      <c r="AI2331" s="2">
        <v>0</v>
      </c>
      <c r="AJ2331" s="5">
        <v>44673</v>
      </c>
      <c r="AK2331" t="s">
        <v>12359</v>
      </c>
      <c r="AL2331" s="2">
        <v>8.7100000000000009</v>
      </c>
      <c r="AM2331" s="2">
        <v>10.19</v>
      </c>
      <c r="AN2331" s="2">
        <v>3.21</v>
      </c>
      <c r="AO2331" t="s">
        <v>11054</v>
      </c>
      <c r="AP2331" t="s">
        <v>11848</v>
      </c>
      <c r="AQ2331" t="s">
        <v>11847</v>
      </c>
    </row>
    <row r="2332" spans="1:43" x14ac:dyDescent="0.2">
      <c r="A2332" t="s">
        <v>12358</v>
      </c>
      <c r="B2332" t="s">
        <v>10900</v>
      </c>
      <c r="C2332" t="s">
        <v>10943</v>
      </c>
      <c r="D2332" t="s">
        <v>11849</v>
      </c>
      <c r="E2332" t="s">
        <v>11850</v>
      </c>
      <c r="F2332" t="s">
        <v>11849</v>
      </c>
      <c r="G2332" s="1">
        <v>100000</v>
      </c>
      <c r="H2332" s="2">
        <v>104631.52</v>
      </c>
      <c r="I2332" s="2">
        <v>104158.75</v>
      </c>
      <c r="J2332" s="2">
        <v>572.6</v>
      </c>
      <c r="K2332" s="2">
        <v>0</v>
      </c>
      <c r="L2332" s="2">
        <v>104731.35</v>
      </c>
      <c r="M2332" s="3">
        <v>8.3550000000000004</v>
      </c>
      <c r="N2332" s="4">
        <v>2.3828E-4</v>
      </c>
      <c r="O2332" s="5">
        <v>44837</v>
      </c>
      <c r="P2332" s="5">
        <v>46296</v>
      </c>
      <c r="Q2332" s="1">
        <v>9.5</v>
      </c>
      <c r="R2332" s="2">
        <v>3.72</v>
      </c>
      <c r="S2332" s="6">
        <v>3.5673572199999999</v>
      </c>
      <c r="T2332" t="s">
        <v>111</v>
      </c>
      <c r="U2332" t="s">
        <v>111</v>
      </c>
      <c r="V2332" t="s">
        <v>10944</v>
      </c>
      <c r="W2332" t="s">
        <v>43</v>
      </c>
      <c r="X2332" t="s">
        <v>10988</v>
      </c>
      <c r="Y2332" t="s">
        <v>44</v>
      </c>
      <c r="Z2332" t="s">
        <v>44</v>
      </c>
      <c r="AA2332" t="s">
        <v>10979</v>
      </c>
      <c r="AB2332" t="s">
        <v>44</v>
      </c>
      <c r="AC2332" s="4">
        <v>8.5295150599999996</v>
      </c>
      <c r="AD2332" s="4">
        <v>8.2131770100000008</v>
      </c>
      <c r="AE2332" s="2">
        <v>8.5299999999999994</v>
      </c>
      <c r="AF2332" s="4">
        <v>8.2131770100000008</v>
      </c>
      <c r="AG2332" s="2">
        <v>0.03</v>
      </c>
      <c r="AH2332" s="2">
        <v>104731.35</v>
      </c>
      <c r="AI2332" s="2">
        <v>0</v>
      </c>
      <c r="AJ2332" s="5">
        <v>44673</v>
      </c>
      <c r="AK2332" t="s">
        <v>12359</v>
      </c>
      <c r="AL2332" s="2">
        <v>8.35</v>
      </c>
      <c r="AM2332" s="2">
        <v>9.5</v>
      </c>
      <c r="AN2332" s="2">
        <v>3.57</v>
      </c>
      <c r="AO2332" t="s">
        <v>11054</v>
      </c>
      <c r="AP2332" t="s">
        <v>11851</v>
      </c>
      <c r="AQ2332" t="s">
        <v>11850</v>
      </c>
    </row>
    <row r="2333" spans="1:43" x14ac:dyDescent="0.2">
      <c r="A2333" t="s">
        <v>12358</v>
      </c>
      <c r="B2333" t="s">
        <v>10900</v>
      </c>
      <c r="C2333" t="s">
        <v>10943</v>
      </c>
      <c r="D2333" t="s">
        <v>11558</v>
      </c>
      <c r="E2333" t="s">
        <v>11559</v>
      </c>
      <c r="F2333" t="s">
        <v>11558</v>
      </c>
      <c r="G2333" s="1">
        <v>2700000</v>
      </c>
      <c r="H2333" s="2">
        <v>2653259.14</v>
      </c>
      <c r="I2333" s="2">
        <v>2657888.91</v>
      </c>
      <c r="J2333" s="2">
        <v>-26129.51</v>
      </c>
      <c r="K2333" s="2">
        <v>0</v>
      </c>
      <c r="L2333" s="2">
        <v>2631759.4</v>
      </c>
      <c r="M2333" s="3">
        <v>8.625</v>
      </c>
      <c r="N2333" s="4">
        <v>5.9875400000000004E-3</v>
      </c>
      <c r="O2333" s="5">
        <v>44853</v>
      </c>
      <c r="P2333" s="5">
        <v>46131</v>
      </c>
      <c r="Q2333" s="1">
        <v>8.1549999999999994</v>
      </c>
      <c r="R2333" s="2">
        <v>3.47</v>
      </c>
      <c r="S2333" s="6">
        <v>3.327828963</v>
      </c>
      <c r="T2333" t="s">
        <v>111</v>
      </c>
      <c r="U2333" t="s">
        <v>111</v>
      </c>
      <c r="V2333" t="s">
        <v>10944</v>
      </c>
      <c r="W2333" t="s">
        <v>43</v>
      </c>
      <c r="X2333" t="s">
        <v>44</v>
      </c>
      <c r="Y2333" t="s">
        <v>44</v>
      </c>
      <c r="Z2333" t="s">
        <v>44</v>
      </c>
      <c r="AA2333" t="s">
        <v>10979</v>
      </c>
      <c r="AB2333" t="s">
        <v>44</v>
      </c>
      <c r="AC2333" s="4">
        <v>8.8109765600000003</v>
      </c>
      <c r="AD2333" s="4">
        <v>8.4739831300000006</v>
      </c>
      <c r="AE2333" s="2">
        <v>8.81</v>
      </c>
      <c r="AF2333" s="4">
        <v>8.4739831300000006</v>
      </c>
      <c r="AG2333" s="2">
        <v>0.86</v>
      </c>
      <c r="AH2333" s="2">
        <v>2631759.4</v>
      </c>
      <c r="AI2333" s="2">
        <v>0.01</v>
      </c>
      <c r="AJ2333" s="5">
        <v>44673</v>
      </c>
      <c r="AK2333" t="s">
        <v>12359</v>
      </c>
      <c r="AL2333" s="2">
        <v>8.6300000000000008</v>
      </c>
      <c r="AM2333" s="2">
        <v>8.15</v>
      </c>
      <c r="AN2333" s="2">
        <v>3.33</v>
      </c>
      <c r="AO2333" t="s">
        <v>11054</v>
      </c>
      <c r="AP2333" t="s">
        <v>11560</v>
      </c>
      <c r="AQ2333" t="s">
        <v>11559</v>
      </c>
    </row>
    <row r="2334" spans="1:43" x14ac:dyDescent="0.2">
      <c r="A2334" t="s">
        <v>12358</v>
      </c>
      <c r="B2334" t="s">
        <v>10900</v>
      </c>
      <c r="C2334" t="s">
        <v>10943</v>
      </c>
      <c r="D2334" t="s">
        <v>11569</v>
      </c>
      <c r="E2334" t="s">
        <v>11570</v>
      </c>
      <c r="F2334" t="s">
        <v>11569</v>
      </c>
      <c r="G2334" s="1">
        <v>3200000</v>
      </c>
      <c r="H2334" s="2">
        <v>3217950.12</v>
      </c>
      <c r="I2334" s="2">
        <v>3217292.55</v>
      </c>
      <c r="J2334" s="2">
        <v>43816.85</v>
      </c>
      <c r="K2334" s="2">
        <v>0</v>
      </c>
      <c r="L2334" s="2">
        <v>3261109.4</v>
      </c>
      <c r="M2334" s="3">
        <v>8.5241640000000007</v>
      </c>
      <c r="N2334" s="4">
        <v>7.4193699999999998E-3</v>
      </c>
      <c r="O2334" s="5">
        <v>44705</v>
      </c>
      <c r="P2334" s="5">
        <v>46166</v>
      </c>
      <c r="Q2334" s="1">
        <v>8.6170000000000009</v>
      </c>
      <c r="R2334" s="2">
        <v>0.08</v>
      </c>
      <c r="S2334" s="6">
        <v>-9.3404076700000001E-3</v>
      </c>
      <c r="T2334" t="s">
        <v>111</v>
      </c>
      <c r="U2334" t="s">
        <v>111</v>
      </c>
      <c r="V2334" t="s">
        <v>11189</v>
      </c>
      <c r="W2334" t="s">
        <v>43</v>
      </c>
      <c r="X2334" t="s">
        <v>11034</v>
      </c>
      <c r="Y2334" t="s">
        <v>44</v>
      </c>
      <c r="Z2334" t="s">
        <v>44</v>
      </c>
      <c r="AA2334" t="s">
        <v>11035</v>
      </c>
      <c r="AB2334" t="s">
        <v>44</v>
      </c>
      <c r="AC2334" s="4">
        <v>8.7058170199999996</v>
      </c>
      <c r="AD2334" s="4">
        <v>8.3766132899999999</v>
      </c>
      <c r="AE2334" s="2">
        <v>8.7100000000000009</v>
      </c>
      <c r="AF2334" s="4">
        <v>8.3766132899999999</v>
      </c>
      <c r="AG2334" s="2">
        <v>1.07</v>
      </c>
      <c r="AH2334" s="2">
        <v>3261109.4</v>
      </c>
      <c r="AI2334" s="2">
        <v>0.01</v>
      </c>
      <c r="AJ2334" s="5">
        <v>44673</v>
      </c>
      <c r="AK2334" t="s">
        <v>12359</v>
      </c>
      <c r="AL2334" s="2">
        <v>8.52</v>
      </c>
      <c r="AM2334" s="2">
        <v>8.6199999999999992</v>
      </c>
      <c r="AN2334" s="2">
        <v>-0.01</v>
      </c>
      <c r="AO2334" t="s">
        <v>11226</v>
      </c>
      <c r="AP2334" t="s">
        <v>11571</v>
      </c>
      <c r="AQ2334" t="s">
        <v>11570</v>
      </c>
    </row>
    <row r="2335" spans="1:43" x14ac:dyDescent="0.2">
      <c r="A2335" t="s">
        <v>12358</v>
      </c>
      <c r="B2335" t="s">
        <v>10900</v>
      </c>
      <c r="C2335" t="s">
        <v>10943</v>
      </c>
      <c r="D2335" t="s">
        <v>11572</v>
      </c>
      <c r="E2335" t="s">
        <v>11573</v>
      </c>
      <c r="F2335" t="s">
        <v>11572</v>
      </c>
      <c r="G2335" s="1">
        <v>3100000</v>
      </c>
      <c r="H2335" s="2">
        <v>3099657.95</v>
      </c>
      <c r="I2335" s="2">
        <v>3099721.05</v>
      </c>
      <c r="J2335" s="2">
        <v>17372.23</v>
      </c>
      <c r="K2335" s="2">
        <v>0</v>
      </c>
      <c r="L2335" s="2">
        <v>3117093.28</v>
      </c>
      <c r="M2335" s="3">
        <v>6.3514429999999997</v>
      </c>
      <c r="N2335" s="4">
        <v>7.0917200000000001E-3</v>
      </c>
      <c r="O2335" s="5">
        <v>44734</v>
      </c>
      <c r="P2335" s="5">
        <v>46468</v>
      </c>
      <c r="Q2335" s="1">
        <v>6.3920000000000003</v>
      </c>
      <c r="R2335" s="2">
        <v>0.16</v>
      </c>
      <c r="S2335" s="6">
        <v>9.4330326845999998E-2</v>
      </c>
      <c r="T2335" t="s">
        <v>111</v>
      </c>
      <c r="U2335" t="s">
        <v>111</v>
      </c>
      <c r="V2335" t="s">
        <v>11189</v>
      </c>
      <c r="W2335" t="s">
        <v>43</v>
      </c>
      <c r="X2335" t="s">
        <v>11034</v>
      </c>
      <c r="Y2335" t="s">
        <v>44</v>
      </c>
      <c r="Z2335" t="s">
        <v>44</v>
      </c>
      <c r="AA2335" t="s">
        <v>11035</v>
      </c>
      <c r="AB2335" t="s">
        <v>44</v>
      </c>
      <c r="AC2335" s="4">
        <v>6.4522949799999996</v>
      </c>
      <c r="AD2335" s="4">
        <v>6.2689947500000001</v>
      </c>
      <c r="AE2335" s="2">
        <v>6.45</v>
      </c>
      <c r="AF2335" s="4">
        <v>6.2689947500000001</v>
      </c>
      <c r="AG2335" s="2">
        <v>1.02</v>
      </c>
      <c r="AH2335" s="2">
        <v>3117093.28</v>
      </c>
      <c r="AI2335" s="2">
        <v>0.01</v>
      </c>
      <c r="AJ2335" s="5">
        <v>44673</v>
      </c>
      <c r="AK2335" t="s">
        <v>12359</v>
      </c>
      <c r="AL2335" s="2">
        <v>6.35</v>
      </c>
      <c r="AM2335" s="2">
        <v>6.39</v>
      </c>
      <c r="AN2335" s="2">
        <v>0.09</v>
      </c>
      <c r="AO2335" t="s">
        <v>11226</v>
      </c>
      <c r="AP2335" t="s">
        <v>11574</v>
      </c>
      <c r="AQ2335" t="s">
        <v>11573</v>
      </c>
    </row>
    <row r="2336" spans="1:43" x14ac:dyDescent="0.2">
      <c r="A2336" t="s">
        <v>12358</v>
      </c>
      <c r="B2336" t="s">
        <v>10900</v>
      </c>
      <c r="C2336" t="s">
        <v>10943</v>
      </c>
      <c r="D2336" t="s">
        <v>11575</v>
      </c>
      <c r="E2336" t="s">
        <v>11576</v>
      </c>
      <c r="F2336" t="s">
        <v>11575</v>
      </c>
      <c r="G2336" s="1">
        <v>4400000</v>
      </c>
      <c r="H2336" s="2">
        <v>4281233.3899999997</v>
      </c>
      <c r="I2336" s="2">
        <v>4289579.3600000003</v>
      </c>
      <c r="J2336" s="2">
        <v>81748.38</v>
      </c>
      <c r="K2336" s="2">
        <v>0</v>
      </c>
      <c r="L2336" s="2">
        <v>4371327.74</v>
      </c>
      <c r="M2336" s="3">
        <v>9.07</v>
      </c>
      <c r="N2336" s="4">
        <v>9.9452399999999993E-3</v>
      </c>
      <c r="O2336" s="5">
        <v>44771</v>
      </c>
      <c r="P2336" s="5">
        <v>46051</v>
      </c>
      <c r="Q2336" s="1">
        <v>8.27</v>
      </c>
      <c r="R2336" s="2">
        <v>3.24</v>
      </c>
      <c r="S2336" s="6">
        <v>3.0998465770000001</v>
      </c>
      <c r="T2336" t="s">
        <v>111</v>
      </c>
      <c r="U2336" t="s">
        <v>111</v>
      </c>
      <c r="V2336" t="s">
        <v>10944</v>
      </c>
      <c r="W2336" t="s">
        <v>43</v>
      </c>
      <c r="X2336" t="s">
        <v>44</v>
      </c>
      <c r="Y2336" t="s">
        <v>44</v>
      </c>
      <c r="Z2336" t="s">
        <v>44</v>
      </c>
      <c r="AA2336" t="s">
        <v>11035</v>
      </c>
      <c r="AB2336" t="s">
        <v>44</v>
      </c>
      <c r="AC2336" s="4">
        <v>9.2756622499999999</v>
      </c>
      <c r="AD2336" s="4">
        <v>8.9032170799999992</v>
      </c>
      <c r="AE2336" s="2">
        <v>9.2799999999999994</v>
      </c>
      <c r="AF2336" s="4">
        <v>8.9032170799999992</v>
      </c>
      <c r="AG2336" s="2">
        <v>1.43</v>
      </c>
      <c r="AH2336" s="2">
        <v>4371327.74</v>
      </c>
      <c r="AI2336" s="2">
        <v>0.01</v>
      </c>
      <c r="AJ2336" s="5">
        <v>44673</v>
      </c>
      <c r="AK2336" t="s">
        <v>12359</v>
      </c>
      <c r="AL2336" s="2">
        <v>9.07</v>
      </c>
      <c r="AM2336" s="2">
        <v>8.27</v>
      </c>
      <c r="AN2336" s="2">
        <v>3.1</v>
      </c>
      <c r="AO2336" t="s">
        <v>11437</v>
      </c>
      <c r="AP2336" t="s">
        <v>11577</v>
      </c>
      <c r="AQ2336" t="s">
        <v>11576</v>
      </c>
    </row>
    <row r="2337" spans="1:43" x14ac:dyDescent="0.2">
      <c r="A2337" t="s">
        <v>12358</v>
      </c>
      <c r="B2337" t="s">
        <v>10900</v>
      </c>
      <c r="C2337" t="s">
        <v>10943</v>
      </c>
      <c r="D2337" t="s">
        <v>11919</v>
      </c>
      <c r="E2337" t="s">
        <v>11920</v>
      </c>
      <c r="F2337" t="s">
        <v>11919</v>
      </c>
      <c r="G2337" s="1">
        <v>4200000</v>
      </c>
      <c r="H2337" s="2">
        <v>4419736.6500000004</v>
      </c>
      <c r="I2337" s="2">
        <v>4422649.62</v>
      </c>
      <c r="J2337" s="2">
        <v>17964.84</v>
      </c>
      <c r="K2337" s="2">
        <v>0</v>
      </c>
      <c r="L2337" s="2">
        <v>4440614.46</v>
      </c>
      <c r="M2337" s="3">
        <v>6.2178870000000002</v>
      </c>
      <c r="N2337" s="4">
        <v>1.010288E-2</v>
      </c>
      <c r="O2337" s="5">
        <v>44746</v>
      </c>
      <c r="P2337" s="5">
        <v>45840</v>
      </c>
      <c r="Q2337" s="1">
        <v>8.2170000000000005</v>
      </c>
      <c r="R2337" s="2">
        <v>0.19</v>
      </c>
      <c r="S2337" s="6">
        <v>0.21403134549399999</v>
      </c>
      <c r="T2337" t="s">
        <v>111</v>
      </c>
      <c r="U2337" t="s">
        <v>111</v>
      </c>
      <c r="V2337" t="s">
        <v>11189</v>
      </c>
      <c r="W2337" t="s">
        <v>43</v>
      </c>
      <c r="X2337" t="s">
        <v>11034</v>
      </c>
      <c r="Y2337" t="s">
        <v>44</v>
      </c>
      <c r="Z2337" t="s">
        <v>44</v>
      </c>
      <c r="AA2337" t="s">
        <v>11035</v>
      </c>
      <c r="AB2337" t="s">
        <v>44</v>
      </c>
      <c r="AC2337" s="4">
        <v>6.3145418700000002</v>
      </c>
      <c r="AD2337" s="4">
        <v>6.1388379000000004</v>
      </c>
      <c r="AE2337" s="2">
        <v>6.31</v>
      </c>
      <c r="AF2337" s="4">
        <v>6.1388379000000004</v>
      </c>
      <c r="AG2337" s="2">
        <v>1.45</v>
      </c>
      <c r="AH2337" s="2">
        <v>4440614.46</v>
      </c>
      <c r="AI2337" s="2">
        <v>0.01</v>
      </c>
      <c r="AJ2337" s="5">
        <v>44673</v>
      </c>
      <c r="AK2337" t="s">
        <v>12359</v>
      </c>
      <c r="AL2337" s="2">
        <v>6.22</v>
      </c>
      <c r="AM2337" s="2">
        <v>8.2200000000000006</v>
      </c>
      <c r="AN2337" s="2">
        <v>0.21</v>
      </c>
      <c r="AO2337" t="s">
        <v>11036</v>
      </c>
      <c r="AP2337" t="s">
        <v>11921</v>
      </c>
      <c r="AQ2337" t="s">
        <v>11920</v>
      </c>
    </row>
    <row r="2338" spans="1:43" x14ac:dyDescent="0.2">
      <c r="A2338" t="s">
        <v>12358</v>
      </c>
      <c r="B2338" t="s">
        <v>10900</v>
      </c>
      <c r="C2338" t="s">
        <v>10943</v>
      </c>
      <c r="D2338" t="s">
        <v>11582</v>
      </c>
      <c r="E2338" t="s">
        <v>11583</v>
      </c>
      <c r="F2338" t="s">
        <v>11582</v>
      </c>
      <c r="G2338" s="1">
        <v>1600000</v>
      </c>
      <c r="H2338" s="2">
        <v>1599978.18</v>
      </c>
      <c r="I2338" s="2">
        <v>1600033.34</v>
      </c>
      <c r="J2338" s="2">
        <v>7256.64</v>
      </c>
      <c r="K2338" s="2">
        <v>0</v>
      </c>
      <c r="L2338" s="2">
        <v>1607289.98</v>
      </c>
      <c r="M2338" s="3">
        <v>6.2543709999999999</v>
      </c>
      <c r="N2338" s="4">
        <v>3.6567599999999998E-3</v>
      </c>
      <c r="O2338" s="5">
        <v>44739</v>
      </c>
      <c r="P2338" s="5">
        <v>46383</v>
      </c>
      <c r="Q2338" s="1">
        <v>6.367</v>
      </c>
      <c r="R2338" s="2">
        <v>0.17</v>
      </c>
      <c r="S2338" s="6">
        <v>0.11195984108699999</v>
      </c>
      <c r="T2338" t="s">
        <v>111</v>
      </c>
      <c r="U2338" t="s">
        <v>111</v>
      </c>
      <c r="V2338" t="s">
        <v>11189</v>
      </c>
      <c r="W2338" t="s">
        <v>43</v>
      </c>
      <c r="X2338" t="s">
        <v>11034</v>
      </c>
      <c r="Y2338" t="s">
        <v>44</v>
      </c>
      <c r="Z2338" t="s">
        <v>44</v>
      </c>
      <c r="AA2338" t="s">
        <v>11035</v>
      </c>
      <c r="AB2338" t="s">
        <v>44</v>
      </c>
      <c r="AC2338" s="4">
        <v>6.3521637200000001</v>
      </c>
      <c r="AD2338" s="4">
        <v>6.1744004700000001</v>
      </c>
      <c r="AE2338" s="2">
        <v>6.35</v>
      </c>
      <c r="AF2338" s="4">
        <v>6.1744004700000001</v>
      </c>
      <c r="AG2338" s="2">
        <v>0.53</v>
      </c>
      <c r="AH2338" s="2">
        <v>1607289.98</v>
      </c>
      <c r="AI2338" s="2">
        <v>0</v>
      </c>
      <c r="AJ2338" s="5">
        <v>44673</v>
      </c>
      <c r="AK2338" t="s">
        <v>12359</v>
      </c>
      <c r="AL2338" s="2">
        <v>6.25</v>
      </c>
      <c r="AM2338" s="2">
        <v>6.37</v>
      </c>
      <c r="AN2338" s="2">
        <v>0.11</v>
      </c>
      <c r="AO2338" t="s">
        <v>11036</v>
      </c>
      <c r="AP2338" t="s">
        <v>11584</v>
      </c>
      <c r="AQ2338" t="s">
        <v>11583</v>
      </c>
    </row>
    <row r="2339" spans="1:43" x14ac:dyDescent="0.2">
      <c r="A2339" t="s">
        <v>12358</v>
      </c>
      <c r="B2339" t="s">
        <v>10900</v>
      </c>
      <c r="C2339" t="s">
        <v>10943</v>
      </c>
      <c r="D2339" t="s">
        <v>11585</v>
      </c>
      <c r="E2339" t="s">
        <v>11586</v>
      </c>
      <c r="F2339" t="s">
        <v>11585</v>
      </c>
      <c r="G2339" s="1">
        <v>3300000</v>
      </c>
      <c r="H2339" s="2">
        <v>3430426.94</v>
      </c>
      <c r="I2339" s="2">
        <v>3435372.4</v>
      </c>
      <c r="J2339" s="2">
        <v>37097.42</v>
      </c>
      <c r="K2339" s="2">
        <v>0</v>
      </c>
      <c r="L2339" s="2">
        <v>3472469.82</v>
      </c>
      <c r="M2339" s="3">
        <v>7.7660200000000001</v>
      </c>
      <c r="N2339" s="4">
        <v>7.9002399999999993E-3</v>
      </c>
      <c r="O2339" s="5">
        <v>44720</v>
      </c>
      <c r="P2339" s="5">
        <v>46273</v>
      </c>
      <c r="Q2339" s="1">
        <v>8.92</v>
      </c>
      <c r="R2339" s="2">
        <v>0.12</v>
      </c>
      <c r="S2339" s="6">
        <v>0.10556959685300001</v>
      </c>
      <c r="T2339" t="s">
        <v>111</v>
      </c>
      <c r="U2339" t="s">
        <v>111</v>
      </c>
      <c r="V2339" t="s">
        <v>11189</v>
      </c>
      <c r="W2339" t="s">
        <v>43</v>
      </c>
      <c r="X2339" t="s">
        <v>11034</v>
      </c>
      <c r="Y2339" t="s">
        <v>44</v>
      </c>
      <c r="Z2339" t="s">
        <v>44</v>
      </c>
      <c r="AA2339" t="s">
        <v>11035</v>
      </c>
      <c r="AB2339" t="s">
        <v>44</v>
      </c>
      <c r="AC2339" s="4">
        <v>7.9167972899999999</v>
      </c>
      <c r="AD2339" s="4">
        <v>7.6432735200000002</v>
      </c>
      <c r="AE2339" s="2">
        <v>7.92</v>
      </c>
      <c r="AF2339" s="4">
        <v>7.6432735200000002</v>
      </c>
      <c r="AG2339" s="2">
        <v>1.1399999999999999</v>
      </c>
      <c r="AH2339" s="2">
        <v>3472469.82</v>
      </c>
      <c r="AI2339" s="2">
        <v>0.01</v>
      </c>
      <c r="AJ2339" s="5">
        <v>44673</v>
      </c>
      <c r="AK2339" t="s">
        <v>12359</v>
      </c>
      <c r="AL2339" s="2">
        <v>7.77</v>
      </c>
      <c r="AM2339" s="2">
        <v>8.92</v>
      </c>
      <c r="AN2339" s="2">
        <v>0.11</v>
      </c>
      <c r="AO2339" t="s">
        <v>11036</v>
      </c>
      <c r="AP2339" t="s">
        <v>11587</v>
      </c>
      <c r="AQ2339" t="s">
        <v>11586</v>
      </c>
    </row>
    <row r="2340" spans="1:43" x14ac:dyDescent="0.2">
      <c r="A2340" t="s">
        <v>12358</v>
      </c>
      <c r="B2340" t="s">
        <v>10900</v>
      </c>
      <c r="C2340" t="s">
        <v>10943</v>
      </c>
      <c r="D2340" t="s">
        <v>11588</v>
      </c>
      <c r="E2340" t="s">
        <v>11589</v>
      </c>
      <c r="F2340" t="s">
        <v>11588</v>
      </c>
      <c r="G2340" s="1">
        <v>1600000</v>
      </c>
      <c r="H2340" s="2">
        <v>1599963.91</v>
      </c>
      <c r="I2340" s="2">
        <v>1600000.26</v>
      </c>
      <c r="J2340" s="2">
        <v>9433.51</v>
      </c>
      <c r="K2340" s="2">
        <v>0</v>
      </c>
      <c r="L2340" s="2">
        <v>1609433.77</v>
      </c>
      <c r="M2340" s="3">
        <v>8.1643709999999992</v>
      </c>
      <c r="N2340" s="4">
        <v>3.6616399999999999E-3</v>
      </c>
      <c r="O2340" s="5">
        <v>44739</v>
      </c>
      <c r="P2340" s="5">
        <v>46383</v>
      </c>
      <c r="Q2340" s="1">
        <v>8.2769999999999992</v>
      </c>
      <c r="R2340" s="2">
        <v>0.17</v>
      </c>
      <c r="S2340" s="6">
        <v>6.6173810217000001E-2</v>
      </c>
      <c r="T2340" t="s">
        <v>111</v>
      </c>
      <c r="U2340" t="s">
        <v>111</v>
      </c>
      <c r="V2340" t="s">
        <v>11189</v>
      </c>
      <c r="W2340" t="s">
        <v>43</v>
      </c>
      <c r="X2340" t="s">
        <v>11034</v>
      </c>
      <c r="Y2340" t="s">
        <v>44</v>
      </c>
      <c r="Z2340" t="s">
        <v>44</v>
      </c>
      <c r="AA2340" t="s">
        <v>11035</v>
      </c>
      <c r="AB2340" t="s">
        <v>44</v>
      </c>
      <c r="AC2340" s="4">
        <v>8.3310132100000001</v>
      </c>
      <c r="AD2340" s="4">
        <v>8.0288693599999998</v>
      </c>
      <c r="AE2340" s="2">
        <v>8.33</v>
      </c>
      <c r="AF2340" s="4">
        <v>8.0288693599999998</v>
      </c>
      <c r="AG2340" s="2">
        <v>0.53</v>
      </c>
      <c r="AH2340" s="2">
        <v>1609433.77</v>
      </c>
      <c r="AI2340" s="2">
        <v>0</v>
      </c>
      <c r="AJ2340" s="5">
        <v>44673</v>
      </c>
      <c r="AK2340" t="s">
        <v>12359</v>
      </c>
      <c r="AL2340" s="2">
        <v>8.16</v>
      </c>
      <c r="AM2340" s="2">
        <v>8.2799999999999994</v>
      </c>
      <c r="AN2340" s="2">
        <v>7.0000000000000007E-2</v>
      </c>
      <c r="AO2340" t="s">
        <v>11036</v>
      </c>
      <c r="AP2340" t="s">
        <v>11590</v>
      </c>
      <c r="AQ2340" t="s">
        <v>11589</v>
      </c>
    </row>
    <row r="2341" spans="1:43" x14ac:dyDescent="0.2">
      <c r="A2341" t="s">
        <v>12358</v>
      </c>
      <c r="B2341" t="s">
        <v>10900</v>
      </c>
      <c r="C2341" t="s">
        <v>10943</v>
      </c>
      <c r="D2341" t="s">
        <v>11135</v>
      </c>
      <c r="E2341" t="s">
        <v>10946</v>
      </c>
      <c r="F2341" t="s">
        <v>11135</v>
      </c>
      <c r="G2341" s="1">
        <v>23700000</v>
      </c>
      <c r="H2341" s="2">
        <v>25695489.48</v>
      </c>
      <c r="I2341" s="2">
        <v>25748379.149999999</v>
      </c>
      <c r="J2341" s="2">
        <v>838590.41</v>
      </c>
      <c r="K2341" s="2">
        <v>0</v>
      </c>
      <c r="L2341" s="2">
        <v>26586969.559999999</v>
      </c>
      <c r="M2341" s="3">
        <v>8.2249999999999996</v>
      </c>
      <c r="N2341" s="4">
        <v>6.0488220000000002E-2</v>
      </c>
      <c r="O2341" s="5">
        <v>44733</v>
      </c>
      <c r="P2341" s="5">
        <v>46377</v>
      </c>
      <c r="Q2341" s="1">
        <v>10.5</v>
      </c>
      <c r="R2341" s="2">
        <v>3.72</v>
      </c>
      <c r="S2341" s="6">
        <v>3.572672968</v>
      </c>
      <c r="T2341" t="s">
        <v>111</v>
      </c>
      <c r="U2341" t="s">
        <v>111</v>
      </c>
      <c r="V2341" t="s">
        <v>10944</v>
      </c>
      <c r="W2341" t="s">
        <v>43</v>
      </c>
      <c r="X2341" t="s">
        <v>10945</v>
      </c>
      <c r="Y2341" t="s">
        <v>44</v>
      </c>
      <c r="Z2341" t="s">
        <v>44</v>
      </c>
      <c r="AA2341" t="s">
        <v>10913</v>
      </c>
      <c r="AB2341" t="s">
        <v>44</v>
      </c>
      <c r="AC2341" s="4">
        <v>8.3941265600000001</v>
      </c>
      <c r="AD2341" s="4">
        <v>8.0875032299999994</v>
      </c>
      <c r="AE2341" s="2">
        <v>8.39</v>
      </c>
      <c r="AF2341" s="4">
        <v>8.0875032299999994</v>
      </c>
      <c r="AG2341" s="2">
        <v>8.7100000000000009</v>
      </c>
      <c r="AH2341" s="2">
        <v>26586969.559999999</v>
      </c>
      <c r="AI2341" s="2">
        <v>0.06</v>
      </c>
      <c r="AJ2341" s="5">
        <v>44673</v>
      </c>
      <c r="AK2341" t="s">
        <v>12359</v>
      </c>
      <c r="AL2341" s="2">
        <v>8.23</v>
      </c>
      <c r="AM2341" s="2">
        <v>10.5</v>
      </c>
      <c r="AN2341" s="2">
        <v>3.57</v>
      </c>
      <c r="AO2341" t="s">
        <v>10922</v>
      </c>
      <c r="AP2341" t="s">
        <v>11136</v>
      </c>
      <c r="AQ2341" t="s">
        <v>10946</v>
      </c>
    </row>
    <row r="2342" spans="1:43" x14ac:dyDescent="0.2">
      <c r="A2342" t="s">
        <v>12358</v>
      </c>
      <c r="B2342" t="s">
        <v>10900</v>
      </c>
      <c r="C2342" t="s">
        <v>10943</v>
      </c>
      <c r="D2342" t="s">
        <v>12863</v>
      </c>
      <c r="E2342" t="s">
        <v>12864</v>
      </c>
      <c r="F2342" t="s">
        <v>12863</v>
      </c>
      <c r="G2342" s="1">
        <v>1500000</v>
      </c>
      <c r="H2342" s="2">
        <v>1500674.66</v>
      </c>
      <c r="I2342" s="2">
        <v>1501703.85</v>
      </c>
      <c r="J2342" s="2">
        <v>5363.51</v>
      </c>
      <c r="K2342" s="2">
        <v>0</v>
      </c>
      <c r="L2342" s="2">
        <v>1507067.36</v>
      </c>
      <c r="M2342" s="3">
        <v>8.0409749999999995</v>
      </c>
      <c r="N2342" s="4">
        <v>3.42874E-3</v>
      </c>
      <c r="O2342" s="5">
        <v>44750</v>
      </c>
      <c r="P2342" s="5">
        <v>46485</v>
      </c>
      <c r="Q2342" s="1">
        <v>8.157</v>
      </c>
      <c r="R2342" s="2">
        <v>0.2</v>
      </c>
      <c r="S2342" s="6">
        <v>9.4975697833E-2</v>
      </c>
      <c r="T2342" t="s">
        <v>111</v>
      </c>
      <c r="U2342" t="s">
        <v>111</v>
      </c>
      <c r="V2342" t="s">
        <v>11189</v>
      </c>
      <c r="W2342" t="s">
        <v>43</v>
      </c>
      <c r="X2342" t="s">
        <v>11034</v>
      </c>
      <c r="Y2342" t="s">
        <v>44</v>
      </c>
      <c r="Z2342" t="s">
        <v>44</v>
      </c>
      <c r="AA2342" t="s">
        <v>11035</v>
      </c>
      <c r="AB2342" t="s">
        <v>44</v>
      </c>
      <c r="AC2342" s="4">
        <v>8.2026182599999995</v>
      </c>
      <c r="AD2342" s="4">
        <v>7.9094905600000001</v>
      </c>
      <c r="AE2342" s="2">
        <v>8.1999999999999993</v>
      </c>
      <c r="AF2342" s="4">
        <v>7.9094905600000001</v>
      </c>
      <c r="AG2342" s="2">
        <v>0.49</v>
      </c>
      <c r="AH2342" s="2">
        <v>1507067.36</v>
      </c>
      <c r="AI2342" s="2">
        <v>0</v>
      </c>
      <c r="AJ2342" s="5">
        <v>44673</v>
      </c>
      <c r="AK2342" t="s">
        <v>12359</v>
      </c>
      <c r="AL2342" s="2">
        <v>8.0399999999999991</v>
      </c>
      <c r="AM2342" s="2">
        <v>8.16</v>
      </c>
      <c r="AN2342" s="2">
        <v>0.09</v>
      </c>
      <c r="AO2342" t="s">
        <v>11496</v>
      </c>
      <c r="AP2342" t="s">
        <v>12865</v>
      </c>
      <c r="AQ2342" t="s">
        <v>12864</v>
      </c>
    </row>
    <row r="2343" spans="1:43" x14ac:dyDescent="0.2">
      <c r="A2343" t="s">
        <v>12358</v>
      </c>
      <c r="B2343" t="s">
        <v>10900</v>
      </c>
      <c r="C2343" t="s">
        <v>10943</v>
      </c>
      <c r="D2343" t="s">
        <v>11852</v>
      </c>
      <c r="E2343" t="s">
        <v>11853</v>
      </c>
      <c r="F2343" t="s">
        <v>11852</v>
      </c>
      <c r="G2343" s="1">
        <v>4100000</v>
      </c>
      <c r="H2343" s="2">
        <v>4331017.26</v>
      </c>
      <c r="I2343" s="2">
        <v>4337740.1500000004</v>
      </c>
      <c r="J2343" s="2">
        <v>26412.09</v>
      </c>
      <c r="K2343" s="2">
        <v>0</v>
      </c>
      <c r="L2343" s="2">
        <v>4364152.24</v>
      </c>
      <c r="M2343" s="3">
        <v>5.9243709999999998</v>
      </c>
      <c r="N2343" s="4">
        <v>9.9289200000000008E-3</v>
      </c>
      <c r="O2343" s="5">
        <v>44739</v>
      </c>
      <c r="P2343" s="5">
        <v>45833</v>
      </c>
      <c r="Q2343" s="1">
        <v>8.1080000000000005</v>
      </c>
      <c r="R2343" s="2">
        <v>0.17</v>
      </c>
      <c r="S2343" s="6">
        <v>0.20785827684899999</v>
      </c>
      <c r="T2343" t="s">
        <v>111</v>
      </c>
      <c r="U2343" t="s">
        <v>111</v>
      </c>
      <c r="V2343" t="s">
        <v>11189</v>
      </c>
      <c r="W2343" t="s">
        <v>43</v>
      </c>
      <c r="X2343" t="s">
        <v>11034</v>
      </c>
      <c r="Y2343" t="s">
        <v>44</v>
      </c>
      <c r="Z2343" t="s">
        <v>44</v>
      </c>
      <c r="AA2343" t="s">
        <v>10979</v>
      </c>
      <c r="AB2343" t="s">
        <v>44</v>
      </c>
      <c r="AC2343" s="4">
        <v>6.0121162500000001</v>
      </c>
      <c r="AD2343" s="4">
        <v>5.8525461400000003</v>
      </c>
      <c r="AE2343" s="2">
        <v>6.01</v>
      </c>
      <c r="AF2343" s="4">
        <v>5.8525461400000003</v>
      </c>
      <c r="AG2343" s="2">
        <v>1.43</v>
      </c>
      <c r="AH2343" s="2">
        <v>4364152.24</v>
      </c>
      <c r="AI2343" s="2">
        <v>0.01</v>
      </c>
      <c r="AJ2343" s="5">
        <v>44673</v>
      </c>
      <c r="AK2343" t="s">
        <v>12359</v>
      </c>
      <c r="AL2343" s="2">
        <v>5.92</v>
      </c>
      <c r="AM2343" s="2">
        <v>8.11</v>
      </c>
      <c r="AN2343" s="2">
        <v>0.21</v>
      </c>
      <c r="AO2343" t="s">
        <v>11179</v>
      </c>
      <c r="AP2343" t="s">
        <v>11854</v>
      </c>
      <c r="AQ2343" t="s">
        <v>11853</v>
      </c>
    </row>
    <row r="2344" spans="1:43" x14ac:dyDescent="0.2">
      <c r="A2344" t="s">
        <v>12358</v>
      </c>
      <c r="B2344" t="s">
        <v>10900</v>
      </c>
      <c r="C2344" t="s">
        <v>10943</v>
      </c>
      <c r="D2344" t="s">
        <v>11855</v>
      </c>
      <c r="E2344" t="s">
        <v>11856</v>
      </c>
      <c r="F2344" t="s">
        <v>11855</v>
      </c>
      <c r="G2344" s="1">
        <v>100000</v>
      </c>
      <c r="H2344" s="2">
        <v>104431.29</v>
      </c>
      <c r="I2344" s="2">
        <v>104154.42</v>
      </c>
      <c r="J2344" s="2">
        <v>3538.68</v>
      </c>
      <c r="K2344" s="2">
        <v>0</v>
      </c>
      <c r="L2344" s="2">
        <v>107693.1</v>
      </c>
      <c r="M2344" s="3">
        <v>8.76</v>
      </c>
      <c r="N2344" s="4">
        <v>2.4500999999999999E-4</v>
      </c>
      <c r="O2344" s="5">
        <v>44724</v>
      </c>
      <c r="P2344" s="5">
        <v>46550</v>
      </c>
      <c r="Q2344" s="1">
        <v>9.7850000000000001</v>
      </c>
      <c r="R2344" s="2">
        <v>4.04</v>
      </c>
      <c r="S2344" s="6">
        <v>3.8707805450000001</v>
      </c>
      <c r="T2344" t="s">
        <v>111</v>
      </c>
      <c r="U2344" t="s">
        <v>111</v>
      </c>
      <c r="V2344" t="s">
        <v>10944</v>
      </c>
      <c r="W2344" t="s">
        <v>43</v>
      </c>
      <c r="X2344" t="s">
        <v>10988</v>
      </c>
      <c r="Y2344" t="s">
        <v>44</v>
      </c>
      <c r="Z2344" t="s">
        <v>44</v>
      </c>
      <c r="AA2344" t="s">
        <v>10979</v>
      </c>
      <c r="AB2344" t="s">
        <v>44</v>
      </c>
      <c r="AC2344" s="4">
        <v>8.9518439999999995</v>
      </c>
      <c r="AD2344" s="4">
        <v>8.6042807299999993</v>
      </c>
      <c r="AE2344" s="2">
        <v>8.9499999999999993</v>
      </c>
      <c r="AF2344" s="4">
        <v>8.6042807299999993</v>
      </c>
      <c r="AG2344" s="2">
        <v>0.04</v>
      </c>
      <c r="AH2344" s="2">
        <v>107693.1</v>
      </c>
      <c r="AI2344" s="2">
        <v>0</v>
      </c>
      <c r="AJ2344" s="5">
        <v>44673</v>
      </c>
      <c r="AK2344" t="s">
        <v>12359</v>
      </c>
      <c r="AL2344" s="2">
        <v>8.76</v>
      </c>
      <c r="AM2344" s="2">
        <v>9.7899999999999991</v>
      </c>
      <c r="AN2344" s="2">
        <v>3.87</v>
      </c>
      <c r="AO2344" t="s">
        <v>11179</v>
      </c>
      <c r="AP2344" t="s">
        <v>11857</v>
      </c>
      <c r="AQ2344" t="s">
        <v>11856</v>
      </c>
    </row>
    <row r="2345" spans="1:43" x14ac:dyDescent="0.2">
      <c r="A2345" t="s">
        <v>12358</v>
      </c>
      <c r="B2345" t="s">
        <v>10900</v>
      </c>
      <c r="C2345" t="s">
        <v>10943</v>
      </c>
      <c r="D2345" t="s">
        <v>11858</v>
      </c>
      <c r="E2345" t="s">
        <v>11859</v>
      </c>
      <c r="F2345" t="s">
        <v>11858</v>
      </c>
      <c r="G2345" s="1">
        <v>300000</v>
      </c>
      <c r="H2345" s="2">
        <v>293315.65999999997</v>
      </c>
      <c r="I2345" s="2">
        <v>292719.65999999997</v>
      </c>
      <c r="J2345" s="2">
        <v>6240.33</v>
      </c>
      <c r="K2345" s="2">
        <v>0</v>
      </c>
      <c r="L2345" s="2">
        <v>298959.99</v>
      </c>
      <c r="M2345" s="3">
        <v>10.77</v>
      </c>
      <c r="N2345" s="4">
        <v>6.8017000000000002E-4</v>
      </c>
      <c r="O2345" s="5">
        <v>44780</v>
      </c>
      <c r="P2345" s="5">
        <v>47156</v>
      </c>
      <c r="Q2345" s="1">
        <v>10.26</v>
      </c>
      <c r="R2345" s="2">
        <v>4.92</v>
      </c>
      <c r="S2345" s="6">
        <v>4.6700968569999999</v>
      </c>
      <c r="T2345" t="s">
        <v>111</v>
      </c>
      <c r="U2345" t="s">
        <v>111</v>
      </c>
      <c r="V2345" t="s">
        <v>10944</v>
      </c>
      <c r="W2345" t="s">
        <v>43</v>
      </c>
      <c r="X2345" t="s">
        <v>44</v>
      </c>
      <c r="Y2345" t="s">
        <v>44</v>
      </c>
      <c r="Z2345" t="s">
        <v>44</v>
      </c>
      <c r="AA2345" t="s">
        <v>10979</v>
      </c>
      <c r="AB2345" t="s">
        <v>44</v>
      </c>
      <c r="AC2345" s="4">
        <v>11.059982249999999</v>
      </c>
      <c r="AD2345" s="4">
        <v>10.536009160000001</v>
      </c>
      <c r="AE2345" s="2">
        <v>11.06</v>
      </c>
      <c r="AF2345" s="4">
        <v>10.536009160000001</v>
      </c>
      <c r="AG2345" s="2">
        <v>0.1</v>
      </c>
      <c r="AH2345" s="2">
        <v>298959.99</v>
      </c>
      <c r="AI2345" s="2">
        <v>0</v>
      </c>
      <c r="AJ2345" s="5">
        <v>44673</v>
      </c>
      <c r="AK2345" t="s">
        <v>12359</v>
      </c>
      <c r="AL2345" s="2">
        <v>10.77</v>
      </c>
      <c r="AM2345" s="2">
        <v>10.26</v>
      </c>
      <c r="AN2345" s="2">
        <v>4.67</v>
      </c>
      <c r="AO2345" t="s">
        <v>10982</v>
      </c>
      <c r="AP2345" t="s">
        <v>11860</v>
      </c>
      <c r="AQ2345" t="s">
        <v>11859</v>
      </c>
    </row>
    <row r="2346" spans="1:43" x14ac:dyDescent="0.2">
      <c r="A2346" t="s">
        <v>12358</v>
      </c>
      <c r="B2346" t="s">
        <v>10900</v>
      </c>
      <c r="C2346" t="s">
        <v>11137</v>
      </c>
      <c r="D2346" t="s">
        <v>11594</v>
      </c>
      <c r="E2346" t="s">
        <v>11595</v>
      </c>
      <c r="F2346" t="s">
        <v>11594</v>
      </c>
      <c r="G2346" s="1">
        <v>20800000</v>
      </c>
      <c r="H2346" s="2">
        <v>18822368.850000001</v>
      </c>
      <c r="I2346" s="2">
        <v>18753084.48</v>
      </c>
      <c r="J2346" s="2">
        <v>373830.14</v>
      </c>
      <c r="K2346" s="2">
        <v>0</v>
      </c>
      <c r="L2346" s="2">
        <v>19126914.620000001</v>
      </c>
      <c r="M2346" s="3">
        <v>9.84</v>
      </c>
      <c r="N2346" s="4">
        <v>4.3515789999999999E-2</v>
      </c>
      <c r="O2346" s="5">
        <v>44774</v>
      </c>
      <c r="P2346" s="5">
        <v>47514</v>
      </c>
      <c r="Q2346" s="1">
        <v>8</v>
      </c>
      <c r="R2346" s="2">
        <v>5.71</v>
      </c>
      <c r="S2346" s="6">
        <v>5.4383328750000004</v>
      </c>
      <c r="T2346" t="s">
        <v>111</v>
      </c>
      <c r="U2346" t="s">
        <v>111</v>
      </c>
      <c r="V2346" t="s">
        <v>10944</v>
      </c>
      <c r="W2346" t="s">
        <v>43</v>
      </c>
      <c r="X2346" t="s">
        <v>10945</v>
      </c>
      <c r="Y2346" t="s">
        <v>44</v>
      </c>
      <c r="Z2346" t="s">
        <v>44</v>
      </c>
      <c r="AA2346" t="s">
        <v>10913</v>
      </c>
      <c r="AB2346" t="s">
        <v>44</v>
      </c>
      <c r="AC2346" s="4">
        <v>10.082064000000001</v>
      </c>
      <c r="AD2346" s="4">
        <v>9.6441413499999999</v>
      </c>
      <c r="AE2346" s="2">
        <v>10.08</v>
      </c>
      <c r="AF2346" s="4">
        <v>9.6441413499999999</v>
      </c>
      <c r="AG2346" s="2">
        <v>6.26</v>
      </c>
      <c r="AH2346" s="2">
        <v>19126914.620000001</v>
      </c>
      <c r="AI2346" s="2">
        <v>0.04</v>
      </c>
      <c r="AJ2346" s="5">
        <v>44673</v>
      </c>
      <c r="AK2346" t="s">
        <v>12359</v>
      </c>
      <c r="AL2346" s="2">
        <v>9.84</v>
      </c>
      <c r="AM2346" s="2">
        <v>8</v>
      </c>
      <c r="AN2346" s="2">
        <v>5.44</v>
      </c>
      <c r="AO2346" t="s">
        <v>10922</v>
      </c>
      <c r="AP2346" t="s">
        <v>11596</v>
      </c>
      <c r="AQ2346" t="s">
        <v>11595</v>
      </c>
    </row>
    <row r="2347" spans="1:43" x14ac:dyDescent="0.2">
      <c r="A2347" t="s">
        <v>12358</v>
      </c>
      <c r="B2347" t="s">
        <v>10900</v>
      </c>
      <c r="C2347" t="s">
        <v>10950</v>
      </c>
      <c r="D2347" t="s">
        <v>10983</v>
      </c>
      <c r="E2347" t="s">
        <v>10984</v>
      </c>
      <c r="F2347" t="s">
        <v>10983</v>
      </c>
      <c r="G2347" s="1">
        <v>200000</v>
      </c>
      <c r="H2347" s="2">
        <v>167949.95</v>
      </c>
      <c r="I2347" s="2">
        <v>167226.5</v>
      </c>
      <c r="J2347" s="2">
        <v>3819.18</v>
      </c>
      <c r="K2347" s="2">
        <v>0</v>
      </c>
      <c r="L2347" s="2">
        <v>171045.68</v>
      </c>
      <c r="M2347" s="3">
        <v>10.734999999999999</v>
      </c>
      <c r="N2347" s="4">
        <v>3.8915E-4</v>
      </c>
      <c r="O2347" s="5">
        <v>44774</v>
      </c>
      <c r="P2347" s="5">
        <v>50071</v>
      </c>
      <c r="Q2347" s="1">
        <v>8.5</v>
      </c>
      <c r="R2347" s="2">
        <v>7.91</v>
      </c>
      <c r="S2347" s="6">
        <v>7.5106016819999999</v>
      </c>
      <c r="T2347" t="s">
        <v>111</v>
      </c>
      <c r="U2347" t="s">
        <v>111</v>
      </c>
      <c r="V2347" t="s">
        <v>10944</v>
      </c>
      <c r="W2347" t="s">
        <v>43</v>
      </c>
      <c r="X2347" t="s">
        <v>10945</v>
      </c>
      <c r="Y2347" t="s">
        <v>44</v>
      </c>
      <c r="Z2347" t="s">
        <v>44</v>
      </c>
      <c r="AA2347" t="s">
        <v>10913</v>
      </c>
      <c r="AB2347" t="s">
        <v>44</v>
      </c>
      <c r="AC2347" s="4">
        <v>11.02310056</v>
      </c>
      <c r="AD2347" s="4">
        <v>10.50250368</v>
      </c>
      <c r="AE2347" s="2">
        <v>11.02</v>
      </c>
      <c r="AF2347" s="4">
        <v>10.50250368</v>
      </c>
      <c r="AG2347" s="2">
        <v>0.06</v>
      </c>
      <c r="AH2347" s="2">
        <v>171045.68</v>
      </c>
      <c r="AI2347" s="2">
        <v>0</v>
      </c>
      <c r="AJ2347" s="5">
        <v>44673</v>
      </c>
      <c r="AK2347" t="s">
        <v>12359</v>
      </c>
      <c r="AL2347" s="2">
        <v>10.73</v>
      </c>
      <c r="AM2347" s="2">
        <v>8.5</v>
      </c>
      <c r="AN2347" s="2">
        <v>7.51</v>
      </c>
      <c r="AO2347" t="s">
        <v>10922</v>
      </c>
      <c r="AP2347" t="s">
        <v>10985</v>
      </c>
      <c r="AQ2347" t="s">
        <v>10984</v>
      </c>
    </row>
    <row r="2348" spans="1:43" x14ac:dyDescent="0.2">
      <c r="A2348" t="s">
        <v>12358</v>
      </c>
      <c r="B2348" t="s">
        <v>10900</v>
      </c>
      <c r="C2348" t="s">
        <v>10990</v>
      </c>
      <c r="D2348" t="s">
        <v>11603</v>
      </c>
      <c r="E2348" t="s">
        <v>11604</v>
      </c>
      <c r="F2348" t="s">
        <v>11603</v>
      </c>
      <c r="G2348" s="1">
        <v>1200000</v>
      </c>
      <c r="H2348" s="2">
        <v>3873005.68</v>
      </c>
      <c r="I2348" s="2">
        <v>3876547.67</v>
      </c>
      <c r="J2348" s="2">
        <v>74838.11</v>
      </c>
      <c r="K2348" s="2">
        <v>0</v>
      </c>
      <c r="L2348" s="2">
        <v>3951385.78</v>
      </c>
      <c r="M2348" s="3">
        <v>1.165</v>
      </c>
      <c r="N2348" s="4">
        <v>8.9898300000000007E-3</v>
      </c>
      <c r="O2348" s="5">
        <v>44719</v>
      </c>
      <c r="P2348" s="5">
        <v>45267</v>
      </c>
      <c r="Q2348" s="1">
        <v>5.5</v>
      </c>
      <c r="R2348" s="2">
        <v>1.54</v>
      </c>
      <c r="S2348" s="6">
        <v>1.5339230509999999</v>
      </c>
      <c r="T2348" t="s">
        <v>111</v>
      </c>
      <c r="U2348" t="s">
        <v>111</v>
      </c>
      <c r="V2348" t="s">
        <v>10992</v>
      </c>
      <c r="W2348" t="s">
        <v>43</v>
      </c>
      <c r="X2348" t="s">
        <v>10945</v>
      </c>
      <c r="Y2348" t="s">
        <v>44</v>
      </c>
      <c r="Z2348" t="s">
        <v>44</v>
      </c>
      <c r="AA2348" t="s">
        <v>10913</v>
      </c>
      <c r="AB2348" t="s">
        <v>44</v>
      </c>
      <c r="AC2348" s="4">
        <v>1.1683930600000001</v>
      </c>
      <c r="AD2348" s="4">
        <v>1.1621824700000001</v>
      </c>
      <c r="AE2348" s="2">
        <v>1.17</v>
      </c>
      <c r="AF2348" s="4">
        <v>1.1621824700000001</v>
      </c>
      <c r="AG2348" s="2">
        <v>1.29</v>
      </c>
      <c r="AH2348" s="2">
        <v>3951385.78</v>
      </c>
      <c r="AI2348" s="2">
        <v>0.01</v>
      </c>
      <c r="AJ2348" s="5">
        <v>44673</v>
      </c>
      <c r="AK2348" t="s">
        <v>12359</v>
      </c>
      <c r="AL2348" s="2">
        <v>1.1599999999999999</v>
      </c>
      <c r="AM2348" s="2">
        <v>5.5</v>
      </c>
      <c r="AN2348" s="2">
        <v>1.53</v>
      </c>
      <c r="AO2348" t="s">
        <v>10922</v>
      </c>
      <c r="AP2348" t="s">
        <v>11605</v>
      </c>
      <c r="AQ2348" t="s">
        <v>11604</v>
      </c>
    </row>
    <row r="2349" spans="1:43" x14ac:dyDescent="0.2">
      <c r="A2349" t="s">
        <v>12358</v>
      </c>
      <c r="B2349" t="s">
        <v>45</v>
      </c>
      <c r="C2349" t="s">
        <v>11000</v>
      </c>
      <c r="D2349" t="s">
        <v>11421</v>
      </c>
      <c r="E2349" t="s">
        <v>11422</v>
      </c>
      <c r="F2349" t="s">
        <v>11421</v>
      </c>
      <c r="G2349" s="1">
        <v>20000000</v>
      </c>
      <c r="H2349" s="2">
        <v>20000000</v>
      </c>
      <c r="I2349" s="2">
        <v>20000000</v>
      </c>
      <c r="J2349" s="2">
        <v>24164.39</v>
      </c>
      <c r="K2349" s="2">
        <v>0</v>
      </c>
      <c r="L2349" s="2">
        <v>20024164.390000001</v>
      </c>
      <c r="M2349" s="3">
        <v>4.2</v>
      </c>
      <c r="N2349" s="4">
        <v>4.5557130000000001E-2</v>
      </c>
      <c r="O2349" s="5" t="s">
        <v>44</v>
      </c>
      <c r="P2349" s="5">
        <v>55153</v>
      </c>
      <c r="Q2349" s="1">
        <v>4.2</v>
      </c>
      <c r="R2349" s="2">
        <v>0.08</v>
      </c>
      <c r="S2349" s="6">
        <v>2.5947269999999998E-3</v>
      </c>
      <c r="T2349" t="s">
        <v>112</v>
      </c>
      <c r="U2349" t="s">
        <v>46</v>
      </c>
      <c r="V2349" t="s">
        <v>11270</v>
      </c>
      <c r="W2349" t="s">
        <v>43</v>
      </c>
      <c r="X2349" t="s">
        <v>44</v>
      </c>
      <c r="Y2349" t="s">
        <v>44</v>
      </c>
      <c r="Z2349" t="s">
        <v>44</v>
      </c>
      <c r="AA2349" t="s">
        <v>10913</v>
      </c>
      <c r="AB2349" t="s">
        <v>44</v>
      </c>
      <c r="AC2349" s="4">
        <v>4.2819052299999996</v>
      </c>
      <c r="AD2349" s="4">
        <v>4.20010057</v>
      </c>
      <c r="AE2349" s="2">
        <v>4.28</v>
      </c>
      <c r="AF2349" s="4">
        <v>4.20010057</v>
      </c>
      <c r="AG2349" s="2">
        <v>6.56</v>
      </c>
      <c r="AH2349" s="2">
        <v>20024164.390000001</v>
      </c>
      <c r="AI2349" s="2">
        <v>0.05</v>
      </c>
      <c r="AJ2349" s="5">
        <v>44673</v>
      </c>
      <c r="AK2349" t="s">
        <v>12359</v>
      </c>
      <c r="AL2349" s="2">
        <v>4.24</v>
      </c>
      <c r="AM2349" s="2">
        <v>4.2</v>
      </c>
      <c r="AN2349" s="2">
        <v>0</v>
      </c>
      <c r="AO2349" t="s">
        <v>11423</v>
      </c>
      <c r="AP2349" t="s">
        <v>44</v>
      </c>
      <c r="AQ2349" t="s">
        <v>11422</v>
      </c>
    </row>
    <row r="2350" spans="1:43" x14ac:dyDescent="0.2">
      <c r="A2350" t="s">
        <v>12358</v>
      </c>
      <c r="B2350" t="s">
        <v>45</v>
      </c>
      <c r="C2350" t="s">
        <v>47</v>
      </c>
      <c r="D2350" t="s">
        <v>48</v>
      </c>
      <c r="E2350" t="s">
        <v>49</v>
      </c>
      <c r="F2350" t="s">
        <v>50</v>
      </c>
      <c r="G2350" s="1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26994.48</v>
      </c>
      <c r="M2350" s="3"/>
      <c r="N2350" s="4">
        <v>6.1420000000000005E-5</v>
      </c>
      <c r="O2350" s="5" t="s">
        <v>44</v>
      </c>
      <c r="P2350" s="5" t="s">
        <v>44</v>
      </c>
      <c r="Q2350" s="1"/>
      <c r="R2350" s="2">
        <v>0.08</v>
      </c>
      <c r="S2350" s="6"/>
      <c r="T2350" t="s">
        <v>45</v>
      </c>
      <c r="U2350" t="s">
        <v>46</v>
      </c>
      <c r="V2350" t="s">
        <v>44</v>
      </c>
      <c r="W2350" t="s">
        <v>43</v>
      </c>
      <c r="X2350" t="s">
        <v>44</v>
      </c>
      <c r="Y2350" t="s">
        <v>44</v>
      </c>
      <c r="Z2350" t="s">
        <v>44</v>
      </c>
      <c r="AA2350" t="s">
        <v>44</v>
      </c>
      <c r="AB2350" t="s">
        <v>44</v>
      </c>
      <c r="AC2350" s="4">
        <v>5.1163389600000002</v>
      </c>
      <c r="AD2350" s="4">
        <v>5.0001424999999999</v>
      </c>
      <c r="AE2350" s="2">
        <v>5.12</v>
      </c>
      <c r="AF2350" s="4">
        <v>5.0001424999999999</v>
      </c>
      <c r="AG2350" s="2">
        <v>0.01</v>
      </c>
      <c r="AH2350" s="2">
        <v>26994.48</v>
      </c>
      <c r="AI2350" s="2">
        <v>0</v>
      </c>
      <c r="AJ2350" s="5">
        <v>44673</v>
      </c>
      <c r="AK2350" t="s">
        <v>12359</v>
      </c>
      <c r="AL2350" s="2">
        <v>5.05</v>
      </c>
      <c r="AM2350" s="2">
        <v>0</v>
      </c>
      <c r="AN2350" s="2">
        <v>0</v>
      </c>
      <c r="AO2350" t="s">
        <v>44</v>
      </c>
      <c r="AP2350" t="s">
        <v>44</v>
      </c>
      <c r="AQ2350" t="s">
        <v>44</v>
      </c>
    </row>
    <row r="2351" spans="1:43" x14ac:dyDescent="0.2">
      <c r="A2351" t="s">
        <v>12358</v>
      </c>
      <c r="B2351" t="s">
        <v>45</v>
      </c>
      <c r="C2351" t="s">
        <v>47</v>
      </c>
      <c r="D2351" t="s">
        <v>51</v>
      </c>
      <c r="E2351" t="s">
        <v>52</v>
      </c>
      <c r="F2351" t="s">
        <v>51</v>
      </c>
      <c r="G2351" s="1">
        <v>2161229.59</v>
      </c>
      <c r="H2351" s="2">
        <v>2161229.59</v>
      </c>
      <c r="I2351" s="2">
        <v>2161229.59</v>
      </c>
      <c r="J2351" s="2">
        <v>0</v>
      </c>
      <c r="K2351" s="2">
        <v>0</v>
      </c>
      <c r="L2351" s="2">
        <v>2161229.59</v>
      </c>
      <c r="M2351" s="3"/>
      <c r="N2351" s="4">
        <v>4.9170300000000002E-3</v>
      </c>
      <c r="O2351" s="5" t="s">
        <v>44</v>
      </c>
      <c r="P2351" s="5" t="s">
        <v>44</v>
      </c>
      <c r="Q2351" s="1"/>
      <c r="R2351" s="2">
        <v>0.08</v>
      </c>
      <c r="S2351" s="6"/>
      <c r="T2351" t="s">
        <v>45</v>
      </c>
      <c r="U2351" t="s">
        <v>53</v>
      </c>
      <c r="V2351" t="s">
        <v>44</v>
      </c>
      <c r="W2351" t="s">
        <v>43</v>
      </c>
      <c r="X2351" t="s">
        <v>44</v>
      </c>
      <c r="Y2351" t="s">
        <v>44</v>
      </c>
      <c r="Z2351" t="s">
        <v>44</v>
      </c>
      <c r="AA2351" t="s">
        <v>44</v>
      </c>
      <c r="AB2351" t="s">
        <v>44</v>
      </c>
      <c r="AC2351" s="4">
        <v>5.1163389600000002</v>
      </c>
      <c r="AD2351" s="4">
        <v>5.0001424999999999</v>
      </c>
      <c r="AE2351" s="2">
        <v>5.12</v>
      </c>
      <c r="AF2351" s="4">
        <v>5.0001424999999999</v>
      </c>
      <c r="AG2351" s="2">
        <v>0.71</v>
      </c>
      <c r="AH2351" s="2">
        <v>2161229.59</v>
      </c>
      <c r="AI2351" s="2">
        <v>0</v>
      </c>
      <c r="AJ2351" s="5">
        <v>44673</v>
      </c>
      <c r="AK2351" t="s">
        <v>12359</v>
      </c>
      <c r="AL2351" s="2">
        <v>5.05</v>
      </c>
      <c r="AM2351" s="2">
        <v>0</v>
      </c>
      <c r="AN2351" s="2">
        <v>0</v>
      </c>
      <c r="AO2351" t="s">
        <v>44</v>
      </c>
      <c r="AP2351" t="s">
        <v>44</v>
      </c>
      <c r="AQ2351" t="s">
        <v>43</v>
      </c>
    </row>
    <row r="2352" spans="1:43" x14ac:dyDescent="0.2">
      <c r="A2352" t="s">
        <v>12358</v>
      </c>
      <c r="B2352" t="s">
        <v>45</v>
      </c>
      <c r="C2352" t="s">
        <v>11005</v>
      </c>
      <c r="D2352" t="s">
        <v>11009</v>
      </c>
      <c r="E2352" t="s">
        <v>11010</v>
      </c>
      <c r="F2352" t="s">
        <v>44</v>
      </c>
      <c r="G2352" s="1">
        <v>-42366.37</v>
      </c>
      <c r="H2352" s="2">
        <v>-42366.37</v>
      </c>
      <c r="I2352" s="2">
        <v>-42366.37</v>
      </c>
      <c r="J2352" s="2">
        <v>0</v>
      </c>
      <c r="K2352" s="2"/>
      <c r="L2352" s="2">
        <v>-42366.37</v>
      </c>
      <c r="M2352" s="3"/>
      <c r="N2352" s="4">
        <v>-9.6390000000000004E-5</v>
      </c>
      <c r="O2352" s="5" t="s">
        <v>44</v>
      </c>
      <c r="P2352" s="5">
        <v>73051</v>
      </c>
      <c r="Q2352" s="1">
        <v>0</v>
      </c>
      <c r="R2352" s="2">
        <v>0.08</v>
      </c>
      <c r="S2352" s="6"/>
      <c r="T2352" t="s">
        <v>45</v>
      </c>
      <c r="U2352" t="s">
        <v>44</v>
      </c>
      <c r="V2352" t="s">
        <v>44</v>
      </c>
      <c r="W2352" t="s">
        <v>43</v>
      </c>
      <c r="X2352" t="s">
        <v>44</v>
      </c>
      <c r="Y2352" t="s">
        <v>44</v>
      </c>
      <c r="Z2352" t="s">
        <v>44</v>
      </c>
      <c r="AA2352" t="s">
        <v>44</v>
      </c>
      <c r="AB2352" t="s">
        <v>44</v>
      </c>
      <c r="AC2352" s="4">
        <v>5.1163389600000002</v>
      </c>
      <c r="AD2352" s="4">
        <v>5.0001424999999999</v>
      </c>
      <c r="AE2352" s="2">
        <v>5.12</v>
      </c>
      <c r="AF2352" s="4">
        <v>5.0001424999999999</v>
      </c>
      <c r="AG2352" s="2">
        <v>-0.01</v>
      </c>
      <c r="AH2352" s="2">
        <v>-42366.37</v>
      </c>
      <c r="AI2352" s="2">
        <v>0</v>
      </c>
      <c r="AJ2352" s="5">
        <v>44673</v>
      </c>
      <c r="AK2352" t="s">
        <v>12359</v>
      </c>
      <c r="AL2352" s="2">
        <v>5.05</v>
      </c>
      <c r="AM2352" s="2">
        <v>0</v>
      </c>
      <c r="AN2352" s="2">
        <v>0</v>
      </c>
      <c r="AO2352" t="s">
        <v>44</v>
      </c>
      <c r="AP2352" t="s">
        <v>44</v>
      </c>
      <c r="AQ2352" t="s">
        <v>44</v>
      </c>
    </row>
    <row r="2353" spans="1:43" x14ac:dyDescent="0.2">
      <c r="A2353" t="s">
        <v>12358</v>
      </c>
      <c r="B2353" t="s">
        <v>11037</v>
      </c>
      <c r="C2353" t="s">
        <v>11195</v>
      </c>
      <c r="D2353" t="s">
        <v>11606</v>
      </c>
      <c r="E2353" t="s">
        <v>7660</v>
      </c>
      <c r="F2353" t="s">
        <v>11606</v>
      </c>
      <c r="G2353" s="1">
        <v>283288</v>
      </c>
      <c r="H2353" s="2">
        <v>2341315.8199999998</v>
      </c>
      <c r="I2353" s="2">
        <v>2308797.2000000002</v>
      </c>
      <c r="J2353" s="2">
        <v>0</v>
      </c>
      <c r="K2353" s="2">
        <v>0</v>
      </c>
      <c r="L2353" s="2">
        <v>2308797.2000000002</v>
      </c>
      <c r="M2353" s="3">
        <v>815</v>
      </c>
      <c r="N2353" s="4">
        <v>5.2527600000000004E-3</v>
      </c>
      <c r="O2353" s="5" t="s">
        <v>44</v>
      </c>
      <c r="P2353" s="5" t="s">
        <v>44</v>
      </c>
      <c r="Q2353" s="1"/>
      <c r="R2353" s="2"/>
      <c r="S2353" s="6"/>
      <c r="T2353" t="s">
        <v>10902</v>
      </c>
      <c r="U2353" t="s">
        <v>10902</v>
      </c>
      <c r="V2353" t="s">
        <v>10902</v>
      </c>
      <c r="W2353" t="s">
        <v>43</v>
      </c>
      <c r="X2353" t="s">
        <v>11197</v>
      </c>
      <c r="Y2353" t="s">
        <v>11198</v>
      </c>
      <c r="Z2353" t="s">
        <v>11195</v>
      </c>
      <c r="AA2353" t="s">
        <v>44</v>
      </c>
      <c r="AB2353" t="s">
        <v>44</v>
      </c>
      <c r="AC2353" s="4"/>
      <c r="AD2353" s="4"/>
      <c r="AE2353" s="2">
        <v>0</v>
      </c>
      <c r="AF2353" s="4">
        <v>0</v>
      </c>
      <c r="AG2353" s="2">
        <v>0.76</v>
      </c>
      <c r="AH2353" s="2">
        <v>2308797.2000000002</v>
      </c>
      <c r="AI2353" s="2">
        <v>0.01</v>
      </c>
      <c r="AJ2353" s="5">
        <v>44673</v>
      </c>
      <c r="AK2353" t="s">
        <v>12359</v>
      </c>
      <c r="AL2353" s="2">
        <v>0</v>
      </c>
      <c r="AM2353" s="2">
        <v>0</v>
      </c>
      <c r="AN2353" s="2">
        <v>0</v>
      </c>
      <c r="AO2353" t="s">
        <v>44</v>
      </c>
      <c r="AP2353" t="s">
        <v>11607</v>
      </c>
      <c r="AQ2353" t="s">
        <v>7660</v>
      </c>
    </row>
    <row r="2354" spans="1:43" x14ac:dyDescent="0.2">
      <c r="A2354" t="s">
        <v>12358</v>
      </c>
      <c r="B2354" t="s">
        <v>11037</v>
      </c>
      <c r="C2354" t="s">
        <v>11195</v>
      </c>
      <c r="D2354" t="s">
        <v>11863</v>
      </c>
      <c r="E2354" t="s">
        <v>6987</v>
      </c>
      <c r="F2354" t="s">
        <v>11863</v>
      </c>
      <c r="G2354" s="1">
        <v>12321</v>
      </c>
      <c r="H2354" s="2">
        <v>166333.5</v>
      </c>
      <c r="I2354" s="2">
        <v>183952.53</v>
      </c>
      <c r="J2354" s="2">
        <v>0</v>
      </c>
      <c r="K2354" s="2">
        <v>0</v>
      </c>
      <c r="L2354" s="2">
        <v>183952.53</v>
      </c>
      <c r="M2354" s="3">
        <v>1493</v>
      </c>
      <c r="N2354" s="4">
        <v>4.1850999999999998E-4</v>
      </c>
      <c r="O2354" s="5" t="s">
        <v>44</v>
      </c>
      <c r="P2354" s="5" t="s">
        <v>44</v>
      </c>
      <c r="Q2354" s="1"/>
      <c r="R2354" s="2"/>
      <c r="S2354" s="6"/>
      <c r="T2354" t="s">
        <v>10902</v>
      </c>
      <c r="U2354" t="s">
        <v>10902</v>
      </c>
      <c r="V2354" t="s">
        <v>10902</v>
      </c>
      <c r="W2354" t="s">
        <v>43</v>
      </c>
      <c r="X2354" t="s">
        <v>11197</v>
      </c>
      <c r="Y2354" t="s">
        <v>11198</v>
      </c>
      <c r="Z2354" t="s">
        <v>11195</v>
      </c>
      <c r="AA2354" t="s">
        <v>44</v>
      </c>
      <c r="AB2354" t="s">
        <v>44</v>
      </c>
      <c r="AC2354" s="4"/>
      <c r="AD2354" s="4"/>
      <c r="AE2354" s="2">
        <v>0</v>
      </c>
      <c r="AF2354" s="4">
        <v>0</v>
      </c>
      <c r="AG2354" s="2">
        <v>0.06</v>
      </c>
      <c r="AH2354" s="2">
        <v>183952.53</v>
      </c>
      <c r="AI2354" s="2">
        <v>0</v>
      </c>
      <c r="AJ2354" s="5">
        <v>44673</v>
      </c>
      <c r="AK2354" t="s">
        <v>12359</v>
      </c>
      <c r="AL2354" s="2">
        <v>0</v>
      </c>
      <c r="AM2354" s="2">
        <v>0</v>
      </c>
      <c r="AN2354" s="2">
        <v>0</v>
      </c>
      <c r="AO2354" t="s">
        <v>44</v>
      </c>
      <c r="AP2354" t="s">
        <v>11864</v>
      </c>
      <c r="AQ2354" t="s">
        <v>6987</v>
      </c>
    </row>
    <row r="2355" spans="1:43" x14ac:dyDescent="0.2">
      <c r="A2355" t="s">
        <v>12358</v>
      </c>
      <c r="B2355" t="s">
        <v>11608</v>
      </c>
      <c r="C2355" t="s">
        <v>11608</v>
      </c>
      <c r="D2355" t="s">
        <v>12745</v>
      </c>
      <c r="E2355" t="s">
        <v>12746</v>
      </c>
      <c r="F2355" t="s">
        <v>12745</v>
      </c>
      <c r="G2355" s="1">
        <v>86500000</v>
      </c>
      <c r="H2355" s="2">
        <v>0</v>
      </c>
      <c r="I2355" s="2">
        <v>32196.6</v>
      </c>
      <c r="J2355" s="2">
        <v>0</v>
      </c>
      <c r="K2355" s="2">
        <v>0</v>
      </c>
      <c r="L2355" s="2">
        <v>32196.6</v>
      </c>
      <c r="M2355" s="3">
        <v>3.7221999999999998E-2</v>
      </c>
      <c r="N2355" s="4">
        <v>7.3250000000000005E-5</v>
      </c>
      <c r="O2355" s="5" t="s">
        <v>44</v>
      </c>
      <c r="P2355" s="5">
        <v>44890</v>
      </c>
      <c r="Q2355" s="1">
        <v>0</v>
      </c>
      <c r="R2355" s="2"/>
      <c r="S2355" s="6">
        <v>0.34246575342500002</v>
      </c>
      <c r="T2355" t="s">
        <v>11412</v>
      </c>
      <c r="U2355" t="s">
        <v>11413</v>
      </c>
      <c r="V2355" t="s">
        <v>9802</v>
      </c>
      <c r="W2355" t="s">
        <v>43</v>
      </c>
      <c r="X2355" t="s">
        <v>44</v>
      </c>
      <c r="Y2355" t="s">
        <v>44</v>
      </c>
      <c r="Z2355" t="s">
        <v>44</v>
      </c>
      <c r="AA2355" t="s">
        <v>44</v>
      </c>
      <c r="AB2355" t="s">
        <v>44</v>
      </c>
      <c r="AC2355" s="4"/>
      <c r="AD2355" s="4"/>
      <c r="AE2355" s="2">
        <v>0</v>
      </c>
      <c r="AF2355" s="4">
        <v>0</v>
      </c>
      <c r="AG2355" s="2">
        <v>0.01</v>
      </c>
      <c r="AH2355" s="2">
        <v>32196.6</v>
      </c>
      <c r="AI2355" s="2">
        <v>0</v>
      </c>
      <c r="AJ2355" s="5">
        <v>44673</v>
      </c>
      <c r="AK2355" t="s">
        <v>12359</v>
      </c>
      <c r="AL2355" s="2">
        <v>0</v>
      </c>
      <c r="AM2355" s="2">
        <v>0</v>
      </c>
      <c r="AN2355" s="2">
        <v>0.34</v>
      </c>
      <c r="AO2355" t="s">
        <v>44</v>
      </c>
      <c r="AP2355" t="s">
        <v>44</v>
      </c>
      <c r="AQ2355" t="s">
        <v>44</v>
      </c>
    </row>
    <row r="2356" spans="1:43" x14ac:dyDescent="0.2">
      <c r="A2356" t="s">
        <v>12358</v>
      </c>
      <c r="B2356" t="s">
        <v>11608</v>
      </c>
      <c r="C2356" t="s">
        <v>11608</v>
      </c>
      <c r="D2356" t="s">
        <v>12747</v>
      </c>
      <c r="E2356" t="s">
        <v>12746</v>
      </c>
      <c r="F2356" t="s">
        <v>12747</v>
      </c>
      <c r="G2356" s="1">
        <v>-86500000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3"/>
      <c r="N2356" s="4">
        <v>0</v>
      </c>
      <c r="O2356" s="5" t="s">
        <v>44</v>
      </c>
      <c r="P2356" s="5">
        <v>44890</v>
      </c>
      <c r="Q2356" s="1">
        <v>0</v>
      </c>
      <c r="R2356" s="2"/>
      <c r="S2356" s="6"/>
      <c r="T2356" t="s">
        <v>11412</v>
      </c>
      <c r="U2356" t="s">
        <v>11413</v>
      </c>
      <c r="V2356" t="s">
        <v>9802</v>
      </c>
      <c r="W2356" t="s">
        <v>43</v>
      </c>
      <c r="X2356" t="s">
        <v>44</v>
      </c>
      <c r="Y2356" t="s">
        <v>44</v>
      </c>
      <c r="Z2356" t="s">
        <v>44</v>
      </c>
      <c r="AA2356" t="s">
        <v>44</v>
      </c>
      <c r="AB2356" t="s">
        <v>44</v>
      </c>
      <c r="AC2356" s="4"/>
      <c r="AD2356" s="4"/>
      <c r="AE2356" s="2">
        <v>0</v>
      </c>
      <c r="AF2356" s="4">
        <v>0</v>
      </c>
      <c r="AG2356" s="2">
        <v>0</v>
      </c>
      <c r="AH2356" s="2">
        <v>0</v>
      </c>
      <c r="AI2356" s="2">
        <v>0</v>
      </c>
      <c r="AJ2356" s="5">
        <v>44673</v>
      </c>
      <c r="AK2356" t="s">
        <v>12359</v>
      </c>
      <c r="AL2356" s="2">
        <v>0</v>
      </c>
      <c r="AM2356" s="2">
        <v>0</v>
      </c>
      <c r="AN2356" s="2">
        <v>0</v>
      </c>
      <c r="AO2356" t="s">
        <v>44</v>
      </c>
      <c r="AP2356" t="s">
        <v>44</v>
      </c>
      <c r="AQ2356" t="s">
        <v>44</v>
      </c>
    </row>
    <row r="2357" spans="1:43" x14ac:dyDescent="0.2">
      <c r="A2357" t="s">
        <v>12358</v>
      </c>
      <c r="B2357" t="s">
        <v>11608</v>
      </c>
      <c r="C2357" t="s">
        <v>11608</v>
      </c>
      <c r="D2357" t="s">
        <v>12748</v>
      </c>
      <c r="E2357" t="s">
        <v>12746</v>
      </c>
      <c r="F2357" t="s">
        <v>12748</v>
      </c>
      <c r="G2357" s="1">
        <v>86500000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3"/>
      <c r="N2357" s="4">
        <v>0</v>
      </c>
      <c r="O2357" s="5" t="s">
        <v>44</v>
      </c>
      <c r="P2357" s="5">
        <v>44890</v>
      </c>
      <c r="Q2357" s="1">
        <v>5.49</v>
      </c>
      <c r="R2357" s="2"/>
      <c r="S2357" s="6"/>
      <c r="T2357" t="s">
        <v>11412</v>
      </c>
      <c r="U2357" t="s">
        <v>11413</v>
      </c>
      <c r="V2357" t="s">
        <v>9802</v>
      </c>
      <c r="W2357" t="s">
        <v>43</v>
      </c>
      <c r="X2357" t="s">
        <v>44</v>
      </c>
      <c r="Y2357" t="s">
        <v>44</v>
      </c>
      <c r="Z2357" t="s">
        <v>44</v>
      </c>
      <c r="AA2357" t="s">
        <v>44</v>
      </c>
      <c r="AB2357" t="s">
        <v>44</v>
      </c>
      <c r="AC2357" s="4"/>
      <c r="AD2357" s="4"/>
      <c r="AE2357" s="2">
        <v>0</v>
      </c>
      <c r="AF2357" s="4">
        <v>0</v>
      </c>
      <c r="AG2357" s="2">
        <v>0</v>
      </c>
      <c r="AH2357" s="2">
        <v>0</v>
      </c>
      <c r="AI2357" s="2">
        <v>0</v>
      </c>
      <c r="AJ2357" s="5">
        <v>44673</v>
      </c>
      <c r="AK2357" t="s">
        <v>12359</v>
      </c>
      <c r="AL2357" s="2">
        <v>0</v>
      </c>
      <c r="AM2357" s="2">
        <v>5.49</v>
      </c>
      <c r="AN2357" s="2">
        <v>0</v>
      </c>
      <c r="AO2357" t="s">
        <v>44</v>
      </c>
      <c r="AP2357" t="s">
        <v>44</v>
      </c>
      <c r="AQ2357" t="s">
        <v>44</v>
      </c>
    </row>
    <row r="2358" spans="1:43" x14ac:dyDescent="0.2">
      <c r="A2358" t="s">
        <v>12358</v>
      </c>
      <c r="B2358" t="s">
        <v>11608</v>
      </c>
      <c r="C2358" t="s">
        <v>11608</v>
      </c>
      <c r="D2358" t="s">
        <v>12749</v>
      </c>
      <c r="E2358" t="s">
        <v>12750</v>
      </c>
      <c r="F2358" t="s">
        <v>12749</v>
      </c>
      <c r="G2358" s="1">
        <v>86500000</v>
      </c>
      <c r="H2358" s="2">
        <v>0</v>
      </c>
      <c r="I2358" s="2">
        <v>30079.19</v>
      </c>
      <c r="J2358" s="2">
        <v>0</v>
      </c>
      <c r="K2358" s="2">
        <v>0</v>
      </c>
      <c r="L2358" s="2">
        <v>30079.19</v>
      </c>
      <c r="M2358" s="3">
        <v>3.4773999999999999E-2</v>
      </c>
      <c r="N2358" s="4">
        <v>6.8429999999999994E-5</v>
      </c>
      <c r="O2358" s="5" t="s">
        <v>44</v>
      </c>
      <c r="P2358" s="5">
        <v>44890</v>
      </c>
      <c r="Q2358" s="1">
        <v>0</v>
      </c>
      <c r="R2358" s="2"/>
      <c r="S2358" s="6">
        <v>0.34246575342500002</v>
      </c>
      <c r="T2358" t="s">
        <v>11412</v>
      </c>
      <c r="U2358" t="s">
        <v>11413</v>
      </c>
      <c r="V2358" t="s">
        <v>9802</v>
      </c>
      <c r="W2358" t="s">
        <v>43</v>
      </c>
      <c r="X2358" t="s">
        <v>44</v>
      </c>
      <c r="Y2358" t="s">
        <v>44</v>
      </c>
      <c r="Z2358" t="s">
        <v>44</v>
      </c>
      <c r="AA2358" t="s">
        <v>44</v>
      </c>
      <c r="AB2358" t="s">
        <v>44</v>
      </c>
      <c r="AC2358" s="4"/>
      <c r="AD2358" s="4"/>
      <c r="AE2358" s="2">
        <v>0</v>
      </c>
      <c r="AF2358" s="4">
        <v>0</v>
      </c>
      <c r="AG2358" s="2">
        <v>0.01</v>
      </c>
      <c r="AH2358" s="2">
        <v>30079.19</v>
      </c>
      <c r="AI2358" s="2">
        <v>0</v>
      </c>
      <c r="AJ2358" s="5">
        <v>44673</v>
      </c>
      <c r="AK2358" t="s">
        <v>12359</v>
      </c>
      <c r="AL2358" s="2">
        <v>0</v>
      </c>
      <c r="AM2358" s="2">
        <v>0</v>
      </c>
      <c r="AN2358" s="2">
        <v>0.34</v>
      </c>
      <c r="AO2358" t="s">
        <v>44</v>
      </c>
      <c r="AP2358" t="s">
        <v>44</v>
      </c>
      <c r="AQ2358" t="s">
        <v>44</v>
      </c>
    </row>
    <row r="2359" spans="1:43" x14ac:dyDescent="0.2">
      <c r="A2359" t="s">
        <v>12358</v>
      </c>
      <c r="B2359" t="s">
        <v>11608</v>
      </c>
      <c r="C2359" t="s">
        <v>11608</v>
      </c>
      <c r="D2359" t="s">
        <v>12751</v>
      </c>
      <c r="E2359" t="s">
        <v>12750</v>
      </c>
      <c r="F2359" t="s">
        <v>12751</v>
      </c>
      <c r="G2359" s="1">
        <v>-86500000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3"/>
      <c r="N2359" s="4">
        <v>0</v>
      </c>
      <c r="O2359" s="5" t="s">
        <v>44</v>
      </c>
      <c r="P2359" s="5">
        <v>44890</v>
      </c>
      <c r="Q2359" s="1">
        <v>0</v>
      </c>
      <c r="R2359" s="2"/>
      <c r="S2359" s="6"/>
      <c r="T2359" t="s">
        <v>11412</v>
      </c>
      <c r="U2359" t="s">
        <v>11413</v>
      </c>
      <c r="V2359" t="s">
        <v>9802</v>
      </c>
      <c r="W2359" t="s">
        <v>43</v>
      </c>
      <c r="X2359" t="s">
        <v>44</v>
      </c>
      <c r="Y2359" t="s">
        <v>44</v>
      </c>
      <c r="Z2359" t="s">
        <v>44</v>
      </c>
      <c r="AA2359" t="s">
        <v>44</v>
      </c>
      <c r="AB2359" t="s">
        <v>44</v>
      </c>
      <c r="AC2359" s="4"/>
      <c r="AD2359" s="4"/>
      <c r="AE2359" s="2">
        <v>0</v>
      </c>
      <c r="AF2359" s="4">
        <v>0</v>
      </c>
      <c r="AG2359" s="2">
        <v>0</v>
      </c>
      <c r="AH2359" s="2">
        <v>0</v>
      </c>
      <c r="AI2359" s="2">
        <v>0</v>
      </c>
      <c r="AJ2359" s="5">
        <v>44673</v>
      </c>
      <c r="AK2359" t="s">
        <v>12359</v>
      </c>
      <c r="AL2359" s="2">
        <v>0</v>
      </c>
      <c r="AM2359" s="2">
        <v>0</v>
      </c>
      <c r="AN2359" s="2">
        <v>0</v>
      </c>
      <c r="AO2359" t="s">
        <v>44</v>
      </c>
      <c r="AP2359" t="s">
        <v>44</v>
      </c>
      <c r="AQ2359" t="s">
        <v>44</v>
      </c>
    </row>
    <row r="2360" spans="1:43" x14ac:dyDescent="0.2">
      <c r="A2360" t="s">
        <v>12358</v>
      </c>
      <c r="B2360" t="s">
        <v>11608</v>
      </c>
      <c r="C2360" t="s">
        <v>11608</v>
      </c>
      <c r="D2360" t="s">
        <v>12752</v>
      </c>
      <c r="E2360" t="s">
        <v>12750</v>
      </c>
      <c r="F2360" t="s">
        <v>12752</v>
      </c>
      <c r="G2360" s="1">
        <v>86500000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3"/>
      <c r="N2360" s="4">
        <v>0</v>
      </c>
      <c r="O2360" s="5" t="s">
        <v>44</v>
      </c>
      <c r="P2360" s="5">
        <v>44890</v>
      </c>
      <c r="Q2360" s="1">
        <v>5.48</v>
      </c>
      <c r="R2360" s="2"/>
      <c r="S2360" s="6"/>
      <c r="T2360" t="s">
        <v>11412</v>
      </c>
      <c r="U2360" t="s">
        <v>11413</v>
      </c>
      <c r="V2360" t="s">
        <v>9802</v>
      </c>
      <c r="W2360" t="s">
        <v>43</v>
      </c>
      <c r="X2360" t="s">
        <v>44</v>
      </c>
      <c r="Y2360" t="s">
        <v>44</v>
      </c>
      <c r="Z2360" t="s">
        <v>44</v>
      </c>
      <c r="AA2360" t="s">
        <v>44</v>
      </c>
      <c r="AB2360" t="s">
        <v>44</v>
      </c>
      <c r="AC2360" s="4"/>
      <c r="AD2360" s="4"/>
      <c r="AE2360" s="2">
        <v>0</v>
      </c>
      <c r="AF2360" s="4">
        <v>0</v>
      </c>
      <c r="AG2360" s="2">
        <v>0</v>
      </c>
      <c r="AH2360" s="2">
        <v>0</v>
      </c>
      <c r="AI2360" s="2">
        <v>0</v>
      </c>
      <c r="AJ2360" s="5">
        <v>44673</v>
      </c>
      <c r="AK2360" t="s">
        <v>12359</v>
      </c>
      <c r="AL2360" s="2">
        <v>0</v>
      </c>
      <c r="AM2360" s="2">
        <v>5.48</v>
      </c>
      <c r="AN2360" s="2">
        <v>0</v>
      </c>
      <c r="AO2360" t="s">
        <v>44</v>
      </c>
      <c r="AP2360" t="s">
        <v>44</v>
      </c>
      <c r="AQ2360" t="s">
        <v>44</v>
      </c>
    </row>
    <row r="2361" spans="1:43" x14ac:dyDescent="0.2">
      <c r="A2361" t="s">
        <v>12358</v>
      </c>
      <c r="B2361" t="s">
        <v>11865</v>
      </c>
      <c r="C2361" t="s">
        <v>11865</v>
      </c>
      <c r="D2361" t="s">
        <v>11866</v>
      </c>
      <c r="E2361" t="s">
        <v>11867</v>
      </c>
      <c r="F2361" t="s">
        <v>11866</v>
      </c>
      <c r="G2361" s="1">
        <v>-389200</v>
      </c>
      <c r="H2361" s="2">
        <v>-5688235.8399999999</v>
      </c>
      <c r="I2361" s="2">
        <v>-6095042.5199999996</v>
      </c>
      <c r="J2361" s="2">
        <v>0</v>
      </c>
      <c r="K2361" s="2">
        <v>0</v>
      </c>
      <c r="L2361" s="2">
        <v>-6095042.5199999996</v>
      </c>
      <c r="M2361" s="3">
        <v>6.3854999999999995E-2</v>
      </c>
      <c r="N2361" s="4">
        <v>-1.386688E-2</v>
      </c>
      <c r="O2361" s="5" t="s">
        <v>44</v>
      </c>
      <c r="P2361" s="5">
        <v>44701</v>
      </c>
      <c r="Q2361" s="1"/>
      <c r="R2361" s="2"/>
      <c r="S2361" s="6"/>
      <c r="T2361" t="s">
        <v>11868</v>
      </c>
      <c r="U2361" t="s">
        <v>44</v>
      </c>
      <c r="V2361" t="s">
        <v>44</v>
      </c>
      <c r="W2361" t="s">
        <v>113</v>
      </c>
      <c r="X2361" t="s">
        <v>44</v>
      </c>
      <c r="Y2361" t="s">
        <v>44</v>
      </c>
      <c r="Z2361" t="s">
        <v>44</v>
      </c>
      <c r="AA2361" t="s">
        <v>44</v>
      </c>
      <c r="AB2361" t="s">
        <v>44</v>
      </c>
      <c r="AC2361" s="4"/>
      <c r="AD2361" s="4"/>
      <c r="AE2361" s="2">
        <v>0</v>
      </c>
      <c r="AF2361" s="4">
        <v>0</v>
      </c>
      <c r="AG2361" s="2">
        <v>-2</v>
      </c>
      <c r="AH2361" s="2">
        <v>-6095042.5199999996</v>
      </c>
      <c r="AI2361" s="2">
        <v>-0.01</v>
      </c>
      <c r="AJ2361" s="5">
        <v>44673</v>
      </c>
      <c r="AK2361" t="s">
        <v>12359</v>
      </c>
      <c r="AL2361" s="2">
        <v>0</v>
      </c>
      <c r="AM2361" s="2">
        <v>0</v>
      </c>
      <c r="AN2361" s="2">
        <v>0</v>
      </c>
      <c r="AO2361" t="s">
        <v>44</v>
      </c>
      <c r="AP2361" t="s">
        <v>44</v>
      </c>
      <c r="AQ2361" t="s">
        <v>113</v>
      </c>
    </row>
    <row r="2362" spans="1:43" x14ac:dyDescent="0.2">
      <c r="A2362" t="s">
        <v>12358</v>
      </c>
      <c r="B2362" t="s">
        <v>11865</v>
      </c>
      <c r="C2362" t="s">
        <v>11865</v>
      </c>
      <c r="D2362" t="s">
        <v>11869</v>
      </c>
      <c r="E2362" t="s">
        <v>11867</v>
      </c>
      <c r="F2362" t="s">
        <v>11869</v>
      </c>
      <c r="G2362" s="1">
        <v>5688235.8399999999</v>
      </c>
      <c r="H2362" s="2">
        <v>5688235.8399999999</v>
      </c>
      <c r="I2362" s="2">
        <v>5688235.8399999999</v>
      </c>
      <c r="J2362" s="2">
        <v>0</v>
      </c>
      <c r="K2362" s="2">
        <v>0</v>
      </c>
      <c r="L2362" s="2">
        <v>5688235.8399999999</v>
      </c>
      <c r="M2362" s="3">
        <v>1</v>
      </c>
      <c r="N2362" s="4">
        <v>1.2941350000000001E-2</v>
      </c>
      <c r="O2362" s="5" t="s">
        <v>44</v>
      </c>
      <c r="P2362" s="5">
        <v>44701</v>
      </c>
      <c r="Q2362" s="1"/>
      <c r="R2362" s="2"/>
      <c r="S2362" s="6"/>
      <c r="T2362" t="s">
        <v>11868</v>
      </c>
      <c r="U2362" t="s">
        <v>44</v>
      </c>
      <c r="V2362" t="s">
        <v>44</v>
      </c>
      <c r="W2362" t="s">
        <v>43</v>
      </c>
      <c r="X2362" t="s">
        <v>44</v>
      </c>
      <c r="Y2362" t="s">
        <v>44</v>
      </c>
      <c r="Z2362" t="s">
        <v>44</v>
      </c>
      <c r="AA2362" t="s">
        <v>44</v>
      </c>
      <c r="AB2362" t="s">
        <v>44</v>
      </c>
      <c r="AC2362" s="4"/>
      <c r="AD2362" s="4"/>
      <c r="AE2362" s="2">
        <v>0</v>
      </c>
      <c r="AF2362" s="4">
        <v>0</v>
      </c>
      <c r="AG2362" s="2">
        <v>1.86</v>
      </c>
      <c r="AH2362" s="2">
        <v>5688235.8399999999</v>
      </c>
      <c r="AI2362" s="2">
        <v>0.01</v>
      </c>
      <c r="AJ2362" s="5">
        <v>44673</v>
      </c>
      <c r="AK2362" t="s">
        <v>12359</v>
      </c>
      <c r="AL2362" s="2">
        <v>0</v>
      </c>
      <c r="AM2362" s="2">
        <v>0</v>
      </c>
      <c r="AN2362" s="2">
        <v>0</v>
      </c>
      <c r="AO2362" t="s">
        <v>44</v>
      </c>
      <c r="AP2362" t="s">
        <v>44</v>
      </c>
      <c r="AQ2362" t="s">
        <v>43</v>
      </c>
    </row>
    <row r="2363" spans="1:43" x14ac:dyDescent="0.2">
      <c r="A2363" t="s">
        <v>12358</v>
      </c>
      <c r="B2363" t="s">
        <v>11038</v>
      </c>
      <c r="C2363" t="s">
        <v>11870</v>
      </c>
      <c r="D2363" t="s">
        <v>11616</v>
      </c>
      <c r="E2363" t="s">
        <v>11617</v>
      </c>
      <c r="F2363" t="s">
        <v>11616</v>
      </c>
      <c r="G2363" s="1">
        <v>12500000</v>
      </c>
      <c r="H2363" s="2">
        <v>12503996.42</v>
      </c>
      <c r="I2363" s="2">
        <v>12505254.890000001</v>
      </c>
      <c r="J2363" s="2">
        <v>151450</v>
      </c>
      <c r="K2363" s="2">
        <v>0</v>
      </c>
      <c r="L2363" s="2">
        <v>12656704.890000001</v>
      </c>
      <c r="M2363" s="3">
        <v>4.9760429999999998</v>
      </c>
      <c r="N2363" s="4">
        <v>2.8795370000000001E-2</v>
      </c>
      <c r="O2363" s="5">
        <v>44690</v>
      </c>
      <c r="P2363" s="5">
        <v>44690</v>
      </c>
      <c r="Q2363" s="1">
        <v>6.0579999999999998</v>
      </c>
      <c r="R2363" s="2">
        <v>0.04</v>
      </c>
      <c r="S2363" s="6">
        <v>3.6514757501999999E-2</v>
      </c>
      <c r="T2363" t="s">
        <v>111</v>
      </c>
      <c r="U2363" t="s">
        <v>11040</v>
      </c>
      <c r="V2363" t="s">
        <v>114</v>
      </c>
      <c r="W2363" t="s">
        <v>43</v>
      </c>
      <c r="X2363" t="s">
        <v>10988</v>
      </c>
      <c r="Y2363" t="s">
        <v>44</v>
      </c>
      <c r="Z2363" t="s">
        <v>44</v>
      </c>
      <c r="AA2363" t="s">
        <v>10979</v>
      </c>
      <c r="AB2363" t="s">
        <v>44</v>
      </c>
      <c r="AC2363" s="4">
        <v>5.09694307</v>
      </c>
      <c r="AD2363" s="4">
        <v>4.9816122199999997</v>
      </c>
      <c r="AE2363" s="2">
        <v>5.0999999999999996</v>
      </c>
      <c r="AF2363" s="4">
        <v>4.9816122199999997</v>
      </c>
      <c r="AG2363" s="2">
        <v>4.1500000000000004</v>
      </c>
      <c r="AH2363" s="2">
        <v>12656704.890000001</v>
      </c>
      <c r="AI2363" s="2">
        <v>0.03</v>
      </c>
      <c r="AJ2363" s="5">
        <v>44673</v>
      </c>
      <c r="AK2363" t="s">
        <v>12359</v>
      </c>
      <c r="AL2363" s="2">
        <v>5.03</v>
      </c>
      <c r="AM2363" s="2">
        <v>6.06</v>
      </c>
      <c r="AN2363" s="2">
        <v>0.04</v>
      </c>
      <c r="AO2363" t="s">
        <v>11618</v>
      </c>
      <c r="AP2363" t="s">
        <v>11619</v>
      </c>
      <c r="AQ2363" t="s">
        <v>11617</v>
      </c>
    </row>
    <row r="2364" spans="1:43" x14ac:dyDescent="0.2">
      <c r="A2364" t="s">
        <v>12358</v>
      </c>
      <c r="B2364" t="s">
        <v>11038</v>
      </c>
      <c r="C2364" t="s">
        <v>11055</v>
      </c>
      <c r="D2364" t="s">
        <v>11872</v>
      </c>
      <c r="E2364" t="s">
        <v>11873</v>
      </c>
      <c r="F2364" t="s">
        <v>11872</v>
      </c>
      <c r="G2364" s="1">
        <v>6800000</v>
      </c>
      <c r="H2364" s="2">
        <v>6802425.9500000002</v>
      </c>
      <c r="I2364" s="2">
        <v>6804215.2000000002</v>
      </c>
      <c r="J2364" s="2">
        <v>58520.61</v>
      </c>
      <c r="K2364" s="2">
        <v>0</v>
      </c>
      <c r="L2364" s="2">
        <v>6862735.8099999996</v>
      </c>
      <c r="M2364" s="3">
        <v>5.1502819999999998</v>
      </c>
      <c r="N2364" s="4">
        <v>1.5613459999999999E-2</v>
      </c>
      <c r="O2364" s="5">
        <v>44712</v>
      </c>
      <c r="P2364" s="5">
        <v>44712</v>
      </c>
      <c r="Q2364" s="1">
        <v>5.8170000000000002</v>
      </c>
      <c r="R2364" s="2">
        <v>0.1</v>
      </c>
      <c r="S2364" s="6">
        <v>9.3730576011000002E-2</v>
      </c>
      <c r="T2364" t="s">
        <v>111</v>
      </c>
      <c r="U2364" t="s">
        <v>11040</v>
      </c>
      <c r="V2364" t="s">
        <v>114</v>
      </c>
      <c r="W2364" t="s">
        <v>43</v>
      </c>
      <c r="X2364" t="s">
        <v>10988</v>
      </c>
      <c r="Y2364" t="s">
        <v>44</v>
      </c>
      <c r="Z2364" t="s">
        <v>44</v>
      </c>
      <c r="AA2364" t="s">
        <v>10979</v>
      </c>
      <c r="AB2364" t="s">
        <v>44</v>
      </c>
      <c r="AC2364" s="4">
        <v>5.2714900699999996</v>
      </c>
      <c r="AD2364" s="4">
        <v>5.1482567699999997</v>
      </c>
      <c r="AE2364" s="2">
        <v>5.27</v>
      </c>
      <c r="AF2364" s="4">
        <v>5.1482567699999997</v>
      </c>
      <c r="AG2364" s="2">
        <v>2.25</v>
      </c>
      <c r="AH2364" s="2">
        <v>6862735.8099999996</v>
      </c>
      <c r="AI2364" s="2">
        <v>0.02</v>
      </c>
      <c r="AJ2364" s="5">
        <v>44673</v>
      </c>
      <c r="AK2364" t="s">
        <v>12359</v>
      </c>
      <c r="AL2364" s="2">
        <v>5.2</v>
      </c>
      <c r="AM2364" s="2">
        <v>5.82</v>
      </c>
      <c r="AN2364" s="2">
        <v>0.09</v>
      </c>
      <c r="AO2364" t="s">
        <v>11048</v>
      </c>
      <c r="AP2364" t="s">
        <v>11874</v>
      </c>
      <c r="AQ2364" t="s">
        <v>11873</v>
      </c>
    </row>
    <row r="2365" spans="1:43" x14ac:dyDescent="0.2">
      <c r="A2365" t="s">
        <v>12358</v>
      </c>
      <c r="B2365" t="s">
        <v>11038</v>
      </c>
      <c r="C2365" t="s">
        <v>11039</v>
      </c>
      <c r="D2365" t="s">
        <v>11878</v>
      </c>
      <c r="E2365" t="s">
        <v>11879</v>
      </c>
      <c r="F2365" t="s">
        <v>11878</v>
      </c>
      <c r="G2365" s="1">
        <v>800000</v>
      </c>
      <c r="H2365" s="2">
        <v>799943.28</v>
      </c>
      <c r="I2365" s="2">
        <v>799930.42</v>
      </c>
      <c r="J2365" s="2">
        <v>5278.36</v>
      </c>
      <c r="K2365" s="2">
        <v>0</v>
      </c>
      <c r="L2365" s="2">
        <v>805208.78</v>
      </c>
      <c r="M2365" s="3">
        <v>6.1553490000000002</v>
      </c>
      <c r="N2365" s="4">
        <v>1.83194E-3</v>
      </c>
      <c r="O2365" s="5">
        <v>44727</v>
      </c>
      <c r="P2365" s="5">
        <v>45000</v>
      </c>
      <c r="Q2365" s="1">
        <v>6.1749999999999998</v>
      </c>
      <c r="R2365" s="2">
        <v>0.14000000000000001</v>
      </c>
      <c r="S2365" s="6">
        <v>0.121958312463</v>
      </c>
      <c r="T2365" t="s">
        <v>111</v>
      </c>
      <c r="U2365" t="s">
        <v>11040</v>
      </c>
      <c r="V2365" t="s">
        <v>114</v>
      </c>
      <c r="W2365" t="s">
        <v>43</v>
      </c>
      <c r="X2365" t="s">
        <v>10988</v>
      </c>
      <c r="Y2365" t="s">
        <v>44</v>
      </c>
      <c r="Z2365" t="s">
        <v>44</v>
      </c>
      <c r="AA2365" t="s">
        <v>10979</v>
      </c>
      <c r="AB2365" t="s">
        <v>44</v>
      </c>
      <c r="AC2365" s="4">
        <v>6.3207521</v>
      </c>
      <c r="AD2365" s="4">
        <v>6.1447089999999998</v>
      </c>
      <c r="AE2365" s="2">
        <v>6.32</v>
      </c>
      <c r="AF2365" s="4">
        <v>6.1447089999999998</v>
      </c>
      <c r="AG2365" s="2">
        <v>0.26</v>
      </c>
      <c r="AH2365" s="2">
        <v>805208.78</v>
      </c>
      <c r="AI2365" s="2">
        <v>0</v>
      </c>
      <c r="AJ2365" s="5">
        <v>44673</v>
      </c>
      <c r="AK2365" t="s">
        <v>12359</v>
      </c>
      <c r="AL2365" s="2">
        <v>6.22</v>
      </c>
      <c r="AM2365" s="2">
        <v>6.17</v>
      </c>
      <c r="AN2365" s="2">
        <v>0.12</v>
      </c>
      <c r="AO2365" t="s">
        <v>11567</v>
      </c>
      <c r="AP2365" t="s">
        <v>11880</v>
      </c>
      <c r="AQ2365" t="s">
        <v>11879</v>
      </c>
    </row>
    <row r="2366" spans="1:43" x14ac:dyDescent="0.2">
      <c r="A2366" t="s">
        <v>12358</v>
      </c>
      <c r="B2366" t="s">
        <v>11038</v>
      </c>
      <c r="C2366" t="s">
        <v>11039</v>
      </c>
      <c r="D2366" t="s">
        <v>11881</v>
      </c>
      <c r="E2366" t="s">
        <v>11882</v>
      </c>
      <c r="F2366" t="s">
        <v>11881</v>
      </c>
      <c r="G2366" s="1">
        <v>800000</v>
      </c>
      <c r="H2366" s="2">
        <v>799943.28</v>
      </c>
      <c r="I2366" s="2">
        <v>799930.42</v>
      </c>
      <c r="J2366" s="2">
        <v>5278.36</v>
      </c>
      <c r="K2366" s="2">
        <v>0</v>
      </c>
      <c r="L2366" s="2">
        <v>805208.78</v>
      </c>
      <c r="M2366" s="3">
        <v>6.1553490000000002</v>
      </c>
      <c r="N2366" s="4">
        <v>1.83194E-3</v>
      </c>
      <c r="O2366" s="5">
        <v>44727</v>
      </c>
      <c r="P2366" s="5">
        <v>45000</v>
      </c>
      <c r="Q2366" s="1">
        <v>6.1749999999999998</v>
      </c>
      <c r="R2366" s="2">
        <v>0.14000000000000001</v>
      </c>
      <c r="S2366" s="6">
        <v>0.121958312463</v>
      </c>
      <c r="T2366" t="s">
        <v>111</v>
      </c>
      <c r="U2366" t="s">
        <v>11040</v>
      </c>
      <c r="V2366" t="s">
        <v>114</v>
      </c>
      <c r="W2366" t="s">
        <v>43</v>
      </c>
      <c r="X2366" t="s">
        <v>10988</v>
      </c>
      <c r="Y2366" t="s">
        <v>44</v>
      </c>
      <c r="Z2366" t="s">
        <v>44</v>
      </c>
      <c r="AA2366" t="s">
        <v>10979</v>
      </c>
      <c r="AB2366" t="s">
        <v>44</v>
      </c>
      <c r="AC2366" s="4">
        <v>6.3207521</v>
      </c>
      <c r="AD2366" s="4">
        <v>6.1447089999999998</v>
      </c>
      <c r="AE2366" s="2">
        <v>6.32</v>
      </c>
      <c r="AF2366" s="4">
        <v>6.1447089999999998</v>
      </c>
      <c r="AG2366" s="2">
        <v>0.26</v>
      </c>
      <c r="AH2366" s="2">
        <v>805208.78</v>
      </c>
      <c r="AI2366" s="2">
        <v>0</v>
      </c>
      <c r="AJ2366" s="5">
        <v>44673</v>
      </c>
      <c r="AK2366" t="s">
        <v>12359</v>
      </c>
      <c r="AL2366" s="2">
        <v>6.22</v>
      </c>
      <c r="AM2366" s="2">
        <v>6.17</v>
      </c>
      <c r="AN2366" s="2">
        <v>0.12</v>
      </c>
      <c r="AO2366" t="s">
        <v>11567</v>
      </c>
      <c r="AP2366" t="s">
        <v>11883</v>
      </c>
      <c r="AQ2366" t="s">
        <v>11882</v>
      </c>
    </row>
    <row r="2367" spans="1:43" x14ac:dyDescent="0.2">
      <c r="A2367" t="s">
        <v>12358</v>
      </c>
      <c r="B2367" t="s">
        <v>11038</v>
      </c>
      <c r="C2367" t="s">
        <v>11039</v>
      </c>
      <c r="D2367" t="s">
        <v>11387</v>
      </c>
      <c r="E2367" t="s">
        <v>11388</v>
      </c>
      <c r="F2367" t="s">
        <v>11387</v>
      </c>
      <c r="G2367" s="1">
        <v>2000000</v>
      </c>
      <c r="H2367" s="2">
        <v>1996246.89</v>
      </c>
      <c r="I2367" s="2">
        <v>1997023.71</v>
      </c>
      <c r="J2367" s="2">
        <v>42016.44</v>
      </c>
      <c r="K2367" s="2">
        <v>0</v>
      </c>
      <c r="L2367" s="2">
        <v>2039040.15</v>
      </c>
      <c r="M2367" s="3">
        <v>5.5360769999999997</v>
      </c>
      <c r="N2367" s="4">
        <v>4.6390399999999997E-3</v>
      </c>
      <c r="O2367" s="5">
        <v>44897</v>
      </c>
      <c r="P2367" s="5">
        <v>44897</v>
      </c>
      <c r="Q2367" s="1">
        <v>5.4</v>
      </c>
      <c r="R2367" s="2">
        <v>0.61</v>
      </c>
      <c r="S2367" s="6">
        <v>0.58584213564999998</v>
      </c>
      <c r="T2367" t="s">
        <v>111</v>
      </c>
      <c r="U2367" t="s">
        <v>11040</v>
      </c>
      <c r="V2367" t="s">
        <v>11041</v>
      </c>
      <c r="W2367" t="s">
        <v>43</v>
      </c>
      <c r="X2367" t="s">
        <v>11034</v>
      </c>
      <c r="Y2367" t="s">
        <v>44</v>
      </c>
      <c r="Z2367" t="s">
        <v>44</v>
      </c>
      <c r="AA2367" t="s">
        <v>10979</v>
      </c>
      <c r="AB2367" t="s">
        <v>44</v>
      </c>
      <c r="AC2367" s="4">
        <v>5.5963009100000001</v>
      </c>
      <c r="AD2367" s="4">
        <v>5.4576890300000001</v>
      </c>
      <c r="AE2367" s="2">
        <v>5.6</v>
      </c>
      <c r="AF2367" s="4">
        <v>5.4576890300000001</v>
      </c>
      <c r="AG2367" s="2">
        <v>0.67</v>
      </c>
      <c r="AH2367" s="2">
        <v>2039040.15</v>
      </c>
      <c r="AI2367" s="2">
        <v>0</v>
      </c>
      <c r="AJ2367" s="5">
        <v>44673</v>
      </c>
      <c r="AK2367" t="s">
        <v>12359</v>
      </c>
      <c r="AL2367" s="2">
        <v>5.52</v>
      </c>
      <c r="AM2367" s="2">
        <v>5.4</v>
      </c>
      <c r="AN2367" s="2">
        <v>0.59</v>
      </c>
      <c r="AO2367" t="s">
        <v>11165</v>
      </c>
      <c r="AP2367" t="s">
        <v>11389</v>
      </c>
      <c r="AQ2367" t="s">
        <v>11388</v>
      </c>
    </row>
    <row r="2368" spans="1:43" x14ac:dyDescent="0.2">
      <c r="A2368" t="s">
        <v>12358</v>
      </c>
      <c r="B2368" t="s">
        <v>11038</v>
      </c>
      <c r="C2368" t="s">
        <v>11039</v>
      </c>
      <c r="D2368" t="s">
        <v>11968</v>
      </c>
      <c r="E2368" t="s">
        <v>11969</v>
      </c>
      <c r="F2368" t="s">
        <v>11968</v>
      </c>
      <c r="G2368" s="1">
        <v>4000000</v>
      </c>
      <c r="H2368" s="2">
        <v>3988363.56</v>
      </c>
      <c r="I2368" s="2">
        <v>3993156.25</v>
      </c>
      <c r="J2368" s="2">
        <v>68964.38</v>
      </c>
      <c r="K2368" s="2">
        <v>0</v>
      </c>
      <c r="L2368" s="2">
        <v>4062120.63</v>
      </c>
      <c r="M2368" s="3">
        <v>5.5893660000000001</v>
      </c>
      <c r="N2368" s="4">
        <v>9.2417599999999999E-3</v>
      </c>
      <c r="O2368" s="5">
        <v>44923</v>
      </c>
      <c r="P2368" s="5">
        <v>44923</v>
      </c>
      <c r="Q2368" s="1">
        <v>5.4249999999999998</v>
      </c>
      <c r="R2368" s="2">
        <v>0.68</v>
      </c>
      <c r="S2368" s="6">
        <v>0.65204926551999998</v>
      </c>
      <c r="T2368" t="s">
        <v>111</v>
      </c>
      <c r="U2368" t="s">
        <v>11040</v>
      </c>
      <c r="V2368" t="s">
        <v>11041</v>
      </c>
      <c r="W2368" t="s">
        <v>43</v>
      </c>
      <c r="X2368" t="s">
        <v>11034</v>
      </c>
      <c r="Y2368" t="s">
        <v>44</v>
      </c>
      <c r="Z2368" t="s">
        <v>44</v>
      </c>
      <c r="AA2368" t="s">
        <v>10979</v>
      </c>
      <c r="AB2368" t="s">
        <v>44</v>
      </c>
      <c r="AC2368" s="4">
        <v>5.6395369400000002</v>
      </c>
      <c r="AD2368" s="4">
        <v>5.4988121699999999</v>
      </c>
      <c r="AE2368" s="2">
        <v>5.64</v>
      </c>
      <c r="AF2368" s="4">
        <v>5.4988121699999999</v>
      </c>
      <c r="AG2368" s="2">
        <v>1.33</v>
      </c>
      <c r="AH2368" s="2">
        <v>4062120.63</v>
      </c>
      <c r="AI2368" s="2">
        <v>0.01</v>
      </c>
      <c r="AJ2368" s="5">
        <v>44673</v>
      </c>
      <c r="AK2368" t="s">
        <v>12359</v>
      </c>
      <c r="AL2368" s="2">
        <v>5.56</v>
      </c>
      <c r="AM2368" s="2">
        <v>5.42</v>
      </c>
      <c r="AN2368" s="2">
        <v>0.65</v>
      </c>
      <c r="AO2368" t="s">
        <v>11165</v>
      </c>
      <c r="AP2368" t="s">
        <v>11970</v>
      </c>
      <c r="AQ2368" t="s">
        <v>11969</v>
      </c>
    </row>
    <row r="2369" spans="1:43" x14ac:dyDescent="0.2">
      <c r="A2369" t="s">
        <v>12358</v>
      </c>
      <c r="B2369" t="s">
        <v>11038</v>
      </c>
      <c r="C2369" t="s">
        <v>11039</v>
      </c>
      <c r="D2369" t="s">
        <v>11971</v>
      </c>
      <c r="E2369" t="s">
        <v>11972</v>
      </c>
      <c r="F2369" t="s">
        <v>11971</v>
      </c>
      <c r="G2369" s="1">
        <v>4000000</v>
      </c>
      <c r="H2369" s="2">
        <v>3993681.19</v>
      </c>
      <c r="I2369" s="2">
        <v>3995855.05</v>
      </c>
      <c r="J2369" s="2">
        <v>47441.1</v>
      </c>
      <c r="K2369" s="2">
        <v>0</v>
      </c>
      <c r="L2369" s="2">
        <v>4043296.15</v>
      </c>
      <c r="M2369" s="3">
        <v>5.914955</v>
      </c>
      <c r="N2369" s="4">
        <v>9.1989299999999993E-3</v>
      </c>
      <c r="O2369" s="5">
        <v>44965</v>
      </c>
      <c r="P2369" s="5">
        <v>44965</v>
      </c>
      <c r="Q2369" s="1">
        <v>5.85</v>
      </c>
      <c r="R2369" s="2">
        <v>0.79</v>
      </c>
      <c r="S2369" s="6">
        <v>0.75635794914999999</v>
      </c>
      <c r="T2369" t="s">
        <v>111</v>
      </c>
      <c r="U2369" t="s">
        <v>11040</v>
      </c>
      <c r="V2369" t="s">
        <v>11041</v>
      </c>
      <c r="W2369" t="s">
        <v>43</v>
      </c>
      <c r="X2369" t="s">
        <v>11034</v>
      </c>
      <c r="Y2369" t="s">
        <v>44</v>
      </c>
      <c r="Z2369" t="s">
        <v>44</v>
      </c>
      <c r="AA2369" t="s">
        <v>10979</v>
      </c>
      <c r="AB2369" t="s">
        <v>44</v>
      </c>
      <c r="AC2369" s="4">
        <v>5.9509684500000004</v>
      </c>
      <c r="AD2369" s="4">
        <v>5.7945694899999998</v>
      </c>
      <c r="AE2369" s="2">
        <v>5.95</v>
      </c>
      <c r="AF2369" s="4">
        <v>5.7945694899999998</v>
      </c>
      <c r="AG2369" s="2">
        <v>1.32</v>
      </c>
      <c r="AH2369" s="2">
        <v>4043296.15</v>
      </c>
      <c r="AI2369" s="2">
        <v>0.01</v>
      </c>
      <c r="AJ2369" s="5">
        <v>44673</v>
      </c>
      <c r="AK2369" t="s">
        <v>12359</v>
      </c>
      <c r="AL2369" s="2">
        <v>5.86</v>
      </c>
      <c r="AM2369" s="2">
        <v>5.85</v>
      </c>
      <c r="AN2369" s="2">
        <v>0.76</v>
      </c>
      <c r="AO2369" t="s">
        <v>11165</v>
      </c>
      <c r="AP2369" t="s">
        <v>11973</v>
      </c>
      <c r="AQ2369" t="s">
        <v>11972</v>
      </c>
    </row>
    <row r="2370" spans="1:43" x14ac:dyDescent="0.2">
      <c r="A2370" t="s">
        <v>12358</v>
      </c>
      <c r="B2370" t="s">
        <v>11038</v>
      </c>
      <c r="C2370" t="s">
        <v>11039</v>
      </c>
      <c r="D2370" t="s">
        <v>11642</v>
      </c>
      <c r="E2370" t="s">
        <v>11643</v>
      </c>
      <c r="F2370" t="s">
        <v>11642</v>
      </c>
      <c r="G2370" s="1">
        <v>10000000</v>
      </c>
      <c r="H2370" s="2">
        <v>9916377.3000000007</v>
      </c>
      <c r="I2370" s="2">
        <v>9926097.4000000004</v>
      </c>
      <c r="J2370" s="2">
        <v>45720.55</v>
      </c>
      <c r="K2370" s="2">
        <v>0</v>
      </c>
      <c r="L2370" s="2">
        <v>9971817.9499999993</v>
      </c>
      <c r="M2370" s="3">
        <v>6.063536</v>
      </c>
      <c r="N2370" s="4">
        <v>2.2686959999999999E-2</v>
      </c>
      <c r="O2370" s="5">
        <v>44823</v>
      </c>
      <c r="P2370" s="5">
        <v>45005</v>
      </c>
      <c r="Q2370" s="1">
        <v>5.2149999999999999</v>
      </c>
      <c r="R2370" s="2">
        <v>0.89</v>
      </c>
      <c r="S2370" s="6">
        <v>0.86259754570000002</v>
      </c>
      <c r="T2370" t="s">
        <v>111</v>
      </c>
      <c r="U2370" t="s">
        <v>11040</v>
      </c>
      <c r="V2370" t="s">
        <v>11041</v>
      </c>
      <c r="W2370" t="s">
        <v>43</v>
      </c>
      <c r="X2370" t="s">
        <v>44</v>
      </c>
      <c r="Y2370" t="s">
        <v>44</v>
      </c>
      <c r="Z2370" t="s">
        <v>44</v>
      </c>
      <c r="AA2370" t="s">
        <v>11035</v>
      </c>
      <c r="AB2370" t="s">
        <v>44</v>
      </c>
      <c r="AC2370" s="4">
        <v>6.1554521800000002</v>
      </c>
      <c r="AD2370" s="4">
        <v>5.9883285600000002</v>
      </c>
      <c r="AE2370" s="2">
        <v>6.16</v>
      </c>
      <c r="AF2370" s="4">
        <v>5.9883285600000002</v>
      </c>
      <c r="AG2370" s="2">
        <v>3.27</v>
      </c>
      <c r="AH2370" s="2">
        <v>9971817.9499999993</v>
      </c>
      <c r="AI2370" s="2">
        <v>0.02</v>
      </c>
      <c r="AJ2370" s="5">
        <v>44673</v>
      </c>
      <c r="AK2370" t="s">
        <v>12359</v>
      </c>
      <c r="AL2370" s="2">
        <v>6.06</v>
      </c>
      <c r="AM2370" s="2">
        <v>5.21</v>
      </c>
      <c r="AN2370" s="2">
        <v>0.86</v>
      </c>
      <c r="AO2370" t="s">
        <v>11036</v>
      </c>
      <c r="AP2370" t="s">
        <v>11644</v>
      </c>
      <c r="AQ2370" t="s">
        <v>11643</v>
      </c>
    </row>
    <row r="2371" spans="1:43" x14ac:dyDescent="0.2">
      <c r="A2371" t="s">
        <v>12358</v>
      </c>
      <c r="B2371" t="s">
        <v>11038</v>
      </c>
      <c r="C2371" t="s">
        <v>11039</v>
      </c>
      <c r="D2371" t="s">
        <v>12844</v>
      </c>
      <c r="E2371" t="s">
        <v>12845</v>
      </c>
      <c r="F2371" t="s">
        <v>12844</v>
      </c>
      <c r="G2371" s="1">
        <v>1000000</v>
      </c>
      <c r="H2371" s="2">
        <v>1000000</v>
      </c>
      <c r="I2371" s="2">
        <v>1001043.16</v>
      </c>
      <c r="J2371" s="2">
        <v>4001.37</v>
      </c>
      <c r="K2371" s="2">
        <v>0</v>
      </c>
      <c r="L2371" s="2">
        <v>1005044.53</v>
      </c>
      <c r="M2371" s="3">
        <v>6.2045560000000002</v>
      </c>
      <c r="N2371" s="4">
        <v>2.2865799999999999E-3</v>
      </c>
      <c r="O2371" s="5">
        <v>45016</v>
      </c>
      <c r="P2371" s="5">
        <v>45016</v>
      </c>
      <c r="Q2371" s="1">
        <v>6.35</v>
      </c>
      <c r="R2371" s="2">
        <v>0.93</v>
      </c>
      <c r="S2371" s="6">
        <v>0.88061116438999998</v>
      </c>
      <c r="T2371" t="s">
        <v>111</v>
      </c>
      <c r="U2371" t="s">
        <v>11040</v>
      </c>
      <c r="V2371" t="s">
        <v>11041</v>
      </c>
      <c r="W2371" t="s">
        <v>43</v>
      </c>
      <c r="X2371" t="s">
        <v>11034</v>
      </c>
      <c r="Y2371" t="s">
        <v>44</v>
      </c>
      <c r="Z2371" t="s">
        <v>44</v>
      </c>
      <c r="AA2371" t="s">
        <v>11035</v>
      </c>
      <c r="AB2371" t="s">
        <v>44</v>
      </c>
      <c r="AC2371" s="4">
        <v>6.2175109700000002</v>
      </c>
      <c r="AD2371" s="4">
        <v>6.0470648499999999</v>
      </c>
      <c r="AE2371" s="2">
        <v>6.22</v>
      </c>
      <c r="AF2371" s="4">
        <v>6.0470648499999999</v>
      </c>
      <c r="AG2371" s="2">
        <v>0.33</v>
      </c>
      <c r="AH2371" s="2">
        <v>1005044.53</v>
      </c>
      <c r="AI2371" s="2">
        <v>0</v>
      </c>
      <c r="AJ2371" s="5">
        <v>44673</v>
      </c>
      <c r="AK2371" t="s">
        <v>12359</v>
      </c>
      <c r="AL2371" s="2">
        <v>6.12</v>
      </c>
      <c r="AM2371" s="2">
        <v>6.35</v>
      </c>
      <c r="AN2371" s="2">
        <v>0.88</v>
      </c>
      <c r="AO2371" t="s">
        <v>11036</v>
      </c>
      <c r="AP2371" t="s">
        <v>12846</v>
      </c>
      <c r="AQ2371" t="s">
        <v>12845</v>
      </c>
    </row>
    <row r="2372" spans="1:43" x14ac:dyDescent="0.2">
      <c r="A2372" t="s">
        <v>12358</v>
      </c>
      <c r="B2372" t="s">
        <v>11038</v>
      </c>
      <c r="C2372" t="s">
        <v>11039</v>
      </c>
      <c r="D2372" t="s">
        <v>11626</v>
      </c>
      <c r="E2372" t="s">
        <v>11627</v>
      </c>
      <c r="F2372" t="s">
        <v>11626</v>
      </c>
      <c r="G2372" s="1">
        <v>14000000</v>
      </c>
      <c r="H2372" s="2">
        <v>14017538.109999999</v>
      </c>
      <c r="I2372" s="2">
        <v>14021409.210000001</v>
      </c>
      <c r="J2372" s="2">
        <v>141908.22</v>
      </c>
      <c r="K2372" s="2">
        <v>0</v>
      </c>
      <c r="L2372" s="2">
        <v>14163317.43</v>
      </c>
      <c r="M2372" s="3">
        <v>4.7030979999999998</v>
      </c>
      <c r="N2372" s="4">
        <v>3.2223069999999999E-2</v>
      </c>
      <c r="O2372" s="5">
        <v>44690</v>
      </c>
      <c r="P2372" s="5">
        <v>44872</v>
      </c>
      <c r="Q2372" s="1">
        <v>4.9329999999999998</v>
      </c>
      <c r="R2372" s="2">
        <v>0.04</v>
      </c>
      <c r="S2372" s="6">
        <v>3.5480725949000001E-2</v>
      </c>
      <c r="T2372" t="s">
        <v>111</v>
      </c>
      <c r="U2372" t="s">
        <v>11040</v>
      </c>
      <c r="V2372" t="s">
        <v>11189</v>
      </c>
      <c r="W2372" t="s">
        <v>43</v>
      </c>
      <c r="X2372" t="s">
        <v>11034</v>
      </c>
      <c r="Y2372" t="s">
        <v>44</v>
      </c>
      <c r="Z2372" t="s">
        <v>44</v>
      </c>
      <c r="AA2372" t="s">
        <v>10979</v>
      </c>
      <c r="AB2372" t="s">
        <v>44</v>
      </c>
      <c r="AC2372" s="4">
        <v>4.8110071799999998</v>
      </c>
      <c r="AD2372" s="4">
        <v>4.7080728000000001</v>
      </c>
      <c r="AE2372" s="2">
        <v>4.8099999999999996</v>
      </c>
      <c r="AF2372" s="4">
        <v>4.7080728000000001</v>
      </c>
      <c r="AG2372" s="2">
        <v>4.6399999999999997</v>
      </c>
      <c r="AH2372" s="2">
        <v>14163317.43</v>
      </c>
      <c r="AI2372" s="2">
        <v>0.03</v>
      </c>
      <c r="AJ2372" s="5">
        <v>44673</v>
      </c>
      <c r="AK2372" t="s">
        <v>12359</v>
      </c>
      <c r="AL2372" s="2">
        <v>4.75</v>
      </c>
      <c r="AM2372" s="2">
        <v>4.93</v>
      </c>
      <c r="AN2372" s="2">
        <v>0.04</v>
      </c>
      <c r="AO2372" t="s">
        <v>11179</v>
      </c>
      <c r="AP2372" t="s">
        <v>11628</v>
      </c>
      <c r="AQ2372" t="s">
        <v>11627</v>
      </c>
    </row>
    <row r="2373" spans="1:43" x14ac:dyDescent="0.2">
      <c r="A2373" t="s">
        <v>12358</v>
      </c>
      <c r="B2373" t="s">
        <v>11038</v>
      </c>
      <c r="C2373" t="s">
        <v>11039</v>
      </c>
      <c r="D2373" t="s">
        <v>11884</v>
      </c>
      <c r="E2373" t="s">
        <v>11885</v>
      </c>
      <c r="F2373" t="s">
        <v>11884</v>
      </c>
      <c r="G2373" s="1">
        <v>2400000</v>
      </c>
      <c r="H2373" s="2">
        <v>2401197.59</v>
      </c>
      <c r="I2373" s="2">
        <v>2402401.37</v>
      </c>
      <c r="J2373" s="2">
        <v>31902.25</v>
      </c>
      <c r="K2373" s="2">
        <v>0</v>
      </c>
      <c r="L2373" s="2">
        <v>2434303.62</v>
      </c>
      <c r="M2373" s="3">
        <v>5.529731</v>
      </c>
      <c r="N2373" s="4">
        <v>5.5383000000000003E-3</v>
      </c>
      <c r="O2373" s="5">
        <v>44679</v>
      </c>
      <c r="P2373" s="5">
        <v>44862</v>
      </c>
      <c r="Q2373" s="1">
        <v>5.7080000000000002</v>
      </c>
      <c r="R2373" s="2">
        <v>0.01</v>
      </c>
      <c r="S2373" s="6">
        <v>3.323205444E-3</v>
      </c>
      <c r="T2373" t="s">
        <v>111</v>
      </c>
      <c r="U2373" t="s">
        <v>11040</v>
      </c>
      <c r="V2373" t="s">
        <v>114</v>
      </c>
      <c r="W2373" t="s">
        <v>43</v>
      </c>
      <c r="X2373" t="s">
        <v>10988</v>
      </c>
      <c r="Y2373" t="s">
        <v>44</v>
      </c>
      <c r="Z2373" t="s">
        <v>44</v>
      </c>
      <c r="AA2373" t="s">
        <v>11465</v>
      </c>
      <c r="AB2373" t="s">
        <v>44</v>
      </c>
      <c r="AC2373" s="4">
        <v>5.6841506900000001</v>
      </c>
      <c r="AD2373" s="4">
        <v>5.5412295399999998</v>
      </c>
      <c r="AE2373" s="2">
        <v>5.68</v>
      </c>
      <c r="AF2373" s="4">
        <v>5.5412295399999998</v>
      </c>
      <c r="AG2373" s="2">
        <v>0.8</v>
      </c>
      <c r="AH2373" s="2">
        <v>2434303.62</v>
      </c>
      <c r="AI2373" s="2">
        <v>0.01</v>
      </c>
      <c r="AJ2373" s="5">
        <v>44673</v>
      </c>
      <c r="AK2373" t="s">
        <v>12359</v>
      </c>
      <c r="AL2373" s="2">
        <v>5.61</v>
      </c>
      <c r="AM2373" s="2">
        <v>5.71</v>
      </c>
      <c r="AN2373" s="2">
        <v>0</v>
      </c>
      <c r="AO2373" t="s">
        <v>11886</v>
      </c>
      <c r="AP2373" t="s">
        <v>11887</v>
      </c>
      <c r="AQ2373" t="s">
        <v>11885</v>
      </c>
    </row>
    <row r="2374" spans="1:43" x14ac:dyDescent="0.2">
      <c r="A2374" t="s">
        <v>12358</v>
      </c>
      <c r="B2374" t="s">
        <v>11038</v>
      </c>
      <c r="C2374" t="s">
        <v>11222</v>
      </c>
      <c r="D2374" t="s">
        <v>12360</v>
      </c>
      <c r="E2374" t="s">
        <v>12361</v>
      </c>
      <c r="F2374" t="s">
        <v>12360</v>
      </c>
      <c r="G2374" s="1">
        <v>9000000</v>
      </c>
      <c r="H2374" s="2">
        <v>8780325.3399999999</v>
      </c>
      <c r="I2374" s="2">
        <v>8761404.8100000005</v>
      </c>
      <c r="J2374" s="2">
        <v>101273.42</v>
      </c>
      <c r="K2374" s="2">
        <v>0</v>
      </c>
      <c r="L2374" s="2">
        <v>8862678.2300000004</v>
      </c>
      <c r="M2374" s="3">
        <v>7.3050300000000004</v>
      </c>
      <c r="N2374" s="4">
        <v>2.0163549999999999E-2</v>
      </c>
      <c r="O2374" s="5">
        <v>44788</v>
      </c>
      <c r="P2374" s="5">
        <v>45517</v>
      </c>
      <c r="Q2374" s="1">
        <v>6.04</v>
      </c>
      <c r="R2374" s="2">
        <v>2.16</v>
      </c>
      <c r="S2374" s="6">
        <v>2.08371314568</v>
      </c>
      <c r="T2374" t="s">
        <v>111</v>
      </c>
      <c r="U2374" t="s">
        <v>11040</v>
      </c>
      <c r="V2374" t="s">
        <v>11041</v>
      </c>
      <c r="W2374" t="s">
        <v>43</v>
      </c>
      <c r="X2374" t="s">
        <v>44</v>
      </c>
      <c r="Y2374" t="s">
        <v>44</v>
      </c>
      <c r="Z2374" t="s">
        <v>44</v>
      </c>
      <c r="AA2374" t="s">
        <v>10979</v>
      </c>
      <c r="AB2374" t="s">
        <v>44</v>
      </c>
      <c r="AC2374" s="4">
        <v>7.4384384499999996</v>
      </c>
      <c r="AD2374" s="4">
        <v>7.1962749700000002</v>
      </c>
      <c r="AE2374" s="2">
        <v>7.44</v>
      </c>
      <c r="AF2374" s="4">
        <v>7.1962749700000002</v>
      </c>
      <c r="AG2374" s="2">
        <v>2.9</v>
      </c>
      <c r="AH2374" s="2">
        <v>8862678.2300000004</v>
      </c>
      <c r="AI2374" s="2">
        <v>0.02</v>
      </c>
      <c r="AJ2374" s="5">
        <v>44673</v>
      </c>
      <c r="AK2374" t="s">
        <v>12359</v>
      </c>
      <c r="AL2374" s="2">
        <v>7.31</v>
      </c>
      <c r="AM2374" s="2">
        <v>6.04</v>
      </c>
      <c r="AN2374" s="2">
        <v>2.08</v>
      </c>
      <c r="AO2374" t="s">
        <v>11054</v>
      </c>
      <c r="AP2374" t="s">
        <v>12362</v>
      </c>
      <c r="AQ2374" t="s">
        <v>12361</v>
      </c>
    </row>
    <row r="2375" spans="1:43" x14ac:dyDescent="0.2">
      <c r="A2375" t="s">
        <v>12358</v>
      </c>
      <c r="B2375" t="s">
        <v>11038</v>
      </c>
      <c r="C2375" t="s">
        <v>11222</v>
      </c>
      <c r="D2375" t="s">
        <v>12363</v>
      </c>
      <c r="E2375" t="s">
        <v>12364</v>
      </c>
      <c r="F2375" t="s">
        <v>12363</v>
      </c>
      <c r="G2375" s="1">
        <v>2000000</v>
      </c>
      <c r="H2375" s="2">
        <v>1948268.76</v>
      </c>
      <c r="I2375" s="2">
        <v>1943256.12</v>
      </c>
      <c r="J2375" s="2">
        <v>17723.84</v>
      </c>
      <c r="K2375" s="2">
        <v>0</v>
      </c>
      <c r="L2375" s="2">
        <v>1960979.96</v>
      </c>
      <c r="M2375" s="3">
        <v>7.3248699999999998</v>
      </c>
      <c r="N2375" s="4">
        <v>4.4614399999999997E-3</v>
      </c>
      <c r="O2375" s="5">
        <v>44802</v>
      </c>
      <c r="P2375" s="5">
        <v>45531</v>
      </c>
      <c r="Q2375" s="1">
        <v>5.99</v>
      </c>
      <c r="R2375" s="2">
        <v>2.2000000000000002</v>
      </c>
      <c r="S2375" s="6">
        <v>2.1214710781399999</v>
      </c>
      <c r="T2375" t="s">
        <v>111</v>
      </c>
      <c r="U2375" t="s">
        <v>11040</v>
      </c>
      <c r="V2375" t="s">
        <v>11041</v>
      </c>
      <c r="W2375" t="s">
        <v>43</v>
      </c>
      <c r="X2375" t="s">
        <v>44</v>
      </c>
      <c r="Y2375" t="s">
        <v>44</v>
      </c>
      <c r="Z2375" t="s">
        <v>44</v>
      </c>
      <c r="AA2375" t="s">
        <v>10979</v>
      </c>
      <c r="AB2375" t="s">
        <v>44</v>
      </c>
      <c r="AC2375" s="4">
        <v>7.4590046399999999</v>
      </c>
      <c r="AD2375" s="4">
        <v>7.2155303799999997</v>
      </c>
      <c r="AE2375" s="2">
        <v>7.46</v>
      </c>
      <c r="AF2375" s="4">
        <v>7.2155303799999997</v>
      </c>
      <c r="AG2375" s="2">
        <v>0.64</v>
      </c>
      <c r="AH2375" s="2">
        <v>1960979.96</v>
      </c>
      <c r="AI2375" s="2">
        <v>0</v>
      </c>
      <c r="AJ2375" s="5">
        <v>44673</v>
      </c>
      <c r="AK2375" t="s">
        <v>12359</v>
      </c>
      <c r="AL2375" s="2">
        <v>7.32</v>
      </c>
      <c r="AM2375" s="2">
        <v>5.99</v>
      </c>
      <c r="AN2375" s="2">
        <v>2.12</v>
      </c>
      <c r="AO2375" t="s">
        <v>11054</v>
      </c>
      <c r="AP2375" t="s">
        <v>12365</v>
      </c>
      <c r="AQ2375" t="s">
        <v>12364</v>
      </c>
    </row>
    <row r="2376" spans="1:43" x14ac:dyDescent="0.2">
      <c r="A2376" t="s">
        <v>12358</v>
      </c>
      <c r="B2376" t="s">
        <v>11038</v>
      </c>
      <c r="C2376" t="s">
        <v>11222</v>
      </c>
      <c r="D2376" t="s">
        <v>11639</v>
      </c>
      <c r="E2376" t="s">
        <v>11640</v>
      </c>
      <c r="F2376" t="s">
        <v>11639</v>
      </c>
      <c r="G2376" s="1">
        <v>7000000</v>
      </c>
      <c r="H2376" s="2">
        <v>6847667.7400000002</v>
      </c>
      <c r="I2376" s="2">
        <v>6830577.4100000001</v>
      </c>
      <c r="J2376" s="2">
        <v>28813.15</v>
      </c>
      <c r="K2376" s="2">
        <v>0</v>
      </c>
      <c r="L2376" s="2">
        <v>6859390.5599999996</v>
      </c>
      <c r="M2376" s="3">
        <v>7.3639539999999997</v>
      </c>
      <c r="N2376" s="4">
        <v>1.5605849999999999E-2</v>
      </c>
      <c r="O2376" s="5">
        <v>44834</v>
      </c>
      <c r="P2376" s="5">
        <v>45562</v>
      </c>
      <c r="Q2376" s="1">
        <v>6.26</v>
      </c>
      <c r="R2376" s="2">
        <v>2.2799999999999998</v>
      </c>
      <c r="S2376" s="6">
        <v>2.1972816670199999</v>
      </c>
      <c r="T2376" t="s">
        <v>111</v>
      </c>
      <c r="U2376" t="s">
        <v>11040</v>
      </c>
      <c r="V2376" t="s">
        <v>11041</v>
      </c>
      <c r="W2376" t="s">
        <v>43</v>
      </c>
      <c r="X2376" t="s">
        <v>44</v>
      </c>
      <c r="Y2376" t="s">
        <v>44</v>
      </c>
      <c r="Z2376" t="s">
        <v>44</v>
      </c>
      <c r="AA2376" t="s">
        <v>10979</v>
      </c>
      <c r="AB2376" t="s">
        <v>44</v>
      </c>
      <c r="AC2376" s="4">
        <v>7.4995232700000001</v>
      </c>
      <c r="AD2376" s="4">
        <v>7.2534566800000002</v>
      </c>
      <c r="AE2376" s="2">
        <v>7.5</v>
      </c>
      <c r="AF2376" s="4">
        <v>7.2534566800000002</v>
      </c>
      <c r="AG2376" s="2">
        <v>2.25</v>
      </c>
      <c r="AH2376" s="2">
        <v>6859390.5599999996</v>
      </c>
      <c r="AI2376" s="2">
        <v>0.02</v>
      </c>
      <c r="AJ2376" s="5">
        <v>44673</v>
      </c>
      <c r="AK2376" t="s">
        <v>12359</v>
      </c>
      <c r="AL2376" s="2">
        <v>7.36</v>
      </c>
      <c r="AM2376" s="2">
        <v>6.26</v>
      </c>
      <c r="AN2376" s="2">
        <v>2.2000000000000002</v>
      </c>
      <c r="AO2376" t="s">
        <v>11054</v>
      </c>
      <c r="AP2376" t="s">
        <v>11641</v>
      </c>
      <c r="AQ2376" t="s">
        <v>11640</v>
      </c>
    </row>
    <row r="2377" spans="1:43" x14ac:dyDescent="0.2">
      <c r="A2377" t="s">
        <v>12358</v>
      </c>
      <c r="B2377" t="s">
        <v>11038</v>
      </c>
      <c r="C2377" t="s">
        <v>11222</v>
      </c>
      <c r="D2377" t="s">
        <v>12730</v>
      </c>
      <c r="E2377" t="s">
        <v>12731</v>
      </c>
      <c r="F2377" t="s">
        <v>12730</v>
      </c>
      <c r="G2377" s="1">
        <v>2000000</v>
      </c>
      <c r="H2377" s="2">
        <v>1999935.57</v>
      </c>
      <c r="I2377" s="2">
        <v>2000001.25</v>
      </c>
      <c r="J2377" s="2">
        <v>10420.93</v>
      </c>
      <c r="K2377" s="2">
        <v>0</v>
      </c>
      <c r="L2377" s="2">
        <v>2010422.18</v>
      </c>
      <c r="M2377" s="3">
        <v>6.4543710000000001</v>
      </c>
      <c r="N2377" s="4">
        <v>4.5739300000000004E-3</v>
      </c>
      <c r="O2377" s="5">
        <v>44739</v>
      </c>
      <c r="P2377" s="5">
        <v>46563</v>
      </c>
      <c r="Q2377" s="1">
        <v>6.5579999999999998</v>
      </c>
      <c r="R2377" s="2">
        <v>0.17</v>
      </c>
      <c r="S2377" s="6">
        <v>0.10239071847800001</v>
      </c>
      <c r="T2377" t="s">
        <v>111</v>
      </c>
      <c r="U2377" t="s">
        <v>11040</v>
      </c>
      <c r="V2377" t="s">
        <v>11189</v>
      </c>
      <c r="W2377" t="s">
        <v>43</v>
      </c>
      <c r="X2377" t="s">
        <v>11034</v>
      </c>
      <c r="Y2377" t="s">
        <v>44</v>
      </c>
      <c r="Z2377" t="s">
        <v>44</v>
      </c>
      <c r="AA2377" t="s">
        <v>11035</v>
      </c>
      <c r="AB2377" t="s">
        <v>44</v>
      </c>
      <c r="AC2377" s="4">
        <v>6.6291599999999997</v>
      </c>
      <c r="AD2377" s="4">
        <v>6.4358805400000003</v>
      </c>
      <c r="AE2377" s="2">
        <v>6.63</v>
      </c>
      <c r="AF2377" s="4">
        <v>6.4358805400000003</v>
      </c>
      <c r="AG2377" s="2">
        <v>0.66</v>
      </c>
      <c r="AH2377" s="2">
        <v>2010422.18</v>
      </c>
      <c r="AI2377" s="2">
        <v>0</v>
      </c>
      <c r="AJ2377" s="5">
        <v>44673</v>
      </c>
      <c r="AK2377" t="s">
        <v>12359</v>
      </c>
      <c r="AL2377" s="2">
        <v>6.52</v>
      </c>
      <c r="AM2377" s="2">
        <v>6.56</v>
      </c>
      <c r="AN2377" s="2">
        <v>0.1</v>
      </c>
      <c r="AO2377" t="s">
        <v>11226</v>
      </c>
      <c r="AP2377" t="s">
        <v>12732</v>
      </c>
      <c r="AQ2377" t="s">
        <v>12731</v>
      </c>
    </row>
    <row r="2378" spans="1:43" x14ac:dyDescent="0.2">
      <c r="A2378" t="s">
        <v>12358</v>
      </c>
      <c r="B2378" t="s">
        <v>11038</v>
      </c>
      <c r="C2378" t="s">
        <v>11222</v>
      </c>
      <c r="D2378" t="s">
        <v>11891</v>
      </c>
      <c r="E2378" t="s">
        <v>11892</v>
      </c>
      <c r="F2378" t="s">
        <v>11891</v>
      </c>
      <c r="G2378" s="1">
        <v>3900000</v>
      </c>
      <c r="H2378" s="2">
        <v>3905906.35</v>
      </c>
      <c r="I2378" s="2">
        <v>3905878.65</v>
      </c>
      <c r="J2378" s="2">
        <v>33441.17</v>
      </c>
      <c r="K2378" s="2">
        <v>0</v>
      </c>
      <c r="L2378" s="2">
        <v>3939319.82</v>
      </c>
      <c r="M2378" s="3">
        <v>7.9353490000000004</v>
      </c>
      <c r="N2378" s="4">
        <v>8.9623800000000007E-3</v>
      </c>
      <c r="O2378" s="5">
        <v>44727</v>
      </c>
      <c r="P2378" s="5">
        <v>45642</v>
      </c>
      <c r="Q2378" s="1">
        <v>8.0250000000000004</v>
      </c>
      <c r="R2378" s="2">
        <v>0.14000000000000001</v>
      </c>
      <c r="S2378" s="6">
        <v>7.6335008319000003E-2</v>
      </c>
      <c r="T2378" t="s">
        <v>111</v>
      </c>
      <c r="U2378" t="s">
        <v>11040</v>
      </c>
      <c r="V2378" t="s">
        <v>114</v>
      </c>
      <c r="W2378" t="s">
        <v>43</v>
      </c>
      <c r="X2378" t="s">
        <v>10988</v>
      </c>
      <c r="Y2378" t="s">
        <v>44</v>
      </c>
      <c r="Z2378" t="s">
        <v>44</v>
      </c>
      <c r="AA2378" t="s">
        <v>44</v>
      </c>
      <c r="AB2378" t="s">
        <v>44</v>
      </c>
      <c r="AC2378" s="4">
        <v>8.2114278699999996</v>
      </c>
      <c r="AD2378" s="4">
        <v>7.9176856799999999</v>
      </c>
      <c r="AE2378" s="2">
        <v>8.2100000000000009</v>
      </c>
      <c r="AF2378" s="4">
        <v>7.9176856799999999</v>
      </c>
      <c r="AG2378" s="2">
        <v>1.29</v>
      </c>
      <c r="AH2378" s="2">
        <v>3939319.82</v>
      </c>
      <c r="AI2378" s="2">
        <v>0.01</v>
      </c>
      <c r="AJ2378" s="5">
        <v>44673</v>
      </c>
      <c r="AK2378" t="s">
        <v>12359</v>
      </c>
      <c r="AL2378" s="2">
        <v>8.0500000000000007</v>
      </c>
      <c r="AM2378" s="2">
        <v>8.0299999999999994</v>
      </c>
      <c r="AN2378" s="2">
        <v>0.08</v>
      </c>
      <c r="AO2378" t="s">
        <v>11871</v>
      </c>
      <c r="AP2378" t="s">
        <v>11893</v>
      </c>
      <c r="AQ2378" t="s">
        <v>11892</v>
      </c>
    </row>
    <row r="2379" spans="1:43" x14ac:dyDescent="0.2">
      <c r="A2379" t="s">
        <v>12358</v>
      </c>
      <c r="B2379" t="s">
        <v>11038</v>
      </c>
      <c r="C2379" t="s">
        <v>11222</v>
      </c>
      <c r="D2379" t="s">
        <v>11648</v>
      </c>
      <c r="E2379" t="s">
        <v>11649</v>
      </c>
      <c r="F2379" t="s">
        <v>11648</v>
      </c>
      <c r="G2379" s="1">
        <v>2000000</v>
      </c>
      <c r="H2379" s="2">
        <v>2005858.76</v>
      </c>
      <c r="I2379" s="2">
        <v>2005800.49</v>
      </c>
      <c r="J2379" s="2">
        <v>18247.560000000001</v>
      </c>
      <c r="K2379" s="2">
        <v>0</v>
      </c>
      <c r="L2379" s="2">
        <v>2024048.05</v>
      </c>
      <c r="M2379" s="3">
        <v>6.0302819999999997</v>
      </c>
      <c r="N2379" s="4">
        <v>4.6049300000000001E-3</v>
      </c>
      <c r="O2379" s="5">
        <v>44712</v>
      </c>
      <c r="P2379" s="5">
        <v>45260</v>
      </c>
      <c r="Q2379" s="1">
        <v>6.1669999999999998</v>
      </c>
      <c r="R2379" s="2">
        <v>0.1</v>
      </c>
      <c r="S2379" s="6">
        <v>7.8177650525999995E-2</v>
      </c>
      <c r="T2379" t="s">
        <v>111</v>
      </c>
      <c r="U2379" t="s">
        <v>11040</v>
      </c>
      <c r="V2379" t="s">
        <v>114</v>
      </c>
      <c r="W2379" t="s">
        <v>43</v>
      </c>
      <c r="X2379" t="s">
        <v>10988</v>
      </c>
      <c r="Y2379" t="s">
        <v>44</v>
      </c>
      <c r="Z2379" t="s">
        <v>44</v>
      </c>
      <c r="AA2379" t="s">
        <v>10979</v>
      </c>
      <c r="AB2379" t="s">
        <v>44</v>
      </c>
      <c r="AC2379" s="4">
        <v>6.1968427300000002</v>
      </c>
      <c r="AD2379" s="4">
        <v>6.0275066400000004</v>
      </c>
      <c r="AE2379" s="2">
        <v>6.2</v>
      </c>
      <c r="AF2379" s="4">
        <v>6.0275066400000004</v>
      </c>
      <c r="AG2379" s="2">
        <v>0.66</v>
      </c>
      <c r="AH2379" s="2">
        <v>2024048.05</v>
      </c>
      <c r="AI2379" s="2">
        <v>0</v>
      </c>
      <c r="AJ2379" s="5">
        <v>44673</v>
      </c>
      <c r="AK2379" t="s">
        <v>12359</v>
      </c>
      <c r="AL2379" s="2">
        <v>6.1</v>
      </c>
      <c r="AM2379" s="2">
        <v>6.17</v>
      </c>
      <c r="AN2379" s="2">
        <v>0.08</v>
      </c>
      <c r="AO2379" t="s">
        <v>11048</v>
      </c>
      <c r="AP2379" t="s">
        <v>11650</v>
      </c>
      <c r="AQ2379" t="s">
        <v>11649</v>
      </c>
    </row>
    <row r="2380" spans="1:43" x14ac:dyDescent="0.2">
      <c r="A2380" t="s">
        <v>12358</v>
      </c>
      <c r="B2380" t="s">
        <v>11038</v>
      </c>
      <c r="C2380" t="s">
        <v>11222</v>
      </c>
      <c r="D2380" t="s">
        <v>11894</v>
      </c>
      <c r="E2380" t="s">
        <v>11895</v>
      </c>
      <c r="F2380" t="s">
        <v>11894</v>
      </c>
      <c r="G2380" s="1">
        <v>800000</v>
      </c>
      <c r="H2380" s="2">
        <v>799942.71</v>
      </c>
      <c r="I2380" s="2">
        <v>799928.58</v>
      </c>
      <c r="J2380" s="2">
        <v>5406.58</v>
      </c>
      <c r="K2380" s="2">
        <v>0</v>
      </c>
      <c r="L2380" s="2">
        <v>805335.16</v>
      </c>
      <c r="M2380" s="3">
        <v>6.3053489999999996</v>
      </c>
      <c r="N2380" s="4">
        <v>1.8322200000000001E-3</v>
      </c>
      <c r="O2380" s="5">
        <v>44727</v>
      </c>
      <c r="P2380" s="5">
        <v>45366</v>
      </c>
      <c r="Q2380" s="1">
        <v>6.3250000000000002</v>
      </c>
      <c r="R2380" s="2">
        <v>0.14000000000000001</v>
      </c>
      <c r="S2380" s="6">
        <v>0.10845508335</v>
      </c>
      <c r="T2380" t="s">
        <v>111</v>
      </c>
      <c r="U2380" t="s">
        <v>11040</v>
      </c>
      <c r="V2380" t="s">
        <v>114</v>
      </c>
      <c r="W2380" t="s">
        <v>43</v>
      </c>
      <c r="X2380" t="s">
        <v>10988</v>
      </c>
      <c r="Y2380" t="s">
        <v>44</v>
      </c>
      <c r="Z2380" t="s">
        <v>44</v>
      </c>
      <c r="AA2380" t="s">
        <v>10979</v>
      </c>
      <c r="AB2380" t="s">
        <v>44</v>
      </c>
      <c r="AC2380" s="4">
        <v>6.4789744799999998</v>
      </c>
      <c r="AD2380" s="4">
        <v>6.2941851800000004</v>
      </c>
      <c r="AE2380" s="2">
        <v>6.48</v>
      </c>
      <c r="AF2380" s="4">
        <v>6.2941851800000004</v>
      </c>
      <c r="AG2380" s="2">
        <v>0.26</v>
      </c>
      <c r="AH2380" s="2">
        <v>805335.16</v>
      </c>
      <c r="AI2380" s="2">
        <v>0</v>
      </c>
      <c r="AJ2380" s="5">
        <v>44673</v>
      </c>
      <c r="AK2380" t="s">
        <v>12359</v>
      </c>
      <c r="AL2380" s="2">
        <v>6.38</v>
      </c>
      <c r="AM2380" s="2">
        <v>6.33</v>
      </c>
      <c r="AN2380" s="2">
        <v>0.11</v>
      </c>
      <c r="AO2380" t="s">
        <v>11567</v>
      </c>
      <c r="AP2380" t="s">
        <v>11896</v>
      </c>
      <c r="AQ2380" t="s">
        <v>11895</v>
      </c>
    </row>
    <row r="2381" spans="1:43" x14ac:dyDescent="0.2">
      <c r="A2381" t="s">
        <v>12358</v>
      </c>
      <c r="B2381" t="s">
        <v>11038</v>
      </c>
      <c r="C2381" t="s">
        <v>11222</v>
      </c>
      <c r="D2381" t="s">
        <v>11897</v>
      </c>
      <c r="E2381" t="s">
        <v>11898</v>
      </c>
      <c r="F2381" t="s">
        <v>11897</v>
      </c>
      <c r="G2381" s="1">
        <v>700000</v>
      </c>
      <c r="H2381" s="2">
        <v>699862.48</v>
      </c>
      <c r="I2381" s="2">
        <v>699908.62</v>
      </c>
      <c r="J2381" s="2">
        <v>5603.82</v>
      </c>
      <c r="K2381" s="2">
        <v>0</v>
      </c>
      <c r="L2381" s="2">
        <v>705512.44</v>
      </c>
      <c r="M2381" s="3">
        <v>6.2678570000000002</v>
      </c>
      <c r="N2381" s="4">
        <v>1.60512E-3</v>
      </c>
      <c r="O2381" s="5">
        <v>44719</v>
      </c>
      <c r="P2381" s="5">
        <v>45723</v>
      </c>
      <c r="Q2381" s="1">
        <v>6.2169999999999996</v>
      </c>
      <c r="R2381" s="2">
        <v>0.12</v>
      </c>
      <c r="S2381" s="6">
        <v>7.7282729554999999E-2</v>
      </c>
      <c r="T2381" t="s">
        <v>111</v>
      </c>
      <c r="U2381" t="s">
        <v>11040</v>
      </c>
      <c r="V2381" t="s">
        <v>114</v>
      </c>
      <c r="W2381" t="s">
        <v>43</v>
      </c>
      <c r="X2381" t="s">
        <v>10988</v>
      </c>
      <c r="Y2381" t="s">
        <v>44</v>
      </c>
      <c r="Z2381" t="s">
        <v>44</v>
      </c>
      <c r="AA2381" t="s">
        <v>11035</v>
      </c>
      <c r="AB2381" t="s">
        <v>44</v>
      </c>
      <c r="AC2381" s="4">
        <v>6.4439416999999999</v>
      </c>
      <c r="AD2381" s="4">
        <v>6.2611065000000004</v>
      </c>
      <c r="AE2381" s="2">
        <v>6.44</v>
      </c>
      <c r="AF2381" s="4">
        <v>6.2611065000000004</v>
      </c>
      <c r="AG2381" s="2">
        <v>0.23</v>
      </c>
      <c r="AH2381" s="2">
        <v>705512.44</v>
      </c>
      <c r="AI2381" s="2">
        <v>0</v>
      </c>
      <c r="AJ2381" s="5">
        <v>44673</v>
      </c>
      <c r="AK2381" t="s">
        <v>12359</v>
      </c>
      <c r="AL2381" s="2">
        <v>6.34</v>
      </c>
      <c r="AM2381" s="2">
        <v>6.22</v>
      </c>
      <c r="AN2381" s="2">
        <v>0.08</v>
      </c>
      <c r="AO2381" t="s">
        <v>11437</v>
      </c>
      <c r="AP2381" t="s">
        <v>11899</v>
      </c>
      <c r="AQ2381" t="s">
        <v>11898</v>
      </c>
    </row>
    <row r="2382" spans="1:43" x14ac:dyDescent="0.2">
      <c r="A2382" t="s">
        <v>12358</v>
      </c>
      <c r="B2382" t="s">
        <v>11038</v>
      </c>
      <c r="C2382" t="s">
        <v>11222</v>
      </c>
      <c r="D2382" t="s">
        <v>11900</v>
      </c>
      <c r="E2382" t="s">
        <v>11901</v>
      </c>
      <c r="F2382" t="s">
        <v>11900</v>
      </c>
      <c r="G2382" s="1">
        <v>4200000</v>
      </c>
      <c r="H2382" s="2">
        <v>4206897.3600000003</v>
      </c>
      <c r="I2382" s="2">
        <v>4213886.3499999996</v>
      </c>
      <c r="J2382" s="2">
        <v>53287.3</v>
      </c>
      <c r="K2382" s="2">
        <v>0</v>
      </c>
      <c r="L2382" s="2">
        <v>4267173.6500000004</v>
      </c>
      <c r="M2382" s="3">
        <v>6.1260430000000001</v>
      </c>
      <c r="N2382" s="4">
        <v>9.7082799999999997E-3</v>
      </c>
      <c r="O2382" s="5">
        <v>44690</v>
      </c>
      <c r="P2382" s="5">
        <v>45330</v>
      </c>
      <c r="Q2382" s="1">
        <v>6.258</v>
      </c>
      <c r="R2382" s="2">
        <v>0.04</v>
      </c>
      <c r="S2382" s="6">
        <v>1.7773178866000001E-2</v>
      </c>
      <c r="T2382" t="s">
        <v>111</v>
      </c>
      <c r="U2382" t="s">
        <v>11040</v>
      </c>
      <c r="V2382" t="s">
        <v>114</v>
      </c>
      <c r="W2382" t="s">
        <v>43</v>
      </c>
      <c r="X2382" t="s">
        <v>10988</v>
      </c>
      <c r="Y2382" t="s">
        <v>44</v>
      </c>
      <c r="Z2382" t="s">
        <v>44</v>
      </c>
      <c r="AA2382" t="s">
        <v>10979</v>
      </c>
      <c r="AB2382" t="s">
        <v>44</v>
      </c>
      <c r="AC2382" s="4">
        <v>6.3099366400000001</v>
      </c>
      <c r="AD2382" s="4">
        <v>6.1344839599999998</v>
      </c>
      <c r="AE2382" s="2">
        <v>6.31</v>
      </c>
      <c r="AF2382" s="4">
        <v>6.1344839599999998</v>
      </c>
      <c r="AG2382" s="2">
        <v>1.4</v>
      </c>
      <c r="AH2382" s="2">
        <v>4267173.6500000004</v>
      </c>
      <c r="AI2382" s="2">
        <v>0.01</v>
      </c>
      <c r="AJ2382" s="5">
        <v>44673</v>
      </c>
      <c r="AK2382" t="s">
        <v>12359</v>
      </c>
      <c r="AL2382" s="2">
        <v>6.21</v>
      </c>
      <c r="AM2382" s="2">
        <v>6.26</v>
      </c>
      <c r="AN2382" s="2">
        <v>0.02</v>
      </c>
      <c r="AO2382" t="s">
        <v>11824</v>
      </c>
      <c r="AP2382" t="s">
        <v>11902</v>
      </c>
      <c r="AQ2382" t="s">
        <v>11901</v>
      </c>
    </row>
    <row r="2383" spans="1:43" x14ac:dyDescent="0.2">
      <c r="A2383" t="s">
        <v>12358</v>
      </c>
      <c r="B2383" t="s">
        <v>11038</v>
      </c>
      <c r="C2383" t="s">
        <v>11222</v>
      </c>
      <c r="D2383" t="s">
        <v>11903</v>
      </c>
      <c r="E2383" t="s">
        <v>11904</v>
      </c>
      <c r="F2383" t="s">
        <v>11903</v>
      </c>
      <c r="G2383" s="1">
        <v>2400000</v>
      </c>
      <c r="H2383" s="2">
        <v>2400151.5499999998</v>
      </c>
      <c r="I2383" s="2">
        <v>2399947.08</v>
      </c>
      <c r="J2383" s="2">
        <v>29196.1</v>
      </c>
      <c r="K2383" s="2">
        <v>0</v>
      </c>
      <c r="L2383" s="2">
        <v>2429143.1800000002</v>
      </c>
      <c r="M2383" s="3">
        <v>6.2325840000000001</v>
      </c>
      <c r="N2383" s="4">
        <v>5.5265599999999998E-3</v>
      </c>
      <c r="O2383" s="5">
        <v>44691</v>
      </c>
      <c r="P2383" s="5">
        <v>45422</v>
      </c>
      <c r="Q2383" s="1">
        <v>6.1669999999999998</v>
      </c>
      <c r="R2383" s="2">
        <v>0.04</v>
      </c>
      <c r="S2383" s="6">
        <v>1.3346666328999999E-2</v>
      </c>
      <c r="T2383" t="s">
        <v>111</v>
      </c>
      <c r="U2383" t="s">
        <v>11040</v>
      </c>
      <c r="V2383" t="s">
        <v>114</v>
      </c>
      <c r="W2383" t="s">
        <v>43</v>
      </c>
      <c r="X2383" t="s">
        <v>10988</v>
      </c>
      <c r="Y2383" t="s">
        <v>44</v>
      </c>
      <c r="Z2383" t="s">
        <v>44</v>
      </c>
      <c r="AA2383" t="s">
        <v>11035</v>
      </c>
      <c r="AB2383" t="s">
        <v>44</v>
      </c>
      <c r="AC2383" s="4">
        <v>6.4224278899999998</v>
      </c>
      <c r="AD2383" s="4">
        <v>6.2407877699999998</v>
      </c>
      <c r="AE2383" s="2">
        <v>6.42</v>
      </c>
      <c r="AF2383" s="4">
        <v>6.2407877699999998</v>
      </c>
      <c r="AG2383" s="2">
        <v>0.8</v>
      </c>
      <c r="AH2383" s="2">
        <v>2429143.1800000002</v>
      </c>
      <c r="AI2383" s="2">
        <v>0.01</v>
      </c>
      <c r="AJ2383" s="5">
        <v>44673</v>
      </c>
      <c r="AK2383" t="s">
        <v>12359</v>
      </c>
      <c r="AL2383" s="2">
        <v>6.32</v>
      </c>
      <c r="AM2383" s="2">
        <v>6.17</v>
      </c>
      <c r="AN2383" s="2">
        <v>0.01</v>
      </c>
      <c r="AO2383" t="s">
        <v>11437</v>
      </c>
      <c r="AP2383" t="s">
        <v>11905</v>
      </c>
      <c r="AQ2383" t="s">
        <v>11904</v>
      </c>
    </row>
    <row r="2384" spans="1:43" x14ac:dyDescent="0.2">
      <c r="A2384" t="s">
        <v>12358</v>
      </c>
      <c r="B2384" t="s">
        <v>11038</v>
      </c>
      <c r="C2384" t="s">
        <v>11222</v>
      </c>
      <c r="D2384" t="s">
        <v>11906</v>
      </c>
      <c r="E2384" t="s">
        <v>11907</v>
      </c>
      <c r="F2384" t="s">
        <v>11906</v>
      </c>
      <c r="G2384" s="1">
        <v>4700000</v>
      </c>
      <c r="H2384" s="2">
        <v>4703427.1399999997</v>
      </c>
      <c r="I2384" s="2">
        <v>4706801.6900000004</v>
      </c>
      <c r="J2384" s="2">
        <v>45102.23</v>
      </c>
      <c r="K2384" s="2">
        <v>0</v>
      </c>
      <c r="L2384" s="2">
        <v>4751903.92</v>
      </c>
      <c r="M2384" s="3">
        <v>5.7430570000000003</v>
      </c>
      <c r="N2384" s="4">
        <v>1.0811090000000001E-2</v>
      </c>
      <c r="O2384" s="5">
        <v>44704</v>
      </c>
      <c r="P2384" s="5">
        <v>45343</v>
      </c>
      <c r="Q2384" s="1">
        <v>5.742</v>
      </c>
      <c r="R2384" s="2">
        <v>0.08</v>
      </c>
      <c r="S2384" s="6">
        <v>5.7362487435999997E-2</v>
      </c>
      <c r="T2384" t="s">
        <v>111</v>
      </c>
      <c r="U2384" t="s">
        <v>11040</v>
      </c>
      <c r="V2384" t="s">
        <v>114</v>
      </c>
      <c r="W2384" t="s">
        <v>43</v>
      </c>
      <c r="X2384" t="s">
        <v>10988</v>
      </c>
      <c r="Y2384" t="s">
        <v>44</v>
      </c>
      <c r="Z2384" t="s">
        <v>44</v>
      </c>
      <c r="AA2384" t="s">
        <v>11035</v>
      </c>
      <c r="AB2384" t="s">
        <v>44</v>
      </c>
      <c r="AC2384" s="4">
        <v>5.8978146699999998</v>
      </c>
      <c r="AD2384" s="4">
        <v>5.7441473600000004</v>
      </c>
      <c r="AE2384" s="2">
        <v>5.9</v>
      </c>
      <c r="AF2384" s="4">
        <v>5.7441473600000004</v>
      </c>
      <c r="AG2384" s="2">
        <v>1.56</v>
      </c>
      <c r="AH2384" s="2">
        <v>4751903.92</v>
      </c>
      <c r="AI2384" s="2">
        <v>0.01</v>
      </c>
      <c r="AJ2384" s="5">
        <v>44673</v>
      </c>
      <c r="AK2384" t="s">
        <v>12359</v>
      </c>
      <c r="AL2384" s="2">
        <v>5.81</v>
      </c>
      <c r="AM2384" s="2">
        <v>5.74</v>
      </c>
      <c r="AN2384" s="2">
        <v>0.06</v>
      </c>
      <c r="AO2384" t="s">
        <v>11036</v>
      </c>
      <c r="AP2384" t="s">
        <v>11908</v>
      </c>
      <c r="AQ2384" t="s">
        <v>11907</v>
      </c>
    </row>
    <row r="2385" spans="1:43" x14ac:dyDescent="0.2">
      <c r="A2385" t="s">
        <v>12358</v>
      </c>
      <c r="B2385" t="s">
        <v>11160</v>
      </c>
      <c r="C2385" t="s">
        <v>11161</v>
      </c>
      <c r="D2385" t="s">
        <v>11162</v>
      </c>
      <c r="E2385" t="s">
        <v>11163</v>
      </c>
      <c r="F2385" t="s">
        <v>11162</v>
      </c>
      <c r="G2385" s="1">
        <v>6425</v>
      </c>
      <c r="H2385" s="2">
        <v>5807423.8600000003</v>
      </c>
      <c r="I2385" s="2">
        <v>5782500</v>
      </c>
      <c r="J2385" s="2">
        <v>0</v>
      </c>
      <c r="K2385" s="2">
        <v>160246.54</v>
      </c>
      <c r="L2385" s="2">
        <v>5942746.54</v>
      </c>
      <c r="M2385" s="3">
        <v>90000</v>
      </c>
      <c r="N2385" s="4">
        <v>1.352039E-2</v>
      </c>
      <c r="O2385" s="5" t="s">
        <v>44</v>
      </c>
      <c r="P2385" s="5" t="s">
        <v>44</v>
      </c>
      <c r="Q2385" s="1"/>
      <c r="R2385" s="2"/>
      <c r="S2385" s="6"/>
      <c r="T2385" t="s">
        <v>10902</v>
      </c>
      <c r="U2385" t="s">
        <v>10902</v>
      </c>
      <c r="V2385" t="s">
        <v>11164</v>
      </c>
      <c r="W2385" t="s">
        <v>43</v>
      </c>
      <c r="X2385" t="s">
        <v>44</v>
      </c>
      <c r="Y2385" t="s">
        <v>44</v>
      </c>
      <c r="Z2385" t="s">
        <v>44</v>
      </c>
      <c r="AA2385" t="s">
        <v>10979</v>
      </c>
      <c r="AB2385" t="s">
        <v>44</v>
      </c>
      <c r="AC2385" s="4"/>
      <c r="AD2385" s="4"/>
      <c r="AE2385" s="2">
        <v>0</v>
      </c>
      <c r="AF2385" s="4">
        <v>0</v>
      </c>
      <c r="AG2385" s="2">
        <v>1.95</v>
      </c>
      <c r="AH2385" s="2">
        <v>5942746.54</v>
      </c>
      <c r="AI2385" s="2">
        <v>0.01</v>
      </c>
      <c r="AJ2385" s="5">
        <v>44673</v>
      </c>
      <c r="AK2385" t="s">
        <v>12359</v>
      </c>
      <c r="AL2385" s="2">
        <v>0</v>
      </c>
      <c r="AM2385" s="2">
        <v>0</v>
      </c>
      <c r="AN2385" s="2">
        <v>0</v>
      </c>
      <c r="AO2385" t="s">
        <v>11165</v>
      </c>
      <c r="AP2385" t="s">
        <v>11166</v>
      </c>
      <c r="AQ2385" t="s">
        <v>11163</v>
      </c>
    </row>
    <row r="2386" spans="1:43" x14ac:dyDescent="0.2">
      <c r="A2386" t="s">
        <v>12358</v>
      </c>
      <c r="B2386" t="s">
        <v>11160</v>
      </c>
      <c r="C2386" t="s">
        <v>11161</v>
      </c>
      <c r="D2386" t="s">
        <v>11654</v>
      </c>
      <c r="E2386" t="s">
        <v>11655</v>
      </c>
      <c r="F2386" t="s">
        <v>11654</v>
      </c>
      <c r="G2386" s="1">
        <v>28406</v>
      </c>
      <c r="H2386" s="2">
        <v>2734552.89</v>
      </c>
      <c r="I2386" s="2">
        <v>2723851.34</v>
      </c>
      <c r="J2386" s="2">
        <v>0</v>
      </c>
      <c r="K2386" s="2">
        <v>0</v>
      </c>
      <c r="L2386" s="2">
        <v>2723851.34</v>
      </c>
      <c r="M2386" s="3">
        <v>9589</v>
      </c>
      <c r="N2386" s="4">
        <v>6.1970599999999999E-3</v>
      </c>
      <c r="O2386" s="5" t="s">
        <v>44</v>
      </c>
      <c r="P2386" s="5" t="s">
        <v>44</v>
      </c>
      <c r="Q2386" s="1"/>
      <c r="R2386" s="2"/>
      <c r="S2386" s="6"/>
      <c r="T2386" t="s">
        <v>10902</v>
      </c>
      <c r="U2386" t="s">
        <v>10902</v>
      </c>
      <c r="V2386" t="s">
        <v>11164</v>
      </c>
      <c r="W2386" t="s">
        <v>43</v>
      </c>
      <c r="X2386" t="s">
        <v>44</v>
      </c>
      <c r="Y2386" t="s">
        <v>44</v>
      </c>
      <c r="Z2386" t="s">
        <v>44</v>
      </c>
      <c r="AA2386" t="s">
        <v>10979</v>
      </c>
      <c r="AB2386" t="s">
        <v>44</v>
      </c>
      <c r="AC2386" s="4"/>
      <c r="AD2386" s="4"/>
      <c r="AE2386" s="2">
        <v>0</v>
      </c>
      <c r="AF2386" s="4">
        <v>0</v>
      </c>
      <c r="AG2386" s="2">
        <v>0.89</v>
      </c>
      <c r="AH2386" s="2">
        <v>2723851.34</v>
      </c>
      <c r="AI2386" s="2">
        <v>0.01</v>
      </c>
      <c r="AJ2386" s="5">
        <v>44673</v>
      </c>
      <c r="AK2386" t="s">
        <v>12359</v>
      </c>
      <c r="AL2386" s="2">
        <v>0</v>
      </c>
      <c r="AM2386" s="2">
        <v>0</v>
      </c>
      <c r="AN2386" s="2">
        <v>0</v>
      </c>
      <c r="AO2386" t="s">
        <v>11054</v>
      </c>
      <c r="AP2386" t="s">
        <v>11656</v>
      </c>
      <c r="AQ2386" t="s">
        <v>11655</v>
      </c>
    </row>
    <row r="2387" spans="1:43" x14ac:dyDescent="0.2">
      <c r="A2387" t="s">
        <v>12358</v>
      </c>
      <c r="B2387" t="s">
        <v>11160</v>
      </c>
      <c r="C2387" t="s">
        <v>11161</v>
      </c>
      <c r="D2387" t="s">
        <v>11176</v>
      </c>
      <c r="E2387" t="s">
        <v>11177</v>
      </c>
      <c r="F2387" t="s">
        <v>11178</v>
      </c>
      <c r="G2387" s="1">
        <v>45691</v>
      </c>
      <c r="H2387" s="2">
        <v>4190959.22</v>
      </c>
      <c r="I2387" s="2">
        <v>4221391.49</v>
      </c>
      <c r="J2387" s="2">
        <v>0</v>
      </c>
      <c r="K2387" s="2">
        <v>0</v>
      </c>
      <c r="L2387" s="2">
        <v>4221391.49</v>
      </c>
      <c r="M2387" s="3">
        <v>9239</v>
      </c>
      <c r="N2387" s="4">
        <v>9.6041200000000007E-3</v>
      </c>
      <c r="O2387" s="5" t="s">
        <v>44</v>
      </c>
      <c r="P2387" s="5" t="s">
        <v>44</v>
      </c>
      <c r="Q2387" s="1"/>
      <c r="R2387" s="2"/>
      <c r="S2387" s="6"/>
      <c r="T2387" t="s">
        <v>10902</v>
      </c>
      <c r="U2387" t="s">
        <v>10902</v>
      </c>
      <c r="V2387" t="s">
        <v>11164</v>
      </c>
      <c r="W2387" t="s">
        <v>43</v>
      </c>
      <c r="X2387" t="s">
        <v>44</v>
      </c>
      <c r="Y2387" t="s">
        <v>44</v>
      </c>
      <c r="Z2387" t="s">
        <v>44</v>
      </c>
      <c r="AA2387" t="s">
        <v>10979</v>
      </c>
      <c r="AB2387" t="s">
        <v>44</v>
      </c>
      <c r="AC2387" s="4"/>
      <c r="AD2387" s="4"/>
      <c r="AE2387" s="2">
        <v>0</v>
      </c>
      <c r="AF2387" s="4">
        <v>0</v>
      </c>
      <c r="AG2387" s="2">
        <v>1.38</v>
      </c>
      <c r="AH2387" s="2">
        <v>4221391.49</v>
      </c>
      <c r="AI2387" s="2">
        <v>0.01</v>
      </c>
      <c r="AJ2387" s="5">
        <v>44673</v>
      </c>
      <c r="AK2387" t="s">
        <v>12359</v>
      </c>
      <c r="AL2387" s="2">
        <v>0</v>
      </c>
      <c r="AM2387" s="2">
        <v>0</v>
      </c>
      <c r="AN2387" s="2">
        <v>0</v>
      </c>
      <c r="AO2387" t="s">
        <v>11179</v>
      </c>
      <c r="AP2387" t="s">
        <v>11180</v>
      </c>
      <c r="AQ2387" t="s">
        <v>11177</v>
      </c>
    </row>
    <row r="2388" spans="1:43" x14ac:dyDescent="0.2">
      <c r="A2388" t="s">
        <v>12366</v>
      </c>
      <c r="B2388" t="s">
        <v>10900</v>
      </c>
      <c r="C2388" t="s">
        <v>11049</v>
      </c>
      <c r="D2388" t="s">
        <v>12367</v>
      </c>
      <c r="E2388" t="s">
        <v>12368</v>
      </c>
      <c r="F2388" t="s">
        <v>12367</v>
      </c>
      <c r="G2388" s="1">
        <v>12750000</v>
      </c>
      <c r="H2388" s="2">
        <v>12788771.02</v>
      </c>
      <c r="I2388" s="2">
        <v>12780914.93</v>
      </c>
      <c r="J2388" s="2">
        <v>537360.1</v>
      </c>
      <c r="K2388" s="2">
        <v>0</v>
      </c>
      <c r="L2388" s="2">
        <v>13318275.029999999</v>
      </c>
      <c r="M2388" s="3">
        <v>5.53</v>
      </c>
      <c r="N2388" s="4">
        <v>3.0300509999999999E-2</v>
      </c>
      <c r="O2388" s="5">
        <v>44697</v>
      </c>
      <c r="P2388" s="5">
        <v>44697</v>
      </c>
      <c r="Q2388" s="1">
        <v>9.6750000000000007</v>
      </c>
      <c r="R2388" s="2">
        <v>0.05</v>
      </c>
      <c r="S2388" s="6">
        <v>5.1905378000000002E-2</v>
      </c>
      <c r="T2388" t="s">
        <v>111</v>
      </c>
      <c r="U2388" t="s">
        <v>111</v>
      </c>
      <c r="V2388" t="s">
        <v>10944</v>
      </c>
      <c r="W2388" t="s">
        <v>43</v>
      </c>
      <c r="X2388" t="s">
        <v>10988</v>
      </c>
      <c r="Y2388" t="s">
        <v>44</v>
      </c>
      <c r="Z2388" t="s">
        <v>44</v>
      </c>
      <c r="AA2388" t="s">
        <v>10979</v>
      </c>
      <c r="AB2388" t="s">
        <v>44</v>
      </c>
      <c r="AC2388" s="4">
        <v>5.6064522500000002</v>
      </c>
      <c r="AD2388" s="4">
        <v>5.4673456700000003</v>
      </c>
      <c r="AE2388" s="2">
        <v>5.61</v>
      </c>
      <c r="AF2388" s="4">
        <v>5.4673456700000003</v>
      </c>
      <c r="AG2388" s="2">
        <v>1.1100000000000001</v>
      </c>
      <c r="AH2388" s="2">
        <v>13318275.029999999</v>
      </c>
      <c r="AI2388" s="2">
        <v>0.03</v>
      </c>
      <c r="AJ2388" s="5">
        <v>44673</v>
      </c>
      <c r="AK2388" t="s">
        <v>12369</v>
      </c>
      <c r="AL2388" s="2">
        <v>5.53</v>
      </c>
      <c r="AM2388" s="2">
        <v>9.68</v>
      </c>
      <c r="AN2388" s="2">
        <v>0.05</v>
      </c>
      <c r="AO2388" t="s">
        <v>11165</v>
      </c>
      <c r="AP2388" t="s">
        <v>12370</v>
      </c>
      <c r="AQ2388" t="s">
        <v>12368</v>
      </c>
    </row>
    <row r="2389" spans="1:43" x14ac:dyDescent="0.2">
      <c r="A2389" t="s">
        <v>12366</v>
      </c>
      <c r="B2389" t="s">
        <v>10900</v>
      </c>
      <c r="C2389" t="s">
        <v>11049</v>
      </c>
      <c r="D2389" t="s">
        <v>11435</v>
      </c>
      <c r="E2389" t="s">
        <v>11436</v>
      </c>
      <c r="F2389" t="s">
        <v>11435</v>
      </c>
      <c r="G2389" s="1">
        <v>23200000</v>
      </c>
      <c r="H2389" s="2">
        <v>23200000</v>
      </c>
      <c r="I2389" s="2">
        <v>23130138.27</v>
      </c>
      <c r="J2389" s="2">
        <v>154311.78</v>
      </c>
      <c r="K2389" s="2">
        <v>0</v>
      </c>
      <c r="L2389" s="2">
        <v>23284450.050000001</v>
      </c>
      <c r="M2389" s="3">
        <v>6.6753489999999998</v>
      </c>
      <c r="N2389" s="4">
        <v>5.2974630000000002E-2</v>
      </c>
      <c r="O2389" s="5">
        <v>44727</v>
      </c>
      <c r="P2389" s="5">
        <v>44970</v>
      </c>
      <c r="Q2389" s="1">
        <v>6.2249999999999996</v>
      </c>
      <c r="R2389" s="2">
        <v>0.14000000000000001</v>
      </c>
      <c r="S2389" s="6">
        <v>0.118472349487</v>
      </c>
      <c r="T2389" t="s">
        <v>111</v>
      </c>
      <c r="U2389" t="s">
        <v>111</v>
      </c>
      <c r="V2389" t="s">
        <v>114</v>
      </c>
      <c r="W2389" t="s">
        <v>43</v>
      </c>
      <c r="X2389" t="s">
        <v>10988</v>
      </c>
      <c r="Y2389" t="s">
        <v>44</v>
      </c>
      <c r="Z2389" t="s">
        <v>44</v>
      </c>
      <c r="AA2389" t="s">
        <v>11035</v>
      </c>
      <c r="AB2389" t="s">
        <v>44</v>
      </c>
      <c r="AC2389" s="4">
        <v>6.78675008</v>
      </c>
      <c r="AD2389" s="4">
        <v>6.5843653</v>
      </c>
      <c r="AE2389" s="2">
        <v>6.79</v>
      </c>
      <c r="AF2389" s="4">
        <v>6.5843653</v>
      </c>
      <c r="AG2389" s="2">
        <v>1.94</v>
      </c>
      <c r="AH2389" s="2">
        <v>23284450.050000001</v>
      </c>
      <c r="AI2389" s="2">
        <v>0.05</v>
      </c>
      <c r="AJ2389" s="5">
        <v>44673</v>
      </c>
      <c r="AK2389" t="s">
        <v>12369</v>
      </c>
      <c r="AL2389" s="2">
        <v>6.68</v>
      </c>
      <c r="AM2389" s="2">
        <v>6.22</v>
      </c>
      <c r="AN2389" s="2">
        <v>0.12</v>
      </c>
      <c r="AO2389" t="s">
        <v>11437</v>
      </c>
      <c r="AP2389" t="s">
        <v>11438</v>
      </c>
      <c r="AQ2389" t="s">
        <v>11436</v>
      </c>
    </row>
    <row r="2390" spans="1:43" x14ac:dyDescent="0.2">
      <c r="A2390" t="s">
        <v>12366</v>
      </c>
      <c r="B2390" t="s">
        <v>10900</v>
      </c>
      <c r="C2390" t="s">
        <v>11049</v>
      </c>
      <c r="D2390" t="s">
        <v>11457</v>
      </c>
      <c r="E2390" t="s">
        <v>11458</v>
      </c>
      <c r="F2390" t="s">
        <v>11457</v>
      </c>
      <c r="G2390" s="1">
        <v>12600000</v>
      </c>
      <c r="H2390" s="2">
        <v>12600000</v>
      </c>
      <c r="I2390" s="2">
        <v>12600046.800000001</v>
      </c>
      <c r="J2390" s="2">
        <v>151668.1</v>
      </c>
      <c r="K2390" s="2">
        <v>0</v>
      </c>
      <c r="L2390" s="2">
        <v>12751714.9</v>
      </c>
      <c r="M2390" s="3">
        <v>5.4289139999999998</v>
      </c>
      <c r="N2390" s="4">
        <v>2.9011519999999999E-2</v>
      </c>
      <c r="O2390" s="5">
        <v>44684</v>
      </c>
      <c r="P2390" s="5">
        <v>44957</v>
      </c>
      <c r="Q2390" s="1">
        <v>5.3579999999999997</v>
      </c>
      <c r="R2390" s="2">
        <v>0.02</v>
      </c>
      <c r="S2390" s="6">
        <v>1.4426938812E-2</v>
      </c>
      <c r="T2390" t="s">
        <v>111</v>
      </c>
      <c r="U2390" t="s">
        <v>111</v>
      </c>
      <c r="V2390" t="s">
        <v>11189</v>
      </c>
      <c r="W2390" t="s">
        <v>43</v>
      </c>
      <c r="X2390" t="s">
        <v>11034</v>
      </c>
      <c r="Y2390" t="s">
        <v>44</v>
      </c>
      <c r="Z2390" t="s">
        <v>44</v>
      </c>
      <c r="AA2390" t="s">
        <v>10979</v>
      </c>
      <c r="AB2390" t="s">
        <v>44</v>
      </c>
      <c r="AC2390" s="4">
        <v>5.5025962599999998</v>
      </c>
      <c r="AD2390" s="4">
        <v>5.3685105899999996</v>
      </c>
      <c r="AE2390" s="2">
        <v>5.5</v>
      </c>
      <c r="AF2390" s="4">
        <v>5.3685105899999996</v>
      </c>
      <c r="AG2390" s="2">
        <v>1.06</v>
      </c>
      <c r="AH2390" s="2">
        <v>12751714.9</v>
      </c>
      <c r="AI2390" s="2">
        <v>0.03</v>
      </c>
      <c r="AJ2390" s="5">
        <v>44673</v>
      </c>
      <c r="AK2390" t="s">
        <v>12369</v>
      </c>
      <c r="AL2390" s="2">
        <v>5.43</v>
      </c>
      <c r="AM2390" s="2">
        <v>5.36</v>
      </c>
      <c r="AN2390" s="2">
        <v>0.01</v>
      </c>
      <c r="AO2390" t="s">
        <v>11048</v>
      </c>
      <c r="AP2390" t="s">
        <v>11459</v>
      </c>
      <c r="AQ2390" t="s">
        <v>11458</v>
      </c>
    </row>
    <row r="2391" spans="1:43" x14ac:dyDescent="0.2">
      <c r="A2391" t="s">
        <v>12366</v>
      </c>
      <c r="B2391" t="s">
        <v>10900</v>
      </c>
      <c r="C2391" t="s">
        <v>11049</v>
      </c>
      <c r="D2391" t="s">
        <v>11785</v>
      </c>
      <c r="E2391" t="s">
        <v>11786</v>
      </c>
      <c r="F2391" t="s">
        <v>11785</v>
      </c>
      <c r="G2391" s="1">
        <v>1600000</v>
      </c>
      <c r="H2391" s="2">
        <v>1610170.38</v>
      </c>
      <c r="I2391" s="2">
        <v>1616341.74</v>
      </c>
      <c r="J2391" s="2">
        <v>10439.19</v>
      </c>
      <c r="K2391" s="2">
        <v>0</v>
      </c>
      <c r="L2391" s="2">
        <v>1626780.93</v>
      </c>
      <c r="M2391" s="3">
        <v>4.8216830000000002</v>
      </c>
      <c r="N2391" s="4">
        <v>3.7011000000000001E-3</v>
      </c>
      <c r="O2391" s="5">
        <v>44732</v>
      </c>
      <c r="P2391" s="5">
        <v>44824</v>
      </c>
      <c r="Q2391" s="1">
        <v>7.4420000000000002</v>
      </c>
      <c r="R2391" s="2">
        <v>0.15</v>
      </c>
      <c r="S2391" s="6">
        <v>0.146783072519</v>
      </c>
      <c r="T2391" t="s">
        <v>111</v>
      </c>
      <c r="U2391" t="s">
        <v>111</v>
      </c>
      <c r="V2391" t="s">
        <v>11189</v>
      </c>
      <c r="W2391" t="s">
        <v>43</v>
      </c>
      <c r="X2391" t="s">
        <v>11034</v>
      </c>
      <c r="Y2391" t="s">
        <v>44</v>
      </c>
      <c r="Z2391" t="s">
        <v>44</v>
      </c>
      <c r="AA2391" t="s">
        <v>10979</v>
      </c>
      <c r="AB2391" t="s">
        <v>11441</v>
      </c>
      <c r="AC2391" s="4">
        <v>4.87980444</v>
      </c>
      <c r="AD2391" s="4">
        <v>4.7739498600000001</v>
      </c>
      <c r="AE2391" s="2">
        <v>4.88</v>
      </c>
      <c r="AF2391" s="4">
        <v>4.7739498600000001</v>
      </c>
      <c r="AG2391" s="2">
        <v>0.14000000000000001</v>
      </c>
      <c r="AH2391" s="2">
        <v>1626780.93</v>
      </c>
      <c r="AI2391" s="2">
        <v>0</v>
      </c>
      <c r="AJ2391" s="5">
        <v>44673</v>
      </c>
      <c r="AK2391" t="s">
        <v>12369</v>
      </c>
      <c r="AL2391" s="2">
        <v>4.82</v>
      </c>
      <c r="AM2391" s="2">
        <v>7.44</v>
      </c>
      <c r="AN2391" s="2">
        <v>0.15</v>
      </c>
      <c r="AO2391" t="s">
        <v>11054</v>
      </c>
      <c r="AP2391" t="s">
        <v>11787</v>
      </c>
      <c r="AQ2391" t="s">
        <v>11786</v>
      </c>
    </row>
    <row r="2392" spans="1:43" x14ac:dyDescent="0.2">
      <c r="A2392" t="s">
        <v>12366</v>
      </c>
      <c r="B2392" t="s">
        <v>10900</v>
      </c>
      <c r="C2392" t="s">
        <v>11049</v>
      </c>
      <c r="D2392" t="s">
        <v>11788</v>
      </c>
      <c r="E2392" t="s">
        <v>11789</v>
      </c>
      <c r="F2392" t="s">
        <v>11788</v>
      </c>
      <c r="G2392" s="1">
        <v>1900000</v>
      </c>
      <c r="H2392" s="2">
        <v>1948827.51</v>
      </c>
      <c r="I2392" s="2">
        <v>1925422</v>
      </c>
      <c r="J2392" s="2">
        <v>21784.93</v>
      </c>
      <c r="K2392" s="2">
        <v>0</v>
      </c>
      <c r="L2392" s="2">
        <v>1947206.93</v>
      </c>
      <c r="M2392" s="3">
        <v>6.08</v>
      </c>
      <c r="N2392" s="4">
        <v>4.4301100000000001E-3</v>
      </c>
      <c r="O2392" s="5">
        <v>44804</v>
      </c>
      <c r="P2392" s="5">
        <v>44985</v>
      </c>
      <c r="Q2392" s="1">
        <v>7.75</v>
      </c>
      <c r="R2392" s="2">
        <v>0.83</v>
      </c>
      <c r="S2392" s="6">
        <v>0.80485078300000001</v>
      </c>
      <c r="T2392" t="s">
        <v>111</v>
      </c>
      <c r="U2392" t="s">
        <v>111</v>
      </c>
      <c r="V2392" t="s">
        <v>10944</v>
      </c>
      <c r="W2392" t="s">
        <v>43</v>
      </c>
      <c r="X2392" t="s">
        <v>10988</v>
      </c>
      <c r="Y2392" t="s">
        <v>44</v>
      </c>
      <c r="Z2392" t="s">
        <v>44</v>
      </c>
      <c r="AA2392" t="s">
        <v>10979</v>
      </c>
      <c r="AB2392" t="s">
        <v>44</v>
      </c>
      <c r="AC2392" s="4">
        <v>6.1724160000000001</v>
      </c>
      <c r="AD2392" s="4">
        <v>6.0043873000000003</v>
      </c>
      <c r="AE2392" s="2">
        <v>6.17</v>
      </c>
      <c r="AF2392" s="4">
        <v>6.0043873000000003</v>
      </c>
      <c r="AG2392" s="2">
        <v>0.16</v>
      </c>
      <c r="AH2392" s="2">
        <v>1947206.93</v>
      </c>
      <c r="AI2392" s="2">
        <v>0</v>
      </c>
      <c r="AJ2392" s="5">
        <v>44673</v>
      </c>
      <c r="AK2392" t="s">
        <v>12369</v>
      </c>
      <c r="AL2392" s="2">
        <v>6.08</v>
      </c>
      <c r="AM2392" s="2">
        <v>7.75</v>
      </c>
      <c r="AN2392" s="2">
        <v>0.8</v>
      </c>
      <c r="AO2392" t="s">
        <v>11054</v>
      </c>
      <c r="AP2392" t="s">
        <v>11790</v>
      </c>
      <c r="AQ2392" t="s">
        <v>11789</v>
      </c>
    </row>
    <row r="2393" spans="1:43" x14ac:dyDescent="0.2">
      <c r="A2393" t="s">
        <v>12366</v>
      </c>
      <c r="B2393" t="s">
        <v>10900</v>
      </c>
      <c r="C2393" t="s">
        <v>11049</v>
      </c>
      <c r="D2393" t="s">
        <v>11460</v>
      </c>
      <c r="E2393" t="s">
        <v>11461</v>
      </c>
      <c r="F2393" t="s">
        <v>11460</v>
      </c>
      <c r="G2393" s="1">
        <v>51000000</v>
      </c>
      <c r="H2393" s="2">
        <v>51000000</v>
      </c>
      <c r="I2393" s="2">
        <v>51000000</v>
      </c>
      <c r="J2393" s="2">
        <v>694097.42</v>
      </c>
      <c r="K2393" s="2">
        <v>0</v>
      </c>
      <c r="L2393" s="2">
        <v>51694097.420000002</v>
      </c>
      <c r="M2393" s="3">
        <v>4.2116369999999996</v>
      </c>
      <c r="N2393" s="4">
        <v>0.11760964</v>
      </c>
      <c r="O2393" s="5">
        <v>44680</v>
      </c>
      <c r="P2393" s="5">
        <v>44865</v>
      </c>
      <c r="Q2393" s="1">
        <v>6.0579999999999998</v>
      </c>
      <c r="R2393" s="2">
        <v>7.0000000000000007E-2</v>
      </c>
      <c r="S2393" s="6">
        <v>7.3291687867999999E-2</v>
      </c>
      <c r="T2393" t="s">
        <v>111</v>
      </c>
      <c r="U2393" t="s">
        <v>111</v>
      </c>
      <c r="V2393" t="s">
        <v>114</v>
      </c>
      <c r="W2393" t="s">
        <v>43</v>
      </c>
      <c r="X2393" t="s">
        <v>10988</v>
      </c>
      <c r="Y2393" t="s">
        <v>44</v>
      </c>
      <c r="Z2393" t="s">
        <v>44</v>
      </c>
      <c r="AA2393" t="s">
        <v>11035</v>
      </c>
      <c r="AB2393" t="s">
        <v>44</v>
      </c>
      <c r="AC2393" s="4">
        <v>4.2559817600000001</v>
      </c>
      <c r="AD2393" s="4">
        <v>4.1751516899999999</v>
      </c>
      <c r="AE2393" s="2">
        <v>4.26</v>
      </c>
      <c r="AF2393" s="4">
        <v>4.1751516899999999</v>
      </c>
      <c r="AG2393" s="2">
        <v>4.3099999999999996</v>
      </c>
      <c r="AH2393" s="2">
        <v>51694097.420000002</v>
      </c>
      <c r="AI2393" s="2">
        <v>0.12</v>
      </c>
      <c r="AJ2393" s="5">
        <v>44673</v>
      </c>
      <c r="AK2393" t="s">
        <v>12369</v>
      </c>
      <c r="AL2393" s="2">
        <v>4.21</v>
      </c>
      <c r="AM2393" s="2">
        <v>6.06</v>
      </c>
      <c r="AN2393" s="2">
        <v>7.0000000000000007E-2</v>
      </c>
      <c r="AO2393" t="s">
        <v>11437</v>
      </c>
      <c r="AP2393" t="s">
        <v>11462</v>
      </c>
      <c r="AQ2393" t="s">
        <v>11461</v>
      </c>
    </row>
    <row r="2394" spans="1:43" x14ac:dyDescent="0.2">
      <c r="A2394" t="s">
        <v>12366</v>
      </c>
      <c r="B2394" t="s">
        <v>10900</v>
      </c>
      <c r="C2394" t="s">
        <v>11049</v>
      </c>
      <c r="D2394" t="s">
        <v>12371</v>
      </c>
      <c r="E2394" t="s">
        <v>12372</v>
      </c>
      <c r="F2394" t="s">
        <v>12371</v>
      </c>
      <c r="G2394" s="1">
        <v>14300000</v>
      </c>
      <c r="H2394" s="2">
        <v>14300000</v>
      </c>
      <c r="I2394" s="2">
        <v>14319812.390000001</v>
      </c>
      <c r="J2394" s="2">
        <v>78870.179999999993</v>
      </c>
      <c r="K2394" s="2">
        <v>0</v>
      </c>
      <c r="L2394" s="2">
        <v>14398682.57</v>
      </c>
      <c r="M2394" s="3">
        <v>5.3216830000000002</v>
      </c>
      <c r="N2394" s="4">
        <v>3.2758549999999997E-2</v>
      </c>
      <c r="O2394" s="5">
        <v>44732</v>
      </c>
      <c r="P2394" s="5">
        <v>44913</v>
      </c>
      <c r="Q2394" s="1">
        <v>5.5919999999999996</v>
      </c>
      <c r="R2394" s="2">
        <v>0.15</v>
      </c>
      <c r="S2394" s="6">
        <v>0.14229649479199999</v>
      </c>
      <c r="T2394" t="s">
        <v>111</v>
      </c>
      <c r="U2394" t="s">
        <v>111</v>
      </c>
      <c r="V2394" t="s">
        <v>11189</v>
      </c>
      <c r="W2394" t="s">
        <v>43</v>
      </c>
      <c r="X2394" t="s">
        <v>11034</v>
      </c>
      <c r="Y2394" t="s">
        <v>44</v>
      </c>
      <c r="Z2394" t="s">
        <v>44</v>
      </c>
      <c r="AA2394" t="s">
        <v>10979</v>
      </c>
      <c r="AB2394" t="s">
        <v>44</v>
      </c>
      <c r="AC2394" s="4">
        <v>5.39248365</v>
      </c>
      <c r="AD2394" s="4">
        <v>5.2636239099999997</v>
      </c>
      <c r="AE2394" s="2">
        <v>5.39</v>
      </c>
      <c r="AF2394" s="4">
        <v>5.2636239099999997</v>
      </c>
      <c r="AG2394" s="2">
        <v>1.2</v>
      </c>
      <c r="AH2394" s="2">
        <v>14398682.57</v>
      </c>
      <c r="AI2394" s="2">
        <v>0.03</v>
      </c>
      <c r="AJ2394" s="5">
        <v>44673</v>
      </c>
      <c r="AK2394" t="s">
        <v>12369</v>
      </c>
      <c r="AL2394" s="2">
        <v>5.32</v>
      </c>
      <c r="AM2394" s="2">
        <v>5.59</v>
      </c>
      <c r="AN2394" s="2">
        <v>0.14000000000000001</v>
      </c>
      <c r="AO2394" t="s">
        <v>11824</v>
      </c>
      <c r="AP2394" t="s">
        <v>12373</v>
      </c>
      <c r="AQ2394" t="s">
        <v>12372</v>
      </c>
    </row>
    <row r="2395" spans="1:43" x14ac:dyDescent="0.2">
      <c r="A2395" t="s">
        <v>12366</v>
      </c>
      <c r="B2395" t="s">
        <v>10900</v>
      </c>
      <c r="C2395" t="s">
        <v>11049</v>
      </c>
      <c r="D2395" t="s">
        <v>11463</v>
      </c>
      <c r="E2395" t="s">
        <v>11464</v>
      </c>
      <c r="F2395" t="s">
        <v>11463</v>
      </c>
      <c r="G2395" s="1">
        <v>2600000</v>
      </c>
      <c r="H2395" s="2">
        <v>2602963.9300000002</v>
      </c>
      <c r="I2395" s="2">
        <v>2610331.6</v>
      </c>
      <c r="J2395" s="2">
        <v>18673.27</v>
      </c>
      <c r="K2395" s="2">
        <v>0</v>
      </c>
      <c r="L2395" s="2">
        <v>2629004.87</v>
      </c>
      <c r="M2395" s="3">
        <v>5.5214679999999996</v>
      </c>
      <c r="N2395" s="4">
        <v>5.9812700000000003E-3</v>
      </c>
      <c r="O2395" s="5">
        <v>44733</v>
      </c>
      <c r="P2395" s="5">
        <v>44733</v>
      </c>
      <c r="Q2395" s="1">
        <v>8.1920000000000002</v>
      </c>
      <c r="R2395" s="2">
        <v>0.16</v>
      </c>
      <c r="S2395" s="6">
        <v>0.14786153473499999</v>
      </c>
      <c r="T2395" t="s">
        <v>111</v>
      </c>
      <c r="U2395" t="s">
        <v>111</v>
      </c>
      <c r="V2395" t="s">
        <v>11189</v>
      </c>
      <c r="W2395" t="s">
        <v>43</v>
      </c>
      <c r="X2395" t="s">
        <v>11034</v>
      </c>
      <c r="Y2395" t="s">
        <v>44</v>
      </c>
      <c r="Z2395" t="s">
        <v>44</v>
      </c>
      <c r="AA2395" t="s">
        <v>11035</v>
      </c>
      <c r="AB2395" t="s">
        <v>11465</v>
      </c>
      <c r="AC2395" s="4">
        <v>5.5976845400000004</v>
      </c>
      <c r="AD2395" s="4">
        <v>5.4590052800000004</v>
      </c>
      <c r="AE2395" s="2">
        <v>5.6</v>
      </c>
      <c r="AF2395" s="4">
        <v>5.4590052800000004</v>
      </c>
      <c r="AG2395" s="2">
        <v>0.22</v>
      </c>
      <c r="AH2395" s="2">
        <v>2629004.87</v>
      </c>
      <c r="AI2395" s="2">
        <v>0.01</v>
      </c>
      <c r="AJ2395" s="5">
        <v>44673</v>
      </c>
      <c r="AK2395" t="s">
        <v>12369</v>
      </c>
      <c r="AL2395" s="2">
        <v>5.52</v>
      </c>
      <c r="AM2395" s="2">
        <v>8.19</v>
      </c>
      <c r="AN2395" s="2">
        <v>0.15</v>
      </c>
      <c r="AO2395" t="s">
        <v>11053</v>
      </c>
      <c r="AP2395" t="s">
        <v>11466</v>
      </c>
      <c r="AQ2395" t="s">
        <v>11464</v>
      </c>
    </row>
    <row r="2396" spans="1:43" x14ac:dyDescent="0.2">
      <c r="A2396" t="s">
        <v>12366</v>
      </c>
      <c r="B2396" t="s">
        <v>10900</v>
      </c>
      <c r="C2396" t="s">
        <v>11049</v>
      </c>
      <c r="D2396" t="s">
        <v>11471</v>
      </c>
      <c r="E2396" t="s">
        <v>11472</v>
      </c>
      <c r="F2396" t="s">
        <v>11471</v>
      </c>
      <c r="G2396" s="1">
        <v>81700000</v>
      </c>
      <c r="H2396" s="2">
        <v>81718817.359999999</v>
      </c>
      <c r="I2396" s="2">
        <v>81693847.989999995</v>
      </c>
      <c r="J2396" s="2">
        <v>2037351.78</v>
      </c>
      <c r="K2396" s="2">
        <v>0</v>
      </c>
      <c r="L2396" s="2">
        <v>83731199.769999996</v>
      </c>
      <c r="M2396" s="3">
        <v>7.4</v>
      </c>
      <c r="N2396" s="4">
        <v>0.19049748999999999</v>
      </c>
      <c r="O2396" s="5">
        <v>44733</v>
      </c>
      <c r="P2396" s="5">
        <v>44916</v>
      </c>
      <c r="Q2396" s="1">
        <v>7.4</v>
      </c>
      <c r="R2396" s="2">
        <v>0.64</v>
      </c>
      <c r="S2396" s="6">
        <v>0.61596285799999995</v>
      </c>
      <c r="T2396" t="s">
        <v>111</v>
      </c>
      <c r="U2396" t="s">
        <v>111</v>
      </c>
      <c r="V2396" t="s">
        <v>114</v>
      </c>
      <c r="W2396" t="s">
        <v>43</v>
      </c>
      <c r="X2396" t="s">
        <v>10988</v>
      </c>
      <c r="Y2396" t="s">
        <v>44</v>
      </c>
      <c r="Z2396" t="s">
        <v>44</v>
      </c>
      <c r="AA2396" t="s">
        <v>10913</v>
      </c>
      <c r="AB2396" t="s">
        <v>44</v>
      </c>
      <c r="AC2396" s="4">
        <v>7.5369000000000002</v>
      </c>
      <c r="AD2396" s="4">
        <v>7.2884304699999998</v>
      </c>
      <c r="AE2396" s="2">
        <v>7.54</v>
      </c>
      <c r="AF2396" s="4">
        <v>7.2884304699999998</v>
      </c>
      <c r="AG2396" s="2">
        <v>6.99</v>
      </c>
      <c r="AH2396" s="2">
        <v>83731199.769999996</v>
      </c>
      <c r="AI2396" s="2">
        <v>0.19</v>
      </c>
      <c r="AJ2396" s="5">
        <v>44673</v>
      </c>
      <c r="AK2396" t="s">
        <v>12369</v>
      </c>
      <c r="AL2396" s="2">
        <v>7.4</v>
      </c>
      <c r="AM2396" s="2">
        <v>7.4</v>
      </c>
      <c r="AN2396" s="2">
        <v>0.62</v>
      </c>
      <c r="AO2396" t="s">
        <v>10922</v>
      </c>
      <c r="AP2396" t="s">
        <v>11473</v>
      </c>
      <c r="AQ2396" t="s">
        <v>11472</v>
      </c>
    </row>
    <row r="2397" spans="1:43" x14ac:dyDescent="0.2">
      <c r="A2397" t="s">
        <v>12366</v>
      </c>
      <c r="B2397" t="s">
        <v>10900</v>
      </c>
      <c r="C2397" t="s">
        <v>11049</v>
      </c>
      <c r="D2397" t="s">
        <v>11474</v>
      </c>
      <c r="E2397" t="s">
        <v>11475</v>
      </c>
      <c r="F2397" t="s">
        <v>11474</v>
      </c>
      <c r="G2397" s="1">
        <v>56700000</v>
      </c>
      <c r="H2397" s="2">
        <v>56695545.07</v>
      </c>
      <c r="I2397" s="2">
        <v>56698741.259999998</v>
      </c>
      <c r="J2397" s="2">
        <v>920963.34</v>
      </c>
      <c r="K2397" s="2">
        <v>0</v>
      </c>
      <c r="L2397" s="2">
        <v>57619704.600000001</v>
      </c>
      <c r="M2397" s="3">
        <v>7.23</v>
      </c>
      <c r="N2397" s="4">
        <v>0.13109103</v>
      </c>
      <c r="O2397" s="5">
        <v>44773</v>
      </c>
      <c r="P2397" s="5">
        <v>44773</v>
      </c>
      <c r="Q2397" s="1">
        <v>7.23</v>
      </c>
      <c r="R2397" s="2">
        <v>0.27</v>
      </c>
      <c r="S2397" s="6">
        <v>0.26074350600000001</v>
      </c>
      <c r="T2397" t="s">
        <v>111</v>
      </c>
      <c r="U2397" t="s">
        <v>111</v>
      </c>
      <c r="V2397" t="s">
        <v>10944</v>
      </c>
      <c r="W2397" t="s">
        <v>43</v>
      </c>
      <c r="X2397" t="s">
        <v>44</v>
      </c>
      <c r="Y2397" t="s">
        <v>44</v>
      </c>
      <c r="Z2397" t="s">
        <v>44</v>
      </c>
      <c r="AA2397" t="s">
        <v>10913</v>
      </c>
      <c r="AB2397" t="s">
        <v>44</v>
      </c>
      <c r="AC2397" s="4">
        <v>7.36068225</v>
      </c>
      <c r="AD2397" s="4">
        <v>7.1234440000000001</v>
      </c>
      <c r="AE2397" s="2">
        <v>7.36</v>
      </c>
      <c r="AF2397" s="4">
        <v>7.1234440000000001</v>
      </c>
      <c r="AG2397" s="2">
        <v>4.8099999999999996</v>
      </c>
      <c r="AH2397" s="2">
        <v>57619704.600000001</v>
      </c>
      <c r="AI2397" s="2">
        <v>0.13</v>
      </c>
      <c r="AJ2397" s="5">
        <v>44673</v>
      </c>
      <c r="AK2397" t="s">
        <v>12369</v>
      </c>
      <c r="AL2397" s="2">
        <v>7.23</v>
      </c>
      <c r="AM2397" s="2">
        <v>7.23</v>
      </c>
      <c r="AN2397" s="2">
        <v>0.26</v>
      </c>
      <c r="AO2397" t="s">
        <v>10922</v>
      </c>
      <c r="AP2397" t="s">
        <v>11476</v>
      </c>
      <c r="AQ2397" t="s">
        <v>11475</v>
      </c>
    </row>
    <row r="2398" spans="1:43" x14ac:dyDescent="0.2">
      <c r="A2398" t="s">
        <v>12366</v>
      </c>
      <c r="B2398" t="s">
        <v>10900</v>
      </c>
      <c r="C2398" t="s">
        <v>11049</v>
      </c>
      <c r="D2398" t="s">
        <v>12269</v>
      </c>
      <c r="E2398" t="s">
        <v>12270</v>
      </c>
      <c r="F2398" t="s">
        <v>12269</v>
      </c>
      <c r="G2398" s="1">
        <v>19400000</v>
      </c>
      <c r="H2398" s="2">
        <v>19400000</v>
      </c>
      <c r="I2398" s="2">
        <v>19456378.34</v>
      </c>
      <c r="J2398" s="2">
        <v>231311.78</v>
      </c>
      <c r="K2398" s="2">
        <v>0</v>
      </c>
      <c r="L2398" s="2">
        <v>19687690.120000001</v>
      </c>
      <c r="M2398" s="3">
        <v>6.43</v>
      </c>
      <c r="N2398" s="4">
        <v>4.4791610000000003E-2</v>
      </c>
      <c r="O2398" s="5">
        <v>44795</v>
      </c>
      <c r="P2398" s="5">
        <v>44978</v>
      </c>
      <c r="Q2398" s="1">
        <v>6.8</v>
      </c>
      <c r="R2398" s="2">
        <v>0.81</v>
      </c>
      <c r="S2398" s="6">
        <v>0.78433783400000001</v>
      </c>
      <c r="T2398" t="s">
        <v>111</v>
      </c>
      <c r="U2398" t="s">
        <v>111</v>
      </c>
      <c r="V2398" t="s">
        <v>114</v>
      </c>
      <c r="W2398" t="s">
        <v>43</v>
      </c>
      <c r="X2398" t="s">
        <v>44</v>
      </c>
      <c r="Y2398" t="s">
        <v>44</v>
      </c>
      <c r="Z2398" t="s">
        <v>44</v>
      </c>
      <c r="AA2398" t="s">
        <v>10979</v>
      </c>
      <c r="AB2398" t="s">
        <v>44</v>
      </c>
      <c r="AC2398" s="4">
        <v>6.5333622499999997</v>
      </c>
      <c r="AD2398" s="4">
        <v>6.3455195</v>
      </c>
      <c r="AE2398" s="2">
        <v>6.53</v>
      </c>
      <c r="AF2398" s="4">
        <v>6.3455195</v>
      </c>
      <c r="AG2398" s="2">
        <v>1.64</v>
      </c>
      <c r="AH2398" s="2">
        <v>19687690.120000001</v>
      </c>
      <c r="AI2398" s="2">
        <v>0.04</v>
      </c>
      <c r="AJ2398" s="5">
        <v>44673</v>
      </c>
      <c r="AK2398" t="s">
        <v>12369</v>
      </c>
      <c r="AL2398" s="2">
        <v>6.43</v>
      </c>
      <c r="AM2398" s="2">
        <v>6.8</v>
      </c>
      <c r="AN2398" s="2">
        <v>0.78</v>
      </c>
      <c r="AO2398" t="s">
        <v>10982</v>
      </c>
      <c r="AP2398" t="s">
        <v>12271</v>
      </c>
      <c r="AQ2398" t="s">
        <v>12270</v>
      </c>
    </row>
    <row r="2399" spans="1:43" x14ac:dyDescent="0.2">
      <c r="A2399" t="s">
        <v>12366</v>
      </c>
      <c r="B2399" t="s">
        <v>10900</v>
      </c>
      <c r="C2399" t="s">
        <v>11049</v>
      </c>
      <c r="D2399" t="s">
        <v>11794</v>
      </c>
      <c r="E2399" t="s">
        <v>11795</v>
      </c>
      <c r="F2399" t="s">
        <v>11794</v>
      </c>
      <c r="G2399" s="1">
        <v>1000000</v>
      </c>
      <c r="H2399" s="2">
        <v>1000148.61</v>
      </c>
      <c r="I2399" s="2">
        <v>1000112.18</v>
      </c>
      <c r="J2399" s="2">
        <v>12711.12</v>
      </c>
      <c r="K2399" s="2">
        <v>0</v>
      </c>
      <c r="L2399" s="2">
        <v>1012823.3</v>
      </c>
      <c r="M2399" s="3">
        <v>4.7002220000000001</v>
      </c>
      <c r="N2399" s="4">
        <v>2.3042800000000001E-3</v>
      </c>
      <c r="O2399" s="5">
        <v>44680</v>
      </c>
      <c r="P2399" s="5">
        <v>44680</v>
      </c>
      <c r="Q2399" s="1">
        <v>5.6580000000000004</v>
      </c>
      <c r="R2399" s="2">
        <v>0.01</v>
      </c>
      <c r="S2399" s="6">
        <v>1.0461427896999999E-2</v>
      </c>
      <c r="T2399" t="s">
        <v>111</v>
      </c>
      <c r="U2399" t="s">
        <v>111</v>
      </c>
      <c r="V2399" t="s">
        <v>11189</v>
      </c>
      <c r="W2399" t="s">
        <v>43</v>
      </c>
      <c r="X2399" t="s">
        <v>11034</v>
      </c>
      <c r="Y2399" t="s">
        <v>44</v>
      </c>
      <c r="Z2399" t="s">
        <v>44</v>
      </c>
      <c r="AA2399" t="s">
        <v>44</v>
      </c>
      <c r="AB2399" t="s">
        <v>11225</v>
      </c>
      <c r="AC2399" s="4">
        <v>4.7554521300000001</v>
      </c>
      <c r="AD2399" s="4">
        <v>4.6548469299999997</v>
      </c>
      <c r="AE2399" s="2">
        <v>4.76</v>
      </c>
      <c r="AF2399" s="4">
        <v>4.6548469299999997</v>
      </c>
      <c r="AG2399" s="2">
        <v>0.08</v>
      </c>
      <c r="AH2399" s="2">
        <v>1012823.3</v>
      </c>
      <c r="AI2399" s="2">
        <v>0</v>
      </c>
      <c r="AJ2399" s="5">
        <v>44673</v>
      </c>
      <c r="AK2399" t="s">
        <v>12369</v>
      </c>
      <c r="AL2399" s="2">
        <v>4.7</v>
      </c>
      <c r="AM2399" s="2">
        <v>5.66</v>
      </c>
      <c r="AN2399" s="2">
        <v>0.01</v>
      </c>
      <c r="AO2399" t="s">
        <v>11527</v>
      </c>
      <c r="AP2399" t="s">
        <v>11796</v>
      </c>
      <c r="AQ2399" t="s">
        <v>11795</v>
      </c>
    </row>
    <row r="2400" spans="1:43" x14ac:dyDescent="0.2">
      <c r="A2400" t="s">
        <v>12366</v>
      </c>
      <c r="B2400" t="s">
        <v>10900</v>
      </c>
      <c r="C2400" t="s">
        <v>11049</v>
      </c>
      <c r="D2400" t="s">
        <v>12374</v>
      </c>
      <c r="E2400" t="s">
        <v>12375</v>
      </c>
      <c r="F2400" t="s">
        <v>12374</v>
      </c>
      <c r="G2400" s="1">
        <v>7500000</v>
      </c>
      <c r="H2400" s="2">
        <v>7500471.5599999996</v>
      </c>
      <c r="I2400" s="2">
        <v>7500974.7199999997</v>
      </c>
      <c r="J2400" s="2">
        <v>68134.11</v>
      </c>
      <c r="K2400" s="2">
        <v>0</v>
      </c>
      <c r="L2400" s="2">
        <v>7569108.8300000001</v>
      </c>
      <c r="M2400" s="3">
        <v>5.5341639999999996</v>
      </c>
      <c r="N2400" s="4">
        <v>1.7220539999999999E-2</v>
      </c>
      <c r="O2400" s="5">
        <v>44705</v>
      </c>
      <c r="P2400" s="5">
        <v>44705</v>
      </c>
      <c r="Q2400" s="1">
        <v>5.7169999999999996</v>
      </c>
      <c r="R2400" s="2">
        <v>0.08</v>
      </c>
      <c r="S2400" s="6">
        <v>7.5220413240999998E-2</v>
      </c>
      <c r="T2400" t="s">
        <v>111</v>
      </c>
      <c r="U2400" t="s">
        <v>111</v>
      </c>
      <c r="V2400" t="s">
        <v>11189</v>
      </c>
      <c r="W2400" t="s">
        <v>43</v>
      </c>
      <c r="X2400" t="s">
        <v>11034</v>
      </c>
      <c r="Y2400" t="s">
        <v>44</v>
      </c>
      <c r="Z2400" t="s">
        <v>44</v>
      </c>
      <c r="AA2400" t="s">
        <v>44</v>
      </c>
      <c r="AB2400" t="s">
        <v>44</v>
      </c>
      <c r="AC2400" s="4">
        <v>5.6107310300000002</v>
      </c>
      <c r="AD2400" s="4">
        <v>5.4714156799999998</v>
      </c>
      <c r="AE2400" s="2">
        <v>5.61</v>
      </c>
      <c r="AF2400" s="4">
        <v>5.4714156799999998</v>
      </c>
      <c r="AG2400" s="2">
        <v>0.63</v>
      </c>
      <c r="AH2400" s="2">
        <v>7569108.8300000001</v>
      </c>
      <c r="AI2400" s="2">
        <v>0.02</v>
      </c>
      <c r="AJ2400" s="5">
        <v>44673</v>
      </c>
      <c r="AK2400" t="s">
        <v>12369</v>
      </c>
      <c r="AL2400" s="2">
        <v>5.53</v>
      </c>
      <c r="AM2400" s="2">
        <v>5.72</v>
      </c>
      <c r="AN2400" s="2">
        <v>0.08</v>
      </c>
      <c r="AO2400" t="s">
        <v>11527</v>
      </c>
      <c r="AP2400" t="s">
        <v>12376</v>
      </c>
      <c r="AQ2400" t="s">
        <v>12375</v>
      </c>
    </row>
    <row r="2401" spans="1:43" x14ac:dyDescent="0.2">
      <c r="A2401" t="s">
        <v>12366</v>
      </c>
      <c r="B2401" t="s">
        <v>10900</v>
      </c>
      <c r="C2401" t="s">
        <v>11049</v>
      </c>
      <c r="D2401" t="s">
        <v>11916</v>
      </c>
      <c r="E2401" t="s">
        <v>11917</v>
      </c>
      <c r="F2401" t="s">
        <v>11916</v>
      </c>
      <c r="G2401" s="1">
        <v>1568160</v>
      </c>
      <c r="H2401" s="2">
        <v>1568160</v>
      </c>
      <c r="I2401" s="2">
        <v>1564720.47</v>
      </c>
      <c r="J2401" s="2">
        <v>7756.76</v>
      </c>
      <c r="K2401" s="2">
        <v>0</v>
      </c>
      <c r="L2401" s="2">
        <v>1572477.23</v>
      </c>
      <c r="M2401" s="3">
        <v>5.6016830000000004</v>
      </c>
      <c r="N2401" s="4">
        <v>3.57756E-3</v>
      </c>
      <c r="O2401" s="5">
        <v>44732</v>
      </c>
      <c r="P2401" s="5">
        <v>44824</v>
      </c>
      <c r="Q2401" s="1">
        <v>5.6420000000000003</v>
      </c>
      <c r="R2401" s="2">
        <v>0.15</v>
      </c>
      <c r="S2401" s="6">
        <v>0.14281421501899999</v>
      </c>
      <c r="T2401" t="s">
        <v>111</v>
      </c>
      <c r="U2401" t="s">
        <v>111</v>
      </c>
      <c r="V2401" t="s">
        <v>11189</v>
      </c>
      <c r="W2401" t="s">
        <v>43</v>
      </c>
      <c r="X2401" t="s">
        <v>11034</v>
      </c>
      <c r="Y2401" t="s">
        <v>44</v>
      </c>
      <c r="Z2401" t="s">
        <v>44</v>
      </c>
      <c r="AA2401" t="s">
        <v>10979</v>
      </c>
      <c r="AB2401" t="s">
        <v>44</v>
      </c>
      <c r="AC2401" s="4">
        <v>5.6801300100000001</v>
      </c>
      <c r="AD2401" s="4">
        <v>5.5374074699999998</v>
      </c>
      <c r="AE2401" s="2">
        <v>5.68</v>
      </c>
      <c r="AF2401" s="4">
        <v>5.5374074699999998</v>
      </c>
      <c r="AG2401" s="2">
        <v>0.13</v>
      </c>
      <c r="AH2401" s="2">
        <v>1572477.23</v>
      </c>
      <c r="AI2401" s="2">
        <v>0</v>
      </c>
      <c r="AJ2401" s="5">
        <v>44673</v>
      </c>
      <c r="AK2401" t="s">
        <v>12369</v>
      </c>
      <c r="AL2401" s="2">
        <v>5.6</v>
      </c>
      <c r="AM2401" s="2">
        <v>5.64</v>
      </c>
      <c r="AN2401" s="2">
        <v>0.14000000000000001</v>
      </c>
      <c r="AO2401" t="s">
        <v>10980</v>
      </c>
      <c r="AP2401" t="s">
        <v>11918</v>
      </c>
      <c r="AQ2401" t="s">
        <v>11917</v>
      </c>
    </row>
    <row r="2402" spans="1:43" x14ac:dyDescent="0.2">
      <c r="A2402" t="s">
        <v>12366</v>
      </c>
      <c r="B2402" t="s">
        <v>10900</v>
      </c>
      <c r="C2402" t="s">
        <v>11049</v>
      </c>
      <c r="D2402" t="s">
        <v>12377</v>
      </c>
      <c r="E2402" t="s">
        <v>12378</v>
      </c>
      <c r="F2402" t="s">
        <v>12377</v>
      </c>
      <c r="G2402" s="1">
        <v>30540000</v>
      </c>
      <c r="H2402" s="2">
        <v>30594304.399999999</v>
      </c>
      <c r="I2402" s="2">
        <v>30652932.030000001</v>
      </c>
      <c r="J2402" s="2">
        <v>363936.39</v>
      </c>
      <c r="K2402" s="2">
        <v>0</v>
      </c>
      <c r="L2402" s="2">
        <v>31016868.420000002</v>
      </c>
      <c r="M2402" s="3">
        <v>4.7789140000000003</v>
      </c>
      <c r="N2402" s="4">
        <v>7.0566719999999999E-2</v>
      </c>
      <c r="O2402" s="5">
        <v>44684</v>
      </c>
      <c r="P2402" s="5">
        <v>44867</v>
      </c>
      <c r="Q2402" s="1">
        <v>5.4370000000000003</v>
      </c>
      <c r="R2402" s="2">
        <v>0.02</v>
      </c>
      <c r="S2402" s="6">
        <v>2.0079296936E-2</v>
      </c>
      <c r="T2402" t="s">
        <v>111</v>
      </c>
      <c r="U2402" t="s">
        <v>111</v>
      </c>
      <c r="V2402" t="s">
        <v>11189</v>
      </c>
      <c r="W2402" t="s">
        <v>43</v>
      </c>
      <c r="X2402" t="s">
        <v>11034</v>
      </c>
      <c r="Y2402" t="s">
        <v>44</v>
      </c>
      <c r="Z2402" t="s">
        <v>44</v>
      </c>
      <c r="AA2402" t="s">
        <v>10913</v>
      </c>
      <c r="AB2402" t="s">
        <v>44</v>
      </c>
      <c r="AC2402" s="4">
        <v>4.8360085499999999</v>
      </c>
      <c r="AD2402" s="4">
        <v>4.7320175300000002</v>
      </c>
      <c r="AE2402" s="2">
        <v>4.84</v>
      </c>
      <c r="AF2402" s="4">
        <v>4.7320175300000002</v>
      </c>
      <c r="AG2402" s="2">
        <v>2.59</v>
      </c>
      <c r="AH2402" s="2">
        <v>31016868.420000002</v>
      </c>
      <c r="AI2402" s="2">
        <v>7.0000000000000007E-2</v>
      </c>
      <c r="AJ2402" s="5">
        <v>44673</v>
      </c>
      <c r="AK2402" t="s">
        <v>12369</v>
      </c>
      <c r="AL2402" s="2">
        <v>4.78</v>
      </c>
      <c r="AM2402" s="2">
        <v>5.44</v>
      </c>
      <c r="AN2402" s="2">
        <v>0.02</v>
      </c>
      <c r="AO2402" t="s">
        <v>12379</v>
      </c>
      <c r="AP2402" t="s">
        <v>12380</v>
      </c>
      <c r="AQ2402" t="s">
        <v>12378</v>
      </c>
    </row>
    <row r="2403" spans="1:43" x14ac:dyDescent="0.2">
      <c r="A2403" t="s">
        <v>12366</v>
      </c>
      <c r="B2403" t="s">
        <v>10900</v>
      </c>
      <c r="C2403" t="s">
        <v>11049</v>
      </c>
      <c r="D2403" t="s">
        <v>11797</v>
      </c>
      <c r="E2403" t="s">
        <v>11798</v>
      </c>
      <c r="F2403" t="s">
        <v>11797</v>
      </c>
      <c r="G2403" s="1">
        <v>18469000</v>
      </c>
      <c r="H2403" s="2">
        <v>18753287.390000001</v>
      </c>
      <c r="I2403" s="2">
        <v>18777736.84</v>
      </c>
      <c r="J2403" s="2">
        <v>114250.25</v>
      </c>
      <c r="K2403" s="2">
        <v>0</v>
      </c>
      <c r="L2403" s="2">
        <v>18891987.09</v>
      </c>
      <c r="M2403" s="3">
        <v>5.7687520000000001</v>
      </c>
      <c r="N2403" s="4">
        <v>4.29813E-2</v>
      </c>
      <c r="O2403" s="5">
        <v>44742</v>
      </c>
      <c r="P2403" s="5">
        <v>44834</v>
      </c>
      <c r="Q2403" s="1">
        <v>9.8170000000000002</v>
      </c>
      <c r="R2403" s="2">
        <v>0.18</v>
      </c>
      <c r="S2403" s="6">
        <v>0.17046604942900001</v>
      </c>
      <c r="T2403" t="s">
        <v>111</v>
      </c>
      <c r="U2403" t="s">
        <v>111</v>
      </c>
      <c r="V2403" t="s">
        <v>11189</v>
      </c>
      <c r="W2403" t="s">
        <v>43</v>
      </c>
      <c r="X2403" t="s">
        <v>11034</v>
      </c>
      <c r="Y2403" t="s">
        <v>44</v>
      </c>
      <c r="Z2403" t="s">
        <v>44</v>
      </c>
      <c r="AA2403" t="s">
        <v>11035</v>
      </c>
      <c r="AB2403" t="s">
        <v>2680</v>
      </c>
      <c r="AC2403" s="4">
        <v>5.8519482600000003</v>
      </c>
      <c r="AD2403" s="4">
        <v>5.7006194399999996</v>
      </c>
      <c r="AE2403" s="2">
        <v>5.85</v>
      </c>
      <c r="AF2403" s="4">
        <v>5.7006194399999996</v>
      </c>
      <c r="AG2403" s="2">
        <v>1.58</v>
      </c>
      <c r="AH2403" s="2">
        <v>18891987.09</v>
      </c>
      <c r="AI2403" s="2">
        <v>0.04</v>
      </c>
      <c r="AJ2403" s="5">
        <v>44673</v>
      </c>
      <c r="AK2403" t="s">
        <v>12369</v>
      </c>
      <c r="AL2403" s="2">
        <v>5.77</v>
      </c>
      <c r="AM2403" s="2">
        <v>9.82</v>
      </c>
      <c r="AN2403" s="2">
        <v>0.17</v>
      </c>
      <c r="AO2403" t="s">
        <v>11496</v>
      </c>
      <c r="AP2403" t="s">
        <v>11799</v>
      </c>
      <c r="AQ2403" t="s">
        <v>11798</v>
      </c>
    </row>
    <row r="2404" spans="1:43" x14ac:dyDescent="0.2">
      <c r="A2404" t="s">
        <v>12366</v>
      </c>
      <c r="B2404" t="s">
        <v>10900</v>
      </c>
      <c r="C2404" t="s">
        <v>11049</v>
      </c>
      <c r="D2404" t="s">
        <v>12381</v>
      </c>
      <c r="E2404" t="s">
        <v>12382</v>
      </c>
      <c r="F2404" t="s">
        <v>12381</v>
      </c>
      <c r="G2404" s="1">
        <v>1200000</v>
      </c>
      <c r="H2404" s="2">
        <v>1208054.76</v>
      </c>
      <c r="I2404" s="2">
        <v>1206537.1200000001</v>
      </c>
      <c r="J2404" s="2">
        <v>38840.550000000003</v>
      </c>
      <c r="K2404" s="2">
        <v>0</v>
      </c>
      <c r="L2404" s="2">
        <v>1245377.67</v>
      </c>
      <c r="M2404" s="3">
        <v>4.72</v>
      </c>
      <c r="N2404" s="4">
        <v>2.83337E-3</v>
      </c>
      <c r="O2404" s="5">
        <v>44724</v>
      </c>
      <c r="P2404" s="5">
        <v>44724</v>
      </c>
      <c r="Q2404" s="1">
        <v>8.9499999999999993</v>
      </c>
      <c r="R2404" s="2">
        <v>0.13</v>
      </c>
      <c r="S2404" s="6">
        <v>0.13069560599999999</v>
      </c>
      <c r="T2404" t="s">
        <v>111</v>
      </c>
      <c r="U2404" t="s">
        <v>111</v>
      </c>
      <c r="V2404" t="s">
        <v>10944</v>
      </c>
      <c r="W2404" t="s">
        <v>43</v>
      </c>
      <c r="X2404" t="s">
        <v>11034</v>
      </c>
      <c r="Y2404" t="s">
        <v>44</v>
      </c>
      <c r="Z2404" t="s">
        <v>44</v>
      </c>
      <c r="AA2404" t="s">
        <v>10979</v>
      </c>
      <c r="AB2404" t="s">
        <v>44</v>
      </c>
      <c r="AC2404" s="4">
        <v>4.7756959999999999</v>
      </c>
      <c r="AD2404" s="4">
        <v>4.6742450599999996</v>
      </c>
      <c r="AE2404" s="2">
        <v>4.78</v>
      </c>
      <c r="AF2404" s="4">
        <v>4.6742450599999996</v>
      </c>
      <c r="AG2404" s="2">
        <v>0.1</v>
      </c>
      <c r="AH2404" s="2">
        <v>1245377.67</v>
      </c>
      <c r="AI2404" s="2">
        <v>0</v>
      </c>
      <c r="AJ2404" s="5">
        <v>44673</v>
      </c>
      <c r="AK2404" t="s">
        <v>12369</v>
      </c>
      <c r="AL2404" s="2">
        <v>4.72</v>
      </c>
      <c r="AM2404" s="2">
        <v>8.9499999999999993</v>
      </c>
      <c r="AN2404" s="2">
        <v>0.13</v>
      </c>
      <c r="AO2404" t="s">
        <v>11179</v>
      </c>
      <c r="AP2404" t="s">
        <v>12383</v>
      </c>
      <c r="AQ2404" t="s">
        <v>12382</v>
      </c>
    </row>
    <row r="2405" spans="1:43" x14ac:dyDescent="0.2">
      <c r="A2405" t="s">
        <v>12366</v>
      </c>
      <c r="B2405" t="s">
        <v>10900</v>
      </c>
      <c r="C2405" t="s">
        <v>11049</v>
      </c>
      <c r="D2405" t="s">
        <v>12384</v>
      </c>
      <c r="E2405" t="s">
        <v>12385</v>
      </c>
      <c r="F2405" t="s">
        <v>12384</v>
      </c>
      <c r="G2405" s="1">
        <v>1900000</v>
      </c>
      <c r="H2405" s="2">
        <v>1959671.18</v>
      </c>
      <c r="I2405" s="2">
        <v>1942388.24</v>
      </c>
      <c r="J2405" s="2">
        <v>84160.11</v>
      </c>
      <c r="K2405" s="2">
        <v>0</v>
      </c>
      <c r="L2405" s="2">
        <v>2026548.35</v>
      </c>
      <c r="M2405" s="3">
        <v>5.835</v>
      </c>
      <c r="N2405" s="4">
        <v>4.6106200000000002E-3</v>
      </c>
      <c r="O2405" s="5">
        <v>44693</v>
      </c>
      <c r="P2405" s="5">
        <v>44877</v>
      </c>
      <c r="Q2405" s="1">
        <v>9.98</v>
      </c>
      <c r="R2405" s="2">
        <v>0.52</v>
      </c>
      <c r="S2405" s="6">
        <v>0.50880014200000001</v>
      </c>
      <c r="T2405" t="s">
        <v>111</v>
      </c>
      <c r="U2405" t="s">
        <v>111</v>
      </c>
      <c r="V2405" t="s">
        <v>10944</v>
      </c>
      <c r="W2405" t="s">
        <v>43</v>
      </c>
      <c r="X2405" t="s">
        <v>44</v>
      </c>
      <c r="Y2405" t="s">
        <v>44</v>
      </c>
      <c r="Z2405" t="s">
        <v>44</v>
      </c>
      <c r="AA2405" t="s">
        <v>10979</v>
      </c>
      <c r="AB2405" t="s">
        <v>44</v>
      </c>
      <c r="AC2405" s="4">
        <v>5.9201180600000001</v>
      </c>
      <c r="AD2405" s="4">
        <v>5.7653073700000004</v>
      </c>
      <c r="AE2405" s="2">
        <v>5.92</v>
      </c>
      <c r="AF2405" s="4">
        <v>5.7653073700000004</v>
      </c>
      <c r="AG2405" s="2">
        <v>0.17</v>
      </c>
      <c r="AH2405" s="2">
        <v>2026548.35</v>
      </c>
      <c r="AI2405" s="2">
        <v>0</v>
      </c>
      <c r="AJ2405" s="5">
        <v>44673</v>
      </c>
      <c r="AK2405" t="s">
        <v>12369</v>
      </c>
      <c r="AL2405" s="2">
        <v>5.83</v>
      </c>
      <c r="AM2405" s="2">
        <v>9.98</v>
      </c>
      <c r="AN2405" s="2">
        <v>0.51</v>
      </c>
      <c r="AO2405" t="s">
        <v>11179</v>
      </c>
      <c r="AP2405" t="s">
        <v>12386</v>
      </c>
      <c r="AQ2405" t="s">
        <v>12385</v>
      </c>
    </row>
    <row r="2406" spans="1:43" x14ac:dyDescent="0.2">
      <c r="A2406" t="s">
        <v>12366</v>
      </c>
      <c r="B2406" t="s">
        <v>10900</v>
      </c>
      <c r="C2406" t="s">
        <v>11049</v>
      </c>
      <c r="D2406" t="s">
        <v>12735</v>
      </c>
      <c r="E2406" t="s">
        <v>12387</v>
      </c>
      <c r="F2406" t="s">
        <v>12735</v>
      </c>
      <c r="G2406" s="1">
        <v>5000000</v>
      </c>
      <c r="H2406" s="2">
        <v>5000000</v>
      </c>
      <c r="I2406" s="2">
        <v>5000137.9400000004</v>
      </c>
      <c r="J2406" s="2">
        <v>28316.71</v>
      </c>
      <c r="K2406" s="2">
        <v>0</v>
      </c>
      <c r="L2406" s="2">
        <v>5028454.6500000004</v>
      </c>
      <c r="M2406" s="3">
        <v>5.6316829999999998</v>
      </c>
      <c r="N2406" s="4">
        <v>1.1440280000000001E-2</v>
      </c>
      <c r="O2406" s="5">
        <v>44732</v>
      </c>
      <c r="P2406" s="5">
        <v>44732</v>
      </c>
      <c r="Q2406" s="1">
        <v>5.742</v>
      </c>
      <c r="R2406" s="2">
        <v>0.15</v>
      </c>
      <c r="S2406" s="6">
        <v>0.145110319568</v>
      </c>
      <c r="T2406" t="s">
        <v>111</v>
      </c>
      <c r="U2406" t="s">
        <v>111</v>
      </c>
      <c r="V2406" t="s">
        <v>11189</v>
      </c>
      <c r="W2406" t="s">
        <v>43</v>
      </c>
      <c r="X2406" t="s">
        <v>11034</v>
      </c>
      <c r="Y2406" t="s">
        <v>44</v>
      </c>
      <c r="Z2406" t="s">
        <v>44</v>
      </c>
      <c r="AA2406" t="s">
        <v>44</v>
      </c>
      <c r="AB2406" t="s">
        <v>44</v>
      </c>
      <c r="AC2406" s="4">
        <v>5.7109725100000004</v>
      </c>
      <c r="AD2406" s="4">
        <v>5.5667229999999996</v>
      </c>
      <c r="AE2406" s="2">
        <v>5.71</v>
      </c>
      <c r="AF2406" s="4">
        <v>5.5667229999999996</v>
      </c>
      <c r="AG2406" s="2">
        <v>0.42</v>
      </c>
      <c r="AH2406" s="2">
        <v>5028454.6500000004</v>
      </c>
      <c r="AI2406" s="2">
        <v>0.01</v>
      </c>
      <c r="AJ2406" s="5">
        <v>44673</v>
      </c>
      <c r="AK2406" t="s">
        <v>12369</v>
      </c>
      <c r="AL2406" s="2">
        <v>5.63</v>
      </c>
      <c r="AM2406" s="2">
        <v>5.74</v>
      </c>
      <c r="AN2406" s="2">
        <v>0.15</v>
      </c>
      <c r="AO2406" t="s">
        <v>12388</v>
      </c>
      <c r="AP2406" t="s">
        <v>12389</v>
      </c>
      <c r="AQ2406" t="s">
        <v>12387</v>
      </c>
    </row>
    <row r="2407" spans="1:43" x14ac:dyDescent="0.2">
      <c r="A2407" t="s">
        <v>12366</v>
      </c>
      <c r="B2407" t="s">
        <v>10900</v>
      </c>
      <c r="C2407" t="s">
        <v>11049</v>
      </c>
      <c r="D2407" t="s">
        <v>11265</v>
      </c>
      <c r="E2407" t="s">
        <v>11266</v>
      </c>
      <c r="F2407" t="s">
        <v>11265</v>
      </c>
      <c r="G2407" s="1">
        <v>11327471</v>
      </c>
      <c r="H2407" s="2">
        <v>10789971.199999999</v>
      </c>
      <c r="I2407" s="2">
        <v>10789971.199999999</v>
      </c>
      <c r="J2407" s="2">
        <v>0</v>
      </c>
      <c r="K2407" s="2">
        <v>0</v>
      </c>
      <c r="L2407" s="2">
        <v>10789971.199999999</v>
      </c>
      <c r="M2407" s="3">
        <v>6.3099970000000001</v>
      </c>
      <c r="N2407" s="4">
        <v>2.454835E-2</v>
      </c>
      <c r="O2407" s="5" t="s">
        <v>44</v>
      </c>
      <c r="P2407" s="5">
        <v>44964</v>
      </c>
      <c r="Q2407" s="1">
        <v>0</v>
      </c>
      <c r="R2407" s="2">
        <v>0.79</v>
      </c>
      <c r="S2407" s="6">
        <v>0.75161913127000002</v>
      </c>
      <c r="T2407" t="s">
        <v>112</v>
      </c>
      <c r="U2407" t="s">
        <v>111</v>
      </c>
      <c r="V2407" t="s">
        <v>11238</v>
      </c>
      <c r="W2407" t="s">
        <v>43</v>
      </c>
      <c r="X2407" t="s">
        <v>44</v>
      </c>
      <c r="Y2407" t="s">
        <v>44</v>
      </c>
      <c r="Z2407" t="s">
        <v>44</v>
      </c>
      <c r="AA2407" t="s">
        <v>10979</v>
      </c>
      <c r="AB2407" t="s">
        <v>44</v>
      </c>
      <c r="AC2407" s="4">
        <v>6.4095368800000001</v>
      </c>
      <c r="AD2407" s="4">
        <v>6.2286110399999997</v>
      </c>
      <c r="AE2407" s="2">
        <v>6.41</v>
      </c>
      <c r="AF2407" s="4">
        <v>6.2286110399999997</v>
      </c>
      <c r="AG2407" s="2">
        <v>0.9</v>
      </c>
      <c r="AH2407" s="2">
        <v>10789971.199999999</v>
      </c>
      <c r="AI2407" s="2">
        <v>0.02</v>
      </c>
      <c r="AJ2407" s="5">
        <v>44673</v>
      </c>
      <c r="AK2407" t="s">
        <v>12369</v>
      </c>
      <c r="AL2407" s="2">
        <v>6.31</v>
      </c>
      <c r="AM2407" s="2">
        <v>0</v>
      </c>
      <c r="AN2407" s="2">
        <v>0.75</v>
      </c>
      <c r="AO2407" t="s">
        <v>10982</v>
      </c>
      <c r="AP2407" t="s">
        <v>11267</v>
      </c>
      <c r="AQ2407" t="s">
        <v>11266</v>
      </c>
    </row>
    <row r="2408" spans="1:43" x14ac:dyDescent="0.2">
      <c r="A2408" t="s">
        <v>12366</v>
      </c>
      <c r="B2408" t="s">
        <v>10900</v>
      </c>
      <c r="C2408" t="s">
        <v>11033</v>
      </c>
      <c r="D2408" t="s">
        <v>11501</v>
      </c>
      <c r="E2408" t="s">
        <v>11502</v>
      </c>
      <c r="F2408" t="s">
        <v>11501</v>
      </c>
      <c r="G2408" s="1">
        <v>17500000</v>
      </c>
      <c r="H2408" s="2">
        <v>17506354.030000001</v>
      </c>
      <c r="I2408" s="2">
        <v>17535026.789999999</v>
      </c>
      <c r="J2408" s="2">
        <v>62907.95</v>
      </c>
      <c r="K2408" s="2">
        <v>0</v>
      </c>
      <c r="L2408" s="2">
        <v>17597934.739999998</v>
      </c>
      <c r="M2408" s="3">
        <v>5.2487519999999996</v>
      </c>
      <c r="N2408" s="4">
        <v>4.0037200000000002E-2</v>
      </c>
      <c r="O2408" s="5">
        <v>44742</v>
      </c>
      <c r="P2408" s="5">
        <v>45383</v>
      </c>
      <c r="Q2408" s="1">
        <v>5.4669999999999996</v>
      </c>
      <c r="R2408" s="2">
        <v>0.18</v>
      </c>
      <c r="S2408" s="6">
        <v>0.16209118744199999</v>
      </c>
      <c r="T2408" t="s">
        <v>111</v>
      </c>
      <c r="U2408" t="s">
        <v>111</v>
      </c>
      <c r="V2408" t="s">
        <v>11189</v>
      </c>
      <c r="W2408" t="s">
        <v>43</v>
      </c>
      <c r="X2408" t="s">
        <v>11034</v>
      </c>
      <c r="Y2408" t="s">
        <v>44</v>
      </c>
      <c r="Z2408" t="s">
        <v>44</v>
      </c>
      <c r="AA2408" t="s">
        <v>10979</v>
      </c>
      <c r="AB2408" t="s">
        <v>44</v>
      </c>
      <c r="AC2408" s="4">
        <v>5.3176255100000001</v>
      </c>
      <c r="AD2408" s="4">
        <v>5.1922611500000002</v>
      </c>
      <c r="AE2408" s="2">
        <v>5.32</v>
      </c>
      <c r="AF2408" s="4">
        <v>5.1922611500000002</v>
      </c>
      <c r="AG2408" s="2">
        <v>1.47</v>
      </c>
      <c r="AH2408" s="2">
        <v>17597934.739999998</v>
      </c>
      <c r="AI2408" s="2">
        <v>0.04</v>
      </c>
      <c r="AJ2408" s="5">
        <v>44673</v>
      </c>
      <c r="AK2408" t="s">
        <v>12369</v>
      </c>
      <c r="AL2408" s="2">
        <v>5.25</v>
      </c>
      <c r="AM2408" s="2">
        <v>5.47</v>
      </c>
      <c r="AN2408" s="2">
        <v>0.16</v>
      </c>
      <c r="AO2408" t="s">
        <v>11165</v>
      </c>
      <c r="AP2408" t="s">
        <v>11503</v>
      </c>
      <c r="AQ2408" t="s">
        <v>11502</v>
      </c>
    </row>
    <row r="2409" spans="1:43" x14ac:dyDescent="0.2">
      <c r="A2409" t="s">
        <v>12366</v>
      </c>
      <c r="B2409" t="s">
        <v>10900</v>
      </c>
      <c r="C2409" t="s">
        <v>11033</v>
      </c>
      <c r="D2409" t="s">
        <v>11518</v>
      </c>
      <c r="E2409" t="s">
        <v>11519</v>
      </c>
      <c r="F2409" t="s">
        <v>11518</v>
      </c>
      <c r="G2409" s="1">
        <v>42300000</v>
      </c>
      <c r="H2409" s="2">
        <v>42306833.880000003</v>
      </c>
      <c r="I2409" s="2">
        <v>42434213.25</v>
      </c>
      <c r="J2409" s="2">
        <v>441266.65</v>
      </c>
      <c r="K2409" s="2">
        <v>0</v>
      </c>
      <c r="L2409" s="2">
        <v>42875479.899999999</v>
      </c>
      <c r="M2409" s="3">
        <v>6.0730570000000004</v>
      </c>
      <c r="N2409" s="4">
        <v>9.7546330000000001E-2</v>
      </c>
      <c r="O2409" s="5">
        <v>44704</v>
      </c>
      <c r="P2409" s="5">
        <v>45159</v>
      </c>
      <c r="Q2409" s="1">
        <v>6.242</v>
      </c>
      <c r="R2409" s="2">
        <v>0.08</v>
      </c>
      <c r="S2409" s="6">
        <v>5.9720457003999999E-2</v>
      </c>
      <c r="T2409" t="s">
        <v>111</v>
      </c>
      <c r="U2409" t="s">
        <v>111</v>
      </c>
      <c r="V2409" t="s">
        <v>11189</v>
      </c>
      <c r="W2409" t="s">
        <v>43</v>
      </c>
      <c r="X2409" t="s">
        <v>11034</v>
      </c>
      <c r="Y2409" t="s">
        <v>44</v>
      </c>
      <c r="Z2409" t="s">
        <v>44</v>
      </c>
      <c r="AA2409" t="s">
        <v>11441</v>
      </c>
      <c r="AB2409" t="s">
        <v>44</v>
      </c>
      <c r="AC2409" s="4">
        <v>6.1652619800000004</v>
      </c>
      <c r="AD2409" s="4">
        <v>5.9976152599999999</v>
      </c>
      <c r="AE2409" s="2">
        <v>6.17</v>
      </c>
      <c r="AF2409" s="4">
        <v>5.9976152599999999</v>
      </c>
      <c r="AG2409" s="2">
        <v>3.58</v>
      </c>
      <c r="AH2409" s="2">
        <v>42875479.899999999</v>
      </c>
      <c r="AI2409" s="2">
        <v>0.1</v>
      </c>
      <c r="AJ2409" s="5">
        <v>44673</v>
      </c>
      <c r="AK2409" t="s">
        <v>12369</v>
      </c>
      <c r="AL2409" s="2">
        <v>6.07</v>
      </c>
      <c r="AM2409" s="2">
        <v>6.24</v>
      </c>
      <c r="AN2409" s="2">
        <v>0.06</v>
      </c>
      <c r="AO2409" t="s">
        <v>11520</v>
      </c>
      <c r="AP2409" t="s">
        <v>11521</v>
      </c>
      <c r="AQ2409" t="s">
        <v>11519</v>
      </c>
    </row>
    <row r="2410" spans="1:43" x14ac:dyDescent="0.2">
      <c r="A2410" t="s">
        <v>12366</v>
      </c>
      <c r="B2410" t="s">
        <v>10900</v>
      </c>
      <c r="C2410" t="s">
        <v>11033</v>
      </c>
      <c r="D2410" t="s">
        <v>12841</v>
      </c>
      <c r="E2410" t="s">
        <v>12842</v>
      </c>
      <c r="F2410" t="s">
        <v>12841</v>
      </c>
      <c r="G2410" s="1">
        <v>24000000</v>
      </c>
      <c r="H2410" s="2">
        <v>24000000</v>
      </c>
      <c r="I2410" s="2">
        <v>24000622.609999999</v>
      </c>
      <c r="J2410" s="2">
        <v>96136.77</v>
      </c>
      <c r="K2410" s="2">
        <v>0</v>
      </c>
      <c r="L2410" s="2">
        <v>24096759.379999999</v>
      </c>
      <c r="M2410" s="3">
        <v>5.8547310000000001</v>
      </c>
      <c r="N2410" s="4">
        <v>5.4822719999999998E-2</v>
      </c>
      <c r="O2410" s="5">
        <v>44679</v>
      </c>
      <c r="P2410" s="5">
        <v>45044</v>
      </c>
      <c r="Q2410" s="1">
        <v>6.0919999999999996</v>
      </c>
      <c r="R2410" s="2">
        <v>0.01</v>
      </c>
      <c r="S2410" s="6">
        <v>-3.847892072E-3</v>
      </c>
      <c r="T2410" t="s">
        <v>111</v>
      </c>
      <c r="U2410" t="s">
        <v>111</v>
      </c>
      <c r="V2410" t="s">
        <v>114</v>
      </c>
      <c r="W2410" t="s">
        <v>43</v>
      </c>
      <c r="X2410" t="s">
        <v>44</v>
      </c>
      <c r="Y2410" t="s">
        <v>44</v>
      </c>
      <c r="Z2410" t="s">
        <v>44</v>
      </c>
      <c r="AA2410" t="s">
        <v>10979</v>
      </c>
      <c r="AB2410" t="s">
        <v>44</v>
      </c>
      <c r="AC2410" s="4">
        <v>5.9404258900000002</v>
      </c>
      <c r="AD2410" s="4">
        <v>5.7845705699999996</v>
      </c>
      <c r="AE2410" s="2">
        <v>5.94</v>
      </c>
      <c r="AF2410" s="4">
        <v>5.7845705699999996</v>
      </c>
      <c r="AG2410" s="2">
        <v>2.0099999999999998</v>
      </c>
      <c r="AH2410" s="2">
        <v>24096759.379999999</v>
      </c>
      <c r="AI2410" s="2">
        <v>0.05</v>
      </c>
      <c r="AJ2410" s="5">
        <v>44673</v>
      </c>
      <c r="AK2410" t="s">
        <v>12369</v>
      </c>
      <c r="AL2410" s="2">
        <v>5.85</v>
      </c>
      <c r="AM2410" s="2">
        <v>6.09</v>
      </c>
      <c r="AN2410" s="2">
        <v>0</v>
      </c>
      <c r="AO2410" t="s">
        <v>11165</v>
      </c>
      <c r="AP2410" t="s">
        <v>12843</v>
      </c>
      <c r="AQ2410" t="s">
        <v>12842</v>
      </c>
    </row>
    <row r="2411" spans="1:43" x14ac:dyDescent="0.2">
      <c r="A2411" t="s">
        <v>12366</v>
      </c>
      <c r="B2411" t="s">
        <v>10900</v>
      </c>
      <c r="C2411" t="s">
        <v>11033</v>
      </c>
      <c r="D2411" t="s">
        <v>12968</v>
      </c>
      <c r="E2411" t="s">
        <v>12969</v>
      </c>
      <c r="F2411" t="s">
        <v>12968</v>
      </c>
      <c r="G2411" s="1">
        <v>17000000</v>
      </c>
      <c r="H2411" s="2">
        <v>17000000</v>
      </c>
      <c r="I2411" s="2">
        <v>17000391.120000001</v>
      </c>
      <c r="J2411" s="2">
        <v>30140.3</v>
      </c>
      <c r="K2411" s="2">
        <v>0</v>
      </c>
      <c r="L2411" s="2">
        <v>17030531.420000002</v>
      </c>
      <c r="M2411" s="3">
        <v>5.7981850000000001</v>
      </c>
      <c r="N2411" s="4">
        <v>3.8746290000000003E-2</v>
      </c>
      <c r="O2411" s="5">
        <v>44754</v>
      </c>
      <c r="P2411" s="5">
        <v>45759</v>
      </c>
      <c r="Q2411" s="1">
        <v>5.883</v>
      </c>
      <c r="R2411" s="2">
        <v>0.21</v>
      </c>
      <c r="S2411" s="6">
        <v>0.17647470644900001</v>
      </c>
      <c r="T2411" t="s">
        <v>111</v>
      </c>
      <c r="U2411" t="s">
        <v>111</v>
      </c>
      <c r="V2411" t="s">
        <v>11189</v>
      </c>
      <c r="W2411" t="s">
        <v>43</v>
      </c>
      <c r="X2411" t="s">
        <v>11034</v>
      </c>
      <c r="Y2411" t="s">
        <v>44</v>
      </c>
      <c r="Z2411" t="s">
        <v>44</v>
      </c>
      <c r="AA2411" t="s">
        <v>44</v>
      </c>
      <c r="AB2411" t="s">
        <v>44</v>
      </c>
      <c r="AC2411" s="4">
        <v>5.8822328199999996</v>
      </c>
      <c r="AD2411" s="4">
        <v>5.7293618799999999</v>
      </c>
      <c r="AE2411" s="2">
        <v>5.88</v>
      </c>
      <c r="AF2411" s="4">
        <v>5.7293618799999999</v>
      </c>
      <c r="AG2411" s="2">
        <v>1.42</v>
      </c>
      <c r="AH2411" s="2">
        <v>17030531.420000002</v>
      </c>
      <c r="AI2411" s="2">
        <v>0.04</v>
      </c>
      <c r="AJ2411" s="5">
        <v>44673</v>
      </c>
      <c r="AK2411" t="s">
        <v>12369</v>
      </c>
      <c r="AL2411" s="2">
        <v>5.8</v>
      </c>
      <c r="AM2411" s="2">
        <v>5.88</v>
      </c>
      <c r="AN2411" s="2">
        <v>0.18</v>
      </c>
      <c r="AO2411" t="s">
        <v>11527</v>
      </c>
      <c r="AP2411" t="s">
        <v>12970</v>
      </c>
      <c r="AQ2411" t="s">
        <v>12969</v>
      </c>
    </row>
    <row r="2412" spans="1:43" x14ac:dyDescent="0.2">
      <c r="A2412" t="s">
        <v>12366</v>
      </c>
      <c r="B2412" t="s">
        <v>10900</v>
      </c>
      <c r="C2412" t="s">
        <v>11033</v>
      </c>
      <c r="D2412" t="s">
        <v>12390</v>
      </c>
      <c r="E2412" t="s">
        <v>12391</v>
      </c>
      <c r="F2412" t="s">
        <v>12390</v>
      </c>
      <c r="G2412" s="1">
        <v>34500000</v>
      </c>
      <c r="H2412" s="2">
        <v>34500000</v>
      </c>
      <c r="I2412" s="2">
        <v>34541467.969999999</v>
      </c>
      <c r="J2412" s="2">
        <v>508289.92</v>
      </c>
      <c r="K2412" s="2">
        <v>0</v>
      </c>
      <c r="L2412" s="2">
        <v>35049757.890000001</v>
      </c>
      <c r="M2412" s="3">
        <v>6.4902220000000002</v>
      </c>
      <c r="N2412" s="4">
        <v>7.9741969999999995E-2</v>
      </c>
      <c r="O2412" s="5">
        <v>44680</v>
      </c>
      <c r="P2412" s="5">
        <v>45136</v>
      </c>
      <c r="Q2412" s="1">
        <v>6.5579999999999998</v>
      </c>
      <c r="R2412" s="2">
        <v>0.01</v>
      </c>
      <c r="S2412" s="6">
        <v>-8.1043672139999995E-3</v>
      </c>
      <c r="T2412" t="s">
        <v>111</v>
      </c>
      <c r="U2412" t="s">
        <v>111</v>
      </c>
      <c r="V2412" t="s">
        <v>11189</v>
      </c>
      <c r="W2412" t="s">
        <v>43</v>
      </c>
      <c r="X2412" t="s">
        <v>11034</v>
      </c>
      <c r="Y2412" t="s">
        <v>44</v>
      </c>
      <c r="Z2412" t="s">
        <v>44</v>
      </c>
      <c r="AA2412" t="s">
        <v>11035</v>
      </c>
      <c r="AB2412" t="s">
        <v>44</v>
      </c>
      <c r="AC2412" s="4">
        <v>6.5955293700000004</v>
      </c>
      <c r="AD2412" s="4">
        <v>6.4041669900000002</v>
      </c>
      <c r="AE2412" s="2">
        <v>6.6</v>
      </c>
      <c r="AF2412" s="4">
        <v>6.4041669900000002</v>
      </c>
      <c r="AG2412" s="2">
        <v>2.93</v>
      </c>
      <c r="AH2412" s="2">
        <v>35049757.890000001</v>
      </c>
      <c r="AI2412" s="2">
        <v>0.08</v>
      </c>
      <c r="AJ2412" s="5">
        <v>44673</v>
      </c>
      <c r="AK2412" t="s">
        <v>12369</v>
      </c>
      <c r="AL2412" s="2">
        <v>6.49</v>
      </c>
      <c r="AM2412" s="2">
        <v>6.56</v>
      </c>
      <c r="AN2412" s="2">
        <v>-0.01</v>
      </c>
      <c r="AO2412" t="s">
        <v>11437</v>
      </c>
      <c r="AP2412" t="s">
        <v>12392</v>
      </c>
      <c r="AQ2412" t="s">
        <v>12391</v>
      </c>
    </row>
    <row r="2413" spans="1:43" x14ac:dyDescent="0.2">
      <c r="A2413" t="s">
        <v>12366</v>
      </c>
      <c r="B2413" t="s">
        <v>10900</v>
      </c>
      <c r="C2413" t="s">
        <v>11033</v>
      </c>
      <c r="D2413" t="s">
        <v>12393</v>
      </c>
      <c r="E2413" t="s">
        <v>12394</v>
      </c>
      <c r="F2413" t="s">
        <v>12393</v>
      </c>
      <c r="G2413" s="1">
        <v>7500000</v>
      </c>
      <c r="H2413" s="2">
        <v>7922608.3399999999</v>
      </c>
      <c r="I2413" s="2">
        <v>7793061.75</v>
      </c>
      <c r="J2413" s="2">
        <v>359901.37</v>
      </c>
      <c r="K2413" s="2">
        <v>0</v>
      </c>
      <c r="L2413" s="2">
        <v>8152963.1200000001</v>
      </c>
      <c r="M2413" s="3">
        <v>6.7649999999999997</v>
      </c>
      <c r="N2413" s="4">
        <v>1.8548869999999999E-2</v>
      </c>
      <c r="O2413" s="5">
        <v>44691</v>
      </c>
      <c r="P2413" s="5">
        <v>45056</v>
      </c>
      <c r="Q2413" s="1">
        <v>10.68</v>
      </c>
      <c r="R2413" s="2">
        <v>0.97</v>
      </c>
      <c r="S2413" s="6">
        <v>0.93709763599999996</v>
      </c>
      <c r="T2413" t="s">
        <v>111</v>
      </c>
      <c r="U2413" t="s">
        <v>111</v>
      </c>
      <c r="V2413" t="s">
        <v>10944</v>
      </c>
      <c r="W2413" t="s">
        <v>43</v>
      </c>
      <c r="X2413" t="s">
        <v>44</v>
      </c>
      <c r="Y2413" t="s">
        <v>44</v>
      </c>
      <c r="Z2413" t="s">
        <v>44</v>
      </c>
      <c r="AA2413" t="s">
        <v>11035</v>
      </c>
      <c r="AB2413" t="s">
        <v>44</v>
      </c>
      <c r="AC2413" s="4">
        <v>6.8794130600000001</v>
      </c>
      <c r="AD2413" s="4">
        <v>6.6715806000000004</v>
      </c>
      <c r="AE2413" s="2">
        <v>6.88</v>
      </c>
      <c r="AF2413" s="4">
        <v>6.6715806000000004</v>
      </c>
      <c r="AG2413" s="2">
        <v>0.68</v>
      </c>
      <c r="AH2413" s="2">
        <v>8152963.1200000001</v>
      </c>
      <c r="AI2413" s="2">
        <v>0.02</v>
      </c>
      <c r="AJ2413" s="5">
        <v>44673</v>
      </c>
      <c r="AK2413" t="s">
        <v>12369</v>
      </c>
      <c r="AL2413" s="2">
        <v>6.76</v>
      </c>
      <c r="AM2413" s="2">
        <v>10.68</v>
      </c>
      <c r="AN2413" s="2">
        <v>0.94</v>
      </c>
      <c r="AO2413" t="s">
        <v>11036</v>
      </c>
      <c r="AP2413" t="s">
        <v>12395</v>
      </c>
      <c r="AQ2413" t="s">
        <v>12394</v>
      </c>
    </row>
    <row r="2414" spans="1:43" x14ac:dyDescent="0.2">
      <c r="A2414" t="s">
        <v>12366</v>
      </c>
      <c r="B2414" t="s">
        <v>10900</v>
      </c>
      <c r="C2414" t="s">
        <v>11033</v>
      </c>
      <c r="D2414" t="s">
        <v>11192</v>
      </c>
      <c r="E2414" t="s">
        <v>11193</v>
      </c>
      <c r="F2414" t="s">
        <v>11192</v>
      </c>
      <c r="G2414" s="1">
        <v>2800000</v>
      </c>
      <c r="H2414" s="2">
        <v>2898465.94</v>
      </c>
      <c r="I2414" s="2">
        <v>2909918.37</v>
      </c>
      <c r="J2414" s="2">
        <v>15468.35</v>
      </c>
      <c r="K2414" s="2">
        <v>0</v>
      </c>
      <c r="L2414" s="2">
        <v>2925386.72</v>
      </c>
      <c r="M2414" s="3">
        <v>6.4487519999999998</v>
      </c>
      <c r="N2414" s="4">
        <v>6.6555700000000004E-3</v>
      </c>
      <c r="O2414" s="5">
        <v>44742</v>
      </c>
      <c r="P2414" s="5">
        <v>45379</v>
      </c>
      <c r="Q2414" s="1">
        <v>8.7669999999999995</v>
      </c>
      <c r="R2414" s="2">
        <v>0.18</v>
      </c>
      <c r="S2414" s="6">
        <v>0.176703783398</v>
      </c>
      <c r="T2414" t="s">
        <v>111</v>
      </c>
      <c r="U2414" t="s">
        <v>111</v>
      </c>
      <c r="V2414" t="s">
        <v>11189</v>
      </c>
      <c r="W2414" t="s">
        <v>43</v>
      </c>
      <c r="X2414" t="s">
        <v>11034</v>
      </c>
      <c r="Y2414" t="s">
        <v>44</v>
      </c>
      <c r="Z2414" t="s">
        <v>44</v>
      </c>
      <c r="AA2414" t="s">
        <v>10979</v>
      </c>
      <c r="AB2414" t="s">
        <v>44</v>
      </c>
      <c r="AC2414" s="4">
        <v>6.5527180200000004</v>
      </c>
      <c r="AD2414" s="4">
        <v>6.3637827900000001</v>
      </c>
      <c r="AE2414" s="2">
        <v>6.55</v>
      </c>
      <c r="AF2414" s="4">
        <v>6.3637827900000001</v>
      </c>
      <c r="AG2414" s="2">
        <v>0.24</v>
      </c>
      <c r="AH2414" s="2">
        <v>2925386.72</v>
      </c>
      <c r="AI2414" s="2">
        <v>0.01</v>
      </c>
      <c r="AJ2414" s="5">
        <v>44673</v>
      </c>
      <c r="AK2414" t="s">
        <v>12369</v>
      </c>
      <c r="AL2414" s="2">
        <v>6.45</v>
      </c>
      <c r="AM2414" s="2">
        <v>8.77</v>
      </c>
      <c r="AN2414" s="2">
        <v>0.18</v>
      </c>
      <c r="AO2414" t="s">
        <v>11179</v>
      </c>
      <c r="AP2414" t="s">
        <v>11194</v>
      </c>
      <c r="AQ2414" t="s">
        <v>11193</v>
      </c>
    </row>
    <row r="2415" spans="1:43" x14ac:dyDescent="0.2">
      <c r="A2415" t="s">
        <v>12366</v>
      </c>
      <c r="B2415" t="s">
        <v>45</v>
      </c>
      <c r="C2415" t="s">
        <v>11000</v>
      </c>
      <c r="D2415" t="s">
        <v>11421</v>
      </c>
      <c r="E2415" t="s">
        <v>11422</v>
      </c>
      <c r="F2415" t="s">
        <v>11421</v>
      </c>
      <c r="G2415" s="1">
        <v>25000000</v>
      </c>
      <c r="H2415" s="2">
        <v>25000000</v>
      </c>
      <c r="I2415" s="2">
        <v>25000000</v>
      </c>
      <c r="J2415" s="2">
        <v>55808.22</v>
      </c>
      <c r="K2415" s="2">
        <v>0</v>
      </c>
      <c r="L2415" s="2">
        <v>25055808.219999999</v>
      </c>
      <c r="M2415" s="3">
        <v>4.2</v>
      </c>
      <c r="N2415" s="4">
        <v>5.7004659999999999E-2</v>
      </c>
      <c r="O2415" s="5" t="s">
        <v>44</v>
      </c>
      <c r="P2415" s="5">
        <v>55153</v>
      </c>
      <c r="Q2415" s="1">
        <v>4.2</v>
      </c>
      <c r="R2415" s="2">
        <v>0.08</v>
      </c>
      <c r="S2415" s="6">
        <v>2.5947269999999998E-3</v>
      </c>
      <c r="T2415" t="s">
        <v>112</v>
      </c>
      <c r="U2415" t="s">
        <v>46</v>
      </c>
      <c r="V2415" t="s">
        <v>11270</v>
      </c>
      <c r="W2415" t="s">
        <v>43</v>
      </c>
      <c r="X2415" t="s">
        <v>44</v>
      </c>
      <c r="Y2415" t="s">
        <v>44</v>
      </c>
      <c r="Z2415" t="s">
        <v>44</v>
      </c>
      <c r="AA2415" t="s">
        <v>10913</v>
      </c>
      <c r="AB2415" t="s">
        <v>44</v>
      </c>
      <c r="AC2415" s="4">
        <v>4.2819052299999996</v>
      </c>
      <c r="AD2415" s="4">
        <v>4.20010057</v>
      </c>
      <c r="AE2415" s="2">
        <v>4.28</v>
      </c>
      <c r="AF2415" s="4">
        <v>4.20010057</v>
      </c>
      <c r="AG2415" s="2">
        <v>2.09</v>
      </c>
      <c r="AH2415" s="2">
        <v>25055808.219999999</v>
      </c>
      <c r="AI2415" s="2">
        <v>0.06</v>
      </c>
      <c r="AJ2415" s="5">
        <v>44673</v>
      </c>
      <c r="AK2415" t="s">
        <v>12369</v>
      </c>
      <c r="AL2415" s="2">
        <v>4.24</v>
      </c>
      <c r="AM2415" s="2">
        <v>4.2</v>
      </c>
      <c r="AN2415" s="2">
        <v>0</v>
      </c>
      <c r="AO2415" t="s">
        <v>11423</v>
      </c>
      <c r="AP2415" t="s">
        <v>44</v>
      </c>
      <c r="AQ2415" t="s">
        <v>11422</v>
      </c>
    </row>
    <row r="2416" spans="1:43" x14ac:dyDescent="0.2">
      <c r="A2416" t="s">
        <v>12366</v>
      </c>
      <c r="B2416" t="s">
        <v>45</v>
      </c>
      <c r="C2416" t="s">
        <v>11000</v>
      </c>
      <c r="D2416" t="s">
        <v>11424</v>
      </c>
      <c r="E2416" t="s">
        <v>11425</v>
      </c>
      <c r="F2416" t="s">
        <v>11424</v>
      </c>
      <c r="G2416" s="1">
        <v>23000000</v>
      </c>
      <c r="H2416" s="2">
        <v>23000000</v>
      </c>
      <c r="I2416" s="2">
        <v>23000000</v>
      </c>
      <c r="J2416" s="2">
        <v>10586.3</v>
      </c>
      <c r="K2416" s="2">
        <v>0</v>
      </c>
      <c r="L2416" s="2">
        <v>23010586.300000001</v>
      </c>
      <c r="M2416" s="3">
        <v>4.2</v>
      </c>
      <c r="N2416" s="4">
        <v>5.2351559999999998E-2</v>
      </c>
      <c r="O2416" s="5" t="s">
        <v>44</v>
      </c>
      <c r="P2416" s="5">
        <v>55153</v>
      </c>
      <c r="Q2416" s="1">
        <v>4.2</v>
      </c>
      <c r="R2416" s="2">
        <v>0.08</v>
      </c>
      <c r="S2416" s="6">
        <v>2.5986049999999999E-3</v>
      </c>
      <c r="T2416" t="s">
        <v>112</v>
      </c>
      <c r="U2416" t="s">
        <v>46</v>
      </c>
      <c r="V2416" t="s">
        <v>11270</v>
      </c>
      <c r="W2416" t="s">
        <v>43</v>
      </c>
      <c r="X2416" t="s">
        <v>44</v>
      </c>
      <c r="Y2416" t="s">
        <v>44</v>
      </c>
      <c r="Z2416" t="s">
        <v>44</v>
      </c>
      <c r="AA2416" t="s">
        <v>11035</v>
      </c>
      <c r="AB2416" t="s">
        <v>44</v>
      </c>
      <c r="AC2416" s="4">
        <v>4.2819052299999996</v>
      </c>
      <c r="AD2416" s="4">
        <v>4.20010057</v>
      </c>
      <c r="AE2416" s="2">
        <v>4.28</v>
      </c>
      <c r="AF2416" s="4">
        <v>4.20010057</v>
      </c>
      <c r="AG2416" s="2">
        <v>1.92</v>
      </c>
      <c r="AH2416" s="2">
        <v>23010586.300000001</v>
      </c>
      <c r="AI2416" s="2">
        <v>0.05</v>
      </c>
      <c r="AJ2416" s="5">
        <v>44673</v>
      </c>
      <c r="AK2416" t="s">
        <v>12369</v>
      </c>
      <c r="AL2416" s="2">
        <v>4.24</v>
      </c>
      <c r="AM2416" s="2">
        <v>4.2</v>
      </c>
      <c r="AN2416" s="2">
        <v>0</v>
      </c>
      <c r="AO2416" t="s">
        <v>11053</v>
      </c>
      <c r="AP2416" t="s">
        <v>44</v>
      </c>
      <c r="AQ2416" t="s">
        <v>11425</v>
      </c>
    </row>
    <row r="2417" spans="1:43" x14ac:dyDescent="0.2">
      <c r="A2417" t="s">
        <v>12366</v>
      </c>
      <c r="B2417" t="s">
        <v>45</v>
      </c>
      <c r="C2417" t="s">
        <v>47</v>
      </c>
      <c r="D2417" t="s">
        <v>48</v>
      </c>
      <c r="E2417" t="s">
        <v>49</v>
      </c>
      <c r="F2417" t="s">
        <v>50</v>
      </c>
      <c r="G2417" s="1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-716.74</v>
      </c>
      <c r="M2417" s="3"/>
      <c r="N2417" s="4">
        <v>-1.6300000000000001E-6</v>
      </c>
      <c r="O2417" s="5" t="s">
        <v>44</v>
      </c>
      <c r="P2417" s="5" t="s">
        <v>44</v>
      </c>
      <c r="Q2417" s="1"/>
      <c r="R2417" s="2">
        <v>0.08</v>
      </c>
      <c r="S2417" s="6"/>
      <c r="T2417" t="s">
        <v>45</v>
      </c>
      <c r="U2417" t="s">
        <v>46</v>
      </c>
      <c r="V2417" t="s">
        <v>44</v>
      </c>
      <c r="W2417" t="s">
        <v>43</v>
      </c>
      <c r="X2417" t="s">
        <v>44</v>
      </c>
      <c r="Y2417" t="s">
        <v>44</v>
      </c>
      <c r="Z2417" t="s">
        <v>44</v>
      </c>
      <c r="AA2417" t="s">
        <v>44</v>
      </c>
      <c r="AB2417" t="s">
        <v>44</v>
      </c>
      <c r="AC2417" s="4">
        <v>5.1163389600000002</v>
      </c>
      <c r="AD2417" s="4">
        <v>5.0001424999999999</v>
      </c>
      <c r="AE2417" s="2">
        <v>5.12</v>
      </c>
      <c r="AF2417" s="4">
        <v>5.0001424999999999</v>
      </c>
      <c r="AG2417" s="2">
        <v>0</v>
      </c>
      <c r="AH2417" s="2">
        <v>-716.74</v>
      </c>
      <c r="AI2417" s="2">
        <v>0</v>
      </c>
      <c r="AJ2417" s="5">
        <v>44673</v>
      </c>
      <c r="AK2417" t="s">
        <v>12369</v>
      </c>
      <c r="AL2417" s="2">
        <v>5.05</v>
      </c>
      <c r="AM2417" s="2">
        <v>0</v>
      </c>
      <c r="AN2417" s="2">
        <v>0</v>
      </c>
      <c r="AO2417" t="s">
        <v>44</v>
      </c>
      <c r="AP2417" t="s">
        <v>44</v>
      </c>
      <c r="AQ2417" t="s">
        <v>44</v>
      </c>
    </row>
    <row r="2418" spans="1:43" x14ac:dyDescent="0.2">
      <c r="A2418" t="s">
        <v>12366</v>
      </c>
      <c r="B2418" t="s">
        <v>45</v>
      </c>
      <c r="C2418" t="s">
        <v>47</v>
      </c>
      <c r="D2418" t="s">
        <v>51</v>
      </c>
      <c r="E2418" t="s">
        <v>52</v>
      </c>
      <c r="F2418" t="s">
        <v>51</v>
      </c>
      <c r="G2418" s="1">
        <v>736811.59</v>
      </c>
      <c r="H2418" s="2">
        <v>736811.03</v>
      </c>
      <c r="I2418" s="2">
        <v>736811.59</v>
      </c>
      <c r="J2418" s="2">
        <v>0</v>
      </c>
      <c r="K2418" s="2">
        <v>0</v>
      </c>
      <c r="L2418" s="2">
        <v>736811.59</v>
      </c>
      <c r="M2418" s="3"/>
      <c r="N2418" s="4">
        <v>1.67633E-3</v>
      </c>
      <c r="O2418" s="5" t="s">
        <v>44</v>
      </c>
      <c r="P2418" s="5" t="s">
        <v>44</v>
      </c>
      <c r="Q2418" s="1"/>
      <c r="R2418" s="2">
        <v>0.08</v>
      </c>
      <c r="S2418" s="6"/>
      <c r="T2418" t="s">
        <v>45</v>
      </c>
      <c r="U2418" t="s">
        <v>53</v>
      </c>
      <c r="V2418" t="s">
        <v>44</v>
      </c>
      <c r="W2418" t="s">
        <v>43</v>
      </c>
      <c r="X2418" t="s">
        <v>44</v>
      </c>
      <c r="Y2418" t="s">
        <v>44</v>
      </c>
      <c r="Z2418" t="s">
        <v>44</v>
      </c>
      <c r="AA2418" t="s">
        <v>44</v>
      </c>
      <c r="AB2418" t="s">
        <v>44</v>
      </c>
      <c r="AC2418" s="4">
        <v>5.1163389600000002</v>
      </c>
      <c r="AD2418" s="4">
        <v>5.0001424999999999</v>
      </c>
      <c r="AE2418" s="2">
        <v>5.12</v>
      </c>
      <c r="AF2418" s="4">
        <v>5.0001424999999999</v>
      </c>
      <c r="AG2418" s="2">
        <v>0.06</v>
      </c>
      <c r="AH2418" s="2">
        <v>736811.59</v>
      </c>
      <c r="AI2418" s="2">
        <v>0</v>
      </c>
      <c r="AJ2418" s="5">
        <v>44673</v>
      </c>
      <c r="AK2418" t="s">
        <v>12369</v>
      </c>
      <c r="AL2418" s="2">
        <v>5.05</v>
      </c>
      <c r="AM2418" s="2">
        <v>0</v>
      </c>
      <c r="AN2418" s="2">
        <v>0</v>
      </c>
      <c r="AO2418" t="s">
        <v>44</v>
      </c>
      <c r="AP2418" t="s">
        <v>44</v>
      </c>
      <c r="AQ2418" t="s">
        <v>43</v>
      </c>
    </row>
    <row r="2419" spans="1:43" x14ac:dyDescent="0.2">
      <c r="A2419" t="s">
        <v>12366</v>
      </c>
      <c r="B2419" t="s">
        <v>45</v>
      </c>
      <c r="C2419" t="s">
        <v>11005</v>
      </c>
      <c r="D2419" t="s">
        <v>11006</v>
      </c>
      <c r="E2419" t="s">
        <v>11007</v>
      </c>
      <c r="F2419" t="s">
        <v>11006</v>
      </c>
      <c r="G2419" s="1">
        <v>-89674.92</v>
      </c>
      <c r="H2419" s="2">
        <v>-89674.92</v>
      </c>
      <c r="I2419" s="2">
        <v>-89674.92</v>
      </c>
      <c r="J2419" s="2">
        <v>0</v>
      </c>
      <c r="K2419" s="2"/>
      <c r="L2419" s="2">
        <v>-89674.92</v>
      </c>
      <c r="M2419" s="3"/>
      <c r="N2419" s="4">
        <v>-2.0401999999999999E-4</v>
      </c>
      <c r="O2419" s="5" t="s">
        <v>44</v>
      </c>
      <c r="P2419" s="5">
        <v>73051</v>
      </c>
      <c r="Q2419" s="1">
        <v>0</v>
      </c>
      <c r="R2419" s="2">
        <v>0.08</v>
      </c>
      <c r="S2419" s="6"/>
      <c r="T2419" t="s">
        <v>45</v>
      </c>
      <c r="U2419" t="s">
        <v>11008</v>
      </c>
      <c r="V2419" t="s">
        <v>44</v>
      </c>
      <c r="W2419" t="s">
        <v>43</v>
      </c>
      <c r="X2419" t="s">
        <v>44</v>
      </c>
      <c r="Y2419" t="s">
        <v>44</v>
      </c>
      <c r="Z2419" t="s">
        <v>44</v>
      </c>
      <c r="AA2419" t="s">
        <v>44</v>
      </c>
      <c r="AB2419" t="s">
        <v>44</v>
      </c>
      <c r="AC2419" s="4">
        <v>5.1163389600000002</v>
      </c>
      <c r="AD2419" s="4">
        <v>5.0001424999999999</v>
      </c>
      <c r="AE2419" s="2">
        <v>5.12</v>
      </c>
      <c r="AF2419" s="4">
        <v>5.0001424999999999</v>
      </c>
      <c r="AG2419" s="2">
        <v>-0.01</v>
      </c>
      <c r="AH2419" s="2">
        <v>-89674.92</v>
      </c>
      <c r="AI2419" s="2">
        <v>0</v>
      </c>
      <c r="AJ2419" s="5">
        <v>44673</v>
      </c>
      <c r="AK2419" t="s">
        <v>12369</v>
      </c>
      <c r="AL2419" s="2">
        <v>5.05</v>
      </c>
      <c r="AM2419" s="2">
        <v>0</v>
      </c>
      <c r="AN2419" s="2">
        <v>0</v>
      </c>
      <c r="AO2419" t="s">
        <v>44</v>
      </c>
      <c r="AP2419" t="s">
        <v>44</v>
      </c>
      <c r="AQ2419" t="s">
        <v>44</v>
      </c>
    </row>
    <row r="2420" spans="1:43" x14ac:dyDescent="0.2">
      <c r="A2420" t="s">
        <v>12366</v>
      </c>
      <c r="B2420" t="s">
        <v>45</v>
      </c>
      <c r="C2420" t="s">
        <v>11005</v>
      </c>
      <c r="D2420" t="s">
        <v>11009</v>
      </c>
      <c r="E2420" t="s">
        <v>11010</v>
      </c>
      <c r="F2420" t="s">
        <v>44</v>
      </c>
      <c r="G2420" s="1">
        <v>-83164.92</v>
      </c>
      <c r="H2420" s="2">
        <v>-83164.92</v>
      </c>
      <c r="I2420" s="2">
        <v>-83164.92</v>
      </c>
      <c r="J2420" s="2">
        <v>0</v>
      </c>
      <c r="K2420" s="2"/>
      <c r="L2420" s="2">
        <v>-83164.92</v>
      </c>
      <c r="M2420" s="3"/>
      <c r="N2420" s="4">
        <v>-1.8921000000000001E-4</v>
      </c>
      <c r="O2420" s="5" t="s">
        <v>44</v>
      </c>
      <c r="P2420" s="5">
        <v>73051</v>
      </c>
      <c r="Q2420" s="1">
        <v>0</v>
      </c>
      <c r="R2420" s="2">
        <v>0.08</v>
      </c>
      <c r="S2420" s="6"/>
      <c r="T2420" t="s">
        <v>45</v>
      </c>
      <c r="U2420" t="s">
        <v>44</v>
      </c>
      <c r="V2420" t="s">
        <v>44</v>
      </c>
      <c r="W2420" t="s">
        <v>43</v>
      </c>
      <c r="X2420" t="s">
        <v>44</v>
      </c>
      <c r="Y2420" t="s">
        <v>44</v>
      </c>
      <c r="Z2420" t="s">
        <v>44</v>
      </c>
      <c r="AA2420" t="s">
        <v>44</v>
      </c>
      <c r="AB2420" t="s">
        <v>44</v>
      </c>
      <c r="AC2420" s="4">
        <v>5.1163389600000002</v>
      </c>
      <c r="AD2420" s="4">
        <v>5.0001424999999999</v>
      </c>
      <c r="AE2420" s="2">
        <v>5.12</v>
      </c>
      <c r="AF2420" s="4">
        <v>5.0001424999999999</v>
      </c>
      <c r="AG2420" s="2">
        <v>-0.01</v>
      </c>
      <c r="AH2420" s="2">
        <v>-83164.92</v>
      </c>
      <c r="AI2420" s="2">
        <v>0</v>
      </c>
      <c r="AJ2420" s="5">
        <v>44673</v>
      </c>
      <c r="AK2420" t="s">
        <v>12369</v>
      </c>
      <c r="AL2420" s="2">
        <v>5.05</v>
      </c>
      <c r="AM2420" s="2">
        <v>0</v>
      </c>
      <c r="AN2420" s="2">
        <v>0</v>
      </c>
      <c r="AO2420" t="s">
        <v>44</v>
      </c>
      <c r="AP2420" t="s">
        <v>44</v>
      </c>
      <c r="AQ2420" t="s">
        <v>44</v>
      </c>
    </row>
    <row r="2421" spans="1:43" x14ac:dyDescent="0.2">
      <c r="A2421" t="s">
        <v>12366</v>
      </c>
      <c r="B2421" t="s">
        <v>45</v>
      </c>
      <c r="C2421" t="s">
        <v>11005</v>
      </c>
      <c r="D2421" t="s">
        <v>11011</v>
      </c>
      <c r="E2421" t="s">
        <v>11012</v>
      </c>
      <c r="F2421" t="s">
        <v>44</v>
      </c>
      <c r="G2421" s="1">
        <v>-35430.1</v>
      </c>
      <c r="H2421" s="2">
        <v>-35430.1</v>
      </c>
      <c r="I2421" s="2">
        <v>-35430.1</v>
      </c>
      <c r="J2421" s="2">
        <v>0</v>
      </c>
      <c r="K2421" s="2"/>
      <c r="L2421" s="2">
        <v>-35430.1</v>
      </c>
      <c r="M2421" s="3"/>
      <c r="N2421" s="4">
        <v>-8.0610000000000002E-5</v>
      </c>
      <c r="O2421" s="5" t="s">
        <v>44</v>
      </c>
      <c r="P2421" s="5">
        <v>73051</v>
      </c>
      <c r="Q2421" s="1">
        <v>0</v>
      </c>
      <c r="R2421" s="2">
        <v>0.08</v>
      </c>
      <c r="S2421" s="6"/>
      <c r="T2421" t="s">
        <v>45</v>
      </c>
      <c r="U2421" t="s">
        <v>44</v>
      </c>
      <c r="V2421" t="s">
        <v>44</v>
      </c>
      <c r="W2421" t="s">
        <v>43</v>
      </c>
      <c r="X2421" t="s">
        <v>44</v>
      </c>
      <c r="Y2421" t="s">
        <v>44</v>
      </c>
      <c r="Z2421" t="s">
        <v>44</v>
      </c>
      <c r="AA2421" t="s">
        <v>44</v>
      </c>
      <c r="AB2421" t="s">
        <v>44</v>
      </c>
      <c r="AC2421" s="4">
        <v>5.1163389600000002</v>
      </c>
      <c r="AD2421" s="4">
        <v>5.0001424999999999</v>
      </c>
      <c r="AE2421" s="2">
        <v>5.12</v>
      </c>
      <c r="AF2421" s="4">
        <v>5.0001424999999999</v>
      </c>
      <c r="AG2421" s="2">
        <v>0</v>
      </c>
      <c r="AH2421" s="2">
        <v>-35430.1</v>
      </c>
      <c r="AI2421" s="2">
        <v>0</v>
      </c>
      <c r="AJ2421" s="5">
        <v>44673</v>
      </c>
      <c r="AK2421" t="s">
        <v>12369</v>
      </c>
      <c r="AL2421" s="2">
        <v>5.05</v>
      </c>
      <c r="AM2421" s="2">
        <v>0</v>
      </c>
      <c r="AN2421" s="2">
        <v>0</v>
      </c>
      <c r="AO2421" t="s">
        <v>44</v>
      </c>
      <c r="AP2421" t="s">
        <v>44</v>
      </c>
      <c r="AQ2421" t="s">
        <v>44</v>
      </c>
    </row>
    <row r="2422" spans="1:43" x14ac:dyDescent="0.2">
      <c r="A2422" t="s">
        <v>12366</v>
      </c>
      <c r="B2422" t="s">
        <v>11608</v>
      </c>
      <c r="C2422" t="s">
        <v>11608</v>
      </c>
      <c r="D2422" t="s">
        <v>12396</v>
      </c>
      <c r="E2422" t="s">
        <v>12397</v>
      </c>
      <c r="F2422" t="s">
        <v>12396</v>
      </c>
      <c r="G2422" s="1">
        <v>332000000</v>
      </c>
      <c r="H2422" s="2">
        <v>0</v>
      </c>
      <c r="I2422" s="2">
        <v>239357.33</v>
      </c>
      <c r="J2422" s="2">
        <v>0</v>
      </c>
      <c r="K2422" s="2">
        <v>0</v>
      </c>
      <c r="L2422" s="2">
        <v>239357.33</v>
      </c>
      <c r="M2422" s="3">
        <v>7.2095999999999993E-2</v>
      </c>
      <c r="N2422" s="4">
        <v>5.4456000000000003E-4</v>
      </c>
      <c r="O2422" s="5" t="s">
        <v>44</v>
      </c>
      <c r="P2422" s="5">
        <v>44910</v>
      </c>
      <c r="Q2422" s="1">
        <v>0</v>
      </c>
      <c r="R2422" s="2"/>
      <c r="S2422" s="6">
        <v>0.4</v>
      </c>
      <c r="T2422" t="s">
        <v>11412</v>
      </c>
      <c r="U2422" t="s">
        <v>11413</v>
      </c>
      <c r="V2422" t="s">
        <v>9802</v>
      </c>
      <c r="W2422" t="s">
        <v>43</v>
      </c>
      <c r="X2422" t="s">
        <v>44</v>
      </c>
      <c r="Y2422" t="s">
        <v>44</v>
      </c>
      <c r="Z2422" t="s">
        <v>44</v>
      </c>
      <c r="AA2422" t="s">
        <v>11035</v>
      </c>
      <c r="AB2422" t="s">
        <v>44</v>
      </c>
      <c r="AC2422" s="4"/>
      <c r="AD2422" s="4"/>
      <c r="AE2422" s="2">
        <v>0</v>
      </c>
      <c r="AF2422" s="4">
        <v>0</v>
      </c>
      <c r="AG2422" s="2">
        <v>0.02</v>
      </c>
      <c r="AH2422" s="2">
        <v>239357.33</v>
      </c>
      <c r="AI2422" s="2">
        <v>0</v>
      </c>
      <c r="AJ2422" s="5">
        <v>44673</v>
      </c>
      <c r="AK2422" t="s">
        <v>12369</v>
      </c>
      <c r="AL2422" s="2">
        <v>0</v>
      </c>
      <c r="AM2422" s="2">
        <v>0</v>
      </c>
      <c r="AN2422" s="2">
        <v>0.4</v>
      </c>
      <c r="AO2422" t="s">
        <v>11036</v>
      </c>
      <c r="AP2422" t="s">
        <v>44</v>
      </c>
      <c r="AQ2422" t="s">
        <v>44</v>
      </c>
    </row>
    <row r="2423" spans="1:43" x14ac:dyDescent="0.2">
      <c r="A2423" t="s">
        <v>12366</v>
      </c>
      <c r="B2423" t="s">
        <v>11608</v>
      </c>
      <c r="C2423" t="s">
        <v>11608</v>
      </c>
      <c r="D2423" t="s">
        <v>12398</v>
      </c>
      <c r="E2423" t="s">
        <v>12397</v>
      </c>
      <c r="F2423" t="s">
        <v>12398</v>
      </c>
      <c r="G2423" s="1">
        <v>-332000000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3"/>
      <c r="N2423" s="4">
        <v>0</v>
      </c>
      <c r="O2423" s="5" t="s">
        <v>44</v>
      </c>
      <c r="P2423" s="5">
        <v>44910</v>
      </c>
      <c r="Q2423" s="1">
        <v>0</v>
      </c>
      <c r="R2423" s="2"/>
      <c r="S2423" s="6"/>
      <c r="T2423" t="s">
        <v>11412</v>
      </c>
      <c r="U2423" t="s">
        <v>11413</v>
      </c>
      <c r="V2423" t="s">
        <v>9802</v>
      </c>
      <c r="W2423" t="s">
        <v>43</v>
      </c>
      <c r="X2423" t="s">
        <v>44</v>
      </c>
      <c r="Y2423" t="s">
        <v>44</v>
      </c>
      <c r="Z2423" t="s">
        <v>44</v>
      </c>
      <c r="AA2423" t="s">
        <v>11035</v>
      </c>
      <c r="AB2423" t="s">
        <v>44</v>
      </c>
      <c r="AC2423" s="4"/>
      <c r="AD2423" s="4"/>
      <c r="AE2423" s="2">
        <v>0</v>
      </c>
      <c r="AF2423" s="4">
        <v>0</v>
      </c>
      <c r="AG2423" s="2">
        <v>0</v>
      </c>
      <c r="AH2423" s="2">
        <v>0</v>
      </c>
      <c r="AI2423" s="2">
        <v>0</v>
      </c>
      <c r="AJ2423" s="5">
        <v>44673</v>
      </c>
      <c r="AK2423" t="s">
        <v>12369</v>
      </c>
      <c r="AL2423" s="2">
        <v>0</v>
      </c>
      <c r="AM2423" s="2">
        <v>0</v>
      </c>
      <c r="AN2423" s="2">
        <v>0</v>
      </c>
      <c r="AO2423" t="s">
        <v>11036</v>
      </c>
      <c r="AP2423" t="s">
        <v>44</v>
      </c>
      <c r="AQ2423" t="s">
        <v>44</v>
      </c>
    </row>
    <row r="2424" spans="1:43" x14ac:dyDescent="0.2">
      <c r="A2424" t="s">
        <v>12366</v>
      </c>
      <c r="B2424" t="s">
        <v>11608</v>
      </c>
      <c r="C2424" t="s">
        <v>11608</v>
      </c>
      <c r="D2424" t="s">
        <v>12399</v>
      </c>
      <c r="E2424" t="s">
        <v>12397</v>
      </c>
      <c r="F2424" t="s">
        <v>12399</v>
      </c>
      <c r="G2424" s="1">
        <v>332000000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3"/>
      <c r="N2424" s="4">
        <v>0</v>
      </c>
      <c r="O2424" s="5" t="s">
        <v>44</v>
      </c>
      <c r="P2424" s="5">
        <v>44910</v>
      </c>
      <c r="Q2424" s="1">
        <v>5.68</v>
      </c>
      <c r="R2424" s="2"/>
      <c r="S2424" s="6"/>
      <c r="T2424" t="s">
        <v>11412</v>
      </c>
      <c r="U2424" t="s">
        <v>11413</v>
      </c>
      <c r="V2424" t="s">
        <v>9802</v>
      </c>
      <c r="W2424" t="s">
        <v>43</v>
      </c>
      <c r="X2424" t="s">
        <v>44</v>
      </c>
      <c r="Y2424" t="s">
        <v>44</v>
      </c>
      <c r="Z2424" t="s">
        <v>44</v>
      </c>
      <c r="AA2424" t="s">
        <v>11035</v>
      </c>
      <c r="AB2424" t="s">
        <v>44</v>
      </c>
      <c r="AC2424" s="4"/>
      <c r="AD2424" s="4"/>
      <c r="AE2424" s="2">
        <v>0</v>
      </c>
      <c r="AF2424" s="4">
        <v>0</v>
      </c>
      <c r="AG2424" s="2">
        <v>0</v>
      </c>
      <c r="AH2424" s="2">
        <v>0</v>
      </c>
      <c r="AI2424" s="2">
        <v>0</v>
      </c>
      <c r="AJ2424" s="5">
        <v>44673</v>
      </c>
      <c r="AK2424" t="s">
        <v>12369</v>
      </c>
      <c r="AL2424" s="2">
        <v>0</v>
      </c>
      <c r="AM2424" s="2">
        <v>5.68</v>
      </c>
      <c r="AN2424" s="2">
        <v>0</v>
      </c>
      <c r="AO2424" t="s">
        <v>11036</v>
      </c>
      <c r="AP2424" t="s">
        <v>44</v>
      </c>
      <c r="AQ2424" t="s">
        <v>44</v>
      </c>
    </row>
    <row r="2425" spans="1:43" x14ac:dyDescent="0.2">
      <c r="A2425" t="s">
        <v>12366</v>
      </c>
      <c r="B2425" t="s">
        <v>11038</v>
      </c>
      <c r="C2425" t="s">
        <v>11870</v>
      </c>
      <c r="D2425" t="s">
        <v>11056</v>
      </c>
      <c r="E2425" t="s">
        <v>11057</v>
      </c>
      <c r="F2425" t="s">
        <v>11056</v>
      </c>
      <c r="G2425" s="1">
        <v>28567562</v>
      </c>
      <c r="H2425" s="2">
        <v>28560739.629999999</v>
      </c>
      <c r="I2425" s="2">
        <v>28567562</v>
      </c>
      <c r="J2425" s="2">
        <v>736357.48</v>
      </c>
      <c r="K2425" s="2">
        <v>0</v>
      </c>
      <c r="L2425" s="2">
        <v>29303919.48</v>
      </c>
      <c r="M2425" s="3"/>
      <c r="N2425" s="4">
        <v>6.6669569999999997E-2</v>
      </c>
      <c r="O2425" s="5">
        <v>44692</v>
      </c>
      <c r="P2425" s="5">
        <v>44692</v>
      </c>
      <c r="Q2425" s="1">
        <v>13.067</v>
      </c>
      <c r="R2425" s="2"/>
      <c r="S2425" s="6"/>
      <c r="T2425" t="s">
        <v>111</v>
      </c>
      <c r="U2425" t="s">
        <v>11040</v>
      </c>
      <c r="V2425" t="s">
        <v>115</v>
      </c>
      <c r="W2425" t="s">
        <v>43</v>
      </c>
      <c r="X2425" t="s">
        <v>44</v>
      </c>
      <c r="Y2425" t="s">
        <v>44</v>
      </c>
      <c r="Z2425" t="s">
        <v>44</v>
      </c>
      <c r="AA2425" t="s">
        <v>10979</v>
      </c>
      <c r="AB2425" t="s">
        <v>44</v>
      </c>
      <c r="AC2425" s="4"/>
      <c r="AD2425" s="4"/>
      <c r="AE2425" s="2">
        <v>0</v>
      </c>
      <c r="AF2425" s="4">
        <v>0</v>
      </c>
      <c r="AG2425" s="2">
        <v>2.4500000000000002</v>
      </c>
      <c r="AH2425" s="2">
        <v>29303919.48</v>
      </c>
      <c r="AI2425" s="2">
        <v>7.0000000000000007E-2</v>
      </c>
      <c r="AJ2425" s="5">
        <v>44673</v>
      </c>
      <c r="AK2425" t="s">
        <v>12369</v>
      </c>
      <c r="AL2425" s="2">
        <v>0</v>
      </c>
      <c r="AM2425" s="2">
        <v>13.07</v>
      </c>
      <c r="AN2425" s="2">
        <v>0</v>
      </c>
      <c r="AO2425" t="s">
        <v>10980</v>
      </c>
      <c r="AP2425" t="s">
        <v>11058</v>
      </c>
      <c r="AQ2425" t="s">
        <v>11057</v>
      </c>
    </row>
    <row r="2426" spans="1:43" x14ac:dyDescent="0.2">
      <c r="A2426" t="s">
        <v>12366</v>
      </c>
      <c r="B2426" t="s">
        <v>11038</v>
      </c>
      <c r="C2426" t="s">
        <v>11870</v>
      </c>
      <c r="D2426" t="s">
        <v>12400</v>
      </c>
      <c r="E2426" t="s">
        <v>12401</v>
      </c>
      <c r="F2426" t="s">
        <v>12400</v>
      </c>
      <c r="G2426" s="1">
        <v>7000000</v>
      </c>
      <c r="H2426" s="2">
        <v>7000000</v>
      </c>
      <c r="I2426" s="2">
        <v>7000000</v>
      </c>
      <c r="J2426" s="2">
        <v>68687.45</v>
      </c>
      <c r="K2426" s="2">
        <v>0</v>
      </c>
      <c r="L2426" s="2">
        <v>7068687.4500000002</v>
      </c>
      <c r="M2426" s="3"/>
      <c r="N2426" s="4">
        <v>1.6082030000000001E-2</v>
      </c>
      <c r="O2426" s="5">
        <v>44697</v>
      </c>
      <c r="P2426" s="5">
        <v>44697</v>
      </c>
      <c r="Q2426" s="1">
        <v>5.2670000000000003</v>
      </c>
      <c r="R2426" s="2"/>
      <c r="S2426" s="6"/>
      <c r="T2426" t="s">
        <v>111</v>
      </c>
      <c r="U2426" t="s">
        <v>11040</v>
      </c>
      <c r="V2426" t="s">
        <v>115</v>
      </c>
      <c r="W2426" t="s">
        <v>43</v>
      </c>
      <c r="X2426" t="s">
        <v>44</v>
      </c>
      <c r="Y2426" t="s">
        <v>44</v>
      </c>
      <c r="Z2426" t="s">
        <v>44</v>
      </c>
      <c r="AA2426" t="s">
        <v>11035</v>
      </c>
      <c r="AB2426" t="s">
        <v>44</v>
      </c>
      <c r="AC2426" s="4"/>
      <c r="AD2426" s="4"/>
      <c r="AE2426" s="2">
        <v>0</v>
      </c>
      <c r="AF2426" s="4">
        <v>0</v>
      </c>
      <c r="AG2426" s="2">
        <v>0.59</v>
      </c>
      <c r="AH2426" s="2">
        <v>7068687.4500000002</v>
      </c>
      <c r="AI2426" s="2">
        <v>0.02</v>
      </c>
      <c r="AJ2426" s="5">
        <v>44673</v>
      </c>
      <c r="AK2426" t="s">
        <v>12369</v>
      </c>
      <c r="AL2426" s="2">
        <v>0</v>
      </c>
      <c r="AM2426" s="2">
        <v>5.27</v>
      </c>
      <c r="AN2426" s="2">
        <v>0</v>
      </c>
      <c r="AO2426" t="s">
        <v>11036</v>
      </c>
      <c r="AP2426" t="s">
        <v>44</v>
      </c>
      <c r="AQ2426" t="s">
        <v>12401</v>
      </c>
    </row>
    <row r="2427" spans="1:43" x14ac:dyDescent="0.2">
      <c r="A2427" t="s">
        <v>12366</v>
      </c>
      <c r="B2427" t="s">
        <v>11038</v>
      </c>
      <c r="C2427" t="s">
        <v>11870</v>
      </c>
      <c r="D2427" t="s">
        <v>11616</v>
      </c>
      <c r="E2427" t="s">
        <v>11617</v>
      </c>
      <c r="F2427" t="s">
        <v>11616</v>
      </c>
      <c r="G2427" s="1">
        <v>29000000</v>
      </c>
      <c r="H2427" s="2">
        <v>29000000</v>
      </c>
      <c r="I2427" s="2">
        <v>29012191.34</v>
      </c>
      <c r="J2427" s="2">
        <v>351364</v>
      </c>
      <c r="K2427" s="2">
        <v>0</v>
      </c>
      <c r="L2427" s="2">
        <v>29363555.34</v>
      </c>
      <c r="M2427" s="3">
        <v>4.9760429999999998</v>
      </c>
      <c r="N2427" s="4">
        <v>6.6805249999999997E-2</v>
      </c>
      <c r="O2427" s="5">
        <v>44690</v>
      </c>
      <c r="P2427" s="5">
        <v>44690</v>
      </c>
      <c r="Q2427" s="1">
        <v>6.0579999999999998</v>
      </c>
      <c r="R2427" s="2">
        <v>0.04</v>
      </c>
      <c r="S2427" s="6">
        <v>3.6514757501999999E-2</v>
      </c>
      <c r="T2427" t="s">
        <v>111</v>
      </c>
      <c r="U2427" t="s">
        <v>11040</v>
      </c>
      <c r="V2427" t="s">
        <v>114</v>
      </c>
      <c r="W2427" t="s">
        <v>43</v>
      </c>
      <c r="X2427" t="s">
        <v>10988</v>
      </c>
      <c r="Y2427" t="s">
        <v>44</v>
      </c>
      <c r="Z2427" t="s">
        <v>44</v>
      </c>
      <c r="AA2427" t="s">
        <v>10979</v>
      </c>
      <c r="AB2427" t="s">
        <v>44</v>
      </c>
      <c r="AC2427" s="4">
        <v>5.09694307</v>
      </c>
      <c r="AD2427" s="4">
        <v>4.9816122199999997</v>
      </c>
      <c r="AE2427" s="2">
        <v>5.0999999999999996</v>
      </c>
      <c r="AF2427" s="4">
        <v>4.9816122199999997</v>
      </c>
      <c r="AG2427" s="2">
        <v>2.4500000000000002</v>
      </c>
      <c r="AH2427" s="2">
        <v>29363555.34</v>
      </c>
      <c r="AI2427" s="2">
        <v>7.0000000000000007E-2</v>
      </c>
      <c r="AJ2427" s="5">
        <v>44673</v>
      </c>
      <c r="AK2427" t="s">
        <v>12369</v>
      </c>
      <c r="AL2427" s="2">
        <v>5.03</v>
      </c>
      <c r="AM2427" s="2">
        <v>6.06</v>
      </c>
      <c r="AN2427" s="2">
        <v>0.04</v>
      </c>
      <c r="AO2427" t="s">
        <v>11618</v>
      </c>
      <c r="AP2427" t="s">
        <v>11619</v>
      </c>
      <c r="AQ2427" t="s">
        <v>11617</v>
      </c>
    </row>
    <row r="2428" spans="1:43" x14ac:dyDescent="0.2">
      <c r="A2428" t="s">
        <v>12366</v>
      </c>
      <c r="B2428" t="s">
        <v>11038</v>
      </c>
      <c r="C2428" t="s">
        <v>11055</v>
      </c>
      <c r="D2428" t="s">
        <v>12668</v>
      </c>
      <c r="E2428" t="s">
        <v>12669</v>
      </c>
      <c r="F2428" t="s">
        <v>12668</v>
      </c>
      <c r="G2428" s="1">
        <v>1000000</v>
      </c>
      <c r="H2428" s="2">
        <v>1000219.31</v>
      </c>
      <c r="I2428" s="2">
        <v>1000159.79</v>
      </c>
      <c r="J2428" s="2">
        <v>6577.64</v>
      </c>
      <c r="K2428" s="2">
        <v>0</v>
      </c>
      <c r="L2428" s="2">
        <v>1006737.43</v>
      </c>
      <c r="M2428" s="3">
        <v>4.4355760000000002</v>
      </c>
      <c r="N2428" s="4">
        <v>2.2904399999999999E-3</v>
      </c>
      <c r="O2428" s="5">
        <v>44714</v>
      </c>
      <c r="P2428" s="5">
        <v>44714</v>
      </c>
      <c r="Q2428" s="1">
        <v>4.617</v>
      </c>
      <c r="R2428" s="2">
        <v>0.1</v>
      </c>
      <c r="S2428" s="6">
        <v>9.9637528274999998E-2</v>
      </c>
      <c r="T2428" t="s">
        <v>111</v>
      </c>
      <c r="U2428" t="s">
        <v>11040</v>
      </c>
      <c r="V2428" t="s">
        <v>11189</v>
      </c>
      <c r="W2428" t="s">
        <v>43</v>
      </c>
      <c r="X2428" t="s">
        <v>11034</v>
      </c>
      <c r="Y2428" t="s">
        <v>44</v>
      </c>
      <c r="Z2428" t="s">
        <v>44</v>
      </c>
      <c r="AA2428" t="s">
        <v>10979</v>
      </c>
      <c r="AB2428" t="s">
        <v>44</v>
      </c>
      <c r="AC2428" s="4">
        <v>4.5247458800000002</v>
      </c>
      <c r="AD2428" s="4">
        <v>4.4335359900000002</v>
      </c>
      <c r="AE2428" s="2">
        <v>4.5199999999999996</v>
      </c>
      <c r="AF2428" s="4">
        <v>4.4335359900000002</v>
      </c>
      <c r="AG2428" s="2">
        <v>0.08</v>
      </c>
      <c r="AH2428" s="2">
        <v>1006737.43</v>
      </c>
      <c r="AI2428" s="2">
        <v>0</v>
      </c>
      <c r="AJ2428" s="5">
        <v>44673</v>
      </c>
      <c r="AK2428" t="s">
        <v>12369</v>
      </c>
      <c r="AL2428" s="2">
        <v>4.47</v>
      </c>
      <c r="AM2428" s="2">
        <v>4.62</v>
      </c>
      <c r="AN2428" s="2">
        <v>0.1</v>
      </c>
      <c r="AO2428" t="s">
        <v>11165</v>
      </c>
      <c r="AP2428" t="s">
        <v>12670</v>
      </c>
      <c r="AQ2428" t="s">
        <v>12669</v>
      </c>
    </row>
    <row r="2429" spans="1:43" x14ac:dyDescent="0.2">
      <c r="A2429" t="s">
        <v>12366</v>
      </c>
      <c r="B2429" t="s">
        <v>11038</v>
      </c>
      <c r="C2429" t="s">
        <v>11055</v>
      </c>
      <c r="D2429" t="s">
        <v>12220</v>
      </c>
      <c r="E2429" t="s">
        <v>12221</v>
      </c>
      <c r="F2429" t="s">
        <v>12220</v>
      </c>
      <c r="G2429" s="1">
        <v>14000000</v>
      </c>
      <c r="H2429" s="2">
        <v>14000000</v>
      </c>
      <c r="I2429" s="2">
        <v>14011614.93</v>
      </c>
      <c r="J2429" s="2">
        <v>103031.18</v>
      </c>
      <c r="K2429" s="2">
        <v>0</v>
      </c>
      <c r="L2429" s="2">
        <v>14114646.109999999</v>
      </c>
      <c r="M2429" s="3">
        <v>4.4355760000000002</v>
      </c>
      <c r="N2429" s="4">
        <v>3.2112340000000003E-2</v>
      </c>
      <c r="O2429" s="5">
        <v>44714</v>
      </c>
      <c r="P2429" s="5">
        <v>44714</v>
      </c>
      <c r="Q2429" s="1">
        <v>5.2670000000000003</v>
      </c>
      <c r="R2429" s="2">
        <v>0.1</v>
      </c>
      <c r="S2429" s="6">
        <v>9.9637528276000004E-2</v>
      </c>
      <c r="T2429" t="s">
        <v>111</v>
      </c>
      <c r="U2429" t="s">
        <v>11040</v>
      </c>
      <c r="V2429" t="s">
        <v>11189</v>
      </c>
      <c r="W2429" t="s">
        <v>43</v>
      </c>
      <c r="X2429" t="s">
        <v>11034</v>
      </c>
      <c r="Y2429" t="s">
        <v>44</v>
      </c>
      <c r="Z2429" t="s">
        <v>44</v>
      </c>
      <c r="AA2429" t="s">
        <v>11035</v>
      </c>
      <c r="AB2429" t="s">
        <v>44</v>
      </c>
      <c r="AC2429" s="4">
        <v>4.5247458800000002</v>
      </c>
      <c r="AD2429" s="4">
        <v>4.4335359900000002</v>
      </c>
      <c r="AE2429" s="2">
        <v>4.5199999999999996</v>
      </c>
      <c r="AF2429" s="4">
        <v>4.4335359900000002</v>
      </c>
      <c r="AG2429" s="2">
        <v>1.18</v>
      </c>
      <c r="AH2429" s="2">
        <v>14114646.109999999</v>
      </c>
      <c r="AI2429" s="2">
        <v>0.03</v>
      </c>
      <c r="AJ2429" s="5">
        <v>44673</v>
      </c>
      <c r="AK2429" t="s">
        <v>12369</v>
      </c>
      <c r="AL2429" s="2">
        <v>4.47</v>
      </c>
      <c r="AM2429" s="2">
        <v>5.27</v>
      </c>
      <c r="AN2429" s="2">
        <v>0.1</v>
      </c>
      <c r="AO2429" t="s">
        <v>12222</v>
      </c>
      <c r="AP2429" t="s">
        <v>12223</v>
      </c>
      <c r="AQ2429" t="s">
        <v>12221</v>
      </c>
    </row>
    <row r="2430" spans="1:43" x14ac:dyDescent="0.2">
      <c r="A2430" t="s">
        <v>12366</v>
      </c>
      <c r="B2430" t="s">
        <v>11038</v>
      </c>
      <c r="C2430" t="s">
        <v>11055</v>
      </c>
      <c r="D2430" t="s">
        <v>11872</v>
      </c>
      <c r="E2430" t="s">
        <v>11873</v>
      </c>
      <c r="F2430" t="s">
        <v>11872</v>
      </c>
      <c r="G2430" s="1">
        <v>13400000</v>
      </c>
      <c r="H2430" s="2">
        <v>13400000</v>
      </c>
      <c r="I2430" s="2">
        <v>13408306.43</v>
      </c>
      <c r="J2430" s="2">
        <v>115320.04</v>
      </c>
      <c r="K2430" s="2">
        <v>0</v>
      </c>
      <c r="L2430" s="2">
        <v>13523626.470000001</v>
      </c>
      <c r="M2430" s="3">
        <v>5.1502819999999998</v>
      </c>
      <c r="N2430" s="4">
        <v>3.076771E-2</v>
      </c>
      <c r="O2430" s="5">
        <v>44712</v>
      </c>
      <c r="P2430" s="5">
        <v>44712</v>
      </c>
      <c r="Q2430" s="1">
        <v>5.8170000000000002</v>
      </c>
      <c r="R2430" s="2">
        <v>0.1</v>
      </c>
      <c r="S2430" s="6">
        <v>9.3730576011000002E-2</v>
      </c>
      <c r="T2430" t="s">
        <v>111</v>
      </c>
      <c r="U2430" t="s">
        <v>11040</v>
      </c>
      <c r="V2430" t="s">
        <v>114</v>
      </c>
      <c r="W2430" t="s">
        <v>43</v>
      </c>
      <c r="X2430" t="s">
        <v>10988</v>
      </c>
      <c r="Y2430" t="s">
        <v>44</v>
      </c>
      <c r="Z2430" t="s">
        <v>44</v>
      </c>
      <c r="AA2430" t="s">
        <v>10979</v>
      </c>
      <c r="AB2430" t="s">
        <v>44</v>
      </c>
      <c r="AC2430" s="4">
        <v>5.2714900699999996</v>
      </c>
      <c r="AD2430" s="4">
        <v>5.1482567699999997</v>
      </c>
      <c r="AE2430" s="2">
        <v>5.27</v>
      </c>
      <c r="AF2430" s="4">
        <v>5.1482567699999997</v>
      </c>
      <c r="AG2430" s="2">
        <v>1.1299999999999999</v>
      </c>
      <c r="AH2430" s="2">
        <v>13523626.470000001</v>
      </c>
      <c r="AI2430" s="2">
        <v>0.03</v>
      </c>
      <c r="AJ2430" s="5">
        <v>44673</v>
      </c>
      <c r="AK2430" t="s">
        <v>12369</v>
      </c>
      <c r="AL2430" s="2">
        <v>5.2</v>
      </c>
      <c r="AM2430" s="2">
        <v>5.82</v>
      </c>
      <c r="AN2430" s="2">
        <v>0.09</v>
      </c>
      <c r="AO2430" t="s">
        <v>11048</v>
      </c>
      <c r="AP2430" t="s">
        <v>11874</v>
      </c>
      <c r="AQ2430" t="s">
        <v>11873</v>
      </c>
    </row>
    <row r="2431" spans="1:43" x14ac:dyDescent="0.2">
      <c r="A2431" t="s">
        <v>12366</v>
      </c>
      <c r="B2431" t="s">
        <v>11038</v>
      </c>
      <c r="C2431" t="s">
        <v>11052</v>
      </c>
      <c r="D2431" t="s">
        <v>12402</v>
      </c>
      <c r="E2431" t="s">
        <v>12403</v>
      </c>
      <c r="F2431" t="s">
        <v>12402</v>
      </c>
      <c r="G2431" s="1">
        <v>40200000</v>
      </c>
      <c r="H2431" s="2">
        <v>40203589.039999999</v>
      </c>
      <c r="I2431" s="2">
        <v>40263255.869999997</v>
      </c>
      <c r="J2431" s="2">
        <v>515523.7</v>
      </c>
      <c r="K2431" s="2">
        <v>0</v>
      </c>
      <c r="L2431" s="2">
        <v>40778779.57</v>
      </c>
      <c r="M2431" s="3">
        <v>5.3989140000000004</v>
      </c>
      <c r="N2431" s="4">
        <v>9.2776109999999995E-2</v>
      </c>
      <c r="O2431" s="5">
        <v>44684</v>
      </c>
      <c r="P2431" s="5">
        <v>44776</v>
      </c>
      <c r="Q2431" s="1">
        <v>5.9249999999999998</v>
      </c>
      <c r="R2431" s="2">
        <v>0.02</v>
      </c>
      <c r="S2431" s="6">
        <v>1.8996198525000001E-2</v>
      </c>
      <c r="T2431" t="s">
        <v>111</v>
      </c>
      <c r="U2431" t="s">
        <v>11040</v>
      </c>
      <c r="V2431" t="s">
        <v>11189</v>
      </c>
      <c r="W2431" t="s">
        <v>43</v>
      </c>
      <c r="X2431" t="s">
        <v>11034</v>
      </c>
      <c r="Y2431" t="s">
        <v>44</v>
      </c>
      <c r="Z2431" t="s">
        <v>44</v>
      </c>
      <c r="AA2431" t="s">
        <v>11441</v>
      </c>
      <c r="AB2431" t="s">
        <v>44</v>
      </c>
      <c r="AC2431" s="4">
        <v>5.5439446300000004</v>
      </c>
      <c r="AD2431" s="4">
        <v>5.4078706499999996</v>
      </c>
      <c r="AE2431" s="2">
        <v>5.54</v>
      </c>
      <c r="AF2431" s="4">
        <v>5.4078706499999996</v>
      </c>
      <c r="AG2431" s="2">
        <v>3.4</v>
      </c>
      <c r="AH2431" s="2">
        <v>40778779.57</v>
      </c>
      <c r="AI2431" s="2">
        <v>0.09</v>
      </c>
      <c r="AJ2431" s="5">
        <v>44673</v>
      </c>
      <c r="AK2431" t="s">
        <v>12369</v>
      </c>
      <c r="AL2431" s="2">
        <v>5.47</v>
      </c>
      <c r="AM2431" s="2">
        <v>5.92</v>
      </c>
      <c r="AN2431" s="2">
        <v>0.02</v>
      </c>
      <c r="AO2431" t="s">
        <v>11455</v>
      </c>
      <c r="AP2431" t="s">
        <v>12404</v>
      </c>
      <c r="AQ2431" t="s">
        <v>12403</v>
      </c>
    </row>
    <row r="2432" spans="1:43" x14ac:dyDescent="0.2">
      <c r="A2432" t="s">
        <v>12366</v>
      </c>
      <c r="B2432" t="s">
        <v>11038</v>
      </c>
      <c r="C2432" t="s">
        <v>11052</v>
      </c>
      <c r="D2432" t="s">
        <v>12405</v>
      </c>
      <c r="E2432" t="s">
        <v>12406</v>
      </c>
      <c r="F2432" t="s">
        <v>12405</v>
      </c>
      <c r="G2432" s="1">
        <v>29000000</v>
      </c>
      <c r="H2432" s="2">
        <v>29000000</v>
      </c>
      <c r="I2432" s="2">
        <v>29033731.34</v>
      </c>
      <c r="J2432" s="2">
        <v>95189.92</v>
      </c>
      <c r="K2432" s="2">
        <v>0</v>
      </c>
      <c r="L2432" s="2">
        <v>29128921.260000002</v>
      </c>
      <c r="M2432" s="3">
        <v>4.644711</v>
      </c>
      <c r="N2432" s="4">
        <v>6.6271430000000006E-2</v>
      </c>
      <c r="O2432" s="5">
        <v>44742</v>
      </c>
      <c r="P2432" s="5">
        <v>44834</v>
      </c>
      <c r="Q2432" s="1">
        <v>4.992</v>
      </c>
      <c r="R2432" s="2">
        <v>0.18</v>
      </c>
      <c r="S2432" s="6">
        <v>0.172154181805</v>
      </c>
      <c r="T2432" t="s">
        <v>111</v>
      </c>
      <c r="U2432" t="s">
        <v>11040</v>
      </c>
      <c r="V2432" t="s">
        <v>11189</v>
      </c>
      <c r="W2432" t="s">
        <v>43</v>
      </c>
      <c r="X2432" t="s">
        <v>11034</v>
      </c>
      <c r="Y2432" t="s">
        <v>44</v>
      </c>
      <c r="Z2432" t="s">
        <v>44</v>
      </c>
      <c r="AA2432" t="s">
        <v>10979</v>
      </c>
      <c r="AB2432" t="s">
        <v>44</v>
      </c>
      <c r="AC2432" s="4">
        <v>4.7339509099999999</v>
      </c>
      <c r="AD2432" s="4">
        <v>4.6342402199999997</v>
      </c>
      <c r="AE2432" s="2">
        <v>4.7300000000000004</v>
      </c>
      <c r="AF2432" s="4">
        <v>4.6342402199999997</v>
      </c>
      <c r="AG2432" s="2">
        <v>2.4300000000000002</v>
      </c>
      <c r="AH2432" s="2">
        <v>29128921.260000002</v>
      </c>
      <c r="AI2432" s="2">
        <v>7.0000000000000007E-2</v>
      </c>
      <c r="AJ2432" s="5">
        <v>44673</v>
      </c>
      <c r="AK2432" t="s">
        <v>12369</v>
      </c>
      <c r="AL2432" s="2">
        <v>4.68</v>
      </c>
      <c r="AM2432" s="2">
        <v>4.99</v>
      </c>
      <c r="AN2432" s="2">
        <v>0.17</v>
      </c>
      <c r="AO2432" t="s">
        <v>11054</v>
      </c>
      <c r="AP2432" t="s">
        <v>12407</v>
      </c>
      <c r="AQ2432" t="s">
        <v>12406</v>
      </c>
    </row>
    <row r="2433" spans="1:43" x14ac:dyDescent="0.2">
      <c r="A2433" t="s">
        <v>12366</v>
      </c>
      <c r="B2433" t="s">
        <v>11038</v>
      </c>
      <c r="C2433" t="s">
        <v>11052</v>
      </c>
      <c r="D2433" t="s">
        <v>12189</v>
      </c>
      <c r="E2433" t="s">
        <v>12190</v>
      </c>
      <c r="F2433" t="s">
        <v>12189</v>
      </c>
      <c r="G2433" s="1">
        <v>30400000</v>
      </c>
      <c r="H2433" s="2">
        <v>29659509.579999998</v>
      </c>
      <c r="I2433" s="2">
        <v>29659509.579999998</v>
      </c>
      <c r="J2433" s="2">
        <v>0</v>
      </c>
      <c r="K2433" s="2">
        <v>0</v>
      </c>
      <c r="L2433" s="2">
        <v>29659509.579999998</v>
      </c>
      <c r="M2433" s="3">
        <v>5.1450009999999997</v>
      </c>
      <c r="N2433" s="4">
        <v>6.7478579999999996E-2</v>
      </c>
      <c r="O2433" s="5" t="s">
        <v>44</v>
      </c>
      <c r="P2433" s="5">
        <v>44846</v>
      </c>
      <c r="Q2433" s="1">
        <v>0</v>
      </c>
      <c r="R2433" s="2">
        <v>0.47</v>
      </c>
      <c r="S2433" s="6">
        <v>0.45485375498000002</v>
      </c>
      <c r="T2433" t="s">
        <v>112</v>
      </c>
      <c r="U2433" t="s">
        <v>11040</v>
      </c>
      <c r="V2433" t="s">
        <v>11238</v>
      </c>
      <c r="W2433" t="s">
        <v>43</v>
      </c>
      <c r="X2433" t="s">
        <v>44</v>
      </c>
      <c r="Y2433" t="s">
        <v>44</v>
      </c>
      <c r="Z2433" t="s">
        <v>44</v>
      </c>
      <c r="AA2433" t="s">
        <v>10913</v>
      </c>
      <c r="AB2433" t="s">
        <v>44</v>
      </c>
      <c r="AC2433" s="4">
        <v>5.2157943299999996</v>
      </c>
      <c r="AD2433" s="4">
        <v>5.0951101300000001</v>
      </c>
      <c r="AE2433" s="2">
        <v>5.22</v>
      </c>
      <c r="AF2433" s="4">
        <v>5.0951101300000001</v>
      </c>
      <c r="AG2433" s="2">
        <v>2.48</v>
      </c>
      <c r="AH2433" s="2">
        <v>29659509.579999998</v>
      </c>
      <c r="AI2433" s="2">
        <v>7.0000000000000007E-2</v>
      </c>
      <c r="AJ2433" s="5">
        <v>44673</v>
      </c>
      <c r="AK2433" t="s">
        <v>12369</v>
      </c>
      <c r="AL2433" s="2">
        <v>5.15</v>
      </c>
      <c r="AM2433" s="2">
        <v>0</v>
      </c>
      <c r="AN2433" s="2">
        <v>0.45</v>
      </c>
      <c r="AO2433" t="s">
        <v>10922</v>
      </c>
      <c r="AP2433" t="s">
        <v>12191</v>
      </c>
      <c r="AQ2433" t="s">
        <v>12190</v>
      </c>
    </row>
    <row r="2434" spans="1:43" x14ac:dyDescent="0.2">
      <c r="A2434" t="s">
        <v>12366</v>
      </c>
      <c r="B2434" t="s">
        <v>11038</v>
      </c>
      <c r="C2434" t="s">
        <v>11052</v>
      </c>
      <c r="D2434" t="s">
        <v>12345</v>
      </c>
      <c r="E2434" t="s">
        <v>12346</v>
      </c>
      <c r="F2434" t="s">
        <v>12345</v>
      </c>
      <c r="G2434" s="1">
        <v>7120000</v>
      </c>
      <c r="H2434" s="2">
        <v>6940622</v>
      </c>
      <c r="I2434" s="2">
        <v>6940622</v>
      </c>
      <c r="J2434" s="2">
        <v>0</v>
      </c>
      <c r="K2434" s="2">
        <v>0</v>
      </c>
      <c r="L2434" s="2">
        <v>6940622</v>
      </c>
      <c r="M2434" s="3">
        <v>5.2109949999999996</v>
      </c>
      <c r="N2434" s="4">
        <v>1.5790660000000002E-2</v>
      </c>
      <c r="O2434" s="5" t="s">
        <v>44</v>
      </c>
      <c r="P2434" s="5">
        <v>44853</v>
      </c>
      <c r="Q2434" s="1">
        <v>0</v>
      </c>
      <c r="R2434" s="2">
        <v>0.48</v>
      </c>
      <c r="S2434" s="6">
        <v>0.47297943272999998</v>
      </c>
      <c r="T2434" t="s">
        <v>112</v>
      </c>
      <c r="U2434" t="s">
        <v>11040</v>
      </c>
      <c r="V2434" t="s">
        <v>11238</v>
      </c>
      <c r="W2434" t="s">
        <v>43</v>
      </c>
      <c r="X2434" t="s">
        <v>44</v>
      </c>
      <c r="Y2434" t="s">
        <v>44</v>
      </c>
      <c r="Z2434" t="s">
        <v>44</v>
      </c>
      <c r="AA2434" t="s">
        <v>10913</v>
      </c>
      <c r="AB2434" t="s">
        <v>44</v>
      </c>
      <c r="AC2434" s="4">
        <v>5.2809629999999999</v>
      </c>
      <c r="AD2434" s="4">
        <v>5.1572935700000002</v>
      </c>
      <c r="AE2434" s="2">
        <v>5.28</v>
      </c>
      <c r="AF2434" s="4">
        <v>5.1572935700000002</v>
      </c>
      <c r="AG2434" s="2">
        <v>0.57999999999999996</v>
      </c>
      <c r="AH2434" s="2">
        <v>6940622</v>
      </c>
      <c r="AI2434" s="2">
        <v>0.02</v>
      </c>
      <c r="AJ2434" s="5">
        <v>44673</v>
      </c>
      <c r="AK2434" t="s">
        <v>12369</v>
      </c>
      <c r="AL2434" s="2">
        <v>5.21</v>
      </c>
      <c r="AM2434" s="2">
        <v>0</v>
      </c>
      <c r="AN2434" s="2">
        <v>0.47</v>
      </c>
      <c r="AO2434" t="s">
        <v>10922</v>
      </c>
      <c r="AP2434" t="s">
        <v>12347</v>
      </c>
      <c r="AQ2434" t="s">
        <v>12346</v>
      </c>
    </row>
    <row r="2435" spans="1:43" x14ac:dyDescent="0.2">
      <c r="A2435" t="s">
        <v>12366</v>
      </c>
      <c r="B2435" t="s">
        <v>11038</v>
      </c>
      <c r="C2435" t="s">
        <v>11052</v>
      </c>
      <c r="D2435" t="s">
        <v>11875</v>
      </c>
      <c r="E2435" t="s">
        <v>11876</v>
      </c>
      <c r="F2435" t="s">
        <v>11875</v>
      </c>
      <c r="G2435" s="1">
        <v>33300000</v>
      </c>
      <c r="H2435" s="2">
        <v>33300000</v>
      </c>
      <c r="I2435" s="2">
        <v>33318824.559999999</v>
      </c>
      <c r="J2435" s="2">
        <v>453243.11</v>
      </c>
      <c r="K2435" s="2">
        <v>0</v>
      </c>
      <c r="L2435" s="2">
        <v>33772067.670000002</v>
      </c>
      <c r="M2435" s="3">
        <v>5.8453989999999996</v>
      </c>
      <c r="N2435" s="4">
        <v>7.6835089999999995E-2</v>
      </c>
      <c r="O2435" s="5">
        <v>44676</v>
      </c>
      <c r="P2435" s="5">
        <v>44765</v>
      </c>
      <c r="Q2435" s="1">
        <v>5.5819999999999999</v>
      </c>
      <c r="R2435" s="2">
        <v>0.25</v>
      </c>
      <c r="S2435" s="6">
        <v>-2.4241619880000002E-3</v>
      </c>
      <c r="T2435" t="s">
        <v>111</v>
      </c>
      <c r="U2435" t="s">
        <v>11040</v>
      </c>
      <c r="V2435" t="s">
        <v>114</v>
      </c>
      <c r="W2435" t="s">
        <v>43</v>
      </c>
      <c r="X2435" t="s">
        <v>10988</v>
      </c>
      <c r="Y2435" t="s">
        <v>44</v>
      </c>
      <c r="Z2435" t="s">
        <v>44</v>
      </c>
      <c r="AA2435" t="s">
        <v>10979</v>
      </c>
      <c r="AB2435" t="s">
        <v>44</v>
      </c>
      <c r="AC2435" s="4">
        <v>5.9749057099999998</v>
      </c>
      <c r="AD2435" s="4">
        <v>5.8172689999999996</v>
      </c>
      <c r="AE2435" s="2">
        <v>5.97</v>
      </c>
      <c r="AF2435" s="4">
        <v>5.8172689999999996</v>
      </c>
      <c r="AG2435" s="2">
        <v>2.82</v>
      </c>
      <c r="AH2435" s="2">
        <v>33772067.670000002</v>
      </c>
      <c r="AI2435" s="2">
        <v>0.08</v>
      </c>
      <c r="AJ2435" s="5">
        <v>44673</v>
      </c>
      <c r="AK2435" t="s">
        <v>12369</v>
      </c>
      <c r="AL2435" s="2">
        <v>5.89</v>
      </c>
      <c r="AM2435" s="2">
        <v>5.58</v>
      </c>
      <c r="AN2435" s="2">
        <v>0</v>
      </c>
      <c r="AO2435" t="s">
        <v>11048</v>
      </c>
      <c r="AP2435" t="s">
        <v>11877</v>
      </c>
      <c r="AQ2435" t="s">
        <v>11876</v>
      </c>
    </row>
    <row r="2436" spans="1:43" x14ac:dyDescent="0.2">
      <c r="A2436" t="s">
        <v>12366</v>
      </c>
      <c r="B2436" t="s">
        <v>11038</v>
      </c>
      <c r="C2436" t="s">
        <v>11039</v>
      </c>
      <c r="D2436" t="s">
        <v>12986</v>
      </c>
      <c r="E2436" t="s">
        <v>12987</v>
      </c>
      <c r="F2436" t="s">
        <v>12986</v>
      </c>
      <c r="G2436" s="1">
        <v>11000000</v>
      </c>
      <c r="H2436" s="2">
        <v>11000000</v>
      </c>
      <c r="I2436" s="2">
        <v>11005696.5</v>
      </c>
      <c r="J2436" s="2">
        <v>14329.23</v>
      </c>
      <c r="K2436" s="2">
        <v>0</v>
      </c>
      <c r="L2436" s="2">
        <v>11020025.73</v>
      </c>
      <c r="M2436" s="3">
        <v>5.1642010000000003</v>
      </c>
      <c r="N2436" s="4">
        <v>2.507175E-2</v>
      </c>
      <c r="O2436" s="5">
        <v>44756</v>
      </c>
      <c r="P2436" s="5">
        <v>45030</v>
      </c>
      <c r="Q2436" s="1">
        <v>5.2830000000000004</v>
      </c>
      <c r="R2436" s="2">
        <v>0.22</v>
      </c>
      <c r="S2436" s="6">
        <v>0.204057278988</v>
      </c>
      <c r="T2436" t="s">
        <v>111</v>
      </c>
      <c r="U2436" t="s">
        <v>11040</v>
      </c>
      <c r="V2436" t="s">
        <v>11189</v>
      </c>
      <c r="W2436" t="s">
        <v>43</v>
      </c>
      <c r="X2436" t="s">
        <v>11034</v>
      </c>
      <c r="Y2436" t="s">
        <v>44</v>
      </c>
      <c r="Z2436" t="s">
        <v>44</v>
      </c>
      <c r="AA2436" t="s">
        <v>10979</v>
      </c>
      <c r="AB2436" t="s">
        <v>44</v>
      </c>
      <c r="AC2436" s="4">
        <v>5.2693311999999999</v>
      </c>
      <c r="AD2436" s="4">
        <v>5.1461971799999997</v>
      </c>
      <c r="AE2436" s="2">
        <v>5.27</v>
      </c>
      <c r="AF2436" s="4">
        <v>5.1461971799999997</v>
      </c>
      <c r="AG2436" s="2">
        <v>0.92</v>
      </c>
      <c r="AH2436" s="2">
        <v>11020025.73</v>
      </c>
      <c r="AI2436" s="2">
        <v>0.03</v>
      </c>
      <c r="AJ2436" s="5">
        <v>44673</v>
      </c>
      <c r="AK2436" t="s">
        <v>12369</v>
      </c>
      <c r="AL2436" s="2">
        <v>5.2</v>
      </c>
      <c r="AM2436" s="2">
        <v>5.28</v>
      </c>
      <c r="AN2436" s="2">
        <v>0.2</v>
      </c>
      <c r="AO2436" t="s">
        <v>11165</v>
      </c>
      <c r="AP2436" t="s">
        <v>12988</v>
      </c>
      <c r="AQ2436" t="s">
        <v>12987</v>
      </c>
    </row>
    <row r="2437" spans="1:43" x14ac:dyDescent="0.2">
      <c r="A2437" t="s">
        <v>12366</v>
      </c>
      <c r="B2437" t="s">
        <v>11038</v>
      </c>
      <c r="C2437" t="s">
        <v>11039</v>
      </c>
      <c r="D2437" t="s">
        <v>11971</v>
      </c>
      <c r="E2437" t="s">
        <v>11972</v>
      </c>
      <c r="F2437" t="s">
        <v>11971</v>
      </c>
      <c r="G2437" s="1">
        <v>11000000</v>
      </c>
      <c r="H2437" s="2">
        <v>11000000</v>
      </c>
      <c r="I2437" s="2">
        <v>10988601.369999999</v>
      </c>
      <c r="J2437" s="2">
        <v>130463.01</v>
      </c>
      <c r="K2437" s="2">
        <v>0</v>
      </c>
      <c r="L2437" s="2">
        <v>11119064.380000001</v>
      </c>
      <c r="M2437" s="3">
        <v>5.914955</v>
      </c>
      <c r="N2437" s="4">
        <v>2.5297070000000001E-2</v>
      </c>
      <c r="O2437" s="5">
        <v>44965</v>
      </c>
      <c r="P2437" s="5">
        <v>44965</v>
      </c>
      <c r="Q2437" s="1">
        <v>5.85</v>
      </c>
      <c r="R2437" s="2">
        <v>0.79</v>
      </c>
      <c r="S2437" s="6">
        <v>0.75635794914999999</v>
      </c>
      <c r="T2437" t="s">
        <v>111</v>
      </c>
      <c r="U2437" t="s">
        <v>11040</v>
      </c>
      <c r="V2437" t="s">
        <v>11041</v>
      </c>
      <c r="W2437" t="s">
        <v>43</v>
      </c>
      <c r="X2437" t="s">
        <v>11034</v>
      </c>
      <c r="Y2437" t="s">
        <v>44</v>
      </c>
      <c r="Z2437" t="s">
        <v>44</v>
      </c>
      <c r="AA2437" t="s">
        <v>10979</v>
      </c>
      <c r="AB2437" t="s">
        <v>44</v>
      </c>
      <c r="AC2437" s="4">
        <v>5.9509684500000004</v>
      </c>
      <c r="AD2437" s="4">
        <v>5.7945694899999998</v>
      </c>
      <c r="AE2437" s="2">
        <v>5.95</v>
      </c>
      <c r="AF2437" s="4">
        <v>5.7945694899999998</v>
      </c>
      <c r="AG2437" s="2">
        <v>0.93</v>
      </c>
      <c r="AH2437" s="2">
        <v>11119064.380000001</v>
      </c>
      <c r="AI2437" s="2">
        <v>0.03</v>
      </c>
      <c r="AJ2437" s="5">
        <v>44673</v>
      </c>
      <c r="AK2437" t="s">
        <v>12369</v>
      </c>
      <c r="AL2437" s="2">
        <v>5.86</v>
      </c>
      <c r="AM2437" s="2">
        <v>5.85</v>
      </c>
      <c r="AN2437" s="2">
        <v>0.76</v>
      </c>
      <c r="AO2437" t="s">
        <v>11165</v>
      </c>
      <c r="AP2437" t="s">
        <v>11973</v>
      </c>
      <c r="AQ2437" t="s">
        <v>11972</v>
      </c>
    </row>
    <row r="2438" spans="1:43" x14ac:dyDescent="0.2">
      <c r="A2438" t="s">
        <v>12366</v>
      </c>
      <c r="B2438" t="s">
        <v>11038</v>
      </c>
      <c r="C2438" t="s">
        <v>11039</v>
      </c>
      <c r="D2438" t="s">
        <v>11216</v>
      </c>
      <c r="E2438" t="s">
        <v>11217</v>
      </c>
      <c r="F2438" t="s">
        <v>11216</v>
      </c>
      <c r="G2438" s="1">
        <v>18000000</v>
      </c>
      <c r="H2438" s="2">
        <v>18000000</v>
      </c>
      <c r="I2438" s="2">
        <v>17978986.52</v>
      </c>
      <c r="J2438" s="2">
        <v>176054.79</v>
      </c>
      <c r="K2438" s="2">
        <v>0</v>
      </c>
      <c r="L2438" s="2">
        <v>18155041.309999999</v>
      </c>
      <c r="M2438" s="3">
        <v>6.0366650000000002</v>
      </c>
      <c r="N2438" s="4">
        <v>4.1304670000000002E-2</v>
      </c>
      <c r="O2438" s="5">
        <v>44979</v>
      </c>
      <c r="P2438" s="5">
        <v>44979</v>
      </c>
      <c r="Q2438" s="1">
        <v>5.95</v>
      </c>
      <c r="R2438" s="2">
        <v>0.83</v>
      </c>
      <c r="S2438" s="6">
        <v>0.79052188852000005</v>
      </c>
      <c r="T2438" t="s">
        <v>111</v>
      </c>
      <c r="U2438" t="s">
        <v>11040</v>
      </c>
      <c r="V2438" t="s">
        <v>11041</v>
      </c>
      <c r="W2438" t="s">
        <v>43</v>
      </c>
      <c r="X2438" t="s">
        <v>11034</v>
      </c>
      <c r="Y2438" t="s">
        <v>44</v>
      </c>
      <c r="Z2438" t="s">
        <v>44</v>
      </c>
      <c r="AA2438" t="s">
        <v>10979</v>
      </c>
      <c r="AB2438" t="s">
        <v>44</v>
      </c>
      <c r="AC2438" s="4">
        <v>6.0672128599999997</v>
      </c>
      <c r="AD2438" s="4">
        <v>5.9047591700000002</v>
      </c>
      <c r="AE2438" s="2">
        <v>6.07</v>
      </c>
      <c r="AF2438" s="4">
        <v>5.9047591700000002</v>
      </c>
      <c r="AG2438" s="2">
        <v>1.52</v>
      </c>
      <c r="AH2438" s="2">
        <v>18155041.309999999</v>
      </c>
      <c r="AI2438" s="2">
        <v>0.04</v>
      </c>
      <c r="AJ2438" s="5">
        <v>44673</v>
      </c>
      <c r="AK2438" t="s">
        <v>12369</v>
      </c>
      <c r="AL2438" s="2">
        <v>5.98</v>
      </c>
      <c r="AM2438" s="2">
        <v>5.95</v>
      </c>
      <c r="AN2438" s="2">
        <v>0.79</v>
      </c>
      <c r="AO2438" t="s">
        <v>11165</v>
      </c>
      <c r="AP2438" t="s">
        <v>11218</v>
      </c>
      <c r="AQ2438" t="s">
        <v>11217</v>
      </c>
    </row>
    <row r="2439" spans="1:43" x14ac:dyDescent="0.2">
      <c r="A2439" t="s">
        <v>12366</v>
      </c>
      <c r="B2439" t="s">
        <v>11038</v>
      </c>
      <c r="C2439" t="s">
        <v>11039</v>
      </c>
      <c r="D2439" t="s">
        <v>13003</v>
      </c>
      <c r="E2439" t="s">
        <v>13004</v>
      </c>
      <c r="F2439" t="s">
        <v>13003</v>
      </c>
      <c r="G2439" s="1">
        <v>30000000</v>
      </c>
      <c r="H2439" s="2">
        <v>30000000</v>
      </c>
      <c r="I2439" s="2">
        <v>30001550.91</v>
      </c>
      <c r="J2439" s="2">
        <v>15595.89</v>
      </c>
      <c r="K2439" s="2">
        <v>0</v>
      </c>
      <c r="L2439" s="2">
        <v>30017146.800000001</v>
      </c>
      <c r="M2439" s="3">
        <v>6.3139609999999999</v>
      </c>
      <c r="N2439" s="4">
        <v>6.8292240000000004E-2</v>
      </c>
      <c r="O2439" s="5">
        <v>45036</v>
      </c>
      <c r="P2439" s="5">
        <v>45036</v>
      </c>
      <c r="Q2439" s="1">
        <v>6.3250000000000002</v>
      </c>
      <c r="R2439" s="2">
        <v>0.99</v>
      </c>
      <c r="S2439" s="6">
        <v>0.92848053425999999</v>
      </c>
      <c r="T2439" t="s">
        <v>111</v>
      </c>
      <c r="U2439" t="s">
        <v>11040</v>
      </c>
      <c r="V2439" t="s">
        <v>11041</v>
      </c>
      <c r="W2439" t="s">
        <v>43</v>
      </c>
      <c r="X2439" t="s">
        <v>11034</v>
      </c>
      <c r="Y2439" t="s">
        <v>44</v>
      </c>
      <c r="Z2439" t="s">
        <v>44</v>
      </c>
      <c r="AA2439" t="s">
        <v>10979</v>
      </c>
      <c r="AB2439" t="s">
        <v>44</v>
      </c>
      <c r="AC2439" s="4">
        <v>6.3166377499999999</v>
      </c>
      <c r="AD2439" s="4">
        <v>6.14081937</v>
      </c>
      <c r="AE2439" s="2">
        <v>6.32</v>
      </c>
      <c r="AF2439" s="4">
        <v>6.14081937</v>
      </c>
      <c r="AG2439" s="2">
        <v>2.5099999999999998</v>
      </c>
      <c r="AH2439" s="2">
        <v>30017146.800000001</v>
      </c>
      <c r="AI2439" s="2">
        <v>7.0000000000000007E-2</v>
      </c>
      <c r="AJ2439" s="5">
        <v>44673</v>
      </c>
      <c r="AK2439" t="s">
        <v>12369</v>
      </c>
      <c r="AL2439" s="2">
        <v>6.22</v>
      </c>
      <c r="AM2439" s="2">
        <v>6.33</v>
      </c>
      <c r="AN2439" s="2">
        <v>0.93</v>
      </c>
      <c r="AO2439" t="s">
        <v>11165</v>
      </c>
      <c r="AP2439" t="s">
        <v>13005</v>
      </c>
      <c r="AQ2439" t="s">
        <v>13004</v>
      </c>
    </row>
    <row r="2440" spans="1:43" x14ac:dyDescent="0.2">
      <c r="A2440" t="s">
        <v>12366</v>
      </c>
      <c r="B2440" t="s">
        <v>11038</v>
      </c>
      <c r="C2440" t="s">
        <v>11039</v>
      </c>
      <c r="D2440" t="s">
        <v>11390</v>
      </c>
      <c r="E2440" t="s">
        <v>11391</v>
      </c>
      <c r="F2440" t="s">
        <v>11390</v>
      </c>
      <c r="G2440" s="1">
        <v>14000000</v>
      </c>
      <c r="H2440" s="2">
        <v>13513025.92</v>
      </c>
      <c r="I2440" s="2">
        <v>13513025.92</v>
      </c>
      <c r="J2440" s="2">
        <v>0</v>
      </c>
      <c r="K2440" s="2">
        <v>0</v>
      </c>
      <c r="L2440" s="2">
        <v>13513025.92</v>
      </c>
      <c r="M2440" s="3">
        <v>5.7867119999999996</v>
      </c>
      <c r="N2440" s="4">
        <v>3.0743590000000001E-2</v>
      </c>
      <c r="O2440" s="5" t="s">
        <v>44</v>
      </c>
      <c r="P2440" s="5">
        <v>44902</v>
      </c>
      <c r="Q2440" s="1">
        <v>0</v>
      </c>
      <c r="R2440" s="2">
        <v>0.62</v>
      </c>
      <c r="S2440" s="6">
        <v>0.59776029928999996</v>
      </c>
      <c r="T2440" t="s">
        <v>112</v>
      </c>
      <c r="U2440" t="s">
        <v>11040</v>
      </c>
      <c r="V2440" t="s">
        <v>11238</v>
      </c>
      <c r="W2440" t="s">
        <v>43</v>
      </c>
      <c r="X2440" t="s">
        <v>44</v>
      </c>
      <c r="Y2440" t="s">
        <v>44</v>
      </c>
      <c r="Z2440" t="s">
        <v>44</v>
      </c>
      <c r="AA2440" t="s">
        <v>10913</v>
      </c>
      <c r="AB2440" t="s">
        <v>44</v>
      </c>
      <c r="AC2440" s="4">
        <v>5.8501835199999999</v>
      </c>
      <c r="AD2440" s="4">
        <v>5.6989443299999998</v>
      </c>
      <c r="AE2440" s="2">
        <v>5.85</v>
      </c>
      <c r="AF2440" s="4">
        <v>5.6989443299999998</v>
      </c>
      <c r="AG2440" s="2">
        <v>1.1299999999999999</v>
      </c>
      <c r="AH2440" s="2">
        <v>13513025.92</v>
      </c>
      <c r="AI2440" s="2">
        <v>0.03</v>
      </c>
      <c r="AJ2440" s="5">
        <v>44673</v>
      </c>
      <c r="AK2440" t="s">
        <v>12369</v>
      </c>
      <c r="AL2440" s="2">
        <v>5.77</v>
      </c>
      <c r="AM2440" s="2">
        <v>0</v>
      </c>
      <c r="AN2440" s="2">
        <v>0.6</v>
      </c>
      <c r="AO2440" t="s">
        <v>10922</v>
      </c>
      <c r="AP2440" t="s">
        <v>11392</v>
      </c>
      <c r="AQ2440" t="s">
        <v>11391</v>
      </c>
    </row>
    <row r="2441" spans="1:43" x14ac:dyDescent="0.2">
      <c r="A2441" t="s">
        <v>12366</v>
      </c>
      <c r="B2441" t="s">
        <v>11038</v>
      </c>
      <c r="C2441" t="s">
        <v>11039</v>
      </c>
      <c r="D2441" t="s">
        <v>11393</v>
      </c>
      <c r="E2441" t="s">
        <v>11394</v>
      </c>
      <c r="F2441" t="s">
        <v>11393</v>
      </c>
      <c r="G2441" s="1">
        <v>54380000</v>
      </c>
      <c r="H2441" s="2">
        <v>52833296.979999997</v>
      </c>
      <c r="I2441" s="2">
        <v>52833296.979999997</v>
      </c>
      <c r="J2441" s="2">
        <v>0</v>
      </c>
      <c r="K2441" s="2">
        <v>0</v>
      </c>
      <c r="L2441" s="2">
        <v>52833296.979999997</v>
      </c>
      <c r="M2441" s="3">
        <v>5.3700010000000002</v>
      </c>
      <c r="N2441" s="4">
        <v>0.12020144000000001</v>
      </c>
      <c r="O2441" s="5" t="s">
        <v>44</v>
      </c>
      <c r="P2441" s="5">
        <v>44874</v>
      </c>
      <c r="Q2441" s="1">
        <v>0</v>
      </c>
      <c r="R2441" s="2">
        <v>0.54</v>
      </c>
      <c r="S2441" s="6">
        <v>0.52711079582999998</v>
      </c>
      <c r="T2441" t="s">
        <v>112</v>
      </c>
      <c r="U2441" t="s">
        <v>11040</v>
      </c>
      <c r="V2441" t="s">
        <v>11238</v>
      </c>
      <c r="W2441" t="s">
        <v>43</v>
      </c>
      <c r="X2441" t="s">
        <v>44</v>
      </c>
      <c r="Y2441" t="s">
        <v>44</v>
      </c>
      <c r="Z2441" t="s">
        <v>44</v>
      </c>
      <c r="AA2441" t="s">
        <v>10913</v>
      </c>
      <c r="AB2441" t="s">
        <v>44</v>
      </c>
      <c r="AC2441" s="4">
        <v>5.4358711399999997</v>
      </c>
      <c r="AD2441" s="4">
        <v>5.3049642199999996</v>
      </c>
      <c r="AE2441" s="2">
        <v>5.44</v>
      </c>
      <c r="AF2441" s="4">
        <v>5.3049642199999996</v>
      </c>
      <c r="AG2441" s="2">
        <v>4.41</v>
      </c>
      <c r="AH2441" s="2">
        <v>52833296.979999997</v>
      </c>
      <c r="AI2441" s="2">
        <v>0.12</v>
      </c>
      <c r="AJ2441" s="5">
        <v>44673</v>
      </c>
      <c r="AK2441" t="s">
        <v>12369</v>
      </c>
      <c r="AL2441" s="2">
        <v>5.36</v>
      </c>
      <c r="AM2441" s="2">
        <v>0</v>
      </c>
      <c r="AN2441" s="2">
        <v>0.53</v>
      </c>
      <c r="AO2441" t="s">
        <v>10922</v>
      </c>
      <c r="AP2441" t="s">
        <v>11395</v>
      </c>
      <c r="AQ2441" t="s">
        <v>11394</v>
      </c>
    </row>
    <row r="2442" spans="1:43" x14ac:dyDescent="0.2">
      <c r="A2442" t="s">
        <v>12366</v>
      </c>
      <c r="B2442" t="s">
        <v>11038</v>
      </c>
      <c r="C2442" t="s">
        <v>11039</v>
      </c>
      <c r="D2442" t="s">
        <v>12408</v>
      </c>
      <c r="E2442" t="s">
        <v>12409</v>
      </c>
      <c r="F2442" t="s">
        <v>12408</v>
      </c>
      <c r="G2442" s="1">
        <v>9000000</v>
      </c>
      <c r="H2442" s="2">
        <v>8769664.1600000001</v>
      </c>
      <c r="I2442" s="2">
        <v>8769664.1600000001</v>
      </c>
      <c r="J2442" s="2">
        <v>0</v>
      </c>
      <c r="K2442" s="2">
        <v>0</v>
      </c>
      <c r="L2442" s="2">
        <v>8769664.1600000001</v>
      </c>
      <c r="M2442" s="3">
        <v>5.266508</v>
      </c>
      <c r="N2442" s="4">
        <v>1.995193E-2</v>
      </c>
      <c r="O2442" s="5" t="s">
        <v>44</v>
      </c>
      <c r="P2442" s="5">
        <v>44860</v>
      </c>
      <c r="Q2442" s="1">
        <v>0</v>
      </c>
      <c r="R2442" s="2">
        <v>0.5</v>
      </c>
      <c r="S2442" s="6">
        <v>0.49107213009</v>
      </c>
      <c r="T2442" t="s">
        <v>112</v>
      </c>
      <c r="U2442" t="s">
        <v>11040</v>
      </c>
      <c r="V2442" t="s">
        <v>11238</v>
      </c>
      <c r="W2442" t="s">
        <v>43</v>
      </c>
      <c r="X2442" t="s">
        <v>44</v>
      </c>
      <c r="Y2442" t="s">
        <v>44</v>
      </c>
      <c r="Z2442" t="s">
        <v>44</v>
      </c>
      <c r="AA2442" t="s">
        <v>10913</v>
      </c>
      <c r="AB2442" t="s">
        <v>44</v>
      </c>
      <c r="AC2442" s="4">
        <v>5.3352679900000002</v>
      </c>
      <c r="AD2442" s="4">
        <v>5.2090840299999996</v>
      </c>
      <c r="AE2442" s="2">
        <v>5.34</v>
      </c>
      <c r="AF2442" s="4">
        <v>5.2090840299999996</v>
      </c>
      <c r="AG2442" s="2">
        <v>0.73</v>
      </c>
      <c r="AH2442" s="2">
        <v>8769664.1600000001</v>
      </c>
      <c r="AI2442" s="2">
        <v>0.02</v>
      </c>
      <c r="AJ2442" s="5">
        <v>44673</v>
      </c>
      <c r="AK2442" t="s">
        <v>12369</v>
      </c>
      <c r="AL2442" s="2">
        <v>5.27</v>
      </c>
      <c r="AM2442" s="2">
        <v>0</v>
      </c>
      <c r="AN2442" s="2">
        <v>0.49</v>
      </c>
      <c r="AO2442" t="s">
        <v>10922</v>
      </c>
      <c r="AP2442" t="s">
        <v>12410</v>
      </c>
      <c r="AQ2442" t="s">
        <v>12409</v>
      </c>
    </row>
    <row r="2443" spans="1:43" x14ac:dyDescent="0.2">
      <c r="A2443" t="s">
        <v>12366</v>
      </c>
      <c r="B2443" t="s">
        <v>11038</v>
      </c>
      <c r="C2443" t="s">
        <v>11039</v>
      </c>
      <c r="D2443" t="s">
        <v>11930</v>
      </c>
      <c r="E2443" t="s">
        <v>11931</v>
      </c>
      <c r="F2443" t="s">
        <v>11930</v>
      </c>
      <c r="G2443" s="1">
        <v>25930000</v>
      </c>
      <c r="H2443" s="2">
        <v>25930000</v>
      </c>
      <c r="I2443" s="2">
        <v>25993173</v>
      </c>
      <c r="J2443" s="2">
        <v>385176.3</v>
      </c>
      <c r="K2443" s="2">
        <v>0</v>
      </c>
      <c r="L2443" s="2">
        <v>26378349.300000001</v>
      </c>
      <c r="M2443" s="3">
        <v>6.0853989999999998</v>
      </c>
      <c r="N2443" s="4">
        <v>6.0013579999999997E-2</v>
      </c>
      <c r="O2443" s="5">
        <v>44676</v>
      </c>
      <c r="P2443" s="5">
        <v>44858</v>
      </c>
      <c r="Q2443" s="1">
        <v>6.0919999999999996</v>
      </c>
      <c r="R2443" s="2">
        <v>0.25</v>
      </c>
      <c r="S2443" s="6">
        <v>-5.0177142469999998E-3</v>
      </c>
      <c r="T2443" t="s">
        <v>111</v>
      </c>
      <c r="U2443" t="s">
        <v>11040</v>
      </c>
      <c r="V2443" t="s">
        <v>114</v>
      </c>
      <c r="W2443" t="s">
        <v>43</v>
      </c>
      <c r="X2443" t="s">
        <v>10988</v>
      </c>
      <c r="Y2443" t="s">
        <v>44</v>
      </c>
      <c r="Z2443" t="s">
        <v>44</v>
      </c>
      <c r="AA2443" t="s">
        <v>10979</v>
      </c>
      <c r="AB2443" t="s">
        <v>44</v>
      </c>
      <c r="AC2443" s="4">
        <v>6.2258147800000003</v>
      </c>
      <c r="AD2443" s="4">
        <v>6.0549217000000004</v>
      </c>
      <c r="AE2443" s="2">
        <v>6.23</v>
      </c>
      <c r="AF2443" s="4">
        <v>6.0549217000000004</v>
      </c>
      <c r="AG2443" s="2">
        <v>2.2000000000000002</v>
      </c>
      <c r="AH2443" s="2">
        <v>26378349.300000001</v>
      </c>
      <c r="AI2443" s="2">
        <v>0.06</v>
      </c>
      <c r="AJ2443" s="5">
        <v>44673</v>
      </c>
      <c r="AK2443" t="s">
        <v>12369</v>
      </c>
      <c r="AL2443" s="2">
        <v>6.13</v>
      </c>
      <c r="AM2443" s="2">
        <v>6.09</v>
      </c>
      <c r="AN2443" s="2">
        <v>-0.01</v>
      </c>
      <c r="AO2443" t="s">
        <v>11048</v>
      </c>
      <c r="AP2443" t="s">
        <v>11932</v>
      </c>
      <c r="AQ2443" t="s">
        <v>11931</v>
      </c>
    </row>
    <row r="2444" spans="1:43" x14ac:dyDescent="0.2">
      <c r="A2444" t="s">
        <v>12366</v>
      </c>
      <c r="B2444" t="s">
        <v>11038</v>
      </c>
      <c r="C2444" t="s">
        <v>11039</v>
      </c>
      <c r="D2444" t="s">
        <v>11884</v>
      </c>
      <c r="E2444" t="s">
        <v>11885</v>
      </c>
      <c r="F2444" t="s">
        <v>11884</v>
      </c>
      <c r="G2444" s="1">
        <v>18700000</v>
      </c>
      <c r="H2444" s="2">
        <v>18700000</v>
      </c>
      <c r="I2444" s="2">
        <v>18718710.66</v>
      </c>
      <c r="J2444" s="2">
        <v>248571.67</v>
      </c>
      <c r="K2444" s="2">
        <v>0</v>
      </c>
      <c r="L2444" s="2">
        <v>18967282.329999998</v>
      </c>
      <c r="M2444" s="3">
        <v>5.529731</v>
      </c>
      <c r="N2444" s="4">
        <v>4.3152610000000001E-2</v>
      </c>
      <c r="O2444" s="5">
        <v>44679</v>
      </c>
      <c r="P2444" s="5">
        <v>44862</v>
      </c>
      <c r="Q2444" s="1">
        <v>5.7080000000000002</v>
      </c>
      <c r="R2444" s="2">
        <v>0.01</v>
      </c>
      <c r="S2444" s="6">
        <v>3.323205444E-3</v>
      </c>
      <c r="T2444" t="s">
        <v>111</v>
      </c>
      <c r="U2444" t="s">
        <v>11040</v>
      </c>
      <c r="V2444" t="s">
        <v>114</v>
      </c>
      <c r="W2444" t="s">
        <v>43</v>
      </c>
      <c r="X2444" t="s">
        <v>10988</v>
      </c>
      <c r="Y2444" t="s">
        <v>44</v>
      </c>
      <c r="Z2444" t="s">
        <v>44</v>
      </c>
      <c r="AA2444" t="s">
        <v>11465</v>
      </c>
      <c r="AB2444" t="s">
        <v>44</v>
      </c>
      <c r="AC2444" s="4">
        <v>5.6841506900000001</v>
      </c>
      <c r="AD2444" s="4">
        <v>5.5412295399999998</v>
      </c>
      <c r="AE2444" s="2">
        <v>5.68</v>
      </c>
      <c r="AF2444" s="4">
        <v>5.5412295399999998</v>
      </c>
      <c r="AG2444" s="2">
        <v>1.58</v>
      </c>
      <c r="AH2444" s="2">
        <v>18967282.329999998</v>
      </c>
      <c r="AI2444" s="2">
        <v>0.04</v>
      </c>
      <c r="AJ2444" s="5">
        <v>44673</v>
      </c>
      <c r="AK2444" t="s">
        <v>12369</v>
      </c>
      <c r="AL2444" s="2">
        <v>5.61</v>
      </c>
      <c r="AM2444" s="2">
        <v>5.71</v>
      </c>
      <c r="AN2444" s="2">
        <v>0</v>
      </c>
      <c r="AO2444" t="s">
        <v>11886</v>
      </c>
      <c r="AP2444" t="s">
        <v>11887</v>
      </c>
      <c r="AQ2444" t="s">
        <v>11885</v>
      </c>
    </row>
    <row r="2445" spans="1:43" x14ac:dyDescent="0.2">
      <c r="A2445" t="s">
        <v>12366</v>
      </c>
      <c r="B2445" t="s">
        <v>11038</v>
      </c>
      <c r="C2445" t="s">
        <v>11222</v>
      </c>
      <c r="D2445" t="s">
        <v>12411</v>
      </c>
      <c r="E2445" t="s">
        <v>12412</v>
      </c>
      <c r="F2445" t="s">
        <v>12411</v>
      </c>
      <c r="G2445" s="1">
        <v>3000000</v>
      </c>
      <c r="H2445" s="2">
        <v>3000306.27</v>
      </c>
      <c r="I2445" s="2">
        <v>2927937.52</v>
      </c>
      <c r="J2445" s="2">
        <v>21060</v>
      </c>
      <c r="K2445" s="2">
        <v>0</v>
      </c>
      <c r="L2445" s="2">
        <v>2948997.52</v>
      </c>
      <c r="M2445" s="3">
        <v>6.6384730000000003</v>
      </c>
      <c r="N2445" s="4">
        <v>6.7092899999999997E-3</v>
      </c>
      <c r="O2445" s="5">
        <v>44802</v>
      </c>
      <c r="P2445" s="5">
        <v>45166</v>
      </c>
      <c r="Q2445" s="1">
        <v>4.7450000000000001</v>
      </c>
      <c r="R2445" s="2">
        <v>1.31</v>
      </c>
      <c r="S2445" s="6">
        <v>1.2656391004</v>
      </c>
      <c r="T2445" t="s">
        <v>111</v>
      </c>
      <c r="U2445" t="s">
        <v>11040</v>
      </c>
      <c r="V2445" t="s">
        <v>11041</v>
      </c>
      <c r="W2445" t="s">
        <v>43</v>
      </c>
      <c r="X2445" t="s">
        <v>11034</v>
      </c>
      <c r="Y2445" t="s">
        <v>44</v>
      </c>
      <c r="Z2445" t="s">
        <v>44</v>
      </c>
      <c r="AA2445" t="s">
        <v>10979</v>
      </c>
      <c r="AB2445" t="s">
        <v>44</v>
      </c>
      <c r="AC2445" s="4">
        <v>6.7486467699999997</v>
      </c>
      <c r="AD2445" s="4">
        <v>6.5484819600000002</v>
      </c>
      <c r="AE2445" s="2">
        <v>6.75</v>
      </c>
      <c r="AF2445" s="4">
        <v>6.5484819600000002</v>
      </c>
      <c r="AG2445" s="2">
        <v>0.25</v>
      </c>
      <c r="AH2445" s="2">
        <v>2948997.52</v>
      </c>
      <c r="AI2445" s="2">
        <v>0.01</v>
      </c>
      <c r="AJ2445" s="5">
        <v>44673</v>
      </c>
      <c r="AK2445" t="s">
        <v>12369</v>
      </c>
      <c r="AL2445" s="2">
        <v>6.64</v>
      </c>
      <c r="AM2445" s="2">
        <v>4.75</v>
      </c>
      <c r="AN2445" s="2">
        <v>1.27</v>
      </c>
      <c r="AO2445" t="s">
        <v>11165</v>
      </c>
      <c r="AP2445" t="s">
        <v>12413</v>
      </c>
      <c r="AQ2445" t="s">
        <v>12412</v>
      </c>
    </row>
    <row r="2446" spans="1:43" x14ac:dyDescent="0.2">
      <c r="A2446" t="s">
        <v>12366</v>
      </c>
      <c r="B2446" t="s">
        <v>11038</v>
      </c>
      <c r="C2446" t="s">
        <v>11222</v>
      </c>
      <c r="D2446" t="s">
        <v>12414</v>
      </c>
      <c r="E2446" t="s">
        <v>12415</v>
      </c>
      <c r="F2446" t="s">
        <v>12414</v>
      </c>
      <c r="G2446" s="1">
        <v>30000000</v>
      </c>
      <c r="H2446" s="2">
        <v>30022222.460000001</v>
      </c>
      <c r="I2446" s="2">
        <v>29546093.890000001</v>
      </c>
      <c r="J2446" s="2">
        <v>463808.22</v>
      </c>
      <c r="K2446" s="2">
        <v>0</v>
      </c>
      <c r="L2446" s="2">
        <v>30009902.109999999</v>
      </c>
      <c r="M2446" s="3">
        <v>6.4641299999999999</v>
      </c>
      <c r="N2446" s="4">
        <v>6.8275760000000005E-2</v>
      </c>
      <c r="O2446" s="5">
        <v>44746</v>
      </c>
      <c r="P2446" s="5">
        <v>45110</v>
      </c>
      <c r="Q2446" s="1">
        <v>5.13</v>
      </c>
      <c r="R2446" s="2">
        <v>1.1499999999999999</v>
      </c>
      <c r="S2446" s="6">
        <v>1.1156024281500001</v>
      </c>
      <c r="T2446" t="s">
        <v>111</v>
      </c>
      <c r="U2446" t="s">
        <v>11040</v>
      </c>
      <c r="V2446" t="s">
        <v>11041</v>
      </c>
      <c r="W2446" t="s">
        <v>43</v>
      </c>
      <c r="X2446" t="s">
        <v>44</v>
      </c>
      <c r="Y2446" t="s">
        <v>44</v>
      </c>
      <c r="Z2446" t="s">
        <v>44</v>
      </c>
      <c r="AA2446" t="s">
        <v>10979</v>
      </c>
      <c r="AB2446" t="s">
        <v>44</v>
      </c>
      <c r="AC2446" s="4">
        <v>6.5685925300000001</v>
      </c>
      <c r="AD2446" s="4">
        <v>6.3787590500000002</v>
      </c>
      <c r="AE2446" s="2">
        <v>6.57</v>
      </c>
      <c r="AF2446" s="4">
        <v>6.3787590500000002</v>
      </c>
      <c r="AG2446" s="2">
        <v>2.5</v>
      </c>
      <c r="AH2446" s="2">
        <v>30009902.109999999</v>
      </c>
      <c r="AI2446" s="2">
        <v>7.0000000000000007E-2</v>
      </c>
      <c r="AJ2446" s="5">
        <v>44673</v>
      </c>
      <c r="AK2446" t="s">
        <v>12369</v>
      </c>
      <c r="AL2446" s="2">
        <v>6.46</v>
      </c>
      <c r="AM2446" s="2">
        <v>5.13</v>
      </c>
      <c r="AN2446" s="2">
        <v>1.1200000000000001</v>
      </c>
      <c r="AO2446" t="s">
        <v>11165</v>
      </c>
      <c r="AP2446" t="s">
        <v>12416</v>
      </c>
      <c r="AQ2446" t="s">
        <v>12415</v>
      </c>
    </row>
    <row r="2447" spans="1:43" x14ac:dyDescent="0.2">
      <c r="A2447" t="s">
        <v>12366</v>
      </c>
      <c r="B2447" t="s">
        <v>11038</v>
      </c>
      <c r="C2447" t="s">
        <v>11222</v>
      </c>
      <c r="D2447" t="s">
        <v>11888</v>
      </c>
      <c r="E2447" t="s">
        <v>11889</v>
      </c>
      <c r="F2447" t="s">
        <v>11888</v>
      </c>
      <c r="G2447" s="1">
        <v>13520000</v>
      </c>
      <c r="H2447" s="2">
        <v>13521383.189999999</v>
      </c>
      <c r="I2447" s="2">
        <v>13566022.529999999</v>
      </c>
      <c r="J2447" s="2">
        <v>103010.92</v>
      </c>
      <c r="K2447" s="2">
        <v>0</v>
      </c>
      <c r="L2447" s="2">
        <v>13669033.449999999</v>
      </c>
      <c r="M2447" s="3">
        <v>5.6397240000000002</v>
      </c>
      <c r="N2447" s="4">
        <v>3.1098520000000001E-2</v>
      </c>
      <c r="O2447" s="5">
        <v>44718</v>
      </c>
      <c r="P2447" s="5">
        <v>45083</v>
      </c>
      <c r="Q2447" s="1">
        <v>5.9169999999999998</v>
      </c>
      <c r="R2447" s="2">
        <v>0.12</v>
      </c>
      <c r="S2447" s="6">
        <v>0.10153073584699999</v>
      </c>
      <c r="T2447" t="s">
        <v>111</v>
      </c>
      <c r="U2447" t="s">
        <v>11040</v>
      </c>
      <c r="V2447" t="s">
        <v>114</v>
      </c>
      <c r="W2447" t="s">
        <v>43</v>
      </c>
      <c r="X2447" t="s">
        <v>10988</v>
      </c>
      <c r="Y2447" t="s">
        <v>44</v>
      </c>
      <c r="Z2447" t="s">
        <v>44</v>
      </c>
      <c r="AA2447" t="s">
        <v>10913</v>
      </c>
      <c r="AB2447" t="s">
        <v>44</v>
      </c>
      <c r="AC2447" s="4">
        <v>5.7825122599999998</v>
      </c>
      <c r="AD2447" s="4">
        <v>5.63469072</v>
      </c>
      <c r="AE2447" s="2">
        <v>5.78</v>
      </c>
      <c r="AF2447" s="4">
        <v>5.63469072</v>
      </c>
      <c r="AG2447" s="2">
        <v>1.1399999999999999</v>
      </c>
      <c r="AH2447" s="2">
        <v>13669033.449999999</v>
      </c>
      <c r="AI2447" s="2">
        <v>0.03</v>
      </c>
      <c r="AJ2447" s="5">
        <v>44673</v>
      </c>
      <c r="AK2447" t="s">
        <v>12369</v>
      </c>
      <c r="AL2447" s="2">
        <v>5.7</v>
      </c>
      <c r="AM2447" s="2">
        <v>5.92</v>
      </c>
      <c r="AN2447" s="2">
        <v>0.1</v>
      </c>
      <c r="AO2447" t="s">
        <v>11563</v>
      </c>
      <c r="AP2447" t="s">
        <v>11890</v>
      </c>
      <c r="AQ2447" t="s">
        <v>11889</v>
      </c>
    </row>
    <row r="2448" spans="1:43" x14ac:dyDescent="0.2">
      <c r="A2448" t="s">
        <v>12366</v>
      </c>
      <c r="B2448" t="s">
        <v>11038</v>
      </c>
      <c r="C2448" t="s">
        <v>11222</v>
      </c>
      <c r="D2448" t="s">
        <v>12300</v>
      </c>
      <c r="E2448" t="s">
        <v>12301</v>
      </c>
      <c r="F2448" t="s">
        <v>12300</v>
      </c>
      <c r="G2448" s="1">
        <v>63000000</v>
      </c>
      <c r="H2448" s="2">
        <v>63000000</v>
      </c>
      <c r="I2448" s="2">
        <v>61240129.229999997</v>
      </c>
      <c r="J2448" s="2">
        <v>837882.74</v>
      </c>
      <c r="K2448" s="2">
        <v>0</v>
      </c>
      <c r="L2448" s="2">
        <v>62078011.969999999</v>
      </c>
      <c r="M2448" s="3">
        <v>7.2799759999999996</v>
      </c>
      <c r="N2448" s="4">
        <v>0.14123416</v>
      </c>
      <c r="O2448" s="5">
        <v>44771</v>
      </c>
      <c r="P2448" s="5">
        <v>45499</v>
      </c>
      <c r="Q2448" s="1">
        <v>5.92</v>
      </c>
      <c r="R2448" s="2">
        <v>2.11</v>
      </c>
      <c r="S2448" s="6">
        <v>2.0400044886500002</v>
      </c>
      <c r="T2448" t="s">
        <v>111</v>
      </c>
      <c r="U2448" t="s">
        <v>11040</v>
      </c>
      <c r="V2448" t="s">
        <v>11041</v>
      </c>
      <c r="W2448" t="s">
        <v>43</v>
      </c>
      <c r="X2448" t="s">
        <v>11034</v>
      </c>
      <c r="Y2448" t="s">
        <v>44</v>
      </c>
      <c r="Z2448" t="s">
        <v>44</v>
      </c>
      <c r="AA2448" t="s">
        <v>11035</v>
      </c>
      <c r="AB2448" t="s">
        <v>44</v>
      </c>
      <c r="AC2448" s="4">
        <v>7.4124711999999997</v>
      </c>
      <c r="AD2448" s="4">
        <v>7.1719579199999997</v>
      </c>
      <c r="AE2448" s="2">
        <v>7.41</v>
      </c>
      <c r="AF2448" s="4">
        <v>7.1719579199999997</v>
      </c>
      <c r="AG2448" s="2">
        <v>5.18</v>
      </c>
      <c r="AH2448" s="2">
        <v>62078011.969999999</v>
      </c>
      <c r="AI2448" s="2">
        <v>0.14000000000000001</v>
      </c>
      <c r="AJ2448" s="5">
        <v>44673</v>
      </c>
      <c r="AK2448" t="s">
        <v>12369</v>
      </c>
      <c r="AL2448" s="2">
        <v>7.28</v>
      </c>
      <c r="AM2448" s="2">
        <v>5.92</v>
      </c>
      <c r="AN2448" s="2">
        <v>2.04</v>
      </c>
      <c r="AO2448" t="s">
        <v>11036</v>
      </c>
      <c r="AP2448" t="s">
        <v>12302</v>
      </c>
      <c r="AQ2448" t="s">
        <v>12301</v>
      </c>
    </row>
    <row r="2449" spans="1:43" x14ac:dyDescent="0.2">
      <c r="A2449" t="s">
        <v>12366</v>
      </c>
      <c r="B2449" t="s">
        <v>11038</v>
      </c>
      <c r="C2449" t="s">
        <v>11222</v>
      </c>
      <c r="D2449" t="s">
        <v>12417</v>
      </c>
      <c r="E2449" t="s">
        <v>12418</v>
      </c>
      <c r="F2449" t="s">
        <v>12417</v>
      </c>
      <c r="G2449" s="1">
        <v>39000000</v>
      </c>
      <c r="H2449" s="2">
        <v>39000000</v>
      </c>
      <c r="I2449" s="2">
        <v>37870311.280000001</v>
      </c>
      <c r="J2449" s="2">
        <v>282082.19</v>
      </c>
      <c r="K2449" s="2">
        <v>0</v>
      </c>
      <c r="L2449" s="2">
        <v>38152393.469999999</v>
      </c>
      <c r="M2449" s="3">
        <v>7.3431670000000002</v>
      </c>
      <c r="N2449" s="4">
        <v>8.6800799999999997E-2</v>
      </c>
      <c r="O2449" s="5">
        <v>44816</v>
      </c>
      <c r="P2449" s="5">
        <v>45545</v>
      </c>
      <c r="Q2449" s="1">
        <v>6</v>
      </c>
      <c r="R2449" s="2">
        <v>2.2400000000000002</v>
      </c>
      <c r="S2449" s="6">
        <v>2.1568737250600001</v>
      </c>
      <c r="T2449" t="s">
        <v>111</v>
      </c>
      <c r="U2449" t="s">
        <v>11040</v>
      </c>
      <c r="V2449" t="s">
        <v>11041</v>
      </c>
      <c r="W2449" t="s">
        <v>43</v>
      </c>
      <c r="X2449" t="s">
        <v>44</v>
      </c>
      <c r="Y2449" t="s">
        <v>44</v>
      </c>
      <c r="Z2449" t="s">
        <v>44</v>
      </c>
      <c r="AA2449" t="s">
        <v>11035</v>
      </c>
      <c r="AB2449" t="s">
        <v>44</v>
      </c>
      <c r="AC2449" s="4">
        <v>7.4779723000000002</v>
      </c>
      <c r="AD2449" s="4">
        <v>7.2332861399999997</v>
      </c>
      <c r="AE2449" s="2">
        <v>7.48</v>
      </c>
      <c r="AF2449" s="4">
        <v>7.2332861399999997</v>
      </c>
      <c r="AG2449" s="2">
        <v>3.18</v>
      </c>
      <c r="AH2449" s="2">
        <v>38152393.469999999</v>
      </c>
      <c r="AI2449" s="2">
        <v>0.09</v>
      </c>
      <c r="AJ2449" s="5">
        <v>44673</v>
      </c>
      <c r="AK2449" t="s">
        <v>12369</v>
      </c>
      <c r="AL2449" s="2">
        <v>7.34</v>
      </c>
      <c r="AM2449" s="2">
        <v>6</v>
      </c>
      <c r="AN2449" s="2">
        <v>2.16</v>
      </c>
      <c r="AO2449" t="s">
        <v>11036</v>
      </c>
      <c r="AP2449" t="s">
        <v>12419</v>
      </c>
      <c r="AQ2449" t="s">
        <v>12418</v>
      </c>
    </row>
    <row r="2450" spans="1:43" x14ac:dyDescent="0.2">
      <c r="A2450" t="s">
        <v>12366</v>
      </c>
      <c r="B2450" t="s">
        <v>11038</v>
      </c>
      <c r="C2450" t="s">
        <v>11222</v>
      </c>
      <c r="D2450" t="s">
        <v>12303</v>
      </c>
      <c r="E2450" t="s">
        <v>12304</v>
      </c>
      <c r="F2450" t="s">
        <v>12303</v>
      </c>
      <c r="G2450" s="1">
        <v>74000000</v>
      </c>
      <c r="H2450" s="2">
        <v>74000000</v>
      </c>
      <c r="I2450" s="2">
        <v>72205026.25</v>
      </c>
      <c r="J2450" s="2">
        <v>1134044.93</v>
      </c>
      <c r="K2450" s="2">
        <v>0</v>
      </c>
      <c r="L2450" s="2">
        <v>73339071.180000007</v>
      </c>
      <c r="M2450" s="3">
        <v>7.2687010000000001</v>
      </c>
      <c r="N2450" s="4">
        <v>0.16685427999999999</v>
      </c>
      <c r="O2450" s="5">
        <v>44763</v>
      </c>
      <c r="P2450" s="5">
        <v>45492</v>
      </c>
      <c r="Q2450" s="1">
        <v>6.08</v>
      </c>
      <c r="R2450" s="2">
        <v>2.09</v>
      </c>
      <c r="S2450" s="6">
        <v>2.0175874409699999</v>
      </c>
      <c r="T2450" t="s">
        <v>111</v>
      </c>
      <c r="U2450" t="s">
        <v>11040</v>
      </c>
      <c r="V2450" t="s">
        <v>11041</v>
      </c>
      <c r="W2450" t="s">
        <v>43</v>
      </c>
      <c r="X2450" t="s">
        <v>11034</v>
      </c>
      <c r="Y2450" t="s">
        <v>44</v>
      </c>
      <c r="Z2450" t="s">
        <v>44</v>
      </c>
      <c r="AA2450" t="s">
        <v>11035</v>
      </c>
      <c r="AB2450" t="s">
        <v>44</v>
      </c>
      <c r="AC2450" s="4">
        <v>7.40078573</v>
      </c>
      <c r="AD2450" s="4">
        <v>7.1610132799999997</v>
      </c>
      <c r="AE2450" s="2">
        <v>7.4</v>
      </c>
      <c r="AF2450" s="4">
        <v>7.1610132799999997</v>
      </c>
      <c r="AG2450" s="2">
        <v>6.12</v>
      </c>
      <c r="AH2450" s="2">
        <v>73339071.180000007</v>
      </c>
      <c r="AI2450" s="2">
        <v>0.17</v>
      </c>
      <c r="AJ2450" s="5">
        <v>44673</v>
      </c>
      <c r="AK2450" t="s">
        <v>12369</v>
      </c>
      <c r="AL2450" s="2">
        <v>7.27</v>
      </c>
      <c r="AM2450" s="2">
        <v>6.08</v>
      </c>
      <c r="AN2450" s="2">
        <v>2.02</v>
      </c>
      <c r="AO2450" t="s">
        <v>11036</v>
      </c>
      <c r="AP2450" t="s">
        <v>12305</v>
      </c>
      <c r="AQ2450" t="s">
        <v>12304</v>
      </c>
    </row>
    <row r="2451" spans="1:43" x14ac:dyDescent="0.2">
      <c r="A2451" t="s">
        <v>12366</v>
      </c>
      <c r="B2451" t="s">
        <v>11038</v>
      </c>
      <c r="C2451" t="s">
        <v>11222</v>
      </c>
      <c r="D2451" t="s">
        <v>11924</v>
      </c>
      <c r="E2451" t="s">
        <v>11925</v>
      </c>
      <c r="F2451" t="s">
        <v>11924</v>
      </c>
      <c r="G2451" s="1">
        <v>7300000</v>
      </c>
      <c r="H2451" s="2">
        <v>7299722.0599999996</v>
      </c>
      <c r="I2451" s="2">
        <v>7488554.0999999996</v>
      </c>
      <c r="J2451" s="2">
        <v>5206.3999999999996</v>
      </c>
      <c r="K2451" s="2">
        <v>0</v>
      </c>
      <c r="L2451" s="2">
        <v>7493760.5</v>
      </c>
      <c r="M2451" s="3">
        <v>5.0620180000000001</v>
      </c>
      <c r="N2451" s="4">
        <v>1.7049109999999999E-2</v>
      </c>
      <c r="O2451" s="5">
        <v>44760</v>
      </c>
      <c r="P2451" s="5">
        <v>45400</v>
      </c>
      <c r="Q2451" s="1">
        <v>6.508</v>
      </c>
      <c r="R2451" s="2">
        <v>0.23</v>
      </c>
      <c r="S2451" s="6">
        <v>0.23106658820500001</v>
      </c>
      <c r="T2451" t="s">
        <v>111</v>
      </c>
      <c r="U2451" t="s">
        <v>11040</v>
      </c>
      <c r="V2451" t="s">
        <v>114</v>
      </c>
      <c r="W2451" t="s">
        <v>43</v>
      </c>
      <c r="X2451" t="s">
        <v>10988</v>
      </c>
      <c r="Y2451" t="s">
        <v>44</v>
      </c>
      <c r="Z2451" t="s">
        <v>44</v>
      </c>
      <c r="AA2451" t="s">
        <v>10913</v>
      </c>
      <c r="AB2451" t="s">
        <v>44</v>
      </c>
      <c r="AC2451" s="4">
        <v>5.1615543300000004</v>
      </c>
      <c r="AD2451" s="4">
        <v>5.04332782</v>
      </c>
      <c r="AE2451" s="2">
        <v>5.16</v>
      </c>
      <c r="AF2451" s="4">
        <v>5.04332782</v>
      </c>
      <c r="AG2451" s="2">
        <v>0.63</v>
      </c>
      <c r="AH2451" s="2">
        <v>7493760.5</v>
      </c>
      <c r="AI2451" s="2">
        <v>0.02</v>
      </c>
      <c r="AJ2451" s="5">
        <v>44673</v>
      </c>
      <c r="AK2451" t="s">
        <v>12369</v>
      </c>
      <c r="AL2451" s="2">
        <v>5.0999999999999996</v>
      </c>
      <c r="AM2451" s="2">
        <v>6.51</v>
      </c>
      <c r="AN2451" s="2">
        <v>0.23</v>
      </c>
      <c r="AO2451" t="s">
        <v>11563</v>
      </c>
      <c r="AP2451" t="s">
        <v>11926</v>
      </c>
      <c r="AQ2451" t="s">
        <v>11925</v>
      </c>
    </row>
    <row r="2452" spans="1:43" x14ac:dyDescent="0.2">
      <c r="A2452" t="s">
        <v>12420</v>
      </c>
      <c r="B2452" t="s">
        <v>10900</v>
      </c>
      <c r="C2452" t="s">
        <v>11049</v>
      </c>
      <c r="D2452" t="s">
        <v>11947</v>
      </c>
      <c r="E2452" t="s">
        <v>11948</v>
      </c>
      <c r="F2452" t="s">
        <v>11947</v>
      </c>
      <c r="G2452" s="1">
        <v>10100000</v>
      </c>
      <c r="H2452" s="2">
        <v>10100000</v>
      </c>
      <c r="I2452" s="2">
        <v>10098826.74</v>
      </c>
      <c r="J2452" s="2">
        <v>122035.12</v>
      </c>
      <c r="K2452" s="2">
        <v>0</v>
      </c>
      <c r="L2452" s="2">
        <v>10220861.859999999</v>
      </c>
      <c r="M2452" s="3">
        <v>8.2316739999999999</v>
      </c>
      <c r="N2452" s="4">
        <v>2.325356E-2</v>
      </c>
      <c r="O2452" s="5">
        <v>44711</v>
      </c>
      <c r="P2452" s="5">
        <v>44985</v>
      </c>
      <c r="Q2452" s="1">
        <v>8.1669999999999998</v>
      </c>
      <c r="R2452" s="2">
        <v>0.1</v>
      </c>
      <c r="S2452" s="6">
        <v>6.9032934557999998E-2</v>
      </c>
      <c r="T2452" t="s">
        <v>111</v>
      </c>
      <c r="U2452" t="s">
        <v>111</v>
      </c>
      <c r="V2452" t="s">
        <v>11189</v>
      </c>
      <c r="W2452" t="s">
        <v>43</v>
      </c>
      <c r="X2452" t="s">
        <v>11034</v>
      </c>
      <c r="Y2452" t="s">
        <v>44</v>
      </c>
      <c r="Z2452" t="s">
        <v>44</v>
      </c>
      <c r="AA2452" t="s">
        <v>44</v>
      </c>
      <c r="AB2452" t="s">
        <v>44</v>
      </c>
      <c r="AC2452" s="4">
        <v>8.4010746600000008</v>
      </c>
      <c r="AD2452" s="4">
        <v>8.0939562800000004</v>
      </c>
      <c r="AE2452" s="2">
        <v>8.4</v>
      </c>
      <c r="AF2452" s="4">
        <v>8.0939562800000004</v>
      </c>
      <c r="AG2452" s="2">
        <v>1.71</v>
      </c>
      <c r="AH2452" s="2">
        <v>10220861.859999999</v>
      </c>
      <c r="AI2452" s="2">
        <v>0.02</v>
      </c>
      <c r="AJ2452" s="5">
        <v>44673</v>
      </c>
      <c r="AK2452" t="s">
        <v>12421</v>
      </c>
      <c r="AL2452" s="2">
        <v>8.23</v>
      </c>
      <c r="AM2452" s="2">
        <v>8.17</v>
      </c>
      <c r="AN2452" s="2">
        <v>7.0000000000000007E-2</v>
      </c>
      <c r="AO2452" t="s">
        <v>11950</v>
      </c>
      <c r="AP2452" t="s">
        <v>11951</v>
      </c>
      <c r="AQ2452" t="s">
        <v>11948</v>
      </c>
    </row>
    <row r="2453" spans="1:43" x14ac:dyDescent="0.2">
      <c r="A2453" t="s">
        <v>12420</v>
      </c>
      <c r="B2453" t="s">
        <v>10900</v>
      </c>
      <c r="C2453" t="s">
        <v>10943</v>
      </c>
      <c r="D2453" t="s">
        <v>10977</v>
      </c>
      <c r="E2453" t="s">
        <v>10978</v>
      </c>
      <c r="F2453" t="s">
        <v>10977</v>
      </c>
      <c r="G2453" s="1">
        <v>16038000</v>
      </c>
      <c r="H2453" s="2">
        <v>16266732.699999999</v>
      </c>
      <c r="I2453" s="2">
        <v>15073670.34</v>
      </c>
      <c r="J2453" s="2">
        <v>738114.9</v>
      </c>
      <c r="K2453" s="2">
        <v>0</v>
      </c>
      <c r="L2453" s="2">
        <v>15811785.24</v>
      </c>
      <c r="M2453" s="3">
        <v>11.88</v>
      </c>
      <c r="N2453" s="4">
        <v>3.597351E-2</v>
      </c>
      <c r="O2453" s="5">
        <v>44697</v>
      </c>
      <c r="P2453" s="5">
        <v>46888</v>
      </c>
      <c r="Q2453" s="1">
        <v>10.565</v>
      </c>
      <c r="R2453" s="2">
        <v>4.7300000000000004</v>
      </c>
      <c r="S2453" s="6">
        <v>4.4668326030000003</v>
      </c>
      <c r="T2453" t="s">
        <v>111</v>
      </c>
      <c r="U2453" t="s">
        <v>111</v>
      </c>
      <c r="V2453" t="s">
        <v>10944</v>
      </c>
      <c r="W2453" t="s">
        <v>43</v>
      </c>
      <c r="X2453" t="s">
        <v>44</v>
      </c>
      <c r="Y2453" t="s">
        <v>44</v>
      </c>
      <c r="Z2453" t="s">
        <v>44</v>
      </c>
      <c r="AA2453" t="s">
        <v>10979</v>
      </c>
      <c r="AB2453" t="s">
        <v>44</v>
      </c>
      <c r="AC2453" s="4">
        <v>12.232836000000001</v>
      </c>
      <c r="AD2453" s="4">
        <v>11.596213730000001</v>
      </c>
      <c r="AE2453" s="2">
        <v>12.23</v>
      </c>
      <c r="AF2453" s="4">
        <v>11.596213730000001</v>
      </c>
      <c r="AG2453" s="2">
        <v>2.64</v>
      </c>
      <c r="AH2453" s="2">
        <v>15811785.24</v>
      </c>
      <c r="AI2453" s="2">
        <v>0.04</v>
      </c>
      <c r="AJ2453" s="5">
        <v>44673</v>
      </c>
      <c r="AK2453" t="s">
        <v>12421</v>
      </c>
      <c r="AL2453" s="2">
        <v>11.88</v>
      </c>
      <c r="AM2453" s="2">
        <v>10.56</v>
      </c>
      <c r="AN2453" s="2">
        <v>4.47</v>
      </c>
      <c r="AO2453" t="s">
        <v>10980</v>
      </c>
      <c r="AP2453" t="s">
        <v>10981</v>
      </c>
      <c r="AQ2453" t="s">
        <v>10978</v>
      </c>
    </row>
    <row r="2454" spans="1:43" x14ac:dyDescent="0.2">
      <c r="A2454" t="s">
        <v>12420</v>
      </c>
      <c r="B2454" t="s">
        <v>10900</v>
      </c>
      <c r="C2454" t="s">
        <v>10943</v>
      </c>
      <c r="D2454" t="s">
        <v>11135</v>
      </c>
      <c r="E2454" t="s">
        <v>10946</v>
      </c>
      <c r="F2454" t="s">
        <v>11135</v>
      </c>
      <c r="G2454" s="1">
        <v>87400000</v>
      </c>
      <c r="H2454" s="2">
        <v>97165755.689999998</v>
      </c>
      <c r="I2454" s="2">
        <v>94953938.299999997</v>
      </c>
      <c r="J2454" s="2">
        <v>3092523.29</v>
      </c>
      <c r="K2454" s="2">
        <v>0</v>
      </c>
      <c r="L2454" s="2">
        <v>98046461.590000004</v>
      </c>
      <c r="M2454" s="3">
        <v>8.2249999999999996</v>
      </c>
      <c r="N2454" s="4">
        <v>0.22306625999999999</v>
      </c>
      <c r="O2454" s="5">
        <v>44733</v>
      </c>
      <c r="P2454" s="5">
        <v>46377</v>
      </c>
      <c r="Q2454" s="1">
        <v>10.5</v>
      </c>
      <c r="R2454" s="2">
        <v>3.72</v>
      </c>
      <c r="S2454" s="6">
        <v>3.572672968</v>
      </c>
      <c r="T2454" t="s">
        <v>111</v>
      </c>
      <c r="U2454" t="s">
        <v>111</v>
      </c>
      <c r="V2454" t="s">
        <v>10944</v>
      </c>
      <c r="W2454" t="s">
        <v>43</v>
      </c>
      <c r="X2454" t="s">
        <v>10945</v>
      </c>
      <c r="Y2454" t="s">
        <v>44</v>
      </c>
      <c r="Z2454" t="s">
        <v>44</v>
      </c>
      <c r="AA2454" t="s">
        <v>10913</v>
      </c>
      <c r="AB2454" t="s">
        <v>44</v>
      </c>
      <c r="AC2454" s="4">
        <v>8.3941265600000001</v>
      </c>
      <c r="AD2454" s="4">
        <v>8.0875032299999994</v>
      </c>
      <c r="AE2454" s="2">
        <v>8.39</v>
      </c>
      <c r="AF2454" s="4">
        <v>8.0875032299999994</v>
      </c>
      <c r="AG2454" s="2">
        <v>16.399999999999999</v>
      </c>
      <c r="AH2454" s="2">
        <v>98046461.590000004</v>
      </c>
      <c r="AI2454" s="2">
        <v>0.22</v>
      </c>
      <c r="AJ2454" s="5">
        <v>44673</v>
      </c>
      <c r="AK2454" t="s">
        <v>12421</v>
      </c>
      <c r="AL2454" s="2">
        <v>8.23</v>
      </c>
      <c r="AM2454" s="2">
        <v>10.5</v>
      </c>
      <c r="AN2454" s="2">
        <v>3.57</v>
      </c>
      <c r="AO2454" t="s">
        <v>10922</v>
      </c>
      <c r="AP2454" t="s">
        <v>11136</v>
      </c>
      <c r="AQ2454" t="s">
        <v>10946</v>
      </c>
    </row>
    <row r="2455" spans="1:43" x14ac:dyDescent="0.2">
      <c r="A2455" t="s">
        <v>12420</v>
      </c>
      <c r="B2455" t="s">
        <v>10900</v>
      </c>
      <c r="C2455" t="s">
        <v>11137</v>
      </c>
      <c r="D2455" t="s">
        <v>11138</v>
      </c>
      <c r="E2455" t="s">
        <v>11139</v>
      </c>
      <c r="F2455" t="s">
        <v>11138</v>
      </c>
      <c r="G2455" s="1">
        <v>10660000</v>
      </c>
      <c r="H2455" s="2">
        <v>10451025.76</v>
      </c>
      <c r="I2455" s="2">
        <v>10192993.93</v>
      </c>
      <c r="J2455" s="2">
        <v>36798.9</v>
      </c>
      <c r="K2455" s="2">
        <v>0</v>
      </c>
      <c r="L2455" s="2">
        <v>10229792.83</v>
      </c>
      <c r="M2455" s="3">
        <v>11.316000000000001</v>
      </c>
      <c r="N2455" s="4">
        <v>2.327388E-2</v>
      </c>
      <c r="O2455" s="5">
        <v>44844</v>
      </c>
      <c r="P2455" s="5">
        <v>47765</v>
      </c>
      <c r="Q2455" s="1">
        <v>10.5</v>
      </c>
      <c r="R2455" s="2">
        <v>5.71</v>
      </c>
      <c r="S2455" s="6">
        <v>5.4077134439999996</v>
      </c>
      <c r="T2455" t="s">
        <v>111</v>
      </c>
      <c r="U2455" t="s">
        <v>111</v>
      </c>
      <c r="V2455" t="s">
        <v>10944</v>
      </c>
      <c r="W2455" t="s">
        <v>43</v>
      </c>
      <c r="X2455" t="s">
        <v>44</v>
      </c>
      <c r="Y2455" t="s">
        <v>44</v>
      </c>
      <c r="Z2455" t="s">
        <v>44</v>
      </c>
      <c r="AA2455" t="s">
        <v>10979</v>
      </c>
      <c r="AB2455" t="s">
        <v>44</v>
      </c>
      <c r="AC2455" s="4">
        <v>11.63612964</v>
      </c>
      <c r="AD2455" s="4">
        <v>11.058095140000001</v>
      </c>
      <c r="AE2455" s="2">
        <v>11.64</v>
      </c>
      <c r="AF2455" s="4">
        <v>11.058095140000001</v>
      </c>
      <c r="AG2455" s="2">
        <v>1.71</v>
      </c>
      <c r="AH2455" s="2">
        <v>10229792.83</v>
      </c>
      <c r="AI2455" s="2">
        <v>0.02</v>
      </c>
      <c r="AJ2455" s="5">
        <v>44673</v>
      </c>
      <c r="AK2455" t="s">
        <v>12421</v>
      </c>
      <c r="AL2455" s="2">
        <v>11.32</v>
      </c>
      <c r="AM2455" s="2">
        <v>10.5</v>
      </c>
      <c r="AN2455" s="2">
        <v>5.41</v>
      </c>
      <c r="AO2455" t="s">
        <v>10982</v>
      </c>
      <c r="AP2455" t="s">
        <v>11140</v>
      </c>
      <c r="AQ2455" t="s">
        <v>11139</v>
      </c>
    </row>
    <row r="2456" spans="1:43" x14ac:dyDescent="0.2">
      <c r="A2456" t="s">
        <v>12420</v>
      </c>
      <c r="B2456" t="s">
        <v>10900</v>
      </c>
      <c r="C2456" t="s">
        <v>10950</v>
      </c>
      <c r="D2456" t="s">
        <v>11141</v>
      </c>
      <c r="E2456" t="s">
        <v>11142</v>
      </c>
      <c r="F2456" t="s">
        <v>11141</v>
      </c>
      <c r="G2456" s="1">
        <v>6500000</v>
      </c>
      <c r="H2456" s="2">
        <v>5231270.6500000004</v>
      </c>
      <c r="I2456" s="2">
        <v>5342911.5999999996</v>
      </c>
      <c r="J2456" s="2">
        <v>86013.74</v>
      </c>
      <c r="K2456" s="2">
        <v>0</v>
      </c>
      <c r="L2456" s="2">
        <v>5428925.3399999999</v>
      </c>
      <c r="M2456" s="3">
        <v>10.805</v>
      </c>
      <c r="N2456" s="4">
        <v>1.235139E-2</v>
      </c>
      <c r="O2456" s="5">
        <v>44804</v>
      </c>
      <c r="P2456" s="5">
        <v>54116</v>
      </c>
      <c r="Q2456" s="1">
        <v>8.75</v>
      </c>
      <c r="R2456" s="2">
        <v>9.2200000000000006</v>
      </c>
      <c r="S2456" s="6">
        <v>8.7507641760000006</v>
      </c>
      <c r="T2456" t="s">
        <v>111</v>
      </c>
      <c r="U2456" t="s">
        <v>111</v>
      </c>
      <c r="V2456" t="s">
        <v>10944</v>
      </c>
      <c r="W2456" t="s">
        <v>43</v>
      </c>
      <c r="X2456" t="s">
        <v>10945</v>
      </c>
      <c r="Y2456" t="s">
        <v>44</v>
      </c>
      <c r="Z2456" t="s">
        <v>44</v>
      </c>
      <c r="AA2456" t="s">
        <v>10913</v>
      </c>
      <c r="AB2456" t="s">
        <v>44</v>
      </c>
      <c r="AC2456" s="4">
        <v>11.096870060000001</v>
      </c>
      <c r="AD2456" s="4">
        <v>10.56950999</v>
      </c>
      <c r="AE2456" s="2">
        <v>11.1</v>
      </c>
      <c r="AF2456" s="4">
        <v>10.56950999</v>
      </c>
      <c r="AG2456" s="2">
        <v>0.91</v>
      </c>
      <c r="AH2456" s="2">
        <v>5428925.3399999999</v>
      </c>
      <c r="AI2456" s="2">
        <v>0.01</v>
      </c>
      <c r="AJ2456" s="5">
        <v>44673</v>
      </c>
      <c r="AK2456" t="s">
        <v>12421</v>
      </c>
      <c r="AL2456" s="2">
        <v>10.8</v>
      </c>
      <c r="AM2456" s="2">
        <v>8.75</v>
      </c>
      <c r="AN2456" s="2">
        <v>8.75</v>
      </c>
      <c r="AO2456" t="s">
        <v>10922</v>
      </c>
      <c r="AP2456" t="s">
        <v>11143</v>
      </c>
      <c r="AQ2456" t="s">
        <v>11142</v>
      </c>
    </row>
    <row r="2457" spans="1:43" x14ac:dyDescent="0.2">
      <c r="A2457" t="s">
        <v>12420</v>
      </c>
      <c r="B2457" t="s">
        <v>10900</v>
      </c>
      <c r="C2457" t="s">
        <v>10950</v>
      </c>
      <c r="D2457" t="s">
        <v>10983</v>
      </c>
      <c r="E2457" t="s">
        <v>10984</v>
      </c>
      <c r="F2457" t="s">
        <v>10983</v>
      </c>
      <c r="G2457" s="1">
        <v>5710000</v>
      </c>
      <c r="H2457" s="2">
        <v>4857176.59</v>
      </c>
      <c r="I2457" s="2">
        <v>4774316.58</v>
      </c>
      <c r="J2457" s="2">
        <v>107291.01</v>
      </c>
      <c r="K2457" s="2">
        <v>0</v>
      </c>
      <c r="L2457" s="2">
        <v>4881607.59</v>
      </c>
      <c r="M2457" s="3">
        <v>10.734999999999999</v>
      </c>
      <c r="N2457" s="4">
        <v>1.110618E-2</v>
      </c>
      <c r="O2457" s="5">
        <v>44774</v>
      </c>
      <c r="P2457" s="5">
        <v>50071</v>
      </c>
      <c r="Q2457" s="1">
        <v>8.5</v>
      </c>
      <c r="R2457" s="2">
        <v>7.91</v>
      </c>
      <c r="S2457" s="6">
        <v>7.5106016819999999</v>
      </c>
      <c r="T2457" t="s">
        <v>111</v>
      </c>
      <c r="U2457" t="s">
        <v>111</v>
      </c>
      <c r="V2457" t="s">
        <v>10944</v>
      </c>
      <c r="W2457" t="s">
        <v>43</v>
      </c>
      <c r="X2457" t="s">
        <v>10945</v>
      </c>
      <c r="Y2457" t="s">
        <v>44</v>
      </c>
      <c r="Z2457" t="s">
        <v>44</v>
      </c>
      <c r="AA2457" t="s">
        <v>10913</v>
      </c>
      <c r="AB2457" t="s">
        <v>44</v>
      </c>
      <c r="AC2457" s="4">
        <v>11.02310056</v>
      </c>
      <c r="AD2457" s="4">
        <v>10.50250368</v>
      </c>
      <c r="AE2457" s="2">
        <v>11.02</v>
      </c>
      <c r="AF2457" s="4">
        <v>10.50250368</v>
      </c>
      <c r="AG2457" s="2">
        <v>0.82</v>
      </c>
      <c r="AH2457" s="2">
        <v>4881607.59</v>
      </c>
      <c r="AI2457" s="2">
        <v>0.01</v>
      </c>
      <c r="AJ2457" s="5">
        <v>44673</v>
      </c>
      <c r="AK2457" t="s">
        <v>12421</v>
      </c>
      <c r="AL2457" s="2">
        <v>10.73</v>
      </c>
      <c r="AM2457" s="2">
        <v>8.5</v>
      </c>
      <c r="AN2457" s="2">
        <v>7.51</v>
      </c>
      <c r="AO2457" t="s">
        <v>10922</v>
      </c>
      <c r="AP2457" t="s">
        <v>10985</v>
      </c>
      <c r="AQ2457" t="s">
        <v>10984</v>
      </c>
    </row>
    <row r="2458" spans="1:43" x14ac:dyDescent="0.2">
      <c r="A2458" t="s">
        <v>12420</v>
      </c>
      <c r="B2458" t="s">
        <v>10900</v>
      </c>
      <c r="C2458" t="s">
        <v>10950</v>
      </c>
      <c r="D2458" t="s">
        <v>10986</v>
      </c>
      <c r="E2458" t="s">
        <v>10987</v>
      </c>
      <c r="F2458" t="s">
        <v>10986</v>
      </c>
      <c r="G2458" s="1">
        <v>13270000</v>
      </c>
      <c r="H2458" s="2">
        <v>12213940.93</v>
      </c>
      <c r="I2458" s="2">
        <v>12001734.35</v>
      </c>
      <c r="J2458" s="2">
        <v>54716.03</v>
      </c>
      <c r="K2458" s="2">
        <v>0</v>
      </c>
      <c r="L2458" s="2">
        <v>12056450.380000001</v>
      </c>
      <c r="M2458" s="3">
        <v>12.05</v>
      </c>
      <c r="N2458" s="4">
        <v>2.7429720000000001E-2</v>
      </c>
      <c r="O2458" s="5">
        <v>44844</v>
      </c>
      <c r="P2458" s="5">
        <v>51418</v>
      </c>
      <c r="Q2458" s="1">
        <v>10.75</v>
      </c>
      <c r="R2458" s="2">
        <v>7.89</v>
      </c>
      <c r="S2458" s="6">
        <v>7.4432483840000003</v>
      </c>
      <c r="T2458" t="s">
        <v>111</v>
      </c>
      <c r="U2458" t="s">
        <v>111</v>
      </c>
      <c r="V2458" t="s">
        <v>10944</v>
      </c>
      <c r="W2458" t="s">
        <v>43</v>
      </c>
      <c r="X2458" t="s">
        <v>10988</v>
      </c>
      <c r="Y2458" t="s">
        <v>44</v>
      </c>
      <c r="Z2458" t="s">
        <v>44</v>
      </c>
      <c r="AA2458" t="s">
        <v>10979</v>
      </c>
      <c r="AB2458" t="s">
        <v>44</v>
      </c>
      <c r="AC2458" s="4">
        <v>12.41300625</v>
      </c>
      <c r="AD2458" s="4">
        <v>11.758178470000001</v>
      </c>
      <c r="AE2458" s="2">
        <v>12.41</v>
      </c>
      <c r="AF2458" s="4">
        <v>11.758178470000001</v>
      </c>
      <c r="AG2458" s="2">
        <v>2.02</v>
      </c>
      <c r="AH2458" s="2">
        <v>12056450.380000001</v>
      </c>
      <c r="AI2458" s="2">
        <v>0.03</v>
      </c>
      <c r="AJ2458" s="5">
        <v>44673</v>
      </c>
      <c r="AK2458" t="s">
        <v>12421</v>
      </c>
      <c r="AL2458" s="2">
        <v>12.05</v>
      </c>
      <c r="AM2458" s="2">
        <v>10.75</v>
      </c>
      <c r="AN2458" s="2">
        <v>7.44</v>
      </c>
      <c r="AO2458" t="s">
        <v>10982</v>
      </c>
      <c r="AP2458" t="s">
        <v>10989</v>
      </c>
      <c r="AQ2458" t="s">
        <v>10987</v>
      </c>
    </row>
    <row r="2459" spans="1:43" x14ac:dyDescent="0.2">
      <c r="A2459" t="s">
        <v>12420</v>
      </c>
      <c r="B2459" t="s">
        <v>10900</v>
      </c>
      <c r="C2459" t="s">
        <v>10990</v>
      </c>
      <c r="D2459" t="s">
        <v>10991</v>
      </c>
      <c r="E2459" t="s">
        <v>1153</v>
      </c>
      <c r="F2459" t="s">
        <v>10991</v>
      </c>
      <c r="G2459" s="1">
        <v>9660000</v>
      </c>
      <c r="H2459" s="2">
        <v>12480775.58</v>
      </c>
      <c r="I2459" s="2">
        <v>12491424</v>
      </c>
      <c r="J2459" s="2">
        <v>78238.38</v>
      </c>
      <c r="K2459" s="2">
        <v>0</v>
      </c>
      <c r="L2459" s="2">
        <v>12569662.380000001</v>
      </c>
      <c r="M2459" s="3">
        <v>3.9</v>
      </c>
      <c r="N2459" s="4">
        <v>2.8597339999999999E-2</v>
      </c>
      <c r="O2459" s="5">
        <v>44774</v>
      </c>
      <c r="P2459" s="5">
        <v>50436</v>
      </c>
      <c r="Q2459" s="1">
        <v>2.25</v>
      </c>
      <c r="R2459" s="2">
        <v>12.94</v>
      </c>
      <c r="S2459" s="6">
        <v>12.689805079999999</v>
      </c>
      <c r="T2459" t="s">
        <v>111</v>
      </c>
      <c r="U2459" t="s">
        <v>111</v>
      </c>
      <c r="V2459" t="s">
        <v>10992</v>
      </c>
      <c r="W2459" t="s">
        <v>43</v>
      </c>
      <c r="X2459" t="s">
        <v>10945</v>
      </c>
      <c r="Y2459" t="s">
        <v>44</v>
      </c>
      <c r="Z2459" t="s">
        <v>44</v>
      </c>
      <c r="AA2459" t="s">
        <v>10913</v>
      </c>
      <c r="AB2459" t="s">
        <v>44</v>
      </c>
      <c r="AC2459" s="4">
        <v>3.9380250000000001</v>
      </c>
      <c r="AD2459" s="4">
        <v>3.8686849699999999</v>
      </c>
      <c r="AE2459" s="2">
        <v>3.94</v>
      </c>
      <c r="AF2459" s="4">
        <v>3.8686849699999999</v>
      </c>
      <c r="AG2459" s="2">
        <v>2.1</v>
      </c>
      <c r="AH2459" s="2">
        <v>12569662.380000001</v>
      </c>
      <c r="AI2459" s="2">
        <v>0.03</v>
      </c>
      <c r="AJ2459" s="5">
        <v>44673</v>
      </c>
      <c r="AK2459" t="s">
        <v>12421</v>
      </c>
      <c r="AL2459" s="2">
        <v>3.9</v>
      </c>
      <c r="AM2459" s="2">
        <v>2.25</v>
      </c>
      <c r="AN2459" s="2">
        <v>12.69</v>
      </c>
      <c r="AO2459" t="s">
        <v>10922</v>
      </c>
      <c r="AP2459" t="s">
        <v>10993</v>
      </c>
      <c r="AQ2459" t="s">
        <v>1153</v>
      </c>
    </row>
    <row r="2460" spans="1:43" x14ac:dyDescent="0.2">
      <c r="A2460" t="s">
        <v>12420</v>
      </c>
      <c r="B2460" t="s">
        <v>10900</v>
      </c>
      <c r="C2460" t="s">
        <v>10990</v>
      </c>
      <c r="D2460" t="s">
        <v>10994</v>
      </c>
      <c r="E2460" t="s">
        <v>1190</v>
      </c>
      <c r="F2460" t="s">
        <v>10994</v>
      </c>
      <c r="G2460" s="1">
        <v>10400000</v>
      </c>
      <c r="H2460" s="2">
        <v>12288674.699999999</v>
      </c>
      <c r="I2460" s="2">
        <v>12304606.300000001</v>
      </c>
      <c r="J2460" s="2">
        <v>24742.01</v>
      </c>
      <c r="K2460" s="2">
        <v>0</v>
      </c>
      <c r="L2460" s="2">
        <v>12329348.310000001</v>
      </c>
      <c r="M2460" s="3">
        <v>3.9</v>
      </c>
      <c r="N2460" s="4">
        <v>2.805059E-2</v>
      </c>
      <c r="O2460" s="5">
        <v>44834</v>
      </c>
      <c r="P2460" s="5">
        <v>53417</v>
      </c>
      <c r="Q2460" s="1">
        <v>2.5</v>
      </c>
      <c r="R2460" s="2">
        <v>17.22</v>
      </c>
      <c r="S2460" s="6">
        <v>16.886631569999999</v>
      </c>
      <c r="T2460" t="s">
        <v>111</v>
      </c>
      <c r="U2460" t="s">
        <v>111</v>
      </c>
      <c r="V2460" t="s">
        <v>10992</v>
      </c>
      <c r="W2460" t="s">
        <v>43</v>
      </c>
      <c r="X2460" t="s">
        <v>10945</v>
      </c>
      <c r="Y2460" t="s">
        <v>44</v>
      </c>
      <c r="Z2460" t="s">
        <v>44</v>
      </c>
      <c r="AA2460" t="s">
        <v>10913</v>
      </c>
      <c r="AB2460" t="s">
        <v>44</v>
      </c>
      <c r="AC2460" s="4">
        <v>3.9380250000000001</v>
      </c>
      <c r="AD2460" s="4">
        <v>3.8686849699999999</v>
      </c>
      <c r="AE2460" s="2">
        <v>3.94</v>
      </c>
      <c r="AF2460" s="4">
        <v>3.8686849699999999</v>
      </c>
      <c r="AG2460" s="2">
        <v>2.06</v>
      </c>
      <c r="AH2460" s="2">
        <v>12329348.310000001</v>
      </c>
      <c r="AI2460" s="2">
        <v>0.03</v>
      </c>
      <c r="AJ2460" s="5">
        <v>44673</v>
      </c>
      <c r="AK2460" t="s">
        <v>12421</v>
      </c>
      <c r="AL2460" s="2">
        <v>3.9</v>
      </c>
      <c r="AM2460" s="2">
        <v>2.5</v>
      </c>
      <c r="AN2460" s="2">
        <v>16.89</v>
      </c>
      <c r="AO2460" t="s">
        <v>10922</v>
      </c>
      <c r="AP2460" t="s">
        <v>10995</v>
      </c>
      <c r="AQ2460" t="s">
        <v>1190</v>
      </c>
    </row>
    <row r="2461" spans="1:43" x14ac:dyDescent="0.2">
      <c r="A2461" t="s">
        <v>12420</v>
      </c>
      <c r="B2461" t="s">
        <v>10900</v>
      </c>
      <c r="C2461" t="s">
        <v>10990</v>
      </c>
      <c r="D2461" t="s">
        <v>10996</v>
      </c>
      <c r="E2461" t="s">
        <v>1160</v>
      </c>
      <c r="F2461" t="s">
        <v>10996</v>
      </c>
      <c r="G2461" s="1">
        <v>10210000</v>
      </c>
      <c r="H2461" s="2">
        <v>12398536.09</v>
      </c>
      <c r="I2461" s="2">
        <v>12415458.970000001</v>
      </c>
      <c r="J2461" s="2">
        <v>126500.17</v>
      </c>
      <c r="K2461" s="2">
        <v>0</v>
      </c>
      <c r="L2461" s="2">
        <v>12541959.140000001</v>
      </c>
      <c r="M2461" s="3">
        <v>3.9</v>
      </c>
      <c r="N2461" s="4">
        <v>2.853431E-2</v>
      </c>
      <c r="O2461" s="5">
        <v>44742</v>
      </c>
      <c r="P2461" s="5">
        <v>55153</v>
      </c>
      <c r="Q2461" s="1">
        <v>2.5</v>
      </c>
      <c r="R2461" s="2">
        <v>19.05</v>
      </c>
      <c r="S2461" s="6">
        <v>18.689623709999999</v>
      </c>
      <c r="T2461" t="s">
        <v>111</v>
      </c>
      <c r="U2461" t="s">
        <v>111</v>
      </c>
      <c r="V2461" t="s">
        <v>10992</v>
      </c>
      <c r="W2461" t="s">
        <v>43</v>
      </c>
      <c r="X2461" t="s">
        <v>10945</v>
      </c>
      <c r="Y2461" t="s">
        <v>44</v>
      </c>
      <c r="Z2461" t="s">
        <v>44</v>
      </c>
      <c r="AA2461" t="s">
        <v>10913</v>
      </c>
      <c r="AB2461" t="s">
        <v>44</v>
      </c>
      <c r="AC2461" s="4">
        <v>3.9380250000000001</v>
      </c>
      <c r="AD2461" s="4">
        <v>3.8686849699999999</v>
      </c>
      <c r="AE2461" s="2">
        <v>3.94</v>
      </c>
      <c r="AF2461" s="4">
        <v>3.8686849699999999</v>
      </c>
      <c r="AG2461" s="2">
        <v>2.1</v>
      </c>
      <c r="AH2461" s="2">
        <v>12541959.140000001</v>
      </c>
      <c r="AI2461" s="2">
        <v>0.03</v>
      </c>
      <c r="AJ2461" s="5">
        <v>44673</v>
      </c>
      <c r="AK2461" t="s">
        <v>12421</v>
      </c>
      <c r="AL2461" s="2">
        <v>3.9</v>
      </c>
      <c r="AM2461" s="2">
        <v>2.5</v>
      </c>
      <c r="AN2461" s="2">
        <v>18.690000000000001</v>
      </c>
      <c r="AO2461" t="s">
        <v>10922</v>
      </c>
      <c r="AP2461" t="s">
        <v>10997</v>
      </c>
      <c r="AQ2461" t="s">
        <v>1160</v>
      </c>
    </row>
    <row r="2462" spans="1:43" x14ac:dyDescent="0.2">
      <c r="A2462" t="s">
        <v>12420</v>
      </c>
      <c r="B2462" t="s">
        <v>10900</v>
      </c>
      <c r="C2462" t="s">
        <v>10990</v>
      </c>
      <c r="D2462" t="s">
        <v>10998</v>
      </c>
      <c r="E2462" t="s">
        <v>1197</v>
      </c>
      <c r="F2462" t="s">
        <v>10998</v>
      </c>
      <c r="G2462" s="1">
        <v>11000000</v>
      </c>
      <c r="H2462" s="2">
        <v>12479995.17</v>
      </c>
      <c r="I2462" s="2">
        <v>12449075.57</v>
      </c>
      <c r="J2462" s="2">
        <v>41679.85</v>
      </c>
      <c r="K2462" s="2">
        <v>0</v>
      </c>
      <c r="L2462" s="2">
        <v>12490755.42</v>
      </c>
      <c r="M2462" s="3">
        <v>3.82</v>
      </c>
      <c r="N2462" s="4">
        <v>2.8417810000000002E-2</v>
      </c>
      <c r="O2462" s="5">
        <v>44804</v>
      </c>
      <c r="P2462" s="5">
        <v>48638</v>
      </c>
      <c r="Q2462" s="1">
        <v>1.875</v>
      </c>
      <c r="R2462" s="2">
        <v>9.7100000000000009</v>
      </c>
      <c r="S2462" s="6">
        <v>9.5277218819999998</v>
      </c>
      <c r="T2462" t="s">
        <v>111</v>
      </c>
      <c r="U2462" t="s">
        <v>111</v>
      </c>
      <c r="V2462" t="s">
        <v>10992</v>
      </c>
      <c r="W2462" t="s">
        <v>43</v>
      </c>
      <c r="X2462" t="s">
        <v>10945</v>
      </c>
      <c r="Y2462" t="s">
        <v>44</v>
      </c>
      <c r="Z2462" t="s">
        <v>44</v>
      </c>
      <c r="AA2462" t="s">
        <v>10913</v>
      </c>
      <c r="AB2462" t="s">
        <v>44</v>
      </c>
      <c r="AC2462" s="4">
        <v>3.856481</v>
      </c>
      <c r="AD2462" s="4">
        <v>3.7899492800000001</v>
      </c>
      <c r="AE2462" s="2">
        <v>3.86</v>
      </c>
      <c r="AF2462" s="4">
        <v>3.7899492800000001</v>
      </c>
      <c r="AG2462" s="2">
        <v>2.09</v>
      </c>
      <c r="AH2462" s="2">
        <v>12490755.42</v>
      </c>
      <c r="AI2462" s="2">
        <v>0.03</v>
      </c>
      <c r="AJ2462" s="5">
        <v>44673</v>
      </c>
      <c r="AK2462" t="s">
        <v>12421</v>
      </c>
      <c r="AL2462" s="2">
        <v>3.82</v>
      </c>
      <c r="AM2462" s="2">
        <v>1.88</v>
      </c>
      <c r="AN2462" s="2">
        <v>9.5299999999999994</v>
      </c>
      <c r="AO2462" t="s">
        <v>10922</v>
      </c>
      <c r="AP2462" t="s">
        <v>10999</v>
      </c>
      <c r="AQ2462" t="s">
        <v>1197</v>
      </c>
    </row>
    <row r="2463" spans="1:43" x14ac:dyDescent="0.2">
      <c r="A2463" t="s">
        <v>12420</v>
      </c>
      <c r="B2463" t="s">
        <v>45</v>
      </c>
      <c r="C2463" t="s">
        <v>11000</v>
      </c>
      <c r="D2463" t="s">
        <v>11001</v>
      </c>
      <c r="E2463" t="s">
        <v>11002</v>
      </c>
      <c r="F2463" t="s">
        <v>11001</v>
      </c>
      <c r="G2463" s="1">
        <v>16468468.99</v>
      </c>
      <c r="H2463" s="2">
        <v>16468468.99</v>
      </c>
      <c r="I2463" s="2">
        <v>16468468.99</v>
      </c>
      <c r="J2463" s="2">
        <v>59079.8</v>
      </c>
      <c r="K2463" s="2">
        <v>0</v>
      </c>
      <c r="L2463" s="2">
        <v>16527548.789999999</v>
      </c>
      <c r="M2463" s="3"/>
      <c r="N2463" s="4">
        <v>3.7601950000000002E-2</v>
      </c>
      <c r="O2463" s="5">
        <v>40756</v>
      </c>
      <c r="P2463" s="5">
        <v>73020</v>
      </c>
      <c r="Q2463" s="1">
        <v>0</v>
      </c>
      <c r="R2463" s="2"/>
      <c r="S2463" s="6"/>
      <c r="T2463" t="s">
        <v>111</v>
      </c>
      <c r="U2463" t="s">
        <v>11003</v>
      </c>
      <c r="V2463" t="s">
        <v>46</v>
      </c>
      <c r="W2463" t="s">
        <v>43</v>
      </c>
      <c r="X2463" t="s">
        <v>44</v>
      </c>
      <c r="Y2463" t="s">
        <v>44</v>
      </c>
      <c r="Z2463" t="s">
        <v>44</v>
      </c>
      <c r="AA2463" t="s">
        <v>44</v>
      </c>
      <c r="AB2463" t="s">
        <v>44</v>
      </c>
      <c r="AC2463" s="4"/>
      <c r="AD2463" s="4"/>
      <c r="AE2463" s="2">
        <v>0</v>
      </c>
      <c r="AF2463" s="4">
        <v>0</v>
      </c>
      <c r="AG2463" s="2">
        <v>2.76</v>
      </c>
      <c r="AH2463" s="2">
        <v>16527548.789999999</v>
      </c>
      <c r="AI2463" s="2">
        <v>0.04</v>
      </c>
      <c r="AJ2463" s="5">
        <v>44673</v>
      </c>
      <c r="AK2463" t="s">
        <v>12421</v>
      </c>
      <c r="AL2463" s="2">
        <v>0</v>
      </c>
      <c r="AM2463" s="2">
        <v>0</v>
      </c>
      <c r="AN2463" s="2">
        <v>0</v>
      </c>
      <c r="AO2463" t="s">
        <v>44</v>
      </c>
      <c r="AP2463" t="s">
        <v>11004</v>
      </c>
      <c r="AQ2463" t="s">
        <v>11002</v>
      </c>
    </row>
    <row r="2464" spans="1:43" x14ac:dyDescent="0.2">
      <c r="A2464" t="s">
        <v>12420</v>
      </c>
      <c r="B2464" t="s">
        <v>45</v>
      </c>
      <c r="C2464" t="s">
        <v>11144</v>
      </c>
      <c r="D2464" t="s">
        <v>11145</v>
      </c>
      <c r="E2464" t="s">
        <v>11146</v>
      </c>
      <c r="F2464" t="s">
        <v>11147</v>
      </c>
      <c r="G2464" s="1">
        <v>17827448</v>
      </c>
      <c r="H2464" s="2">
        <v>17827448</v>
      </c>
      <c r="I2464" s="2">
        <v>17827448</v>
      </c>
      <c r="J2464" s="2">
        <v>59763.48</v>
      </c>
      <c r="K2464" s="2">
        <v>0</v>
      </c>
      <c r="L2464" s="2">
        <v>17887211.48</v>
      </c>
      <c r="M2464" s="3">
        <v>6.88</v>
      </c>
      <c r="N2464" s="4">
        <v>4.0695330000000002E-2</v>
      </c>
      <c r="O2464" s="5" t="s">
        <v>44</v>
      </c>
      <c r="P2464" s="5">
        <v>55153</v>
      </c>
      <c r="Q2464" s="1">
        <v>6.88</v>
      </c>
      <c r="R2464" s="2">
        <v>0.08</v>
      </c>
      <c r="S2464" s="6">
        <v>2.6006750000000002E-3</v>
      </c>
      <c r="T2464" t="s">
        <v>112</v>
      </c>
      <c r="U2464" t="s">
        <v>46</v>
      </c>
      <c r="V2464" t="s">
        <v>11148</v>
      </c>
      <c r="W2464" t="s">
        <v>43</v>
      </c>
      <c r="X2464" t="s">
        <v>44</v>
      </c>
      <c r="Y2464" t="s">
        <v>44</v>
      </c>
      <c r="Z2464" t="s">
        <v>44</v>
      </c>
      <c r="AA2464" t="s">
        <v>44</v>
      </c>
      <c r="AB2464" t="s">
        <v>44</v>
      </c>
      <c r="AC2464" s="4"/>
      <c r="AD2464" s="4"/>
      <c r="AE2464" s="2">
        <v>0</v>
      </c>
      <c r="AF2464" s="4">
        <v>0</v>
      </c>
      <c r="AG2464" s="2">
        <v>2.99</v>
      </c>
      <c r="AH2464" s="2">
        <v>17887211.48</v>
      </c>
      <c r="AI2464" s="2">
        <v>0.04</v>
      </c>
      <c r="AJ2464" s="5">
        <v>44673</v>
      </c>
      <c r="AK2464" t="s">
        <v>12421</v>
      </c>
      <c r="AL2464" s="2">
        <v>0</v>
      </c>
      <c r="AM2464" s="2">
        <v>6.88</v>
      </c>
      <c r="AN2464" s="2">
        <v>0</v>
      </c>
      <c r="AO2464" t="s">
        <v>11146</v>
      </c>
      <c r="AP2464" t="s">
        <v>44</v>
      </c>
      <c r="AQ2464" t="s">
        <v>11146</v>
      </c>
    </row>
    <row r="2465" spans="1:43" x14ac:dyDescent="0.2">
      <c r="A2465" t="s">
        <v>12420</v>
      </c>
      <c r="B2465" t="s">
        <v>45</v>
      </c>
      <c r="C2465" t="s">
        <v>47</v>
      </c>
      <c r="D2465" t="s">
        <v>11257</v>
      </c>
      <c r="E2465" t="s">
        <v>11258</v>
      </c>
      <c r="F2465" t="s">
        <v>11257</v>
      </c>
      <c r="G2465" s="1">
        <v>68887.73</v>
      </c>
      <c r="H2465" s="2">
        <v>1206226.9099999999</v>
      </c>
      <c r="I2465" s="2">
        <v>1158750.71</v>
      </c>
      <c r="J2465" s="2">
        <v>0</v>
      </c>
      <c r="K2465" s="2">
        <v>0</v>
      </c>
      <c r="L2465" s="2">
        <v>1158750.71</v>
      </c>
      <c r="M2465" s="3"/>
      <c r="N2465" s="4">
        <v>2.63628E-3</v>
      </c>
      <c r="O2465" s="5" t="s">
        <v>44</v>
      </c>
      <c r="P2465" s="5" t="s">
        <v>44</v>
      </c>
      <c r="Q2465" s="1"/>
      <c r="R2465" s="2">
        <v>0.08</v>
      </c>
      <c r="S2465" s="6"/>
      <c r="T2465" t="s">
        <v>45</v>
      </c>
      <c r="U2465" t="s">
        <v>53</v>
      </c>
      <c r="V2465" t="s">
        <v>44</v>
      </c>
      <c r="W2465" t="s">
        <v>528</v>
      </c>
      <c r="X2465" t="s">
        <v>44</v>
      </c>
      <c r="Y2465" t="s">
        <v>44</v>
      </c>
      <c r="Z2465" t="s">
        <v>44</v>
      </c>
      <c r="AA2465" t="s">
        <v>44</v>
      </c>
      <c r="AB2465" t="s">
        <v>44</v>
      </c>
      <c r="AC2465" s="4"/>
      <c r="AD2465" s="4"/>
      <c r="AE2465" s="2">
        <v>0</v>
      </c>
      <c r="AF2465" s="4">
        <v>0</v>
      </c>
      <c r="AG2465" s="2">
        <v>0.19</v>
      </c>
      <c r="AH2465" s="2">
        <v>1158750.71</v>
      </c>
      <c r="AI2465" s="2">
        <v>0</v>
      </c>
      <c r="AJ2465" s="5">
        <v>44673</v>
      </c>
      <c r="AK2465" t="s">
        <v>12421</v>
      </c>
      <c r="AL2465" s="2">
        <v>0</v>
      </c>
      <c r="AM2465" s="2">
        <v>0</v>
      </c>
      <c r="AN2465" s="2">
        <v>0</v>
      </c>
      <c r="AO2465" t="s">
        <v>44</v>
      </c>
      <c r="AP2465" t="s">
        <v>44</v>
      </c>
      <c r="AQ2465" t="s">
        <v>528</v>
      </c>
    </row>
    <row r="2466" spans="1:43" x14ac:dyDescent="0.2">
      <c r="A2466" t="s">
        <v>12420</v>
      </c>
      <c r="B2466" t="s">
        <v>45</v>
      </c>
      <c r="C2466" t="s">
        <v>47</v>
      </c>
      <c r="D2466" t="s">
        <v>48</v>
      </c>
      <c r="E2466" t="s">
        <v>49</v>
      </c>
      <c r="F2466" t="s">
        <v>50</v>
      </c>
      <c r="G2466" s="1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1854.56</v>
      </c>
      <c r="M2466" s="3"/>
      <c r="N2466" s="4">
        <v>4.2200000000000003E-6</v>
      </c>
      <c r="O2466" s="5" t="s">
        <v>44</v>
      </c>
      <c r="P2466" s="5" t="s">
        <v>44</v>
      </c>
      <c r="Q2466" s="1"/>
      <c r="R2466" s="2">
        <v>0.08</v>
      </c>
      <c r="S2466" s="6"/>
      <c r="T2466" t="s">
        <v>45</v>
      </c>
      <c r="U2466" t="s">
        <v>46</v>
      </c>
      <c r="V2466" t="s">
        <v>44</v>
      </c>
      <c r="W2466" t="s">
        <v>43</v>
      </c>
      <c r="X2466" t="s">
        <v>44</v>
      </c>
      <c r="Y2466" t="s">
        <v>44</v>
      </c>
      <c r="Z2466" t="s">
        <v>44</v>
      </c>
      <c r="AA2466" t="s">
        <v>44</v>
      </c>
      <c r="AB2466" t="s">
        <v>44</v>
      </c>
      <c r="AC2466" s="4">
        <v>5.1163389600000002</v>
      </c>
      <c r="AD2466" s="4">
        <v>5.0001424999999999</v>
      </c>
      <c r="AE2466" s="2">
        <v>5.12</v>
      </c>
      <c r="AF2466" s="4">
        <v>5.0001424999999999</v>
      </c>
      <c r="AG2466" s="2">
        <v>0</v>
      </c>
      <c r="AH2466" s="2">
        <v>1854.56</v>
      </c>
      <c r="AI2466" s="2">
        <v>0</v>
      </c>
      <c r="AJ2466" s="5">
        <v>44673</v>
      </c>
      <c r="AK2466" t="s">
        <v>12421</v>
      </c>
      <c r="AL2466" s="2">
        <v>5.05</v>
      </c>
      <c r="AM2466" s="2">
        <v>0</v>
      </c>
      <c r="AN2466" s="2">
        <v>0</v>
      </c>
      <c r="AO2466" t="s">
        <v>44</v>
      </c>
      <c r="AP2466" t="s">
        <v>44</v>
      </c>
      <c r="AQ2466" t="s">
        <v>44</v>
      </c>
    </row>
    <row r="2467" spans="1:43" x14ac:dyDescent="0.2">
      <c r="A2467" t="s">
        <v>12420</v>
      </c>
      <c r="B2467" t="s">
        <v>45</v>
      </c>
      <c r="C2467" t="s">
        <v>47</v>
      </c>
      <c r="D2467" t="s">
        <v>51</v>
      </c>
      <c r="E2467" t="s">
        <v>52</v>
      </c>
      <c r="F2467" t="s">
        <v>51</v>
      </c>
      <c r="G2467" s="1">
        <v>4478419.26</v>
      </c>
      <c r="H2467" s="2">
        <v>4478419.26</v>
      </c>
      <c r="I2467" s="2">
        <v>4478419.26</v>
      </c>
      <c r="J2467" s="2">
        <v>0</v>
      </c>
      <c r="K2467" s="2">
        <v>0</v>
      </c>
      <c r="L2467" s="2">
        <v>4478419.26</v>
      </c>
      <c r="M2467" s="3"/>
      <c r="N2467" s="4">
        <v>1.0188890000000001E-2</v>
      </c>
      <c r="O2467" s="5" t="s">
        <v>44</v>
      </c>
      <c r="P2467" s="5" t="s">
        <v>44</v>
      </c>
      <c r="Q2467" s="1"/>
      <c r="R2467" s="2">
        <v>0.08</v>
      </c>
      <c r="S2467" s="6"/>
      <c r="T2467" t="s">
        <v>45</v>
      </c>
      <c r="U2467" t="s">
        <v>53</v>
      </c>
      <c r="V2467" t="s">
        <v>44</v>
      </c>
      <c r="W2467" t="s">
        <v>43</v>
      </c>
      <c r="X2467" t="s">
        <v>44</v>
      </c>
      <c r="Y2467" t="s">
        <v>44</v>
      </c>
      <c r="Z2467" t="s">
        <v>44</v>
      </c>
      <c r="AA2467" t="s">
        <v>44</v>
      </c>
      <c r="AB2467" t="s">
        <v>44</v>
      </c>
      <c r="AC2467" s="4">
        <v>5.1163389600000002</v>
      </c>
      <c r="AD2467" s="4">
        <v>5.0001424999999999</v>
      </c>
      <c r="AE2467" s="2">
        <v>5.12</v>
      </c>
      <c r="AF2467" s="4">
        <v>5.0001424999999999</v>
      </c>
      <c r="AG2467" s="2">
        <v>0.75</v>
      </c>
      <c r="AH2467" s="2">
        <v>4478419.26</v>
      </c>
      <c r="AI2467" s="2">
        <v>0.01</v>
      </c>
      <c r="AJ2467" s="5">
        <v>44673</v>
      </c>
      <c r="AK2467" t="s">
        <v>12421</v>
      </c>
      <c r="AL2467" s="2">
        <v>5.05</v>
      </c>
      <c r="AM2467" s="2">
        <v>0</v>
      </c>
      <c r="AN2467" s="2">
        <v>0</v>
      </c>
      <c r="AO2467" t="s">
        <v>44</v>
      </c>
      <c r="AP2467" t="s">
        <v>44</v>
      </c>
      <c r="AQ2467" t="s">
        <v>43</v>
      </c>
    </row>
    <row r="2468" spans="1:43" x14ac:dyDescent="0.2">
      <c r="A2468" t="s">
        <v>12420</v>
      </c>
      <c r="B2468" t="s">
        <v>45</v>
      </c>
      <c r="C2468" t="s">
        <v>47</v>
      </c>
      <c r="D2468" t="s">
        <v>11045</v>
      </c>
      <c r="E2468" t="s">
        <v>11046</v>
      </c>
      <c r="F2468" t="s">
        <v>11045</v>
      </c>
      <c r="G2468" s="1">
        <v>1324.95</v>
      </c>
      <c r="H2468" s="2">
        <v>20430.419999999998</v>
      </c>
      <c r="I2468" s="2">
        <v>20687.8</v>
      </c>
      <c r="J2468" s="2">
        <v>0</v>
      </c>
      <c r="K2468" s="2">
        <v>0</v>
      </c>
      <c r="L2468" s="2">
        <v>20687.8</v>
      </c>
      <c r="M2468" s="3">
        <v>1</v>
      </c>
      <c r="N2468" s="4">
        <v>4.7070000000000002E-5</v>
      </c>
      <c r="O2468" s="5" t="s">
        <v>44</v>
      </c>
      <c r="P2468" s="5" t="s">
        <v>44</v>
      </c>
      <c r="Q2468" s="1"/>
      <c r="R2468" s="2">
        <v>0.08</v>
      </c>
      <c r="S2468" s="6"/>
      <c r="T2468" t="s">
        <v>45</v>
      </c>
      <c r="U2468" t="s">
        <v>53</v>
      </c>
      <c r="V2468" t="s">
        <v>44</v>
      </c>
      <c r="W2468" t="s">
        <v>113</v>
      </c>
      <c r="X2468" t="s">
        <v>44</v>
      </c>
      <c r="Y2468" t="s">
        <v>44</v>
      </c>
      <c r="Z2468" t="s">
        <v>44</v>
      </c>
      <c r="AA2468" t="s">
        <v>44</v>
      </c>
      <c r="AB2468" t="s">
        <v>44</v>
      </c>
      <c r="AC2468" s="4"/>
      <c r="AD2468" s="4"/>
      <c r="AE2468" s="2">
        <v>0</v>
      </c>
      <c r="AF2468" s="4">
        <v>0</v>
      </c>
      <c r="AG2468" s="2">
        <v>0</v>
      </c>
      <c r="AH2468" s="2">
        <v>20687.8</v>
      </c>
      <c r="AI2468" s="2">
        <v>0</v>
      </c>
      <c r="AJ2468" s="5">
        <v>44673</v>
      </c>
      <c r="AK2468" t="s">
        <v>12421</v>
      </c>
      <c r="AL2468" s="2">
        <v>0</v>
      </c>
      <c r="AM2468" s="2">
        <v>0</v>
      </c>
      <c r="AN2468" s="2">
        <v>0</v>
      </c>
      <c r="AO2468" t="s">
        <v>44</v>
      </c>
      <c r="AP2468" t="s">
        <v>44</v>
      </c>
      <c r="AQ2468" t="s">
        <v>113</v>
      </c>
    </row>
    <row r="2469" spans="1:43" x14ac:dyDescent="0.2">
      <c r="A2469" t="s">
        <v>12420</v>
      </c>
      <c r="B2469" t="s">
        <v>45</v>
      </c>
      <c r="C2469" t="s">
        <v>11005</v>
      </c>
      <c r="D2469" t="s">
        <v>11009</v>
      </c>
      <c r="E2469" t="s">
        <v>11010</v>
      </c>
      <c r="F2469" t="s">
        <v>44</v>
      </c>
      <c r="G2469" s="1">
        <v>-256570.15</v>
      </c>
      <c r="H2469" s="2">
        <v>-256570.15</v>
      </c>
      <c r="I2469" s="2">
        <v>-256570.15</v>
      </c>
      <c r="J2469" s="2">
        <v>0</v>
      </c>
      <c r="K2469" s="2"/>
      <c r="L2469" s="2">
        <v>-256570.15</v>
      </c>
      <c r="M2469" s="3"/>
      <c r="N2469" s="4">
        <v>-5.8372000000000003E-4</v>
      </c>
      <c r="O2469" s="5" t="s">
        <v>44</v>
      </c>
      <c r="P2469" s="5">
        <v>73051</v>
      </c>
      <c r="Q2469" s="1">
        <v>0</v>
      </c>
      <c r="R2469" s="2">
        <v>0.08</v>
      </c>
      <c r="S2469" s="6"/>
      <c r="T2469" t="s">
        <v>45</v>
      </c>
      <c r="U2469" t="s">
        <v>44</v>
      </c>
      <c r="V2469" t="s">
        <v>44</v>
      </c>
      <c r="W2469" t="s">
        <v>43</v>
      </c>
      <c r="X2469" t="s">
        <v>44</v>
      </c>
      <c r="Y2469" t="s">
        <v>44</v>
      </c>
      <c r="Z2469" t="s">
        <v>44</v>
      </c>
      <c r="AA2469" t="s">
        <v>44</v>
      </c>
      <c r="AB2469" t="s">
        <v>44</v>
      </c>
      <c r="AC2469" s="4">
        <v>5.1163389600000002</v>
      </c>
      <c r="AD2469" s="4">
        <v>5.0001424999999999</v>
      </c>
      <c r="AE2469" s="2">
        <v>5.12</v>
      </c>
      <c r="AF2469" s="4">
        <v>5.0001424999999999</v>
      </c>
      <c r="AG2469" s="2">
        <v>-0.04</v>
      </c>
      <c r="AH2469" s="2">
        <v>-256570.15</v>
      </c>
      <c r="AI2469" s="2">
        <v>0</v>
      </c>
      <c r="AJ2469" s="5">
        <v>44673</v>
      </c>
      <c r="AK2469" t="s">
        <v>12421</v>
      </c>
      <c r="AL2469" s="2">
        <v>5.05</v>
      </c>
      <c r="AM2469" s="2">
        <v>0</v>
      </c>
      <c r="AN2469" s="2">
        <v>0</v>
      </c>
      <c r="AO2469" t="s">
        <v>44</v>
      </c>
      <c r="AP2469" t="s">
        <v>44</v>
      </c>
      <c r="AQ2469" t="s">
        <v>44</v>
      </c>
    </row>
    <row r="2470" spans="1:43" x14ac:dyDescent="0.2">
      <c r="A2470" t="s">
        <v>12420</v>
      </c>
      <c r="B2470" t="s">
        <v>45</v>
      </c>
      <c r="C2470" t="s">
        <v>11005</v>
      </c>
      <c r="D2470" t="s">
        <v>11149</v>
      </c>
      <c r="E2470" t="s">
        <v>11150</v>
      </c>
      <c r="F2470" t="s">
        <v>44</v>
      </c>
      <c r="G2470" s="1">
        <v>-5030380.13</v>
      </c>
      <c r="H2470" s="2">
        <v>-5030380.13</v>
      </c>
      <c r="I2470" s="2">
        <v>-5030380.13</v>
      </c>
      <c r="J2470" s="2">
        <v>0</v>
      </c>
      <c r="K2470" s="2"/>
      <c r="L2470" s="2">
        <v>-5030380.13</v>
      </c>
      <c r="M2470" s="3"/>
      <c r="N2470" s="4">
        <v>-1.1444660000000001E-2</v>
      </c>
      <c r="O2470" s="5" t="s">
        <v>44</v>
      </c>
      <c r="P2470" s="5">
        <v>73051</v>
      </c>
      <c r="Q2470" s="1">
        <v>0</v>
      </c>
      <c r="R2470" s="2">
        <v>0.08</v>
      </c>
      <c r="S2470" s="6"/>
      <c r="T2470" t="s">
        <v>45</v>
      </c>
      <c r="U2470" t="s">
        <v>44</v>
      </c>
      <c r="V2470" t="s">
        <v>44</v>
      </c>
      <c r="W2470" t="s">
        <v>43</v>
      </c>
      <c r="X2470" t="s">
        <v>44</v>
      </c>
      <c r="Y2470" t="s">
        <v>44</v>
      </c>
      <c r="Z2470" t="s">
        <v>44</v>
      </c>
      <c r="AA2470" t="s">
        <v>44</v>
      </c>
      <c r="AB2470" t="s">
        <v>44</v>
      </c>
      <c r="AC2470" s="4">
        <v>5.1163389600000002</v>
      </c>
      <c r="AD2470" s="4">
        <v>5.0001424999999999</v>
      </c>
      <c r="AE2470" s="2">
        <v>5.12</v>
      </c>
      <c r="AF2470" s="4">
        <v>5.0001424999999999</v>
      </c>
      <c r="AG2470" s="2">
        <v>-0.84</v>
      </c>
      <c r="AH2470" s="2">
        <v>-5030380.13</v>
      </c>
      <c r="AI2470" s="2">
        <v>-0.01</v>
      </c>
      <c r="AJ2470" s="5">
        <v>44673</v>
      </c>
      <c r="AK2470" t="s">
        <v>12421</v>
      </c>
      <c r="AL2470" s="2">
        <v>5.05</v>
      </c>
      <c r="AM2470" s="2">
        <v>0</v>
      </c>
      <c r="AN2470" s="2">
        <v>0</v>
      </c>
      <c r="AO2470" t="s">
        <v>44</v>
      </c>
      <c r="AP2470" t="s">
        <v>44</v>
      </c>
      <c r="AQ2470" t="s">
        <v>44</v>
      </c>
    </row>
    <row r="2471" spans="1:43" x14ac:dyDescent="0.2">
      <c r="A2471" t="s">
        <v>12420</v>
      </c>
      <c r="B2471" t="s">
        <v>11013</v>
      </c>
      <c r="C2471" t="s">
        <v>11014</v>
      </c>
      <c r="D2471" t="s">
        <v>11015</v>
      </c>
      <c r="E2471" t="s">
        <v>11016</v>
      </c>
      <c r="F2471" t="s">
        <v>11015</v>
      </c>
      <c r="G2471" s="1">
        <v>55031004.002800003</v>
      </c>
      <c r="H2471" s="2">
        <v>58241474.579999998</v>
      </c>
      <c r="I2471" s="2">
        <v>57160703.859999999</v>
      </c>
      <c r="J2471" s="2">
        <v>0</v>
      </c>
      <c r="K2471" s="2">
        <v>0</v>
      </c>
      <c r="L2471" s="2">
        <v>57160703.859999999</v>
      </c>
      <c r="M2471" s="3">
        <v>1.0387</v>
      </c>
      <c r="N2471" s="4">
        <v>0.13004676000000001</v>
      </c>
      <c r="O2471" s="5" t="s">
        <v>44</v>
      </c>
      <c r="P2471" s="5" t="s">
        <v>44</v>
      </c>
      <c r="Q2471" s="1"/>
      <c r="R2471" s="2"/>
      <c r="S2471" s="6"/>
      <c r="T2471" t="s">
        <v>10902</v>
      </c>
      <c r="U2471" t="s">
        <v>11003</v>
      </c>
      <c r="V2471" t="s">
        <v>11003</v>
      </c>
      <c r="W2471" t="s">
        <v>43</v>
      </c>
      <c r="X2471" t="s">
        <v>44</v>
      </c>
      <c r="Y2471" t="s">
        <v>44</v>
      </c>
      <c r="Z2471" t="s">
        <v>44</v>
      </c>
      <c r="AA2471" t="s">
        <v>44</v>
      </c>
      <c r="AB2471" t="s">
        <v>44</v>
      </c>
      <c r="AC2471" s="4"/>
      <c r="AD2471" s="4"/>
      <c r="AE2471" s="2">
        <v>0</v>
      </c>
      <c r="AF2471" s="4">
        <v>0</v>
      </c>
      <c r="AG2471" s="2">
        <v>9.56</v>
      </c>
      <c r="AH2471" s="2">
        <v>57160703.859999999</v>
      </c>
      <c r="AI2471" s="2">
        <v>0.13</v>
      </c>
      <c r="AJ2471" s="5">
        <v>44673</v>
      </c>
      <c r="AK2471" t="s">
        <v>12421</v>
      </c>
      <c r="AL2471" s="2">
        <v>0</v>
      </c>
      <c r="AM2471" s="2">
        <v>0</v>
      </c>
      <c r="AN2471" s="2">
        <v>0</v>
      </c>
      <c r="AO2471" t="s">
        <v>44</v>
      </c>
      <c r="AP2471" t="s">
        <v>11017</v>
      </c>
      <c r="AQ2471" t="s">
        <v>11016</v>
      </c>
    </row>
    <row r="2472" spans="1:43" x14ac:dyDescent="0.2">
      <c r="A2472" t="s">
        <v>12420</v>
      </c>
      <c r="B2472" t="s">
        <v>11013</v>
      </c>
      <c r="C2472" t="s">
        <v>11014</v>
      </c>
      <c r="D2472" t="s">
        <v>11018</v>
      </c>
      <c r="E2472" t="s">
        <v>11019</v>
      </c>
      <c r="F2472" t="s">
        <v>11018</v>
      </c>
      <c r="G2472" s="1">
        <v>48859923.953599997</v>
      </c>
      <c r="H2472" s="2">
        <v>48960159.25</v>
      </c>
      <c r="I2472" s="2">
        <v>49133539.530000001</v>
      </c>
      <c r="J2472" s="2">
        <v>0</v>
      </c>
      <c r="K2472" s="2">
        <v>0</v>
      </c>
      <c r="L2472" s="2">
        <v>49133539.530000001</v>
      </c>
      <c r="M2472" s="3">
        <v>1.0056</v>
      </c>
      <c r="N2472" s="4">
        <v>0.11178409</v>
      </c>
      <c r="O2472" s="5" t="s">
        <v>44</v>
      </c>
      <c r="P2472" s="5" t="s">
        <v>44</v>
      </c>
      <c r="Q2472" s="1"/>
      <c r="R2472" s="2"/>
      <c r="S2472" s="6"/>
      <c r="T2472" t="s">
        <v>10902</v>
      </c>
      <c r="U2472" t="s">
        <v>11003</v>
      </c>
      <c r="V2472" t="s">
        <v>11003</v>
      </c>
      <c r="W2472" t="s">
        <v>43</v>
      </c>
      <c r="X2472" t="s">
        <v>44</v>
      </c>
      <c r="Y2472" t="s">
        <v>44</v>
      </c>
      <c r="Z2472" t="s">
        <v>44</v>
      </c>
      <c r="AA2472" t="s">
        <v>44</v>
      </c>
      <c r="AB2472" t="s">
        <v>44</v>
      </c>
      <c r="AC2472" s="4"/>
      <c r="AD2472" s="4"/>
      <c r="AE2472" s="2">
        <v>0</v>
      </c>
      <c r="AF2472" s="4">
        <v>0</v>
      </c>
      <c r="AG2472" s="2">
        <v>8.2200000000000006</v>
      </c>
      <c r="AH2472" s="2">
        <v>49133539.530000001</v>
      </c>
      <c r="AI2472" s="2">
        <v>0.11</v>
      </c>
      <c r="AJ2472" s="5">
        <v>44673</v>
      </c>
      <c r="AK2472" t="s">
        <v>12421</v>
      </c>
      <c r="AL2472" s="2">
        <v>0</v>
      </c>
      <c r="AM2472" s="2">
        <v>0</v>
      </c>
      <c r="AN2472" s="2">
        <v>0</v>
      </c>
      <c r="AO2472" t="s">
        <v>44</v>
      </c>
      <c r="AP2472" t="s">
        <v>11020</v>
      </c>
      <c r="AQ2472" t="s">
        <v>11019</v>
      </c>
    </row>
    <row r="2473" spans="1:43" x14ac:dyDescent="0.2">
      <c r="A2473" t="s">
        <v>12420</v>
      </c>
      <c r="B2473" t="s">
        <v>11013</v>
      </c>
      <c r="C2473" t="s">
        <v>11014</v>
      </c>
      <c r="D2473" t="s">
        <v>11021</v>
      </c>
      <c r="E2473" t="s">
        <v>11022</v>
      </c>
      <c r="F2473" t="s">
        <v>11021</v>
      </c>
      <c r="G2473" s="1">
        <v>38508103.490199998</v>
      </c>
      <c r="H2473" s="2">
        <v>32700038.649999999</v>
      </c>
      <c r="I2473" s="2">
        <v>38662135.899999999</v>
      </c>
      <c r="J2473" s="2">
        <v>0</v>
      </c>
      <c r="K2473" s="2">
        <v>0</v>
      </c>
      <c r="L2473" s="2">
        <v>38662135.899999999</v>
      </c>
      <c r="M2473" s="3">
        <v>1.004</v>
      </c>
      <c r="N2473" s="4">
        <v>8.796052E-2</v>
      </c>
      <c r="O2473" s="5" t="s">
        <v>44</v>
      </c>
      <c r="P2473" s="5" t="s">
        <v>44</v>
      </c>
      <c r="Q2473" s="1"/>
      <c r="R2473" s="2"/>
      <c r="S2473" s="6"/>
      <c r="T2473" t="s">
        <v>10902</v>
      </c>
      <c r="U2473" t="s">
        <v>11003</v>
      </c>
      <c r="V2473" t="s">
        <v>11003</v>
      </c>
      <c r="W2473" t="s">
        <v>43</v>
      </c>
      <c r="X2473" t="s">
        <v>44</v>
      </c>
      <c r="Y2473" t="s">
        <v>44</v>
      </c>
      <c r="Z2473" t="s">
        <v>44</v>
      </c>
      <c r="AA2473" t="s">
        <v>44</v>
      </c>
      <c r="AB2473" t="s">
        <v>44</v>
      </c>
      <c r="AC2473" s="4"/>
      <c r="AD2473" s="4"/>
      <c r="AE2473" s="2">
        <v>0</v>
      </c>
      <c r="AF2473" s="4">
        <v>0</v>
      </c>
      <c r="AG2473" s="2">
        <v>6.47</v>
      </c>
      <c r="AH2473" s="2">
        <v>38662135.899999999</v>
      </c>
      <c r="AI2473" s="2">
        <v>0.09</v>
      </c>
      <c r="AJ2473" s="5">
        <v>44673</v>
      </c>
      <c r="AK2473" t="s">
        <v>12421</v>
      </c>
      <c r="AL2473" s="2">
        <v>0</v>
      </c>
      <c r="AM2473" s="2">
        <v>0</v>
      </c>
      <c r="AN2473" s="2">
        <v>0</v>
      </c>
      <c r="AO2473" t="s">
        <v>44</v>
      </c>
      <c r="AP2473" t="s">
        <v>11023</v>
      </c>
      <c r="AQ2473" t="s">
        <v>11022</v>
      </c>
    </row>
    <row r="2474" spans="1:43" x14ac:dyDescent="0.2">
      <c r="A2474" t="s">
        <v>12420</v>
      </c>
      <c r="B2474" t="s">
        <v>11013</v>
      </c>
      <c r="C2474" t="s">
        <v>11047</v>
      </c>
      <c r="D2474" t="s">
        <v>11233</v>
      </c>
      <c r="E2474" t="s">
        <v>11234</v>
      </c>
      <c r="F2474" t="s">
        <v>11233</v>
      </c>
      <c r="G2474" s="1">
        <v>5694310.6573000001</v>
      </c>
      <c r="H2474" s="2">
        <v>101853597.75</v>
      </c>
      <c r="I2474" s="2">
        <v>118105697.34</v>
      </c>
      <c r="J2474" s="2">
        <v>0</v>
      </c>
      <c r="K2474" s="2">
        <v>0</v>
      </c>
      <c r="L2474" s="2">
        <v>118105697.34</v>
      </c>
      <c r="M2474" s="3">
        <v>20.741</v>
      </c>
      <c r="N2474" s="4">
        <v>0.26870317999999999</v>
      </c>
      <c r="O2474" s="5" t="s">
        <v>44</v>
      </c>
      <c r="P2474" s="5" t="s">
        <v>44</v>
      </c>
      <c r="Q2474" s="1"/>
      <c r="R2474" s="2"/>
      <c r="S2474" s="6"/>
      <c r="T2474" t="s">
        <v>10902</v>
      </c>
      <c r="U2474" t="s">
        <v>11003</v>
      </c>
      <c r="V2474" t="s">
        <v>11003</v>
      </c>
      <c r="W2474" t="s">
        <v>43</v>
      </c>
      <c r="X2474" t="s">
        <v>44</v>
      </c>
      <c r="Y2474" t="s">
        <v>44</v>
      </c>
      <c r="Z2474" t="s">
        <v>44</v>
      </c>
      <c r="AA2474" t="s">
        <v>44</v>
      </c>
      <c r="AB2474" t="s">
        <v>44</v>
      </c>
      <c r="AC2474" s="4"/>
      <c r="AD2474" s="4"/>
      <c r="AE2474" s="2">
        <v>0</v>
      </c>
      <c r="AF2474" s="4">
        <v>0</v>
      </c>
      <c r="AG2474" s="2">
        <v>19.760000000000002</v>
      </c>
      <c r="AH2474" s="2">
        <v>118105697.34</v>
      </c>
      <c r="AI2474" s="2">
        <v>0.27</v>
      </c>
      <c r="AJ2474" s="5">
        <v>44673</v>
      </c>
      <c r="AK2474" t="s">
        <v>12421</v>
      </c>
      <c r="AL2474" s="2">
        <v>0</v>
      </c>
      <c r="AM2474" s="2">
        <v>0</v>
      </c>
      <c r="AN2474" s="2">
        <v>0</v>
      </c>
      <c r="AO2474" t="s">
        <v>44</v>
      </c>
      <c r="AP2474" t="s">
        <v>11235</v>
      </c>
      <c r="AQ2474" t="s">
        <v>11234</v>
      </c>
    </row>
    <row r="2475" spans="1:43" x14ac:dyDescent="0.2">
      <c r="A2475" t="s">
        <v>12420</v>
      </c>
      <c r="B2475" t="s">
        <v>11024</v>
      </c>
      <c r="C2475" t="s">
        <v>57</v>
      </c>
      <c r="D2475" t="s">
        <v>12717</v>
      </c>
      <c r="E2475" t="s">
        <v>12717</v>
      </c>
      <c r="F2475" t="s">
        <v>12717</v>
      </c>
      <c r="G2475" s="1">
        <v>-182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3">
        <v>65943</v>
      </c>
      <c r="N2475" s="4">
        <v>0</v>
      </c>
      <c r="O2475" s="5" t="s">
        <v>44</v>
      </c>
      <c r="P2475" s="5">
        <v>44910</v>
      </c>
      <c r="Q2475" s="1"/>
      <c r="R2475" s="2"/>
      <c r="S2475" s="6"/>
      <c r="T2475" t="s">
        <v>11026</v>
      </c>
      <c r="U2475" t="s">
        <v>11025</v>
      </c>
      <c r="V2475" t="s">
        <v>11027</v>
      </c>
      <c r="W2475" t="s">
        <v>43</v>
      </c>
      <c r="X2475" t="s">
        <v>44</v>
      </c>
      <c r="Y2475" t="s">
        <v>44</v>
      </c>
      <c r="Z2475" t="s">
        <v>44</v>
      </c>
      <c r="AA2475" t="s">
        <v>44</v>
      </c>
      <c r="AB2475" t="s">
        <v>44</v>
      </c>
      <c r="AC2475" s="4"/>
      <c r="AD2475" s="4"/>
      <c r="AE2475" s="2">
        <v>0</v>
      </c>
      <c r="AF2475" s="4">
        <v>0</v>
      </c>
      <c r="AG2475" s="2">
        <v>0</v>
      </c>
      <c r="AH2475" s="2">
        <v>-120016260</v>
      </c>
      <c r="AI2475" s="2">
        <v>-0.27</v>
      </c>
      <c r="AJ2475" s="5">
        <v>44673</v>
      </c>
      <c r="AK2475" t="s">
        <v>12421</v>
      </c>
      <c r="AL2475" s="2">
        <v>0</v>
      </c>
      <c r="AM2475" s="2">
        <v>0</v>
      </c>
      <c r="AN2475" s="2">
        <v>0</v>
      </c>
      <c r="AO2475" t="s">
        <v>44</v>
      </c>
      <c r="AP2475" t="s">
        <v>12718</v>
      </c>
      <c r="AQ2475" t="s">
        <v>12717</v>
      </c>
    </row>
    <row r="2476" spans="1:43" x14ac:dyDescent="0.2">
      <c r="A2476" t="s">
        <v>12420</v>
      </c>
      <c r="B2476" t="s">
        <v>11024</v>
      </c>
      <c r="C2476" t="s">
        <v>57</v>
      </c>
      <c r="D2476" t="s">
        <v>12719</v>
      </c>
      <c r="E2476" t="s">
        <v>12719</v>
      </c>
      <c r="F2476" t="s">
        <v>12719</v>
      </c>
      <c r="G2476" s="1">
        <v>333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3">
        <v>23175</v>
      </c>
      <c r="N2476" s="4">
        <v>0</v>
      </c>
      <c r="O2476" s="5" t="s">
        <v>44</v>
      </c>
      <c r="P2476" s="5">
        <v>44910</v>
      </c>
      <c r="Q2476" s="1"/>
      <c r="R2476" s="2"/>
      <c r="S2476" s="6"/>
      <c r="T2476" t="s">
        <v>11153</v>
      </c>
      <c r="U2476" t="s">
        <v>11025</v>
      </c>
      <c r="V2476" t="s">
        <v>11154</v>
      </c>
      <c r="W2476" t="s">
        <v>43</v>
      </c>
      <c r="X2476" t="s">
        <v>44</v>
      </c>
      <c r="Y2476" t="s">
        <v>44</v>
      </c>
      <c r="Z2476" t="s">
        <v>44</v>
      </c>
      <c r="AA2476" t="s">
        <v>44</v>
      </c>
      <c r="AB2476" t="s">
        <v>44</v>
      </c>
      <c r="AC2476" s="4"/>
      <c r="AD2476" s="4"/>
      <c r="AE2476" s="2">
        <v>0</v>
      </c>
      <c r="AF2476" s="4">
        <v>0</v>
      </c>
      <c r="AG2476" s="2">
        <v>0</v>
      </c>
      <c r="AH2476" s="2">
        <v>81613856.090000004</v>
      </c>
      <c r="AI2476" s="2">
        <v>0.19</v>
      </c>
      <c r="AJ2476" s="5">
        <v>44673</v>
      </c>
      <c r="AK2476" t="s">
        <v>12421</v>
      </c>
      <c r="AL2476" s="2">
        <v>0</v>
      </c>
      <c r="AM2476" s="2">
        <v>0</v>
      </c>
      <c r="AN2476" s="2">
        <v>0</v>
      </c>
      <c r="AO2476" t="s">
        <v>44</v>
      </c>
      <c r="AP2476" t="s">
        <v>12720</v>
      </c>
      <c r="AQ2476" t="s">
        <v>12719</v>
      </c>
    </row>
    <row r="2477" spans="1:43" x14ac:dyDescent="0.2">
      <c r="A2477" t="s">
        <v>12420</v>
      </c>
      <c r="B2477" t="s">
        <v>11024</v>
      </c>
      <c r="C2477" t="s">
        <v>57</v>
      </c>
      <c r="D2477" t="s">
        <v>11151</v>
      </c>
      <c r="E2477" t="s">
        <v>11151</v>
      </c>
      <c r="F2477" t="s">
        <v>11151</v>
      </c>
      <c r="G2477" s="1">
        <v>262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3">
        <v>65704</v>
      </c>
      <c r="N2477" s="4">
        <v>0</v>
      </c>
      <c r="O2477" s="5" t="s">
        <v>44</v>
      </c>
      <c r="P2477" s="5">
        <v>44727</v>
      </c>
      <c r="Q2477" s="1"/>
      <c r="R2477" s="2"/>
      <c r="S2477" s="6"/>
      <c r="T2477" t="s">
        <v>11026</v>
      </c>
      <c r="U2477" t="s">
        <v>11025</v>
      </c>
      <c r="V2477" t="s">
        <v>11027</v>
      </c>
      <c r="W2477" t="s">
        <v>43</v>
      </c>
      <c r="X2477" t="s">
        <v>44</v>
      </c>
      <c r="Y2477" t="s">
        <v>44</v>
      </c>
      <c r="Z2477" t="s">
        <v>44</v>
      </c>
      <c r="AA2477" t="s">
        <v>44</v>
      </c>
      <c r="AB2477" t="s">
        <v>44</v>
      </c>
      <c r="AC2477" s="4"/>
      <c r="AD2477" s="4"/>
      <c r="AE2477" s="2">
        <v>0</v>
      </c>
      <c r="AF2477" s="4">
        <v>0</v>
      </c>
      <c r="AG2477" s="2">
        <v>0</v>
      </c>
      <c r="AH2477" s="2">
        <v>172144480</v>
      </c>
      <c r="AI2477" s="2">
        <v>0.39</v>
      </c>
      <c r="AJ2477" s="5">
        <v>44673</v>
      </c>
      <c r="AK2477" t="s">
        <v>12421</v>
      </c>
      <c r="AL2477" s="2">
        <v>0</v>
      </c>
      <c r="AM2477" s="2">
        <v>0</v>
      </c>
      <c r="AN2477" s="2">
        <v>0</v>
      </c>
      <c r="AO2477" t="s">
        <v>44</v>
      </c>
      <c r="AP2477" t="s">
        <v>11152</v>
      </c>
      <c r="AQ2477" t="s">
        <v>11151</v>
      </c>
    </row>
    <row r="2478" spans="1:43" x14ac:dyDescent="0.2">
      <c r="A2478" t="s">
        <v>12420</v>
      </c>
      <c r="B2478" t="s">
        <v>11024</v>
      </c>
      <c r="C2478" t="s">
        <v>57</v>
      </c>
      <c r="D2478" t="s">
        <v>12995</v>
      </c>
      <c r="E2478" t="s">
        <v>12995</v>
      </c>
      <c r="F2478" t="s">
        <v>12995</v>
      </c>
      <c r="G2478" s="1">
        <v>-92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3">
        <v>11809</v>
      </c>
      <c r="N2478" s="4">
        <v>0</v>
      </c>
      <c r="O2478" s="5" t="s">
        <v>44</v>
      </c>
      <c r="P2478" s="5">
        <v>44727</v>
      </c>
      <c r="Q2478" s="1"/>
      <c r="R2478" s="2"/>
      <c r="S2478" s="6"/>
      <c r="T2478" t="s">
        <v>11153</v>
      </c>
      <c r="U2478" t="s">
        <v>11025</v>
      </c>
      <c r="V2478" t="s">
        <v>11154</v>
      </c>
      <c r="W2478" t="s">
        <v>43</v>
      </c>
      <c r="X2478" t="s">
        <v>44</v>
      </c>
      <c r="Y2478" t="s">
        <v>44</v>
      </c>
      <c r="Z2478" t="s">
        <v>44</v>
      </c>
      <c r="AA2478" t="s">
        <v>44</v>
      </c>
      <c r="AB2478" t="s">
        <v>44</v>
      </c>
      <c r="AC2478" s="4"/>
      <c r="AD2478" s="4"/>
      <c r="AE2478" s="2">
        <v>0</v>
      </c>
      <c r="AF2478" s="4">
        <v>0</v>
      </c>
      <c r="AG2478" s="2">
        <v>0</v>
      </c>
      <c r="AH2478" s="2">
        <v>18292181.489999998</v>
      </c>
      <c r="AI2478" s="2">
        <v>0.04</v>
      </c>
      <c r="AJ2478" s="5">
        <v>44673</v>
      </c>
      <c r="AK2478" t="s">
        <v>12421</v>
      </c>
      <c r="AL2478" s="2">
        <v>0</v>
      </c>
      <c r="AM2478" s="2">
        <v>0</v>
      </c>
      <c r="AN2478" s="2">
        <v>0</v>
      </c>
      <c r="AO2478" t="s">
        <v>44</v>
      </c>
      <c r="AP2478" t="s">
        <v>12999</v>
      </c>
      <c r="AQ2478" t="s">
        <v>12995</v>
      </c>
    </row>
    <row r="2479" spans="1:43" x14ac:dyDescent="0.2">
      <c r="A2479" t="s">
        <v>12420</v>
      </c>
      <c r="B2479" t="s">
        <v>11024</v>
      </c>
      <c r="C2479" t="s">
        <v>57</v>
      </c>
      <c r="D2479" t="s">
        <v>11155</v>
      </c>
      <c r="E2479" t="s">
        <v>11155</v>
      </c>
      <c r="F2479" t="s">
        <v>11155</v>
      </c>
      <c r="G2479" s="1">
        <v>-220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3">
        <v>615</v>
      </c>
      <c r="N2479" s="4">
        <v>0</v>
      </c>
      <c r="O2479" s="5" t="s">
        <v>44</v>
      </c>
      <c r="P2479" s="5">
        <v>44727</v>
      </c>
      <c r="Q2479" s="1"/>
      <c r="R2479" s="2"/>
      <c r="S2479" s="6"/>
      <c r="T2479" t="s">
        <v>11153</v>
      </c>
      <c r="U2479" t="s">
        <v>11025</v>
      </c>
      <c r="V2479" t="s">
        <v>11154</v>
      </c>
      <c r="W2479" t="s">
        <v>43</v>
      </c>
      <c r="X2479" t="s">
        <v>44</v>
      </c>
      <c r="Y2479" t="s">
        <v>44</v>
      </c>
      <c r="Z2479" t="s">
        <v>44</v>
      </c>
      <c r="AA2479" t="s">
        <v>44</v>
      </c>
      <c r="AB2479" t="s">
        <v>44</v>
      </c>
      <c r="AC2479" s="4"/>
      <c r="AD2479" s="4"/>
      <c r="AE2479" s="2">
        <v>0</v>
      </c>
      <c r="AF2479" s="4">
        <v>0</v>
      </c>
      <c r="AG2479" s="2">
        <v>0</v>
      </c>
      <c r="AH2479" s="2">
        <v>-5321380.58</v>
      </c>
      <c r="AI2479" s="2">
        <v>-0.01</v>
      </c>
      <c r="AJ2479" s="5">
        <v>44673</v>
      </c>
      <c r="AK2479" t="s">
        <v>12421</v>
      </c>
      <c r="AL2479" s="2">
        <v>0</v>
      </c>
      <c r="AM2479" s="2">
        <v>0</v>
      </c>
      <c r="AN2479" s="2">
        <v>0</v>
      </c>
      <c r="AO2479" t="s">
        <v>44</v>
      </c>
      <c r="AP2479" t="s">
        <v>11156</v>
      </c>
      <c r="AQ2479" t="s">
        <v>11155</v>
      </c>
    </row>
    <row r="2480" spans="1:43" x14ac:dyDescent="0.2">
      <c r="A2480" t="s">
        <v>12420</v>
      </c>
      <c r="B2480" t="s">
        <v>11024</v>
      </c>
      <c r="C2480" t="s">
        <v>57</v>
      </c>
      <c r="D2480" t="s">
        <v>11157</v>
      </c>
      <c r="E2480" t="s">
        <v>11157</v>
      </c>
      <c r="F2480" t="s">
        <v>11157</v>
      </c>
      <c r="G2480" s="1">
        <v>-111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3">
        <v>65741</v>
      </c>
      <c r="N2480" s="4">
        <v>0</v>
      </c>
      <c r="O2480" s="5" t="s">
        <v>44</v>
      </c>
      <c r="P2480" s="5">
        <v>44819</v>
      </c>
      <c r="Q2480" s="1"/>
      <c r="R2480" s="2"/>
      <c r="S2480" s="6"/>
      <c r="T2480" t="s">
        <v>11026</v>
      </c>
      <c r="U2480" t="s">
        <v>11025</v>
      </c>
      <c r="V2480" t="s">
        <v>11027</v>
      </c>
      <c r="W2480" t="s">
        <v>43</v>
      </c>
      <c r="X2480" t="s">
        <v>44</v>
      </c>
      <c r="Y2480" t="s">
        <v>44</v>
      </c>
      <c r="Z2480" t="s">
        <v>44</v>
      </c>
      <c r="AA2480" t="s">
        <v>44</v>
      </c>
      <c r="AB2480" t="s">
        <v>44</v>
      </c>
      <c r="AC2480" s="4"/>
      <c r="AD2480" s="4"/>
      <c r="AE2480" s="2">
        <v>0</v>
      </c>
      <c r="AF2480" s="4">
        <v>0</v>
      </c>
      <c r="AG2480" s="2">
        <v>0</v>
      </c>
      <c r="AH2480" s="2">
        <v>-72972510</v>
      </c>
      <c r="AI2480" s="2">
        <v>-0.17</v>
      </c>
      <c r="AJ2480" s="5">
        <v>44673</v>
      </c>
      <c r="AK2480" t="s">
        <v>12421</v>
      </c>
      <c r="AL2480" s="2">
        <v>0</v>
      </c>
      <c r="AM2480" s="2">
        <v>0</v>
      </c>
      <c r="AN2480" s="2">
        <v>0</v>
      </c>
      <c r="AO2480" t="s">
        <v>44</v>
      </c>
      <c r="AP2480" t="s">
        <v>11158</v>
      </c>
      <c r="AQ2480" t="s">
        <v>11157</v>
      </c>
    </row>
    <row r="2481" spans="1:43" x14ac:dyDescent="0.2">
      <c r="A2481" t="s">
        <v>12420</v>
      </c>
      <c r="B2481" t="s">
        <v>11024</v>
      </c>
      <c r="C2481" t="s">
        <v>57</v>
      </c>
      <c r="D2481" t="s">
        <v>12738</v>
      </c>
      <c r="E2481" t="s">
        <v>12738</v>
      </c>
      <c r="F2481" t="s">
        <v>12738</v>
      </c>
      <c r="G2481" s="1">
        <v>276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3">
        <v>17668</v>
      </c>
      <c r="N2481" s="4">
        <v>0</v>
      </c>
      <c r="O2481" s="5" t="s">
        <v>44</v>
      </c>
      <c r="P2481" s="5">
        <v>44819</v>
      </c>
      <c r="Q2481" s="1"/>
      <c r="R2481" s="2"/>
      <c r="S2481" s="6"/>
      <c r="T2481" t="s">
        <v>11153</v>
      </c>
      <c r="U2481" t="s">
        <v>11025</v>
      </c>
      <c r="V2481" t="s">
        <v>11154</v>
      </c>
      <c r="W2481" t="s">
        <v>43</v>
      </c>
      <c r="X2481" t="s">
        <v>44</v>
      </c>
      <c r="Y2481" t="s">
        <v>44</v>
      </c>
      <c r="Z2481" t="s">
        <v>44</v>
      </c>
      <c r="AA2481" t="s">
        <v>44</v>
      </c>
      <c r="AB2481" t="s">
        <v>44</v>
      </c>
      <c r="AC2481" s="4"/>
      <c r="AD2481" s="4"/>
      <c r="AE2481" s="2">
        <v>0</v>
      </c>
      <c r="AF2481" s="4">
        <v>0</v>
      </c>
      <c r="AG2481" s="2">
        <v>0</v>
      </c>
      <c r="AH2481" s="2">
        <v>65428503.020000003</v>
      </c>
      <c r="AI2481" s="2">
        <v>0.15</v>
      </c>
      <c r="AJ2481" s="5">
        <v>44673</v>
      </c>
      <c r="AK2481" t="s">
        <v>12421</v>
      </c>
      <c r="AL2481" s="2">
        <v>0</v>
      </c>
      <c r="AM2481" s="2">
        <v>0</v>
      </c>
      <c r="AN2481" s="2">
        <v>0</v>
      </c>
      <c r="AO2481" t="s">
        <v>44</v>
      </c>
      <c r="AP2481" t="s">
        <v>12741</v>
      </c>
      <c r="AQ2481" t="s">
        <v>12738</v>
      </c>
    </row>
    <row r="2482" spans="1:43" x14ac:dyDescent="0.2">
      <c r="A2482" t="s">
        <v>12420</v>
      </c>
      <c r="B2482" t="s">
        <v>11024</v>
      </c>
      <c r="C2482" t="s">
        <v>57</v>
      </c>
      <c r="D2482" t="s">
        <v>12722</v>
      </c>
      <c r="E2482" t="s">
        <v>12722</v>
      </c>
      <c r="F2482" t="s">
        <v>12722</v>
      </c>
      <c r="G2482" s="1">
        <v>277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3">
        <v>14076</v>
      </c>
      <c r="N2482" s="4">
        <v>0</v>
      </c>
      <c r="O2482" s="5" t="s">
        <v>44</v>
      </c>
      <c r="P2482" s="5">
        <v>44819</v>
      </c>
      <c r="Q2482" s="1"/>
      <c r="R2482" s="2"/>
      <c r="S2482" s="6"/>
      <c r="T2482" t="s">
        <v>11153</v>
      </c>
      <c r="U2482" t="s">
        <v>11025</v>
      </c>
      <c r="V2482" t="s">
        <v>11154</v>
      </c>
      <c r="W2482" t="s">
        <v>43</v>
      </c>
      <c r="X2482" t="s">
        <v>44</v>
      </c>
      <c r="Y2482" t="s">
        <v>44</v>
      </c>
      <c r="Z2482" t="s">
        <v>44</v>
      </c>
      <c r="AA2482" t="s">
        <v>44</v>
      </c>
      <c r="AB2482" t="s">
        <v>44</v>
      </c>
      <c r="AC2482" s="4"/>
      <c r="AD2482" s="4"/>
      <c r="AE2482" s="2">
        <v>0</v>
      </c>
      <c r="AF2482" s="4">
        <v>0</v>
      </c>
      <c r="AG2482" s="2">
        <v>0</v>
      </c>
      <c r="AH2482" s="2">
        <v>56542325.240000002</v>
      </c>
      <c r="AI2482" s="2">
        <v>0.13</v>
      </c>
      <c r="AJ2482" s="5">
        <v>44673</v>
      </c>
      <c r="AK2482" t="s">
        <v>12421</v>
      </c>
      <c r="AL2482" s="2">
        <v>0</v>
      </c>
      <c r="AM2482" s="2">
        <v>0</v>
      </c>
      <c r="AN2482" s="2">
        <v>0</v>
      </c>
      <c r="AO2482" t="s">
        <v>44</v>
      </c>
      <c r="AP2482" t="s">
        <v>12723</v>
      </c>
      <c r="AQ2482" t="s">
        <v>12722</v>
      </c>
    </row>
    <row r="2483" spans="1:43" x14ac:dyDescent="0.2">
      <c r="A2483" t="s">
        <v>12420</v>
      </c>
      <c r="B2483" t="s">
        <v>11024</v>
      </c>
      <c r="C2483" t="s">
        <v>57</v>
      </c>
      <c r="D2483" t="s">
        <v>12996</v>
      </c>
      <c r="E2483" t="s">
        <v>12996</v>
      </c>
      <c r="F2483" t="s">
        <v>12996</v>
      </c>
      <c r="G2483" s="1">
        <v>-178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3">
        <v>5097</v>
      </c>
      <c r="N2483" s="4">
        <v>0</v>
      </c>
      <c r="O2483" s="5" t="s">
        <v>44</v>
      </c>
      <c r="P2483" s="5">
        <v>44819</v>
      </c>
      <c r="Q2483" s="1"/>
      <c r="R2483" s="2"/>
      <c r="S2483" s="6"/>
      <c r="T2483" t="s">
        <v>11153</v>
      </c>
      <c r="U2483" t="s">
        <v>11025</v>
      </c>
      <c r="V2483" t="s">
        <v>11154</v>
      </c>
      <c r="W2483" t="s">
        <v>43</v>
      </c>
      <c r="X2483" t="s">
        <v>44</v>
      </c>
      <c r="Y2483" t="s">
        <v>44</v>
      </c>
      <c r="Z2483" t="s">
        <v>44</v>
      </c>
      <c r="AA2483" t="s">
        <v>44</v>
      </c>
      <c r="AB2483" t="s">
        <v>44</v>
      </c>
      <c r="AC2483" s="4"/>
      <c r="AD2483" s="4"/>
      <c r="AE2483" s="2">
        <v>0</v>
      </c>
      <c r="AF2483" s="4">
        <v>0</v>
      </c>
      <c r="AG2483" s="2">
        <v>0</v>
      </c>
      <c r="AH2483" s="2">
        <v>-17196350.07</v>
      </c>
      <c r="AI2483" s="2">
        <v>-0.04</v>
      </c>
      <c r="AJ2483" s="5">
        <v>44673</v>
      </c>
      <c r="AK2483" t="s">
        <v>12421</v>
      </c>
      <c r="AL2483" s="2">
        <v>0</v>
      </c>
      <c r="AM2483" s="2">
        <v>0</v>
      </c>
      <c r="AN2483" s="2">
        <v>0</v>
      </c>
      <c r="AO2483" t="s">
        <v>44</v>
      </c>
      <c r="AP2483" t="s">
        <v>13000</v>
      </c>
      <c r="AQ2483" t="s">
        <v>12996</v>
      </c>
    </row>
    <row r="2484" spans="1:43" x14ac:dyDescent="0.2">
      <c r="A2484" t="s">
        <v>12420</v>
      </c>
      <c r="B2484" t="s">
        <v>11024</v>
      </c>
      <c r="C2484" t="s">
        <v>57</v>
      </c>
      <c r="D2484" t="s">
        <v>12739</v>
      </c>
      <c r="E2484" t="s">
        <v>12739</v>
      </c>
      <c r="F2484" t="s">
        <v>12739</v>
      </c>
      <c r="G2484" s="1">
        <v>-180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3">
        <v>2268</v>
      </c>
      <c r="N2484" s="4">
        <v>0</v>
      </c>
      <c r="O2484" s="5" t="s">
        <v>44</v>
      </c>
      <c r="P2484" s="5">
        <v>44819</v>
      </c>
      <c r="Q2484" s="1"/>
      <c r="R2484" s="2"/>
      <c r="S2484" s="6"/>
      <c r="T2484" t="s">
        <v>11153</v>
      </c>
      <c r="U2484" t="s">
        <v>11025</v>
      </c>
      <c r="V2484" t="s">
        <v>11154</v>
      </c>
      <c r="W2484" t="s">
        <v>43</v>
      </c>
      <c r="X2484" t="s">
        <v>44</v>
      </c>
      <c r="Y2484" t="s">
        <v>44</v>
      </c>
      <c r="Z2484" t="s">
        <v>44</v>
      </c>
      <c r="AA2484" t="s">
        <v>44</v>
      </c>
      <c r="AB2484" t="s">
        <v>44</v>
      </c>
      <c r="AC2484" s="4"/>
      <c r="AD2484" s="4"/>
      <c r="AE2484" s="2">
        <v>0</v>
      </c>
      <c r="AF2484" s="4">
        <v>0</v>
      </c>
      <c r="AG2484" s="2">
        <v>0</v>
      </c>
      <c r="AH2484" s="2">
        <v>-8938265.9600000009</v>
      </c>
      <c r="AI2484" s="2">
        <v>-0.02</v>
      </c>
      <c r="AJ2484" s="5">
        <v>44673</v>
      </c>
      <c r="AK2484" t="s">
        <v>12421</v>
      </c>
      <c r="AL2484" s="2">
        <v>0</v>
      </c>
      <c r="AM2484" s="2">
        <v>0</v>
      </c>
      <c r="AN2484" s="2">
        <v>0</v>
      </c>
      <c r="AO2484" t="s">
        <v>44</v>
      </c>
      <c r="AP2484" t="s">
        <v>12742</v>
      </c>
      <c r="AQ2484" t="s">
        <v>12739</v>
      </c>
    </row>
    <row r="2485" spans="1:43" x14ac:dyDescent="0.2">
      <c r="A2485" t="s">
        <v>12420</v>
      </c>
      <c r="B2485" t="s">
        <v>11038</v>
      </c>
      <c r="C2485" t="s">
        <v>11222</v>
      </c>
      <c r="D2485" t="s">
        <v>11897</v>
      </c>
      <c r="E2485" t="s">
        <v>11898</v>
      </c>
      <c r="F2485" t="s">
        <v>11897</v>
      </c>
      <c r="G2485" s="1">
        <v>130000</v>
      </c>
      <c r="H2485" s="2">
        <v>130000</v>
      </c>
      <c r="I2485" s="2">
        <v>129983.03</v>
      </c>
      <c r="J2485" s="2">
        <v>1040.71</v>
      </c>
      <c r="K2485" s="2">
        <v>0</v>
      </c>
      <c r="L2485" s="2">
        <v>131023.74</v>
      </c>
      <c r="M2485" s="3">
        <v>6.2678570000000002</v>
      </c>
      <c r="N2485" s="4">
        <v>2.9808999999999999E-4</v>
      </c>
      <c r="O2485" s="5">
        <v>44719</v>
      </c>
      <c r="P2485" s="5">
        <v>45723</v>
      </c>
      <c r="Q2485" s="1">
        <v>6.2169999999999996</v>
      </c>
      <c r="R2485" s="2">
        <v>0.12</v>
      </c>
      <c r="S2485" s="6">
        <v>7.7282729554999999E-2</v>
      </c>
      <c r="T2485" t="s">
        <v>111</v>
      </c>
      <c r="U2485" t="s">
        <v>11040</v>
      </c>
      <c r="V2485" t="s">
        <v>114</v>
      </c>
      <c r="W2485" t="s">
        <v>43</v>
      </c>
      <c r="X2485" t="s">
        <v>10988</v>
      </c>
      <c r="Y2485" t="s">
        <v>44</v>
      </c>
      <c r="Z2485" t="s">
        <v>44</v>
      </c>
      <c r="AA2485" t="s">
        <v>11035</v>
      </c>
      <c r="AB2485" t="s">
        <v>44</v>
      </c>
      <c r="AC2485" s="4">
        <v>6.4439416999999999</v>
      </c>
      <c r="AD2485" s="4">
        <v>6.2611065000000004</v>
      </c>
      <c r="AE2485" s="2">
        <v>6.44</v>
      </c>
      <c r="AF2485" s="4">
        <v>6.2611065000000004</v>
      </c>
      <c r="AG2485" s="2">
        <v>0.02</v>
      </c>
      <c r="AH2485" s="2">
        <v>131023.74</v>
      </c>
      <c r="AI2485" s="2">
        <v>0</v>
      </c>
      <c r="AJ2485" s="5">
        <v>44673</v>
      </c>
      <c r="AK2485" t="s">
        <v>12421</v>
      </c>
      <c r="AL2485" s="2">
        <v>6.34</v>
      </c>
      <c r="AM2485" s="2">
        <v>6.22</v>
      </c>
      <c r="AN2485" s="2">
        <v>0.08</v>
      </c>
      <c r="AO2485" t="s">
        <v>11437</v>
      </c>
      <c r="AP2485" t="s">
        <v>11899</v>
      </c>
      <c r="AQ2485" t="s">
        <v>11898</v>
      </c>
    </row>
    <row r="2486" spans="1:43" x14ac:dyDescent="0.2">
      <c r="A2486" t="s">
        <v>12420</v>
      </c>
      <c r="B2486" t="s">
        <v>11160</v>
      </c>
      <c r="C2486" t="s">
        <v>11161</v>
      </c>
      <c r="D2486" t="s">
        <v>11162</v>
      </c>
      <c r="E2486" t="s">
        <v>11163</v>
      </c>
      <c r="F2486" t="s">
        <v>11162</v>
      </c>
      <c r="G2486" s="1">
        <v>24405</v>
      </c>
      <c r="H2486" s="2">
        <v>17350157.68</v>
      </c>
      <c r="I2486" s="2">
        <v>21964500</v>
      </c>
      <c r="J2486" s="2">
        <v>0</v>
      </c>
      <c r="K2486" s="2">
        <v>608687.44999999995</v>
      </c>
      <c r="L2486" s="2">
        <v>22573187.449999999</v>
      </c>
      <c r="M2486" s="3">
        <v>90000</v>
      </c>
      <c r="N2486" s="4">
        <v>5.1356430000000002E-2</v>
      </c>
      <c r="O2486" s="5" t="s">
        <v>44</v>
      </c>
      <c r="P2486" s="5" t="s">
        <v>44</v>
      </c>
      <c r="Q2486" s="1"/>
      <c r="R2486" s="2"/>
      <c r="S2486" s="6"/>
      <c r="T2486" t="s">
        <v>10902</v>
      </c>
      <c r="U2486" t="s">
        <v>10902</v>
      </c>
      <c r="V2486" t="s">
        <v>11164</v>
      </c>
      <c r="W2486" t="s">
        <v>43</v>
      </c>
      <c r="X2486" t="s">
        <v>44</v>
      </c>
      <c r="Y2486" t="s">
        <v>44</v>
      </c>
      <c r="Z2486" t="s">
        <v>44</v>
      </c>
      <c r="AA2486" t="s">
        <v>10979</v>
      </c>
      <c r="AB2486" t="s">
        <v>44</v>
      </c>
      <c r="AC2486" s="4"/>
      <c r="AD2486" s="4"/>
      <c r="AE2486" s="2">
        <v>0</v>
      </c>
      <c r="AF2486" s="4">
        <v>0</v>
      </c>
      <c r="AG2486" s="2">
        <v>3.78</v>
      </c>
      <c r="AH2486" s="2">
        <v>22573187.449999999</v>
      </c>
      <c r="AI2486" s="2">
        <v>0.05</v>
      </c>
      <c r="AJ2486" s="5">
        <v>44673</v>
      </c>
      <c r="AK2486" t="s">
        <v>12421</v>
      </c>
      <c r="AL2486" s="2">
        <v>0</v>
      </c>
      <c r="AM2486" s="2">
        <v>0</v>
      </c>
      <c r="AN2486" s="2">
        <v>0</v>
      </c>
      <c r="AO2486" t="s">
        <v>11165</v>
      </c>
      <c r="AP2486" t="s">
        <v>11166</v>
      </c>
      <c r="AQ2486" t="s">
        <v>11163</v>
      </c>
    </row>
    <row r="2487" spans="1:43" x14ac:dyDescent="0.2">
      <c r="A2487" t="s">
        <v>12420</v>
      </c>
      <c r="B2487" t="s">
        <v>11160</v>
      </c>
      <c r="C2487" t="s">
        <v>11161</v>
      </c>
      <c r="D2487" t="s">
        <v>11167</v>
      </c>
      <c r="E2487" t="s">
        <v>11168</v>
      </c>
      <c r="F2487" t="s">
        <v>11167</v>
      </c>
      <c r="G2487" s="1">
        <v>212715</v>
      </c>
      <c r="H2487" s="2">
        <v>19787063.760000002</v>
      </c>
      <c r="I2487" s="2">
        <v>20558904.75</v>
      </c>
      <c r="J2487" s="2">
        <v>0</v>
      </c>
      <c r="K2487" s="2">
        <v>0</v>
      </c>
      <c r="L2487" s="2">
        <v>20558904.75</v>
      </c>
      <c r="M2487" s="3">
        <v>9665</v>
      </c>
      <c r="N2487" s="4">
        <v>4.6773719999999998E-2</v>
      </c>
      <c r="O2487" s="5" t="s">
        <v>44</v>
      </c>
      <c r="P2487" s="5" t="s">
        <v>44</v>
      </c>
      <c r="Q2487" s="1"/>
      <c r="R2487" s="2"/>
      <c r="S2487" s="6"/>
      <c r="T2487" t="s">
        <v>10902</v>
      </c>
      <c r="U2487" t="s">
        <v>10902</v>
      </c>
      <c r="V2487" t="s">
        <v>11164</v>
      </c>
      <c r="W2487" t="s">
        <v>43</v>
      </c>
      <c r="X2487" t="s">
        <v>11164</v>
      </c>
      <c r="Y2487" t="s">
        <v>44</v>
      </c>
      <c r="Z2487" t="s">
        <v>44</v>
      </c>
      <c r="AA2487" t="s">
        <v>44</v>
      </c>
      <c r="AB2487" t="s">
        <v>44</v>
      </c>
      <c r="AC2487" s="4"/>
      <c r="AD2487" s="4"/>
      <c r="AE2487" s="2">
        <v>0</v>
      </c>
      <c r="AF2487" s="4">
        <v>0</v>
      </c>
      <c r="AG2487" s="2">
        <v>3.44</v>
      </c>
      <c r="AH2487" s="2">
        <v>20558904.75</v>
      </c>
      <c r="AI2487" s="2">
        <v>0.05</v>
      </c>
      <c r="AJ2487" s="5">
        <v>44673</v>
      </c>
      <c r="AK2487" t="s">
        <v>12421</v>
      </c>
      <c r="AL2487" s="2">
        <v>0</v>
      </c>
      <c r="AM2487" s="2">
        <v>0</v>
      </c>
      <c r="AN2487" s="2">
        <v>0</v>
      </c>
      <c r="AO2487" t="s">
        <v>44</v>
      </c>
      <c r="AP2487" t="s">
        <v>11169</v>
      </c>
      <c r="AQ2487" t="s">
        <v>11168</v>
      </c>
    </row>
    <row r="2488" spans="1:43" x14ac:dyDescent="0.2">
      <c r="A2488" t="s">
        <v>12420</v>
      </c>
      <c r="B2488" t="s">
        <v>11160</v>
      </c>
      <c r="C2488" t="s">
        <v>11161</v>
      </c>
      <c r="D2488" t="s">
        <v>11170</v>
      </c>
      <c r="E2488" t="s">
        <v>11171</v>
      </c>
      <c r="F2488" t="s">
        <v>11170</v>
      </c>
      <c r="G2488" s="1">
        <v>159394</v>
      </c>
      <c r="H2488" s="2">
        <v>11970695.109999999</v>
      </c>
      <c r="I2488" s="2">
        <v>15356017.960000001</v>
      </c>
      <c r="J2488" s="2">
        <v>0</v>
      </c>
      <c r="K2488" s="2">
        <v>0</v>
      </c>
      <c r="L2488" s="2">
        <v>15356017.960000001</v>
      </c>
      <c r="M2488" s="3">
        <v>9634</v>
      </c>
      <c r="N2488" s="4">
        <v>3.4936589999999997E-2</v>
      </c>
      <c r="O2488" s="5" t="s">
        <v>44</v>
      </c>
      <c r="P2488" s="5" t="s">
        <v>44</v>
      </c>
      <c r="Q2488" s="1"/>
      <c r="R2488" s="2"/>
      <c r="S2488" s="6"/>
      <c r="T2488" t="s">
        <v>10902</v>
      </c>
      <c r="U2488" t="s">
        <v>10902</v>
      </c>
      <c r="V2488" t="s">
        <v>11164</v>
      </c>
      <c r="W2488" t="s">
        <v>43</v>
      </c>
      <c r="X2488" t="s">
        <v>44</v>
      </c>
      <c r="Y2488" t="s">
        <v>44</v>
      </c>
      <c r="Z2488" t="s">
        <v>44</v>
      </c>
      <c r="AA2488" t="s">
        <v>44</v>
      </c>
      <c r="AB2488" t="s">
        <v>44</v>
      </c>
      <c r="AC2488" s="4"/>
      <c r="AD2488" s="4"/>
      <c r="AE2488" s="2">
        <v>0</v>
      </c>
      <c r="AF2488" s="4">
        <v>0</v>
      </c>
      <c r="AG2488" s="2">
        <v>2.57</v>
      </c>
      <c r="AH2488" s="2">
        <v>15356017.960000001</v>
      </c>
      <c r="AI2488" s="2">
        <v>0.03</v>
      </c>
      <c r="AJ2488" s="5">
        <v>44673</v>
      </c>
      <c r="AK2488" t="s">
        <v>12421</v>
      </c>
      <c r="AL2488" s="2">
        <v>0</v>
      </c>
      <c r="AM2488" s="2">
        <v>0</v>
      </c>
      <c r="AN2488" s="2">
        <v>0</v>
      </c>
      <c r="AO2488" t="s">
        <v>44</v>
      </c>
      <c r="AP2488" t="s">
        <v>11172</v>
      </c>
      <c r="AQ2488" t="s">
        <v>11171</v>
      </c>
    </row>
    <row r="2489" spans="1:43" x14ac:dyDescent="0.2">
      <c r="A2489" t="s">
        <v>12420</v>
      </c>
      <c r="B2489" t="s">
        <v>11160</v>
      </c>
      <c r="C2489" t="s">
        <v>11161</v>
      </c>
      <c r="D2489" t="s">
        <v>11173</v>
      </c>
      <c r="E2489" t="s">
        <v>11174</v>
      </c>
      <c r="F2489" t="s">
        <v>11173</v>
      </c>
      <c r="G2489" s="1">
        <v>51830</v>
      </c>
      <c r="H2489" s="2">
        <v>4164022.93</v>
      </c>
      <c r="I2489" s="2">
        <v>4457380</v>
      </c>
      <c r="J2489" s="2">
        <v>0</v>
      </c>
      <c r="K2489" s="2">
        <v>0</v>
      </c>
      <c r="L2489" s="2">
        <v>4457380</v>
      </c>
      <c r="M2489" s="3">
        <v>8600</v>
      </c>
      <c r="N2489" s="4">
        <v>1.0141020000000001E-2</v>
      </c>
      <c r="O2489" s="5" t="s">
        <v>44</v>
      </c>
      <c r="P2489" s="5" t="s">
        <v>44</v>
      </c>
      <c r="Q2489" s="1"/>
      <c r="R2489" s="2"/>
      <c r="S2489" s="6"/>
      <c r="T2489" t="s">
        <v>10902</v>
      </c>
      <c r="U2489" t="s">
        <v>10902</v>
      </c>
      <c r="V2489" t="s">
        <v>11164</v>
      </c>
      <c r="W2489" t="s">
        <v>43</v>
      </c>
      <c r="X2489" t="s">
        <v>44</v>
      </c>
      <c r="Y2489" t="s">
        <v>44</v>
      </c>
      <c r="Z2489" t="s">
        <v>44</v>
      </c>
      <c r="AA2489" t="s">
        <v>44</v>
      </c>
      <c r="AB2489" t="s">
        <v>44</v>
      </c>
      <c r="AC2489" s="4"/>
      <c r="AD2489" s="4"/>
      <c r="AE2489" s="2">
        <v>0</v>
      </c>
      <c r="AF2489" s="4">
        <v>0</v>
      </c>
      <c r="AG2489" s="2">
        <v>0.75</v>
      </c>
      <c r="AH2489" s="2">
        <v>4457380</v>
      </c>
      <c r="AI2489" s="2">
        <v>0.01</v>
      </c>
      <c r="AJ2489" s="5">
        <v>44673</v>
      </c>
      <c r="AK2489" t="s">
        <v>12421</v>
      </c>
      <c r="AL2489" s="2">
        <v>0</v>
      </c>
      <c r="AM2489" s="2">
        <v>0</v>
      </c>
      <c r="AN2489" s="2">
        <v>0</v>
      </c>
      <c r="AO2489" t="s">
        <v>44</v>
      </c>
      <c r="AP2489" t="s">
        <v>11175</v>
      </c>
      <c r="AQ2489" t="s">
        <v>11174</v>
      </c>
    </row>
    <row r="2490" spans="1:43" x14ac:dyDescent="0.2">
      <c r="A2490" t="s">
        <v>12420</v>
      </c>
      <c r="B2490" t="s">
        <v>11160</v>
      </c>
      <c r="C2490" t="s">
        <v>11161</v>
      </c>
      <c r="D2490" t="s">
        <v>11176</v>
      </c>
      <c r="E2490" t="s">
        <v>11177</v>
      </c>
      <c r="F2490" t="s">
        <v>11178</v>
      </c>
      <c r="G2490" s="1">
        <v>120383</v>
      </c>
      <c r="H2490" s="2">
        <v>9676100.1999999993</v>
      </c>
      <c r="I2490" s="2">
        <v>11122185.369999999</v>
      </c>
      <c r="J2490" s="2">
        <v>0</v>
      </c>
      <c r="K2490" s="2">
        <v>0</v>
      </c>
      <c r="L2490" s="2">
        <v>11122185.369999999</v>
      </c>
      <c r="M2490" s="3">
        <v>9239</v>
      </c>
      <c r="N2490" s="4">
        <v>2.5304170000000001E-2</v>
      </c>
      <c r="O2490" s="5" t="s">
        <v>44</v>
      </c>
      <c r="P2490" s="5" t="s">
        <v>44</v>
      </c>
      <c r="Q2490" s="1"/>
      <c r="R2490" s="2"/>
      <c r="S2490" s="6"/>
      <c r="T2490" t="s">
        <v>10902</v>
      </c>
      <c r="U2490" t="s">
        <v>10902</v>
      </c>
      <c r="V2490" t="s">
        <v>11164</v>
      </c>
      <c r="W2490" t="s">
        <v>43</v>
      </c>
      <c r="X2490" t="s">
        <v>44</v>
      </c>
      <c r="Y2490" t="s">
        <v>44</v>
      </c>
      <c r="Z2490" t="s">
        <v>44</v>
      </c>
      <c r="AA2490" t="s">
        <v>10979</v>
      </c>
      <c r="AB2490" t="s">
        <v>44</v>
      </c>
      <c r="AC2490" s="4"/>
      <c r="AD2490" s="4"/>
      <c r="AE2490" s="2">
        <v>0</v>
      </c>
      <c r="AF2490" s="4">
        <v>0</v>
      </c>
      <c r="AG2490" s="2">
        <v>1.86</v>
      </c>
      <c r="AH2490" s="2">
        <v>11122185.369999999</v>
      </c>
      <c r="AI2490" s="2">
        <v>0.03</v>
      </c>
      <c r="AJ2490" s="5">
        <v>44673</v>
      </c>
      <c r="AK2490" t="s">
        <v>12421</v>
      </c>
      <c r="AL2490" s="2">
        <v>0</v>
      </c>
      <c r="AM2490" s="2">
        <v>0</v>
      </c>
      <c r="AN2490" s="2">
        <v>0</v>
      </c>
      <c r="AO2490" t="s">
        <v>11179</v>
      </c>
      <c r="AP2490" t="s">
        <v>11180</v>
      </c>
      <c r="AQ2490" t="s">
        <v>11177</v>
      </c>
    </row>
    <row r="2491" spans="1:43" x14ac:dyDescent="0.2">
      <c r="A2491" t="s">
        <v>12420</v>
      </c>
      <c r="B2491" t="s">
        <v>10951</v>
      </c>
      <c r="C2491" t="s">
        <v>10952</v>
      </c>
      <c r="D2491" t="s">
        <v>11028</v>
      </c>
      <c r="E2491" t="s">
        <v>11029</v>
      </c>
      <c r="F2491" t="s">
        <v>11028</v>
      </c>
      <c r="G2491" s="1">
        <v>24364967.699700002</v>
      </c>
      <c r="H2491" s="2">
        <v>24438759.079999998</v>
      </c>
      <c r="I2491" s="2">
        <v>24396642.16</v>
      </c>
      <c r="J2491" s="2">
        <v>0</v>
      </c>
      <c r="K2491" s="2">
        <v>0</v>
      </c>
      <c r="L2491" s="2">
        <v>24396642.16</v>
      </c>
      <c r="M2491" s="3">
        <v>1.0013000000000001</v>
      </c>
      <c r="N2491" s="4">
        <v>5.5504989999999997E-2</v>
      </c>
      <c r="O2491" s="5" t="s">
        <v>44</v>
      </c>
      <c r="P2491" s="5" t="s">
        <v>44</v>
      </c>
      <c r="Q2491" s="1"/>
      <c r="R2491" s="2"/>
      <c r="S2491" s="6"/>
      <c r="T2491" t="s">
        <v>10902</v>
      </c>
      <c r="U2491" t="s">
        <v>10953</v>
      </c>
      <c r="V2491" t="s">
        <v>10954</v>
      </c>
      <c r="W2491" t="s">
        <v>43</v>
      </c>
      <c r="X2491" t="s">
        <v>44</v>
      </c>
      <c r="Y2491" t="s">
        <v>44</v>
      </c>
      <c r="Z2491" t="s">
        <v>44</v>
      </c>
      <c r="AA2491" t="s">
        <v>44</v>
      </c>
      <c r="AB2491" t="s">
        <v>44</v>
      </c>
      <c r="AC2491" s="4"/>
      <c r="AD2491" s="4"/>
      <c r="AE2491" s="2">
        <v>0</v>
      </c>
      <c r="AF2491" s="4">
        <v>0</v>
      </c>
      <c r="AG2491" s="2">
        <v>4.08</v>
      </c>
      <c r="AH2491" s="2">
        <v>24396642.16</v>
      </c>
      <c r="AI2491" s="2">
        <v>0.06</v>
      </c>
      <c r="AJ2491" s="5">
        <v>44673</v>
      </c>
      <c r="AK2491" t="s">
        <v>12421</v>
      </c>
      <c r="AL2491" s="2">
        <v>0</v>
      </c>
      <c r="AM2491" s="2">
        <v>0</v>
      </c>
      <c r="AN2491" s="2">
        <v>0</v>
      </c>
      <c r="AO2491" t="s">
        <v>44</v>
      </c>
      <c r="AP2491" t="s">
        <v>44</v>
      </c>
      <c r="AQ2491" t="s">
        <v>11029</v>
      </c>
    </row>
    <row r="2492" spans="1:43" x14ac:dyDescent="0.2">
      <c r="A2492" t="s">
        <v>12420</v>
      </c>
      <c r="B2492" t="s">
        <v>11030</v>
      </c>
      <c r="C2492" t="s">
        <v>11030</v>
      </c>
      <c r="D2492" t="s">
        <v>12724</v>
      </c>
      <c r="E2492" t="s">
        <v>12717</v>
      </c>
      <c r="F2492" t="s">
        <v>12724</v>
      </c>
      <c r="G2492" s="1">
        <v>-182</v>
      </c>
      <c r="H2492" s="2"/>
      <c r="I2492" s="2">
        <v>0</v>
      </c>
      <c r="J2492" s="2"/>
      <c r="K2492" s="2"/>
      <c r="L2492" s="2">
        <v>0</v>
      </c>
      <c r="M2492" s="3"/>
      <c r="N2492" s="4">
        <v>0</v>
      </c>
      <c r="O2492" s="5" t="s">
        <v>44</v>
      </c>
      <c r="P2492" s="5" t="s">
        <v>44</v>
      </c>
      <c r="Q2492" s="1"/>
      <c r="R2492" s="2"/>
      <c r="S2492" s="6"/>
      <c r="T2492" t="s">
        <v>11031</v>
      </c>
      <c r="U2492" t="s">
        <v>11032</v>
      </c>
      <c r="V2492" t="s">
        <v>45</v>
      </c>
      <c r="W2492" t="s">
        <v>43</v>
      </c>
      <c r="X2492" t="s">
        <v>44</v>
      </c>
      <c r="Y2492" t="s">
        <v>44</v>
      </c>
      <c r="Z2492" t="s">
        <v>44</v>
      </c>
      <c r="AA2492" t="s">
        <v>44</v>
      </c>
      <c r="AB2492" t="s">
        <v>44</v>
      </c>
      <c r="AC2492" s="4"/>
      <c r="AD2492" s="4"/>
      <c r="AE2492" s="2">
        <v>0</v>
      </c>
      <c r="AF2492" s="4">
        <v>0</v>
      </c>
      <c r="AG2492" s="2">
        <v>0</v>
      </c>
      <c r="AH2492" s="2">
        <v>120016260</v>
      </c>
      <c r="AI2492" s="2">
        <v>0.27</v>
      </c>
      <c r="AJ2492" s="5">
        <v>44673</v>
      </c>
      <c r="AK2492" t="s">
        <v>12421</v>
      </c>
      <c r="AL2492" s="2">
        <v>0</v>
      </c>
      <c r="AM2492" s="2">
        <v>0</v>
      </c>
      <c r="AN2492" s="2">
        <v>0</v>
      </c>
      <c r="AO2492" t="s">
        <v>44</v>
      </c>
      <c r="AP2492" t="s">
        <v>44</v>
      </c>
      <c r="AQ2492" t="s">
        <v>11182</v>
      </c>
    </row>
    <row r="2493" spans="1:43" x14ac:dyDescent="0.2">
      <c r="A2493" t="s">
        <v>12420</v>
      </c>
      <c r="B2493" t="s">
        <v>11030</v>
      </c>
      <c r="C2493" t="s">
        <v>11030</v>
      </c>
      <c r="D2493" t="s">
        <v>12725</v>
      </c>
      <c r="E2493" t="s">
        <v>12719</v>
      </c>
      <c r="F2493" t="s">
        <v>12725</v>
      </c>
      <c r="G2493" s="1">
        <v>333</v>
      </c>
      <c r="H2493" s="2"/>
      <c r="I2493" s="2">
        <v>0</v>
      </c>
      <c r="J2493" s="2"/>
      <c r="K2493" s="2"/>
      <c r="L2493" s="2">
        <v>0</v>
      </c>
      <c r="M2493" s="3"/>
      <c r="N2493" s="4">
        <v>0</v>
      </c>
      <c r="O2493" s="5" t="s">
        <v>44</v>
      </c>
      <c r="P2493" s="5" t="s">
        <v>44</v>
      </c>
      <c r="Q2493" s="1"/>
      <c r="R2493" s="2"/>
      <c r="S2493" s="6"/>
      <c r="T2493" t="s">
        <v>11031</v>
      </c>
      <c r="U2493" t="s">
        <v>11183</v>
      </c>
      <c r="V2493" t="s">
        <v>45</v>
      </c>
      <c r="W2493" t="s">
        <v>43</v>
      </c>
      <c r="X2493" t="s">
        <v>44</v>
      </c>
      <c r="Y2493" t="s">
        <v>44</v>
      </c>
      <c r="Z2493" t="s">
        <v>44</v>
      </c>
      <c r="AA2493" t="s">
        <v>44</v>
      </c>
      <c r="AB2493" t="s">
        <v>44</v>
      </c>
      <c r="AC2493" s="4"/>
      <c r="AD2493" s="4"/>
      <c r="AE2493" s="2">
        <v>0</v>
      </c>
      <c r="AF2493" s="4">
        <v>0</v>
      </c>
      <c r="AG2493" s="2">
        <v>0</v>
      </c>
      <c r="AH2493" s="2">
        <v>-81613856.090000004</v>
      </c>
      <c r="AI2493" s="2">
        <v>-0.19</v>
      </c>
      <c r="AJ2493" s="5">
        <v>44673</v>
      </c>
      <c r="AK2493" t="s">
        <v>12421</v>
      </c>
      <c r="AL2493" s="2">
        <v>0</v>
      </c>
      <c r="AM2493" s="2">
        <v>0</v>
      </c>
      <c r="AN2493" s="2">
        <v>0</v>
      </c>
      <c r="AO2493" t="s">
        <v>44</v>
      </c>
      <c r="AP2493" t="s">
        <v>44</v>
      </c>
      <c r="AQ2493" t="s">
        <v>11182</v>
      </c>
    </row>
    <row r="2494" spans="1:43" x14ac:dyDescent="0.2">
      <c r="A2494" t="s">
        <v>12420</v>
      </c>
      <c r="B2494" t="s">
        <v>11030</v>
      </c>
      <c r="C2494" t="s">
        <v>11030</v>
      </c>
      <c r="D2494" t="s">
        <v>11181</v>
      </c>
      <c r="E2494" t="s">
        <v>11151</v>
      </c>
      <c r="F2494" t="s">
        <v>11181</v>
      </c>
      <c r="G2494" s="1">
        <v>262</v>
      </c>
      <c r="H2494" s="2"/>
      <c r="I2494" s="2">
        <v>0</v>
      </c>
      <c r="J2494" s="2"/>
      <c r="K2494" s="2"/>
      <c r="L2494" s="2">
        <v>0</v>
      </c>
      <c r="M2494" s="3"/>
      <c r="N2494" s="4">
        <v>0</v>
      </c>
      <c r="O2494" s="5" t="s">
        <v>44</v>
      </c>
      <c r="P2494" s="5" t="s">
        <v>44</v>
      </c>
      <c r="Q2494" s="1"/>
      <c r="R2494" s="2"/>
      <c r="S2494" s="6"/>
      <c r="T2494" t="s">
        <v>11031</v>
      </c>
      <c r="U2494" t="s">
        <v>11032</v>
      </c>
      <c r="V2494" t="s">
        <v>45</v>
      </c>
      <c r="W2494" t="s">
        <v>43</v>
      </c>
      <c r="X2494" t="s">
        <v>44</v>
      </c>
      <c r="Y2494" t="s">
        <v>44</v>
      </c>
      <c r="Z2494" t="s">
        <v>44</v>
      </c>
      <c r="AA2494" t="s">
        <v>44</v>
      </c>
      <c r="AB2494" t="s">
        <v>44</v>
      </c>
      <c r="AC2494" s="4"/>
      <c r="AD2494" s="4"/>
      <c r="AE2494" s="2">
        <v>0</v>
      </c>
      <c r="AF2494" s="4">
        <v>0</v>
      </c>
      <c r="AG2494" s="2">
        <v>0</v>
      </c>
      <c r="AH2494" s="2">
        <v>-172144480</v>
      </c>
      <c r="AI2494" s="2">
        <v>-0.39</v>
      </c>
      <c r="AJ2494" s="5">
        <v>44673</v>
      </c>
      <c r="AK2494" t="s">
        <v>12421</v>
      </c>
      <c r="AL2494" s="2">
        <v>0</v>
      </c>
      <c r="AM2494" s="2">
        <v>0</v>
      </c>
      <c r="AN2494" s="2">
        <v>0</v>
      </c>
      <c r="AO2494" t="s">
        <v>44</v>
      </c>
      <c r="AP2494" t="s">
        <v>44</v>
      </c>
      <c r="AQ2494" t="s">
        <v>11182</v>
      </c>
    </row>
    <row r="2495" spans="1:43" x14ac:dyDescent="0.2">
      <c r="A2495" t="s">
        <v>12420</v>
      </c>
      <c r="B2495" t="s">
        <v>11030</v>
      </c>
      <c r="C2495" t="s">
        <v>11030</v>
      </c>
      <c r="D2495" t="s">
        <v>13001</v>
      </c>
      <c r="E2495" t="s">
        <v>12995</v>
      </c>
      <c r="F2495" t="s">
        <v>13001</v>
      </c>
      <c r="G2495" s="1">
        <v>-92</v>
      </c>
      <c r="H2495" s="2"/>
      <c r="I2495" s="2">
        <v>0</v>
      </c>
      <c r="J2495" s="2"/>
      <c r="K2495" s="2"/>
      <c r="L2495" s="2">
        <v>0</v>
      </c>
      <c r="M2495" s="3"/>
      <c r="N2495" s="4">
        <v>0</v>
      </c>
      <c r="O2495" s="5" t="s">
        <v>44</v>
      </c>
      <c r="P2495" s="5" t="s">
        <v>44</v>
      </c>
      <c r="Q2495" s="1"/>
      <c r="R2495" s="2"/>
      <c r="S2495" s="6"/>
      <c r="T2495" t="s">
        <v>11031</v>
      </c>
      <c r="U2495" t="s">
        <v>11183</v>
      </c>
      <c r="V2495" t="s">
        <v>45</v>
      </c>
      <c r="W2495" t="s">
        <v>43</v>
      </c>
      <c r="X2495" t="s">
        <v>44</v>
      </c>
      <c r="Y2495" t="s">
        <v>44</v>
      </c>
      <c r="Z2495" t="s">
        <v>44</v>
      </c>
      <c r="AA2495" t="s">
        <v>44</v>
      </c>
      <c r="AB2495" t="s">
        <v>44</v>
      </c>
      <c r="AC2495" s="4"/>
      <c r="AD2495" s="4"/>
      <c r="AE2495" s="2">
        <v>0</v>
      </c>
      <c r="AF2495" s="4">
        <v>0</v>
      </c>
      <c r="AG2495" s="2">
        <v>0</v>
      </c>
      <c r="AH2495" s="2">
        <v>-18292181.489999998</v>
      </c>
      <c r="AI2495" s="2">
        <v>-0.04</v>
      </c>
      <c r="AJ2495" s="5">
        <v>44673</v>
      </c>
      <c r="AK2495" t="s">
        <v>12421</v>
      </c>
      <c r="AL2495" s="2">
        <v>0</v>
      </c>
      <c r="AM2495" s="2">
        <v>0</v>
      </c>
      <c r="AN2495" s="2">
        <v>0</v>
      </c>
      <c r="AO2495" t="s">
        <v>44</v>
      </c>
      <c r="AP2495" t="s">
        <v>44</v>
      </c>
      <c r="AQ2495" t="s">
        <v>11182</v>
      </c>
    </row>
    <row r="2496" spans="1:43" x14ac:dyDescent="0.2">
      <c r="A2496" t="s">
        <v>12420</v>
      </c>
      <c r="B2496" t="s">
        <v>11030</v>
      </c>
      <c r="C2496" t="s">
        <v>11030</v>
      </c>
      <c r="D2496" t="s">
        <v>11184</v>
      </c>
      <c r="E2496" t="s">
        <v>11155</v>
      </c>
      <c r="F2496" t="s">
        <v>11184</v>
      </c>
      <c r="G2496" s="1">
        <v>-220</v>
      </c>
      <c r="H2496" s="2"/>
      <c r="I2496" s="2">
        <v>0</v>
      </c>
      <c r="J2496" s="2"/>
      <c r="K2496" s="2"/>
      <c r="L2496" s="2">
        <v>0</v>
      </c>
      <c r="M2496" s="3"/>
      <c r="N2496" s="4">
        <v>0</v>
      </c>
      <c r="O2496" s="5" t="s">
        <v>44</v>
      </c>
      <c r="P2496" s="5" t="s">
        <v>44</v>
      </c>
      <c r="Q2496" s="1"/>
      <c r="R2496" s="2"/>
      <c r="S2496" s="6"/>
      <c r="T2496" t="s">
        <v>11031</v>
      </c>
      <c r="U2496" t="s">
        <v>11183</v>
      </c>
      <c r="V2496" t="s">
        <v>45</v>
      </c>
      <c r="W2496" t="s">
        <v>43</v>
      </c>
      <c r="X2496" t="s">
        <v>44</v>
      </c>
      <c r="Y2496" t="s">
        <v>44</v>
      </c>
      <c r="Z2496" t="s">
        <v>44</v>
      </c>
      <c r="AA2496" t="s">
        <v>44</v>
      </c>
      <c r="AB2496" t="s">
        <v>44</v>
      </c>
      <c r="AC2496" s="4"/>
      <c r="AD2496" s="4"/>
      <c r="AE2496" s="2">
        <v>0</v>
      </c>
      <c r="AF2496" s="4">
        <v>0</v>
      </c>
      <c r="AG2496" s="2">
        <v>0</v>
      </c>
      <c r="AH2496" s="2">
        <v>5321380.58</v>
      </c>
      <c r="AI2496" s="2">
        <v>0.01</v>
      </c>
      <c r="AJ2496" s="5">
        <v>44673</v>
      </c>
      <c r="AK2496" t="s">
        <v>12421</v>
      </c>
      <c r="AL2496" s="2">
        <v>0</v>
      </c>
      <c r="AM2496" s="2">
        <v>0</v>
      </c>
      <c r="AN2496" s="2">
        <v>0</v>
      </c>
      <c r="AO2496" t="s">
        <v>44</v>
      </c>
      <c r="AP2496" t="s">
        <v>44</v>
      </c>
      <c r="AQ2496" t="s">
        <v>11182</v>
      </c>
    </row>
    <row r="2497" spans="1:43" x14ac:dyDescent="0.2">
      <c r="A2497" t="s">
        <v>12420</v>
      </c>
      <c r="B2497" t="s">
        <v>11030</v>
      </c>
      <c r="C2497" t="s">
        <v>11030</v>
      </c>
      <c r="D2497" t="s">
        <v>11185</v>
      </c>
      <c r="E2497" t="s">
        <v>11157</v>
      </c>
      <c r="F2497" t="s">
        <v>11185</v>
      </c>
      <c r="G2497" s="1">
        <v>-111</v>
      </c>
      <c r="H2497" s="2"/>
      <c r="I2497" s="2">
        <v>0</v>
      </c>
      <c r="J2497" s="2"/>
      <c r="K2497" s="2"/>
      <c r="L2497" s="2">
        <v>0</v>
      </c>
      <c r="M2497" s="3"/>
      <c r="N2497" s="4">
        <v>0</v>
      </c>
      <c r="O2497" s="5" t="s">
        <v>44</v>
      </c>
      <c r="P2497" s="5" t="s">
        <v>44</v>
      </c>
      <c r="Q2497" s="1"/>
      <c r="R2497" s="2"/>
      <c r="S2497" s="6"/>
      <c r="T2497" t="s">
        <v>11031</v>
      </c>
      <c r="U2497" t="s">
        <v>11032</v>
      </c>
      <c r="V2497" t="s">
        <v>45</v>
      </c>
      <c r="W2497" t="s">
        <v>43</v>
      </c>
      <c r="X2497" t="s">
        <v>44</v>
      </c>
      <c r="Y2497" t="s">
        <v>44</v>
      </c>
      <c r="Z2497" t="s">
        <v>44</v>
      </c>
      <c r="AA2497" t="s">
        <v>44</v>
      </c>
      <c r="AB2497" t="s">
        <v>44</v>
      </c>
      <c r="AC2497" s="4"/>
      <c r="AD2497" s="4"/>
      <c r="AE2497" s="2">
        <v>0</v>
      </c>
      <c r="AF2497" s="4">
        <v>0</v>
      </c>
      <c r="AG2497" s="2">
        <v>0</v>
      </c>
      <c r="AH2497" s="2">
        <v>72972510</v>
      </c>
      <c r="AI2497" s="2">
        <v>0.17</v>
      </c>
      <c r="AJ2497" s="5">
        <v>44673</v>
      </c>
      <c r="AK2497" t="s">
        <v>12421</v>
      </c>
      <c r="AL2497" s="2">
        <v>0</v>
      </c>
      <c r="AM2497" s="2">
        <v>0</v>
      </c>
      <c r="AN2497" s="2">
        <v>0</v>
      </c>
      <c r="AO2497" t="s">
        <v>44</v>
      </c>
      <c r="AP2497" t="s">
        <v>44</v>
      </c>
      <c r="AQ2497" t="s">
        <v>11182</v>
      </c>
    </row>
    <row r="2498" spans="1:43" x14ac:dyDescent="0.2">
      <c r="A2498" t="s">
        <v>12420</v>
      </c>
      <c r="B2498" t="s">
        <v>11030</v>
      </c>
      <c r="C2498" t="s">
        <v>11030</v>
      </c>
      <c r="D2498" t="s">
        <v>12743</v>
      </c>
      <c r="E2498" t="s">
        <v>12738</v>
      </c>
      <c r="F2498" t="s">
        <v>12743</v>
      </c>
      <c r="G2498" s="1">
        <v>276</v>
      </c>
      <c r="H2498" s="2"/>
      <c r="I2498" s="2">
        <v>0</v>
      </c>
      <c r="J2498" s="2"/>
      <c r="K2498" s="2"/>
      <c r="L2498" s="2">
        <v>0</v>
      </c>
      <c r="M2498" s="3"/>
      <c r="N2498" s="4">
        <v>0</v>
      </c>
      <c r="O2498" s="5" t="s">
        <v>44</v>
      </c>
      <c r="P2498" s="5" t="s">
        <v>44</v>
      </c>
      <c r="Q2498" s="1"/>
      <c r="R2498" s="2"/>
      <c r="S2498" s="6"/>
      <c r="T2498" t="s">
        <v>11031</v>
      </c>
      <c r="U2498" t="s">
        <v>11183</v>
      </c>
      <c r="V2498" t="s">
        <v>45</v>
      </c>
      <c r="W2498" t="s">
        <v>43</v>
      </c>
      <c r="X2498" t="s">
        <v>44</v>
      </c>
      <c r="Y2498" t="s">
        <v>44</v>
      </c>
      <c r="Z2498" t="s">
        <v>44</v>
      </c>
      <c r="AA2498" t="s">
        <v>44</v>
      </c>
      <c r="AB2498" t="s">
        <v>44</v>
      </c>
      <c r="AC2498" s="4"/>
      <c r="AD2498" s="4"/>
      <c r="AE2498" s="2">
        <v>0</v>
      </c>
      <c r="AF2498" s="4">
        <v>0</v>
      </c>
      <c r="AG2498" s="2">
        <v>0</v>
      </c>
      <c r="AH2498" s="2">
        <v>-65428503.020000003</v>
      </c>
      <c r="AI2498" s="2">
        <v>-0.15</v>
      </c>
      <c r="AJ2498" s="5">
        <v>44673</v>
      </c>
      <c r="AK2498" t="s">
        <v>12421</v>
      </c>
      <c r="AL2498" s="2">
        <v>0</v>
      </c>
      <c r="AM2498" s="2">
        <v>0</v>
      </c>
      <c r="AN2498" s="2">
        <v>0</v>
      </c>
      <c r="AO2498" t="s">
        <v>44</v>
      </c>
      <c r="AP2498" t="s">
        <v>44</v>
      </c>
      <c r="AQ2498" t="s">
        <v>11182</v>
      </c>
    </row>
    <row r="2499" spans="1:43" x14ac:dyDescent="0.2">
      <c r="A2499" t="s">
        <v>12420</v>
      </c>
      <c r="B2499" t="s">
        <v>11030</v>
      </c>
      <c r="C2499" t="s">
        <v>11030</v>
      </c>
      <c r="D2499" t="s">
        <v>12726</v>
      </c>
      <c r="E2499" t="s">
        <v>12722</v>
      </c>
      <c r="F2499" t="s">
        <v>12726</v>
      </c>
      <c r="G2499" s="1">
        <v>277</v>
      </c>
      <c r="H2499" s="2"/>
      <c r="I2499" s="2">
        <v>0</v>
      </c>
      <c r="J2499" s="2"/>
      <c r="K2499" s="2"/>
      <c r="L2499" s="2">
        <v>0</v>
      </c>
      <c r="M2499" s="3"/>
      <c r="N2499" s="4">
        <v>0</v>
      </c>
      <c r="O2499" s="5" t="s">
        <v>44</v>
      </c>
      <c r="P2499" s="5" t="s">
        <v>44</v>
      </c>
      <c r="Q2499" s="1"/>
      <c r="R2499" s="2"/>
      <c r="S2499" s="6"/>
      <c r="T2499" t="s">
        <v>11031</v>
      </c>
      <c r="U2499" t="s">
        <v>11183</v>
      </c>
      <c r="V2499" t="s">
        <v>45</v>
      </c>
      <c r="W2499" t="s">
        <v>43</v>
      </c>
      <c r="X2499" t="s">
        <v>44</v>
      </c>
      <c r="Y2499" t="s">
        <v>44</v>
      </c>
      <c r="Z2499" t="s">
        <v>44</v>
      </c>
      <c r="AA2499" t="s">
        <v>44</v>
      </c>
      <c r="AB2499" t="s">
        <v>44</v>
      </c>
      <c r="AC2499" s="4"/>
      <c r="AD2499" s="4"/>
      <c r="AE2499" s="2">
        <v>0</v>
      </c>
      <c r="AF2499" s="4">
        <v>0</v>
      </c>
      <c r="AG2499" s="2">
        <v>0</v>
      </c>
      <c r="AH2499" s="2">
        <v>-56542325.240000002</v>
      </c>
      <c r="AI2499" s="2">
        <v>-0.13</v>
      </c>
      <c r="AJ2499" s="5">
        <v>44673</v>
      </c>
      <c r="AK2499" t="s">
        <v>12421</v>
      </c>
      <c r="AL2499" s="2">
        <v>0</v>
      </c>
      <c r="AM2499" s="2">
        <v>0</v>
      </c>
      <c r="AN2499" s="2">
        <v>0</v>
      </c>
      <c r="AO2499" t="s">
        <v>44</v>
      </c>
      <c r="AP2499" t="s">
        <v>44</v>
      </c>
      <c r="AQ2499" t="s">
        <v>11182</v>
      </c>
    </row>
    <row r="2500" spans="1:43" x14ac:dyDescent="0.2">
      <c r="A2500" t="s">
        <v>12420</v>
      </c>
      <c r="B2500" t="s">
        <v>11030</v>
      </c>
      <c r="C2500" t="s">
        <v>11030</v>
      </c>
      <c r="D2500" t="s">
        <v>13002</v>
      </c>
      <c r="E2500" t="s">
        <v>12996</v>
      </c>
      <c r="F2500" t="s">
        <v>13002</v>
      </c>
      <c r="G2500" s="1">
        <v>-178</v>
      </c>
      <c r="H2500" s="2"/>
      <c r="I2500" s="2">
        <v>0</v>
      </c>
      <c r="J2500" s="2"/>
      <c r="K2500" s="2"/>
      <c r="L2500" s="2">
        <v>0</v>
      </c>
      <c r="M2500" s="3"/>
      <c r="N2500" s="4">
        <v>0</v>
      </c>
      <c r="O2500" s="5" t="s">
        <v>44</v>
      </c>
      <c r="P2500" s="5" t="s">
        <v>44</v>
      </c>
      <c r="Q2500" s="1"/>
      <c r="R2500" s="2"/>
      <c r="S2500" s="6"/>
      <c r="T2500" t="s">
        <v>11031</v>
      </c>
      <c r="U2500" t="s">
        <v>11183</v>
      </c>
      <c r="V2500" t="s">
        <v>45</v>
      </c>
      <c r="W2500" t="s">
        <v>43</v>
      </c>
      <c r="X2500" t="s">
        <v>44</v>
      </c>
      <c r="Y2500" t="s">
        <v>44</v>
      </c>
      <c r="Z2500" t="s">
        <v>44</v>
      </c>
      <c r="AA2500" t="s">
        <v>44</v>
      </c>
      <c r="AB2500" t="s">
        <v>44</v>
      </c>
      <c r="AC2500" s="4"/>
      <c r="AD2500" s="4"/>
      <c r="AE2500" s="2">
        <v>0</v>
      </c>
      <c r="AF2500" s="4">
        <v>0</v>
      </c>
      <c r="AG2500" s="2">
        <v>0</v>
      </c>
      <c r="AH2500" s="2">
        <v>17196350.07</v>
      </c>
      <c r="AI2500" s="2">
        <v>0.04</v>
      </c>
      <c r="AJ2500" s="5">
        <v>44673</v>
      </c>
      <c r="AK2500" t="s">
        <v>12421</v>
      </c>
      <c r="AL2500" s="2">
        <v>0</v>
      </c>
      <c r="AM2500" s="2">
        <v>0</v>
      </c>
      <c r="AN2500" s="2">
        <v>0</v>
      </c>
      <c r="AO2500" t="s">
        <v>44</v>
      </c>
      <c r="AP2500" t="s">
        <v>44</v>
      </c>
      <c r="AQ2500" t="s">
        <v>11182</v>
      </c>
    </row>
    <row r="2501" spans="1:43" x14ac:dyDescent="0.2">
      <c r="A2501" t="s">
        <v>12420</v>
      </c>
      <c r="B2501" t="s">
        <v>11030</v>
      </c>
      <c r="C2501" t="s">
        <v>11030</v>
      </c>
      <c r="D2501" t="s">
        <v>12744</v>
      </c>
      <c r="E2501" t="s">
        <v>12739</v>
      </c>
      <c r="F2501" t="s">
        <v>12744</v>
      </c>
      <c r="G2501" s="1">
        <v>-180</v>
      </c>
      <c r="H2501" s="2"/>
      <c r="I2501" s="2">
        <v>0</v>
      </c>
      <c r="J2501" s="2"/>
      <c r="K2501" s="2"/>
      <c r="L2501" s="2">
        <v>0</v>
      </c>
      <c r="M2501" s="3"/>
      <c r="N2501" s="4">
        <v>0</v>
      </c>
      <c r="O2501" s="5" t="s">
        <v>44</v>
      </c>
      <c r="P2501" s="5" t="s">
        <v>44</v>
      </c>
      <c r="Q2501" s="1"/>
      <c r="R2501" s="2"/>
      <c r="S2501" s="6"/>
      <c r="T2501" t="s">
        <v>11031</v>
      </c>
      <c r="U2501" t="s">
        <v>11183</v>
      </c>
      <c r="V2501" t="s">
        <v>45</v>
      </c>
      <c r="W2501" t="s">
        <v>43</v>
      </c>
      <c r="X2501" t="s">
        <v>44</v>
      </c>
      <c r="Y2501" t="s">
        <v>44</v>
      </c>
      <c r="Z2501" t="s">
        <v>44</v>
      </c>
      <c r="AA2501" t="s">
        <v>44</v>
      </c>
      <c r="AB2501" t="s">
        <v>44</v>
      </c>
      <c r="AC2501" s="4"/>
      <c r="AD2501" s="4"/>
      <c r="AE2501" s="2">
        <v>0</v>
      </c>
      <c r="AF2501" s="4">
        <v>0</v>
      </c>
      <c r="AG2501" s="2">
        <v>0</v>
      </c>
      <c r="AH2501" s="2">
        <v>8938265.9600000009</v>
      </c>
      <c r="AI2501" s="2">
        <v>0.02</v>
      </c>
      <c r="AJ2501" s="5">
        <v>44673</v>
      </c>
      <c r="AK2501" t="s">
        <v>12421</v>
      </c>
      <c r="AL2501" s="2">
        <v>0</v>
      </c>
      <c r="AM2501" s="2">
        <v>0</v>
      </c>
      <c r="AN2501" s="2">
        <v>0</v>
      </c>
      <c r="AO2501" t="s">
        <v>44</v>
      </c>
      <c r="AP2501" t="s">
        <v>44</v>
      </c>
      <c r="AQ2501" t="s">
        <v>11182</v>
      </c>
    </row>
    <row r="2502" spans="1:43" x14ac:dyDescent="0.2">
      <c r="A2502" t="s">
        <v>12422</v>
      </c>
      <c r="B2502" t="s">
        <v>10900</v>
      </c>
      <c r="C2502" t="s">
        <v>11049</v>
      </c>
      <c r="D2502" t="s">
        <v>11260</v>
      </c>
      <c r="E2502" t="s">
        <v>11261</v>
      </c>
      <c r="F2502" t="s">
        <v>11260</v>
      </c>
      <c r="G2502" s="1">
        <v>20000000</v>
      </c>
      <c r="H2502" s="2">
        <v>20000000</v>
      </c>
      <c r="I2502" s="2">
        <v>20000000</v>
      </c>
      <c r="J2502" s="2">
        <v>67638.899999999994</v>
      </c>
      <c r="K2502" s="2">
        <v>0</v>
      </c>
      <c r="L2502" s="2">
        <v>20067638.899999999</v>
      </c>
      <c r="M2502" s="3">
        <v>4.0849159999999998</v>
      </c>
      <c r="N2502" s="4">
        <v>4.5656040000000002E-2</v>
      </c>
      <c r="O2502" s="5">
        <v>44680</v>
      </c>
      <c r="P2502" s="5">
        <v>44680</v>
      </c>
      <c r="Q2502" s="1">
        <v>5.367</v>
      </c>
      <c r="R2502" s="2">
        <v>0.23</v>
      </c>
      <c r="S2502" s="6">
        <v>0.223471011459</v>
      </c>
      <c r="T2502" t="s">
        <v>111</v>
      </c>
      <c r="U2502" t="s">
        <v>111</v>
      </c>
      <c r="V2502" t="s">
        <v>11189</v>
      </c>
      <c r="W2502" t="s">
        <v>43</v>
      </c>
      <c r="X2502" t="s">
        <v>11034</v>
      </c>
      <c r="Y2502" t="s">
        <v>44</v>
      </c>
      <c r="Z2502" t="s">
        <v>44</v>
      </c>
      <c r="AA2502" t="s">
        <v>44</v>
      </c>
      <c r="AB2502" t="s">
        <v>44</v>
      </c>
      <c r="AC2502" s="4">
        <v>4.1266325000000004</v>
      </c>
      <c r="AD2502" s="4">
        <v>4.0505802500000003</v>
      </c>
      <c r="AE2502" s="2">
        <v>4.13</v>
      </c>
      <c r="AF2502" s="4">
        <v>4.0505802500000003</v>
      </c>
      <c r="AG2502" s="2">
        <v>1.49</v>
      </c>
      <c r="AH2502" s="2">
        <v>20067638.899999999</v>
      </c>
      <c r="AI2502" s="2">
        <v>0.05</v>
      </c>
      <c r="AJ2502" s="5">
        <v>44673</v>
      </c>
      <c r="AK2502" t="s">
        <v>12423</v>
      </c>
      <c r="AL2502" s="2">
        <v>4.08</v>
      </c>
      <c r="AM2502" s="2">
        <v>5.37</v>
      </c>
      <c r="AN2502" s="2">
        <v>0.22</v>
      </c>
      <c r="AO2502" t="s">
        <v>11263</v>
      </c>
      <c r="AP2502" t="s">
        <v>11264</v>
      </c>
      <c r="AQ2502" t="s">
        <v>11261</v>
      </c>
    </row>
    <row r="2503" spans="1:43" x14ac:dyDescent="0.2">
      <c r="A2503" t="s">
        <v>12422</v>
      </c>
      <c r="B2503" t="s">
        <v>10900</v>
      </c>
      <c r="C2503" t="s">
        <v>11049</v>
      </c>
      <c r="D2503" t="s">
        <v>12424</v>
      </c>
      <c r="E2503" t="s">
        <v>12425</v>
      </c>
      <c r="F2503" t="s">
        <v>12424</v>
      </c>
      <c r="G2503" s="1">
        <v>70000</v>
      </c>
      <c r="H2503" s="2">
        <v>71402.91</v>
      </c>
      <c r="I2503" s="2">
        <v>71284.539999999994</v>
      </c>
      <c r="J2503" s="2">
        <v>802.6</v>
      </c>
      <c r="K2503" s="2">
        <v>0</v>
      </c>
      <c r="L2503" s="2">
        <v>72087.14</v>
      </c>
      <c r="M2503" s="3">
        <v>5.48</v>
      </c>
      <c r="N2503" s="4">
        <v>1.6401E-4</v>
      </c>
      <c r="O2503" s="5">
        <v>44804</v>
      </c>
      <c r="P2503" s="5">
        <v>44985</v>
      </c>
      <c r="Q2503" s="1">
        <v>7.75</v>
      </c>
      <c r="R2503" s="2">
        <v>0.83</v>
      </c>
      <c r="S2503" s="6">
        <v>0.80725145300000001</v>
      </c>
      <c r="T2503" t="s">
        <v>111</v>
      </c>
      <c r="U2503" t="s">
        <v>111</v>
      </c>
      <c r="V2503" t="s">
        <v>10944</v>
      </c>
      <c r="W2503" t="s">
        <v>43</v>
      </c>
      <c r="X2503" t="s">
        <v>10945</v>
      </c>
      <c r="Y2503" t="s">
        <v>44</v>
      </c>
      <c r="Z2503" t="s">
        <v>44</v>
      </c>
      <c r="AA2503" t="s">
        <v>10913</v>
      </c>
      <c r="AB2503" t="s">
        <v>44</v>
      </c>
      <c r="AC2503" s="4">
        <v>5.5550759999999997</v>
      </c>
      <c r="AD2503" s="4">
        <v>5.4184643399999999</v>
      </c>
      <c r="AE2503" s="2">
        <v>5.56</v>
      </c>
      <c r="AF2503" s="4">
        <v>5.4184643399999999</v>
      </c>
      <c r="AG2503" s="2">
        <v>0.01</v>
      </c>
      <c r="AH2503" s="2">
        <v>72087.14</v>
      </c>
      <c r="AI2503" s="2">
        <v>0</v>
      </c>
      <c r="AJ2503" s="5">
        <v>44673</v>
      </c>
      <c r="AK2503" t="s">
        <v>12423</v>
      </c>
      <c r="AL2503" s="2">
        <v>5.48</v>
      </c>
      <c r="AM2503" s="2">
        <v>7.75</v>
      </c>
      <c r="AN2503" s="2">
        <v>0.81</v>
      </c>
      <c r="AO2503" t="s">
        <v>10922</v>
      </c>
      <c r="AP2503" t="s">
        <v>12426</v>
      </c>
      <c r="AQ2503" t="s">
        <v>12425</v>
      </c>
    </row>
    <row r="2504" spans="1:43" x14ac:dyDescent="0.2">
      <c r="A2504" t="s">
        <v>12422</v>
      </c>
      <c r="B2504" t="s">
        <v>10900</v>
      </c>
      <c r="C2504" t="s">
        <v>11049</v>
      </c>
      <c r="D2504" t="s">
        <v>11265</v>
      </c>
      <c r="E2504" t="s">
        <v>11266</v>
      </c>
      <c r="F2504" t="s">
        <v>11265</v>
      </c>
      <c r="G2504" s="1">
        <v>5400000</v>
      </c>
      <c r="H2504" s="2">
        <v>5142199.82</v>
      </c>
      <c r="I2504" s="2">
        <v>5142199.82</v>
      </c>
      <c r="J2504" s="2">
        <v>0</v>
      </c>
      <c r="K2504" s="2">
        <v>0</v>
      </c>
      <c r="L2504" s="2">
        <v>5142199.82</v>
      </c>
      <c r="M2504" s="3">
        <v>6.3099970000000001</v>
      </c>
      <c r="N2504" s="4">
        <v>1.1699060000000001E-2</v>
      </c>
      <c r="O2504" s="5" t="s">
        <v>44</v>
      </c>
      <c r="P2504" s="5">
        <v>44964</v>
      </c>
      <c r="Q2504" s="1">
        <v>0</v>
      </c>
      <c r="R2504" s="2">
        <v>0.79</v>
      </c>
      <c r="S2504" s="6">
        <v>0.75161913127000002</v>
      </c>
      <c r="T2504" t="s">
        <v>112</v>
      </c>
      <c r="U2504" t="s">
        <v>111</v>
      </c>
      <c r="V2504" t="s">
        <v>11238</v>
      </c>
      <c r="W2504" t="s">
        <v>43</v>
      </c>
      <c r="X2504" t="s">
        <v>44</v>
      </c>
      <c r="Y2504" t="s">
        <v>44</v>
      </c>
      <c r="Z2504" t="s">
        <v>44</v>
      </c>
      <c r="AA2504" t="s">
        <v>10979</v>
      </c>
      <c r="AB2504" t="s">
        <v>44</v>
      </c>
      <c r="AC2504" s="4">
        <v>6.4095368800000001</v>
      </c>
      <c r="AD2504" s="4">
        <v>6.2286110399999997</v>
      </c>
      <c r="AE2504" s="2">
        <v>6.41</v>
      </c>
      <c r="AF2504" s="4">
        <v>6.2286110399999997</v>
      </c>
      <c r="AG2504" s="2">
        <v>0.38</v>
      </c>
      <c r="AH2504" s="2">
        <v>5142199.82</v>
      </c>
      <c r="AI2504" s="2">
        <v>0.01</v>
      </c>
      <c r="AJ2504" s="5">
        <v>44673</v>
      </c>
      <c r="AK2504" t="s">
        <v>12423</v>
      </c>
      <c r="AL2504" s="2">
        <v>6.31</v>
      </c>
      <c r="AM2504" s="2">
        <v>0</v>
      </c>
      <c r="AN2504" s="2">
        <v>0.75</v>
      </c>
      <c r="AO2504" t="s">
        <v>10982</v>
      </c>
      <c r="AP2504" t="s">
        <v>11267</v>
      </c>
      <c r="AQ2504" t="s">
        <v>11266</v>
      </c>
    </row>
    <row r="2505" spans="1:43" x14ac:dyDescent="0.2">
      <c r="A2505" t="s">
        <v>12422</v>
      </c>
      <c r="B2505" t="s">
        <v>10900</v>
      </c>
      <c r="C2505" t="s">
        <v>11033</v>
      </c>
      <c r="D2505" t="s">
        <v>11245</v>
      </c>
      <c r="E2505" t="s">
        <v>11246</v>
      </c>
      <c r="F2505" t="s">
        <v>11245</v>
      </c>
      <c r="G2505" s="1">
        <v>414000</v>
      </c>
      <c r="H2505" s="2">
        <v>445425.3</v>
      </c>
      <c r="I2505" s="2">
        <v>436011.22</v>
      </c>
      <c r="J2505" s="2">
        <v>20579.77</v>
      </c>
      <c r="K2505" s="2">
        <v>0</v>
      </c>
      <c r="L2505" s="2">
        <v>456590.99</v>
      </c>
      <c r="M2505" s="3">
        <v>7.0979999999999999</v>
      </c>
      <c r="N2505" s="4">
        <v>1.0387899999999999E-3</v>
      </c>
      <c r="O2505" s="5">
        <v>44687</v>
      </c>
      <c r="P2505" s="5">
        <v>45236</v>
      </c>
      <c r="Q2505" s="1">
        <v>10.8</v>
      </c>
      <c r="R2505" s="2">
        <v>1.39</v>
      </c>
      <c r="S2505" s="6">
        <v>1.339661854</v>
      </c>
      <c r="T2505" t="s">
        <v>111</v>
      </c>
      <c r="U2505" t="s">
        <v>111</v>
      </c>
      <c r="V2505" t="s">
        <v>10944</v>
      </c>
      <c r="W2505" t="s">
        <v>43</v>
      </c>
      <c r="X2505" t="s">
        <v>10988</v>
      </c>
      <c r="Y2505" t="s">
        <v>44</v>
      </c>
      <c r="Z2505" t="s">
        <v>44</v>
      </c>
      <c r="AA2505" t="s">
        <v>10979</v>
      </c>
      <c r="AB2505" t="s">
        <v>44</v>
      </c>
      <c r="AC2505" s="4">
        <v>7.2239540099999999</v>
      </c>
      <c r="AD2505" s="4">
        <v>6.9952590600000004</v>
      </c>
      <c r="AE2505" s="2">
        <v>7.22</v>
      </c>
      <c r="AF2505" s="4">
        <v>6.9952590600000004</v>
      </c>
      <c r="AG2505" s="2">
        <v>0.03</v>
      </c>
      <c r="AH2505" s="2">
        <v>456590.99</v>
      </c>
      <c r="AI2505" s="2">
        <v>0</v>
      </c>
      <c r="AJ2505" s="5">
        <v>44673</v>
      </c>
      <c r="AK2505" t="s">
        <v>12423</v>
      </c>
      <c r="AL2505" s="2">
        <v>7.1</v>
      </c>
      <c r="AM2505" s="2">
        <v>10.8</v>
      </c>
      <c r="AN2505" s="2">
        <v>1.34</v>
      </c>
      <c r="AO2505" t="s">
        <v>10982</v>
      </c>
      <c r="AP2505" t="s">
        <v>11247</v>
      </c>
      <c r="AQ2505" t="s">
        <v>11246</v>
      </c>
    </row>
    <row r="2506" spans="1:43" x14ac:dyDescent="0.2">
      <c r="A2506" t="s">
        <v>12422</v>
      </c>
      <c r="B2506" t="s">
        <v>10900</v>
      </c>
      <c r="C2506" t="s">
        <v>10943</v>
      </c>
      <c r="D2506" t="s">
        <v>12427</v>
      </c>
      <c r="E2506" t="s">
        <v>185</v>
      </c>
      <c r="F2506" t="s">
        <v>12427</v>
      </c>
      <c r="G2506" s="1">
        <v>1968000</v>
      </c>
      <c r="H2506" s="2">
        <v>2011793.94</v>
      </c>
      <c r="I2506" s="2">
        <v>1886326.03</v>
      </c>
      <c r="J2506" s="2">
        <v>8888.35</v>
      </c>
      <c r="K2506" s="2">
        <v>0</v>
      </c>
      <c r="L2506" s="2">
        <v>1895214.38</v>
      </c>
      <c r="M2506" s="3">
        <v>9.125</v>
      </c>
      <c r="N2506" s="4">
        <v>4.3118200000000001E-3</v>
      </c>
      <c r="O2506" s="5">
        <v>44837</v>
      </c>
      <c r="P2506" s="5">
        <v>46114</v>
      </c>
      <c r="Q2506" s="1">
        <v>7.85</v>
      </c>
      <c r="R2506" s="2">
        <v>3.43</v>
      </c>
      <c r="S2506" s="6">
        <v>3.2841379750000002</v>
      </c>
      <c r="T2506" t="s">
        <v>111</v>
      </c>
      <c r="U2506" t="s">
        <v>111</v>
      </c>
      <c r="V2506" t="s">
        <v>10944</v>
      </c>
      <c r="W2506" t="s">
        <v>43</v>
      </c>
      <c r="X2506" t="s">
        <v>12428</v>
      </c>
      <c r="Y2506" t="s">
        <v>44</v>
      </c>
      <c r="Z2506" t="s">
        <v>44</v>
      </c>
      <c r="AA2506" t="s">
        <v>10913</v>
      </c>
      <c r="AB2506" t="s">
        <v>44</v>
      </c>
      <c r="AC2506" s="4">
        <v>9.3331640599999997</v>
      </c>
      <c r="AD2506" s="4">
        <v>8.9562155899999993</v>
      </c>
      <c r="AE2506" s="2">
        <v>9.33</v>
      </c>
      <c r="AF2506" s="4">
        <v>8.9562155899999993</v>
      </c>
      <c r="AG2506" s="2">
        <v>0.14000000000000001</v>
      </c>
      <c r="AH2506" s="2">
        <v>1895214.38</v>
      </c>
      <c r="AI2506" s="2">
        <v>0</v>
      </c>
      <c r="AJ2506" s="5">
        <v>44673</v>
      </c>
      <c r="AK2506" t="s">
        <v>12423</v>
      </c>
      <c r="AL2506" s="2">
        <v>9.1300000000000008</v>
      </c>
      <c r="AM2506" s="2">
        <v>7.85</v>
      </c>
      <c r="AN2506" s="2">
        <v>3.28</v>
      </c>
      <c r="AO2506" t="s">
        <v>12146</v>
      </c>
      <c r="AP2506" t="s">
        <v>12429</v>
      </c>
      <c r="AQ2506" t="s">
        <v>185</v>
      </c>
    </row>
    <row r="2507" spans="1:43" x14ac:dyDescent="0.2">
      <c r="A2507" t="s">
        <v>12422</v>
      </c>
      <c r="B2507" t="s">
        <v>10900</v>
      </c>
      <c r="C2507" t="s">
        <v>10943</v>
      </c>
      <c r="D2507" t="s">
        <v>11849</v>
      </c>
      <c r="E2507" t="s">
        <v>11850</v>
      </c>
      <c r="F2507" t="s">
        <v>11849</v>
      </c>
      <c r="G2507" s="1">
        <v>300000</v>
      </c>
      <c r="H2507" s="2">
        <v>325411.39</v>
      </c>
      <c r="I2507" s="2">
        <v>312476.25</v>
      </c>
      <c r="J2507" s="2">
        <v>1717.81</v>
      </c>
      <c r="K2507" s="2">
        <v>0</v>
      </c>
      <c r="L2507" s="2">
        <v>314194.06</v>
      </c>
      <c r="M2507" s="3">
        <v>8.3550000000000004</v>
      </c>
      <c r="N2507" s="4">
        <v>7.1482999999999996E-4</v>
      </c>
      <c r="O2507" s="5">
        <v>44837</v>
      </c>
      <c r="P2507" s="5">
        <v>46296</v>
      </c>
      <c r="Q2507" s="1">
        <v>9.5</v>
      </c>
      <c r="R2507" s="2">
        <v>3.72</v>
      </c>
      <c r="S2507" s="6">
        <v>3.5673572199999999</v>
      </c>
      <c r="T2507" t="s">
        <v>111</v>
      </c>
      <c r="U2507" t="s">
        <v>111</v>
      </c>
      <c r="V2507" t="s">
        <v>10944</v>
      </c>
      <c r="W2507" t="s">
        <v>43</v>
      </c>
      <c r="X2507" t="s">
        <v>10988</v>
      </c>
      <c r="Y2507" t="s">
        <v>44</v>
      </c>
      <c r="Z2507" t="s">
        <v>44</v>
      </c>
      <c r="AA2507" t="s">
        <v>10979</v>
      </c>
      <c r="AB2507" t="s">
        <v>44</v>
      </c>
      <c r="AC2507" s="4">
        <v>8.5295150599999996</v>
      </c>
      <c r="AD2507" s="4">
        <v>8.2131770100000008</v>
      </c>
      <c r="AE2507" s="2">
        <v>8.5299999999999994</v>
      </c>
      <c r="AF2507" s="4">
        <v>8.2131770100000008</v>
      </c>
      <c r="AG2507" s="2">
        <v>0.02</v>
      </c>
      <c r="AH2507" s="2">
        <v>314194.06</v>
      </c>
      <c r="AI2507" s="2">
        <v>0</v>
      </c>
      <c r="AJ2507" s="5">
        <v>44673</v>
      </c>
      <c r="AK2507" t="s">
        <v>12423</v>
      </c>
      <c r="AL2507" s="2">
        <v>8.35</v>
      </c>
      <c r="AM2507" s="2">
        <v>9.5</v>
      </c>
      <c r="AN2507" s="2">
        <v>3.57</v>
      </c>
      <c r="AO2507" t="s">
        <v>11054</v>
      </c>
      <c r="AP2507" t="s">
        <v>11851</v>
      </c>
      <c r="AQ2507" t="s">
        <v>11850</v>
      </c>
    </row>
    <row r="2508" spans="1:43" x14ac:dyDescent="0.2">
      <c r="A2508" t="s">
        <v>12422</v>
      </c>
      <c r="B2508" t="s">
        <v>10900</v>
      </c>
      <c r="C2508" t="s">
        <v>10943</v>
      </c>
      <c r="D2508" t="s">
        <v>11135</v>
      </c>
      <c r="E2508" t="s">
        <v>10946</v>
      </c>
      <c r="F2508" t="s">
        <v>11135</v>
      </c>
      <c r="G2508" s="1">
        <v>26560000</v>
      </c>
      <c r="H2508" s="2">
        <v>30351379.91</v>
      </c>
      <c r="I2508" s="2">
        <v>28855567.52</v>
      </c>
      <c r="J2508" s="2">
        <v>939844.93</v>
      </c>
      <c r="K2508" s="2">
        <v>0</v>
      </c>
      <c r="L2508" s="2">
        <v>29795412.449999999</v>
      </c>
      <c r="M2508" s="3">
        <v>8.2249999999999996</v>
      </c>
      <c r="N2508" s="4">
        <v>6.7787769999999997E-2</v>
      </c>
      <c r="O2508" s="5">
        <v>44733</v>
      </c>
      <c r="P2508" s="5">
        <v>46377</v>
      </c>
      <c r="Q2508" s="1">
        <v>10.5</v>
      </c>
      <c r="R2508" s="2">
        <v>3.72</v>
      </c>
      <c r="S2508" s="6">
        <v>3.572672968</v>
      </c>
      <c r="T2508" t="s">
        <v>111</v>
      </c>
      <c r="U2508" t="s">
        <v>111</v>
      </c>
      <c r="V2508" t="s">
        <v>10944</v>
      </c>
      <c r="W2508" t="s">
        <v>43</v>
      </c>
      <c r="X2508" t="s">
        <v>10945</v>
      </c>
      <c r="Y2508" t="s">
        <v>44</v>
      </c>
      <c r="Z2508" t="s">
        <v>44</v>
      </c>
      <c r="AA2508" t="s">
        <v>10913</v>
      </c>
      <c r="AB2508" t="s">
        <v>44</v>
      </c>
      <c r="AC2508" s="4">
        <v>8.3941265600000001</v>
      </c>
      <c r="AD2508" s="4">
        <v>8.0875032299999994</v>
      </c>
      <c r="AE2508" s="2">
        <v>8.39</v>
      </c>
      <c r="AF2508" s="4">
        <v>8.0875032299999994</v>
      </c>
      <c r="AG2508" s="2">
        <v>2.21</v>
      </c>
      <c r="AH2508" s="2">
        <v>29795412.449999999</v>
      </c>
      <c r="AI2508" s="2">
        <v>7.0000000000000007E-2</v>
      </c>
      <c r="AJ2508" s="5">
        <v>44673</v>
      </c>
      <c r="AK2508" t="s">
        <v>12423</v>
      </c>
      <c r="AL2508" s="2">
        <v>8.23</v>
      </c>
      <c r="AM2508" s="2">
        <v>10.5</v>
      </c>
      <c r="AN2508" s="2">
        <v>3.57</v>
      </c>
      <c r="AO2508" t="s">
        <v>10922</v>
      </c>
      <c r="AP2508" t="s">
        <v>11136</v>
      </c>
      <c r="AQ2508" t="s">
        <v>10946</v>
      </c>
    </row>
    <row r="2509" spans="1:43" x14ac:dyDescent="0.2">
      <c r="A2509" t="s">
        <v>12422</v>
      </c>
      <c r="B2509" t="s">
        <v>10900</v>
      </c>
      <c r="C2509" t="s">
        <v>10943</v>
      </c>
      <c r="D2509" t="s">
        <v>11251</v>
      </c>
      <c r="E2509" t="s">
        <v>11252</v>
      </c>
      <c r="F2509" t="s">
        <v>11251</v>
      </c>
      <c r="G2509" s="1">
        <v>442000</v>
      </c>
      <c r="H2509" s="2">
        <v>455348.62</v>
      </c>
      <c r="I2509" s="2">
        <v>418633.63</v>
      </c>
      <c r="J2509" s="2">
        <v>17244.05</v>
      </c>
      <c r="K2509" s="2">
        <v>0</v>
      </c>
      <c r="L2509" s="2">
        <v>435877.68</v>
      </c>
      <c r="M2509" s="3">
        <v>10.175000000000001</v>
      </c>
      <c r="N2509" s="4">
        <v>9.9167000000000005E-4</v>
      </c>
      <c r="O2509" s="5">
        <v>44697</v>
      </c>
      <c r="P2509" s="5">
        <v>46705</v>
      </c>
      <c r="Q2509" s="1">
        <v>8.9</v>
      </c>
      <c r="R2509" s="2">
        <v>4.29</v>
      </c>
      <c r="S2509" s="6">
        <v>4.0791219989999998</v>
      </c>
      <c r="T2509" t="s">
        <v>111</v>
      </c>
      <c r="U2509" t="s">
        <v>111</v>
      </c>
      <c r="V2509" t="s">
        <v>10944</v>
      </c>
      <c r="W2509" t="s">
        <v>43</v>
      </c>
      <c r="X2509" t="s">
        <v>10988</v>
      </c>
      <c r="Y2509" t="s">
        <v>44</v>
      </c>
      <c r="Z2509" t="s">
        <v>44</v>
      </c>
      <c r="AA2509" t="s">
        <v>10979</v>
      </c>
      <c r="AB2509" t="s">
        <v>44</v>
      </c>
      <c r="AC2509" s="4">
        <v>10.43382656</v>
      </c>
      <c r="AD2509" s="4">
        <v>9.9657844200000003</v>
      </c>
      <c r="AE2509" s="2">
        <v>10.43</v>
      </c>
      <c r="AF2509" s="4">
        <v>9.9657844200000003</v>
      </c>
      <c r="AG2509" s="2">
        <v>0.03</v>
      </c>
      <c r="AH2509" s="2">
        <v>435877.68</v>
      </c>
      <c r="AI2509" s="2">
        <v>0</v>
      </c>
      <c r="AJ2509" s="5">
        <v>44673</v>
      </c>
      <c r="AK2509" t="s">
        <v>12423</v>
      </c>
      <c r="AL2509" s="2">
        <v>10.18</v>
      </c>
      <c r="AM2509" s="2">
        <v>8.9</v>
      </c>
      <c r="AN2509" s="2">
        <v>4.08</v>
      </c>
      <c r="AO2509" t="s">
        <v>10982</v>
      </c>
      <c r="AP2509" t="s">
        <v>11253</v>
      </c>
      <c r="AQ2509" t="s">
        <v>11252</v>
      </c>
    </row>
    <row r="2510" spans="1:43" x14ac:dyDescent="0.2">
      <c r="A2510" t="s">
        <v>12422</v>
      </c>
      <c r="B2510" t="s">
        <v>10900</v>
      </c>
      <c r="C2510" t="s">
        <v>10943</v>
      </c>
      <c r="D2510" t="s">
        <v>11254</v>
      </c>
      <c r="E2510" t="s">
        <v>11255</v>
      </c>
      <c r="F2510" t="s">
        <v>11254</v>
      </c>
      <c r="G2510" s="1">
        <v>592000</v>
      </c>
      <c r="H2510" s="2">
        <v>612109.91</v>
      </c>
      <c r="I2510" s="2">
        <v>600529.6</v>
      </c>
      <c r="J2510" s="2">
        <v>9707.18</v>
      </c>
      <c r="K2510" s="2">
        <v>0</v>
      </c>
      <c r="L2510" s="2">
        <v>610236.78</v>
      </c>
      <c r="M2510" s="3">
        <v>8.9849999999999994</v>
      </c>
      <c r="N2510" s="4">
        <v>1.38835E-3</v>
      </c>
      <c r="O2510" s="5">
        <v>44792</v>
      </c>
      <c r="P2510" s="5">
        <v>45888</v>
      </c>
      <c r="Q2510" s="1">
        <v>9.5</v>
      </c>
      <c r="R2510" s="2">
        <v>2.88</v>
      </c>
      <c r="S2510" s="6">
        <v>2.758619087</v>
      </c>
      <c r="T2510" t="s">
        <v>111</v>
      </c>
      <c r="U2510" t="s">
        <v>111</v>
      </c>
      <c r="V2510" t="s">
        <v>10944</v>
      </c>
      <c r="W2510" t="s">
        <v>43</v>
      </c>
      <c r="X2510" t="s">
        <v>10988</v>
      </c>
      <c r="Y2510" t="s">
        <v>44</v>
      </c>
      <c r="Z2510" t="s">
        <v>44</v>
      </c>
      <c r="AA2510" t="s">
        <v>10979</v>
      </c>
      <c r="AB2510" t="s">
        <v>44</v>
      </c>
      <c r="AC2510" s="4">
        <v>9.1868255600000008</v>
      </c>
      <c r="AD2510" s="4">
        <v>8.8212874400000008</v>
      </c>
      <c r="AE2510" s="2">
        <v>9.19</v>
      </c>
      <c r="AF2510" s="4">
        <v>8.8212874400000008</v>
      </c>
      <c r="AG2510" s="2">
        <v>0.05</v>
      </c>
      <c r="AH2510" s="2">
        <v>610236.78</v>
      </c>
      <c r="AI2510" s="2">
        <v>0</v>
      </c>
      <c r="AJ2510" s="5">
        <v>44673</v>
      </c>
      <c r="AK2510" t="s">
        <v>12423</v>
      </c>
      <c r="AL2510" s="2">
        <v>8.99</v>
      </c>
      <c r="AM2510" s="2">
        <v>9.5</v>
      </c>
      <c r="AN2510" s="2">
        <v>2.76</v>
      </c>
      <c r="AO2510" t="s">
        <v>10982</v>
      </c>
      <c r="AP2510" t="s">
        <v>11256</v>
      </c>
      <c r="AQ2510" t="s">
        <v>11255</v>
      </c>
    </row>
    <row r="2511" spans="1:43" x14ac:dyDescent="0.2">
      <c r="A2511" t="s">
        <v>12422</v>
      </c>
      <c r="B2511" t="s">
        <v>10900</v>
      </c>
      <c r="C2511" t="s">
        <v>11137</v>
      </c>
      <c r="D2511" t="s">
        <v>12430</v>
      </c>
      <c r="E2511" t="s">
        <v>177</v>
      </c>
      <c r="F2511" t="s">
        <v>12430</v>
      </c>
      <c r="G2511" s="1">
        <v>2065000</v>
      </c>
      <c r="H2511" s="2">
        <v>1660556.53</v>
      </c>
      <c r="I2511" s="2">
        <v>1545657.46</v>
      </c>
      <c r="J2511" s="2">
        <v>16548.29</v>
      </c>
      <c r="K2511" s="2">
        <v>0</v>
      </c>
      <c r="L2511" s="2">
        <v>1562205.75</v>
      </c>
      <c r="M2511" s="3">
        <v>11.515000000000001</v>
      </c>
      <c r="N2511" s="4">
        <v>3.55419E-3</v>
      </c>
      <c r="O2511" s="5">
        <v>44819</v>
      </c>
      <c r="P2511" s="5">
        <v>48837</v>
      </c>
      <c r="Q2511" s="1">
        <v>7.5</v>
      </c>
      <c r="R2511" s="2">
        <v>7.16</v>
      </c>
      <c r="S2511" s="6">
        <v>6.7727685199999996</v>
      </c>
      <c r="T2511" t="s">
        <v>111</v>
      </c>
      <c r="U2511" t="s">
        <v>111</v>
      </c>
      <c r="V2511" t="s">
        <v>10944</v>
      </c>
      <c r="W2511" t="s">
        <v>43</v>
      </c>
      <c r="X2511" t="s">
        <v>10945</v>
      </c>
      <c r="Y2511" t="s">
        <v>44</v>
      </c>
      <c r="Z2511" t="s">
        <v>44</v>
      </c>
      <c r="AA2511" t="s">
        <v>10913</v>
      </c>
      <c r="AB2511" t="s">
        <v>44</v>
      </c>
      <c r="AC2511" s="4">
        <v>11.84648806</v>
      </c>
      <c r="AD2511" s="4">
        <v>11.248099720000001</v>
      </c>
      <c r="AE2511" s="2">
        <v>11.85</v>
      </c>
      <c r="AF2511" s="4">
        <v>11.248099720000001</v>
      </c>
      <c r="AG2511" s="2">
        <v>0.12</v>
      </c>
      <c r="AH2511" s="2">
        <v>1562205.75</v>
      </c>
      <c r="AI2511" s="2">
        <v>0</v>
      </c>
      <c r="AJ2511" s="5">
        <v>44673</v>
      </c>
      <c r="AK2511" t="s">
        <v>12423</v>
      </c>
      <c r="AL2511" s="2">
        <v>11.51</v>
      </c>
      <c r="AM2511" s="2">
        <v>7.5</v>
      </c>
      <c r="AN2511" s="2">
        <v>6.77</v>
      </c>
      <c r="AO2511" t="s">
        <v>12146</v>
      </c>
      <c r="AP2511" t="s">
        <v>12431</v>
      </c>
      <c r="AQ2511" t="s">
        <v>177</v>
      </c>
    </row>
    <row r="2512" spans="1:43" x14ac:dyDescent="0.2">
      <c r="A2512" t="s">
        <v>12422</v>
      </c>
      <c r="B2512" t="s">
        <v>10900</v>
      </c>
      <c r="C2512" t="s">
        <v>11137</v>
      </c>
      <c r="D2512" t="s">
        <v>12432</v>
      </c>
      <c r="E2512" t="s">
        <v>12433</v>
      </c>
      <c r="F2512" t="s">
        <v>12432</v>
      </c>
      <c r="G2512" s="1">
        <v>10148000</v>
      </c>
      <c r="H2512" s="2">
        <v>9015279.3800000008</v>
      </c>
      <c r="I2512" s="2">
        <v>8340840.0999999996</v>
      </c>
      <c r="J2512" s="2">
        <v>105109.7</v>
      </c>
      <c r="K2512" s="2">
        <v>0</v>
      </c>
      <c r="L2512" s="2">
        <v>8445949.8000000007</v>
      </c>
      <c r="M2512" s="3">
        <v>10.085000000000001</v>
      </c>
      <c r="N2512" s="4">
        <v>1.9215449999999999E-2</v>
      </c>
      <c r="O2512" s="5">
        <v>44804</v>
      </c>
      <c r="P2512" s="5">
        <v>47907</v>
      </c>
      <c r="Q2512" s="1">
        <v>7</v>
      </c>
      <c r="R2512" s="2">
        <v>6.41</v>
      </c>
      <c r="S2512" s="6">
        <v>6.1024509699999996</v>
      </c>
      <c r="T2512" t="s">
        <v>111</v>
      </c>
      <c r="U2512" t="s">
        <v>111</v>
      </c>
      <c r="V2512" t="s">
        <v>10944</v>
      </c>
      <c r="W2512" t="s">
        <v>43</v>
      </c>
      <c r="X2512" t="s">
        <v>10945</v>
      </c>
      <c r="Y2512" t="s">
        <v>44</v>
      </c>
      <c r="Z2512" t="s">
        <v>44</v>
      </c>
      <c r="AA2512" t="s">
        <v>10913</v>
      </c>
      <c r="AB2512" t="s">
        <v>44</v>
      </c>
      <c r="AC2512" s="4">
        <v>10.33926806</v>
      </c>
      <c r="AD2512" s="4">
        <v>9.8794148499999999</v>
      </c>
      <c r="AE2512" s="2">
        <v>10.34</v>
      </c>
      <c r="AF2512" s="4">
        <v>9.8794148499999999</v>
      </c>
      <c r="AG2512" s="2">
        <v>0.63</v>
      </c>
      <c r="AH2512" s="2">
        <v>8445949.8000000007</v>
      </c>
      <c r="AI2512" s="2">
        <v>0.02</v>
      </c>
      <c r="AJ2512" s="5">
        <v>44673</v>
      </c>
      <c r="AK2512" t="s">
        <v>12423</v>
      </c>
      <c r="AL2512" s="2">
        <v>10.08</v>
      </c>
      <c r="AM2512" s="2">
        <v>7</v>
      </c>
      <c r="AN2512" s="2">
        <v>6.1</v>
      </c>
      <c r="AO2512" t="s">
        <v>10922</v>
      </c>
      <c r="AP2512" t="s">
        <v>12434</v>
      </c>
      <c r="AQ2512" t="s">
        <v>12433</v>
      </c>
    </row>
    <row r="2513" spans="1:43" x14ac:dyDescent="0.2">
      <c r="A2513" t="s">
        <v>12422</v>
      </c>
      <c r="B2513" t="s">
        <v>10900</v>
      </c>
      <c r="C2513" t="s">
        <v>11137</v>
      </c>
      <c r="D2513" t="s">
        <v>11594</v>
      </c>
      <c r="E2513" t="s">
        <v>11595</v>
      </c>
      <c r="F2513" t="s">
        <v>11594</v>
      </c>
      <c r="G2513" s="1">
        <v>22387000</v>
      </c>
      <c r="H2513" s="2">
        <v>21475719.379999999</v>
      </c>
      <c r="I2513" s="2">
        <v>20183908.760000002</v>
      </c>
      <c r="J2513" s="2">
        <v>402383.35</v>
      </c>
      <c r="K2513" s="2">
        <v>0</v>
      </c>
      <c r="L2513" s="2">
        <v>20586292.109999999</v>
      </c>
      <c r="M2513" s="3">
        <v>9.84</v>
      </c>
      <c r="N2513" s="4">
        <v>4.6836030000000001E-2</v>
      </c>
      <c r="O2513" s="5">
        <v>44774</v>
      </c>
      <c r="P2513" s="5">
        <v>47514</v>
      </c>
      <c r="Q2513" s="1">
        <v>8</v>
      </c>
      <c r="R2513" s="2">
        <v>5.71</v>
      </c>
      <c r="S2513" s="6">
        <v>5.4383328750000004</v>
      </c>
      <c r="T2513" t="s">
        <v>111</v>
      </c>
      <c r="U2513" t="s">
        <v>111</v>
      </c>
      <c r="V2513" t="s">
        <v>10944</v>
      </c>
      <c r="W2513" t="s">
        <v>43</v>
      </c>
      <c r="X2513" t="s">
        <v>10945</v>
      </c>
      <c r="Y2513" t="s">
        <v>44</v>
      </c>
      <c r="Z2513" t="s">
        <v>44</v>
      </c>
      <c r="AA2513" t="s">
        <v>10913</v>
      </c>
      <c r="AB2513" t="s">
        <v>44</v>
      </c>
      <c r="AC2513" s="4">
        <v>10.082064000000001</v>
      </c>
      <c r="AD2513" s="4">
        <v>9.6441413499999999</v>
      </c>
      <c r="AE2513" s="2">
        <v>10.08</v>
      </c>
      <c r="AF2513" s="4">
        <v>9.6441413499999999</v>
      </c>
      <c r="AG2513" s="2">
        <v>1.53</v>
      </c>
      <c r="AH2513" s="2">
        <v>20586292.109999999</v>
      </c>
      <c r="AI2513" s="2">
        <v>0.05</v>
      </c>
      <c r="AJ2513" s="5">
        <v>44673</v>
      </c>
      <c r="AK2513" t="s">
        <v>12423</v>
      </c>
      <c r="AL2513" s="2">
        <v>9.84</v>
      </c>
      <c r="AM2513" s="2">
        <v>8</v>
      </c>
      <c r="AN2513" s="2">
        <v>5.44</v>
      </c>
      <c r="AO2513" t="s">
        <v>10922</v>
      </c>
      <c r="AP2513" t="s">
        <v>11596</v>
      </c>
      <c r="AQ2513" t="s">
        <v>11595</v>
      </c>
    </row>
    <row r="2514" spans="1:43" x14ac:dyDescent="0.2">
      <c r="A2514" t="s">
        <v>12422</v>
      </c>
      <c r="B2514" t="s">
        <v>10900</v>
      </c>
      <c r="C2514" t="s">
        <v>11137</v>
      </c>
      <c r="D2514" t="s">
        <v>12435</v>
      </c>
      <c r="E2514" t="s">
        <v>12436</v>
      </c>
      <c r="F2514" t="s">
        <v>12435</v>
      </c>
      <c r="G2514" s="1">
        <v>16863000</v>
      </c>
      <c r="H2514" s="2">
        <v>15738376.59</v>
      </c>
      <c r="I2514" s="2">
        <v>14803833.779999999</v>
      </c>
      <c r="J2514" s="2">
        <v>87687.1</v>
      </c>
      <c r="K2514" s="2">
        <v>0</v>
      </c>
      <c r="L2514" s="2">
        <v>14891520.880000001</v>
      </c>
      <c r="M2514" s="3">
        <v>10.234999999999999</v>
      </c>
      <c r="N2514" s="4">
        <v>3.3879810000000003E-2</v>
      </c>
      <c r="O2514" s="5">
        <v>44834</v>
      </c>
      <c r="P2514" s="5">
        <v>48304</v>
      </c>
      <c r="Q2514" s="1">
        <v>8.25</v>
      </c>
      <c r="R2514" s="2">
        <v>6.7</v>
      </c>
      <c r="S2514" s="6">
        <v>6.3768623690000004</v>
      </c>
      <c r="T2514" t="s">
        <v>111</v>
      </c>
      <c r="U2514" t="s">
        <v>111</v>
      </c>
      <c r="V2514" t="s">
        <v>10944</v>
      </c>
      <c r="W2514" t="s">
        <v>43</v>
      </c>
      <c r="X2514" t="s">
        <v>10945</v>
      </c>
      <c r="Y2514" t="s">
        <v>44</v>
      </c>
      <c r="Z2514" t="s">
        <v>44</v>
      </c>
      <c r="AA2514" t="s">
        <v>10913</v>
      </c>
      <c r="AB2514" t="s">
        <v>44</v>
      </c>
      <c r="AC2514" s="4">
        <v>10.49688806</v>
      </c>
      <c r="AD2514" s="4">
        <v>10.023347019999999</v>
      </c>
      <c r="AE2514" s="2">
        <v>10.5</v>
      </c>
      <c r="AF2514" s="4">
        <v>10.023347019999999</v>
      </c>
      <c r="AG2514" s="2">
        <v>1.1100000000000001</v>
      </c>
      <c r="AH2514" s="2">
        <v>14891520.880000001</v>
      </c>
      <c r="AI2514" s="2">
        <v>0.03</v>
      </c>
      <c r="AJ2514" s="5">
        <v>44673</v>
      </c>
      <c r="AK2514" t="s">
        <v>12423</v>
      </c>
      <c r="AL2514" s="2">
        <v>10.23</v>
      </c>
      <c r="AM2514" s="2">
        <v>8.25</v>
      </c>
      <c r="AN2514" s="2">
        <v>6.38</v>
      </c>
      <c r="AO2514" t="s">
        <v>10922</v>
      </c>
      <c r="AP2514" t="s">
        <v>12437</v>
      </c>
      <c r="AQ2514" t="s">
        <v>12436</v>
      </c>
    </row>
    <row r="2515" spans="1:43" x14ac:dyDescent="0.2">
      <c r="A2515" t="s">
        <v>12422</v>
      </c>
      <c r="B2515" t="s">
        <v>10900</v>
      </c>
      <c r="C2515" t="s">
        <v>10950</v>
      </c>
      <c r="D2515" t="s">
        <v>12438</v>
      </c>
      <c r="E2515" t="s">
        <v>255</v>
      </c>
      <c r="F2515" t="s">
        <v>12438</v>
      </c>
      <c r="G2515" s="1">
        <v>1476000</v>
      </c>
      <c r="H2515" s="2">
        <v>1154633.69</v>
      </c>
      <c r="I2515" s="2">
        <v>1096066.83</v>
      </c>
      <c r="J2515" s="2">
        <v>61870.68</v>
      </c>
      <c r="K2515" s="2">
        <v>0</v>
      </c>
      <c r="L2515" s="2">
        <v>1157937.51</v>
      </c>
      <c r="M2515" s="3">
        <v>11.9</v>
      </c>
      <c r="N2515" s="4">
        <v>2.6344300000000001E-3</v>
      </c>
      <c r="O2515" s="5">
        <v>44676</v>
      </c>
      <c r="P2515" s="5">
        <v>51981</v>
      </c>
      <c r="Q2515" s="1">
        <v>8.5</v>
      </c>
      <c r="R2515" s="2">
        <v>8.48</v>
      </c>
      <c r="S2515" s="6">
        <v>8.0017788759999995</v>
      </c>
      <c r="T2515" t="s">
        <v>111</v>
      </c>
      <c r="U2515" t="s">
        <v>111</v>
      </c>
      <c r="V2515" t="s">
        <v>10944</v>
      </c>
      <c r="W2515" t="s">
        <v>43</v>
      </c>
      <c r="X2515" t="s">
        <v>10945</v>
      </c>
      <c r="Y2515" t="s">
        <v>44</v>
      </c>
      <c r="Z2515" t="s">
        <v>44</v>
      </c>
      <c r="AA2515" t="s">
        <v>10913</v>
      </c>
      <c r="AB2515" t="s">
        <v>44</v>
      </c>
      <c r="AC2515" s="4">
        <v>12.254025</v>
      </c>
      <c r="AD2515" s="4">
        <v>11.615274019999999</v>
      </c>
      <c r="AE2515" s="2">
        <v>12.25</v>
      </c>
      <c r="AF2515" s="4">
        <v>11.615274019999999</v>
      </c>
      <c r="AG2515" s="2">
        <v>0.09</v>
      </c>
      <c r="AH2515" s="2">
        <v>1157937.51</v>
      </c>
      <c r="AI2515" s="2">
        <v>0</v>
      </c>
      <c r="AJ2515" s="5">
        <v>44673</v>
      </c>
      <c r="AK2515" t="s">
        <v>12423</v>
      </c>
      <c r="AL2515" s="2">
        <v>11.9</v>
      </c>
      <c r="AM2515" s="2">
        <v>8.5</v>
      </c>
      <c r="AN2515" s="2">
        <v>8</v>
      </c>
      <c r="AO2515" t="s">
        <v>12146</v>
      </c>
      <c r="AP2515" t="s">
        <v>12439</v>
      </c>
      <c r="AQ2515" t="s">
        <v>255</v>
      </c>
    </row>
    <row r="2516" spans="1:43" x14ac:dyDescent="0.2">
      <c r="A2516" t="s">
        <v>12422</v>
      </c>
      <c r="B2516" t="s">
        <v>10900</v>
      </c>
      <c r="C2516" t="s">
        <v>10950</v>
      </c>
      <c r="D2516" t="s">
        <v>12440</v>
      </c>
      <c r="E2516" t="s">
        <v>12441</v>
      </c>
      <c r="F2516" t="s">
        <v>12440</v>
      </c>
      <c r="G2516" s="1">
        <v>11613000</v>
      </c>
      <c r="H2516" s="2">
        <v>10183282.85</v>
      </c>
      <c r="I2516" s="2">
        <v>9942450.2100000009</v>
      </c>
      <c r="J2516" s="2">
        <v>234854.63</v>
      </c>
      <c r="K2516" s="2">
        <v>0</v>
      </c>
      <c r="L2516" s="2">
        <v>10177304.84</v>
      </c>
      <c r="M2516" s="3">
        <v>10.84</v>
      </c>
      <c r="N2516" s="4">
        <v>2.3154460000000002E-2</v>
      </c>
      <c r="O2516" s="5">
        <v>44774</v>
      </c>
      <c r="P2516" s="5">
        <v>51166</v>
      </c>
      <c r="Q2516" s="1">
        <v>9</v>
      </c>
      <c r="R2516" s="2">
        <v>8.33</v>
      </c>
      <c r="S2516" s="6">
        <v>7.8992069000000003</v>
      </c>
      <c r="T2516" t="s">
        <v>111</v>
      </c>
      <c r="U2516" t="s">
        <v>111</v>
      </c>
      <c r="V2516" t="s">
        <v>10944</v>
      </c>
      <c r="W2516" t="s">
        <v>43</v>
      </c>
      <c r="X2516" t="s">
        <v>10945</v>
      </c>
      <c r="Y2516" t="s">
        <v>44</v>
      </c>
      <c r="Z2516" t="s">
        <v>44</v>
      </c>
      <c r="AA2516" t="s">
        <v>10913</v>
      </c>
      <c r="AB2516" t="s">
        <v>44</v>
      </c>
      <c r="AC2516" s="4">
        <v>11.133763999999999</v>
      </c>
      <c r="AD2516" s="4">
        <v>10.603006199999999</v>
      </c>
      <c r="AE2516" s="2">
        <v>11.13</v>
      </c>
      <c r="AF2516" s="4">
        <v>10.603006199999999</v>
      </c>
      <c r="AG2516" s="2">
        <v>0.76</v>
      </c>
      <c r="AH2516" s="2">
        <v>10177304.84</v>
      </c>
      <c r="AI2516" s="2">
        <v>0.02</v>
      </c>
      <c r="AJ2516" s="5">
        <v>44673</v>
      </c>
      <c r="AK2516" t="s">
        <v>12423</v>
      </c>
      <c r="AL2516" s="2">
        <v>10.84</v>
      </c>
      <c r="AM2516" s="2">
        <v>9</v>
      </c>
      <c r="AN2516" s="2">
        <v>7.9</v>
      </c>
      <c r="AO2516" t="s">
        <v>10922</v>
      </c>
      <c r="AP2516" t="s">
        <v>12442</v>
      </c>
      <c r="AQ2516" t="s">
        <v>12441</v>
      </c>
    </row>
    <row r="2517" spans="1:43" x14ac:dyDescent="0.2">
      <c r="A2517" t="s">
        <v>12422</v>
      </c>
      <c r="B2517" t="s">
        <v>10900</v>
      </c>
      <c r="C2517" t="s">
        <v>10950</v>
      </c>
      <c r="D2517" t="s">
        <v>12443</v>
      </c>
      <c r="E2517" t="s">
        <v>12444</v>
      </c>
      <c r="F2517" t="s">
        <v>12443</v>
      </c>
      <c r="G2517" s="1">
        <v>13826000</v>
      </c>
      <c r="H2517" s="2">
        <v>11654797.42</v>
      </c>
      <c r="I2517" s="2">
        <v>11401942.720000001</v>
      </c>
      <c r="J2517" s="2">
        <v>271804.24</v>
      </c>
      <c r="K2517" s="2">
        <v>0</v>
      </c>
      <c r="L2517" s="2">
        <v>11673746.960000001</v>
      </c>
      <c r="M2517" s="3">
        <v>10.865</v>
      </c>
      <c r="N2517" s="4">
        <v>2.6559030000000001E-2</v>
      </c>
      <c r="O2517" s="5">
        <v>44774</v>
      </c>
      <c r="P2517" s="5">
        <v>52627</v>
      </c>
      <c r="Q2517" s="1">
        <v>8.75</v>
      </c>
      <c r="R2517" s="2">
        <v>8.83</v>
      </c>
      <c r="S2517" s="6">
        <v>8.3754271100000004</v>
      </c>
      <c r="T2517" t="s">
        <v>111</v>
      </c>
      <c r="U2517" t="s">
        <v>111</v>
      </c>
      <c r="V2517" t="s">
        <v>10944</v>
      </c>
      <c r="W2517" t="s">
        <v>43</v>
      </c>
      <c r="X2517" t="s">
        <v>10945</v>
      </c>
      <c r="Y2517" t="s">
        <v>44</v>
      </c>
      <c r="Z2517" t="s">
        <v>44</v>
      </c>
      <c r="AA2517" t="s">
        <v>10913</v>
      </c>
      <c r="AB2517" t="s">
        <v>44</v>
      </c>
      <c r="AC2517" s="4">
        <v>11.160120559999999</v>
      </c>
      <c r="AD2517" s="4">
        <v>10.626929219999999</v>
      </c>
      <c r="AE2517" s="2">
        <v>11.16</v>
      </c>
      <c r="AF2517" s="4">
        <v>10.626929219999999</v>
      </c>
      <c r="AG2517" s="2">
        <v>0.87</v>
      </c>
      <c r="AH2517" s="2">
        <v>11673746.960000001</v>
      </c>
      <c r="AI2517" s="2">
        <v>0.03</v>
      </c>
      <c r="AJ2517" s="5">
        <v>44673</v>
      </c>
      <c r="AK2517" t="s">
        <v>12423</v>
      </c>
      <c r="AL2517" s="2">
        <v>10.86</v>
      </c>
      <c r="AM2517" s="2">
        <v>8.75</v>
      </c>
      <c r="AN2517" s="2">
        <v>8.3800000000000008</v>
      </c>
      <c r="AO2517" t="s">
        <v>10922</v>
      </c>
      <c r="AP2517" t="s">
        <v>12445</v>
      </c>
      <c r="AQ2517" t="s">
        <v>12444</v>
      </c>
    </row>
    <row r="2518" spans="1:43" x14ac:dyDescent="0.2">
      <c r="A2518" t="s">
        <v>12422</v>
      </c>
      <c r="B2518" t="s">
        <v>10900</v>
      </c>
      <c r="C2518" t="s">
        <v>10950</v>
      </c>
      <c r="D2518" t="s">
        <v>11141</v>
      </c>
      <c r="E2518" t="s">
        <v>11142</v>
      </c>
      <c r="F2518" t="s">
        <v>11141</v>
      </c>
      <c r="G2518" s="1">
        <v>23674000</v>
      </c>
      <c r="H2518" s="2">
        <v>20566648.010000002</v>
      </c>
      <c r="I2518" s="2">
        <v>19459706.030000001</v>
      </c>
      <c r="J2518" s="2">
        <v>306479.18</v>
      </c>
      <c r="K2518" s="2">
        <v>0</v>
      </c>
      <c r="L2518" s="2">
        <v>19766185.210000001</v>
      </c>
      <c r="M2518" s="3">
        <v>10.805</v>
      </c>
      <c r="N2518" s="4">
        <v>4.4970200000000002E-2</v>
      </c>
      <c r="O2518" s="5">
        <v>44804</v>
      </c>
      <c r="P2518" s="5">
        <v>54116</v>
      </c>
      <c r="Q2518" s="1">
        <v>8.75</v>
      </c>
      <c r="R2518" s="2">
        <v>9.2200000000000006</v>
      </c>
      <c r="S2518" s="6">
        <v>8.7507641760000006</v>
      </c>
      <c r="T2518" t="s">
        <v>111</v>
      </c>
      <c r="U2518" t="s">
        <v>111</v>
      </c>
      <c r="V2518" t="s">
        <v>10944</v>
      </c>
      <c r="W2518" t="s">
        <v>43</v>
      </c>
      <c r="X2518" t="s">
        <v>10945</v>
      </c>
      <c r="Y2518" t="s">
        <v>44</v>
      </c>
      <c r="Z2518" t="s">
        <v>44</v>
      </c>
      <c r="AA2518" t="s">
        <v>10913</v>
      </c>
      <c r="AB2518" t="s">
        <v>44</v>
      </c>
      <c r="AC2518" s="4">
        <v>11.096870060000001</v>
      </c>
      <c r="AD2518" s="4">
        <v>10.56950999</v>
      </c>
      <c r="AE2518" s="2">
        <v>11.1</v>
      </c>
      <c r="AF2518" s="4">
        <v>10.56950999</v>
      </c>
      <c r="AG2518" s="2">
        <v>1.47</v>
      </c>
      <c r="AH2518" s="2">
        <v>19766185.210000001</v>
      </c>
      <c r="AI2518" s="2">
        <v>0.04</v>
      </c>
      <c r="AJ2518" s="5">
        <v>44673</v>
      </c>
      <c r="AK2518" t="s">
        <v>12423</v>
      </c>
      <c r="AL2518" s="2">
        <v>10.8</v>
      </c>
      <c r="AM2518" s="2">
        <v>8.75</v>
      </c>
      <c r="AN2518" s="2">
        <v>8.75</v>
      </c>
      <c r="AO2518" t="s">
        <v>10922</v>
      </c>
      <c r="AP2518" t="s">
        <v>11143</v>
      </c>
      <c r="AQ2518" t="s">
        <v>11142</v>
      </c>
    </row>
    <row r="2519" spans="1:43" x14ac:dyDescent="0.2">
      <c r="A2519" t="s">
        <v>12422</v>
      </c>
      <c r="B2519" t="s">
        <v>10900</v>
      </c>
      <c r="C2519" t="s">
        <v>10950</v>
      </c>
      <c r="D2519" t="s">
        <v>12446</v>
      </c>
      <c r="E2519" t="s">
        <v>12447</v>
      </c>
      <c r="F2519" t="s">
        <v>12446</v>
      </c>
      <c r="G2519" s="1">
        <v>8440000</v>
      </c>
      <c r="H2519" s="2">
        <v>6154680.3499999996</v>
      </c>
      <c r="I2519" s="2">
        <v>5813369.0300000003</v>
      </c>
      <c r="J2519" s="2">
        <v>33253.42</v>
      </c>
      <c r="K2519" s="2">
        <v>0</v>
      </c>
      <c r="L2519" s="2">
        <v>5846622.4500000002</v>
      </c>
      <c r="M2519" s="3">
        <v>10.565</v>
      </c>
      <c r="N2519" s="4">
        <v>1.33017E-2</v>
      </c>
      <c r="O2519" s="5">
        <v>44834</v>
      </c>
      <c r="P2519" s="5">
        <v>49765</v>
      </c>
      <c r="Q2519" s="1">
        <v>6.25</v>
      </c>
      <c r="R2519" s="2">
        <v>8.44</v>
      </c>
      <c r="S2519" s="6">
        <v>8.0133916660000004</v>
      </c>
      <c r="T2519" t="s">
        <v>111</v>
      </c>
      <c r="U2519" t="s">
        <v>111</v>
      </c>
      <c r="V2519" t="s">
        <v>10944</v>
      </c>
      <c r="W2519" t="s">
        <v>43</v>
      </c>
      <c r="X2519" t="s">
        <v>10945</v>
      </c>
      <c r="Y2519" t="s">
        <v>44</v>
      </c>
      <c r="Z2519" t="s">
        <v>44</v>
      </c>
      <c r="AA2519" t="s">
        <v>10913</v>
      </c>
      <c r="AB2519" t="s">
        <v>44</v>
      </c>
      <c r="AC2519" s="4">
        <v>10.84404806</v>
      </c>
      <c r="AD2519" s="4">
        <v>10.33969682</v>
      </c>
      <c r="AE2519" s="2">
        <v>10.84</v>
      </c>
      <c r="AF2519" s="4">
        <v>10.33969682</v>
      </c>
      <c r="AG2519" s="2">
        <v>0.43</v>
      </c>
      <c r="AH2519" s="2">
        <v>5846622.4500000002</v>
      </c>
      <c r="AI2519" s="2">
        <v>0.01</v>
      </c>
      <c r="AJ2519" s="5">
        <v>44673</v>
      </c>
      <c r="AK2519" t="s">
        <v>12423</v>
      </c>
      <c r="AL2519" s="2">
        <v>10.56</v>
      </c>
      <c r="AM2519" s="2">
        <v>6.25</v>
      </c>
      <c r="AN2519" s="2">
        <v>8.01</v>
      </c>
      <c r="AO2519" t="s">
        <v>10922</v>
      </c>
      <c r="AP2519" t="s">
        <v>12448</v>
      </c>
      <c r="AQ2519" t="s">
        <v>12447</v>
      </c>
    </row>
    <row r="2520" spans="1:43" x14ac:dyDescent="0.2">
      <c r="A2520" t="s">
        <v>12422</v>
      </c>
      <c r="B2520" t="s">
        <v>10900</v>
      </c>
      <c r="C2520" t="s">
        <v>10950</v>
      </c>
      <c r="D2520" t="s">
        <v>12449</v>
      </c>
      <c r="E2520" t="s">
        <v>12450</v>
      </c>
      <c r="F2520" t="s">
        <v>12449</v>
      </c>
      <c r="G2520" s="1">
        <v>6374000</v>
      </c>
      <c r="H2520" s="2">
        <v>4431552.95</v>
      </c>
      <c r="I2520" s="2">
        <v>4173006.81</v>
      </c>
      <c r="J2520" s="2">
        <v>61270.25</v>
      </c>
      <c r="K2520" s="2">
        <v>0</v>
      </c>
      <c r="L2520" s="2">
        <v>4234277.0599999996</v>
      </c>
      <c r="M2520" s="3">
        <v>10.83</v>
      </c>
      <c r="N2520" s="4">
        <v>9.6334400000000001E-3</v>
      </c>
      <c r="O2520" s="5">
        <v>44804</v>
      </c>
      <c r="P2520" s="5">
        <v>51560</v>
      </c>
      <c r="Q2520" s="1">
        <v>6.5</v>
      </c>
      <c r="R2520" s="2">
        <v>9.14</v>
      </c>
      <c r="S2520" s="6">
        <v>8.6714207049999992</v>
      </c>
      <c r="T2520" t="s">
        <v>111</v>
      </c>
      <c r="U2520" t="s">
        <v>111</v>
      </c>
      <c r="V2520" t="s">
        <v>10944</v>
      </c>
      <c r="W2520" t="s">
        <v>43</v>
      </c>
      <c r="X2520" t="s">
        <v>10945</v>
      </c>
      <c r="Y2520" t="s">
        <v>44</v>
      </c>
      <c r="Z2520" t="s">
        <v>44</v>
      </c>
      <c r="AA2520" t="s">
        <v>10913</v>
      </c>
      <c r="AB2520" t="s">
        <v>44</v>
      </c>
      <c r="AC2520" s="4">
        <v>11.12322225</v>
      </c>
      <c r="AD2520" s="4">
        <v>10.593436329999999</v>
      </c>
      <c r="AE2520" s="2">
        <v>11.12</v>
      </c>
      <c r="AF2520" s="4">
        <v>10.593436329999999</v>
      </c>
      <c r="AG2520" s="2">
        <v>0.31</v>
      </c>
      <c r="AH2520" s="2">
        <v>4234277.0599999996</v>
      </c>
      <c r="AI2520" s="2">
        <v>0.01</v>
      </c>
      <c r="AJ2520" s="5">
        <v>44673</v>
      </c>
      <c r="AK2520" t="s">
        <v>12423</v>
      </c>
      <c r="AL2520" s="2">
        <v>10.83</v>
      </c>
      <c r="AM2520" s="2">
        <v>6.5</v>
      </c>
      <c r="AN2520" s="2">
        <v>8.67</v>
      </c>
      <c r="AO2520" t="s">
        <v>10922</v>
      </c>
      <c r="AP2520" t="s">
        <v>12451</v>
      </c>
      <c r="AQ2520" t="s">
        <v>12450</v>
      </c>
    </row>
    <row r="2521" spans="1:43" x14ac:dyDescent="0.2">
      <c r="A2521" t="s">
        <v>12422</v>
      </c>
      <c r="B2521" t="s">
        <v>10900</v>
      </c>
      <c r="C2521" t="s">
        <v>10950</v>
      </c>
      <c r="D2521" t="s">
        <v>10983</v>
      </c>
      <c r="E2521" t="s">
        <v>10984</v>
      </c>
      <c r="F2521" t="s">
        <v>10983</v>
      </c>
      <c r="G2521" s="1">
        <v>16205000</v>
      </c>
      <c r="H2521" s="2">
        <v>13922171.75</v>
      </c>
      <c r="I2521" s="2">
        <v>13549527.16</v>
      </c>
      <c r="J2521" s="2">
        <v>309472.19</v>
      </c>
      <c r="K2521" s="2">
        <v>0</v>
      </c>
      <c r="L2521" s="2">
        <v>13858999.35</v>
      </c>
      <c r="M2521" s="3">
        <v>10.734999999999999</v>
      </c>
      <c r="N2521" s="4">
        <v>3.1530719999999998E-2</v>
      </c>
      <c r="O2521" s="5">
        <v>44774</v>
      </c>
      <c r="P2521" s="5">
        <v>50071</v>
      </c>
      <c r="Q2521" s="1">
        <v>8.5</v>
      </c>
      <c r="R2521" s="2">
        <v>7.91</v>
      </c>
      <c r="S2521" s="6">
        <v>7.5106016819999999</v>
      </c>
      <c r="T2521" t="s">
        <v>111</v>
      </c>
      <c r="U2521" t="s">
        <v>111</v>
      </c>
      <c r="V2521" t="s">
        <v>10944</v>
      </c>
      <c r="W2521" t="s">
        <v>43</v>
      </c>
      <c r="X2521" t="s">
        <v>10945</v>
      </c>
      <c r="Y2521" t="s">
        <v>44</v>
      </c>
      <c r="Z2521" t="s">
        <v>44</v>
      </c>
      <c r="AA2521" t="s">
        <v>10913</v>
      </c>
      <c r="AB2521" t="s">
        <v>44</v>
      </c>
      <c r="AC2521" s="4">
        <v>11.02310056</v>
      </c>
      <c r="AD2521" s="4">
        <v>10.50250368</v>
      </c>
      <c r="AE2521" s="2">
        <v>11.02</v>
      </c>
      <c r="AF2521" s="4">
        <v>10.50250368</v>
      </c>
      <c r="AG2521" s="2">
        <v>1.03</v>
      </c>
      <c r="AH2521" s="2">
        <v>13858999.35</v>
      </c>
      <c r="AI2521" s="2">
        <v>0.03</v>
      </c>
      <c r="AJ2521" s="5">
        <v>44673</v>
      </c>
      <c r="AK2521" t="s">
        <v>12423</v>
      </c>
      <c r="AL2521" s="2">
        <v>10.73</v>
      </c>
      <c r="AM2521" s="2">
        <v>8.5</v>
      </c>
      <c r="AN2521" s="2">
        <v>7.51</v>
      </c>
      <c r="AO2521" t="s">
        <v>10922</v>
      </c>
      <c r="AP2521" t="s">
        <v>10985</v>
      </c>
      <c r="AQ2521" t="s">
        <v>10984</v>
      </c>
    </row>
    <row r="2522" spans="1:43" x14ac:dyDescent="0.2">
      <c r="A2522" t="s">
        <v>12422</v>
      </c>
      <c r="B2522" t="s">
        <v>10900</v>
      </c>
      <c r="C2522" t="s">
        <v>10950</v>
      </c>
      <c r="D2522" t="s">
        <v>12291</v>
      </c>
      <c r="E2522" t="s">
        <v>12292</v>
      </c>
      <c r="F2522" t="s">
        <v>12291</v>
      </c>
      <c r="G2522" s="1">
        <v>15070000</v>
      </c>
      <c r="H2522" s="2">
        <v>14058215.15</v>
      </c>
      <c r="I2522" s="2">
        <v>13267582.789999999</v>
      </c>
      <c r="J2522" s="2">
        <v>197900.34</v>
      </c>
      <c r="K2522" s="2">
        <v>0</v>
      </c>
      <c r="L2522" s="2">
        <v>13465483.130000001</v>
      </c>
      <c r="M2522" s="3">
        <v>10.595000000000001</v>
      </c>
      <c r="N2522" s="4">
        <v>3.063542E-2</v>
      </c>
      <c r="O2522" s="5">
        <v>44804</v>
      </c>
      <c r="P2522" s="5">
        <v>49368</v>
      </c>
      <c r="Q2522" s="1">
        <v>8.875</v>
      </c>
      <c r="R2522" s="2">
        <v>7.46</v>
      </c>
      <c r="S2522" s="6">
        <v>7.0866988800000001</v>
      </c>
      <c r="T2522" t="s">
        <v>111</v>
      </c>
      <c r="U2522" t="s">
        <v>111</v>
      </c>
      <c r="V2522" t="s">
        <v>10944</v>
      </c>
      <c r="W2522" t="s">
        <v>43</v>
      </c>
      <c r="X2522" t="s">
        <v>10945</v>
      </c>
      <c r="Y2522" t="s">
        <v>44</v>
      </c>
      <c r="Z2522" t="s">
        <v>44</v>
      </c>
      <c r="AA2522" t="s">
        <v>10913</v>
      </c>
      <c r="AB2522" t="s">
        <v>44</v>
      </c>
      <c r="AC2522" s="4">
        <v>10.87563506</v>
      </c>
      <c r="AD2522" s="4">
        <v>10.368435399999999</v>
      </c>
      <c r="AE2522" s="2">
        <v>10.88</v>
      </c>
      <c r="AF2522" s="4">
        <v>10.368435399999999</v>
      </c>
      <c r="AG2522" s="2">
        <v>1</v>
      </c>
      <c r="AH2522" s="2">
        <v>13465483.130000001</v>
      </c>
      <c r="AI2522" s="2">
        <v>0.03</v>
      </c>
      <c r="AJ2522" s="5">
        <v>44673</v>
      </c>
      <c r="AK2522" t="s">
        <v>12423</v>
      </c>
      <c r="AL2522" s="2">
        <v>10.59</v>
      </c>
      <c r="AM2522" s="2">
        <v>8.8800000000000008</v>
      </c>
      <c r="AN2522" s="2">
        <v>7.09</v>
      </c>
      <c r="AO2522" t="s">
        <v>10922</v>
      </c>
      <c r="AP2522" t="s">
        <v>12293</v>
      </c>
      <c r="AQ2522" t="s">
        <v>12292</v>
      </c>
    </row>
    <row r="2523" spans="1:43" x14ac:dyDescent="0.2">
      <c r="A2523" t="s">
        <v>12422</v>
      </c>
      <c r="B2523" t="s">
        <v>10900</v>
      </c>
      <c r="C2523" t="s">
        <v>10990</v>
      </c>
      <c r="D2523" t="s">
        <v>12452</v>
      </c>
      <c r="E2523" t="s">
        <v>1169</v>
      </c>
      <c r="F2523" t="s">
        <v>12452</v>
      </c>
      <c r="G2523" s="1">
        <v>8562000</v>
      </c>
      <c r="H2523" s="2">
        <v>13661858.35</v>
      </c>
      <c r="I2523" s="2">
        <v>13638489.630000001</v>
      </c>
      <c r="J2523" s="2">
        <v>61645.69</v>
      </c>
      <c r="K2523" s="2">
        <v>0</v>
      </c>
      <c r="L2523" s="2">
        <v>13700135.32</v>
      </c>
      <c r="M2523" s="3">
        <v>2.2200000000000002</v>
      </c>
      <c r="N2523" s="4">
        <v>3.1169280000000001E-2</v>
      </c>
      <c r="O2523" s="5">
        <v>44774</v>
      </c>
      <c r="P2523" s="5">
        <v>45688</v>
      </c>
      <c r="Q2523" s="1">
        <v>2</v>
      </c>
      <c r="R2523" s="2">
        <v>2.69</v>
      </c>
      <c r="S2523" s="6">
        <v>2.6648094150000001</v>
      </c>
      <c r="T2523" t="s">
        <v>111</v>
      </c>
      <c r="U2523" t="s">
        <v>111</v>
      </c>
      <c r="V2523" t="s">
        <v>10992</v>
      </c>
      <c r="W2523" t="s">
        <v>43</v>
      </c>
      <c r="X2523" t="s">
        <v>10945</v>
      </c>
      <c r="Y2523" t="s">
        <v>44</v>
      </c>
      <c r="Z2523" t="s">
        <v>44</v>
      </c>
      <c r="AA2523" t="s">
        <v>10913</v>
      </c>
      <c r="AB2523" t="s">
        <v>44</v>
      </c>
      <c r="AC2523" s="4">
        <v>2.2323210000000002</v>
      </c>
      <c r="AD2523" s="4">
        <v>2.2098016</v>
      </c>
      <c r="AE2523" s="2">
        <v>2.23</v>
      </c>
      <c r="AF2523" s="4">
        <v>2.2098016</v>
      </c>
      <c r="AG2523" s="2">
        <v>1.02</v>
      </c>
      <c r="AH2523" s="2">
        <v>13700135.32</v>
      </c>
      <c r="AI2523" s="2">
        <v>0.03</v>
      </c>
      <c r="AJ2523" s="5">
        <v>44673</v>
      </c>
      <c r="AK2523" t="s">
        <v>12423</v>
      </c>
      <c r="AL2523" s="2">
        <v>2.2200000000000002</v>
      </c>
      <c r="AM2523" s="2">
        <v>2</v>
      </c>
      <c r="AN2523" s="2">
        <v>2.66</v>
      </c>
      <c r="AO2523" t="s">
        <v>10922</v>
      </c>
      <c r="AP2523" t="s">
        <v>12453</v>
      </c>
      <c r="AQ2523" t="s">
        <v>1169</v>
      </c>
    </row>
    <row r="2524" spans="1:43" x14ac:dyDescent="0.2">
      <c r="A2524" t="s">
        <v>12422</v>
      </c>
      <c r="B2524" t="s">
        <v>10900</v>
      </c>
      <c r="C2524" t="s">
        <v>10990</v>
      </c>
      <c r="D2524" t="s">
        <v>12454</v>
      </c>
      <c r="E2524" t="s">
        <v>1204</v>
      </c>
      <c r="F2524" t="s">
        <v>12454</v>
      </c>
      <c r="G2524" s="1">
        <v>4865000</v>
      </c>
      <c r="H2524" s="2">
        <v>5712914.6299999999</v>
      </c>
      <c r="I2524" s="2">
        <v>5713273.4500000002</v>
      </c>
      <c r="J2524" s="2">
        <v>7368.43</v>
      </c>
      <c r="K2524" s="2">
        <v>0</v>
      </c>
      <c r="L2524" s="2">
        <v>5720641.8799999999</v>
      </c>
      <c r="M2524" s="3">
        <v>3.23</v>
      </c>
      <c r="N2524" s="4">
        <v>1.301508E-2</v>
      </c>
      <c r="O2524" s="5">
        <v>44834</v>
      </c>
      <c r="P2524" s="5">
        <v>47208</v>
      </c>
      <c r="Q2524" s="1">
        <v>1.875</v>
      </c>
      <c r="R2524" s="2">
        <v>6.5</v>
      </c>
      <c r="S2524" s="6">
        <v>6.3978559180000003</v>
      </c>
      <c r="T2524" t="s">
        <v>111</v>
      </c>
      <c r="U2524" t="s">
        <v>111</v>
      </c>
      <c r="V2524" t="s">
        <v>10992</v>
      </c>
      <c r="W2524" t="s">
        <v>43</v>
      </c>
      <c r="X2524" t="s">
        <v>10945</v>
      </c>
      <c r="Y2524" t="s">
        <v>44</v>
      </c>
      <c r="Z2524" t="s">
        <v>44</v>
      </c>
      <c r="AA2524" t="s">
        <v>10913</v>
      </c>
      <c r="AB2524" t="s">
        <v>44</v>
      </c>
      <c r="AC2524" s="4">
        <v>3.25608225</v>
      </c>
      <c r="AD2524" s="4">
        <v>3.2084768800000001</v>
      </c>
      <c r="AE2524" s="2">
        <v>3.26</v>
      </c>
      <c r="AF2524" s="4">
        <v>3.2084768800000001</v>
      </c>
      <c r="AG2524" s="2">
        <v>0.42</v>
      </c>
      <c r="AH2524" s="2">
        <v>5720641.8799999999</v>
      </c>
      <c r="AI2524" s="2">
        <v>0.01</v>
      </c>
      <c r="AJ2524" s="5">
        <v>44673</v>
      </c>
      <c r="AK2524" t="s">
        <v>12423</v>
      </c>
      <c r="AL2524" s="2">
        <v>3.23</v>
      </c>
      <c r="AM2524" s="2">
        <v>1.88</v>
      </c>
      <c r="AN2524" s="2">
        <v>6.4</v>
      </c>
      <c r="AO2524" t="s">
        <v>10922</v>
      </c>
      <c r="AP2524" t="s">
        <v>12455</v>
      </c>
      <c r="AQ2524" t="s">
        <v>1204</v>
      </c>
    </row>
    <row r="2525" spans="1:43" x14ac:dyDescent="0.2">
      <c r="A2525" t="s">
        <v>12422</v>
      </c>
      <c r="B2525" t="s">
        <v>10900</v>
      </c>
      <c r="C2525" t="s">
        <v>10990</v>
      </c>
      <c r="D2525" t="s">
        <v>10991</v>
      </c>
      <c r="E2525" t="s">
        <v>1153</v>
      </c>
      <c r="F2525" t="s">
        <v>10991</v>
      </c>
      <c r="G2525" s="1">
        <v>9358000</v>
      </c>
      <c r="H2525" s="2">
        <v>11879431.18</v>
      </c>
      <c r="I2525" s="2">
        <v>12100905.359999999</v>
      </c>
      <c r="J2525" s="2">
        <v>75798.38</v>
      </c>
      <c r="K2525" s="2">
        <v>0</v>
      </c>
      <c r="L2525" s="2">
        <v>12176703.74</v>
      </c>
      <c r="M2525" s="3">
        <v>3.9</v>
      </c>
      <c r="N2525" s="4">
        <v>2.7703309999999998E-2</v>
      </c>
      <c r="O2525" s="5">
        <v>44774</v>
      </c>
      <c r="P2525" s="5">
        <v>50436</v>
      </c>
      <c r="Q2525" s="1">
        <v>2.25</v>
      </c>
      <c r="R2525" s="2">
        <v>12.94</v>
      </c>
      <c r="S2525" s="6">
        <v>12.689805079999999</v>
      </c>
      <c r="T2525" t="s">
        <v>111</v>
      </c>
      <c r="U2525" t="s">
        <v>111</v>
      </c>
      <c r="V2525" t="s">
        <v>10992</v>
      </c>
      <c r="W2525" t="s">
        <v>43</v>
      </c>
      <c r="X2525" t="s">
        <v>10945</v>
      </c>
      <c r="Y2525" t="s">
        <v>44</v>
      </c>
      <c r="Z2525" t="s">
        <v>44</v>
      </c>
      <c r="AA2525" t="s">
        <v>10913</v>
      </c>
      <c r="AB2525" t="s">
        <v>44</v>
      </c>
      <c r="AC2525" s="4">
        <v>3.9380250000000001</v>
      </c>
      <c r="AD2525" s="4">
        <v>3.8686849699999999</v>
      </c>
      <c r="AE2525" s="2">
        <v>3.94</v>
      </c>
      <c r="AF2525" s="4">
        <v>3.8686849699999999</v>
      </c>
      <c r="AG2525" s="2">
        <v>0.9</v>
      </c>
      <c r="AH2525" s="2">
        <v>12176703.74</v>
      </c>
      <c r="AI2525" s="2">
        <v>0.03</v>
      </c>
      <c r="AJ2525" s="5">
        <v>44673</v>
      </c>
      <c r="AK2525" t="s">
        <v>12423</v>
      </c>
      <c r="AL2525" s="2">
        <v>3.9</v>
      </c>
      <c r="AM2525" s="2">
        <v>2.25</v>
      </c>
      <c r="AN2525" s="2">
        <v>12.69</v>
      </c>
      <c r="AO2525" t="s">
        <v>10922</v>
      </c>
      <c r="AP2525" t="s">
        <v>10993</v>
      </c>
      <c r="AQ2525" t="s">
        <v>1153</v>
      </c>
    </row>
    <row r="2526" spans="1:43" x14ac:dyDescent="0.2">
      <c r="A2526" t="s">
        <v>12422</v>
      </c>
      <c r="B2526" t="s">
        <v>10900</v>
      </c>
      <c r="C2526" t="s">
        <v>10990</v>
      </c>
      <c r="D2526" t="s">
        <v>10994</v>
      </c>
      <c r="E2526" t="s">
        <v>1190</v>
      </c>
      <c r="F2526" t="s">
        <v>10994</v>
      </c>
      <c r="G2526" s="1">
        <v>9941000</v>
      </c>
      <c r="H2526" s="2">
        <v>11412529.050000001</v>
      </c>
      <c r="I2526" s="2">
        <v>11761547.23</v>
      </c>
      <c r="J2526" s="2">
        <v>23656.25</v>
      </c>
      <c r="K2526" s="2">
        <v>0</v>
      </c>
      <c r="L2526" s="2">
        <v>11785203.48</v>
      </c>
      <c r="M2526" s="3">
        <v>3.9</v>
      </c>
      <c r="N2526" s="4">
        <v>2.6812610000000001E-2</v>
      </c>
      <c r="O2526" s="5">
        <v>44834</v>
      </c>
      <c r="P2526" s="5">
        <v>53417</v>
      </c>
      <c r="Q2526" s="1">
        <v>2.5</v>
      </c>
      <c r="R2526" s="2">
        <v>17.22</v>
      </c>
      <c r="S2526" s="6">
        <v>16.886631569999999</v>
      </c>
      <c r="T2526" t="s">
        <v>111</v>
      </c>
      <c r="U2526" t="s">
        <v>111</v>
      </c>
      <c r="V2526" t="s">
        <v>10992</v>
      </c>
      <c r="W2526" t="s">
        <v>43</v>
      </c>
      <c r="X2526" t="s">
        <v>10945</v>
      </c>
      <c r="Y2526" t="s">
        <v>44</v>
      </c>
      <c r="Z2526" t="s">
        <v>44</v>
      </c>
      <c r="AA2526" t="s">
        <v>10913</v>
      </c>
      <c r="AB2526" t="s">
        <v>44</v>
      </c>
      <c r="AC2526" s="4">
        <v>3.9380250000000001</v>
      </c>
      <c r="AD2526" s="4">
        <v>3.8686849699999999</v>
      </c>
      <c r="AE2526" s="2">
        <v>3.94</v>
      </c>
      <c r="AF2526" s="4">
        <v>3.8686849699999999</v>
      </c>
      <c r="AG2526" s="2">
        <v>0.88</v>
      </c>
      <c r="AH2526" s="2">
        <v>11785203.48</v>
      </c>
      <c r="AI2526" s="2">
        <v>0.03</v>
      </c>
      <c r="AJ2526" s="5">
        <v>44673</v>
      </c>
      <c r="AK2526" t="s">
        <v>12423</v>
      </c>
      <c r="AL2526" s="2">
        <v>3.9</v>
      </c>
      <c r="AM2526" s="2">
        <v>2.5</v>
      </c>
      <c r="AN2526" s="2">
        <v>16.89</v>
      </c>
      <c r="AO2526" t="s">
        <v>10922</v>
      </c>
      <c r="AP2526" t="s">
        <v>10995</v>
      </c>
      <c r="AQ2526" t="s">
        <v>1190</v>
      </c>
    </row>
    <row r="2527" spans="1:43" x14ac:dyDescent="0.2">
      <c r="A2527" t="s">
        <v>12422</v>
      </c>
      <c r="B2527" t="s">
        <v>10900</v>
      </c>
      <c r="C2527" t="s">
        <v>10990</v>
      </c>
      <c r="D2527" t="s">
        <v>10996</v>
      </c>
      <c r="E2527" t="s">
        <v>1160</v>
      </c>
      <c r="F2527" t="s">
        <v>10996</v>
      </c>
      <c r="G2527" s="1">
        <v>11418000</v>
      </c>
      <c r="H2527" s="2">
        <v>13465650.810000001</v>
      </c>
      <c r="I2527" s="2">
        <v>13884398.68</v>
      </c>
      <c r="J2527" s="2">
        <v>141475.92000000001</v>
      </c>
      <c r="K2527" s="2">
        <v>0</v>
      </c>
      <c r="L2527" s="2">
        <v>14025874.6</v>
      </c>
      <c r="M2527" s="3">
        <v>3.9</v>
      </c>
      <c r="N2527" s="4">
        <v>3.191037E-2</v>
      </c>
      <c r="O2527" s="5">
        <v>44742</v>
      </c>
      <c r="P2527" s="5">
        <v>55153</v>
      </c>
      <c r="Q2527" s="1">
        <v>2.5</v>
      </c>
      <c r="R2527" s="2">
        <v>19.05</v>
      </c>
      <c r="S2527" s="6">
        <v>18.689623709999999</v>
      </c>
      <c r="T2527" t="s">
        <v>111</v>
      </c>
      <c r="U2527" t="s">
        <v>111</v>
      </c>
      <c r="V2527" t="s">
        <v>10992</v>
      </c>
      <c r="W2527" t="s">
        <v>43</v>
      </c>
      <c r="X2527" t="s">
        <v>10945</v>
      </c>
      <c r="Y2527" t="s">
        <v>44</v>
      </c>
      <c r="Z2527" t="s">
        <v>44</v>
      </c>
      <c r="AA2527" t="s">
        <v>10913</v>
      </c>
      <c r="AB2527" t="s">
        <v>44</v>
      </c>
      <c r="AC2527" s="4">
        <v>3.9380250000000001</v>
      </c>
      <c r="AD2527" s="4">
        <v>3.8686849699999999</v>
      </c>
      <c r="AE2527" s="2">
        <v>3.94</v>
      </c>
      <c r="AF2527" s="4">
        <v>3.8686849699999999</v>
      </c>
      <c r="AG2527" s="2">
        <v>1.04</v>
      </c>
      <c r="AH2527" s="2">
        <v>14025874.6</v>
      </c>
      <c r="AI2527" s="2">
        <v>0.03</v>
      </c>
      <c r="AJ2527" s="5">
        <v>44673</v>
      </c>
      <c r="AK2527" t="s">
        <v>12423</v>
      </c>
      <c r="AL2527" s="2">
        <v>3.9</v>
      </c>
      <c r="AM2527" s="2">
        <v>2.5</v>
      </c>
      <c r="AN2527" s="2">
        <v>18.690000000000001</v>
      </c>
      <c r="AO2527" t="s">
        <v>10922</v>
      </c>
      <c r="AP2527" t="s">
        <v>10997</v>
      </c>
      <c r="AQ2527" t="s">
        <v>1160</v>
      </c>
    </row>
    <row r="2528" spans="1:43" x14ac:dyDescent="0.2">
      <c r="A2528" t="s">
        <v>12422</v>
      </c>
      <c r="B2528" t="s">
        <v>10900</v>
      </c>
      <c r="C2528" t="s">
        <v>10990</v>
      </c>
      <c r="D2528" t="s">
        <v>10998</v>
      </c>
      <c r="E2528" t="s">
        <v>1197</v>
      </c>
      <c r="F2528" t="s">
        <v>10998</v>
      </c>
      <c r="G2528" s="1">
        <v>5941000</v>
      </c>
      <c r="H2528" s="2">
        <v>6709258.6600000001</v>
      </c>
      <c r="I2528" s="2">
        <v>6723632.54</v>
      </c>
      <c r="J2528" s="2">
        <v>22513.73</v>
      </c>
      <c r="K2528" s="2">
        <v>0</v>
      </c>
      <c r="L2528" s="2">
        <v>6746146.2699999996</v>
      </c>
      <c r="M2528" s="3">
        <v>3.82</v>
      </c>
      <c r="N2528" s="4">
        <v>1.5348209999999999E-2</v>
      </c>
      <c r="O2528" s="5">
        <v>44804</v>
      </c>
      <c r="P2528" s="5">
        <v>48638</v>
      </c>
      <c r="Q2528" s="1">
        <v>1.875</v>
      </c>
      <c r="R2528" s="2">
        <v>9.7100000000000009</v>
      </c>
      <c r="S2528" s="6">
        <v>9.5277218819999998</v>
      </c>
      <c r="T2528" t="s">
        <v>111</v>
      </c>
      <c r="U2528" t="s">
        <v>111</v>
      </c>
      <c r="V2528" t="s">
        <v>10992</v>
      </c>
      <c r="W2528" t="s">
        <v>43</v>
      </c>
      <c r="X2528" t="s">
        <v>10945</v>
      </c>
      <c r="Y2528" t="s">
        <v>44</v>
      </c>
      <c r="Z2528" t="s">
        <v>44</v>
      </c>
      <c r="AA2528" t="s">
        <v>10913</v>
      </c>
      <c r="AB2528" t="s">
        <v>44</v>
      </c>
      <c r="AC2528" s="4">
        <v>3.856481</v>
      </c>
      <c r="AD2528" s="4">
        <v>3.7899492800000001</v>
      </c>
      <c r="AE2528" s="2">
        <v>3.86</v>
      </c>
      <c r="AF2528" s="4">
        <v>3.7899492800000001</v>
      </c>
      <c r="AG2528" s="2">
        <v>0.5</v>
      </c>
      <c r="AH2528" s="2">
        <v>6746146.2699999996</v>
      </c>
      <c r="AI2528" s="2">
        <v>0.02</v>
      </c>
      <c r="AJ2528" s="5">
        <v>44673</v>
      </c>
      <c r="AK2528" t="s">
        <v>12423</v>
      </c>
      <c r="AL2528" s="2">
        <v>3.82</v>
      </c>
      <c r="AM2528" s="2">
        <v>1.88</v>
      </c>
      <c r="AN2528" s="2">
        <v>9.5299999999999994</v>
      </c>
      <c r="AO2528" t="s">
        <v>10922</v>
      </c>
      <c r="AP2528" t="s">
        <v>10999</v>
      </c>
      <c r="AQ2528" t="s">
        <v>1197</v>
      </c>
    </row>
    <row r="2529" spans="1:43" x14ac:dyDescent="0.2">
      <c r="A2529" t="s">
        <v>12422</v>
      </c>
      <c r="B2529" t="s">
        <v>10900</v>
      </c>
      <c r="C2529" t="s">
        <v>10990</v>
      </c>
      <c r="D2529" t="s">
        <v>12456</v>
      </c>
      <c r="E2529" t="s">
        <v>12457</v>
      </c>
      <c r="F2529" t="s">
        <v>12456</v>
      </c>
      <c r="G2529" s="1">
        <v>3849000</v>
      </c>
      <c r="H2529" s="2">
        <v>8290185.5300000003</v>
      </c>
      <c r="I2529" s="2">
        <v>8421768.9399999995</v>
      </c>
      <c r="J2529" s="2">
        <v>13884.35</v>
      </c>
      <c r="K2529" s="2">
        <v>0</v>
      </c>
      <c r="L2529" s="2">
        <v>8435653.2899999991</v>
      </c>
      <c r="M2529" s="3">
        <v>2.71</v>
      </c>
      <c r="N2529" s="4">
        <v>1.9192020000000001E-2</v>
      </c>
      <c r="O2529" s="5">
        <v>44834</v>
      </c>
      <c r="P2529" s="5">
        <v>46843</v>
      </c>
      <c r="Q2529" s="1">
        <v>2.6</v>
      </c>
      <c r="R2529" s="2">
        <v>5.52</v>
      </c>
      <c r="S2529" s="6">
        <v>5.4504161370000004</v>
      </c>
      <c r="T2529" t="s">
        <v>111</v>
      </c>
      <c r="U2529" t="s">
        <v>111</v>
      </c>
      <c r="V2529" t="s">
        <v>10992</v>
      </c>
      <c r="W2529" t="s">
        <v>43</v>
      </c>
      <c r="X2529" t="s">
        <v>10945</v>
      </c>
      <c r="Y2529" t="s">
        <v>44</v>
      </c>
      <c r="Z2529" t="s">
        <v>44</v>
      </c>
      <c r="AA2529" t="s">
        <v>10913</v>
      </c>
      <c r="AB2529" t="s">
        <v>44</v>
      </c>
      <c r="AC2529" s="4">
        <v>2.7283602500000002</v>
      </c>
      <c r="AD2529" s="4">
        <v>2.6948252799999999</v>
      </c>
      <c r="AE2529" s="2">
        <v>2.73</v>
      </c>
      <c r="AF2529" s="4">
        <v>2.6948252799999999</v>
      </c>
      <c r="AG2529" s="2">
        <v>0.63</v>
      </c>
      <c r="AH2529" s="2">
        <v>8435653.2899999991</v>
      </c>
      <c r="AI2529" s="2">
        <v>0.02</v>
      </c>
      <c r="AJ2529" s="5">
        <v>44673</v>
      </c>
      <c r="AK2529" t="s">
        <v>12423</v>
      </c>
      <c r="AL2529" s="2">
        <v>2.71</v>
      </c>
      <c r="AM2529" s="2">
        <v>2.6</v>
      </c>
      <c r="AN2529" s="2">
        <v>5.45</v>
      </c>
      <c r="AO2529" t="s">
        <v>10922</v>
      </c>
      <c r="AP2529" t="s">
        <v>12458</v>
      </c>
      <c r="AQ2529" t="s">
        <v>12457</v>
      </c>
    </row>
    <row r="2530" spans="1:43" x14ac:dyDescent="0.2">
      <c r="A2530" t="s">
        <v>12422</v>
      </c>
      <c r="B2530" t="s">
        <v>10900</v>
      </c>
      <c r="C2530" t="s">
        <v>10990</v>
      </c>
      <c r="D2530" t="s">
        <v>12459</v>
      </c>
      <c r="E2530" t="s">
        <v>12460</v>
      </c>
      <c r="F2530" t="s">
        <v>12459</v>
      </c>
      <c r="G2530" s="1">
        <v>4940000</v>
      </c>
      <c r="H2530" s="2">
        <v>12086876.550000001</v>
      </c>
      <c r="I2530" s="2">
        <v>12190021.460000001</v>
      </c>
      <c r="J2530" s="2">
        <v>163643.57</v>
      </c>
      <c r="K2530" s="2">
        <v>0</v>
      </c>
      <c r="L2530" s="2">
        <v>12353665.029999999</v>
      </c>
      <c r="M2530" s="3">
        <v>3.83</v>
      </c>
      <c r="N2530" s="4">
        <v>2.810592E-2</v>
      </c>
      <c r="O2530" s="5">
        <v>44719</v>
      </c>
      <c r="P2530" s="5">
        <v>48920</v>
      </c>
      <c r="Q2530" s="1">
        <v>3.45</v>
      </c>
      <c r="R2530" s="2">
        <v>9.5</v>
      </c>
      <c r="S2530" s="6">
        <v>9.3193170540000008</v>
      </c>
      <c r="T2530" t="s">
        <v>111</v>
      </c>
      <c r="U2530" t="s">
        <v>111</v>
      </c>
      <c r="V2530" t="s">
        <v>10992</v>
      </c>
      <c r="W2530" t="s">
        <v>43</v>
      </c>
      <c r="X2530" t="s">
        <v>10945</v>
      </c>
      <c r="Y2530" t="s">
        <v>44</v>
      </c>
      <c r="Z2530" t="s">
        <v>44</v>
      </c>
      <c r="AA2530" t="s">
        <v>10913</v>
      </c>
      <c r="AB2530" t="s">
        <v>44</v>
      </c>
      <c r="AC2530" s="4">
        <v>3.8666722500000001</v>
      </c>
      <c r="AD2530" s="4">
        <v>3.7997926500000001</v>
      </c>
      <c r="AE2530" s="2">
        <v>3.87</v>
      </c>
      <c r="AF2530" s="4">
        <v>3.7997926500000001</v>
      </c>
      <c r="AG2530" s="2">
        <v>0.92</v>
      </c>
      <c r="AH2530" s="2">
        <v>12353665.029999999</v>
      </c>
      <c r="AI2530" s="2">
        <v>0.03</v>
      </c>
      <c r="AJ2530" s="5">
        <v>44673</v>
      </c>
      <c r="AK2530" t="s">
        <v>12423</v>
      </c>
      <c r="AL2530" s="2">
        <v>3.83</v>
      </c>
      <c r="AM2530" s="2">
        <v>3.45</v>
      </c>
      <c r="AN2530" s="2">
        <v>9.32</v>
      </c>
      <c r="AO2530" t="s">
        <v>10922</v>
      </c>
      <c r="AP2530" t="s">
        <v>12461</v>
      </c>
      <c r="AQ2530" t="s">
        <v>12460</v>
      </c>
    </row>
    <row r="2531" spans="1:43" x14ac:dyDescent="0.2">
      <c r="A2531" t="s">
        <v>12422</v>
      </c>
      <c r="B2531" t="s">
        <v>10900</v>
      </c>
      <c r="C2531" t="s">
        <v>10990</v>
      </c>
      <c r="D2531" t="s">
        <v>11603</v>
      </c>
      <c r="E2531" t="s">
        <v>11604</v>
      </c>
      <c r="F2531" t="s">
        <v>11603</v>
      </c>
      <c r="G2531" s="1">
        <v>4411000</v>
      </c>
      <c r="H2531" s="2">
        <v>14199320.02</v>
      </c>
      <c r="I2531" s="2">
        <v>14249543.130000001</v>
      </c>
      <c r="J2531" s="2">
        <v>275101.59000000003</v>
      </c>
      <c r="K2531" s="2">
        <v>0</v>
      </c>
      <c r="L2531" s="2">
        <v>14524644.720000001</v>
      </c>
      <c r="M2531" s="3">
        <v>1.165</v>
      </c>
      <c r="N2531" s="4">
        <v>3.3045129999999999E-2</v>
      </c>
      <c r="O2531" s="5">
        <v>44719</v>
      </c>
      <c r="P2531" s="5">
        <v>45267</v>
      </c>
      <c r="Q2531" s="1">
        <v>5.5</v>
      </c>
      <c r="R2531" s="2">
        <v>1.54</v>
      </c>
      <c r="S2531" s="6">
        <v>1.5339230509999999</v>
      </c>
      <c r="T2531" t="s">
        <v>111</v>
      </c>
      <c r="U2531" t="s">
        <v>111</v>
      </c>
      <c r="V2531" t="s">
        <v>10992</v>
      </c>
      <c r="W2531" t="s">
        <v>43</v>
      </c>
      <c r="X2531" t="s">
        <v>10945</v>
      </c>
      <c r="Y2531" t="s">
        <v>44</v>
      </c>
      <c r="Z2531" t="s">
        <v>44</v>
      </c>
      <c r="AA2531" t="s">
        <v>10913</v>
      </c>
      <c r="AB2531" t="s">
        <v>44</v>
      </c>
      <c r="AC2531" s="4">
        <v>1.1683930600000001</v>
      </c>
      <c r="AD2531" s="4">
        <v>1.1621824700000001</v>
      </c>
      <c r="AE2531" s="2">
        <v>1.17</v>
      </c>
      <c r="AF2531" s="4">
        <v>1.1621824700000001</v>
      </c>
      <c r="AG2531" s="2">
        <v>1.08</v>
      </c>
      <c r="AH2531" s="2">
        <v>14524644.720000001</v>
      </c>
      <c r="AI2531" s="2">
        <v>0.03</v>
      </c>
      <c r="AJ2531" s="5">
        <v>44673</v>
      </c>
      <c r="AK2531" t="s">
        <v>12423</v>
      </c>
      <c r="AL2531" s="2">
        <v>1.1599999999999999</v>
      </c>
      <c r="AM2531" s="2">
        <v>5.5</v>
      </c>
      <c r="AN2531" s="2">
        <v>1.53</v>
      </c>
      <c r="AO2531" t="s">
        <v>10922</v>
      </c>
      <c r="AP2531" t="s">
        <v>11605</v>
      </c>
      <c r="AQ2531" t="s">
        <v>11604</v>
      </c>
    </row>
    <row r="2532" spans="1:43" x14ac:dyDescent="0.2">
      <c r="A2532" t="s">
        <v>12422</v>
      </c>
      <c r="B2532" t="s">
        <v>45</v>
      </c>
      <c r="C2532" t="s">
        <v>11000</v>
      </c>
      <c r="D2532" t="s">
        <v>11075</v>
      </c>
      <c r="E2532" t="s">
        <v>11076</v>
      </c>
      <c r="F2532" t="s">
        <v>11075</v>
      </c>
      <c r="G2532" s="1">
        <v>499218.5</v>
      </c>
      <c r="H2532" s="2">
        <v>7517582.7599999998</v>
      </c>
      <c r="I2532" s="2">
        <v>7794808.3399999999</v>
      </c>
      <c r="J2532" s="2">
        <v>0</v>
      </c>
      <c r="K2532" s="2">
        <v>0</v>
      </c>
      <c r="L2532" s="2">
        <v>7794808.3399999999</v>
      </c>
      <c r="M2532" s="3">
        <v>0</v>
      </c>
      <c r="N2532" s="4">
        <v>1.7734030000000001E-2</v>
      </c>
      <c r="O2532" s="5" t="s">
        <v>44</v>
      </c>
      <c r="P2532" s="5">
        <v>47848</v>
      </c>
      <c r="Q2532" s="1">
        <v>0</v>
      </c>
      <c r="R2532" s="2">
        <v>0.08</v>
      </c>
      <c r="S2532" s="6"/>
      <c r="T2532" t="s">
        <v>112</v>
      </c>
      <c r="U2532" t="s">
        <v>46</v>
      </c>
      <c r="V2532" t="s">
        <v>46</v>
      </c>
      <c r="W2532" t="s">
        <v>113</v>
      </c>
      <c r="X2532" t="s">
        <v>44</v>
      </c>
      <c r="Y2532" t="s">
        <v>44</v>
      </c>
      <c r="Z2532" t="s">
        <v>44</v>
      </c>
      <c r="AA2532" t="s">
        <v>10913</v>
      </c>
      <c r="AB2532" t="s">
        <v>44</v>
      </c>
      <c r="AC2532" s="4"/>
      <c r="AD2532" s="4"/>
      <c r="AE2532" s="2">
        <v>0</v>
      </c>
      <c r="AF2532" s="4">
        <v>0</v>
      </c>
      <c r="AG2532" s="2">
        <v>0.57999999999999996</v>
      </c>
      <c r="AH2532" s="2">
        <v>7794808.3399999999</v>
      </c>
      <c r="AI2532" s="2">
        <v>0.02</v>
      </c>
      <c r="AJ2532" s="5">
        <v>44673</v>
      </c>
      <c r="AK2532" t="s">
        <v>12423</v>
      </c>
      <c r="AL2532" s="2">
        <v>0</v>
      </c>
      <c r="AM2532" s="2">
        <v>0</v>
      </c>
      <c r="AN2532" s="2">
        <v>0</v>
      </c>
      <c r="AO2532" t="s">
        <v>11074</v>
      </c>
      <c r="AP2532" t="s">
        <v>44</v>
      </c>
      <c r="AQ2532" t="s">
        <v>11076</v>
      </c>
    </row>
    <row r="2533" spans="1:43" x14ac:dyDescent="0.2">
      <c r="A2533" t="s">
        <v>12422</v>
      </c>
      <c r="B2533" t="s">
        <v>45</v>
      </c>
      <c r="C2533" t="s">
        <v>11000</v>
      </c>
      <c r="D2533" t="s">
        <v>11268</v>
      </c>
      <c r="E2533" t="s">
        <v>11269</v>
      </c>
      <c r="F2533" t="s">
        <v>11268</v>
      </c>
      <c r="G2533" s="1">
        <v>10532435.699999999</v>
      </c>
      <c r="H2533" s="2">
        <v>10532435.699999999</v>
      </c>
      <c r="I2533" s="2">
        <v>10532435.699999999</v>
      </c>
      <c r="J2533" s="2">
        <v>33834.800000000003</v>
      </c>
      <c r="K2533" s="2">
        <v>0</v>
      </c>
      <c r="L2533" s="2">
        <v>10566270.5</v>
      </c>
      <c r="M2533" s="3">
        <v>4.617</v>
      </c>
      <c r="N2533" s="4">
        <v>2.4039399999999999E-2</v>
      </c>
      <c r="O2533" s="5" t="s">
        <v>44</v>
      </c>
      <c r="P2533" s="5">
        <v>47848</v>
      </c>
      <c r="Q2533" s="1">
        <v>4.617</v>
      </c>
      <c r="R2533" s="2">
        <v>0.08</v>
      </c>
      <c r="S2533" s="6"/>
      <c r="T2533" t="s">
        <v>112</v>
      </c>
      <c r="U2533" t="s">
        <v>46</v>
      </c>
      <c r="V2533" t="s">
        <v>11270</v>
      </c>
      <c r="W2533" t="s">
        <v>43</v>
      </c>
      <c r="X2533" t="s">
        <v>44</v>
      </c>
      <c r="Y2533" t="s">
        <v>44</v>
      </c>
      <c r="Z2533" t="s">
        <v>44</v>
      </c>
      <c r="AA2533" t="s">
        <v>44</v>
      </c>
      <c r="AB2533" t="s">
        <v>44</v>
      </c>
      <c r="AC2533" s="4">
        <v>4.7160921900000004</v>
      </c>
      <c r="AD2533" s="4">
        <v>4.6171215200000004</v>
      </c>
      <c r="AE2533" s="2">
        <v>4.72</v>
      </c>
      <c r="AF2533" s="4">
        <v>4.6171215200000004</v>
      </c>
      <c r="AG2533" s="2">
        <v>0.78</v>
      </c>
      <c r="AH2533" s="2">
        <v>10566270.5</v>
      </c>
      <c r="AI2533" s="2">
        <v>0.02</v>
      </c>
      <c r="AJ2533" s="5">
        <v>44673</v>
      </c>
      <c r="AK2533" t="s">
        <v>12423</v>
      </c>
      <c r="AL2533" s="2">
        <v>4.66</v>
      </c>
      <c r="AM2533" s="2">
        <v>4.62</v>
      </c>
      <c r="AN2533" s="2">
        <v>0</v>
      </c>
      <c r="AO2533" t="s">
        <v>44</v>
      </c>
      <c r="AP2533" t="s">
        <v>44</v>
      </c>
      <c r="AQ2533" t="s">
        <v>11269</v>
      </c>
    </row>
    <row r="2534" spans="1:43" x14ac:dyDescent="0.2">
      <c r="A2534" t="s">
        <v>12422</v>
      </c>
      <c r="B2534" t="s">
        <v>45</v>
      </c>
      <c r="C2534" t="s">
        <v>11000</v>
      </c>
      <c r="D2534" t="s">
        <v>11271</v>
      </c>
      <c r="E2534" t="s">
        <v>11272</v>
      </c>
      <c r="F2534" t="s">
        <v>11271</v>
      </c>
      <c r="G2534" s="1">
        <v>8950000</v>
      </c>
      <c r="H2534" s="2">
        <v>8950000</v>
      </c>
      <c r="I2534" s="2">
        <v>8950000</v>
      </c>
      <c r="J2534" s="2">
        <v>28751.32</v>
      </c>
      <c r="K2534" s="2">
        <v>0</v>
      </c>
      <c r="L2534" s="2">
        <v>8978751.3200000003</v>
      </c>
      <c r="M2534" s="3">
        <v>4.617</v>
      </c>
      <c r="N2534" s="4">
        <v>2.0427629999999999E-2</v>
      </c>
      <c r="O2534" s="5" t="s">
        <v>44</v>
      </c>
      <c r="P2534" s="5">
        <v>47848</v>
      </c>
      <c r="Q2534" s="1">
        <v>4.617</v>
      </c>
      <c r="R2534" s="2">
        <v>0.08</v>
      </c>
      <c r="S2534" s="6"/>
      <c r="T2534" t="s">
        <v>112</v>
      </c>
      <c r="U2534" t="s">
        <v>46</v>
      </c>
      <c r="V2534" t="s">
        <v>11270</v>
      </c>
      <c r="W2534" t="s">
        <v>43</v>
      </c>
      <c r="X2534" t="s">
        <v>44</v>
      </c>
      <c r="Y2534" t="s">
        <v>44</v>
      </c>
      <c r="Z2534" t="s">
        <v>44</v>
      </c>
      <c r="AA2534" t="s">
        <v>44</v>
      </c>
      <c r="AB2534" t="s">
        <v>44</v>
      </c>
      <c r="AC2534" s="4">
        <v>4.7160921900000004</v>
      </c>
      <c r="AD2534" s="4">
        <v>4.6171215200000004</v>
      </c>
      <c r="AE2534" s="2">
        <v>4.72</v>
      </c>
      <c r="AF2534" s="4">
        <v>4.6171215200000004</v>
      </c>
      <c r="AG2534" s="2">
        <v>0.67</v>
      </c>
      <c r="AH2534" s="2">
        <v>8978751.3200000003</v>
      </c>
      <c r="AI2534" s="2">
        <v>0.02</v>
      </c>
      <c r="AJ2534" s="5">
        <v>44673</v>
      </c>
      <c r="AK2534" t="s">
        <v>12423</v>
      </c>
      <c r="AL2534" s="2">
        <v>4.66</v>
      </c>
      <c r="AM2534" s="2">
        <v>4.62</v>
      </c>
      <c r="AN2534" s="2">
        <v>0</v>
      </c>
      <c r="AO2534" t="s">
        <v>44</v>
      </c>
      <c r="AP2534" t="s">
        <v>44</v>
      </c>
      <c r="AQ2534" t="s">
        <v>11272</v>
      </c>
    </row>
    <row r="2535" spans="1:43" x14ac:dyDescent="0.2">
      <c r="A2535" t="s">
        <v>12422</v>
      </c>
      <c r="B2535" t="s">
        <v>45</v>
      </c>
      <c r="C2535" t="s">
        <v>11000</v>
      </c>
      <c r="D2535" t="s">
        <v>11273</v>
      </c>
      <c r="E2535" t="s">
        <v>11274</v>
      </c>
      <c r="F2535" t="s">
        <v>11273</v>
      </c>
      <c r="G2535" s="1">
        <v>5596.04</v>
      </c>
      <c r="H2535" s="2">
        <v>5596.04</v>
      </c>
      <c r="I2535" s="2">
        <v>5596.04</v>
      </c>
      <c r="J2535" s="2">
        <v>16.98</v>
      </c>
      <c r="K2535" s="2">
        <v>0</v>
      </c>
      <c r="L2535" s="2">
        <v>5613.02</v>
      </c>
      <c r="M2535" s="3"/>
      <c r="N2535" s="4">
        <v>1.277E-5</v>
      </c>
      <c r="O2535" s="5">
        <v>44378</v>
      </c>
      <c r="P2535" s="5">
        <v>55153</v>
      </c>
      <c r="Q2535" s="1">
        <v>0</v>
      </c>
      <c r="R2535" s="2"/>
      <c r="S2535" s="6"/>
      <c r="T2535" t="s">
        <v>111</v>
      </c>
      <c r="U2535" t="s">
        <v>11003</v>
      </c>
      <c r="V2535" t="s">
        <v>46</v>
      </c>
      <c r="W2535" t="s">
        <v>43</v>
      </c>
      <c r="X2535" t="s">
        <v>44</v>
      </c>
      <c r="Y2535" t="s">
        <v>44</v>
      </c>
      <c r="Z2535" t="s">
        <v>44</v>
      </c>
      <c r="AA2535" t="s">
        <v>44</v>
      </c>
      <c r="AB2535" t="s">
        <v>44</v>
      </c>
      <c r="AC2535" s="4"/>
      <c r="AD2535" s="4"/>
      <c r="AE2535" s="2">
        <v>0</v>
      </c>
      <c r="AF2535" s="4">
        <v>0</v>
      </c>
      <c r="AG2535" s="2">
        <v>0</v>
      </c>
      <c r="AH2535" s="2">
        <v>5613.02</v>
      </c>
      <c r="AI2535" s="2">
        <v>0</v>
      </c>
      <c r="AJ2535" s="5">
        <v>44673</v>
      </c>
      <c r="AK2535" t="s">
        <v>12423</v>
      </c>
      <c r="AL2535" s="2">
        <v>0</v>
      </c>
      <c r="AM2535" s="2">
        <v>0</v>
      </c>
      <c r="AN2535" s="2">
        <v>0</v>
      </c>
      <c r="AO2535" t="s">
        <v>44</v>
      </c>
      <c r="AP2535" t="s">
        <v>11275</v>
      </c>
      <c r="AQ2535" t="s">
        <v>11274</v>
      </c>
    </row>
    <row r="2536" spans="1:43" x14ac:dyDescent="0.2">
      <c r="A2536" t="s">
        <v>12422</v>
      </c>
      <c r="B2536" t="s">
        <v>45</v>
      </c>
      <c r="C2536" t="s">
        <v>11000</v>
      </c>
      <c r="D2536" t="s">
        <v>11001</v>
      </c>
      <c r="E2536" t="s">
        <v>11002</v>
      </c>
      <c r="F2536" t="s">
        <v>11001</v>
      </c>
      <c r="G2536" s="1">
        <v>90182744.155599996</v>
      </c>
      <c r="H2536" s="2">
        <v>90182744.159999996</v>
      </c>
      <c r="I2536" s="2">
        <v>90182744.159999996</v>
      </c>
      <c r="J2536" s="2">
        <v>293107.03999999998</v>
      </c>
      <c r="K2536" s="2">
        <v>0</v>
      </c>
      <c r="L2536" s="2">
        <v>90475851.200000003</v>
      </c>
      <c r="M2536" s="3"/>
      <c r="N2536" s="4">
        <v>0.20584230000000001</v>
      </c>
      <c r="O2536" s="5">
        <v>40756</v>
      </c>
      <c r="P2536" s="5">
        <v>73020</v>
      </c>
      <c r="Q2536" s="1">
        <v>0</v>
      </c>
      <c r="R2536" s="2"/>
      <c r="S2536" s="6"/>
      <c r="T2536" t="s">
        <v>111</v>
      </c>
      <c r="U2536" t="s">
        <v>11003</v>
      </c>
      <c r="V2536" t="s">
        <v>46</v>
      </c>
      <c r="W2536" t="s">
        <v>43</v>
      </c>
      <c r="X2536" t="s">
        <v>44</v>
      </c>
      <c r="Y2536" t="s">
        <v>44</v>
      </c>
      <c r="Z2536" t="s">
        <v>44</v>
      </c>
      <c r="AA2536" t="s">
        <v>44</v>
      </c>
      <c r="AB2536" t="s">
        <v>44</v>
      </c>
      <c r="AC2536" s="4"/>
      <c r="AD2536" s="4"/>
      <c r="AE2536" s="2">
        <v>0</v>
      </c>
      <c r="AF2536" s="4">
        <v>0</v>
      </c>
      <c r="AG2536" s="2">
        <v>6.72</v>
      </c>
      <c r="AH2536" s="2">
        <v>90475851.200000003</v>
      </c>
      <c r="AI2536" s="2">
        <v>0.21</v>
      </c>
      <c r="AJ2536" s="5">
        <v>44673</v>
      </c>
      <c r="AK2536" t="s">
        <v>12423</v>
      </c>
      <c r="AL2536" s="2">
        <v>0</v>
      </c>
      <c r="AM2536" s="2">
        <v>0</v>
      </c>
      <c r="AN2536" s="2">
        <v>0</v>
      </c>
      <c r="AO2536" t="s">
        <v>44</v>
      </c>
      <c r="AP2536" t="s">
        <v>11004</v>
      </c>
      <c r="AQ2536" t="s">
        <v>11002</v>
      </c>
    </row>
    <row r="2537" spans="1:43" x14ac:dyDescent="0.2">
      <c r="A2537" t="s">
        <v>12422</v>
      </c>
      <c r="B2537" t="s">
        <v>45</v>
      </c>
      <c r="C2537" t="s">
        <v>11000</v>
      </c>
      <c r="D2537" t="s">
        <v>12294</v>
      </c>
      <c r="E2537" t="s">
        <v>12295</v>
      </c>
      <c r="F2537" t="s">
        <v>12294</v>
      </c>
      <c r="G2537" s="1">
        <v>25244805.228</v>
      </c>
      <c r="H2537" s="2">
        <v>26019323.870000001</v>
      </c>
      <c r="I2537" s="2">
        <v>26032443.149999999</v>
      </c>
      <c r="J2537" s="2">
        <v>0</v>
      </c>
      <c r="K2537" s="2">
        <v>0</v>
      </c>
      <c r="L2537" s="2">
        <v>26032443.149999999</v>
      </c>
      <c r="M2537" s="3">
        <v>1.0311999999999999</v>
      </c>
      <c r="N2537" s="4">
        <v>5.9226609999999999E-2</v>
      </c>
      <c r="O2537" s="5" t="s">
        <v>44</v>
      </c>
      <c r="P2537" s="5" t="s">
        <v>44</v>
      </c>
      <c r="Q2537" s="1"/>
      <c r="R2537" s="2"/>
      <c r="S2537" s="6"/>
      <c r="T2537" t="s">
        <v>10902</v>
      </c>
      <c r="U2537" t="s">
        <v>11003</v>
      </c>
      <c r="V2537" t="s">
        <v>46</v>
      </c>
      <c r="W2537" t="s">
        <v>43</v>
      </c>
      <c r="X2537" t="s">
        <v>44</v>
      </c>
      <c r="Y2537" t="s">
        <v>44</v>
      </c>
      <c r="Z2537" t="s">
        <v>44</v>
      </c>
      <c r="AA2537" t="s">
        <v>44</v>
      </c>
      <c r="AB2537" t="s">
        <v>44</v>
      </c>
      <c r="AC2537" s="4"/>
      <c r="AD2537" s="4"/>
      <c r="AE2537" s="2">
        <v>0</v>
      </c>
      <c r="AF2537" s="4">
        <v>0</v>
      </c>
      <c r="AG2537" s="2">
        <v>1.93</v>
      </c>
      <c r="AH2537" s="2">
        <v>26032443.149999999</v>
      </c>
      <c r="AI2537" s="2">
        <v>0.06</v>
      </c>
      <c r="AJ2537" s="5">
        <v>44673</v>
      </c>
      <c r="AK2537" t="s">
        <v>12423</v>
      </c>
      <c r="AL2537" s="2">
        <v>0</v>
      </c>
      <c r="AM2537" s="2">
        <v>0</v>
      </c>
      <c r="AN2537" s="2">
        <v>0</v>
      </c>
      <c r="AO2537" t="s">
        <v>44</v>
      </c>
      <c r="AP2537" t="s">
        <v>12296</v>
      </c>
      <c r="AQ2537" t="s">
        <v>12295</v>
      </c>
    </row>
    <row r="2538" spans="1:43" x14ac:dyDescent="0.2">
      <c r="A2538" t="s">
        <v>12422</v>
      </c>
      <c r="B2538" t="s">
        <v>45</v>
      </c>
      <c r="C2538" t="s">
        <v>11000</v>
      </c>
      <c r="D2538" t="s">
        <v>12462</v>
      </c>
      <c r="E2538" t="s">
        <v>12463</v>
      </c>
      <c r="F2538" t="s">
        <v>12462</v>
      </c>
      <c r="G2538" s="1">
        <v>3500000</v>
      </c>
      <c r="H2538" s="2">
        <v>3500000</v>
      </c>
      <c r="I2538" s="2">
        <v>3500000</v>
      </c>
      <c r="J2538" s="2">
        <v>8438.36</v>
      </c>
      <c r="K2538" s="2">
        <v>0</v>
      </c>
      <c r="L2538" s="2">
        <v>3508438.36</v>
      </c>
      <c r="M2538" s="3">
        <v>4</v>
      </c>
      <c r="N2538" s="4">
        <v>7.9820800000000008E-3</v>
      </c>
      <c r="O2538" s="5" t="s">
        <v>44</v>
      </c>
      <c r="P2538" s="5">
        <v>54789</v>
      </c>
      <c r="Q2538" s="1">
        <v>4</v>
      </c>
      <c r="R2538" s="2">
        <v>0.08</v>
      </c>
      <c r="S2538" s="6"/>
      <c r="T2538" t="s">
        <v>112</v>
      </c>
      <c r="U2538" t="s">
        <v>46</v>
      </c>
      <c r="V2538" t="s">
        <v>11270</v>
      </c>
      <c r="W2538" t="s">
        <v>43</v>
      </c>
      <c r="X2538" t="s">
        <v>44</v>
      </c>
      <c r="Y2538" t="s">
        <v>44</v>
      </c>
      <c r="Z2538" t="s">
        <v>44</v>
      </c>
      <c r="AA2538" t="s">
        <v>10913</v>
      </c>
      <c r="AB2538" t="s">
        <v>44</v>
      </c>
      <c r="AC2538" s="4">
        <v>4.0742489199999996</v>
      </c>
      <c r="AD2538" s="4">
        <v>4.0000912299999998</v>
      </c>
      <c r="AE2538" s="2">
        <v>4.07</v>
      </c>
      <c r="AF2538" s="4">
        <v>4.0000912299999998</v>
      </c>
      <c r="AG2538" s="2">
        <v>0.26</v>
      </c>
      <c r="AH2538" s="2">
        <v>3508438.36</v>
      </c>
      <c r="AI2538" s="2">
        <v>0.01</v>
      </c>
      <c r="AJ2538" s="5">
        <v>44673</v>
      </c>
      <c r="AK2538" t="s">
        <v>12423</v>
      </c>
      <c r="AL2538" s="2">
        <v>4.03</v>
      </c>
      <c r="AM2538" s="2">
        <v>4</v>
      </c>
      <c r="AN2538" s="2">
        <v>0</v>
      </c>
      <c r="AO2538" t="s">
        <v>12464</v>
      </c>
      <c r="AP2538" t="s">
        <v>44</v>
      </c>
      <c r="AQ2538" t="s">
        <v>12463</v>
      </c>
    </row>
    <row r="2539" spans="1:43" x14ac:dyDescent="0.2">
      <c r="A2539" t="s">
        <v>12422</v>
      </c>
      <c r="B2539" t="s">
        <v>45</v>
      </c>
      <c r="C2539" t="s">
        <v>11144</v>
      </c>
      <c r="D2539" t="s">
        <v>11145</v>
      </c>
      <c r="E2539" t="s">
        <v>11146</v>
      </c>
      <c r="F2539" t="s">
        <v>11147</v>
      </c>
      <c r="G2539" s="1">
        <v>10141773</v>
      </c>
      <c r="H2539" s="2">
        <v>10141773</v>
      </c>
      <c r="I2539" s="2">
        <v>10141773</v>
      </c>
      <c r="J2539" s="2">
        <v>29700.21</v>
      </c>
      <c r="K2539" s="2">
        <v>0</v>
      </c>
      <c r="L2539" s="2">
        <v>10171473.210000001</v>
      </c>
      <c r="M2539" s="3">
        <v>6.88</v>
      </c>
      <c r="N2539" s="4">
        <v>2.3141200000000001E-2</v>
      </c>
      <c r="O2539" s="5" t="s">
        <v>44</v>
      </c>
      <c r="P2539" s="5">
        <v>55153</v>
      </c>
      <c r="Q2539" s="1">
        <v>6.88</v>
      </c>
      <c r="R2539" s="2">
        <v>0.08</v>
      </c>
      <c r="S2539" s="6">
        <v>2.6006750000000002E-3</v>
      </c>
      <c r="T2539" t="s">
        <v>112</v>
      </c>
      <c r="U2539" t="s">
        <v>46</v>
      </c>
      <c r="V2539" t="s">
        <v>11148</v>
      </c>
      <c r="W2539" t="s">
        <v>43</v>
      </c>
      <c r="X2539" t="s">
        <v>44</v>
      </c>
      <c r="Y2539" t="s">
        <v>44</v>
      </c>
      <c r="Z2539" t="s">
        <v>44</v>
      </c>
      <c r="AA2539" t="s">
        <v>44</v>
      </c>
      <c r="AB2539" t="s">
        <v>44</v>
      </c>
      <c r="AC2539" s="4"/>
      <c r="AD2539" s="4"/>
      <c r="AE2539" s="2">
        <v>0</v>
      </c>
      <c r="AF2539" s="4">
        <v>0</v>
      </c>
      <c r="AG2539" s="2">
        <v>0.76</v>
      </c>
      <c r="AH2539" s="2">
        <v>10171473.210000001</v>
      </c>
      <c r="AI2539" s="2">
        <v>0.02</v>
      </c>
      <c r="AJ2539" s="5">
        <v>44673</v>
      </c>
      <c r="AK2539" t="s">
        <v>12423</v>
      </c>
      <c r="AL2539" s="2">
        <v>0</v>
      </c>
      <c r="AM2539" s="2">
        <v>6.88</v>
      </c>
      <c r="AN2539" s="2">
        <v>0</v>
      </c>
      <c r="AO2539" t="s">
        <v>11146</v>
      </c>
      <c r="AP2539" t="s">
        <v>44</v>
      </c>
      <c r="AQ2539" t="s">
        <v>11146</v>
      </c>
    </row>
    <row r="2540" spans="1:43" x14ac:dyDescent="0.2">
      <c r="A2540" t="s">
        <v>12422</v>
      </c>
      <c r="B2540" t="s">
        <v>45</v>
      </c>
      <c r="C2540" t="s">
        <v>47</v>
      </c>
      <c r="D2540" t="s">
        <v>48</v>
      </c>
      <c r="E2540" t="s">
        <v>49</v>
      </c>
      <c r="F2540" t="s">
        <v>50</v>
      </c>
      <c r="G2540" s="1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8395.2800000000007</v>
      </c>
      <c r="M2540" s="3"/>
      <c r="N2540" s="4">
        <v>1.91E-5</v>
      </c>
      <c r="O2540" s="5" t="s">
        <v>44</v>
      </c>
      <c r="P2540" s="5" t="s">
        <v>44</v>
      </c>
      <c r="Q2540" s="1"/>
      <c r="R2540" s="2">
        <v>0.08</v>
      </c>
      <c r="S2540" s="6"/>
      <c r="T2540" t="s">
        <v>45</v>
      </c>
      <c r="U2540" t="s">
        <v>46</v>
      </c>
      <c r="V2540" t="s">
        <v>44</v>
      </c>
      <c r="W2540" t="s">
        <v>43</v>
      </c>
      <c r="X2540" t="s">
        <v>44</v>
      </c>
      <c r="Y2540" t="s">
        <v>44</v>
      </c>
      <c r="Z2540" t="s">
        <v>44</v>
      </c>
      <c r="AA2540" t="s">
        <v>44</v>
      </c>
      <c r="AB2540" t="s">
        <v>44</v>
      </c>
      <c r="AC2540" s="4">
        <v>5.1163389600000002</v>
      </c>
      <c r="AD2540" s="4">
        <v>5.0001424999999999</v>
      </c>
      <c r="AE2540" s="2">
        <v>5.12</v>
      </c>
      <c r="AF2540" s="4">
        <v>5.0001424999999999</v>
      </c>
      <c r="AG2540" s="2">
        <v>0</v>
      </c>
      <c r="AH2540" s="2">
        <v>8395.2800000000007</v>
      </c>
      <c r="AI2540" s="2">
        <v>0</v>
      </c>
      <c r="AJ2540" s="5">
        <v>44673</v>
      </c>
      <c r="AK2540" t="s">
        <v>12423</v>
      </c>
      <c r="AL2540" s="2">
        <v>5.05</v>
      </c>
      <c r="AM2540" s="2">
        <v>0</v>
      </c>
      <c r="AN2540" s="2">
        <v>0</v>
      </c>
      <c r="AO2540" t="s">
        <v>44</v>
      </c>
      <c r="AP2540" t="s">
        <v>44</v>
      </c>
      <c r="AQ2540" t="s">
        <v>44</v>
      </c>
    </row>
    <row r="2541" spans="1:43" x14ac:dyDescent="0.2">
      <c r="A2541" t="s">
        <v>12422</v>
      </c>
      <c r="B2541" t="s">
        <v>45</v>
      </c>
      <c r="C2541" t="s">
        <v>47</v>
      </c>
      <c r="D2541" t="s">
        <v>51</v>
      </c>
      <c r="E2541" t="s">
        <v>52</v>
      </c>
      <c r="F2541" t="s">
        <v>51</v>
      </c>
      <c r="G2541" s="1">
        <v>3768978.96</v>
      </c>
      <c r="H2541" s="2">
        <v>3768978.96</v>
      </c>
      <c r="I2541" s="2">
        <v>3768978.96</v>
      </c>
      <c r="J2541" s="2">
        <v>0</v>
      </c>
      <c r="K2541" s="2">
        <v>0</v>
      </c>
      <c r="L2541" s="2">
        <v>3768978.96</v>
      </c>
      <c r="M2541" s="3"/>
      <c r="N2541" s="4">
        <v>8.5748300000000003E-3</v>
      </c>
      <c r="O2541" s="5" t="s">
        <v>44</v>
      </c>
      <c r="P2541" s="5" t="s">
        <v>44</v>
      </c>
      <c r="Q2541" s="1"/>
      <c r="R2541" s="2">
        <v>0.08</v>
      </c>
      <c r="S2541" s="6"/>
      <c r="T2541" t="s">
        <v>45</v>
      </c>
      <c r="U2541" t="s">
        <v>53</v>
      </c>
      <c r="V2541" t="s">
        <v>44</v>
      </c>
      <c r="W2541" t="s">
        <v>43</v>
      </c>
      <c r="X2541" t="s">
        <v>44</v>
      </c>
      <c r="Y2541" t="s">
        <v>44</v>
      </c>
      <c r="Z2541" t="s">
        <v>44</v>
      </c>
      <c r="AA2541" t="s">
        <v>44</v>
      </c>
      <c r="AB2541" t="s">
        <v>44</v>
      </c>
      <c r="AC2541" s="4">
        <v>5.1163389600000002</v>
      </c>
      <c r="AD2541" s="4">
        <v>5.0001424999999999</v>
      </c>
      <c r="AE2541" s="2">
        <v>5.12</v>
      </c>
      <c r="AF2541" s="4">
        <v>5.0001424999999999</v>
      </c>
      <c r="AG2541" s="2">
        <v>0.28000000000000003</v>
      </c>
      <c r="AH2541" s="2">
        <v>3768978.96</v>
      </c>
      <c r="AI2541" s="2">
        <v>0.01</v>
      </c>
      <c r="AJ2541" s="5">
        <v>44673</v>
      </c>
      <c r="AK2541" t="s">
        <v>12423</v>
      </c>
      <c r="AL2541" s="2">
        <v>5.05</v>
      </c>
      <c r="AM2541" s="2">
        <v>0</v>
      </c>
      <c r="AN2541" s="2">
        <v>0</v>
      </c>
      <c r="AO2541" t="s">
        <v>44</v>
      </c>
      <c r="AP2541" t="s">
        <v>44</v>
      </c>
      <c r="AQ2541" t="s">
        <v>43</v>
      </c>
    </row>
    <row r="2542" spans="1:43" x14ac:dyDescent="0.2">
      <c r="A2542" t="s">
        <v>12422</v>
      </c>
      <c r="B2542" t="s">
        <v>45</v>
      </c>
      <c r="C2542" t="s">
        <v>47</v>
      </c>
      <c r="D2542" t="s">
        <v>11045</v>
      </c>
      <c r="E2542" t="s">
        <v>11046</v>
      </c>
      <c r="F2542" t="s">
        <v>11045</v>
      </c>
      <c r="G2542" s="1">
        <v>423512.89</v>
      </c>
      <c r="H2542" s="2">
        <v>6244504.4699999997</v>
      </c>
      <c r="I2542" s="2">
        <v>6612739.3200000003</v>
      </c>
      <c r="J2542" s="2">
        <v>0</v>
      </c>
      <c r="K2542" s="2">
        <v>0</v>
      </c>
      <c r="L2542" s="2">
        <v>6612739.3200000003</v>
      </c>
      <c r="M2542" s="3"/>
      <c r="N2542" s="4">
        <v>1.5044689999999999E-2</v>
      </c>
      <c r="O2542" s="5" t="s">
        <v>44</v>
      </c>
      <c r="P2542" s="5" t="s">
        <v>44</v>
      </c>
      <c r="Q2542" s="1"/>
      <c r="R2542" s="2">
        <v>0.08</v>
      </c>
      <c r="S2542" s="6"/>
      <c r="T2542" t="s">
        <v>45</v>
      </c>
      <c r="U2542" t="s">
        <v>53</v>
      </c>
      <c r="V2542" t="s">
        <v>44</v>
      </c>
      <c r="W2542" t="s">
        <v>113</v>
      </c>
      <c r="X2542" t="s">
        <v>44</v>
      </c>
      <c r="Y2542" t="s">
        <v>44</v>
      </c>
      <c r="Z2542" t="s">
        <v>44</v>
      </c>
      <c r="AA2542" t="s">
        <v>44</v>
      </c>
      <c r="AB2542" t="s">
        <v>44</v>
      </c>
      <c r="AC2542" s="4"/>
      <c r="AD2542" s="4"/>
      <c r="AE2542" s="2">
        <v>0</v>
      </c>
      <c r="AF2542" s="4">
        <v>0</v>
      </c>
      <c r="AG2542" s="2">
        <v>0.49</v>
      </c>
      <c r="AH2542" s="2">
        <v>6612739.3200000003</v>
      </c>
      <c r="AI2542" s="2">
        <v>0.02</v>
      </c>
      <c r="AJ2542" s="5">
        <v>44673</v>
      </c>
      <c r="AK2542" t="s">
        <v>12423</v>
      </c>
      <c r="AL2542" s="2">
        <v>0</v>
      </c>
      <c r="AM2542" s="2">
        <v>0</v>
      </c>
      <c r="AN2542" s="2">
        <v>0</v>
      </c>
      <c r="AO2542" t="s">
        <v>44</v>
      </c>
      <c r="AP2542" t="s">
        <v>44</v>
      </c>
      <c r="AQ2542" t="s">
        <v>113</v>
      </c>
    </row>
    <row r="2543" spans="1:43" x14ac:dyDescent="0.2">
      <c r="A2543" t="s">
        <v>12422</v>
      </c>
      <c r="B2543" t="s">
        <v>45</v>
      </c>
      <c r="C2543" t="s">
        <v>11005</v>
      </c>
      <c r="D2543" t="s">
        <v>11149</v>
      </c>
      <c r="E2543" t="s">
        <v>11150</v>
      </c>
      <c r="F2543" t="s">
        <v>44</v>
      </c>
      <c r="G2543" s="1">
        <v>-1058630</v>
      </c>
      <c r="H2543" s="2">
        <v>-1058630</v>
      </c>
      <c r="I2543" s="2">
        <v>-1058630</v>
      </c>
      <c r="J2543" s="2">
        <v>0</v>
      </c>
      <c r="K2543" s="2">
        <v>0</v>
      </c>
      <c r="L2543" s="2">
        <v>-1058630</v>
      </c>
      <c r="M2543" s="3"/>
      <c r="N2543" s="4">
        <v>-2.4085000000000001E-3</v>
      </c>
      <c r="O2543" s="5" t="s">
        <v>44</v>
      </c>
      <c r="P2543" s="5">
        <v>73051</v>
      </c>
      <c r="Q2543" s="1">
        <v>0</v>
      </c>
      <c r="R2543" s="2">
        <v>0.08</v>
      </c>
      <c r="S2543" s="6"/>
      <c r="T2543" t="s">
        <v>45</v>
      </c>
      <c r="U2543" t="s">
        <v>44</v>
      </c>
      <c r="V2543" t="s">
        <v>44</v>
      </c>
      <c r="W2543" t="s">
        <v>43</v>
      </c>
      <c r="X2543" t="s">
        <v>44</v>
      </c>
      <c r="Y2543" t="s">
        <v>44</v>
      </c>
      <c r="Z2543" t="s">
        <v>44</v>
      </c>
      <c r="AA2543" t="s">
        <v>44</v>
      </c>
      <c r="AB2543" t="s">
        <v>44</v>
      </c>
      <c r="AC2543" s="4">
        <v>5.1163389600000002</v>
      </c>
      <c r="AD2543" s="4">
        <v>5.0001424999999999</v>
      </c>
      <c r="AE2543" s="2">
        <v>5.12</v>
      </c>
      <c r="AF2543" s="4">
        <v>5.0001424999999999</v>
      </c>
      <c r="AG2543" s="2">
        <v>-0.08</v>
      </c>
      <c r="AH2543" s="2">
        <v>-1058630</v>
      </c>
      <c r="AI2543" s="2">
        <v>0</v>
      </c>
      <c r="AJ2543" s="5">
        <v>44673</v>
      </c>
      <c r="AK2543" t="s">
        <v>12423</v>
      </c>
      <c r="AL2543" s="2">
        <v>5.05</v>
      </c>
      <c r="AM2543" s="2">
        <v>0</v>
      </c>
      <c r="AN2543" s="2">
        <v>0</v>
      </c>
      <c r="AO2543" t="s">
        <v>44</v>
      </c>
      <c r="AP2543" t="s">
        <v>44</v>
      </c>
      <c r="AQ2543" t="s">
        <v>44</v>
      </c>
    </row>
    <row r="2544" spans="1:43" x14ac:dyDescent="0.2">
      <c r="A2544" t="s">
        <v>12422</v>
      </c>
      <c r="B2544" t="s">
        <v>11024</v>
      </c>
      <c r="C2544" t="s">
        <v>57</v>
      </c>
      <c r="D2544" t="s">
        <v>11754</v>
      </c>
      <c r="E2544" t="s">
        <v>11754</v>
      </c>
      <c r="F2544" t="s">
        <v>11754</v>
      </c>
      <c r="G2544" s="1">
        <v>172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3">
        <v>20012</v>
      </c>
      <c r="N2544" s="4">
        <v>0</v>
      </c>
      <c r="O2544" s="5" t="s">
        <v>44</v>
      </c>
      <c r="P2544" s="5">
        <v>44727</v>
      </c>
      <c r="Q2544" s="1"/>
      <c r="R2544" s="2"/>
      <c r="S2544" s="6"/>
      <c r="T2544" t="s">
        <v>11026</v>
      </c>
      <c r="U2544" t="s">
        <v>11025</v>
      </c>
      <c r="V2544" t="s">
        <v>11027</v>
      </c>
      <c r="W2544" t="s">
        <v>43</v>
      </c>
      <c r="X2544" t="s">
        <v>44</v>
      </c>
      <c r="Y2544" t="s">
        <v>44</v>
      </c>
      <c r="Z2544" t="s">
        <v>44</v>
      </c>
      <c r="AA2544" t="s">
        <v>44</v>
      </c>
      <c r="AB2544" t="s">
        <v>44</v>
      </c>
      <c r="AC2544" s="4"/>
      <c r="AD2544" s="4"/>
      <c r="AE2544" s="2">
        <v>0</v>
      </c>
      <c r="AF2544" s="4">
        <v>0</v>
      </c>
      <c r="AG2544" s="2">
        <v>0</v>
      </c>
      <c r="AH2544" s="2">
        <v>34420640</v>
      </c>
      <c r="AI2544" s="2">
        <v>0.08</v>
      </c>
      <c r="AJ2544" s="5">
        <v>44673</v>
      </c>
      <c r="AK2544" t="s">
        <v>12423</v>
      </c>
      <c r="AL2544" s="2">
        <v>0</v>
      </c>
      <c r="AM2544" s="2">
        <v>0</v>
      </c>
      <c r="AN2544" s="2">
        <v>0</v>
      </c>
      <c r="AO2544" t="s">
        <v>44</v>
      </c>
      <c r="AP2544" t="s">
        <v>11755</v>
      </c>
      <c r="AQ2544" t="s">
        <v>11754</v>
      </c>
    </row>
    <row r="2545" spans="1:43" x14ac:dyDescent="0.2">
      <c r="A2545" t="s">
        <v>12422</v>
      </c>
      <c r="B2545" t="s">
        <v>11024</v>
      </c>
      <c r="C2545" t="s">
        <v>57</v>
      </c>
      <c r="D2545" t="s">
        <v>11756</v>
      </c>
      <c r="E2545" t="s">
        <v>11756</v>
      </c>
      <c r="F2545" t="s">
        <v>11756</v>
      </c>
      <c r="G2545" s="1">
        <v>209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3">
        <v>29067</v>
      </c>
      <c r="N2545" s="4">
        <v>0</v>
      </c>
      <c r="O2545" s="5" t="s">
        <v>44</v>
      </c>
      <c r="P2545" s="5">
        <v>44727</v>
      </c>
      <c r="Q2545" s="1"/>
      <c r="R2545" s="2"/>
      <c r="S2545" s="6"/>
      <c r="T2545" t="s">
        <v>11026</v>
      </c>
      <c r="U2545" t="s">
        <v>11025</v>
      </c>
      <c r="V2545" t="s">
        <v>11027</v>
      </c>
      <c r="W2545" t="s">
        <v>43</v>
      </c>
      <c r="X2545" t="s">
        <v>44</v>
      </c>
      <c r="Y2545" t="s">
        <v>44</v>
      </c>
      <c r="Z2545" t="s">
        <v>44</v>
      </c>
      <c r="AA2545" t="s">
        <v>44</v>
      </c>
      <c r="AB2545" t="s">
        <v>44</v>
      </c>
      <c r="AC2545" s="4"/>
      <c r="AD2545" s="4"/>
      <c r="AE2545" s="2">
        <v>0</v>
      </c>
      <c r="AF2545" s="4">
        <v>0</v>
      </c>
      <c r="AG2545" s="2">
        <v>0</v>
      </c>
      <c r="AH2545" s="2">
        <v>60750030</v>
      </c>
      <c r="AI2545" s="2">
        <v>0.14000000000000001</v>
      </c>
      <c r="AJ2545" s="5">
        <v>44673</v>
      </c>
      <c r="AK2545" t="s">
        <v>12423</v>
      </c>
      <c r="AL2545" s="2">
        <v>0</v>
      </c>
      <c r="AM2545" s="2">
        <v>0</v>
      </c>
      <c r="AN2545" s="2">
        <v>0</v>
      </c>
      <c r="AO2545" t="s">
        <v>44</v>
      </c>
      <c r="AP2545" t="s">
        <v>11757</v>
      </c>
      <c r="AQ2545" t="s">
        <v>11756</v>
      </c>
    </row>
    <row r="2546" spans="1:43" x14ac:dyDescent="0.2">
      <c r="A2546" t="s">
        <v>12422</v>
      </c>
      <c r="B2546" t="s">
        <v>11024</v>
      </c>
      <c r="C2546" t="s">
        <v>57</v>
      </c>
      <c r="D2546" t="s">
        <v>12465</v>
      </c>
      <c r="E2546" t="s">
        <v>12466</v>
      </c>
      <c r="F2546" t="s">
        <v>12465</v>
      </c>
      <c r="G2546" s="1">
        <v>56</v>
      </c>
      <c r="H2546" s="2">
        <v>0</v>
      </c>
      <c r="I2546" s="2">
        <v>-1166913.8899999999</v>
      </c>
      <c r="J2546" s="2">
        <v>0</v>
      </c>
      <c r="K2546" s="2">
        <v>0</v>
      </c>
      <c r="L2546" s="2">
        <v>-1166913.8899999999</v>
      </c>
      <c r="M2546" s="3">
        <v>1895.6</v>
      </c>
      <c r="N2546" s="4">
        <v>-2.6548499999999998E-3</v>
      </c>
      <c r="O2546" s="5" t="s">
        <v>44</v>
      </c>
      <c r="P2546" s="5">
        <v>44729</v>
      </c>
      <c r="Q2546" s="1"/>
      <c r="R2546" s="2"/>
      <c r="S2546" s="6"/>
      <c r="T2546" t="s">
        <v>11026</v>
      </c>
      <c r="U2546" t="s">
        <v>11025</v>
      </c>
      <c r="V2546" t="s">
        <v>11027</v>
      </c>
      <c r="W2546" t="s">
        <v>113</v>
      </c>
      <c r="X2546" t="s">
        <v>44</v>
      </c>
      <c r="Y2546" t="s">
        <v>44</v>
      </c>
      <c r="Z2546" t="s">
        <v>44</v>
      </c>
      <c r="AA2546" t="s">
        <v>44</v>
      </c>
      <c r="AB2546" t="s">
        <v>44</v>
      </c>
      <c r="AC2546" s="4"/>
      <c r="AD2546" s="4"/>
      <c r="AE2546" s="2">
        <v>0</v>
      </c>
      <c r="AF2546" s="4">
        <v>0</v>
      </c>
      <c r="AG2546" s="2">
        <v>-0.09</v>
      </c>
      <c r="AH2546" s="2">
        <v>41437114.530000001</v>
      </c>
      <c r="AI2546" s="2">
        <v>0.09</v>
      </c>
      <c r="AJ2546" s="5">
        <v>44673</v>
      </c>
      <c r="AK2546" t="s">
        <v>12423</v>
      </c>
      <c r="AL2546" s="2">
        <v>0</v>
      </c>
      <c r="AM2546" s="2">
        <v>0</v>
      </c>
      <c r="AN2546" s="2">
        <v>0</v>
      </c>
      <c r="AO2546" t="s">
        <v>44</v>
      </c>
      <c r="AP2546" t="s">
        <v>44</v>
      </c>
      <c r="AQ2546" t="s">
        <v>12466</v>
      </c>
    </row>
    <row r="2547" spans="1:43" x14ac:dyDescent="0.2">
      <c r="A2547" t="s">
        <v>12422</v>
      </c>
      <c r="B2547" t="s">
        <v>11024</v>
      </c>
      <c r="C2547" t="s">
        <v>57</v>
      </c>
      <c r="D2547" t="s">
        <v>12467</v>
      </c>
      <c r="E2547" t="s">
        <v>12468</v>
      </c>
      <c r="F2547" t="s">
        <v>12467</v>
      </c>
      <c r="G2547" s="1">
        <v>318</v>
      </c>
      <c r="H2547" s="2">
        <v>0</v>
      </c>
      <c r="I2547" s="2">
        <v>8152705.1299999999</v>
      </c>
      <c r="J2547" s="2">
        <v>0</v>
      </c>
      <c r="K2547" s="2">
        <v>0</v>
      </c>
      <c r="L2547" s="2">
        <v>8152705.1299999999</v>
      </c>
      <c r="M2547" s="3">
        <v>243.45</v>
      </c>
      <c r="N2547" s="4">
        <v>1.854828E-2</v>
      </c>
      <c r="O2547" s="5" t="s">
        <v>44</v>
      </c>
      <c r="P2547" s="5">
        <v>44729</v>
      </c>
      <c r="Q2547" s="1"/>
      <c r="R2547" s="2"/>
      <c r="S2547" s="6"/>
      <c r="T2547" t="s">
        <v>11026</v>
      </c>
      <c r="U2547" t="s">
        <v>11025</v>
      </c>
      <c r="V2547" t="s">
        <v>11027</v>
      </c>
      <c r="W2547" t="s">
        <v>113</v>
      </c>
      <c r="X2547" t="s">
        <v>44</v>
      </c>
      <c r="Y2547" t="s">
        <v>44</v>
      </c>
      <c r="Z2547" t="s">
        <v>44</v>
      </c>
      <c r="AA2547" t="s">
        <v>44</v>
      </c>
      <c r="AB2547" t="s">
        <v>44</v>
      </c>
      <c r="AC2547" s="4"/>
      <c r="AD2547" s="4"/>
      <c r="AE2547" s="2">
        <v>0</v>
      </c>
      <c r="AF2547" s="4">
        <v>0</v>
      </c>
      <c r="AG2547" s="2">
        <v>0.61</v>
      </c>
      <c r="AH2547" s="2">
        <v>241758451.09</v>
      </c>
      <c r="AI2547" s="2">
        <v>0.55000000000000004</v>
      </c>
      <c r="AJ2547" s="5">
        <v>44673</v>
      </c>
      <c r="AK2547" t="s">
        <v>12423</v>
      </c>
      <c r="AL2547" s="2">
        <v>0</v>
      </c>
      <c r="AM2547" s="2">
        <v>0</v>
      </c>
      <c r="AN2547" s="2">
        <v>0</v>
      </c>
      <c r="AO2547" t="s">
        <v>44</v>
      </c>
      <c r="AP2547" t="s">
        <v>44</v>
      </c>
      <c r="AQ2547" t="s">
        <v>12468</v>
      </c>
    </row>
    <row r="2548" spans="1:43" x14ac:dyDescent="0.2">
      <c r="A2548" t="s">
        <v>12422</v>
      </c>
      <c r="B2548" t="s">
        <v>11037</v>
      </c>
      <c r="C2548" t="s">
        <v>11276</v>
      </c>
      <c r="D2548" t="s">
        <v>6473</v>
      </c>
      <c r="E2548" t="s">
        <v>4464</v>
      </c>
      <c r="F2548" t="s">
        <v>6473</v>
      </c>
      <c r="G2548" s="1">
        <v>10737</v>
      </c>
      <c r="H2548" s="2">
        <v>1023450.84</v>
      </c>
      <c r="I2548" s="2">
        <v>1073700</v>
      </c>
      <c r="J2548" s="2">
        <v>0</v>
      </c>
      <c r="K2548" s="2">
        <v>0</v>
      </c>
      <c r="L2548" s="2">
        <v>1073700</v>
      </c>
      <c r="M2548" s="3">
        <v>10000</v>
      </c>
      <c r="N2548" s="4">
        <v>2.4427799999999999E-3</v>
      </c>
      <c r="O2548" s="5" t="s">
        <v>44</v>
      </c>
      <c r="P2548" s="5" t="s">
        <v>44</v>
      </c>
      <c r="Q2548" s="1"/>
      <c r="R2548" s="2"/>
      <c r="S2548" s="6"/>
      <c r="T2548" t="s">
        <v>10902</v>
      </c>
      <c r="U2548" t="s">
        <v>10902</v>
      </c>
      <c r="V2548" t="s">
        <v>10902</v>
      </c>
      <c r="W2548" t="s">
        <v>43</v>
      </c>
      <c r="X2548" t="s">
        <v>11277</v>
      </c>
      <c r="Y2548" t="s">
        <v>11277</v>
      </c>
      <c r="Z2548" t="s">
        <v>11276</v>
      </c>
      <c r="AA2548" t="s">
        <v>44</v>
      </c>
      <c r="AB2548" t="s">
        <v>44</v>
      </c>
      <c r="AC2548" s="4"/>
      <c r="AD2548" s="4"/>
      <c r="AE2548" s="2">
        <v>0</v>
      </c>
      <c r="AF2548" s="4">
        <v>0</v>
      </c>
      <c r="AG2548" s="2">
        <v>0.08</v>
      </c>
      <c r="AH2548" s="2">
        <v>1073700</v>
      </c>
      <c r="AI2548" s="2">
        <v>0</v>
      </c>
      <c r="AJ2548" s="5">
        <v>44673</v>
      </c>
      <c r="AK2548" t="s">
        <v>12423</v>
      </c>
      <c r="AL2548" s="2">
        <v>0</v>
      </c>
      <c r="AM2548" s="2">
        <v>0</v>
      </c>
      <c r="AN2548" s="2">
        <v>0</v>
      </c>
      <c r="AO2548" t="s">
        <v>44</v>
      </c>
      <c r="AP2548" t="s">
        <v>11278</v>
      </c>
      <c r="AQ2548" t="s">
        <v>4464</v>
      </c>
    </row>
    <row r="2549" spans="1:43" x14ac:dyDescent="0.2">
      <c r="A2549" t="s">
        <v>12422</v>
      </c>
      <c r="B2549" t="s">
        <v>11037</v>
      </c>
      <c r="C2549" t="s">
        <v>11276</v>
      </c>
      <c r="D2549" t="s">
        <v>6316</v>
      </c>
      <c r="E2549" t="s">
        <v>4585</v>
      </c>
      <c r="F2549" t="s">
        <v>6316</v>
      </c>
      <c r="G2549" s="1">
        <v>10317</v>
      </c>
      <c r="H2549" s="2">
        <v>2957987.07</v>
      </c>
      <c r="I2549" s="2">
        <v>2502078.84</v>
      </c>
      <c r="J2549" s="2">
        <v>0</v>
      </c>
      <c r="K2549" s="2">
        <v>0</v>
      </c>
      <c r="L2549" s="2">
        <v>2502078.84</v>
      </c>
      <c r="M2549" s="3">
        <v>24252</v>
      </c>
      <c r="N2549" s="4">
        <v>5.6924999999999996E-3</v>
      </c>
      <c r="O2549" s="5" t="s">
        <v>44</v>
      </c>
      <c r="P2549" s="5" t="s">
        <v>44</v>
      </c>
      <c r="Q2549" s="1"/>
      <c r="R2549" s="2"/>
      <c r="S2549" s="6"/>
      <c r="T2549" t="s">
        <v>10902</v>
      </c>
      <c r="U2549" t="s">
        <v>10902</v>
      </c>
      <c r="V2549" t="s">
        <v>10902</v>
      </c>
      <c r="W2549" t="s">
        <v>43</v>
      </c>
      <c r="X2549" t="s">
        <v>11279</v>
      </c>
      <c r="Y2549" t="s">
        <v>11280</v>
      </c>
      <c r="Z2549" t="s">
        <v>11276</v>
      </c>
      <c r="AA2549" t="s">
        <v>44</v>
      </c>
      <c r="AB2549" t="s">
        <v>44</v>
      </c>
      <c r="AC2549" s="4"/>
      <c r="AD2549" s="4"/>
      <c r="AE2549" s="2">
        <v>0</v>
      </c>
      <c r="AF2549" s="4">
        <v>0</v>
      </c>
      <c r="AG2549" s="2">
        <v>0.19</v>
      </c>
      <c r="AH2549" s="2">
        <v>2502078.84</v>
      </c>
      <c r="AI2549" s="2">
        <v>0.01</v>
      </c>
      <c r="AJ2549" s="5">
        <v>44673</v>
      </c>
      <c r="AK2549" t="s">
        <v>12423</v>
      </c>
      <c r="AL2549" s="2">
        <v>0</v>
      </c>
      <c r="AM2549" s="2">
        <v>0</v>
      </c>
      <c r="AN2549" s="2">
        <v>0</v>
      </c>
      <c r="AO2549" t="s">
        <v>44</v>
      </c>
      <c r="AP2549" t="s">
        <v>11281</v>
      </c>
      <c r="AQ2549" t="s">
        <v>4585</v>
      </c>
    </row>
    <row r="2550" spans="1:43" x14ac:dyDescent="0.2">
      <c r="A2550" t="s">
        <v>12422</v>
      </c>
      <c r="B2550" t="s">
        <v>11037</v>
      </c>
      <c r="C2550" t="s">
        <v>11276</v>
      </c>
      <c r="D2550" t="s">
        <v>11661</v>
      </c>
      <c r="E2550" t="s">
        <v>4578</v>
      </c>
      <c r="F2550" t="s">
        <v>11661</v>
      </c>
      <c r="G2550" s="1">
        <v>5373</v>
      </c>
      <c r="H2550" s="2">
        <v>3803574.9</v>
      </c>
      <c r="I2550" s="2">
        <v>3779744.31</v>
      </c>
      <c r="J2550" s="2">
        <v>0</v>
      </c>
      <c r="K2550" s="2">
        <v>9398.16</v>
      </c>
      <c r="L2550" s="2">
        <v>3789142.47</v>
      </c>
      <c r="M2550" s="3">
        <v>70347</v>
      </c>
      <c r="N2550" s="4">
        <v>8.6207100000000002E-3</v>
      </c>
      <c r="O2550" s="5" t="s">
        <v>44</v>
      </c>
      <c r="P2550" s="5" t="s">
        <v>44</v>
      </c>
      <c r="Q2550" s="1"/>
      <c r="R2550" s="2"/>
      <c r="S2550" s="6"/>
      <c r="T2550" t="s">
        <v>10902</v>
      </c>
      <c r="U2550" t="s">
        <v>10902</v>
      </c>
      <c r="V2550" t="s">
        <v>10902</v>
      </c>
      <c r="W2550" t="s">
        <v>43</v>
      </c>
      <c r="X2550" t="s">
        <v>11279</v>
      </c>
      <c r="Y2550" t="s">
        <v>11280</v>
      </c>
      <c r="Z2550" t="s">
        <v>11276</v>
      </c>
      <c r="AA2550" t="s">
        <v>44</v>
      </c>
      <c r="AB2550" t="s">
        <v>44</v>
      </c>
      <c r="AC2550" s="4"/>
      <c r="AD2550" s="4"/>
      <c r="AE2550" s="2">
        <v>0</v>
      </c>
      <c r="AF2550" s="4">
        <v>0</v>
      </c>
      <c r="AG2550" s="2">
        <v>0.28000000000000003</v>
      </c>
      <c r="AH2550" s="2">
        <v>3789142.47</v>
      </c>
      <c r="AI2550" s="2">
        <v>0.01</v>
      </c>
      <c r="AJ2550" s="5">
        <v>44673</v>
      </c>
      <c r="AK2550" t="s">
        <v>12423</v>
      </c>
      <c r="AL2550" s="2">
        <v>0</v>
      </c>
      <c r="AM2550" s="2">
        <v>0</v>
      </c>
      <c r="AN2550" s="2">
        <v>0</v>
      </c>
      <c r="AO2550" t="s">
        <v>44</v>
      </c>
      <c r="AP2550" t="s">
        <v>2559</v>
      </c>
      <c r="AQ2550" t="s">
        <v>4578</v>
      </c>
    </row>
    <row r="2551" spans="1:43" x14ac:dyDescent="0.2">
      <c r="A2551" t="s">
        <v>12422</v>
      </c>
      <c r="B2551" t="s">
        <v>11037</v>
      </c>
      <c r="C2551" t="s">
        <v>11276</v>
      </c>
      <c r="D2551" t="s">
        <v>11284</v>
      </c>
      <c r="E2551" t="s">
        <v>4506</v>
      </c>
      <c r="F2551" t="s">
        <v>11284</v>
      </c>
      <c r="G2551" s="1">
        <v>39913</v>
      </c>
      <c r="H2551" s="2">
        <v>2356595.04</v>
      </c>
      <c r="I2551" s="2">
        <v>2625477.14</v>
      </c>
      <c r="J2551" s="2">
        <v>0</v>
      </c>
      <c r="K2551" s="2">
        <v>0</v>
      </c>
      <c r="L2551" s="2">
        <v>2625477.14</v>
      </c>
      <c r="M2551" s="3">
        <v>6578</v>
      </c>
      <c r="N2551" s="4">
        <v>5.9732400000000003E-3</v>
      </c>
      <c r="O2551" s="5" t="s">
        <v>44</v>
      </c>
      <c r="P2551" s="5" t="s">
        <v>44</v>
      </c>
      <c r="Q2551" s="1"/>
      <c r="R2551" s="2"/>
      <c r="S2551" s="6"/>
      <c r="T2551" t="s">
        <v>10902</v>
      </c>
      <c r="U2551" t="s">
        <v>10902</v>
      </c>
      <c r="V2551" t="s">
        <v>10902</v>
      </c>
      <c r="W2551" t="s">
        <v>43</v>
      </c>
      <c r="X2551" t="s">
        <v>11279</v>
      </c>
      <c r="Y2551" t="s">
        <v>11280</v>
      </c>
      <c r="Z2551" t="s">
        <v>11276</v>
      </c>
      <c r="AA2551" t="s">
        <v>44</v>
      </c>
      <c r="AB2551" t="s">
        <v>44</v>
      </c>
      <c r="AC2551" s="4"/>
      <c r="AD2551" s="4"/>
      <c r="AE2551" s="2">
        <v>0</v>
      </c>
      <c r="AF2551" s="4">
        <v>0</v>
      </c>
      <c r="AG2551" s="2">
        <v>0.2</v>
      </c>
      <c r="AH2551" s="2">
        <v>2625477.14</v>
      </c>
      <c r="AI2551" s="2">
        <v>0.01</v>
      </c>
      <c r="AJ2551" s="5">
        <v>44673</v>
      </c>
      <c r="AK2551" t="s">
        <v>12423</v>
      </c>
      <c r="AL2551" s="2">
        <v>0</v>
      </c>
      <c r="AM2551" s="2">
        <v>0</v>
      </c>
      <c r="AN2551" s="2">
        <v>0</v>
      </c>
      <c r="AO2551" t="s">
        <v>44</v>
      </c>
      <c r="AP2551" t="s">
        <v>11285</v>
      </c>
      <c r="AQ2551" t="s">
        <v>4506</v>
      </c>
    </row>
    <row r="2552" spans="1:43" x14ac:dyDescent="0.2">
      <c r="A2552" t="s">
        <v>12422</v>
      </c>
      <c r="B2552" t="s">
        <v>11037</v>
      </c>
      <c r="C2552" t="s">
        <v>11276</v>
      </c>
      <c r="D2552" t="s">
        <v>6278</v>
      </c>
      <c r="E2552" t="s">
        <v>4640</v>
      </c>
      <c r="F2552" t="s">
        <v>6278</v>
      </c>
      <c r="G2552" s="1">
        <v>5586</v>
      </c>
      <c r="H2552" s="2">
        <v>3566658.6</v>
      </c>
      <c r="I2552" s="2">
        <v>2830426.2</v>
      </c>
      <c r="J2552" s="2">
        <v>0</v>
      </c>
      <c r="K2552" s="2">
        <v>0</v>
      </c>
      <c r="L2552" s="2">
        <v>2830426.2</v>
      </c>
      <c r="M2552" s="3">
        <v>50670</v>
      </c>
      <c r="N2552" s="4">
        <v>6.4395199999999998E-3</v>
      </c>
      <c r="O2552" s="5" t="s">
        <v>44</v>
      </c>
      <c r="P2552" s="5" t="s">
        <v>44</v>
      </c>
      <c r="Q2552" s="1"/>
      <c r="R2552" s="2"/>
      <c r="S2552" s="6"/>
      <c r="T2552" t="s">
        <v>10902</v>
      </c>
      <c r="U2552" t="s">
        <v>10902</v>
      </c>
      <c r="V2552" t="s">
        <v>10902</v>
      </c>
      <c r="W2552" t="s">
        <v>43</v>
      </c>
      <c r="X2552" t="s">
        <v>11286</v>
      </c>
      <c r="Y2552" t="s">
        <v>11280</v>
      </c>
      <c r="Z2552" t="s">
        <v>11276</v>
      </c>
      <c r="AA2552" t="s">
        <v>44</v>
      </c>
      <c r="AB2552" t="s">
        <v>44</v>
      </c>
      <c r="AC2552" s="4"/>
      <c r="AD2552" s="4"/>
      <c r="AE2552" s="2">
        <v>0</v>
      </c>
      <c r="AF2552" s="4">
        <v>0</v>
      </c>
      <c r="AG2552" s="2">
        <v>0.21</v>
      </c>
      <c r="AH2552" s="2">
        <v>2830426.2</v>
      </c>
      <c r="AI2552" s="2">
        <v>0.01</v>
      </c>
      <c r="AJ2552" s="5">
        <v>44673</v>
      </c>
      <c r="AK2552" t="s">
        <v>12423</v>
      </c>
      <c r="AL2552" s="2">
        <v>0</v>
      </c>
      <c r="AM2552" s="2">
        <v>0</v>
      </c>
      <c r="AN2552" s="2">
        <v>0</v>
      </c>
      <c r="AO2552" t="s">
        <v>44</v>
      </c>
      <c r="AP2552" t="s">
        <v>11287</v>
      </c>
      <c r="AQ2552" t="s">
        <v>4640</v>
      </c>
    </row>
    <row r="2553" spans="1:43" x14ac:dyDescent="0.2">
      <c r="A2553" t="s">
        <v>12422</v>
      </c>
      <c r="B2553" t="s">
        <v>11037</v>
      </c>
      <c r="C2553" t="s">
        <v>11276</v>
      </c>
      <c r="D2553" t="s">
        <v>11290</v>
      </c>
      <c r="E2553" t="s">
        <v>4478</v>
      </c>
      <c r="F2553" t="s">
        <v>11290</v>
      </c>
      <c r="G2553" s="1">
        <v>16242</v>
      </c>
      <c r="H2553" s="2">
        <v>745995.06</v>
      </c>
      <c r="I2553" s="2">
        <v>1273372.8</v>
      </c>
      <c r="J2553" s="2">
        <v>0</v>
      </c>
      <c r="K2553" s="2">
        <v>0</v>
      </c>
      <c r="L2553" s="2">
        <v>1273372.8</v>
      </c>
      <c r="M2553" s="3">
        <v>7840</v>
      </c>
      <c r="N2553" s="4">
        <v>2.8970599999999999E-3</v>
      </c>
      <c r="O2553" s="5" t="s">
        <v>44</v>
      </c>
      <c r="P2553" s="5" t="s">
        <v>44</v>
      </c>
      <c r="Q2553" s="1"/>
      <c r="R2553" s="2"/>
      <c r="S2553" s="6"/>
      <c r="T2553" t="s">
        <v>10902</v>
      </c>
      <c r="U2553" t="s">
        <v>10902</v>
      </c>
      <c r="V2553" t="s">
        <v>10902</v>
      </c>
      <c r="W2553" t="s">
        <v>43</v>
      </c>
      <c r="X2553" t="s">
        <v>11277</v>
      </c>
      <c r="Y2553" t="s">
        <v>11277</v>
      </c>
      <c r="Z2553" t="s">
        <v>11276</v>
      </c>
      <c r="AA2553" t="s">
        <v>44</v>
      </c>
      <c r="AB2553" t="s">
        <v>44</v>
      </c>
      <c r="AC2553" s="4"/>
      <c r="AD2553" s="4"/>
      <c r="AE2553" s="2">
        <v>0</v>
      </c>
      <c r="AF2553" s="4">
        <v>0</v>
      </c>
      <c r="AG2553" s="2">
        <v>0.09</v>
      </c>
      <c r="AH2553" s="2">
        <v>1273372.8</v>
      </c>
      <c r="AI2553" s="2">
        <v>0</v>
      </c>
      <c r="AJ2553" s="5">
        <v>44673</v>
      </c>
      <c r="AK2553" t="s">
        <v>12423</v>
      </c>
      <c r="AL2553" s="2">
        <v>0</v>
      </c>
      <c r="AM2553" s="2">
        <v>0</v>
      </c>
      <c r="AN2553" s="2">
        <v>0</v>
      </c>
      <c r="AO2553" t="s">
        <v>44</v>
      </c>
      <c r="AP2553" t="s">
        <v>11291</v>
      </c>
      <c r="AQ2553" t="s">
        <v>4478</v>
      </c>
    </row>
    <row r="2554" spans="1:43" x14ac:dyDescent="0.2">
      <c r="A2554" t="s">
        <v>12422</v>
      </c>
      <c r="B2554" t="s">
        <v>11037</v>
      </c>
      <c r="C2554" t="s">
        <v>11276</v>
      </c>
      <c r="D2554" t="s">
        <v>6743</v>
      </c>
      <c r="E2554" t="s">
        <v>4570</v>
      </c>
      <c r="F2554" t="s">
        <v>6743</v>
      </c>
      <c r="G2554" s="1">
        <v>14203</v>
      </c>
      <c r="H2554" s="2">
        <v>1244701.92</v>
      </c>
      <c r="I2554" s="2">
        <v>2194789.59</v>
      </c>
      <c r="J2554" s="2">
        <v>0</v>
      </c>
      <c r="K2554" s="2">
        <v>0</v>
      </c>
      <c r="L2554" s="2">
        <v>2194789.59</v>
      </c>
      <c r="M2554" s="3">
        <v>15453</v>
      </c>
      <c r="N2554" s="4">
        <v>4.9933800000000004E-3</v>
      </c>
      <c r="O2554" s="5" t="s">
        <v>44</v>
      </c>
      <c r="P2554" s="5" t="s">
        <v>44</v>
      </c>
      <c r="Q2554" s="1"/>
      <c r="R2554" s="2"/>
      <c r="S2554" s="6"/>
      <c r="T2554" t="s">
        <v>10902</v>
      </c>
      <c r="U2554" t="s">
        <v>10902</v>
      </c>
      <c r="V2554" t="s">
        <v>10902</v>
      </c>
      <c r="W2554" t="s">
        <v>43</v>
      </c>
      <c r="X2554" t="s">
        <v>11279</v>
      </c>
      <c r="Y2554" t="s">
        <v>11280</v>
      </c>
      <c r="Z2554" t="s">
        <v>11276</v>
      </c>
      <c r="AA2554" t="s">
        <v>44</v>
      </c>
      <c r="AB2554" t="s">
        <v>44</v>
      </c>
      <c r="AC2554" s="4"/>
      <c r="AD2554" s="4"/>
      <c r="AE2554" s="2">
        <v>0</v>
      </c>
      <c r="AF2554" s="4">
        <v>0</v>
      </c>
      <c r="AG2554" s="2">
        <v>0.16</v>
      </c>
      <c r="AH2554" s="2">
        <v>2194789.59</v>
      </c>
      <c r="AI2554" s="2">
        <v>0</v>
      </c>
      <c r="AJ2554" s="5">
        <v>44673</v>
      </c>
      <c r="AK2554" t="s">
        <v>12423</v>
      </c>
      <c r="AL2554" s="2">
        <v>0</v>
      </c>
      <c r="AM2554" s="2">
        <v>0</v>
      </c>
      <c r="AN2554" s="2">
        <v>0</v>
      </c>
      <c r="AO2554" t="s">
        <v>44</v>
      </c>
      <c r="AP2554" t="s">
        <v>11294</v>
      </c>
      <c r="AQ2554" t="s">
        <v>4570</v>
      </c>
    </row>
    <row r="2555" spans="1:43" x14ac:dyDescent="0.2">
      <c r="A2555" t="s">
        <v>12422</v>
      </c>
      <c r="B2555" t="s">
        <v>11037</v>
      </c>
      <c r="C2555" t="s">
        <v>11276</v>
      </c>
      <c r="D2555" t="s">
        <v>6209</v>
      </c>
      <c r="E2555" t="s">
        <v>520</v>
      </c>
      <c r="F2555" t="s">
        <v>6209</v>
      </c>
      <c r="G2555" s="1">
        <v>54381</v>
      </c>
      <c r="H2555" s="2">
        <v>2286721.0499999998</v>
      </c>
      <c r="I2555" s="2">
        <v>2965939.74</v>
      </c>
      <c r="J2555" s="2">
        <v>0</v>
      </c>
      <c r="K2555" s="2">
        <v>0</v>
      </c>
      <c r="L2555" s="2">
        <v>2965939.74</v>
      </c>
      <c r="M2555" s="3">
        <v>5454</v>
      </c>
      <c r="N2555" s="4">
        <v>6.7478299999999998E-3</v>
      </c>
      <c r="O2555" s="5" t="s">
        <v>44</v>
      </c>
      <c r="P2555" s="5" t="s">
        <v>44</v>
      </c>
      <c r="Q2555" s="1"/>
      <c r="R2555" s="2"/>
      <c r="S2555" s="6"/>
      <c r="T2555" t="s">
        <v>10902</v>
      </c>
      <c r="U2555" t="s">
        <v>10902</v>
      </c>
      <c r="V2555" t="s">
        <v>10902</v>
      </c>
      <c r="W2555" t="s">
        <v>43</v>
      </c>
      <c r="X2555" t="s">
        <v>11289</v>
      </c>
      <c r="Y2555" t="s">
        <v>11280</v>
      </c>
      <c r="Z2555" t="s">
        <v>11276</v>
      </c>
      <c r="AA2555" t="s">
        <v>44</v>
      </c>
      <c r="AB2555" t="s">
        <v>44</v>
      </c>
      <c r="AC2555" s="4"/>
      <c r="AD2555" s="4"/>
      <c r="AE2555" s="2">
        <v>0</v>
      </c>
      <c r="AF2555" s="4">
        <v>0</v>
      </c>
      <c r="AG2555" s="2">
        <v>0.22</v>
      </c>
      <c r="AH2555" s="2">
        <v>2965939.74</v>
      </c>
      <c r="AI2555" s="2">
        <v>0.01</v>
      </c>
      <c r="AJ2555" s="5">
        <v>44673</v>
      </c>
      <c r="AK2555" t="s">
        <v>12423</v>
      </c>
      <c r="AL2555" s="2">
        <v>0</v>
      </c>
      <c r="AM2555" s="2">
        <v>0</v>
      </c>
      <c r="AN2555" s="2">
        <v>0</v>
      </c>
      <c r="AO2555" t="s">
        <v>44</v>
      </c>
      <c r="AP2555" t="s">
        <v>11295</v>
      </c>
      <c r="AQ2555" t="s">
        <v>520</v>
      </c>
    </row>
    <row r="2556" spans="1:43" x14ac:dyDescent="0.2">
      <c r="A2556" t="s">
        <v>12422</v>
      </c>
      <c r="B2556" t="s">
        <v>11037</v>
      </c>
      <c r="C2556" t="s">
        <v>11276</v>
      </c>
      <c r="D2556" t="s">
        <v>11678</v>
      </c>
      <c r="E2556" t="s">
        <v>11679</v>
      </c>
      <c r="F2556" t="s">
        <v>11680</v>
      </c>
      <c r="G2556" s="1">
        <v>9000</v>
      </c>
      <c r="H2556" s="2">
        <v>1436986.02</v>
      </c>
      <c r="I2556" s="2">
        <v>2116980</v>
      </c>
      <c r="J2556" s="2">
        <v>0</v>
      </c>
      <c r="K2556" s="2">
        <v>0</v>
      </c>
      <c r="L2556" s="2">
        <v>2116980</v>
      </c>
      <c r="M2556" s="3">
        <v>23522</v>
      </c>
      <c r="N2556" s="4">
        <v>4.8163600000000004E-3</v>
      </c>
      <c r="O2556" s="5" t="s">
        <v>44</v>
      </c>
      <c r="P2556" s="5" t="s">
        <v>44</v>
      </c>
      <c r="Q2556" s="1"/>
      <c r="R2556" s="2"/>
      <c r="S2556" s="6"/>
      <c r="T2556" t="s">
        <v>10902</v>
      </c>
      <c r="U2556" t="s">
        <v>10902</v>
      </c>
      <c r="V2556" t="s">
        <v>10902</v>
      </c>
      <c r="W2556" t="s">
        <v>43</v>
      </c>
      <c r="X2556" t="s">
        <v>11279</v>
      </c>
      <c r="Y2556" t="s">
        <v>11280</v>
      </c>
      <c r="Z2556" t="s">
        <v>11276</v>
      </c>
      <c r="AA2556" t="s">
        <v>44</v>
      </c>
      <c r="AB2556" t="s">
        <v>44</v>
      </c>
      <c r="AC2556" s="4"/>
      <c r="AD2556" s="4"/>
      <c r="AE2556" s="2">
        <v>0</v>
      </c>
      <c r="AF2556" s="4">
        <v>0</v>
      </c>
      <c r="AG2556" s="2">
        <v>0.16</v>
      </c>
      <c r="AH2556" s="2">
        <v>2116980</v>
      </c>
      <c r="AI2556" s="2">
        <v>0</v>
      </c>
      <c r="AJ2556" s="5">
        <v>44673</v>
      </c>
      <c r="AK2556" t="s">
        <v>12423</v>
      </c>
      <c r="AL2556" s="2">
        <v>0</v>
      </c>
      <c r="AM2556" s="2">
        <v>0</v>
      </c>
      <c r="AN2556" s="2">
        <v>0</v>
      </c>
      <c r="AO2556" t="s">
        <v>44</v>
      </c>
      <c r="AP2556" t="s">
        <v>11681</v>
      </c>
      <c r="AQ2556" t="s">
        <v>11679</v>
      </c>
    </row>
    <row r="2557" spans="1:43" x14ac:dyDescent="0.2">
      <c r="A2557" t="s">
        <v>12422</v>
      </c>
      <c r="B2557" t="s">
        <v>11037</v>
      </c>
      <c r="C2557" t="s">
        <v>11296</v>
      </c>
      <c r="D2557" t="s">
        <v>6200</v>
      </c>
      <c r="E2557" t="s">
        <v>5051</v>
      </c>
      <c r="F2557" t="s">
        <v>6200</v>
      </c>
      <c r="G2557" s="1">
        <v>32234</v>
      </c>
      <c r="H2557" s="2">
        <v>2349858.6</v>
      </c>
      <c r="I2557" s="2">
        <v>2211252.4</v>
      </c>
      <c r="J2557" s="2">
        <v>0</v>
      </c>
      <c r="K2557" s="2">
        <v>0</v>
      </c>
      <c r="L2557" s="2">
        <v>2211252.4</v>
      </c>
      <c r="M2557" s="3">
        <v>6860</v>
      </c>
      <c r="N2557" s="4">
        <v>5.03084E-3</v>
      </c>
      <c r="O2557" s="5" t="s">
        <v>44</v>
      </c>
      <c r="P2557" s="5" t="s">
        <v>44</v>
      </c>
      <c r="Q2557" s="1"/>
      <c r="R2557" s="2"/>
      <c r="S2557" s="6"/>
      <c r="T2557" t="s">
        <v>10902</v>
      </c>
      <c r="U2557" t="s">
        <v>10902</v>
      </c>
      <c r="V2557" t="s">
        <v>10902</v>
      </c>
      <c r="W2557" t="s">
        <v>43</v>
      </c>
      <c r="X2557" t="s">
        <v>11300</v>
      </c>
      <c r="Y2557" t="s">
        <v>11299</v>
      </c>
      <c r="Z2557" t="s">
        <v>11296</v>
      </c>
      <c r="AA2557" t="s">
        <v>44</v>
      </c>
      <c r="AB2557" t="s">
        <v>44</v>
      </c>
      <c r="AC2557" s="4"/>
      <c r="AD2557" s="4"/>
      <c r="AE2557" s="2">
        <v>0</v>
      </c>
      <c r="AF2557" s="4">
        <v>0</v>
      </c>
      <c r="AG2557" s="2">
        <v>0.16</v>
      </c>
      <c r="AH2557" s="2">
        <v>2211252.4</v>
      </c>
      <c r="AI2557" s="2">
        <v>0.01</v>
      </c>
      <c r="AJ2557" s="5">
        <v>44673</v>
      </c>
      <c r="AK2557" t="s">
        <v>12423</v>
      </c>
      <c r="AL2557" s="2">
        <v>0</v>
      </c>
      <c r="AM2557" s="2">
        <v>0</v>
      </c>
      <c r="AN2557" s="2">
        <v>0</v>
      </c>
      <c r="AO2557" t="s">
        <v>44</v>
      </c>
      <c r="AP2557" t="s">
        <v>11301</v>
      </c>
      <c r="AQ2557" t="s">
        <v>5051</v>
      </c>
    </row>
    <row r="2558" spans="1:43" x14ac:dyDescent="0.2">
      <c r="A2558" t="s">
        <v>12422</v>
      </c>
      <c r="B2558" t="s">
        <v>11037</v>
      </c>
      <c r="C2558" t="s">
        <v>11296</v>
      </c>
      <c r="D2558" t="s">
        <v>6458</v>
      </c>
      <c r="E2558" t="s">
        <v>5402</v>
      </c>
      <c r="F2558" t="s">
        <v>11302</v>
      </c>
      <c r="G2558" s="1">
        <v>8013</v>
      </c>
      <c r="H2558" s="2">
        <v>917488.5</v>
      </c>
      <c r="I2558" s="2">
        <v>1386249</v>
      </c>
      <c r="J2558" s="2">
        <v>0</v>
      </c>
      <c r="K2558" s="2">
        <v>0</v>
      </c>
      <c r="L2558" s="2">
        <v>1386249</v>
      </c>
      <c r="M2558" s="3">
        <v>17300</v>
      </c>
      <c r="N2558" s="4">
        <v>3.15387E-3</v>
      </c>
      <c r="O2558" s="5" t="s">
        <v>44</v>
      </c>
      <c r="P2558" s="5" t="s">
        <v>44</v>
      </c>
      <c r="Q2558" s="1"/>
      <c r="R2558" s="2"/>
      <c r="S2558" s="6"/>
      <c r="T2558" t="s">
        <v>10902</v>
      </c>
      <c r="U2558" t="s">
        <v>10902</v>
      </c>
      <c r="V2558" t="s">
        <v>10902</v>
      </c>
      <c r="W2558" t="s">
        <v>43</v>
      </c>
      <c r="X2558" t="s">
        <v>11298</v>
      </c>
      <c r="Y2558" t="s">
        <v>11299</v>
      </c>
      <c r="Z2558" t="s">
        <v>11296</v>
      </c>
      <c r="AA2558" t="s">
        <v>44</v>
      </c>
      <c r="AB2558" t="s">
        <v>44</v>
      </c>
      <c r="AC2558" s="4"/>
      <c r="AD2558" s="4"/>
      <c r="AE2558" s="2">
        <v>0</v>
      </c>
      <c r="AF2558" s="4">
        <v>0</v>
      </c>
      <c r="AG2558" s="2">
        <v>0.1</v>
      </c>
      <c r="AH2558" s="2">
        <v>1386249</v>
      </c>
      <c r="AI2558" s="2">
        <v>0</v>
      </c>
      <c r="AJ2558" s="5">
        <v>44673</v>
      </c>
      <c r="AK2558" t="s">
        <v>12423</v>
      </c>
      <c r="AL2558" s="2">
        <v>0</v>
      </c>
      <c r="AM2558" s="2">
        <v>0</v>
      </c>
      <c r="AN2558" s="2">
        <v>0</v>
      </c>
      <c r="AO2558" t="s">
        <v>44</v>
      </c>
      <c r="AP2558" t="s">
        <v>11303</v>
      </c>
      <c r="AQ2558" t="s">
        <v>5402</v>
      </c>
    </row>
    <row r="2559" spans="1:43" x14ac:dyDescent="0.2">
      <c r="A2559" t="s">
        <v>12422</v>
      </c>
      <c r="B2559" t="s">
        <v>11037</v>
      </c>
      <c r="C2559" t="s">
        <v>11296</v>
      </c>
      <c r="D2559" t="s">
        <v>6892</v>
      </c>
      <c r="E2559" t="s">
        <v>5836</v>
      </c>
      <c r="F2559" t="s">
        <v>12469</v>
      </c>
      <c r="G2559" s="1">
        <v>21361</v>
      </c>
      <c r="H2559" s="2">
        <v>132438.20000000001</v>
      </c>
      <c r="I2559" s="2">
        <v>119621.6</v>
      </c>
      <c r="J2559" s="2">
        <v>0</v>
      </c>
      <c r="K2559" s="2">
        <v>0</v>
      </c>
      <c r="L2559" s="2">
        <v>119621.6</v>
      </c>
      <c r="M2559" s="3">
        <v>560</v>
      </c>
      <c r="N2559" s="4">
        <v>2.7214999999999997E-4</v>
      </c>
      <c r="O2559" s="5" t="s">
        <v>44</v>
      </c>
      <c r="P2559" s="5" t="s">
        <v>44</v>
      </c>
      <c r="Q2559" s="1"/>
      <c r="R2559" s="2"/>
      <c r="S2559" s="6"/>
      <c r="T2559" t="s">
        <v>10902</v>
      </c>
      <c r="U2559" t="s">
        <v>10902</v>
      </c>
      <c r="V2559" t="s">
        <v>10902</v>
      </c>
      <c r="W2559" t="s">
        <v>43</v>
      </c>
      <c r="X2559" t="s">
        <v>11300</v>
      </c>
      <c r="Y2559" t="s">
        <v>11299</v>
      </c>
      <c r="Z2559" t="s">
        <v>11296</v>
      </c>
      <c r="AA2559" t="s">
        <v>44</v>
      </c>
      <c r="AB2559" t="s">
        <v>44</v>
      </c>
      <c r="AC2559" s="4"/>
      <c r="AD2559" s="4"/>
      <c r="AE2559" s="2">
        <v>0</v>
      </c>
      <c r="AF2559" s="4">
        <v>0</v>
      </c>
      <c r="AG2559" s="2">
        <v>0.01</v>
      </c>
      <c r="AH2559" s="2">
        <v>119621.6</v>
      </c>
      <c r="AI2559" s="2">
        <v>0</v>
      </c>
      <c r="AJ2559" s="5">
        <v>44673</v>
      </c>
      <c r="AK2559" t="s">
        <v>12423</v>
      </c>
      <c r="AL2559" s="2">
        <v>0</v>
      </c>
      <c r="AM2559" s="2">
        <v>0</v>
      </c>
      <c r="AN2559" s="2">
        <v>0</v>
      </c>
      <c r="AO2559" t="s">
        <v>44</v>
      </c>
      <c r="AP2559" t="s">
        <v>12470</v>
      </c>
      <c r="AQ2559" t="s">
        <v>5836</v>
      </c>
    </row>
    <row r="2560" spans="1:43" x14ac:dyDescent="0.2">
      <c r="A2560" t="s">
        <v>12422</v>
      </c>
      <c r="B2560" t="s">
        <v>11037</v>
      </c>
      <c r="C2560" t="s">
        <v>11296</v>
      </c>
      <c r="D2560" t="s">
        <v>12471</v>
      </c>
      <c r="E2560" t="s">
        <v>5769</v>
      </c>
      <c r="F2560" t="s">
        <v>12471</v>
      </c>
      <c r="G2560" s="1">
        <v>16264</v>
      </c>
      <c r="H2560" s="2">
        <v>191915.2</v>
      </c>
      <c r="I2560" s="2">
        <v>205414.32</v>
      </c>
      <c r="J2560" s="2">
        <v>0</v>
      </c>
      <c r="K2560" s="2">
        <v>0</v>
      </c>
      <c r="L2560" s="2">
        <v>205414.32</v>
      </c>
      <c r="M2560" s="3">
        <v>1263</v>
      </c>
      <c r="N2560" s="4">
        <v>4.6734000000000001E-4</v>
      </c>
      <c r="O2560" s="5" t="s">
        <v>44</v>
      </c>
      <c r="P2560" s="5" t="s">
        <v>44</v>
      </c>
      <c r="Q2560" s="1"/>
      <c r="R2560" s="2"/>
      <c r="S2560" s="6"/>
      <c r="T2560" t="s">
        <v>10902</v>
      </c>
      <c r="U2560" t="s">
        <v>10902</v>
      </c>
      <c r="V2560" t="s">
        <v>10902</v>
      </c>
      <c r="W2560" t="s">
        <v>43</v>
      </c>
      <c r="X2560" t="s">
        <v>11300</v>
      </c>
      <c r="Y2560" t="s">
        <v>11299</v>
      </c>
      <c r="Z2560" t="s">
        <v>11296</v>
      </c>
      <c r="AA2560" t="s">
        <v>44</v>
      </c>
      <c r="AB2560" t="s">
        <v>44</v>
      </c>
      <c r="AC2560" s="4"/>
      <c r="AD2560" s="4"/>
      <c r="AE2560" s="2">
        <v>0</v>
      </c>
      <c r="AF2560" s="4">
        <v>0</v>
      </c>
      <c r="AG2560" s="2">
        <v>0.02</v>
      </c>
      <c r="AH2560" s="2">
        <v>205414.32</v>
      </c>
      <c r="AI2560" s="2">
        <v>0</v>
      </c>
      <c r="AJ2560" s="5">
        <v>44673</v>
      </c>
      <c r="AK2560" t="s">
        <v>12423</v>
      </c>
      <c r="AL2560" s="2">
        <v>0</v>
      </c>
      <c r="AM2560" s="2">
        <v>0</v>
      </c>
      <c r="AN2560" s="2">
        <v>0</v>
      </c>
      <c r="AO2560" t="s">
        <v>44</v>
      </c>
      <c r="AP2560" t="s">
        <v>12472</v>
      </c>
      <c r="AQ2560" t="s">
        <v>5769</v>
      </c>
    </row>
    <row r="2561" spans="1:43" x14ac:dyDescent="0.2">
      <c r="A2561" t="s">
        <v>12422</v>
      </c>
      <c r="B2561" t="s">
        <v>11037</v>
      </c>
      <c r="C2561" t="s">
        <v>11296</v>
      </c>
      <c r="D2561" t="s">
        <v>12473</v>
      </c>
      <c r="E2561" t="s">
        <v>5368</v>
      </c>
      <c r="F2561" t="s">
        <v>12473</v>
      </c>
      <c r="G2561" s="1">
        <v>121393</v>
      </c>
      <c r="H2561" s="2">
        <v>281631.76</v>
      </c>
      <c r="I2561" s="2">
        <v>348397.91</v>
      </c>
      <c r="J2561" s="2">
        <v>0</v>
      </c>
      <c r="K2561" s="2">
        <v>0</v>
      </c>
      <c r="L2561" s="2">
        <v>348397.91</v>
      </c>
      <c r="M2561" s="3">
        <v>287</v>
      </c>
      <c r="N2561" s="4">
        <v>7.9263999999999995E-4</v>
      </c>
      <c r="O2561" s="5" t="s">
        <v>44</v>
      </c>
      <c r="P2561" s="5" t="s">
        <v>44</v>
      </c>
      <c r="Q2561" s="1"/>
      <c r="R2561" s="2"/>
      <c r="S2561" s="6"/>
      <c r="T2561" t="s">
        <v>10902</v>
      </c>
      <c r="U2561" t="s">
        <v>10902</v>
      </c>
      <c r="V2561" t="s">
        <v>10902</v>
      </c>
      <c r="W2561" t="s">
        <v>43</v>
      </c>
      <c r="X2561" t="s">
        <v>12474</v>
      </c>
      <c r="Y2561" t="s">
        <v>11684</v>
      </c>
      <c r="Z2561" t="s">
        <v>11296</v>
      </c>
      <c r="AA2561" t="s">
        <v>44</v>
      </c>
      <c r="AB2561" t="s">
        <v>44</v>
      </c>
      <c r="AC2561" s="4"/>
      <c r="AD2561" s="4"/>
      <c r="AE2561" s="2">
        <v>0</v>
      </c>
      <c r="AF2561" s="4">
        <v>0</v>
      </c>
      <c r="AG2561" s="2">
        <v>0.03</v>
      </c>
      <c r="AH2561" s="2">
        <v>348397.91</v>
      </c>
      <c r="AI2561" s="2">
        <v>0</v>
      </c>
      <c r="AJ2561" s="5">
        <v>44673</v>
      </c>
      <c r="AK2561" t="s">
        <v>12423</v>
      </c>
      <c r="AL2561" s="2">
        <v>0</v>
      </c>
      <c r="AM2561" s="2">
        <v>0</v>
      </c>
      <c r="AN2561" s="2">
        <v>0</v>
      </c>
      <c r="AO2561" t="s">
        <v>44</v>
      </c>
      <c r="AP2561" t="s">
        <v>12475</v>
      </c>
      <c r="AQ2561" t="s">
        <v>5368</v>
      </c>
    </row>
    <row r="2562" spans="1:43" x14ac:dyDescent="0.2">
      <c r="A2562" t="s">
        <v>12422</v>
      </c>
      <c r="B2562" t="s">
        <v>11037</v>
      </c>
      <c r="C2562" t="s">
        <v>11296</v>
      </c>
      <c r="D2562" t="s">
        <v>6137</v>
      </c>
      <c r="E2562" t="s">
        <v>4926</v>
      </c>
      <c r="F2562" t="s">
        <v>6137</v>
      </c>
      <c r="G2562" s="1">
        <v>25048</v>
      </c>
      <c r="H2562" s="2">
        <v>4783298.6900000004</v>
      </c>
      <c r="I2562" s="2">
        <v>3900975.52</v>
      </c>
      <c r="J2562" s="2">
        <v>0</v>
      </c>
      <c r="K2562" s="2">
        <v>0</v>
      </c>
      <c r="L2562" s="2">
        <v>3900975.52</v>
      </c>
      <c r="M2562" s="3">
        <v>15574</v>
      </c>
      <c r="N2562" s="4">
        <v>8.8751400000000001E-3</v>
      </c>
      <c r="O2562" s="5" t="s">
        <v>44</v>
      </c>
      <c r="P2562" s="5" t="s">
        <v>44</v>
      </c>
      <c r="Q2562" s="1"/>
      <c r="R2562" s="2"/>
      <c r="S2562" s="6"/>
      <c r="T2562" t="s">
        <v>10902</v>
      </c>
      <c r="U2562" t="s">
        <v>10902</v>
      </c>
      <c r="V2562" t="s">
        <v>10902</v>
      </c>
      <c r="W2562" t="s">
        <v>43</v>
      </c>
      <c r="X2562" t="s">
        <v>11300</v>
      </c>
      <c r="Y2562" t="s">
        <v>11299</v>
      </c>
      <c r="Z2562" t="s">
        <v>11296</v>
      </c>
      <c r="AA2562" t="s">
        <v>44</v>
      </c>
      <c r="AB2562" t="s">
        <v>44</v>
      </c>
      <c r="AC2562" s="4"/>
      <c r="AD2562" s="4"/>
      <c r="AE2562" s="2">
        <v>0</v>
      </c>
      <c r="AF2562" s="4">
        <v>0</v>
      </c>
      <c r="AG2562" s="2">
        <v>0.28999999999999998</v>
      </c>
      <c r="AH2562" s="2">
        <v>3900975.52</v>
      </c>
      <c r="AI2562" s="2">
        <v>0.01</v>
      </c>
      <c r="AJ2562" s="5">
        <v>44673</v>
      </c>
      <c r="AK2562" t="s">
        <v>12423</v>
      </c>
      <c r="AL2562" s="2">
        <v>0</v>
      </c>
      <c r="AM2562" s="2">
        <v>0</v>
      </c>
      <c r="AN2562" s="2">
        <v>0</v>
      </c>
      <c r="AO2562" t="s">
        <v>44</v>
      </c>
      <c r="AP2562" t="s">
        <v>11304</v>
      </c>
      <c r="AQ2562" t="s">
        <v>4926</v>
      </c>
    </row>
    <row r="2563" spans="1:43" x14ac:dyDescent="0.2">
      <c r="A2563" t="s">
        <v>12422</v>
      </c>
      <c r="B2563" t="s">
        <v>11037</v>
      </c>
      <c r="C2563" t="s">
        <v>11305</v>
      </c>
      <c r="D2563" t="s">
        <v>6592</v>
      </c>
      <c r="E2563" t="s">
        <v>5424</v>
      </c>
      <c r="F2563" t="s">
        <v>6592</v>
      </c>
      <c r="G2563" s="1">
        <v>50000</v>
      </c>
      <c r="H2563" s="2">
        <v>627571.69999999995</v>
      </c>
      <c r="I2563" s="2">
        <v>868500</v>
      </c>
      <c r="J2563" s="2">
        <v>0</v>
      </c>
      <c r="K2563" s="2">
        <v>0</v>
      </c>
      <c r="L2563" s="2">
        <v>868500</v>
      </c>
      <c r="M2563" s="3">
        <v>1737</v>
      </c>
      <c r="N2563" s="4">
        <v>1.9759299999999999E-3</v>
      </c>
      <c r="O2563" s="5" t="s">
        <v>44</v>
      </c>
      <c r="P2563" s="5" t="s">
        <v>44</v>
      </c>
      <c r="Q2563" s="1"/>
      <c r="R2563" s="2"/>
      <c r="S2563" s="6"/>
      <c r="T2563" t="s">
        <v>10902</v>
      </c>
      <c r="U2563" t="s">
        <v>10902</v>
      </c>
      <c r="V2563" t="s">
        <v>10902</v>
      </c>
      <c r="W2563" t="s">
        <v>43</v>
      </c>
      <c r="X2563" t="s">
        <v>11306</v>
      </c>
      <c r="Y2563" t="s">
        <v>11307</v>
      </c>
      <c r="Z2563" t="s">
        <v>11305</v>
      </c>
      <c r="AA2563" t="s">
        <v>44</v>
      </c>
      <c r="AB2563" t="s">
        <v>44</v>
      </c>
      <c r="AC2563" s="4"/>
      <c r="AD2563" s="4"/>
      <c r="AE2563" s="2">
        <v>0</v>
      </c>
      <c r="AF2563" s="4">
        <v>0</v>
      </c>
      <c r="AG2563" s="2">
        <v>0.06</v>
      </c>
      <c r="AH2563" s="2">
        <v>868500</v>
      </c>
      <c r="AI2563" s="2">
        <v>0</v>
      </c>
      <c r="AJ2563" s="5">
        <v>44673</v>
      </c>
      <c r="AK2563" t="s">
        <v>12423</v>
      </c>
      <c r="AL2563" s="2">
        <v>0</v>
      </c>
      <c r="AM2563" s="2">
        <v>0</v>
      </c>
      <c r="AN2563" s="2">
        <v>0</v>
      </c>
      <c r="AO2563" t="s">
        <v>44</v>
      </c>
      <c r="AP2563" t="s">
        <v>11308</v>
      </c>
      <c r="AQ2563" t="s">
        <v>5424</v>
      </c>
    </row>
    <row r="2564" spans="1:43" x14ac:dyDescent="0.2">
      <c r="A2564" t="s">
        <v>12422</v>
      </c>
      <c r="B2564" t="s">
        <v>11037</v>
      </c>
      <c r="C2564" t="s">
        <v>11305</v>
      </c>
      <c r="D2564" t="s">
        <v>6814</v>
      </c>
      <c r="E2564" t="s">
        <v>5457</v>
      </c>
      <c r="F2564" t="s">
        <v>6814</v>
      </c>
      <c r="G2564" s="1">
        <v>47212</v>
      </c>
      <c r="H2564" s="2">
        <v>169963.2</v>
      </c>
      <c r="I2564" s="2">
        <v>228033.96</v>
      </c>
      <c r="J2564" s="2">
        <v>0</v>
      </c>
      <c r="K2564" s="2">
        <v>0</v>
      </c>
      <c r="L2564" s="2">
        <v>228033.96</v>
      </c>
      <c r="M2564" s="3">
        <v>483</v>
      </c>
      <c r="N2564" s="4">
        <v>5.1880000000000003E-4</v>
      </c>
      <c r="O2564" s="5" t="s">
        <v>44</v>
      </c>
      <c r="P2564" s="5" t="s">
        <v>44</v>
      </c>
      <c r="Q2564" s="1"/>
      <c r="R2564" s="2"/>
      <c r="S2564" s="6"/>
      <c r="T2564" t="s">
        <v>10902</v>
      </c>
      <c r="U2564" t="s">
        <v>10902</v>
      </c>
      <c r="V2564" t="s">
        <v>10902</v>
      </c>
      <c r="W2564" t="s">
        <v>43</v>
      </c>
      <c r="X2564" t="s">
        <v>12116</v>
      </c>
      <c r="Y2564" t="s">
        <v>12116</v>
      </c>
      <c r="Z2564" t="s">
        <v>11305</v>
      </c>
      <c r="AA2564" t="s">
        <v>44</v>
      </c>
      <c r="AB2564" t="s">
        <v>44</v>
      </c>
      <c r="AC2564" s="4"/>
      <c r="AD2564" s="4"/>
      <c r="AE2564" s="2">
        <v>0</v>
      </c>
      <c r="AF2564" s="4">
        <v>0</v>
      </c>
      <c r="AG2564" s="2">
        <v>0.02</v>
      </c>
      <c r="AH2564" s="2">
        <v>228033.96</v>
      </c>
      <c r="AI2564" s="2">
        <v>0</v>
      </c>
      <c r="AJ2564" s="5">
        <v>44673</v>
      </c>
      <c r="AK2564" t="s">
        <v>12423</v>
      </c>
      <c r="AL2564" s="2">
        <v>0</v>
      </c>
      <c r="AM2564" s="2">
        <v>0</v>
      </c>
      <c r="AN2564" s="2">
        <v>0</v>
      </c>
      <c r="AO2564" t="s">
        <v>44</v>
      </c>
      <c r="AP2564" t="s">
        <v>12476</v>
      </c>
      <c r="AQ2564" t="s">
        <v>5457</v>
      </c>
    </row>
    <row r="2565" spans="1:43" x14ac:dyDescent="0.2">
      <c r="A2565" t="s">
        <v>12422</v>
      </c>
      <c r="B2565" t="s">
        <v>11037</v>
      </c>
      <c r="C2565" t="s">
        <v>11305</v>
      </c>
      <c r="D2565" t="s">
        <v>11309</v>
      </c>
      <c r="E2565" t="s">
        <v>5389</v>
      </c>
      <c r="F2565" t="s">
        <v>11309</v>
      </c>
      <c r="G2565" s="1">
        <v>37832</v>
      </c>
      <c r="H2565" s="2">
        <v>880350.64</v>
      </c>
      <c r="I2565" s="2">
        <v>1423996.48</v>
      </c>
      <c r="J2565" s="2">
        <v>0</v>
      </c>
      <c r="K2565" s="2">
        <v>0</v>
      </c>
      <c r="L2565" s="2">
        <v>1423996.48</v>
      </c>
      <c r="M2565" s="3">
        <v>3764</v>
      </c>
      <c r="N2565" s="4">
        <v>3.23975E-3</v>
      </c>
      <c r="O2565" s="5" t="s">
        <v>44</v>
      </c>
      <c r="P2565" s="5" t="s">
        <v>44</v>
      </c>
      <c r="Q2565" s="1"/>
      <c r="R2565" s="2"/>
      <c r="S2565" s="6"/>
      <c r="T2565" t="s">
        <v>10902</v>
      </c>
      <c r="U2565" t="s">
        <v>10902</v>
      </c>
      <c r="V2565" t="s">
        <v>10902</v>
      </c>
      <c r="W2565" t="s">
        <v>43</v>
      </c>
      <c r="X2565" t="s">
        <v>11310</v>
      </c>
      <c r="Y2565" t="s">
        <v>11307</v>
      </c>
      <c r="Z2565" t="s">
        <v>11305</v>
      </c>
      <c r="AA2565" t="s">
        <v>44</v>
      </c>
      <c r="AB2565" t="s">
        <v>44</v>
      </c>
      <c r="AC2565" s="4"/>
      <c r="AD2565" s="4"/>
      <c r="AE2565" s="2">
        <v>0</v>
      </c>
      <c r="AF2565" s="4">
        <v>0</v>
      </c>
      <c r="AG2565" s="2">
        <v>0.11</v>
      </c>
      <c r="AH2565" s="2">
        <v>1423996.48</v>
      </c>
      <c r="AI2565" s="2">
        <v>0</v>
      </c>
      <c r="AJ2565" s="5">
        <v>44673</v>
      </c>
      <c r="AK2565" t="s">
        <v>12423</v>
      </c>
      <c r="AL2565" s="2">
        <v>0</v>
      </c>
      <c r="AM2565" s="2">
        <v>0</v>
      </c>
      <c r="AN2565" s="2">
        <v>0</v>
      </c>
      <c r="AO2565" t="s">
        <v>44</v>
      </c>
      <c r="AP2565" t="s">
        <v>11311</v>
      </c>
      <c r="AQ2565" t="s">
        <v>5389</v>
      </c>
    </row>
    <row r="2566" spans="1:43" x14ac:dyDescent="0.2">
      <c r="A2566" t="s">
        <v>12422</v>
      </c>
      <c r="B2566" t="s">
        <v>11037</v>
      </c>
      <c r="C2566" t="s">
        <v>11305</v>
      </c>
      <c r="D2566" t="s">
        <v>6544</v>
      </c>
      <c r="E2566" t="s">
        <v>5085</v>
      </c>
      <c r="F2566" t="s">
        <v>6544</v>
      </c>
      <c r="G2566" s="1">
        <v>6292</v>
      </c>
      <c r="H2566" s="2">
        <v>313907.88</v>
      </c>
      <c r="I2566" s="2">
        <v>379973.88</v>
      </c>
      <c r="J2566" s="2">
        <v>0</v>
      </c>
      <c r="K2566" s="2">
        <v>0</v>
      </c>
      <c r="L2566" s="2">
        <v>379973.88</v>
      </c>
      <c r="M2566" s="3">
        <v>6039</v>
      </c>
      <c r="N2566" s="4">
        <v>8.6448000000000004E-4</v>
      </c>
      <c r="O2566" s="5" t="s">
        <v>44</v>
      </c>
      <c r="P2566" s="5" t="s">
        <v>44</v>
      </c>
      <c r="Q2566" s="1"/>
      <c r="R2566" s="2"/>
      <c r="S2566" s="6"/>
      <c r="T2566" t="s">
        <v>10902</v>
      </c>
      <c r="U2566" t="s">
        <v>10902</v>
      </c>
      <c r="V2566" t="s">
        <v>10902</v>
      </c>
      <c r="W2566" t="s">
        <v>43</v>
      </c>
      <c r="X2566" t="s">
        <v>12116</v>
      </c>
      <c r="Y2566" t="s">
        <v>12116</v>
      </c>
      <c r="Z2566" t="s">
        <v>11305</v>
      </c>
      <c r="AA2566" t="s">
        <v>44</v>
      </c>
      <c r="AB2566" t="s">
        <v>44</v>
      </c>
      <c r="AC2566" s="4"/>
      <c r="AD2566" s="4"/>
      <c r="AE2566" s="2">
        <v>0</v>
      </c>
      <c r="AF2566" s="4">
        <v>0</v>
      </c>
      <c r="AG2566" s="2">
        <v>0.03</v>
      </c>
      <c r="AH2566" s="2">
        <v>379973.88</v>
      </c>
      <c r="AI2566" s="2">
        <v>0</v>
      </c>
      <c r="AJ2566" s="5">
        <v>44673</v>
      </c>
      <c r="AK2566" t="s">
        <v>12423</v>
      </c>
      <c r="AL2566" s="2">
        <v>0</v>
      </c>
      <c r="AM2566" s="2">
        <v>0</v>
      </c>
      <c r="AN2566" s="2">
        <v>0</v>
      </c>
      <c r="AO2566" t="s">
        <v>44</v>
      </c>
      <c r="AP2566" t="s">
        <v>12477</v>
      </c>
      <c r="AQ2566" t="s">
        <v>5085</v>
      </c>
    </row>
    <row r="2567" spans="1:43" x14ac:dyDescent="0.2">
      <c r="A2567" t="s">
        <v>12422</v>
      </c>
      <c r="B2567" t="s">
        <v>11037</v>
      </c>
      <c r="C2567" t="s">
        <v>11305</v>
      </c>
      <c r="D2567" t="s">
        <v>6609</v>
      </c>
      <c r="E2567" t="s">
        <v>5271</v>
      </c>
      <c r="F2567" t="s">
        <v>6609</v>
      </c>
      <c r="G2567" s="1">
        <v>44628</v>
      </c>
      <c r="H2567" s="2">
        <v>771171.83999999997</v>
      </c>
      <c r="I2567" s="2">
        <v>753766.92</v>
      </c>
      <c r="J2567" s="2">
        <v>0</v>
      </c>
      <c r="K2567" s="2">
        <v>0</v>
      </c>
      <c r="L2567" s="2">
        <v>753766.92</v>
      </c>
      <c r="M2567" s="3">
        <v>1689</v>
      </c>
      <c r="N2567" s="4">
        <v>1.7149000000000001E-3</v>
      </c>
      <c r="O2567" s="5" t="s">
        <v>44</v>
      </c>
      <c r="P2567" s="5" t="s">
        <v>44</v>
      </c>
      <c r="Q2567" s="1"/>
      <c r="R2567" s="2"/>
      <c r="S2567" s="6"/>
      <c r="T2567" t="s">
        <v>10902</v>
      </c>
      <c r="U2567" t="s">
        <v>10902</v>
      </c>
      <c r="V2567" t="s">
        <v>10902</v>
      </c>
      <c r="W2567" t="s">
        <v>43</v>
      </c>
      <c r="X2567" t="s">
        <v>11306</v>
      </c>
      <c r="Y2567" t="s">
        <v>11307</v>
      </c>
      <c r="Z2567" t="s">
        <v>11305</v>
      </c>
      <c r="AA2567" t="s">
        <v>44</v>
      </c>
      <c r="AB2567" t="s">
        <v>44</v>
      </c>
      <c r="AC2567" s="4"/>
      <c r="AD2567" s="4"/>
      <c r="AE2567" s="2">
        <v>0</v>
      </c>
      <c r="AF2567" s="4">
        <v>0</v>
      </c>
      <c r="AG2567" s="2">
        <v>0.06</v>
      </c>
      <c r="AH2567" s="2">
        <v>753766.92</v>
      </c>
      <c r="AI2567" s="2">
        <v>0</v>
      </c>
      <c r="AJ2567" s="5">
        <v>44673</v>
      </c>
      <c r="AK2567" t="s">
        <v>12423</v>
      </c>
      <c r="AL2567" s="2">
        <v>0</v>
      </c>
      <c r="AM2567" s="2">
        <v>0</v>
      </c>
      <c r="AN2567" s="2">
        <v>0</v>
      </c>
      <c r="AO2567" t="s">
        <v>44</v>
      </c>
      <c r="AP2567" t="s">
        <v>11312</v>
      </c>
      <c r="AQ2567" t="s">
        <v>5271</v>
      </c>
    </row>
    <row r="2568" spans="1:43" x14ac:dyDescent="0.2">
      <c r="A2568" t="s">
        <v>12422</v>
      </c>
      <c r="B2568" t="s">
        <v>11037</v>
      </c>
      <c r="C2568" t="s">
        <v>11305</v>
      </c>
      <c r="D2568" t="s">
        <v>6624</v>
      </c>
      <c r="E2568" t="s">
        <v>5141</v>
      </c>
      <c r="F2568" t="s">
        <v>6624</v>
      </c>
      <c r="G2568" s="1">
        <v>11195</v>
      </c>
      <c r="H2568" s="2">
        <v>560981.44999999995</v>
      </c>
      <c r="I2568" s="2">
        <v>450934.6</v>
      </c>
      <c r="J2568" s="2">
        <v>0</v>
      </c>
      <c r="K2568" s="2">
        <v>0</v>
      </c>
      <c r="L2568" s="2">
        <v>450934.6</v>
      </c>
      <c r="M2568" s="3">
        <v>4028</v>
      </c>
      <c r="N2568" s="4">
        <v>1.02592E-3</v>
      </c>
      <c r="O2568" s="5" t="s">
        <v>44</v>
      </c>
      <c r="P2568" s="5" t="s">
        <v>44</v>
      </c>
      <c r="Q2568" s="1"/>
      <c r="R2568" s="2"/>
      <c r="S2568" s="6"/>
      <c r="T2568" t="s">
        <v>10902</v>
      </c>
      <c r="U2568" t="s">
        <v>10902</v>
      </c>
      <c r="V2568" t="s">
        <v>10902</v>
      </c>
      <c r="W2568" t="s">
        <v>43</v>
      </c>
      <c r="X2568" t="s">
        <v>11306</v>
      </c>
      <c r="Y2568" t="s">
        <v>11307</v>
      </c>
      <c r="Z2568" t="s">
        <v>11305</v>
      </c>
      <c r="AA2568" t="s">
        <v>44</v>
      </c>
      <c r="AB2568" t="s">
        <v>44</v>
      </c>
      <c r="AC2568" s="4"/>
      <c r="AD2568" s="4"/>
      <c r="AE2568" s="2">
        <v>0</v>
      </c>
      <c r="AF2568" s="4">
        <v>0</v>
      </c>
      <c r="AG2568" s="2">
        <v>0.03</v>
      </c>
      <c r="AH2568" s="2">
        <v>450934.6</v>
      </c>
      <c r="AI2568" s="2">
        <v>0</v>
      </c>
      <c r="AJ2568" s="5">
        <v>44673</v>
      </c>
      <c r="AK2568" t="s">
        <v>12423</v>
      </c>
      <c r="AL2568" s="2">
        <v>0</v>
      </c>
      <c r="AM2568" s="2">
        <v>0</v>
      </c>
      <c r="AN2568" s="2">
        <v>0</v>
      </c>
      <c r="AO2568" t="s">
        <v>44</v>
      </c>
      <c r="AP2568" t="s">
        <v>12478</v>
      </c>
      <c r="AQ2568" t="s">
        <v>5141</v>
      </c>
    </row>
    <row r="2569" spans="1:43" x14ac:dyDescent="0.2">
      <c r="A2569" t="s">
        <v>12422</v>
      </c>
      <c r="B2569" t="s">
        <v>11037</v>
      </c>
      <c r="C2569" t="s">
        <v>11305</v>
      </c>
      <c r="D2569" t="s">
        <v>6372</v>
      </c>
      <c r="E2569" t="s">
        <v>6607</v>
      </c>
      <c r="F2569" t="s">
        <v>6372</v>
      </c>
      <c r="G2569" s="1">
        <v>15966</v>
      </c>
      <c r="H2569" s="2">
        <v>1056629.8799999999</v>
      </c>
      <c r="I2569" s="2">
        <v>1783881.18</v>
      </c>
      <c r="J2569" s="2">
        <v>0</v>
      </c>
      <c r="K2569" s="2">
        <v>0</v>
      </c>
      <c r="L2569" s="2">
        <v>1783881.18</v>
      </c>
      <c r="M2569" s="3">
        <v>11173</v>
      </c>
      <c r="N2569" s="4">
        <v>4.0585200000000004E-3</v>
      </c>
      <c r="O2569" s="5" t="s">
        <v>44</v>
      </c>
      <c r="P2569" s="5" t="s">
        <v>44</v>
      </c>
      <c r="Q2569" s="1"/>
      <c r="R2569" s="2"/>
      <c r="S2569" s="6"/>
      <c r="T2569" t="s">
        <v>10902</v>
      </c>
      <c r="U2569" t="s">
        <v>10902</v>
      </c>
      <c r="V2569" t="s">
        <v>10902</v>
      </c>
      <c r="W2569" t="s">
        <v>43</v>
      </c>
      <c r="X2569" t="s">
        <v>11306</v>
      </c>
      <c r="Y2569" t="s">
        <v>11307</v>
      </c>
      <c r="Z2569" t="s">
        <v>11305</v>
      </c>
      <c r="AA2569" t="s">
        <v>44</v>
      </c>
      <c r="AB2569" t="s">
        <v>44</v>
      </c>
      <c r="AC2569" s="4"/>
      <c r="AD2569" s="4"/>
      <c r="AE2569" s="2">
        <v>0</v>
      </c>
      <c r="AF2569" s="4">
        <v>0</v>
      </c>
      <c r="AG2569" s="2">
        <v>0.13</v>
      </c>
      <c r="AH2569" s="2">
        <v>1783881.18</v>
      </c>
      <c r="AI2569" s="2">
        <v>0</v>
      </c>
      <c r="AJ2569" s="5">
        <v>44673</v>
      </c>
      <c r="AK2569" t="s">
        <v>12423</v>
      </c>
      <c r="AL2569" s="2">
        <v>0</v>
      </c>
      <c r="AM2569" s="2">
        <v>0</v>
      </c>
      <c r="AN2569" s="2">
        <v>0</v>
      </c>
      <c r="AO2569" t="s">
        <v>44</v>
      </c>
      <c r="AP2569" t="s">
        <v>11313</v>
      </c>
      <c r="AQ2569" t="s">
        <v>6607</v>
      </c>
    </row>
    <row r="2570" spans="1:43" x14ac:dyDescent="0.2">
      <c r="A2570" t="s">
        <v>12422</v>
      </c>
      <c r="B2570" t="s">
        <v>11037</v>
      </c>
      <c r="C2570" t="s">
        <v>11305</v>
      </c>
      <c r="D2570" t="s">
        <v>11314</v>
      </c>
      <c r="E2570" t="s">
        <v>6750</v>
      </c>
      <c r="F2570" t="s">
        <v>11314</v>
      </c>
      <c r="G2570" s="1">
        <v>194246</v>
      </c>
      <c r="H2570" s="2">
        <v>3492718.11</v>
      </c>
      <c r="I2570" s="2">
        <v>4236505.26</v>
      </c>
      <c r="J2570" s="2">
        <v>0</v>
      </c>
      <c r="K2570" s="2">
        <v>0</v>
      </c>
      <c r="L2570" s="2">
        <v>4236505.26</v>
      </c>
      <c r="M2570" s="3">
        <v>2181</v>
      </c>
      <c r="N2570" s="4">
        <v>9.6385099999999994E-3</v>
      </c>
      <c r="O2570" s="5" t="s">
        <v>44</v>
      </c>
      <c r="P2570" s="5" t="s">
        <v>44</v>
      </c>
      <c r="Q2570" s="1"/>
      <c r="R2570" s="2"/>
      <c r="S2570" s="6"/>
      <c r="T2570" t="s">
        <v>10902</v>
      </c>
      <c r="U2570" t="s">
        <v>10902</v>
      </c>
      <c r="V2570" t="s">
        <v>10902</v>
      </c>
      <c r="W2570" t="s">
        <v>43</v>
      </c>
      <c r="X2570" t="s">
        <v>11306</v>
      </c>
      <c r="Y2570" t="s">
        <v>11307</v>
      </c>
      <c r="Z2570" t="s">
        <v>11305</v>
      </c>
      <c r="AA2570" t="s">
        <v>44</v>
      </c>
      <c r="AB2570" t="s">
        <v>44</v>
      </c>
      <c r="AC2570" s="4"/>
      <c r="AD2570" s="4"/>
      <c r="AE2570" s="2">
        <v>0</v>
      </c>
      <c r="AF2570" s="4">
        <v>0</v>
      </c>
      <c r="AG2570" s="2">
        <v>0.31</v>
      </c>
      <c r="AH2570" s="2">
        <v>4236505.26</v>
      </c>
      <c r="AI2570" s="2">
        <v>0.01</v>
      </c>
      <c r="AJ2570" s="5">
        <v>44673</v>
      </c>
      <c r="AK2570" t="s">
        <v>12423</v>
      </c>
      <c r="AL2570" s="2">
        <v>0</v>
      </c>
      <c r="AM2570" s="2">
        <v>0</v>
      </c>
      <c r="AN2570" s="2">
        <v>0</v>
      </c>
      <c r="AO2570" t="s">
        <v>44</v>
      </c>
      <c r="AP2570" t="s">
        <v>11315</v>
      </c>
      <c r="AQ2570" t="s">
        <v>6750</v>
      </c>
    </row>
    <row r="2571" spans="1:43" x14ac:dyDescent="0.2">
      <c r="A2571" t="s">
        <v>12422</v>
      </c>
      <c r="B2571" t="s">
        <v>11037</v>
      </c>
      <c r="C2571" t="s">
        <v>11305</v>
      </c>
      <c r="D2571" t="s">
        <v>11316</v>
      </c>
      <c r="E2571" t="s">
        <v>5173</v>
      </c>
      <c r="F2571" t="s">
        <v>11316</v>
      </c>
      <c r="G2571" s="1">
        <v>32897</v>
      </c>
      <c r="H2571" s="2">
        <v>1834994.66</v>
      </c>
      <c r="I2571" s="2">
        <v>1967569.57</v>
      </c>
      <c r="J2571" s="2">
        <v>0</v>
      </c>
      <c r="K2571" s="2">
        <v>0</v>
      </c>
      <c r="L2571" s="2">
        <v>1967569.57</v>
      </c>
      <c r="M2571" s="3">
        <v>5981</v>
      </c>
      <c r="N2571" s="4">
        <v>4.47643E-3</v>
      </c>
      <c r="O2571" s="5" t="s">
        <v>44</v>
      </c>
      <c r="P2571" s="5" t="s">
        <v>44</v>
      </c>
      <c r="Q2571" s="1"/>
      <c r="R2571" s="2"/>
      <c r="S2571" s="6"/>
      <c r="T2571" t="s">
        <v>10902</v>
      </c>
      <c r="U2571" t="s">
        <v>10902</v>
      </c>
      <c r="V2571" t="s">
        <v>10902</v>
      </c>
      <c r="W2571" t="s">
        <v>43</v>
      </c>
      <c r="X2571" t="s">
        <v>11310</v>
      </c>
      <c r="Y2571" t="s">
        <v>11307</v>
      </c>
      <c r="Z2571" t="s">
        <v>11305</v>
      </c>
      <c r="AA2571" t="s">
        <v>44</v>
      </c>
      <c r="AB2571" t="s">
        <v>44</v>
      </c>
      <c r="AC2571" s="4"/>
      <c r="AD2571" s="4"/>
      <c r="AE2571" s="2">
        <v>0</v>
      </c>
      <c r="AF2571" s="4">
        <v>0</v>
      </c>
      <c r="AG2571" s="2">
        <v>0.15</v>
      </c>
      <c r="AH2571" s="2">
        <v>1967569.57</v>
      </c>
      <c r="AI2571" s="2">
        <v>0</v>
      </c>
      <c r="AJ2571" s="5">
        <v>44673</v>
      </c>
      <c r="AK2571" t="s">
        <v>12423</v>
      </c>
      <c r="AL2571" s="2">
        <v>0</v>
      </c>
      <c r="AM2571" s="2">
        <v>0</v>
      </c>
      <c r="AN2571" s="2">
        <v>0</v>
      </c>
      <c r="AO2571" t="s">
        <v>44</v>
      </c>
      <c r="AP2571" t="s">
        <v>11317</v>
      </c>
      <c r="AQ2571" t="s">
        <v>5173</v>
      </c>
    </row>
    <row r="2572" spans="1:43" x14ac:dyDescent="0.2">
      <c r="A2572" t="s">
        <v>12422</v>
      </c>
      <c r="B2572" t="s">
        <v>11037</v>
      </c>
      <c r="C2572" t="s">
        <v>11305</v>
      </c>
      <c r="D2572" t="s">
        <v>12479</v>
      </c>
      <c r="E2572" t="s">
        <v>4368</v>
      </c>
      <c r="F2572" t="s">
        <v>12479</v>
      </c>
      <c r="G2572" s="1">
        <v>24118</v>
      </c>
      <c r="H2572" s="2">
        <v>371417.2</v>
      </c>
      <c r="I2572" s="2">
        <v>661074.38</v>
      </c>
      <c r="J2572" s="2">
        <v>0</v>
      </c>
      <c r="K2572" s="2">
        <v>0</v>
      </c>
      <c r="L2572" s="2">
        <v>661074.38</v>
      </c>
      <c r="M2572" s="3">
        <v>2741</v>
      </c>
      <c r="N2572" s="4">
        <v>1.50402E-3</v>
      </c>
      <c r="O2572" s="5" t="s">
        <v>44</v>
      </c>
      <c r="P2572" s="5" t="s">
        <v>44</v>
      </c>
      <c r="Q2572" s="1"/>
      <c r="R2572" s="2"/>
      <c r="S2572" s="6"/>
      <c r="T2572" t="s">
        <v>10902</v>
      </c>
      <c r="U2572" t="s">
        <v>10902</v>
      </c>
      <c r="V2572" t="s">
        <v>10902</v>
      </c>
      <c r="W2572" t="s">
        <v>43</v>
      </c>
      <c r="X2572" t="s">
        <v>12116</v>
      </c>
      <c r="Y2572" t="s">
        <v>12116</v>
      </c>
      <c r="Z2572" t="s">
        <v>11305</v>
      </c>
      <c r="AA2572" t="s">
        <v>44</v>
      </c>
      <c r="AB2572" t="s">
        <v>44</v>
      </c>
      <c r="AC2572" s="4"/>
      <c r="AD2572" s="4"/>
      <c r="AE2572" s="2">
        <v>0</v>
      </c>
      <c r="AF2572" s="4">
        <v>0</v>
      </c>
      <c r="AG2572" s="2">
        <v>0.05</v>
      </c>
      <c r="AH2572" s="2">
        <v>661074.38</v>
      </c>
      <c r="AI2572" s="2">
        <v>0</v>
      </c>
      <c r="AJ2572" s="5">
        <v>44673</v>
      </c>
      <c r="AK2572" t="s">
        <v>12423</v>
      </c>
      <c r="AL2572" s="2">
        <v>0</v>
      </c>
      <c r="AM2572" s="2">
        <v>0</v>
      </c>
      <c r="AN2572" s="2">
        <v>0</v>
      </c>
      <c r="AO2572" t="s">
        <v>44</v>
      </c>
      <c r="AP2572" t="s">
        <v>12480</v>
      </c>
      <c r="AQ2572" t="s">
        <v>4368</v>
      </c>
    </row>
    <row r="2573" spans="1:43" x14ac:dyDescent="0.2">
      <c r="A2573" t="s">
        <v>12422</v>
      </c>
      <c r="B2573" t="s">
        <v>11037</v>
      </c>
      <c r="C2573" t="s">
        <v>11305</v>
      </c>
      <c r="D2573" t="s">
        <v>11698</v>
      </c>
      <c r="E2573" t="s">
        <v>4919</v>
      </c>
      <c r="F2573" t="s">
        <v>11698</v>
      </c>
      <c r="G2573" s="1">
        <v>20000</v>
      </c>
      <c r="H2573" s="2">
        <v>3227113.51</v>
      </c>
      <c r="I2573" s="2">
        <v>3324000</v>
      </c>
      <c r="J2573" s="2">
        <v>0</v>
      </c>
      <c r="K2573" s="2">
        <v>0</v>
      </c>
      <c r="L2573" s="2">
        <v>3324000</v>
      </c>
      <c r="M2573" s="3">
        <v>16620</v>
      </c>
      <c r="N2573" s="4">
        <v>7.56246E-3</v>
      </c>
      <c r="O2573" s="5" t="s">
        <v>44</v>
      </c>
      <c r="P2573" s="5" t="s">
        <v>44</v>
      </c>
      <c r="Q2573" s="1"/>
      <c r="R2573" s="2"/>
      <c r="S2573" s="6"/>
      <c r="T2573" t="s">
        <v>10902</v>
      </c>
      <c r="U2573" t="s">
        <v>10902</v>
      </c>
      <c r="V2573" t="s">
        <v>10902</v>
      </c>
      <c r="W2573" t="s">
        <v>43</v>
      </c>
      <c r="X2573" t="s">
        <v>11310</v>
      </c>
      <c r="Y2573" t="s">
        <v>11307</v>
      </c>
      <c r="Z2573" t="s">
        <v>11305</v>
      </c>
      <c r="AA2573" t="s">
        <v>44</v>
      </c>
      <c r="AB2573" t="s">
        <v>44</v>
      </c>
      <c r="AC2573" s="4"/>
      <c r="AD2573" s="4"/>
      <c r="AE2573" s="2">
        <v>0</v>
      </c>
      <c r="AF2573" s="4">
        <v>0</v>
      </c>
      <c r="AG2573" s="2">
        <v>0.25</v>
      </c>
      <c r="AH2573" s="2">
        <v>3324000</v>
      </c>
      <c r="AI2573" s="2">
        <v>0.01</v>
      </c>
      <c r="AJ2573" s="5">
        <v>44673</v>
      </c>
      <c r="AK2573" t="s">
        <v>12423</v>
      </c>
      <c r="AL2573" s="2">
        <v>0</v>
      </c>
      <c r="AM2573" s="2">
        <v>0</v>
      </c>
      <c r="AN2573" s="2">
        <v>0</v>
      </c>
      <c r="AO2573" t="s">
        <v>44</v>
      </c>
      <c r="AP2573" t="s">
        <v>11699</v>
      </c>
      <c r="AQ2573" t="s">
        <v>4919</v>
      </c>
    </row>
    <row r="2574" spans="1:43" x14ac:dyDescent="0.2">
      <c r="A2574" t="s">
        <v>12422</v>
      </c>
      <c r="B2574" t="s">
        <v>11037</v>
      </c>
      <c r="C2574" t="s">
        <v>11305</v>
      </c>
      <c r="D2574" t="s">
        <v>6224</v>
      </c>
      <c r="E2574" t="s">
        <v>3901</v>
      </c>
      <c r="F2574" t="s">
        <v>6224</v>
      </c>
      <c r="G2574" s="1">
        <v>41441</v>
      </c>
      <c r="H2574" s="2">
        <v>2025636.08</v>
      </c>
      <c r="I2574" s="2">
        <v>2309092.52</v>
      </c>
      <c r="J2574" s="2">
        <v>0</v>
      </c>
      <c r="K2574" s="2">
        <v>0</v>
      </c>
      <c r="L2574" s="2">
        <v>2309092.52</v>
      </c>
      <c r="M2574" s="3">
        <v>5572</v>
      </c>
      <c r="N2574" s="4">
        <v>5.2534299999999999E-3</v>
      </c>
      <c r="O2574" s="5" t="s">
        <v>44</v>
      </c>
      <c r="P2574" s="5" t="s">
        <v>44</v>
      </c>
      <c r="Q2574" s="1"/>
      <c r="R2574" s="2"/>
      <c r="S2574" s="6"/>
      <c r="T2574" t="s">
        <v>10902</v>
      </c>
      <c r="U2574" t="s">
        <v>10902</v>
      </c>
      <c r="V2574" t="s">
        <v>10902</v>
      </c>
      <c r="W2574" t="s">
        <v>43</v>
      </c>
      <c r="X2574" t="s">
        <v>11306</v>
      </c>
      <c r="Y2574" t="s">
        <v>11307</v>
      </c>
      <c r="Z2574" t="s">
        <v>11305</v>
      </c>
      <c r="AA2574" t="s">
        <v>44</v>
      </c>
      <c r="AB2574" t="s">
        <v>44</v>
      </c>
      <c r="AC2574" s="4"/>
      <c r="AD2574" s="4"/>
      <c r="AE2574" s="2">
        <v>0</v>
      </c>
      <c r="AF2574" s="4">
        <v>0</v>
      </c>
      <c r="AG2574" s="2">
        <v>0.17</v>
      </c>
      <c r="AH2574" s="2">
        <v>2309092.52</v>
      </c>
      <c r="AI2574" s="2">
        <v>0.01</v>
      </c>
      <c r="AJ2574" s="5">
        <v>44673</v>
      </c>
      <c r="AK2574" t="s">
        <v>12423</v>
      </c>
      <c r="AL2574" s="2">
        <v>0</v>
      </c>
      <c r="AM2574" s="2">
        <v>0</v>
      </c>
      <c r="AN2574" s="2">
        <v>0</v>
      </c>
      <c r="AO2574" t="s">
        <v>44</v>
      </c>
      <c r="AP2574" t="s">
        <v>11320</v>
      </c>
      <c r="AQ2574" t="s">
        <v>3901</v>
      </c>
    </row>
    <row r="2575" spans="1:43" x14ac:dyDescent="0.2">
      <c r="A2575" t="s">
        <v>12422</v>
      </c>
      <c r="B2575" t="s">
        <v>11037</v>
      </c>
      <c r="C2575" t="s">
        <v>11305</v>
      </c>
      <c r="D2575" t="s">
        <v>12481</v>
      </c>
      <c r="E2575" t="s">
        <v>12482</v>
      </c>
      <c r="F2575" t="s">
        <v>12481</v>
      </c>
      <c r="G2575" s="1">
        <v>41931</v>
      </c>
      <c r="H2575" s="2">
        <v>268777.71000000002</v>
      </c>
      <c r="I2575" s="2">
        <v>456628.59</v>
      </c>
      <c r="J2575" s="2">
        <v>0</v>
      </c>
      <c r="K2575" s="2">
        <v>0</v>
      </c>
      <c r="L2575" s="2">
        <v>456628.59</v>
      </c>
      <c r="M2575" s="3">
        <v>1089</v>
      </c>
      <c r="N2575" s="4">
        <v>1.0388800000000001E-3</v>
      </c>
      <c r="O2575" s="5" t="s">
        <v>44</v>
      </c>
      <c r="P2575" s="5" t="s">
        <v>44</v>
      </c>
      <c r="Q2575" s="1"/>
      <c r="R2575" s="2"/>
      <c r="S2575" s="6"/>
      <c r="T2575" t="s">
        <v>10902</v>
      </c>
      <c r="U2575" t="s">
        <v>10902</v>
      </c>
      <c r="V2575" t="s">
        <v>10902</v>
      </c>
      <c r="W2575" t="s">
        <v>43</v>
      </c>
      <c r="X2575" t="s">
        <v>12116</v>
      </c>
      <c r="Y2575" t="s">
        <v>12116</v>
      </c>
      <c r="Z2575" t="s">
        <v>11305</v>
      </c>
      <c r="AA2575" t="s">
        <v>44</v>
      </c>
      <c r="AB2575" t="s">
        <v>44</v>
      </c>
      <c r="AC2575" s="4"/>
      <c r="AD2575" s="4"/>
      <c r="AE2575" s="2">
        <v>0</v>
      </c>
      <c r="AF2575" s="4">
        <v>0</v>
      </c>
      <c r="AG2575" s="2">
        <v>0.03</v>
      </c>
      <c r="AH2575" s="2">
        <v>456628.59</v>
      </c>
      <c r="AI2575" s="2">
        <v>0</v>
      </c>
      <c r="AJ2575" s="5">
        <v>44673</v>
      </c>
      <c r="AK2575" t="s">
        <v>12423</v>
      </c>
      <c r="AL2575" s="2">
        <v>0</v>
      </c>
      <c r="AM2575" s="2">
        <v>0</v>
      </c>
      <c r="AN2575" s="2">
        <v>0</v>
      </c>
      <c r="AO2575" t="s">
        <v>44</v>
      </c>
      <c r="AP2575" t="s">
        <v>12483</v>
      </c>
      <c r="AQ2575" t="s">
        <v>12482</v>
      </c>
    </row>
    <row r="2576" spans="1:43" x14ac:dyDescent="0.2">
      <c r="A2576" t="s">
        <v>12422</v>
      </c>
      <c r="B2576" t="s">
        <v>11037</v>
      </c>
      <c r="C2576" t="s">
        <v>11305</v>
      </c>
      <c r="D2576" t="s">
        <v>12115</v>
      </c>
      <c r="E2576" t="s">
        <v>7051</v>
      </c>
      <c r="F2576" t="s">
        <v>12115</v>
      </c>
      <c r="G2576" s="1">
        <v>131525</v>
      </c>
      <c r="H2576" s="2">
        <v>213070.5</v>
      </c>
      <c r="I2576" s="2">
        <v>414303.75</v>
      </c>
      <c r="J2576" s="2">
        <v>0</v>
      </c>
      <c r="K2576" s="2">
        <v>0</v>
      </c>
      <c r="L2576" s="2">
        <v>414303.75</v>
      </c>
      <c r="M2576" s="3">
        <v>315</v>
      </c>
      <c r="N2576" s="4">
        <v>9.4258999999999999E-4</v>
      </c>
      <c r="O2576" s="5" t="s">
        <v>44</v>
      </c>
      <c r="P2576" s="5" t="s">
        <v>44</v>
      </c>
      <c r="Q2576" s="1"/>
      <c r="R2576" s="2"/>
      <c r="S2576" s="6"/>
      <c r="T2576" t="s">
        <v>10902</v>
      </c>
      <c r="U2576" t="s">
        <v>10902</v>
      </c>
      <c r="V2576" t="s">
        <v>10902</v>
      </c>
      <c r="W2576" t="s">
        <v>43</v>
      </c>
      <c r="X2576" t="s">
        <v>12116</v>
      </c>
      <c r="Y2576" t="s">
        <v>12116</v>
      </c>
      <c r="Z2576" t="s">
        <v>11305</v>
      </c>
      <c r="AA2576" t="s">
        <v>44</v>
      </c>
      <c r="AB2576" t="s">
        <v>44</v>
      </c>
      <c r="AC2576" s="4"/>
      <c r="AD2576" s="4"/>
      <c r="AE2576" s="2">
        <v>0</v>
      </c>
      <c r="AF2576" s="4">
        <v>0</v>
      </c>
      <c r="AG2576" s="2">
        <v>0.03</v>
      </c>
      <c r="AH2576" s="2">
        <v>414303.75</v>
      </c>
      <c r="AI2576" s="2">
        <v>0</v>
      </c>
      <c r="AJ2576" s="5">
        <v>44673</v>
      </c>
      <c r="AK2576" t="s">
        <v>12423</v>
      </c>
      <c r="AL2576" s="2">
        <v>0</v>
      </c>
      <c r="AM2576" s="2">
        <v>0</v>
      </c>
      <c r="AN2576" s="2">
        <v>0</v>
      </c>
      <c r="AO2576" t="s">
        <v>44</v>
      </c>
      <c r="AP2576" t="s">
        <v>12117</v>
      </c>
      <c r="AQ2576" t="s">
        <v>7051</v>
      </c>
    </row>
    <row r="2577" spans="1:43" x14ac:dyDescent="0.2">
      <c r="A2577" t="s">
        <v>12422</v>
      </c>
      <c r="B2577" t="s">
        <v>11037</v>
      </c>
      <c r="C2577" t="s">
        <v>11050</v>
      </c>
      <c r="D2577" t="s">
        <v>12484</v>
      </c>
      <c r="E2577" t="s">
        <v>12485</v>
      </c>
      <c r="F2577" t="s">
        <v>12484</v>
      </c>
      <c r="G2577" s="1">
        <v>540000</v>
      </c>
      <c r="H2577" s="2">
        <v>54000000</v>
      </c>
      <c r="I2577" s="2">
        <v>60388308</v>
      </c>
      <c r="J2577" s="2">
        <v>0</v>
      </c>
      <c r="K2577" s="2">
        <v>0</v>
      </c>
      <c r="L2577" s="2">
        <v>60388308</v>
      </c>
      <c r="M2577" s="3">
        <v>111.8302</v>
      </c>
      <c r="N2577" s="4">
        <v>0.13738990000000001</v>
      </c>
      <c r="O2577" s="5" t="s">
        <v>44</v>
      </c>
      <c r="P2577" s="5" t="s">
        <v>44</v>
      </c>
      <c r="Q2577" s="1"/>
      <c r="R2577" s="2"/>
      <c r="S2577" s="6"/>
      <c r="T2577" t="s">
        <v>10902</v>
      </c>
      <c r="U2577" t="s">
        <v>10902</v>
      </c>
      <c r="V2577" t="s">
        <v>11051</v>
      </c>
      <c r="W2577" t="s">
        <v>43</v>
      </c>
      <c r="X2577" t="s">
        <v>11050</v>
      </c>
      <c r="Y2577" t="s">
        <v>44</v>
      </c>
      <c r="Z2577" t="s">
        <v>11050</v>
      </c>
      <c r="AA2577" t="s">
        <v>11035</v>
      </c>
      <c r="AB2577" t="s">
        <v>44</v>
      </c>
      <c r="AC2577" s="4"/>
      <c r="AD2577" s="4"/>
      <c r="AE2577" s="2">
        <v>0</v>
      </c>
      <c r="AF2577" s="4">
        <v>0</v>
      </c>
      <c r="AG2577" s="2">
        <v>4.49</v>
      </c>
      <c r="AH2577" s="2">
        <v>60388308</v>
      </c>
      <c r="AI2577" s="2">
        <v>0.14000000000000001</v>
      </c>
      <c r="AJ2577" s="5">
        <v>44673</v>
      </c>
      <c r="AK2577" t="s">
        <v>12423</v>
      </c>
      <c r="AL2577" s="2">
        <v>0</v>
      </c>
      <c r="AM2577" s="2">
        <v>0</v>
      </c>
      <c r="AN2577" s="2">
        <v>0</v>
      </c>
      <c r="AO2577" t="s">
        <v>11053</v>
      </c>
      <c r="AP2577" t="s">
        <v>44</v>
      </c>
      <c r="AQ2577" t="s">
        <v>12485</v>
      </c>
    </row>
    <row r="2578" spans="1:43" x14ac:dyDescent="0.2">
      <c r="A2578" t="s">
        <v>12422</v>
      </c>
      <c r="B2578" t="s">
        <v>11037</v>
      </c>
      <c r="C2578" t="s">
        <v>11050</v>
      </c>
      <c r="D2578" t="s">
        <v>12137</v>
      </c>
      <c r="E2578" t="s">
        <v>12138</v>
      </c>
      <c r="F2578" t="s">
        <v>12137</v>
      </c>
      <c r="G2578" s="1">
        <v>50000000</v>
      </c>
      <c r="H2578" s="2">
        <v>50000000</v>
      </c>
      <c r="I2578" s="2">
        <v>55646286.100000001</v>
      </c>
      <c r="J2578" s="2">
        <v>0</v>
      </c>
      <c r="K2578" s="2">
        <v>0</v>
      </c>
      <c r="L2578" s="2">
        <v>55646286.100000001</v>
      </c>
      <c r="M2578" s="3">
        <v>111.29257200000001</v>
      </c>
      <c r="N2578" s="4">
        <v>0.12660129000000001</v>
      </c>
      <c r="O2578" s="5" t="s">
        <v>44</v>
      </c>
      <c r="P2578" s="5" t="s">
        <v>44</v>
      </c>
      <c r="Q2578" s="1"/>
      <c r="R2578" s="2"/>
      <c r="S2578" s="6"/>
      <c r="T2578" t="s">
        <v>10902</v>
      </c>
      <c r="U2578" t="s">
        <v>10902</v>
      </c>
      <c r="V2578" t="s">
        <v>11051</v>
      </c>
      <c r="W2578" t="s">
        <v>43</v>
      </c>
      <c r="X2578" t="s">
        <v>11050</v>
      </c>
      <c r="Y2578" t="s">
        <v>44</v>
      </c>
      <c r="Z2578" t="s">
        <v>11050</v>
      </c>
      <c r="AA2578" t="s">
        <v>11035</v>
      </c>
      <c r="AB2578" t="s">
        <v>44</v>
      </c>
      <c r="AC2578" s="4"/>
      <c r="AD2578" s="4"/>
      <c r="AE2578" s="2">
        <v>0</v>
      </c>
      <c r="AF2578" s="4">
        <v>0</v>
      </c>
      <c r="AG2578" s="2">
        <v>4.13</v>
      </c>
      <c r="AH2578" s="2">
        <v>55646286.100000001</v>
      </c>
      <c r="AI2578" s="2">
        <v>0.13</v>
      </c>
      <c r="AJ2578" s="5">
        <v>44673</v>
      </c>
      <c r="AK2578" t="s">
        <v>12423</v>
      </c>
      <c r="AL2578" s="2">
        <v>0</v>
      </c>
      <c r="AM2578" s="2">
        <v>0</v>
      </c>
      <c r="AN2578" s="2">
        <v>0</v>
      </c>
      <c r="AO2578" t="s">
        <v>11036</v>
      </c>
      <c r="AP2578" t="s">
        <v>44</v>
      </c>
      <c r="AQ2578" t="s">
        <v>12138</v>
      </c>
    </row>
    <row r="2579" spans="1:43" x14ac:dyDescent="0.2">
      <c r="A2579" t="s">
        <v>12422</v>
      </c>
      <c r="B2579" t="s">
        <v>11037</v>
      </c>
      <c r="C2579" t="s">
        <v>11195</v>
      </c>
      <c r="D2579" t="s">
        <v>6768</v>
      </c>
      <c r="E2579" t="s">
        <v>5741</v>
      </c>
      <c r="F2579" t="s">
        <v>6768</v>
      </c>
      <c r="G2579" s="1">
        <v>75320</v>
      </c>
      <c r="H2579" s="2">
        <v>310318.40000000002</v>
      </c>
      <c r="I2579" s="2">
        <v>335927.2</v>
      </c>
      <c r="J2579" s="2">
        <v>0</v>
      </c>
      <c r="K2579" s="2">
        <v>0</v>
      </c>
      <c r="L2579" s="2">
        <v>335927.2</v>
      </c>
      <c r="M2579" s="3">
        <v>446</v>
      </c>
      <c r="N2579" s="4">
        <v>7.6427000000000005E-4</v>
      </c>
      <c r="O2579" s="5" t="s">
        <v>44</v>
      </c>
      <c r="P2579" s="5" t="s">
        <v>44</v>
      </c>
      <c r="Q2579" s="1"/>
      <c r="R2579" s="2"/>
      <c r="S2579" s="6"/>
      <c r="T2579" t="s">
        <v>10902</v>
      </c>
      <c r="U2579" t="s">
        <v>10902</v>
      </c>
      <c r="V2579" t="s">
        <v>10902</v>
      </c>
      <c r="W2579" t="s">
        <v>43</v>
      </c>
      <c r="X2579" t="s">
        <v>11327</v>
      </c>
      <c r="Y2579" t="s">
        <v>11198</v>
      </c>
      <c r="Z2579" t="s">
        <v>11195</v>
      </c>
      <c r="AA2579" t="s">
        <v>44</v>
      </c>
      <c r="AB2579" t="s">
        <v>44</v>
      </c>
      <c r="AC2579" s="4"/>
      <c r="AD2579" s="4"/>
      <c r="AE2579" s="2">
        <v>0</v>
      </c>
      <c r="AF2579" s="4">
        <v>0</v>
      </c>
      <c r="AG2579" s="2">
        <v>0.02</v>
      </c>
      <c r="AH2579" s="2">
        <v>335927.2</v>
      </c>
      <c r="AI2579" s="2">
        <v>0</v>
      </c>
      <c r="AJ2579" s="5">
        <v>44673</v>
      </c>
      <c r="AK2579" t="s">
        <v>12423</v>
      </c>
      <c r="AL2579" s="2">
        <v>0</v>
      </c>
      <c r="AM2579" s="2">
        <v>0</v>
      </c>
      <c r="AN2579" s="2">
        <v>0</v>
      </c>
      <c r="AO2579" t="s">
        <v>44</v>
      </c>
      <c r="AP2579" t="s">
        <v>12486</v>
      </c>
      <c r="AQ2579" t="s">
        <v>5741</v>
      </c>
    </row>
    <row r="2580" spans="1:43" x14ac:dyDescent="0.2">
      <c r="A2580" t="s">
        <v>12422</v>
      </c>
      <c r="B2580" t="s">
        <v>11037</v>
      </c>
      <c r="C2580" t="s">
        <v>11195</v>
      </c>
      <c r="D2580" t="s">
        <v>12323</v>
      </c>
      <c r="E2580" t="s">
        <v>5348</v>
      </c>
      <c r="F2580" t="s">
        <v>12323</v>
      </c>
      <c r="G2580" s="1">
        <v>422582</v>
      </c>
      <c r="H2580" s="2">
        <v>2289817.7599999998</v>
      </c>
      <c r="I2580" s="2">
        <v>2966525.64</v>
      </c>
      <c r="J2580" s="2">
        <v>0</v>
      </c>
      <c r="K2580" s="2">
        <v>0</v>
      </c>
      <c r="L2580" s="2">
        <v>2966525.64</v>
      </c>
      <c r="M2580" s="3">
        <v>702</v>
      </c>
      <c r="N2580" s="4">
        <v>6.7491699999999996E-3</v>
      </c>
      <c r="O2580" s="5" t="s">
        <v>44</v>
      </c>
      <c r="P2580" s="5" t="s">
        <v>44</v>
      </c>
      <c r="Q2580" s="1"/>
      <c r="R2580" s="2"/>
      <c r="S2580" s="6"/>
      <c r="T2580" t="s">
        <v>10902</v>
      </c>
      <c r="U2580" t="s">
        <v>10902</v>
      </c>
      <c r="V2580" t="s">
        <v>10902</v>
      </c>
      <c r="W2580" t="s">
        <v>43</v>
      </c>
      <c r="X2580" t="s">
        <v>11197</v>
      </c>
      <c r="Y2580" t="s">
        <v>11198</v>
      </c>
      <c r="Z2580" t="s">
        <v>11195</v>
      </c>
      <c r="AA2580" t="s">
        <v>44</v>
      </c>
      <c r="AB2580" t="s">
        <v>44</v>
      </c>
      <c r="AC2580" s="4"/>
      <c r="AD2580" s="4"/>
      <c r="AE2580" s="2">
        <v>0</v>
      </c>
      <c r="AF2580" s="4">
        <v>0</v>
      </c>
      <c r="AG2580" s="2">
        <v>0.22</v>
      </c>
      <c r="AH2580" s="2">
        <v>2966525.64</v>
      </c>
      <c r="AI2580" s="2">
        <v>0.01</v>
      </c>
      <c r="AJ2580" s="5">
        <v>44673</v>
      </c>
      <c r="AK2580" t="s">
        <v>12423</v>
      </c>
      <c r="AL2580" s="2">
        <v>0</v>
      </c>
      <c r="AM2580" s="2">
        <v>0</v>
      </c>
      <c r="AN2580" s="2">
        <v>0</v>
      </c>
      <c r="AO2580" t="s">
        <v>44</v>
      </c>
      <c r="AP2580" t="s">
        <v>12324</v>
      </c>
      <c r="AQ2580" t="s">
        <v>5348</v>
      </c>
    </row>
    <row r="2581" spans="1:43" x14ac:dyDescent="0.2">
      <c r="A2581" t="s">
        <v>12422</v>
      </c>
      <c r="B2581" t="s">
        <v>11037</v>
      </c>
      <c r="C2581" t="s">
        <v>11195</v>
      </c>
      <c r="D2581" t="s">
        <v>11325</v>
      </c>
      <c r="E2581" t="s">
        <v>5284</v>
      </c>
      <c r="F2581" t="s">
        <v>11325</v>
      </c>
      <c r="G2581" s="1">
        <v>19999</v>
      </c>
      <c r="H2581" s="2">
        <v>660766.96</v>
      </c>
      <c r="I2581" s="2">
        <v>645567.72</v>
      </c>
      <c r="J2581" s="2">
        <v>0</v>
      </c>
      <c r="K2581" s="2">
        <v>0</v>
      </c>
      <c r="L2581" s="2">
        <v>645567.72</v>
      </c>
      <c r="M2581" s="3">
        <v>3228</v>
      </c>
      <c r="N2581" s="4">
        <v>1.4687400000000001E-3</v>
      </c>
      <c r="O2581" s="5" t="s">
        <v>44</v>
      </c>
      <c r="P2581" s="5" t="s">
        <v>44</v>
      </c>
      <c r="Q2581" s="1"/>
      <c r="R2581" s="2"/>
      <c r="S2581" s="6"/>
      <c r="T2581" t="s">
        <v>10902</v>
      </c>
      <c r="U2581" t="s">
        <v>10902</v>
      </c>
      <c r="V2581" t="s">
        <v>10902</v>
      </c>
      <c r="W2581" t="s">
        <v>43</v>
      </c>
      <c r="X2581" t="s">
        <v>11197</v>
      </c>
      <c r="Y2581" t="s">
        <v>11198</v>
      </c>
      <c r="Z2581" t="s">
        <v>11195</v>
      </c>
      <c r="AA2581" t="s">
        <v>44</v>
      </c>
      <c r="AB2581" t="s">
        <v>44</v>
      </c>
      <c r="AC2581" s="4"/>
      <c r="AD2581" s="4"/>
      <c r="AE2581" s="2">
        <v>0</v>
      </c>
      <c r="AF2581" s="4">
        <v>0</v>
      </c>
      <c r="AG2581" s="2">
        <v>0.05</v>
      </c>
      <c r="AH2581" s="2">
        <v>645567.72</v>
      </c>
      <c r="AI2581" s="2">
        <v>0</v>
      </c>
      <c r="AJ2581" s="5">
        <v>44673</v>
      </c>
      <c r="AK2581" t="s">
        <v>12423</v>
      </c>
      <c r="AL2581" s="2">
        <v>0</v>
      </c>
      <c r="AM2581" s="2">
        <v>0</v>
      </c>
      <c r="AN2581" s="2">
        <v>0</v>
      </c>
      <c r="AO2581" t="s">
        <v>44</v>
      </c>
      <c r="AP2581" t="s">
        <v>11326</v>
      </c>
      <c r="AQ2581" t="s">
        <v>5284</v>
      </c>
    </row>
    <row r="2582" spans="1:43" x14ac:dyDescent="0.2">
      <c r="A2582" t="s">
        <v>12422</v>
      </c>
      <c r="B2582" t="s">
        <v>11037</v>
      </c>
      <c r="C2582" t="s">
        <v>11195</v>
      </c>
      <c r="D2582" t="s">
        <v>6419</v>
      </c>
      <c r="E2582" t="s">
        <v>5072</v>
      </c>
      <c r="F2582" t="s">
        <v>6419</v>
      </c>
      <c r="G2582" s="1">
        <v>25038</v>
      </c>
      <c r="H2582" s="2">
        <v>1283197.5</v>
      </c>
      <c r="I2582" s="2">
        <v>1050594.48</v>
      </c>
      <c r="J2582" s="2">
        <v>0</v>
      </c>
      <c r="K2582" s="2">
        <v>0</v>
      </c>
      <c r="L2582" s="2">
        <v>1050594.48</v>
      </c>
      <c r="M2582" s="3">
        <v>4196</v>
      </c>
      <c r="N2582" s="4">
        <v>2.3902200000000002E-3</v>
      </c>
      <c r="O2582" s="5" t="s">
        <v>44</v>
      </c>
      <c r="P2582" s="5" t="s">
        <v>44</v>
      </c>
      <c r="Q2582" s="1"/>
      <c r="R2582" s="2"/>
      <c r="S2582" s="6"/>
      <c r="T2582" t="s">
        <v>10902</v>
      </c>
      <c r="U2582" t="s">
        <v>10902</v>
      </c>
      <c r="V2582" t="s">
        <v>10902</v>
      </c>
      <c r="W2582" t="s">
        <v>43</v>
      </c>
      <c r="X2582" t="s">
        <v>11327</v>
      </c>
      <c r="Y2582" t="s">
        <v>11198</v>
      </c>
      <c r="Z2582" t="s">
        <v>11195</v>
      </c>
      <c r="AA2582" t="s">
        <v>44</v>
      </c>
      <c r="AB2582" t="s">
        <v>44</v>
      </c>
      <c r="AC2582" s="4"/>
      <c r="AD2582" s="4"/>
      <c r="AE2582" s="2">
        <v>0</v>
      </c>
      <c r="AF2582" s="4">
        <v>0</v>
      </c>
      <c r="AG2582" s="2">
        <v>0.08</v>
      </c>
      <c r="AH2582" s="2">
        <v>1050594.48</v>
      </c>
      <c r="AI2582" s="2">
        <v>0</v>
      </c>
      <c r="AJ2582" s="5">
        <v>44673</v>
      </c>
      <c r="AK2582" t="s">
        <v>12423</v>
      </c>
      <c r="AL2582" s="2">
        <v>0</v>
      </c>
      <c r="AM2582" s="2">
        <v>0</v>
      </c>
      <c r="AN2582" s="2">
        <v>0</v>
      </c>
      <c r="AO2582" t="s">
        <v>44</v>
      </c>
      <c r="AP2582" t="s">
        <v>11328</v>
      </c>
      <c r="AQ2582" t="s">
        <v>5072</v>
      </c>
    </row>
    <row r="2583" spans="1:43" x14ac:dyDescent="0.2">
      <c r="A2583" t="s">
        <v>12422</v>
      </c>
      <c r="B2583" t="s">
        <v>11037</v>
      </c>
      <c r="C2583" t="s">
        <v>11195</v>
      </c>
      <c r="D2583" t="s">
        <v>11704</v>
      </c>
      <c r="E2583" t="s">
        <v>3205</v>
      </c>
      <c r="F2583" t="s">
        <v>11704</v>
      </c>
      <c r="G2583" s="1">
        <v>10181</v>
      </c>
      <c r="H2583" s="2">
        <v>1086124.5</v>
      </c>
      <c r="I2583" s="2">
        <v>1675792.6</v>
      </c>
      <c r="J2583" s="2">
        <v>0</v>
      </c>
      <c r="K2583" s="2">
        <v>0</v>
      </c>
      <c r="L2583" s="2">
        <v>1675792.6</v>
      </c>
      <c r="M2583" s="3">
        <v>16460</v>
      </c>
      <c r="N2583" s="4">
        <v>3.8126100000000001E-3</v>
      </c>
      <c r="O2583" s="5" t="s">
        <v>44</v>
      </c>
      <c r="P2583" s="5" t="s">
        <v>44</v>
      </c>
      <c r="Q2583" s="1"/>
      <c r="R2583" s="2"/>
      <c r="S2583" s="6"/>
      <c r="T2583" t="s">
        <v>10902</v>
      </c>
      <c r="U2583" t="s">
        <v>10902</v>
      </c>
      <c r="V2583" t="s">
        <v>10902</v>
      </c>
      <c r="W2583" t="s">
        <v>43</v>
      </c>
      <c r="X2583" t="s">
        <v>11334</v>
      </c>
      <c r="Y2583" t="s">
        <v>11335</v>
      </c>
      <c r="Z2583" t="s">
        <v>11195</v>
      </c>
      <c r="AA2583" t="s">
        <v>44</v>
      </c>
      <c r="AB2583" t="s">
        <v>44</v>
      </c>
      <c r="AC2583" s="4"/>
      <c r="AD2583" s="4"/>
      <c r="AE2583" s="2">
        <v>0</v>
      </c>
      <c r="AF2583" s="4">
        <v>0</v>
      </c>
      <c r="AG2583" s="2">
        <v>0.12</v>
      </c>
      <c r="AH2583" s="2">
        <v>1675792.6</v>
      </c>
      <c r="AI2583" s="2">
        <v>0</v>
      </c>
      <c r="AJ2583" s="5">
        <v>44673</v>
      </c>
      <c r="AK2583" t="s">
        <v>12423</v>
      </c>
      <c r="AL2583" s="2">
        <v>0</v>
      </c>
      <c r="AM2583" s="2">
        <v>0</v>
      </c>
      <c r="AN2583" s="2">
        <v>0</v>
      </c>
      <c r="AO2583" t="s">
        <v>44</v>
      </c>
      <c r="AP2583" t="s">
        <v>11705</v>
      </c>
      <c r="AQ2583" t="s">
        <v>3205</v>
      </c>
    </row>
    <row r="2584" spans="1:43" x14ac:dyDescent="0.2">
      <c r="A2584" t="s">
        <v>12422</v>
      </c>
      <c r="B2584" t="s">
        <v>11037</v>
      </c>
      <c r="C2584" t="s">
        <v>11195</v>
      </c>
      <c r="D2584" t="s">
        <v>12325</v>
      </c>
      <c r="E2584" t="s">
        <v>5477</v>
      </c>
      <c r="F2584" t="s">
        <v>12325</v>
      </c>
      <c r="G2584" s="1">
        <v>164696</v>
      </c>
      <c r="H2584" s="2">
        <v>1239778.72</v>
      </c>
      <c r="I2584" s="2">
        <v>1758953.28</v>
      </c>
      <c r="J2584" s="2">
        <v>0</v>
      </c>
      <c r="K2584" s="2">
        <v>0</v>
      </c>
      <c r="L2584" s="2">
        <v>1758953.28</v>
      </c>
      <c r="M2584" s="3">
        <v>1068</v>
      </c>
      <c r="N2584" s="4">
        <v>4.0018099999999997E-3</v>
      </c>
      <c r="O2584" s="5" t="s">
        <v>44</v>
      </c>
      <c r="P2584" s="5" t="s">
        <v>44</v>
      </c>
      <c r="Q2584" s="1"/>
      <c r="R2584" s="2"/>
      <c r="S2584" s="6"/>
      <c r="T2584" t="s">
        <v>10902</v>
      </c>
      <c r="U2584" t="s">
        <v>10902</v>
      </c>
      <c r="V2584" t="s">
        <v>10902</v>
      </c>
      <c r="W2584" t="s">
        <v>43</v>
      </c>
      <c r="X2584" t="s">
        <v>11197</v>
      </c>
      <c r="Y2584" t="s">
        <v>11198</v>
      </c>
      <c r="Z2584" t="s">
        <v>11195</v>
      </c>
      <c r="AA2584" t="s">
        <v>44</v>
      </c>
      <c r="AB2584" t="s">
        <v>44</v>
      </c>
      <c r="AC2584" s="4"/>
      <c r="AD2584" s="4"/>
      <c r="AE2584" s="2">
        <v>0</v>
      </c>
      <c r="AF2584" s="4">
        <v>0</v>
      </c>
      <c r="AG2584" s="2">
        <v>0.13</v>
      </c>
      <c r="AH2584" s="2">
        <v>1758953.28</v>
      </c>
      <c r="AI2584" s="2">
        <v>0</v>
      </c>
      <c r="AJ2584" s="5">
        <v>44673</v>
      </c>
      <c r="AK2584" t="s">
        <v>12423</v>
      </c>
      <c r="AL2584" s="2">
        <v>0</v>
      </c>
      <c r="AM2584" s="2">
        <v>0</v>
      </c>
      <c r="AN2584" s="2">
        <v>0</v>
      </c>
      <c r="AO2584" t="s">
        <v>44</v>
      </c>
      <c r="AP2584" t="s">
        <v>12326</v>
      </c>
      <c r="AQ2584" t="s">
        <v>5477</v>
      </c>
    </row>
    <row r="2585" spans="1:43" x14ac:dyDescent="0.2">
      <c r="A2585" t="s">
        <v>12422</v>
      </c>
      <c r="B2585" t="s">
        <v>11037</v>
      </c>
      <c r="C2585" t="s">
        <v>11195</v>
      </c>
      <c r="D2585" t="s">
        <v>11196</v>
      </c>
      <c r="E2585" t="s">
        <v>5755</v>
      </c>
      <c r="F2585" t="s">
        <v>11196</v>
      </c>
      <c r="G2585" s="1">
        <v>410028</v>
      </c>
      <c r="H2585" s="2">
        <v>7731186.9100000001</v>
      </c>
      <c r="I2585" s="2">
        <v>8848404.2400000002</v>
      </c>
      <c r="J2585" s="2">
        <v>0</v>
      </c>
      <c r="K2585" s="2">
        <v>0</v>
      </c>
      <c r="L2585" s="2">
        <v>8848404.2400000002</v>
      </c>
      <c r="M2585" s="3">
        <v>2158</v>
      </c>
      <c r="N2585" s="4">
        <v>2.0131070000000001E-2</v>
      </c>
      <c r="O2585" s="5" t="s">
        <v>44</v>
      </c>
      <c r="P2585" s="5" t="s">
        <v>44</v>
      </c>
      <c r="Q2585" s="1"/>
      <c r="R2585" s="2"/>
      <c r="S2585" s="6"/>
      <c r="T2585" t="s">
        <v>10902</v>
      </c>
      <c r="U2585" t="s">
        <v>10902</v>
      </c>
      <c r="V2585" t="s">
        <v>10902</v>
      </c>
      <c r="W2585" t="s">
        <v>43</v>
      </c>
      <c r="X2585" t="s">
        <v>11197</v>
      </c>
      <c r="Y2585" t="s">
        <v>11198</v>
      </c>
      <c r="Z2585" t="s">
        <v>11195</v>
      </c>
      <c r="AA2585" t="s">
        <v>44</v>
      </c>
      <c r="AB2585" t="s">
        <v>44</v>
      </c>
      <c r="AC2585" s="4"/>
      <c r="AD2585" s="4"/>
      <c r="AE2585" s="2">
        <v>0</v>
      </c>
      <c r="AF2585" s="4">
        <v>0</v>
      </c>
      <c r="AG2585" s="2">
        <v>0.66</v>
      </c>
      <c r="AH2585" s="2">
        <v>8848404.2400000002</v>
      </c>
      <c r="AI2585" s="2">
        <v>0.02</v>
      </c>
      <c r="AJ2585" s="5">
        <v>44673</v>
      </c>
      <c r="AK2585" t="s">
        <v>12423</v>
      </c>
      <c r="AL2585" s="2">
        <v>0</v>
      </c>
      <c r="AM2585" s="2">
        <v>0</v>
      </c>
      <c r="AN2585" s="2">
        <v>0</v>
      </c>
      <c r="AO2585" t="s">
        <v>44</v>
      </c>
      <c r="AP2585" t="s">
        <v>11199</v>
      </c>
      <c r="AQ2585" t="s">
        <v>5755</v>
      </c>
    </row>
    <row r="2586" spans="1:43" x14ac:dyDescent="0.2">
      <c r="A2586" t="s">
        <v>12422</v>
      </c>
      <c r="B2586" t="s">
        <v>11037</v>
      </c>
      <c r="C2586" t="s">
        <v>11195</v>
      </c>
      <c r="D2586" t="s">
        <v>12337</v>
      </c>
      <c r="E2586" t="s">
        <v>12338</v>
      </c>
      <c r="F2586" t="s">
        <v>12339</v>
      </c>
      <c r="G2586" s="1">
        <v>647410</v>
      </c>
      <c r="H2586" s="2">
        <v>2184998.3199999998</v>
      </c>
      <c r="I2586" s="2">
        <v>2149401.2000000002</v>
      </c>
      <c r="J2586" s="2">
        <v>0</v>
      </c>
      <c r="K2586" s="2">
        <v>0</v>
      </c>
      <c r="L2586" s="2">
        <v>2149401.2000000002</v>
      </c>
      <c r="M2586" s="3">
        <v>332</v>
      </c>
      <c r="N2586" s="4">
        <v>4.8901200000000004E-3</v>
      </c>
      <c r="O2586" s="5" t="s">
        <v>44</v>
      </c>
      <c r="P2586" s="5" t="s">
        <v>44</v>
      </c>
      <c r="Q2586" s="1"/>
      <c r="R2586" s="2"/>
      <c r="S2586" s="6"/>
      <c r="T2586" t="s">
        <v>10902</v>
      </c>
      <c r="U2586" t="s">
        <v>10902</v>
      </c>
      <c r="V2586" t="s">
        <v>10902</v>
      </c>
      <c r="W2586" t="s">
        <v>43</v>
      </c>
      <c r="X2586" t="s">
        <v>11197</v>
      </c>
      <c r="Y2586" t="s">
        <v>11198</v>
      </c>
      <c r="Z2586" t="s">
        <v>11195</v>
      </c>
      <c r="AA2586" t="s">
        <v>44</v>
      </c>
      <c r="AB2586" t="s">
        <v>44</v>
      </c>
      <c r="AC2586" s="4"/>
      <c r="AD2586" s="4"/>
      <c r="AE2586" s="2">
        <v>0</v>
      </c>
      <c r="AF2586" s="4">
        <v>0</v>
      </c>
      <c r="AG2586" s="2">
        <v>0.16</v>
      </c>
      <c r="AH2586" s="2">
        <v>2149401.2000000002</v>
      </c>
      <c r="AI2586" s="2">
        <v>0</v>
      </c>
      <c r="AJ2586" s="5">
        <v>44673</v>
      </c>
      <c r="AK2586" t="s">
        <v>12423</v>
      </c>
      <c r="AL2586" s="2">
        <v>0</v>
      </c>
      <c r="AM2586" s="2">
        <v>0</v>
      </c>
      <c r="AN2586" s="2">
        <v>0</v>
      </c>
      <c r="AO2586" t="s">
        <v>44</v>
      </c>
      <c r="AP2586" t="s">
        <v>12340</v>
      </c>
      <c r="AQ2586" t="s">
        <v>12338</v>
      </c>
    </row>
    <row r="2587" spans="1:43" x14ac:dyDescent="0.2">
      <c r="A2587" t="s">
        <v>12422</v>
      </c>
      <c r="B2587" t="s">
        <v>11037</v>
      </c>
      <c r="C2587" t="s">
        <v>11195</v>
      </c>
      <c r="D2587" t="s">
        <v>11706</v>
      </c>
      <c r="E2587" t="s">
        <v>4801</v>
      </c>
      <c r="F2587" t="s">
        <v>11706</v>
      </c>
      <c r="G2587" s="1">
        <v>85000</v>
      </c>
      <c r="H2587" s="2">
        <v>5679938.0300000003</v>
      </c>
      <c r="I2587" s="2">
        <v>5913450</v>
      </c>
      <c r="J2587" s="2">
        <v>0</v>
      </c>
      <c r="K2587" s="2">
        <v>0</v>
      </c>
      <c r="L2587" s="2">
        <v>5913450</v>
      </c>
      <c r="M2587" s="3">
        <v>6957</v>
      </c>
      <c r="N2587" s="4">
        <v>1.345374E-2</v>
      </c>
      <c r="O2587" s="5" t="s">
        <v>44</v>
      </c>
      <c r="P2587" s="5" t="s">
        <v>44</v>
      </c>
      <c r="Q2587" s="1"/>
      <c r="R2587" s="2"/>
      <c r="S2587" s="6"/>
      <c r="T2587" t="s">
        <v>10902</v>
      </c>
      <c r="U2587" t="s">
        <v>10902</v>
      </c>
      <c r="V2587" t="s">
        <v>10902</v>
      </c>
      <c r="W2587" t="s">
        <v>43</v>
      </c>
      <c r="X2587" t="s">
        <v>11034</v>
      </c>
      <c r="Y2587" t="s">
        <v>11034</v>
      </c>
      <c r="Z2587" t="s">
        <v>11195</v>
      </c>
      <c r="AA2587" t="s">
        <v>44</v>
      </c>
      <c r="AB2587" t="s">
        <v>44</v>
      </c>
      <c r="AC2587" s="4"/>
      <c r="AD2587" s="4"/>
      <c r="AE2587" s="2">
        <v>0</v>
      </c>
      <c r="AF2587" s="4">
        <v>0</v>
      </c>
      <c r="AG2587" s="2">
        <v>0.44</v>
      </c>
      <c r="AH2587" s="2">
        <v>5913450</v>
      </c>
      <c r="AI2587" s="2">
        <v>0.01</v>
      </c>
      <c r="AJ2587" s="5">
        <v>44673</v>
      </c>
      <c r="AK2587" t="s">
        <v>12423</v>
      </c>
      <c r="AL2587" s="2">
        <v>0</v>
      </c>
      <c r="AM2587" s="2">
        <v>0</v>
      </c>
      <c r="AN2587" s="2">
        <v>0</v>
      </c>
      <c r="AO2587" t="s">
        <v>44</v>
      </c>
      <c r="AP2587" t="s">
        <v>11707</v>
      </c>
      <c r="AQ2587" t="s">
        <v>4801</v>
      </c>
    </row>
    <row r="2588" spans="1:43" x14ac:dyDescent="0.2">
      <c r="A2588" t="s">
        <v>12422</v>
      </c>
      <c r="B2588" t="s">
        <v>11037</v>
      </c>
      <c r="C2588" t="s">
        <v>11195</v>
      </c>
      <c r="D2588" t="s">
        <v>11200</v>
      </c>
      <c r="E2588" t="s">
        <v>5277</v>
      </c>
      <c r="F2588" t="s">
        <v>11200</v>
      </c>
      <c r="G2588" s="1">
        <v>767676</v>
      </c>
      <c r="H2588" s="2">
        <v>10482017.15</v>
      </c>
      <c r="I2588" s="2">
        <v>9572919.7200000007</v>
      </c>
      <c r="J2588" s="2">
        <v>0</v>
      </c>
      <c r="K2588" s="2">
        <v>0</v>
      </c>
      <c r="L2588" s="2">
        <v>9572919.7200000007</v>
      </c>
      <c r="M2588" s="3">
        <v>1247</v>
      </c>
      <c r="N2588" s="4">
        <v>2.1779420000000001E-2</v>
      </c>
      <c r="O2588" s="5" t="s">
        <v>44</v>
      </c>
      <c r="P2588" s="5" t="s">
        <v>44</v>
      </c>
      <c r="Q2588" s="1"/>
      <c r="R2588" s="2"/>
      <c r="S2588" s="6"/>
      <c r="T2588" t="s">
        <v>10902</v>
      </c>
      <c r="U2588" t="s">
        <v>10902</v>
      </c>
      <c r="V2588" t="s">
        <v>10902</v>
      </c>
      <c r="W2588" t="s">
        <v>43</v>
      </c>
      <c r="X2588" t="s">
        <v>11197</v>
      </c>
      <c r="Y2588" t="s">
        <v>11198</v>
      </c>
      <c r="Z2588" t="s">
        <v>11195</v>
      </c>
      <c r="AA2588" t="s">
        <v>44</v>
      </c>
      <c r="AB2588" t="s">
        <v>44</v>
      </c>
      <c r="AC2588" s="4"/>
      <c r="AD2588" s="4"/>
      <c r="AE2588" s="2">
        <v>0</v>
      </c>
      <c r="AF2588" s="4">
        <v>0</v>
      </c>
      <c r="AG2588" s="2">
        <v>0.71</v>
      </c>
      <c r="AH2588" s="2">
        <v>9572919.7200000007</v>
      </c>
      <c r="AI2588" s="2">
        <v>0.02</v>
      </c>
      <c r="AJ2588" s="5">
        <v>44673</v>
      </c>
      <c r="AK2588" t="s">
        <v>12423</v>
      </c>
      <c r="AL2588" s="2">
        <v>0</v>
      </c>
      <c r="AM2588" s="2">
        <v>0</v>
      </c>
      <c r="AN2588" s="2">
        <v>0</v>
      </c>
      <c r="AO2588" t="s">
        <v>44</v>
      </c>
      <c r="AP2588" t="s">
        <v>11201</v>
      </c>
      <c r="AQ2588" t="s">
        <v>5277</v>
      </c>
    </row>
    <row r="2589" spans="1:43" x14ac:dyDescent="0.2">
      <c r="A2589" t="s">
        <v>12422</v>
      </c>
      <c r="B2589" t="s">
        <v>11037</v>
      </c>
      <c r="C2589" t="s">
        <v>11195</v>
      </c>
      <c r="D2589" t="s">
        <v>12327</v>
      </c>
      <c r="E2589" t="s">
        <v>3174</v>
      </c>
      <c r="F2589" t="s">
        <v>12327</v>
      </c>
      <c r="G2589" s="1">
        <v>538041</v>
      </c>
      <c r="H2589" s="2">
        <v>1581597.43</v>
      </c>
      <c r="I2589" s="2">
        <v>1856241.45</v>
      </c>
      <c r="J2589" s="2">
        <v>0</v>
      </c>
      <c r="K2589" s="2">
        <v>0</v>
      </c>
      <c r="L2589" s="2">
        <v>1856241.45</v>
      </c>
      <c r="M2589" s="3">
        <v>345</v>
      </c>
      <c r="N2589" s="4">
        <v>4.2231500000000002E-3</v>
      </c>
      <c r="O2589" s="5" t="s">
        <v>44</v>
      </c>
      <c r="P2589" s="5" t="s">
        <v>44</v>
      </c>
      <c r="Q2589" s="1"/>
      <c r="R2589" s="2"/>
      <c r="S2589" s="6"/>
      <c r="T2589" t="s">
        <v>10902</v>
      </c>
      <c r="U2589" t="s">
        <v>10902</v>
      </c>
      <c r="V2589" t="s">
        <v>10902</v>
      </c>
      <c r="W2589" t="s">
        <v>43</v>
      </c>
      <c r="X2589" t="s">
        <v>11197</v>
      </c>
      <c r="Y2589" t="s">
        <v>11198</v>
      </c>
      <c r="Z2589" t="s">
        <v>11195</v>
      </c>
      <c r="AA2589" t="s">
        <v>44</v>
      </c>
      <c r="AB2589" t="s">
        <v>44</v>
      </c>
      <c r="AC2589" s="4"/>
      <c r="AD2589" s="4"/>
      <c r="AE2589" s="2">
        <v>0</v>
      </c>
      <c r="AF2589" s="4">
        <v>0</v>
      </c>
      <c r="AG2589" s="2">
        <v>0.14000000000000001</v>
      </c>
      <c r="AH2589" s="2">
        <v>1856241.45</v>
      </c>
      <c r="AI2589" s="2">
        <v>0</v>
      </c>
      <c r="AJ2589" s="5">
        <v>44673</v>
      </c>
      <c r="AK2589" t="s">
        <v>12423</v>
      </c>
      <c r="AL2589" s="2">
        <v>0</v>
      </c>
      <c r="AM2589" s="2">
        <v>0</v>
      </c>
      <c r="AN2589" s="2">
        <v>0</v>
      </c>
      <c r="AO2589" t="s">
        <v>44</v>
      </c>
      <c r="AP2589" t="s">
        <v>12328</v>
      </c>
      <c r="AQ2589" t="s">
        <v>3174</v>
      </c>
    </row>
    <row r="2590" spans="1:43" x14ac:dyDescent="0.2">
      <c r="A2590" t="s">
        <v>12422</v>
      </c>
      <c r="B2590" t="s">
        <v>11037</v>
      </c>
      <c r="C2590" t="s">
        <v>11195</v>
      </c>
      <c r="D2590" t="s">
        <v>5988</v>
      </c>
      <c r="E2590" t="s">
        <v>3145</v>
      </c>
      <c r="F2590" t="s">
        <v>5988</v>
      </c>
      <c r="G2590" s="1">
        <v>1831282</v>
      </c>
      <c r="H2590" s="2">
        <v>25852223.68</v>
      </c>
      <c r="I2590" s="2">
        <v>25637948</v>
      </c>
      <c r="J2590" s="2">
        <v>0</v>
      </c>
      <c r="K2590" s="2">
        <v>0</v>
      </c>
      <c r="L2590" s="2">
        <v>25637948</v>
      </c>
      <c r="M2590" s="3">
        <v>1400</v>
      </c>
      <c r="N2590" s="4">
        <v>5.832909E-2</v>
      </c>
      <c r="O2590" s="5" t="s">
        <v>44</v>
      </c>
      <c r="P2590" s="5" t="s">
        <v>44</v>
      </c>
      <c r="Q2590" s="1"/>
      <c r="R2590" s="2"/>
      <c r="S2590" s="6"/>
      <c r="T2590" t="s">
        <v>10902</v>
      </c>
      <c r="U2590" t="s">
        <v>10902</v>
      </c>
      <c r="V2590" t="s">
        <v>10902</v>
      </c>
      <c r="W2590" t="s">
        <v>43</v>
      </c>
      <c r="X2590" t="s">
        <v>11197</v>
      </c>
      <c r="Y2590" t="s">
        <v>11198</v>
      </c>
      <c r="Z2590" t="s">
        <v>11195</v>
      </c>
      <c r="AA2590" t="s">
        <v>44</v>
      </c>
      <c r="AB2590" t="s">
        <v>44</v>
      </c>
      <c r="AC2590" s="4"/>
      <c r="AD2590" s="4"/>
      <c r="AE2590" s="2">
        <v>0</v>
      </c>
      <c r="AF2590" s="4">
        <v>0</v>
      </c>
      <c r="AG2590" s="2">
        <v>1.9</v>
      </c>
      <c r="AH2590" s="2">
        <v>25637948</v>
      </c>
      <c r="AI2590" s="2">
        <v>0.06</v>
      </c>
      <c r="AJ2590" s="5">
        <v>44673</v>
      </c>
      <c r="AK2590" t="s">
        <v>12423</v>
      </c>
      <c r="AL2590" s="2">
        <v>0</v>
      </c>
      <c r="AM2590" s="2">
        <v>0</v>
      </c>
      <c r="AN2590" s="2">
        <v>0</v>
      </c>
      <c r="AO2590" t="s">
        <v>44</v>
      </c>
      <c r="AP2590" t="s">
        <v>11202</v>
      </c>
      <c r="AQ2590" t="s">
        <v>3145</v>
      </c>
    </row>
    <row r="2591" spans="1:43" x14ac:dyDescent="0.2">
      <c r="A2591" t="s">
        <v>12422</v>
      </c>
      <c r="B2591" t="s">
        <v>11037</v>
      </c>
      <c r="C2591" t="s">
        <v>11195</v>
      </c>
      <c r="D2591" t="s">
        <v>12121</v>
      </c>
      <c r="E2591" t="s">
        <v>6338</v>
      </c>
      <c r="F2591" t="s">
        <v>12121</v>
      </c>
      <c r="G2591" s="1">
        <v>44684</v>
      </c>
      <c r="H2591" s="2">
        <v>199792.84</v>
      </c>
      <c r="I2591" s="2">
        <v>273912.92</v>
      </c>
      <c r="J2591" s="2">
        <v>0</v>
      </c>
      <c r="K2591" s="2">
        <v>1761.09</v>
      </c>
      <c r="L2591" s="2">
        <v>275321.78999999998</v>
      </c>
      <c r="M2591" s="3">
        <v>613</v>
      </c>
      <c r="N2591" s="4">
        <v>6.2639E-4</v>
      </c>
      <c r="O2591" s="5" t="s">
        <v>44</v>
      </c>
      <c r="P2591" s="5" t="s">
        <v>44</v>
      </c>
      <c r="Q2591" s="1"/>
      <c r="R2591" s="2"/>
      <c r="S2591" s="6"/>
      <c r="T2591" t="s">
        <v>10902</v>
      </c>
      <c r="U2591" t="s">
        <v>10902</v>
      </c>
      <c r="V2591" t="s">
        <v>10902</v>
      </c>
      <c r="W2591" t="s">
        <v>43</v>
      </c>
      <c r="X2591" t="s">
        <v>11197</v>
      </c>
      <c r="Y2591" t="s">
        <v>11198</v>
      </c>
      <c r="Z2591" t="s">
        <v>11195</v>
      </c>
      <c r="AA2591" t="s">
        <v>44</v>
      </c>
      <c r="AB2591" t="s">
        <v>44</v>
      </c>
      <c r="AC2591" s="4"/>
      <c r="AD2591" s="4"/>
      <c r="AE2591" s="2">
        <v>0</v>
      </c>
      <c r="AF2591" s="4">
        <v>0</v>
      </c>
      <c r="AG2591" s="2">
        <v>0.02</v>
      </c>
      <c r="AH2591" s="2">
        <v>275321.78999999998</v>
      </c>
      <c r="AI2591" s="2">
        <v>0</v>
      </c>
      <c r="AJ2591" s="5">
        <v>44673</v>
      </c>
      <c r="AK2591" t="s">
        <v>12423</v>
      </c>
      <c r="AL2591" s="2">
        <v>0</v>
      </c>
      <c r="AM2591" s="2">
        <v>0</v>
      </c>
      <c r="AN2591" s="2">
        <v>0</v>
      </c>
      <c r="AO2591" t="s">
        <v>44</v>
      </c>
      <c r="AP2591" t="s">
        <v>12122</v>
      </c>
      <c r="AQ2591" t="s">
        <v>6338</v>
      </c>
    </row>
    <row r="2592" spans="1:43" x14ac:dyDescent="0.2">
      <c r="A2592" t="s">
        <v>12422</v>
      </c>
      <c r="B2592" t="s">
        <v>11037</v>
      </c>
      <c r="C2592" t="s">
        <v>11195</v>
      </c>
      <c r="D2592" t="s">
        <v>6702</v>
      </c>
      <c r="E2592" t="s">
        <v>5248</v>
      </c>
      <c r="F2592" t="s">
        <v>6702</v>
      </c>
      <c r="G2592" s="1">
        <v>4523</v>
      </c>
      <c r="H2592" s="2">
        <v>293995</v>
      </c>
      <c r="I2592" s="2">
        <v>535477.97</v>
      </c>
      <c r="J2592" s="2">
        <v>0</v>
      </c>
      <c r="K2592" s="2">
        <v>0</v>
      </c>
      <c r="L2592" s="2">
        <v>535477.97</v>
      </c>
      <c r="M2592" s="3">
        <v>11839</v>
      </c>
      <c r="N2592" s="4">
        <v>1.21827E-3</v>
      </c>
      <c r="O2592" s="5" t="s">
        <v>44</v>
      </c>
      <c r="P2592" s="5" t="s">
        <v>44</v>
      </c>
      <c r="Q2592" s="1"/>
      <c r="R2592" s="2"/>
      <c r="S2592" s="6"/>
      <c r="T2592" t="s">
        <v>10902</v>
      </c>
      <c r="U2592" t="s">
        <v>10902</v>
      </c>
      <c r="V2592" t="s">
        <v>10902</v>
      </c>
      <c r="W2592" t="s">
        <v>43</v>
      </c>
      <c r="X2592" t="s">
        <v>11347</v>
      </c>
      <c r="Y2592" t="s">
        <v>11348</v>
      </c>
      <c r="Z2592" t="s">
        <v>11195</v>
      </c>
      <c r="AA2592" t="s">
        <v>44</v>
      </c>
      <c r="AB2592" t="s">
        <v>44</v>
      </c>
      <c r="AC2592" s="4"/>
      <c r="AD2592" s="4"/>
      <c r="AE2592" s="2">
        <v>0</v>
      </c>
      <c r="AF2592" s="4">
        <v>0</v>
      </c>
      <c r="AG2592" s="2">
        <v>0.04</v>
      </c>
      <c r="AH2592" s="2">
        <v>535477.97</v>
      </c>
      <c r="AI2592" s="2">
        <v>0</v>
      </c>
      <c r="AJ2592" s="5">
        <v>44673</v>
      </c>
      <c r="AK2592" t="s">
        <v>12423</v>
      </c>
      <c r="AL2592" s="2">
        <v>0</v>
      </c>
      <c r="AM2592" s="2">
        <v>0</v>
      </c>
      <c r="AN2592" s="2">
        <v>0</v>
      </c>
      <c r="AO2592" t="s">
        <v>44</v>
      </c>
      <c r="AP2592" t="s">
        <v>12487</v>
      </c>
      <c r="AQ2592" t="s">
        <v>5248</v>
      </c>
    </row>
    <row r="2593" spans="1:43" x14ac:dyDescent="0.2">
      <c r="A2593" t="s">
        <v>12422</v>
      </c>
      <c r="B2593" t="s">
        <v>11037</v>
      </c>
      <c r="C2593" t="s">
        <v>11195</v>
      </c>
      <c r="D2593" t="s">
        <v>6332</v>
      </c>
      <c r="E2593" t="s">
        <v>3152</v>
      </c>
      <c r="F2593" t="s">
        <v>6332</v>
      </c>
      <c r="G2593" s="1">
        <v>204431</v>
      </c>
      <c r="H2593" s="2">
        <v>6075182.9400000004</v>
      </c>
      <c r="I2593" s="2">
        <v>7375870.4800000004</v>
      </c>
      <c r="J2593" s="2">
        <v>0</v>
      </c>
      <c r="K2593" s="2">
        <v>0</v>
      </c>
      <c r="L2593" s="2">
        <v>7375870.4800000004</v>
      </c>
      <c r="M2593" s="3">
        <v>3608</v>
      </c>
      <c r="N2593" s="4">
        <v>1.6780900000000001E-2</v>
      </c>
      <c r="O2593" s="5" t="s">
        <v>44</v>
      </c>
      <c r="P2593" s="5" t="s">
        <v>44</v>
      </c>
      <c r="Q2593" s="1"/>
      <c r="R2593" s="2"/>
      <c r="S2593" s="6"/>
      <c r="T2593" t="s">
        <v>10902</v>
      </c>
      <c r="U2593" t="s">
        <v>10902</v>
      </c>
      <c r="V2593" t="s">
        <v>10902</v>
      </c>
      <c r="W2593" t="s">
        <v>43</v>
      </c>
      <c r="X2593" t="s">
        <v>11197</v>
      </c>
      <c r="Y2593" t="s">
        <v>11198</v>
      </c>
      <c r="Z2593" t="s">
        <v>11195</v>
      </c>
      <c r="AA2593" t="s">
        <v>44</v>
      </c>
      <c r="AB2593" t="s">
        <v>44</v>
      </c>
      <c r="AC2593" s="4"/>
      <c r="AD2593" s="4"/>
      <c r="AE2593" s="2">
        <v>0</v>
      </c>
      <c r="AF2593" s="4">
        <v>0</v>
      </c>
      <c r="AG2593" s="2">
        <v>0.55000000000000004</v>
      </c>
      <c r="AH2593" s="2">
        <v>7375870.4800000004</v>
      </c>
      <c r="AI2593" s="2">
        <v>0.02</v>
      </c>
      <c r="AJ2593" s="5">
        <v>44673</v>
      </c>
      <c r="AK2593" t="s">
        <v>12423</v>
      </c>
      <c r="AL2593" s="2">
        <v>0</v>
      </c>
      <c r="AM2593" s="2">
        <v>0</v>
      </c>
      <c r="AN2593" s="2">
        <v>0</v>
      </c>
      <c r="AO2593" t="s">
        <v>44</v>
      </c>
      <c r="AP2593" t="s">
        <v>11203</v>
      </c>
      <c r="AQ2593" t="s">
        <v>3152</v>
      </c>
    </row>
    <row r="2594" spans="1:43" x14ac:dyDescent="0.2">
      <c r="A2594" t="s">
        <v>12422</v>
      </c>
      <c r="B2594" t="s">
        <v>11037</v>
      </c>
      <c r="C2594" t="s">
        <v>11195</v>
      </c>
      <c r="D2594" t="s">
        <v>12341</v>
      </c>
      <c r="E2594" t="s">
        <v>12342</v>
      </c>
      <c r="F2594" t="s">
        <v>12343</v>
      </c>
      <c r="G2594" s="1">
        <v>2798</v>
      </c>
      <c r="H2594" s="2">
        <v>77955.350000000006</v>
      </c>
      <c r="I2594" s="2">
        <v>109177.96</v>
      </c>
      <c r="J2594" s="2">
        <v>0</v>
      </c>
      <c r="K2594" s="2">
        <v>0</v>
      </c>
      <c r="L2594" s="2">
        <v>109177.96</v>
      </c>
      <c r="M2594" s="3">
        <v>3902</v>
      </c>
      <c r="N2594" s="4">
        <v>2.4839000000000003E-4</v>
      </c>
      <c r="O2594" s="5" t="s">
        <v>44</v>
      </c>
      <c r="P2594" s="5" t="s">
        <v>44</v>
      </c>
      <c r="Q2594" s="1"/>
      <c r="R2594" s="2"/>
      <c r="S2594" s="6"/>
      <c r="T2594" t="s">
        <v>10902</v>
      </c>
      <c r="U2594" t="s">
        <v>10902</v>
      </c>
      <c r="V2594" t="s">
        <v>10902</v>
      </c>
      <c r="W2594" t="s">
        <v>43</v>
      </c>
      <c r="X2594" t="s">
        <v>11197</v>
      </c>
      <c r="Y2594" t="s">
        <v>11198</v>
      </c>
      <c r="Z2594" t="s">
        <v>11195</v>
      </c>
      <c r="AA2594" t="s">
        <v>44</v>
      </c>
      <c r="AB2594" t="s">
        <v>44</v>
      </c>
      <c r="AC2594" s="4"/>
      <c r="AD2594" s="4"/>
      <c r="AE2594" s="2">
        <v>0</v>
      </c>
      <c r="AF2594" s="4">
        <v>0</v>
      </c>
      <c r="AG2594" s="2">
        <v>0.01</v>
      </c>
      <c r="AH2594" s="2">
        <v>109177.96</v>
      </c>
      <c r="AI2594" s="2">
        <v>0</v>
      </c>
      <c r="AJ2594" s="5">
        <v>44673</v>
      </c>
      <c r="AK2594" t="s">
        <v>12423</v>
      </c>
      <c r="AL2594" s="2">
        <v>0</v>
      </c>
      <c r="AM2594" s="2">
        <v>0</v>
      </c>
      <c r="AN2594" s="2">
        <v>0</v>
      </c>
      <c r="AO2594" t="s">
        <v>44</v>
      </c>
      <c r="AP2594" t="s">
        <v>12344</v>
      </c>
      <c r="AQ2594" t="s">
        <v>12342</v>
      </c>
    </row>
    <row r="2595" spans="1:43" x14ac:dyDescent="0.2">
      <c r="A2595" t="s">
        <v>12422</v>
      </c>
      <c r="B2595" t="s">
        <v>11037</v>
      </c>
      <c r="C2595" t="s">
        <v>11195</v>
      </c>
      <c r="D2595" t="s">
        <v>12123</v>
      </c>
      <c r="E2595" t="s">
        <v>12488</v>
      </c>
      <c r="F2595" t="s">
        <v>12123</v>
      </c>
      <c r="G2595" s="1">
        <v>32699</v>
      </c>
      <c r="H2595" s="2">
        <v>326.99</v>
      </c>
      <c r="I2595" s="2">
        <v>326.99</v>
      </c>
      <c r="J2595" s="2">
        <v>0</v>
      </c>
      <c r="K2595" s="2">
        <v>0</v>
      </c>
      <c r="L2595" s="2">
        <v>326.99</v>
      </c>
      <c r="M2595" s="3">
        <v>0.01</v>
      </c>
      <c r="N2595" s="4">
        <v>7.4000000000000001E-7</v>
      </c>
      <c r="O2595" s="5" t="s">
        <v>44</v>
      </c>
      <c r="P2595" s="5" t="s">
        <v>44</v>
      </c>
      <c r="Q2595" s="1"/>
      <c r="R2595" s="2"/>
      <c r="S2595" s="6"/>
      <c r="T2595" t="s">
        <v>10902</v>
      </c>
      <c r="U2595" t="s">
        <v>10902</v>
      </c>
      <c r="V2595" t="s">
        <v>10902</v>
      </c>
      <c r="W2595" t="s">
        <v>43</v>
      </c>
      <c r="X2595" t="s">
        <v>11197</v>
      </c>
      <c r="Y2595" t="s">
        <v>11198</v>
      </c>
      <c r="Z2595" t="s">
        <v>11195</v>
      </c>
      <c r="AA2595" t="s">
        <v>44</v>
      </c>
      <c r="AB2595" t="s">
        <v>44</v>
      </c>
      <c r="AC2595" s="4"/>
      <c r="AD2595" s="4"/>
      <c r="AE2595" s="2">
        <v>0</v>
      </c>
      <c r="AF2595" s="4">
        <v>0</v>
      </c>
      <c r="AG2595" s="2">
        <v>0</v>
      </c>
      <c r="AH2595" s="2">
        <v>326.99</v>
      </c>
      <c r="AI2595" s="2">
        <v>0</v>
      </c>
      <c r="AJ2595" s="5">
        <v>44673</v>
      </c>
      <c r="AK2595" t="s">
        <v>12423</v>
      </c>
      <c r="AL2595" s="2">
        <v>0</v>
      </c>
      <c r="AM2595" s="2">
        <v>0</v>
      </c>
      <c r="AN2595" s="2">
        <v>0</v>
      </c>
      <c r="AO2595" t="s">
        <v>44</v>
      </c>
      <c r="AP2595" t="s">
        <v>44</v>
      </c>
      <c r="AQ2595" t="s">
        <v>12488</v>
      </c>
    </row>
    <row r="2596" spans="1:43" x14ac:dyDescent="0.2">
      <c r="A2596" t="s">
        <v>12422</v>
      </c>
      <c r="B2596" t="s">
        <v>11037</v>
      </c>
      <c r="C2596" t="s">
        <v>11195</v>
      </c>
      <c r="D2596" t="s">
        <v>11329</v>
      </c>
      <c r="E2596" t="s">
        <v>4814</v>
      </c>
      <c r="F2596" t="s">
        <v>11329</v>
      </c>
      <c r="G2596" s="1">
        <v>8803</v>
      </c>
      <c r="H2596" s="2">
        <v>367701.31</v>
      </c>
      <c r="I2596" s="2">
        <v>872553.36</v>
      </c>
      <c r="J2596" s="2">
        <v>0</v>
      </c>
      <c r="K2596" s="2">
        <v>0</v>
      </c>
      <c r="L2596" s="2">
        <v>872553.36</v>
      </c>
      <c r="M2596" s="3">
        <v>9912</v>
      </c>
      <c r="N2596" s="4">
        <v>1.9851500000000002E-3</v>
      </c>
      <c r="O2596" s="5" t="s">
        <v>44</v>
      </c>
      <c r="P2596" s="5" t="s">
        <v>44</v>
      </c>
      <c r="Q2596" s="1"/>
      <c r="R2596" s="2"/>
      <c r="S2596" s="6"/>
      <c r="T2596" t="s">
        <v>10902</v>
      </c>
      <c r="U2596" t="s">
        <v>10902</v>
      </c>
      <c r="V2596" t="s">
        <v>10902</v>
      </c>
      <c r="W2596" t="s">
        <v>43</v>
      </c>
      <c r="X2596" t="s">
        <v>11327</v>
      </c>
      <c r="Y2596" t="s">
        <v>11198</v>
      </c>
      <c r="Z2596" t="s">
        <v>11195</v>
      </c>
      <c r="AA2596" t="s">
        <v>44</v>
      </c>
      <c r="AB2596" t="s">
        <v>44</v>
      </c>
      <c r="AC2596" s="4"/>
      <c r="AD2596" s="4"/>
      <c r="AE2596" s="2">
        <v>0</v>
      </c>
      <c r="AF2596" s="4">
        <v>0</v>
      </c>
      <c r="AG2596" s="2">
        <v>0.06</v>
      </c>
      <c r="AH2596" s="2">
        <v>872553.36</v>
      </c>
      <c r="AI2596" s="2">
        <v>0</v>
      </c>
      <c r="AJ2596" s="5">
        <v>44673</v>
      </c>
      <c r="AK2596" t="s">
        <v>12423</v>
      </c>
      <c r="AL2596" s="2">
        <v>0</v>
      </c>
      <c r="AM2596" s="2">
        <v>0</v>
      </c>
      <c r="AN2596" s="2">
        <v>0</v>
      </c>
      <c r="AO2596" t="s">
        <v>44</v>
      </c>
      <c r="AP2596" t="s">
        <v>11330</v>
      </c>
      <c r="AQ2596" t="s">
        <v>4814</v>
      </c>
    </row>
    <row r="2597" spans="1:43" x14ac:dyDescent="0.2">
      <c r="A2597" t="s">
        <v>12422</v>
      </c>
      <c r="B2597" t="s">
        <v>11037</v>
      </c>
      <c r="C2597" t="s">
        <v>11195</v>
      </c>
      <c r="D2597" t="s">
        <v>11708</v>
      </c>
      <c r="E2597" t="s">
        <v>4821</v>
      </c>
      <c r="F2597" t="s">
        <v>11708</v>
      </c>
      <c r="G2597" s="1">
        <v>5972</v>
      </c>
      <c r="H2597" s="2">
        <v>260200.04</v>
      </c>
      <c r="I2597" s="2">
        <v>577850.72</v>
      </c>
      <c r="J2597" s="2">
        <v>0</v>
      </c>
      <c r="K2597" s="2">
        <v>0</v>
      </c>
      <c r="L2597" s="2">
        <v>577850.72</v>
      </c>
      <c r="M2597" s="3">
        <v>9676</v>
      </c>
      <c r="N2597" s="4">
        <v>1.31467E-3</v>
      </c>
      <c r="O2597" s="5" t="s">
        <v>44</v>
      </c>
      <c r="P2597" s="5" t="s">
        <v>44</v>
      </c>
      <c r="Q2597" s="1"/>
      <c r="R2597" s="2"/>
      <c r="S2597" s="6"/>
      <c r="T2597" t="s">
        <v>10902</v>
      </c>
      <c r="U2597" t="s">
        <v>10902</v>
      </c>
      <c r="V2597" t="s">
        <v>10902</v>
      </c>
      <c r="W2597" t="s">
        <v>43</v>
      </c>
      <c r="X2597" t="s">
        <v>11327</v>
      </c>
      <c r="Y2597" t="s">
        <v>11198</v>
      </c>
      <c r="Z2597" t="s">
        <v>11195</v>
      </c>
      <c r="AA2597" t="s">
        <v>44</v>
      </c>
      <c r="AB2597" t="s">
        <v>44</v>
      </c>
      <c r="AC2597" s="4"/>
      <c r="AD2597" s="4"/>
      <c r="AE2597" s="2">
        <v>0</v>
      </c>
      <c r="AF2597" s="4">
        <v>0</v>
      </c>
      <c r="AG2597" s="2">
        <v>0.04</v>
      </c>
      <c r="AH2597" s="2">
        <v>577850.72</v>
      </c>
      <c r="AI2597" s="2">
        <v>0</v>
      </c>
      <c r="AJ2597" s="5">
        <v>44673</v>
      </c>
      <c r="AK2597" t="s">
        <v>12423</v>
      </c>
      <c r="AL2597" s="2">
        <v>0</v>
      </c>
      <c r="AM2597" s="2">
        <v>0</v>
      </c>
      <c r="AN2597" s="2">
        <v>0</v>
      </c>
      <c r="AO2597" t="s">
        <v>44</v>
      </c>
      <c r="AP2597" t="s">
        <v>11709</v>
      </c>
      <c r="AQ2597" t="s">
        <v>4821</v>
      </c>
    </row>
    <row r="2598" spans="1:43" x14ac:dyDescent="0.2">
      <c r="A2598" t="s">
        <v>12422</v>
      </c>
      <c r="B2598" t="s">
        <v>11037</v>
      </c>
      <c r="C2598" t="s">
        <v>11195</v>
      </c>
      <c r="D2598" t="s">
        <v>11710</v>
      </c>
      <c r="E2598" t="s">
        <v>5671</v>
      </c>
      <c r="F2598" t="s">
        <v>11710</v>
      </c>
      <c r="G2598" s="1">
        <v>346326</v>
      </c>
      <c r="H2598" s="2">
        <v>3280917.33</v>
      </c>
      <c r="I2598" s="2">
        <v>4259809.8</v>
      </c>
      <c r="J2598" s="2">
        <v>0</v>
      </c>
      <c r="K2598" s="2">
        <v>0</v>
      </c>
      <c r="L2598" s="2">
        <v>4259809.8</v>
      </c>
      <c r="M2598" s="3">
        <v>1230</v>
      </c>
      <c r="N2598" s="4">
        <v>9.6915300000000003E-3</v>
      </c>
      <c r="O2598" s="5" t="s">
        <v>44</v>
      </c>
      <c r="P2598" s="5" t="s">
        <v>44</v>
      </c>
      <c r="Q2598" s="1"/>
      <c r="R2598" s="2"/>
      <c r="S2598" s="6"/>
      <c r="T2598" t="s">
        <v>10902</v>
      </c>
      <c r="U2598" t="s">
        <v>10902</v>
      </c>
      <c r="V2598" t="s">
        <v>10902</v>
      </c>
      <c r="W2598" t="s">
        <v>43</v>
      </c>
      <c r="X2598" t="s">
        <v>11197</v>
      </c>
      <c r="Y2598" t="s">
        <v>11198</v>
      </c>
      <c r="Z2598" t="s">
        <v>11195</v>
      </c>
      <c r="AA2598" t="s">
        <v>44</v>
      </c>
      <c r="AB2598" t="s">
        <v>44</v>
      </c>
      <c r="AC2598" s="4"/>
      <c r="AD2598" s="4"/>
      <c r="AE2598" s="2">
        <v>0</v>
      </c>
      <c r="AF2598" s="4">
        <v>0</v>
      </c>
      <c r="AG2598" s="2">
        <v>0.32</v>
      </c>
      <c r="AH2598" s="2">
        <v>4259809.8</v>
      </c>
      <c r="AI2598" s="2">
        <v>0.01</v>
      </c>
      <c r="AJ2598" s="5">
        <v>44673</v>
      </c>
      <c r="AK2598" t="s">
        <v>12423</v>
      </c>
      <c r="AL2598" s="2">
        <v>0</v>
      </c>
      <c r="AM2598" s="2">
        <v>0</v>
      </c>
      <c r="AN2598" s="2">
        <v>0</v>
      </c>
      <c r="AO2598" t="s">
        <v>44</v>
      </c>
      <c r="AP2598" t="s">
        <v>11711</v>
      </c>
      <c r="AQ2598" t="s">
        <v>5671</v>
      </c>
    </row>
    <row r="2599" spans="1:43" x14ac:dyDescent="0.2">
      <c r="A2599" t="s">
        <v>12422</v>
      </c>
      <c r="B2599" t="s">
        <v>11037</v>
      </c>
      <c r="C2599" t="s">
        <v>11195</v>
      </c>
      <c r="D2599" t="s">
        <v>11759</v>
      </c>
      <c r="E2599" t="s">
        <v>5719</v>
      </c>
      <c r="F2599" t="s">
        <v>11759</v>
      </c>
      <c r="G2599" s="1">
        <v>180722</v>
      </c>
      <c r="H2599" s="2">
        <v>2575288.5</v>
      </c>
      <c r="I2599" s="2">
        <v>3903595.2</v>
      </c>
      <c r="J2599" s="2">
        <v>0</v>
      </c>
      <c r="K2599" s="2">
        <v>0</v>
      </c>
      <c r="L2599" s="2">
        <v>3903595.2</v>
      </c>
      <c r="M2599" s="3">
        <v>2160</v>
      </c>
      <c r="N2599" s="4">
        <v>8.8810999999999994E-3</v>
      </c>
      <c r="O2599" s="5" t="s">
        <v>44</v>
      </c>
      <c r="P2599" s="5" t="s">
        <v>44</v>
      </c>
      <c r="Q2599" s="1"/>
      <c r="R2599" s="2"/>
      <c r="S2599" s="6"/>
      <c r="T2599" t="s">
        <v>10902</v>
      </c>
      <c r="U2599" t="s">
        <v>10902</v>
      </c>
      <c r="V2599" t="s">
        <v>10902</v>
      </c>
      <c r="W2599" t="s">
        <v>43</v>
      </c>
      <c r="X2599" t="s">
        <v>11197</v>
      </c>
      <c r="Y2599" t="s">
        <v>11198</v>
      </c>
      <c r="Z2599" t="s">
        <v>11195</v>
      </c>
      <c r="AA2599" t="s">
        <v>44</v>
      </c>
      <c r="AB2599" t="s">
        <v>44</v>
      </c>
      <c r="AC2599" s="4"/>
      <c r="AD2599" s="4"/>
      <c r="AE2599" s="2">
        <v>0</v>
      </c>
      <c r="AF2599" s="4">
        <v>0</v>
      </c>
      <c r="AG2599" s="2">
        <v>0.28999999999999998</v>
      </c>
      <c r="AH2599" s="2">
        <v>3903595.2</v>
      </c>
      <c r="AI2599" s="2">
        <v>0.01</v>
      </c>
      <c r="AJ2599" s="5">
        <v>44673</v>
      </c>
      <c r="AK2599" t="s">
        <v>12423</v>
      </c>
      <c r="AL2599" s="2">
        <v>0</v>
      </c>
      <c r="AM2599" s="2">
        <v>0</v>
      </c>
      <c r="AN2599" s="2">
        <v>0</v>
      </c>
      <c r="AO2599" t="s">
        <v>44</v>
      </c>
      <c r="AP2599" t="s">
        <v>11760</v>
      </c>
      <c r="AQ2599" t="s">
        <v>5719</v>
      </c>
    </row>
    <row r="2600" spans="1:43" x14ac:dyDescent="0.2">
      <c r="A2600" t="s">
        <v>12422</v>
      </c>
      <c r="B2600" t="s">
        <v>11037</v>
      </c>
      <c r="C2600" t="s">
        <v>11195</v>
      </c>
      <c r="D2600" t="s">
        <v>6450</v>
      </c>
      <c r="E2600" t="s">
        <v>5121</v>
      </c>
      <c r="F2600" t="s">
        <v>6450</v>
      </c>
      <c r="G2600" s="1">
        <v>8178</v>
      </c>
      <c r="H2600" s="2">
        <v>998043.12</v>
      </c>
      <c r="I2600" s="2">
        <v>906858.42</v>
      </c>
      <c r="J2600" s="2">
        <v>0</v>
      </c>
      <c r="K2600" s="2">
        <v>0</v>
      </c>
      <c r="L2600" s="2">
        <v>906858.42</v>
      </c>
      <c r="M2600" s="3">
        <v>11089</v>
      </c>
      <c r="N2600" s="4">
        <v>2.0631999999999998E-3</v>
      </c>
      <c r="O2600" s="5" t="s">
        <v>44</v>
      </c>
      <c r="P2600" s="5" t="s">
        <v>44</v>
      </c>
      <c r="Q2600" s="1"/>
      <c r="R2600" s="2"/>
      <c r="S2600" s="6"/>
      <c r="T2600" t="s">
        <v>10902</v>
      </c>
      <c r="U2600" t="s">
        <v>10902</v>
      </c>
      <c r="V2600" t="s">
        <v>10902</v>
      </c>
      <c r="W2600" t="s">
        <v>43</v>
      </c>
      <c r="X2600" t="s">
        <v>11327</v>
      </c>
      <c r="Y2600" t="s">
        <v>11198</v>
      </c>
      <c r="Z2600" t="s">
        <v>11195</v>
      </c>
      <c r="AA2600" t="s">
        <v>44</v>
      </c>
      <c r="AB2600" t="s">
        <v>44</v>
      </c>
      <c r="AC2600" s="4"/>
      <c r="AD2600" s="4"/>
      <c r="AE2600" s="2">
        <v>0</v>
      </c>
      <c r="AF2600" s="4">
        <v>0</v>
      </c>
      <c r="AG2600" s="2">
        <v>7.0000000000000007E-2</v>
      </c>
      <c r="AH2600" s="2">
        <v>906858.42</v>
      </c>
      <c r="AI2600" s="2">
        <v>0</v>
      </c>
      <c r="AJ2600" s="5">
        <v>44673</v>
      </c>
      <c r="AK2600" t="s">
        <v>12423</v>
      </c>
      <c r="AL2600" s="2">
        <v>0</v>
      </c>
      <c r="AM2600" s="2">
        <v>0</v>
      </c>
      <c r="AN2600" s="2">
        <v>0</v>
      </c>
      <c r="AO2600" t="s">
        <v>44</v>
      </c>
      <c r="AP2600" t="s">
        <v>11331</v>
      </c>
      <c r="AQ2600" t="s">
        <v>5121</v>
      </c>
    </row>
    <row r="2601" spans="1:43" x14ac:dyDescent="0.2">
      <c r="A2601" t="s">
        <v>12422</v>
      </c>
      <c r="B2601" t="s">
        <v>11037</v>
      </c>
      <c r="C2601" t="s">
        <v>11195</v>
      </c>
      <c r="D2601" t="s">
        <v>6923</v>
      </c>
      <c r="E2601" t="s">
        <v>5809</v>
      </c>
      <c r="F2601" t="s">
        <v>6923</v>
      </c>
      <c r="G2601" s="1">
        <v>220324</v>
      </c>
      <c r="H2601" s="2">
        <v>933628.86</v>
      </c>
      <c r="I2601" s="2">
        <v>883499.24</v>
      </c>
      <c r="J2601" s="2">
        <v>0</v>
      </c>
      <c r="K2601" s="2">
        <v>0</v>
      </c>
      <c r="L2601" s="2">
        <v>883499.24</v>
      </c>
      <c r="M2601" s="3">
        <v>401</v>
      </c>
      <c r="N2601" s="4">
        <v>2.0100600000000001E-3</v>
      </c>
      <c r="O2601" s="5" t="s">
        <v>44</v>
      </c>
      <c r="P2601" s="5" t="s">
        <v>44</v>
      </c>
      <c r="Q2601" s="1"/>
      <c r="R2601" s="2"/>
      <c r="S2601" s="6"/>
      <c r="T2601" t="s">
        <v>10902</v>
      </c>
      <c r="U2601" t="s">
        <v>10902</v>
      </c>
      <c r="V2601" t="s">
        <v>10902</v>
      </c>
      <c r="W2601" t="s">
        <v>43</v>
      </c>
      <c r="X2601" t="s">
        <v>11197</v>
      </c>
      <c r="Y2601" t="s">
        <v>11198</v>
      </c>
      <c r="Z2601" t="s">
        <v>11195</v>
      </c>
      <c r="AA2601" t="s">
        <v>44</v>
      </c>
      <c r="AB2601" t="s">
        <v>44</v>
      </c>
      <c r="AC2601" s="4"/>
      <c r="AD2601" s="4"/>
      <c r="AE2601" s="2">
        <v>0</v>
      </c>
      <c r="AF2601" s="4">
        <v>0</v>
      </c>
      <c r="AG2601" s="2">
        <v>7.0000000000000007E-2</v>
      </c>
      <c r="AH2601" s="2">
        <v>883499.24</v>
      </c>
      <c r="AI2601" s="2">
        <v>0</v>
      </c>
      <c r="AJ2601" s="5">
        <v>44673</v>
      </c>
      <c r="AK2601" t="s">
        <v>12423</v>
      </c>
      <c r="AL2601" s="2">
        <v>0</v>
      </c>
      <c r="AM2601" s="2">
        <v>0</v>
      </c>
      <c r="AN2601" s="2">
        <v>0</v>
      </c>
      <c r="AO2601" t="s">
        <v>44</v>
      </c>
      <c r="AP2601" t="s">
        <v>12329</v>
      </c>
      <c r="AQ2601" t="s">
        <v>5809</v>
      </c>
    </row>
    <row r="2602" spans="1:43" x14ac:dyDescent="0.2">
      <c r="A2602" t="s">
        <v>12422</v>
      </c>
      <c r="B2602" t="s">
        <v>11037</v>
      </c>
      <c r="C2602" t="s">
        <v>11195</v>
      </c>
      <c r="D2602" t="s">
        <v>12333</v>
      </c>
      <c r="E2602" t="s">
        <v>6510</v>
      </c>
      <c r="F2602" t="s">
        <v>12333</v>
      </c>
      <c r="G2602" s="1">
        <v>444223</v>
      </c>
      <c r="H2602" s="2">
        <v>3295990.82</v>
      </c>
      <c r="I2602" s="2">
        <v>3886951.25</v>
      </c>
      <c r="J2602" s="2">
        <v>0</v>
      </c>
      <c r="K2602" s="2">
        <v>0</v>
      </c>
      <c r="L2602" s="2">
        <v>3886951.25</v>
      </c>
      <c r="M2602" s="3">
        <v>875</v>
      </c>
      <c r="N2602" s="4">
        <v>8.8432300000000005E-3</v>
      </c>
      <c r="O2602" s="5" t="s">
        <v>44</v>
      </c>
      <c r="P2602" s="5" t="s">
        <v>44</v>
      </c>
      <c r="Q2602" s="1"/>
      <c r="R2602" s="2"/>
      <c r="S2602" s="6"/>
      <c r="T2602" t="s">
        <v>10902</v>
      </c>
      <c r="U2602" t="s">
        <v>10902</v>
      </c>
      <c r="V2602" t="s">
        <v>10902</v>
      </c>
      <c r="W2602" t="s">
        <v>43</v>
      </c>
      <c r="X2602" t="s">
        <v>11197</v>
      </c>
      <c r="Y2602" t="s">
        <v>11198</v>
      </c>
      <c r="Z2602" t="s">
        <v>11195</v>
      </c>
      <c r="AA2602" t="s">
        <v>44</v>
      </c>
      <c r="AB2602" t="s">
        <v>44</v>
      </c>
      <c r="AC2602" s="4"/>
      <c r="AD2602" s="4"/>
      <c r="AE2602" s="2">
        <v>0</v>
      </c>
      <c r="AF2602" s="4">
        <v>0</v>
      </c>
      <c r="AG2602" s="2">
        <v>0.28999999999999998</v>
      </c>
      <c r="AH2602" s="2">
        <v>3886951.25</v>
      </c>
      <c r="AI2602" s="2">
        <v>0.01</v>
      </c>
      <c r="AJ2602" s="5">
        <v>44673</v>
      </c>
      <c r="AK2602" t="s">
        <v>12423</v>
      </c>
      <c r="AL2602" s="2">
        <v>0</v>
      </c>
      <c r="AM2602" s="2">
        <v>0</v>
      </c>
      <c r="AN2602" s="2">
        <v>0</v>
      </c>
      <c r="AO2602" t="s">
        <v>44</v>
      </c>
      <c r="AP2602" t="s">
        <v>12334</v>
      </c>
      <c r="AQ2602" t="s">
        <v>6510</v>
      </c>
    </row>
    <row r="2603" spans="1:43" x14ac:dyDescent="0.2">
      <c r="A2603" t="s">
        <v>12422</v>
      </c>
      <c r="B2603" t="s">
        <v>11037</v>
      </c>
      <c r="C2603" t="s">
        <v>11195</v>
      </c>
      <c r="D2603" t="s">
        <v>12489</v>
      </c>
      <c r="E2603" t="s">
        <v>5816</v>
      </c>
      <c r="F2603" t="s">
        <v>12489</v>
      </c>
      <c r="G2603" s="1">
        <v>84708</v>
      </c>
      <c r="H2603" s="2">
        <v>315113.76</v>
      </c>
      <c r="I2603" s="2">
        <v>509095.08</v>
      </c>
      <c r="J2603" s="2">
        <v>0</v>
      </c>
      <c r="K2603" s="2">
        <v>0</v>
      </c>
      <c r="L2603" s="2">
        <v>509095.08</v>
      </c>
      <c r="M2603" s="3">
        <v>601</v>
      </c>
      <c r="N2603" s="4">
        <v>1.15825E-3</v>
      </c>
      <c r="O2603" s="5" t="s">
        <v>44</v>
      </c>
      <c r="P2603" s="5" t="s">
        <v>44</v>
      </c>
      <c r="Q2603" s="1"/>
      <c r="R2603" s="2"/>
      <c r="S2603" s="6"/>
      <c r="T2603" t="s">
        <v>10902</v>
      </c>
      <c r="U2603" t="s">
        <v>10902</v>
      </c>
      <c r="V2603" t="s">
        <v>10902</v>
      </c>
      <c r="W2603" t="s">
        <v>43</v>
      </c>
      <c r="X2603" t="s">
        <v>11327</v>
      </c>
      <c r="Y2603" t="s">
        <v>11198</v>
      </c>
      <c r="Z2603" t="s">
        <v>11195</v>
      </c>
      <c r="AA2603" t="s">
        <v>44</v>
      </c>
      <c r="AB2603" t="s">
        <v>44</v>
      </c>
      <c r="AC2603" s="4"/>
      <c r="AD2603" s="4"/>
      <c r="AE2603" s="2">
        <v>0</v>
      </c>
      <c r="AF2603" s="4">
        <v>0</v>
      </c>
      <c r="AG2603" s="2">
        <v>0.04</v>
      </c>
      <c r="AH2603" s="2">
        <v>509095.08</v>
      </c>
      <c r="AI2603" s="2">
        <v>0</v>
      </c>
      <c r="AJ2603" s="5">
        <v>44673</v>
      </c>
      <c r="AK2603" t="s">
        <v>12423</v>
      </c>
      <c r="AL2603" s="2">
        <v>0</v>
      </c>
      <c r="AM2603" s="2">
        <v>0</v>
      </c>
      <c r="AN2603" s="2">
        <v>0</v>
      </c>
      <c r="AO2603" t="s">
        <v>44</v>
      </c>
      <c r="AP2603" t="s">
        <v>12490</v>
      </c>
      <c r="AQ2603" t="s">
        <v>5816</v>
      </c>
    </row>
    <row r="2604" spans="1:43" x14ac:dyDescent="0.2">
      <c r="A2604" t="s">
        <v>12422</v>
      </c>
      <c r="B2604" t="s">
        <v>11037</v>
      </c>
      <c r="C2604" t="s">
        <v>11195</v>
      </c>
      <c r="D2604" t="s">
        <v>11204</v>
      </c>
      <c r="E2604" t="s">
        <v>5699</v>
      </c>
      <c r="F2604" t="s">
        <v>11204</v>
      </c>
      <c r="G2604" s="1">
        <v>266975</v>
      </c>
      <c r="H2604" s="2">
        <v>3772459.96</v>
      </c>
      <c r="I2604" s="2">
        <v>5841413</v>
      </c>
      <c r="J2604" s="2">
        <v>0</v>
      </c>
      <c r="K2604" s="2">
        <v>0</v>
      </c>
      <c r="L2604" s="2">
        <v>5841413</v>
      </c>
      <c r="M2604" s="3">
        <v>2188</v>
      </c>
      <c r="N2604" s="4">
        <v>1.3289840000000001E-2</v>
      </c>
      <c r="O2604" s="5" t="s">
        <v>44</v>
      </c>
      <c r="P2604" s="5" t="s">
        <v>44</v>
      </c>
      <c r="Q2604" s="1"/>
      <c r="R2604" s="2"/>
      <c r="S2604" s="6"/>
      <c r="T2604" t="s">
        <v>10902</v>
      </c>
      <c r="U2604" t="s">
        <v>10902</v>
      </c>
      <c r="V2604" t="s">
        <v>10902</v>
      </c>
      <c r="W2604" t="s">
        <v>43</v>
      </c>
      <c r="X2604" t="s">
        <v>11197</v>
      </c>
      <c r="Y2604" t="s">
        <v>11198</v>
      </c>
      <c r="Z2604" t="s">
        <v>11195</v>
      </c>
      <c r="AA2604" t="s">
        <v>44</v>
      </c>
      <c r="AB2604" t="s">
        <v>44</v>
      </c>
      <c r="AC2604" s="4"/>
      <c r="AD2604" s="4"/>
      <c r="AE2604" s="2">
        <v>0</v>
      </c>
      <c r="AF2604" s="4">
        <v>0</v>
      </c>
      <c r="AG2604" s="2">
        <v>0.43</v>
      </c>
      <c r="AH2604" s="2">
        <v>5841413</v>
      </c>
      <c r="AI2604" s="2">
        <v>0.01</v>
      </c>
      <c r="AJ2604" s="5">
        <v>44673</v>
      </c>
      <c r="AK2604" t="s">
        <v>12423</v>
      </c>
      <c r="AL2604" s="2">
        <v>0</v>
      </c>
      <c r="AM2604" s="2">
        <v>0</v>
      </c>
      <c r="AN2604" s="2">
        <v>0</v>
      </c>
      <c r="AO2604" t="s">
        <v>44</v>
      </c>
      <c r="AP2604" t="s">
        <v>11205</v>
      </c>
      <c r="AQ2604" t="s">
        <v>5699</v>
      </c>
    </row>
    <row r="2605" spans="1:43" x14ac:dyDescent="0.2">
      <c r="A2605" t="s">
        <v>12422</v>
      </c>
      <c r="B2605" t="s">
        <v>11037</v>
      </c>
      <c r="C2605" t="s">
        <v>11195</v>
      </c>
      <c r="D2605" t="s">
        <v>11332</v>
      </c>
      <c r="E2605" t="s">
        <v>11333</v>
      </c>
      <c r="F2605" t="s">
        <v>11332</v>
      </c>
      <c r="G2605" s="1">
        <v>119969</v>
      </c>
      <c r="H2605" s="2">
        <v>1783003.56</v>
      </c>
      <c r="I2605" s="2">
        <v>2026276.41</v>
      </c>
      <c r="J2605" s="2">
        <v>0</v>
      </c>
      <c r="K2605" s="2">
        <v>0</v>
      </c>
      <c r="L2605" s="2">
        <v>2026276.41</v>
      </c>
      <c r="M2605" s="3">
        <v>1689</v>
      </c>
      <c r="N2605" s="4">
        <v>4.6100000000000004E-3</v>
      </c>
      <c r="O2605" s="5" t="s">
        <v>44</v>
      </c>
      <c r="P2605" s="5" t="s">
        <v>44</v>
      </c>
      <c r="Q2605" s="1"/>
      <c r="R2605" s="2"/>
      <c r="S2605" s="6"/>
      <c r="T2605" t="s">
        <v>10902</v>
      </c>
      <c r="U2605" t="s">
        <v>10902</v>
      </c>
      <c r="V2605" t="s">
        <v>10902</v>
      </c>
      <c r="W2605" t="s">
        <v>43</v>
      </c>
      <c r="X2605" t="s">
        <v>11334</v>
      </c>
      <c r="Y2605" t="s">
        <v>11335</v>
      </c>
      <c r="Z2605" t="s">
        <v>11195</v>
      </c>
      <c r="AA2605" t="s">
        <v>44</v>
      </c>
      <c r="AB2605" t="s">
        <v>44</v>
      </c>
      <c r="AC2605" s="4"/>
      <c r="AD2605" s="4"/>
      <c r="AE2605" s="2">
        <v>0</v>
      </c>
      <c r="AF2605" s="4">
        <v>0</v>
      </c>
      <c r="AG2605" s="2">
        <v>0.15</v>
      </c>
      <c r="AH2605" s="2">
        <v>2026276.41</v>
      </c>
      <c r="AI2605" s="2">
        <v>0</v>
      </c>
      <c r="AJ2605" s="5">
        <v>44673</v>
      </c>
      <c r="AK2605" t="s">
        <v>12423</v>
      </c>
      <c r="AL2605" s="2">
        <v>0</v>
      </c>
      <c r="AM2605" s="2">
        <v>0</v>
      </c>
      <c r="AN2605" s="2">
        <v>0</v>
      </c>
      <c r="AO2605" t="s">
        <v>44</v>
      </c>
      <c r="AP2605" t="s">
        <v>11336</v>
      </c>
      <c r="AQ2605" t="s">
        <v>11333</v>
      </c>
    </row>
    <row r="2606" spans="1:43" x14ac:dyDescent="0.2">
      <c r="A2606" t="s">
        <v>12422</v>
      </c>
      <c r="B2606" t="s">
        <v>11037</v>
      </c>
      <c r="C2606" t="s">
        <v>11195</v>
      </c>
      <c r="D2606" t="s">
        <v>11206</v>
      </c>
      <c r="E2606" t="s">
        <v>5005</v>
      </c>
      <c r="F2606" t="s">
        <v>11206</v>
      </c>
      <c r="G2606" s="1">
        <v>244879</v>
      </c>
      <c r="H2606" s="2">
        <v>22976568.129999999</v>
      </c>
      <c r="I2606" s="2">
        <v>23581847.699999999</v>
      </c>
      <c r="J2606" s="2">
        <v>0</v>
      </c>
      <c r="K2606" s="2">
        <v>0</v>
      </c>
      <c r="L2606" s="2">
        <v>23581847.699999999</v>
      </c>
      <c r="M2606" s="3">
        <v>9630</v>
      </c>
      <c r="N2606" s="4">
        <v>5.3651240000000003E-2</v>
      </c>
      <c r="O2606" s="5" t="s">
        <v>44</v>
      </c>
      <c r="P2606" s="5" t="s">
        <v>44</v>
      </c>
      <c r="Q2606" s="1"/>
      <c r="R2606" s="2"/>
      <c r="S2606" s="6"/>
      <c r="T2606" t="s">
        <v>10902</v>
      </c>
      <c r="U2606" t="s">
        <v>10902</v>
      </c>
      <c r="V2606" t="s">
        <v>10902</v>
      </c>
      <c r="W2606" t="s">
        <v>43</v>
      </c>
      <c r="X2606" t="s">
        <v>11197</v>
      </c>
      <c r="Y2606" t="s">
        <v>11198</v>
      </c>
      <c r="Z2606" t="s">
        <v>11195</v>
      </c>
      <c r="AA2606" t="s">
        <v>44</v>
      </c>
      <c r="AB2606" t="s">
        <v>44</v>
      </c>
      <c r="AC2606" s="4"/>
      <c r="AD2606" s="4"/>
      <c r="AE2606" s="2">
        <v>0</v>
      </c>
      <c r="AF2606" s="4">
        <v>0</v>
      </c>
      <c r="AG2606" s="2">
        <v>1.75</v>
      </c>
      <c r="AH2606" s="2">
        <v>23581847.699999999</v>
      </c>
      <c r="AI2606" s="2">
        <v>0.05</v>
      </c>
      <c r="AJ2606" s="5">
        <v>44673</v>
      </c>
      <c r="AK2606" t="s">
        <v>12423</v>
      </c>
      <c r="AL2606" s="2">
        <v>0</v>
      </c>
      <c r="AM2606" s="2">
        <v>0</v>
      </c>
      <c r="AN2606" s="2">
        <v>0</v>
      </c>
      <c r="AO2606" t="s">
        <v>44</v>
      </c>
      <c r="AP2606" t="s">
        <v>11207</v>
      </c>
      <c r="AQ2606" t="s">
        <v>5005</v>
      </c>
    </row>
    <row r="2607" spans="1:43" x14ac:dyDescent="0.2">
      <c r="A2607" t="s">
        <v>12422</v>
      </c>
      <c r="B2607" t="s">
        <v>11037</v>
      </c>
      <c r="C2607" t="s">
        <v>11195</v>
      </c>
      <c r="D2607" t="s">
        <v>11337</v>
      </c>
      <c r="E2607" t="s">
        <v>11338</v>
      </c>
      <c r="F2607" t="s">
        <v>11339</v>
      </c>
      <c r="G2607" s="1">
        <v>13784</v>
      </c>
      <c r="H2607" s="2">
        <v>640404.64</v>
      </c>
      <c r="I2607" s="2">
        <v>697194.72</v>
      </c>
      <c r="J2607" s="2">
        <v>0</v>
      </c>
      <c r="K2607" s="2">
        <v>0</v>
      </c>
      <c r="L2607" s="2">
        <v>697194.72</v>
      </c>
      <c r="M2607" s="3">
        <v>5058</v>
      </c>
      <c r="N2607" s="4">
        <v>1.5861899999999999E-3</v>
      </c>
      <c r="O2607" s="5" t="s">
        <v>44</v>
      </c>
      <c r="P2607" s="5" t="s">
        <v>44</v>
      </c>
      <c r="Q2607" s="1"/>
      <c r="R2607" s="2"/>
      <c r="S2607" s="6"/>
      <c r="T2607" t="s">
        <v>10902</v>
      </c>
      <c r="U2607" t="s">
        <v>10902</v>
      </c>
      <c r="V2607" t="s">
        <v>10902</v>
      </c>
      <c r="W2607" t="s">
        <v>43</v>
      </c>
      <c r="X2607" t="s">
        <v>11327</v>
      </c>
      <c r="Y2607" t="s">
        <v>11198</v>
      </c>
      <c r="Z2607" t="s">
        <v>11195</v>
      </c>
      <c r="AA2607" t="s">
        <v>44</v>
      </c>
      <c r="AB2607" t="s">
        <v>44</v>
      </c>
      <c r="AC2607" s="4"/>
      <c r="AD2607" s="4"/>
      <c r="AE2607" s="2">
        <v>0</v>
      </c>
      <c r="AF2607" s="4">
        <v>0</v>
      </c>
      <c r="AG2607" s="2">
        <v>0.05</v>
      </c>
      <c r="AH2607" s="2">
        <v>697194.72</v>
      </c>
      <c r="AI2607" s="2">
        <v>0</v>
      </c>
      <c r="AJ2607" s="5">
        <v>44673</v>
      </c>
      <c r="AK2607" t="s">
        <v>12423</v>
      </c>
      <c r="AL2607" s="2">
        <v>0</v>
      </c>
      <c r="AM2607" s="2">
        <v>0</v>
      </c>
      <c r="AN2607" s="2">
        <v>0</v>
      </c>
      <c r="AO2607" t="s">
        <v>44</v>
      </c>
      <c r="AP2607" t="s">
        <v>11340</v>
      </c>
      <c r="AQ2607" t="s">
        <v>11338</v>
      </c>
    </row>
    <row r="2608" spans="1:43" x14ac:dyDescent="0.2">
      <c r="A2608" t="s">
        <v>12422</v>
      </c>
      <c r="B2608" t="s">
        <v>11037</v>
      </c>
      <c r="C2608" t="s">
        <v>11195</v>
      </c>
      <c r="D2608" t="s">
        <v>11341</v>
      </c>
      <c r="E2608" t="s">
        <v>11342</v>
      </c>
      <c r="F2608" t="s">
        <v>11341</v>
      </c>
      <c r="G2608" s="1">
        <v>17120</v>
      </c>
      <c r="H2608" s="2">
        <v>804640</v>
      </c>
      <c r="I2608" s="2">
        <v>892979.19999999995</v>
      </c>
      <c r="J2608" s="2">
        <v>0</v>
      </c>
      <c r="K2608" s="2">
        <v>0</v>
      </c>
      <c r="L2608" s="2">
        <v>892979.19999999995</v>
      </c>
      <c r="M2608" s="3">
        <v>5216</v>
      </c>
      <c r="N2608" s="4">
        <v>2.03162E-3</v>
      </c>
      <c r="O2608" s="5" t="s">
        <v>44</v>
      </c>
      <c r="P2608" s="5" t="s">
        <v>44</v>
      </c>
      <c r="Q2608" s="1"/>
      <c r="R2608" s="2"/>
      <c r="S2608" s="6"/>
      <c r="T2608" t="s">
        <v>10902</v>
      </c>
      <c r="U2608" t="s">
        <v>10902</v>
      </c>
      <c r="V2608" t="s">
        <v>10902</v>
      </c>
      <c r="W2608" t="s">
        <v>43</v>
      </c>
      <c r="X2608" t="s">
        <v>11327</v>
      </c>
      <c r="Y2608" t="s">
        <v>11198</v>
      </c>
      <c r="Z2608" t="s">
        <v>11195</v>
      </c>
      <c r="AA2608" t="s">
        <v>44</v>
      </c>
      <c r="AB2608" t="s">
        <v>44</v>
      </c>
      <c r="AC2608" s="4"/>
      <c r="AD2608" s="4"/>
      <c r="AE2608" s="2">
        <v>0</v>
      </c>
      <c r="AF2608" s="4">
        <v>0</v>
      </c>
      <c r="AG2608" s="2">
        <v>7.0000000000000007E-2</v>
      </c>
      <c r="AH2608" s="2">
        <v>892979.19999999995</v>
      </c>
      <c r="AI2608" s="2">
        <v>0</v>
      </c>
      <c r="AJ2608" s="5">
        <v>44673</v>
      </c>
      <c r="AK2608" t="s">
        <v>12423</v>
      </c>
      <c r="AL2608" s="2">
        <v>0</v>
      </c>
      <c r="AM2608" s="2">
        <v>0</v>
      </c>
      <c r="AN2608" s="2">
        <v>0</v>
      </c>
      <c r="AO2608" t="s">
        <v>44</v>
      </c>
      <c r="AP2608" t="s">
        <v>11343</v>
      </c>
      <c r="AQ2608" t="s">
        <v>11342</v>
      </c>
    </row>
    <row r="2609" spans="1:43" x14ac:dyDescent="0.2">
      <c r="A2609" t="s">
        <v>12422</v>
      </c>
      <c r="B2609" t="s">
        <v>11037</v>
      </c>
      <c r="C2609" t="s">
        <v>11195</v>
      </c>
      <c r="D2609" t="s">
        <v>6128</v>
      </c>
      <c r="E2609" t="s">
        <v>6759</v>
      </c>
      <c r="F2609" t="s">
        <v>6128</v>
      </c>
      <c r="G2609" s="1">
        <v>16243</v>
      </c>
      <c r="H2609" s="2">
        <v>1131812.24</v>
      </c>
      <c r="I2609" s="2">
        <v>1567449.5</v>
      </c>
      <c r="J2609" s="2">
        <v>0</v>
      </c>
      <c r="K2609" s="2">
        <v>0</v>
      </c>
      <c r="L2609" s="2">
        <v>1567449.5</v>
      </c>
      <c r="M2609" s="3">
        <v>9650</v>
      </c>
      <c r="N2609" s="4">
        <v>3.5661199999999999E-3</v>
      </c>
      <c r="O2609" s="5" t="s">
        <v>44</v>
      </c>
      <c r="P2609" s="5" t="s">
        <v>44</v>
      </c>
      <c r="Q2609" s="1"/>
      <c r="R2609" s="2"/>
      <c r="S2609" s="6"/>
      <c r="T2609" t="s">
        <v>10902</v>
      </c>
      <c r="U2609" t="s">
        <v>10902</v>
      </c>
      <c r="V2609" t="s">
        <v>10902</v>
      </c>
      <c r="W2609" t="s">
        <v>43</v>
      </c>
      <c r="X2609" t="s">
        <v>11327</v>
      </c>
      <c r="Y2609" t="s">
        <v>11198</v>
      </c>
      <c r="Z2609" t="s">
        <v>11195</v>
      </c>
      <c r="AA2609" t="s">
        <v>44</v>
      </c>
      <c r="AB2609" t="s">
        <v>44</v>
      </c>
      <c r="AC2609" s="4"/>
      <c r="AD2609" s="4"/>
      <c r="AE2609" s="2">
        <v>0</v>
      </c>
      <c r="AF2609" s="4">
        <v>0</v>
      </c>
      <c r="AG2609" s="2">
        <v>0.12</v>
      </c>
      <c r="AH2609" s="2">
        <v>1567449.5</v>
      </c>
      <c r="AI2609" s="2">
        <v>0</v>
      </c>
      <c r="AJ2609" s="5">
        <v>44673</v>
      </c>
      <c r="AK2609" t="s">
        <v>12423</v>
      </c>
      <c r="AL2609" s="2">
        <v>0</v>
      </c>
      <c r="AM2609" s="2">
        <v>0</v>
      </c>
      <c r="AN2609" s="2">
        <v>0</v>
      </c>
      <c r="AO2609" t="s">
        <v>44</v>
      </c>
      <c r="AP2609" t="s">
        <v>11344</v>
      </c>
      <c r="AQ2609" t="s">
        <v>6759</v>
      </c>
    </row>
    <row r="2610" spans="1:43" x14ac:dyDescent="0.2">
      <c r="A2610" t="s">
        <v>12422</v>
      </c>
      <c r="B2610" t="s">
        <v>11037</v>
      </c>
      <c r="C2610" t="s">
        <v>11195</v>
      </c>
      <c r="D2610" t="s">
        <v>12491</v>
      </c>
      <c r="E2610" t="s">
        <v>5361</v>
      </c>
      <c r="F2610" t="s">
        <v>12491</v>
      </c>
      <c r="G2610" s="1">
        <v>40403</v>
      </c>
      <c r="H2610" s="2">
        <v>359586.7</v>
      </c>
      <c r="I2610" s="2">
        <v>544632.43999999994</v>
      </c>
      <c r="J2610" s="2">
        <v>0</v>
      </c>
      <c r="K2610" s="2">
        <v>0</v>
      </c>
      <c r="L2610" s="2">
        <v>544632.43999999994</v>
      </c>
      <c r="M2610" s="3">
        <v>1348</v>
      </c>
      <c r="N2610" s="4">
        <v>1.2390999999999999E-3</v>
      </c>
      <c r="O2610" s="5" t="s">
        <v>44</v>
      </c>
      <c r="P2610" s="5" t="s">
        <v>44</v>
      </c>
      <c r="Q2610" s="1"/>
      <c r="R2610" s="2"/>
      <c r="S2610" s="6"/>
      <c r="T2610" t="s">
        <v>10902</v>
      </c>
      <c r="U2610" t="s">
        <v>10902</v>
      </c>
      <c r="V2610" t="s">
        <v>10902</v>
      </c>
      <c r="W2610" t="s">
        <v>43</v>
      </c>
      <c r="X2610" t="s">
        <v>11327</v>
      </c>
      <c r="Y2610" t="s">
        <v>11198</v>
      </c>
      <c r="Z2610" t="s">
        <v>11195</v>
      </c>
      <c r="AA2610" t="s">
        <v>44</v>
      </c>
      <c r="AB2610" t="s">
        <v>44</v>
      </c>
      <c r="AC2610" s="4"/>
      <c r="AD2610" s="4"/>
      <c r="AE2610" s="2">
        <v>0</v>
      </c>
      <c r="AF2610" s="4">
        <v>0</v>
      </c>
      <c r="AG2610" s="2">
        <v>0.04</v>
      </c>
      <c r="AH2610" s="2">
        <v>544632.43999999994</v>
      </c>
      <c r="AI2610" s="2">
        <v>0</v>
      </c>
      <c r="AJ2610" s="5">
        <v>44673</v>
      </c>
      <c r="AK2610" t="s">
        <v>12423</v>
      </c>
      <c r="AL2610" s="2">
        <v>0</v>
      </c>
      <c r="AM2610" s="2">
        <v>0</v>
      </c>
      <c r="AN2610" s="2">
        <v>0</v>
      </c>
      <c r="AO2610" t="s">
        <v>44</v>
      </c>
      <c r="AP2610" t="s">
        <v>12492</v>
      </c>
      <c r="AQ2610" t="s">
        <v>5361</v>
      </c>
    </row>
    <row r="2611" spans="1:43" x14ac:dyDescent="0.2">
      <c r="A2611" t="s">
        <v>12422</v>
      </c>
      <c r="B2611" t="s">
        <v>11037</v>
      </c>
      <c r="C2611" t="s">
        <v>11195</v>
      </c>
      <c r="D2611" t="s">
        <v>11345</v>
      </c>
      <c r="E2611" t="s">
        <v>5409</v>
      </c>
      <c r="F2611" t="s">
        <v>11345</v>
      </c>
      <c r="G2611" s="1">
        <v>119576</v>
      </c>
      <c r="H2611" s="2">
        <v>3791167.28</v>
      </c>
      <c r="I2611" s="2">
        <v>3300297.6</v>
      </c>
      <c r="J2611" s="2">
        <v>0</v>
      </c>
      <c r="K2611" s="2">
        <v>93580.06</v>
      </c>
      <c r="L2611" s="2">
        <v>3393877.66</v>
      </c>
      <c r="M2611" s="3">
        <v>2760</v>
      </c>
      <c r="N2611" s="4">
        <v>7.7214400000000004E-3</v>
      </c>
      <c r="O2611" s="5" t="s">
        <v>44</v>
      </c>
      <c r="P2611" s="5" t="s">
        <v>44</v>
      </c>
      <c r="Q2611" s="1"/>
      <c r="R2611" s="2"/>
      <c r="S2611" s="6"/>
      <c r="T2611" t="s">
        <v>10902</v>
      </c>
      <c r="U2611" t="s">
        <v>10902</v>
      </c>
      <c r="V2611" t="s">
        <v>10902</v>
      </c>
      <c r="W2611" t="s">
        <v>43</v>
      </c>
      <c r="X2611" t="s">
        <v>11327</v>
      </c>
      <c r="Y2611" t="s">
        <v>11198</v>
      </c>
      <c r="Z2611" t="s">
        <v>11195</v>
      </c>
      <c r="AA2611" t="s">
        <v>44</v>
      </c>
      <c r="AB2611" t="s">
        <v>44</v>
      </c>
      <c r="AC2611" s="4"/>
      <c r="AD2611" s="4"/>
      <c r="AE2611" s="2">
        <v>0</v>
      </c>
      <c r="AF2611" s="4">
        <v>0</v>
      </c>
      <c r="AG2611" s="2">
        <v>0.25</v>
      </c>
      <c r="AH2611" s="2">
        <v>3393877.66</v>
      </c>
      <c r="AI2611" s="2">
        <v>0.01</v>
      </c>
      <c r="AJ2611" s="5">
        <v>44673</v>
      </c>
      <c r="AK2611" t="s">
        <v>12423</v>
      </c>
      <c r="AL2611" s="2">
        <v>0</v>
      </c>
      <c r="AM2611" s="2">
        <v>0</v>
      </c>
      <c r="AN2611" s="2">
        <v>0</v>
      </c>
      <c r="AO2611" t="s">
        <v>44</v>
      </c>
      <c r="AP2611" t="s">
        <v>11346</v>
      </c>
      <c r="AQ2611" t="s">
        <v>5409</v>
      </c>
    </row>
    <row r="2612" spans="1:43" x14ac:dyDescent="0.2">
      <c r="A2612" t="s">
        <v>12422</v>
      </c>
      <c r="B2612" t="s">
        <v>11037</v>
      </c>
      <c r="C2612" t="s">
        <v>11195</v>
      </c>
      <c r="D2612" t="s">
        <v>6263</v>
      </c>
      <c r="E2612" t="s">
        <v>6850</v>
      </c>
      <c r="F2612" t="s">
        <v>6263</v>
      </c>
      <c r="G2612" s="1">
        <v>93258</v>
      </c>
      <c r="H2612" s="2">
        <v>1686340.65</v>
      </c>
      <c r="I2612" s="2">
        <v>2470404.42</v>
      </c>
      <c r="J2612" s="2">
        <v>0</v>
      </c>
      <c r="K2612" s="2">
        <v>154341.99</v>
      </c>
      <c r="L2612" s="2">
        <v>2624746.41</v>
      </c>
      <c r="M2612" s="3">
        <v>2649</v>
      </c>
      <c r="N2612" s="4">
        <v>5.9715799999999998E-3</v>
      </c>
      <c r="O2612" s="5" t="s">
        <v>44</v>
      </c>
      <c r="P2612" s="5" t="s">
        <v>44</v>
      </c>
      <c r="Q2612" s="1"/>
      <c r="R2612" s="2"/>
      <c r="S2612" s="6"/>
      <c r="T2612" t="s">
        <v>10902</v>
      </c>
      <c r="U2612" t="s">
        <v>10902</v>
      </c>
      <c r="V2612" t="s">
        <v>10902</v>
      </c>
      <c r="W2612" t="s">
        <v>43</v>
      </c>
      <c r="X2612" t="s">
        <v>11347</v>
      </c>
      <c r="Y2612" t="s">
        <v>11348</v>
      </c>
      <c r="Z2612" t="s">
        <v>11195</v>
      </c>
      <c r="AA2612" t="s">
        <v>44</v>
      </c>
      <c r="AB2612" t="s">
        <v>44</v>
      </c>
      <c r="AC2612" s="4"/>
      <c r="AD2612" s="4"/>
      <c r="AE2612" s="2">
        <v>0</v>
      </c>
      <c r="AF2612" s="4">
        <v>0</v>
      </c>
      <c r="AG2612" s="2">
        <v>0.19</v>
      </c>
      <c r="AH2612" s="2">
        <v>2624746.41</v>
      </c>
      <c r="AI2612" s="2">
        <v>0.01</v>
      </c>
      <c r="AJ2612" s="5">
        <v>44673</v>
      </c>
      <c r="AK2612" t="s">
        <v>12423</v>
      </c>
      <c r="AL2612" s="2">
        <v>0</v>
      </c>
      <c r="AM2612" s="2">
        <v>0</v>
      </c>
      <c r="AN2612" s="2">
        <v>0</v>
      </c>
      <c r="AO2612" t="s">
        <v>44</v>
      </c>
      <c r="AP2612" t="s">
        <v>11349</v>
      </c>
      <c r="AQ2612" t="s">
        <v>6850</v>
      </c>
    </row>
    <row r="2613" spans="1:43" x14ac:dyDescent="0.2">
      <c r="A2613" t="s">
        <v>12422</v>
      </c>
      <c r="B2613" t="s">
        <v>11037</v>
      </c>
      <c r="C2613" t="s">
        <v>11195</v>
      </c>
      <c r="D2613" t="s">
        <v>11208</v>
      </c>
      <c r="E2613" t="s">
        <v>3160</v>
      </c>
      <c r="F2613" t="s">
        <v>11208</v>
      </c>
      <c r="G2613" s="1">
        <v>4747617</v>
      </c>
      <c r="H2613" s="2">
        <v>20304307.34</v>
      </c>
      <c r="I2613" s="2">
        <v>21031943.309999999</v>
      </c>
      <c r="J2613" s="2">
        <v>0</v>
      </c>
      <c r="K2613" s="2">
        <v>0</v>
      </c>
      <c r="L2613" s="2">
        <v>21031943.309999999</v>
      </c>
      <c r="M2613" s="3">
        <v>443</v>
      </c>
      <c r="N2613" s="4">
        <v>4.7849940000000001E-2</v>
      </c>
      <c r="O2613" s="5" t="s">
        <v>44</v>
      </c>
      <c r="P2613" s="5" t="s">
        <v>44</v>
      </c>
      <c r="Q2613" s="1"/>
      <c r="R2613" s="2"/>
      <c r="S2613" s="6"/>
      <c r="T2613" t="s">
        <v>10902</v>
      </c>
      <c r="U2613" t="s">
        <v>10902</v>
      </c>
      <c r="V2613" t="s">
        <v>10902</v>
      </c>
      <c r="W2613" t="s">
        <v>43</v>
      </c>
      <c r="X2613" t="s">
        <v>11197</v>
      </c>
      <c r="Y2613" t="s">
        <v>11198</v>
      </c>
      <c r="Z2613" t="s">
        <v>11195</v>
      </c>
      <c r="AA2613" t="s">
        <v>44</v>
      </c>
      <c r="AB2613" t="s">
        <v>44</v>
      </c>
      <c r="AC2613" s="4"/>
      <c r="AD2613" s="4"/>
      <c r="AE2613" s="2">
        <v>0</v>
      </c>
      <c r="AF2613" s="4">
        <v>0</v>
      </c>
      <c r="AG2613" s="2">
        <v>1.56</v>
      </c>
      <c r="AH2613" s="2">
        <v>21031943.309999999</v>
      </c>
      <c r="AI2613" s="2">
        <v>0.05</v>
      </c>
      <c r="AJ2613" s="5">
        <v>44673</v>
      </c>
      <c r="AK2613" t="s">
        <v>12423</v>
      </c>
      <c r="AL2613" s="2">
        <v>0</v>
      </c>
      <c r="AM2613" s="2">
        <v>0</v>
      </c>
      <c r="AN2613" s="2">
        <v>0</v>
      </c>
      <c r="AO2613" t="s">
        <v>44</v>
      </c>
      <c r="AP2613" t="s">
        <v>11209</v>
      </c>
      <c r="AQ2613" t="s">
        <v>3160</v>
      </c>
    </row>
    <row r="2614" spans="1:43" x14ac:dyDescent="0.2">
      <c r="A2614" t="s">
        <v>12422</v>
      </c>
      <c r="B2614" t="s">
        <v>11037</v>
      </c>
      <c r="C2614" t="s">
        <v>11195</v>
      </c>
      <c r="D2614" t="s">
        <v>11714</v>
      </c>
      <c r="E2614" t="s">
        <v>5012</v>
      </c>
      <c r="F2614" t="s">
        <v>11714</v>
      </c>
      <c r="G2614" s="1">
        <v>15000</v>
      </c>
      <c r="H2614" s="2">
        <v>4703955.8099999996</v>
      </c>
      <c r="I2614" s="2">
        <v>4797750</v>
      </c>
      <c r="J2614" s="2">
        <v>0</v>
      </c>
      <c r="K2614" s="2">
        <v>0</v>
      </c>
      <c r="L2614" s="2">
        <v>4797750</v>
      </c>
      <c r="M2614" s="3">
        <v>31985</v>
      </c>
      <c r="N2614" s="4">
        <v>1.09154E-2</v>
      </c>
      <c r="O2614" s="5" t="s">
        <v>44</v>
      </c>
      <c r="P2614" s="5" t="s">
        <v>44</v>
      </c>
      <c r="Q2614" s="1"/>
      <c r="R2614" s="2"/>
      <c r="S2614" s="6"/>
      <c r="T2614" t="s">
        <v>10902</v>
      </c>
      <c r="U2614" t="s">
        <v>10902</v>
      </c>
      <c r="V2614" t="s">
        <v>10902</v>
      </c>
      <c r="W2614" t="s">
        <v>43</v>
      </c>
      <c r="X2614" t="s">
        <v>11327</v>
      </c>
      <c r="Y2614" t="s">
        <v>11198</v>
      </c>
      <c r="Z2614" t="s">
        <v>11195</v>
      </c>
      <c r="AA2614" t="s">
        <v>44</v>
      </c>
      <c r="AB2614" t="s">
        <v>44</v>
      </c>
      <c r="AC2614" s="4"/>
      <c r="AD2614" s="4"/>
      <c r="AE2614" s="2">
        <v>0</v>
      </c>
      <c r="AF2614" s="4">
        <v>0</v>
      </c>
      <c r="AG2614" s="2">
        <v>0.36</v>
      </c>
      <c r="AH2614" s="2">
        <v>4797750</v>
      </c>
      <c r="AI2614" s="2">
        <v>0.01</v>
      </c>
      <c r="AJ2614" s="5">
        <v>44673</v>
      </c>
      <c r="AK2614" t="s">
        <v>12423</v>
      </c>
      <c r="AL2614" s="2">
        <v>0</v>
      </c>
      <c r="AM2614" s="2">
        <v>0</v>
      </c>
      <c r="AN2614" s="2">
        <v>0</v>
      </c>
      <c r="AO2614" t="s">
        <v>44</v>
      </c>
      <c r="AP2614" t="s">
        <v>11715</v>
      </c>
      <c r="AQ2614" t="s">
        <v>5012</v>
      </c>
    </row>
    <row r="2615" spans="1:43" x14ac:dyDescent="0.2">
      <c r="A2615" t="s">
        <v>12422</v>
      </c>
      <c r="B2615" t="s">
        <v>11037</v>
      </c>
      <c r="C2615" t="s">
        <v>11195</v>
      </c>
      <c r="D2615" t="s">
        <v>11210</v>
      </c>
      <c r="E2615" t="s">
        <v>3167</v>
      </c>
      <c r="F2615" t="s">
        <v>11211</v>
      </c>
      <c r="G2615" s="1">
        <v>200494</v>
      </c>
      <c r="H2615" s="2">
        <v>9258593.3499999996</v>
      </c>
      <c r="I2615" s="2">
        <v>11728899</v>
      </c>
      <c r="J2615" s="2">
        <v>0</v>
      </c>
      <c r="K2615" s="2">
        <v>0</v>
      </c>
      <c r="L2615" s="2">
        <v>11728899</v>
      </c>
      <c r="M2615" s="3">
        <v>5850</v>
      </c>
      <c r="N2615" s="4">
        <v>2.6684510000000002E-2</v>
      </c>
      <c r="O2615" s="5" t="s">
        <v>44</v>
      </c>
      <c r="P2615" s="5" t="s">
        <v>44</v>
      </c>
      <c r="Q2615" s="1"/>
      <c r="R2615" s="2"/>
      <c r="S2615" s="6"/>
      <c r="T2615" t="s">
        <v>10902</v>
      </c>
      <c r="U2615" t="s">
        <v>10902</v>
      </c>
      <c r="V2615" t="s">
        <v>11212</v>
      </c>
      <c r="W2615" t="s">
        <v>43</v>
      </c>
      <c r="X2615" t="s">
        <v>11197</v>
      </c>
      <c r="Y2615" t="s">
        <v>11198</v>
      </c>
      <c r="Z2615" t="s">
        <v>11195</v>
      </c>
      <c r="AA2615" t="s">
        <v>44</v>
      </c>
      <c r="AB2615" t="s">
        <v>44</v>
      </c>
      <c r="AC2615" s="4"/>
      <c r="AD2615" s="4"/>
      <c r="AE2615" s="2">
        <v>0</v>
      </c>
      <c r="AF2615" s="4">
        <v>0</v>
      </c>
      <c r="AG2615" s="2">
        <v>0.87</v>
      </c>
      <c r="AH2615" s="2">
        <v>11728899</v>
      </c>
      <c r="AI2615" s="2">
        <v>0.03</v>
      </c>
      <c r="AJ2615" s="5">
        <v>44673</v>
      </c>
      <c r="AK2615" t="s">
        <v>12423</v>
      </c>
      <c r="AL2615" s="2">
        <v>0</v>
      </c>
      <c r="AM2615" s="2">
        <v>0</v>
      </c>
      <c r="AN2615" s="2">
        <v>0</v>
      </c>
      <c r="AO2615" t="s">
        <v>44</v>
      </c>
      <c r="AP2615" t="s">
        <v>11213</v>
      </c>
      <c r="AQ2615" t="s">
        <v>3167</v>
      </c>
    </row>
    <row r="2616" spans="1:43" x14ac:dyDescent="0.2">
      <c r="A2616" t="s">
        <v>12422</v>
      </c>
      <c r="B2616" t="s">
        <v>11037</v>
      </c>
      <c r="C2616" t="s">
        <v>11195</v>
      </c>
      <c r="D2616" t="s">
        <v>12335</v>
      </c>
      <c r="E2616" t="s">
        <v>5192</v>
      </c>
      <c r="F2616" t="s">
        <v>12335</v>
      </c>
      <c r="G2616" s="1">
        <v>1302648</v>
      </c>
      <c r="H2616" s="2">
        <v>2413513.4700000002</v>
      </c>
      <c r="I2616" s="2">
        <v>2957010.96</v>
      </c>
      <c r="J2616" s="2">
        <v>0</v>
      </c>
      <c r="K2616" s="2">
        <v>0</v>
      </c>
      <c r="L2616" s="2">
        <v>2957010.96</v>
      </c>
      <c r="M2616" s="3">
        <v>227</v>
      </c>
      <c r="N2616" s="4">
        <v>6.7275199999999999E-3</v>
      </c>
      <c r="O2616" s="5" t="s">
        <v>44</v>
      </c>
      <c r="P2616" s="5" t="s">
        <v>44</v>
      </c>
      <c r="Q2616" s="1"/>
      <c r="R2616" s="2"/>
      <c r="S2616" s="6"/>
      <c r="T2616" t="s">
        <v>10902</v>
      </c>
      <c r="U2616" t="s">
        <v>10902</v>
      </c>
      <c r="V2616" t="s">
        <v>10902</v>
      </c>
      <c r="W2616" t="s">
        <v>43</v>
      </c>
      <c r="X2616" t="s">
        <v>11197</v>
      </c>
      <c r="Y2616" t="s">
        <v>11198</v>
      </c>
      <c r="Z2616" t="s">
        <v>11195</v>
      </c>
      <c r="AA2616" t="s">
        <v>44</v>
      </c>
      <c r="AB2616" t="s">
        <v>44</v>
      </c>
      <c r="AC2616" s="4"/>
      <c r="AD2616" s="4"/>
      <c r="AE2616" s="2">
        <v>0</v>
      </c>
      <c r="AF2616" s="4">
        <v>0</v>
      </c>
      <c r="AG2616" s="2">
        <v>0.22</v>
      </c>
      <c r="AH2616" s="2">
        <v>2957010.96</v>
      </c>
      <c r="AI2616" s="2">
        <v>0.01</v>
      </c>
      <c r="AJ2616" s="5">
        <v>44673</v>
      </c>
      <c r="AK2616" t="s">
        <v>12423</v>
      </c>
      <c r="AL2616" s="2">
        <v>0</v>
      </c>
      <c r="AM2616" s="2">
        <v>0</v>
      </c>
      <c r="AN2616" s="2">
        <v>0</v>
      </c>
      <c r="AO2616" t="s">
        <v>44</v>
      </c>
      <c r="AP2616" t="s">
        <v>12336</v>
      </c>
      <c r="AQ2616" t="s">
        <v>5192</v>
      </c>
    </row>
    <row r="2617" spans="1:43" x14ac:dyDescent="0.2">
      <c r="A2617" t="s">
        <v>12422</v>
      </c>
      <c r="B2617" t="s">
        <v>11037</v>
      </c>
      <c r="C2617" t="s">
        <v>11195</v>
      </c>
      <c r="D2617" t="s">
        <v>6379</v>
      </c>
      <c r="E2617" t="s">
        <v>5199</v>
      </c>
      <c r="F2617" t="s">
        <v>6379</v>
      </c>
      <c r="G2617" s="1">
        <v>3998</v>
      </c>
      <c r="H2617" s="2">
        <v>1069425.02</v>
      </c>
      <c r="I2617" s="2">
        <v>1167416</v>
      </c>
      <c r="J2617" s="2">
        <v>0</v>
      </c>
      <c r="K2617" s="2">
        <v>0</v>
      </c>
      <c r="L2617" s="2">
        <v>1167416</v>
      </c>
      <c r="M2617" s="3">
        <v>29200</v>
      </c>
      <c r="N2617" s="4">
        <v>2.6559999999999999E-3</v>
      </c>
      <c r="O2617" s="5" t="s">
        <v>44</v>
      </c>
      <c r="P2617" s="5" t="s">
        <v>44</v>
      </c>
      <c r="Q2617" s="1"/>
      <c r="R2617" s="2"/>
      <c r="S2617" s="6"/>
      <c r="T2617" t="s">
        <v>10902</v>
      </c>
      <c r="U2617" t="s">
        <v>10902</v>
      </c>
      <c r="V2617" t="s">
        <v>10902</v>
      </c>
      <c r="W2617" t="s">
        <v>43</v>
      </c>
      <c r="X2617" t="s">
        <v>11350</v>
      </c>
      <c r="Y2617" t="s">
        <v>11335</v>
      </c>
      <c r="Z2617" t="s">
        <v>11195</v>
      </c>
      <c r="AA2617" t="s">
        <v>44</v>
      </c>
      <c r="AB2617" t="s">
        <v>44</v>
      </c>
      <c r="AC2617" s="4"/>
      <c r="AD2617" s="4"/>
      <c r="AE2617" s="2">
        <v>0</v>
      </c>
      <c r="AF2617" s="4">
        <v>0</v>
      </c>
      <c r="AG2617" s="2">
        <v>0.09</v>
      </c>
      <c r="AH2617" s="2">
        <v>1167416</v>
      </c>
      <c r="AI2617" s="2">
        <v>0</v>
      </c>
      <c r="AJ2617" s="5">
        <v>44673</v>
      </c>
      <c r="AK2617" t="s">
        <v>12423</v>
      </c>
      <c r="AL2617" s="2">
        <v>0</v>
      </c>
      <c r="AM2617" s="2">
        <v>0</v>
      </c>
      <c r="AN2617" s="2">
        <v>0</v>
      </c>
      <c r="AO2617" t="s">
        <v>44</v>
      </c>
      <c r="AP2617" t="s">
        <v>11351</v>
      </c>
      <c r="AQ2617" t="s">
        <v>5199</v>
      </c>
    </row>
    <row r="2618" spans="1:43" x14ac:dyDescent="0.2">
      <c r="A2618" t="s">
        <v>12422</v>
      </c>
      <c r="B2618" t="s">
        <v>11037</v>
      </c>
      <c r="C2618" t="s">
        <v>11195</v>
      </c>
      <c r="D2618" t="s">
        <v>6710</v>
      </c>
      <c r="E2618" t="s">
        <v>1780</v>
      </c>
      <c r="F2618" t="s">
        <v>6710</v>
      </c>
      <c r="G2618" s="1">
        <v>172968</v>
      </c>
      <c r="H2618" s="2">
        <v>3287472.07</v>
      </c>
      <c r="I2618" s="2">
        <v>4116638.4</v>
      </c>
      <c r="J2618" s="2">
        <v>0</v>
      </c>
      <c r="K2618" s="2">
        <v>0</v>
      </c>
      <c r="L2618" s="2">
        <v>4116638.4</v>
      </c>
      <c r="M2618" s="3">
        <v>2380</v>
      </c>
      <c r="N2618" s="4">
        <v>9.3658000000000005E-3</v>
      </c>
      <c r="O2618" s="5" t="s">
        <v>44</v>
      </c>
      <c r="P2618" s="5" t="s">
        <v>44</v>
      </c>
      <c r="Q2618" s="1"/>
      <c r="R2618" s="2"/>
      <c r="S2618" s="6"/>
      <c r="T2618" t="s">
        <v>10902</v>
      </c>
      <c r="U2618" t="s">
        <v>10902</v>
      </c>
      <c r="V2618" t="s">
        <v>10902</v>
      </c>
      <c r="W2618" t="s">
        <v>43</v>
      </c>
      <c r="X2618" t="s">
        <v>11197</v>
      </c>
      <c r="Y2618" t="s">
        <v>11198</v>
      </c>
      <c r="Z2618" t="s">
        <v>11195</v>
      </c>
      <c r="AA2618" t="s">
        <v>44</v>
      </c>
      <c r="AB2618" t="s">
        <v>44</v>
      </c>
      <c r="AC2618" s="4"/>
      <c r="AD2618" s="4"/>
      <c r="AE2618" s="2">
        <v>0</v>
      </c>
      <c r="AF2618" s="4">
        <v>0</v>
      </c>
      <c r="AG2618" s="2">
        <v>0.31</v>
      </c>
      <c r="AH2618" s="2">
        <v>4116638.4</v>
      </c>
      <c r="AI2618" s="2">
        <v>0.01</v>
      </c>
      <c r="AJ2618" s="5">
        <v>44673</v>
      </c>
      <c r="AK2618" t="s">
        <v>12423</v>
      </c>
      <c r="AL2618" s="2">
        <v>0</v>
      </c>
      <c r="AM2618" s="2">
        <v>0</v>
      </c>
      <c r="AN2618" s="2">
        <v>0</v>
      </c>
      <c r="AO2618" t="s">
        <v>44</v>
      </c>
      <c r="AP2618" t="s">
        <v>11214</v>
      </c>
      <c r="AQ2618" t="s">
        <v>1780</v>
      </c>
    </row>
    <row r="2619" spans="1:43" x14ac:dyDescent="0.2">
      <c r="A2619" t="s">
        <v>12422</v>
      </c>
      <c r="B2619" t="s">
        <v>11037</v>
      </c>
      <c r="C2619" t="s">
        <v>11195</v>
      </c>
      <c r="D2619" t="s">
        <v>11863</v>
      </c>
      <c r="E2619" t="s">
        <v>6987</v>
      </c>
      <c r="F2619" t="s">
        <v>11863</v>
      </c>
      <c r="G2619" s="1">
        <v>233546</v>
      </c>
      <c r="H2619" s="2">
        <v>3133626.01</v>
      </c>
      <c r="I2619" s="2">
        <v>3486841.78</v>
      </c>
      <c r="J2619" s="2">
        <v>0</v>
      </c>
      <c r="K2619" s="2">
        <v>0</v>
      </c>
      <c r="L2619" s="2">
        <v>3486841.78</v>
      </c>
      <c r="M2619" s="3">
        <v>1493</v>
      </c>
      <c r="N2619" s="4">
        <v>7.9329399999999994E-3</v>
      </c>
      <c r="O2619" s="5" t="s">
        <v>44</v>
      </c>
      <c r="P2619" s="5" t="s">
        <v>44</v>
      </c>
      <c r="Q2619" s="1"/>
      <c r="R2619" s="2"/>
      <c r="S2619" s="6"/>
      <c r="T2619" t="s">
        <v>10902</v>
      </c>
      <c r="U2619" t="s">
        <v>10902</v>
      </c>
      <c r="V2619" t="s">
        <v>10902</v>
      </c>
      <c r="W2619" t="s">
        <v>43</v>
      </c>
      <c r="X2619" t="s">
        <v>11197</v>
      </c>
      <c r="Y2619" t="s">
        <v>11198</v>
      </c>
      <c r="Z2619" t="s">
        <v>11195</v>
      </c>
      <c r="AA2619" t="s">
        <v>44</v>
      </c>
      <c r="AB2619" t="s">
        <v>44</v>
      </c>
      <c r="AC2619" s="4"/>
      <c r="AD2619" s="4"/>
      <c r="AE2619" s="2">
        <v>0</v>
      </c>
      <c r="AF2619" s="4">
        <v>0</v>
      </c>
      <c r="AG2619" s="2">
        <v>0.26</v>
      </c>
      <c r="AH2619" s="2">
        <v>3486841.78</v>
      </c>
      <c r="AI2619" s="2">
        <v>0.01</v>
      </c>
      <c r="AJ2619" s="5">
        <v>44673</v>
      </c>
      <c r="AK2619" t="s">
        <v>12423</v>
      </c>
      <c r="AL2619" s="2">
        <v>0</v>
      </c>
      <c r="AM2619" s="2">
        <v>0</v>
      </c>
      <c r="AN2619" s="2">
        <v>0</v>
      </c>
      <c r="AO2619" t="s">
        <v>44</v>
      </c>
      <c r="AP2619" t="s">
        <v>11864</v>
      </c>
      <c r="AQ2619" t="s">
        <v>6987</v>
      </c>
    </row>
    <row r="2620" spans="1:43" x14ac:dyDescent="0.2">
      <c r="A2620" t="s">
        <v>12422</v>
      </c>
      <c r="B2620" t="s">
        <v>11037</v>
      </c>
      <c r="C2620" t="s">
        <v>11195</v>
      </c>
      <c r="D2620" t="s">
        <v>11353</v>
      </c>
      <c r="E2620" t="s">
        <v>5706</v>
      </c>
      <c r="F2620" t="s">
        <v>11353</v>
      </c>
      <c r="G2620" s="1">
        <v>52762</v>
      </c>
      <c r="H2620" s="2">
        <v>1381309.16</v>
      </c>
      <c r="I2620" s="2">
        <v>2638100</v>
      </c>
      <c r="J2620" s="2">
        <v>0</v>
      </c>
      <c r="K2620" s="2">
        <v>0</v>
      </c>
      <c r="L2620" s="2">
        <v>2638100</v>
      </c>
      <c r="M2620" s="3">
        <v>5000</v>
      </c>
      <c r="N2620" s="4">
        <v>6.0019599999999998E-3</v>
      </c>
      <c r="O2620" s="5" t="s">
        <v>44</v>
      </c>
      <c r="P2620" s="5" t="s">
        <v>44</v>
      </c>
      <c r="Q2620" s="1"/>
      <c r="R2620" s="2"/>
      <c r="S2620" s="6"/>
      <c r="T2620" t="s">
        <v>10902</v>
      </c>
      <c r="U2620" t="s">
        <v>10902</v>
      </c>
      <c r="V2620" t="s">
        <v>10902</v>
      </c>
      <c r="W2620" t="s">
        <v>43</v>
      </c>
      <c r="X2620" t="s">
        <v>11327</v>
      </c>
      <c r="Y2620" t="s">
        <v>11198</v>
      </c>
      <c r="Z2620" t="s">
        <v>11195</v>
      </c>
      <c r="AA2620" t="s">
        <v>44</v>
      </c>
      <c r="AB2620" t="s">
        <v>44</v>
      </c>
      <c r="AC2620" s="4"/>
      <c r="AD2620" s="4"/>
      <c r="AE2620" s="2">
        <v>0</v>
      </c>
      <c r="AF2620" s="4">
        <v>0</v>
      </c>
      <c r="AG2620" s="2">
        <v>0.2</v>
      </c>
      <c r="AH2620" s="2">
        <v>2638100</v>
      </c>
      <c r="AI2620" s="2">
        <v>0.01</v>
      </c>
      <c r="AJ2620" s="5">
        <v>44673</v>
      </c>
      <c r="AK2620" t="s">
        <v>12423</v>
      </c>
      <c r="AL2620" s="2">
        <v>0</v>
      </c>
      <c r="AM2620" s="2">
        <v>0</v>
      </c>
      <c r="AN2620" s="2">
        <v>0</v>
      </c>
      <c r="AO2620" t="s">
        <v>44</v>
      </c>
      <c r="AP2620" t="s">
        <v>11354</v>
      </c>
      <c r="AQ2620" t="s">
        <v>5706</v>
      </c>
    </row>
    <row r="2621" spans="1:43" x14ac:dyDescent="0.2">
      <c r="A2621" t="s">
        <v>12422</v>
      </c>
      <c r="B2621" t="s">
        <v>11037</v>
      </c>
      <c r="C2621" t="s">
        <v>11195</v>
      </c>
      <c r="D2621" t="s">
        <v>6348</v>
      </c>
      <c r="E2621" t="s">
        <v>5241</v>
      </c>
      <c r="F2621" t="s">
        <v>6348</v>
      </c>
      <c r="G2621" s="1">
        <v>557662</v>
      </c>
      <c r="H2621" s="2">
        <v>4845127.93</v>
      </c>
      <c r="I2621" s="2">
        <v>7472670.7999999998</v>
      </c>
      <c r="J2621" s="2">
        <v>0</v>
      </c>
      <c r="K2621" s="2">
        <v>0</v>
      </c>
      <c r="L2621" s="2">
        <v>7472670.7999999998</v>
      </c>
      <c r="M2621" s="3">
        <v>1340</v>
      </c>
      <c r="N2621" s="4">
        <v>1.700113E-2</v>
      </c>
      <c r="O2621" s="5" t="s">
        <v>44</v>
      </c>
      <c r="P2621" s="5" t="s">
        <v>44</v>
      </c>
      <c r="Q2621" s="1"/>
      <c r="R2621" s="2"/>
      <c r="S2621" s="6"/>
      <c r="T2621" t="s">
        <v>10902</v>
      </c>
      <c r="U2621" t="s">
        <v>10902</v>
      </c>
      <c r="V2621" t="s">
        <v>10902</v>
      </c>
      <c r="W2621" t="s">
        <v>43</v>
      </c>
      <c r="X2621" t="s">
        <v>11197</v>
      </c>
      <c r="Y2621" t="s">
        <v>11198</v>
      </c>
      <c r="Z2621" t="s">
        <v>11195</v>
      </c>
      <c r="AA2621" t="s">
        <v>44</v>
      </c>
      <c r="AB2621" t="s">
        <v>44</v>
      </c>
      <c r="AC2621" s="4"/>
      <c r="AD2621" s="4"/>
      <c r="AE2621" s="2">
        <v>0</v>
      </c>
      <c r="AF2621" s="4">
        <v>0</v>
      </c>
      <c r="AG2621" s="2">
        <v>0.56000000000000005</v>
      </c>
      <c r="AH2621" s="2">
        <v>7472670.7999999998</v>
      </c>
      <c r="AI2621" s="2">
        <v>0.02</v>
      </c>
      <c r="AJ2621" s="5">
        <v>44673</v>
      </c>
      <c r="AK2621" t="s">
        <v>12423</v>
      </c>
      <c r="AL2621" s="2">
        <v>0</v>
      </c>
      <c r="AM2621" s="2">
        <v>0</v>
      </c>
      <c r="AN2621" s="2">
        <v>0</v>
      </c>
      <c r="AO2621" t="s">
        <v>44</v>
      </c>
      <c r="AP2621" t="s">
        <v>11215</v>
      </c>
      <c r="AQ2621" t="s">
        <v>5241</v>
      </c>
    </row>
    <row r="2622" spans="1:43" x14ac:dyDescent="0.2">
      <c r="A2622" t="s">
        <v>12422</v>
      </c>
      <c r="B2622" t="s">
        <v>11037</v>
      </c>
      <c r="C2622" t="s">
        <v>11355</v>
      </c>
      <c r="D2622" t="s">
        <v>6735</v>
      </c>
      <c r="E2622" t="s">
        <v>5639</v>
      </c>
      <c r="F2622" t="s">
        <v>6735</v>
      </c>
      <c r="G2622" s="1">
        <v>8375</v>
      </c>
      <c r="H2622" s="2">
        <v>383993.75</v>
      </c>
      <c r="I2622" s="2">
        <v>445717.5</v>
      </c>
      <c r="J2622" s="2">
        <v>0</v>
      </c>
      <c r="K2622" s="2">
        <v>0</v>
      </c>
      <c r="L2622" s="2">
        <v>445717.5</v>
      </c>
      <c r="M2622" s="3">
        <v>5322</v>
      </c>
      <c r="N2622" s="4">
        <v>1.01406E-3</v>
      </c>
      <c r="O2622" s="5" t="s">
        <v>44</v>
      </c>
      <c r="P2622" s="5" t="s">
        <v>44</v>
      </c>
      <c r="Q2622" s="1"/>
      <c r="R2622" s="2"/>
      <c r="S2622" s="6"/>
      <c r="T2622" t="s">
        <v>10902</v>
      </c>
      <c r="U2622" t="s">
        <v>10902</v>
      </c>
      <c r="V2622" t="s">
        <v>10902</v>
      </c>
      <c r="W2622" t="s">
        <v>43</v>
      </c>
      <c r="X2622" t="s">
        <v>11717</v>
      </c>
      <c r="Y2622" t="s">
        <v>11358</v>
      </c>
      <c r="Z2622" t="s">
        <v>11355</v>
      </c>
      <c r="AA2622" t="s">
        <v>44</v>
      </c>
      <c r="AB2622" t="s">
        <v>44</v>
      </c>
      <c r="AC2622" s="4"/>
      <c r="AD2622" s="4"/>
      <c r="AE2622" s="2">
        <v>0</v>
      </c>
      <c r="AF2622" s="4">
        <v>0</v>
      </c>
      <c r="AG2622" s="2">
        <v>0.03</v>
      </c>
      <c r="AH2622" s="2">
        <v>445717.5</v>
      </c>
      <c r="AI2622" s="2">
        <v>0</v>
      </c>
      <c r="AJ2622" s="5">
        <v>44673</v>
      </c>
      <c r="AK2622" t="s">
        <v>12423</v>
      </c>
      <c r="AL2622" s="2">
        <v>0</v>
      </c>
      <c r="AM2622" s="2">
        <v>0</v>
      </c>
      <c r="AN2622" s="2">
        <v>0</v>
      </c>
      <c r="AO2622" t="s">
        <v>44</v>
      </c>
      <c r="AP2622" t="s">
        <v>12493</v>
      </c>
      <c r="AQ2622" t="s">
        <v>5639</v>
      </c>
    </row>
    <row r="2623" spans="1:43" x14ac:dyDescent="0.2">
      <c r="A2623" t="s">
        <v>12422</v>
      </c>
      <c r="B2623" t="s">
        <v>11037</v>
      </c>
      <c r="C2623" t="s">
        <v>11355</v>
      </c>
      <c r="D2623" t="s">
        <v>11356</v>
      </c>
      <c r="E2623" t="s">
        <v>4971</v>
      </c>
      <c r="F2623" t="s">
        <v>6192</v>
      </c>
      <c r="G2623" s="1">
        <v>134291</v>
      </c>
      <c r="H2623" s="2">
        <v>2507212.9700000002</v>
      </c>
      <c r="I2623" s="2">
        <v>3025576.23</v>
      </c>
      <c r="J2623" s="2">
        <v>0</v>
      </c>
      <c r="K2623" s="2">
        <v>0</v>
      </c>
      <c r="L2623" s="2">
        <v>3025576.23</v>
      </c>
      <c r="M2623" s="3">
        <v>2253</v>
      </c>
      <c r="N2623" s="4">
        <v>6.8835099999999998E-3</v>
      </c>
      <c r="O2623" s="5" t="s">
        <v>44</v>
      </c>
      <c r="P2623" s="5" t="s">
        <v>44</v>
      </c>
      <c r="Q2623" s="1"/>
      <c r="R2623" s="2"/>
      <c r="S2623" s="6"/>
      <c r="T2623" t="s">
        <v>10902</v>
      </c>
      <c r="U2623" t="s">
        <v>10902</v>
      </c>
      <c r="V2623" t="s">
        <v>10902</v>
      </c>
      <c r="W2623" t="s">
        <v>43</v>
      </c>
      <c r="X2623" t="s">
        <v>11357</v>
      </c>
      <c r="Y2623" t="s">
        <v>11358</v>
      </c>
      <c r="Z2623" t="s">
        <v>11355</v>
      </c>
      <c r="AA2623" t="s">
        <v>44</v>
      </c>
      <c r="AB2623" t="s">
        <v>44</v>
      </c>
      <c r="AC2623" s="4"/>
      <c r="AD2623" s="4"/>
      <c r="AE2623" s="2">
        <v>0</v>
      </c>
      <c r="AF2623" s="4">
        <v>0</v>
      </c>
      <c r="AG2623" s="2">
        <v>0.22</v>
      </c>
      <c r="AH2623" s="2">
        <v>3025576.23</v>
      </c>
      <c r="AI2623" s="2">
        <v>0.01</v>
      </c>
      <c r="AJ2623" s="5">
        <v>44673</v>
      </c>
      <c r="AK2623" t="s">
        <v>12423</v>
      </c>
      <c r="AL2623" s="2">
        <v>0</v>
      </c>
      <c r="AM2623" s="2">
        <v>0</v>
      </c>
      <c r="AN2623" s="2">
        <v>0</v>
      </c>
      <c r="AO2623" t="s">
        <v>44</v>
      </c>
      <c r="AP2623" t="s">
        <v>11359</v>
      </c>
      <c r="AQ2623" t="s">
        <v>4971</v>
      </c>
    </row>
    <row r="2624" spans="1:43" x14ac:dyDescent="0.2">
      <c r="A2624" t="s">
        <v>12422</v>
      </c>
      <c r="B2624" t="s">
        <v>11037</v>
      </c>
      <c r="C2624" t="s">
        <v>11355</v>
      </c>
      <c r="D2624" t="s">
        <v>11360</v>
      </c>
      <c r="E2624" t="s">
        <v>4991</v>
      </c>
      <c r="F2624" t="s">
        <v>11360</v>
      </c>
      <c r="G2624" s="1">
        <v>38751</v>
      </c>
      <c r="H2624" s="2">
        <v>2380861.4399999999</v>
      </c>
      <c r="I2624" s="2">
        <v>2930738.13</v>
      </c>
      <c r="J2624" s="2">
        <v>0</v>
      </c>
      <c r="K2624" s="2">
        <v>0</v>
      </c>
      <c r="L2624" s="2">
        <v>2930738.13</v>
      </c>
      <c r="M2624" s="3">
        <v>7563</v>
      </c>
      <c r="N2624" s="4">
        <v>6.6677400000000001E-3</v>
      </c>
      <c r="O2624" s="5" t="s">
        <v>44</v>
      </c>
      <c r="P2624" s="5" t="s">
        <v>44</v>
      </c>
      <c r="Q2624" s="1"/>
      <c r="R2624" s="2"/>
      <c r="S2624" s="6"/>
      <c r="T2624" t="s">
        <v>10902</v>
      </c>
      <c r="U2624" t="s">
        <v>10902</v>
      </c>
      <c r="V2624" t="s">
        <v>10902</v>
      </c>
      <c r="W2624" t="s">
        <v>43</v>
      </c>
      <c r="X2624" t="s">
        <v>11357</v>
      </c>
      <c r="Y2624" t="s">
        <v>11358</v>
      </c>
      <c r="Z2624" t="s">
        <v>11355</v>
      </c>
      <c r="AA2624" t="s">
        <v>44</v>
      </c>
      <c r="AB2624" t="s">
        <v>44</v>
      </c>
      <c r="AC2624" s="4"/>
      <c r="AD2624" s="4"/>
      <c r="AE2624" s="2">
        <v>0</v>
      </c>
      <c r="AF2624" s="4">
        <v>0</v>
      </c>
      <c r="AG2624" s="2">
        <v>0.22</v>
      </c>
      <c r="AH2624" s="2">
        <v>2930738.13</v>
      </c>
      <c r="AI2624" s="2">
        <v>0.01</v>
      </c>
      <c r="AJ2624" s="5">
        <v>44673</v>
      </c>
      <c r="AK2624" t="s">
        <v>12423</v>
      </c>
      <c r="AL2624" s="2">
        <v>0</v>
      </c>
      <c r="AM2624" s="2">
        <v>0</v>
      </c>
      <c r="AN2624" s="2">
        <v>0</v>
      </c>
      <c r="AO2624" t="s">
        <v>44</v>
      </c>
      <c r="AP2624" t="s">
        <v>11361</v>
      </c>
      <c r="AQ2624" t="s">
        <v>4991</v>
      </c>
    </row>
    <row r="2625" spans="1:43" x14ac:dyDescent="0.2">
      <c r="A2625" t="s">
        <v>12422</v>
      </c>
      <c r="B2625" t="s">
        <v>11037</v>
      </c>
      <c r="C2625" t="s">
        <v>11355</v>
      </c>
      <c r="D2625" t="s">
        <v>11362</v>
      </c>
      <c r="E2625" t="s">
        <v>4862</v>
      </c>
      <c r="F2625" t="s">
        <v>11362</v>
      </c>
      <c r="G2625" s="1">
        <v>138947</v>
      </c>
      <c r="H2625" s="2">
        <v>1967489.52</v>
      </c>
      <c r="I2625" s="2">
        <v>2223152</v>
      </c>
      <c r="J2625" s="2">
        <v>0</v>
      </c>
      <c r="K2625" s="2">
        <v>0</v>
      </c>
      <c r="L2625" s="2">
        <v>2223152</v>
      </c>
      <c r="M2625" s="3">
        <v>1600</v>
      </c>
      <c r="N2625" s="4">
        <v>5.0579099999999997E-3</v>
      </c>
      <c r="O2625" s="5" t="s">
        <v>44</v>
      </c>
      <c r="P2625" s="5" t="s">
        <v>44</v>
      </c>
      <c r="Q2625" s="1"/>
      <c r="R2625" s="2"/>
      <c r="S2625" s="6"/>
      <c r="T2625" t="s">
        <v>10902</v>
      </c>
      <c r="U2625" t="s">
        <v>10902</v>
      </c>
      <c r="V2625" t="s">
        <v>10902</v>
      </c>
      <c r="W2625" t="s">
        <v>43</v>
      </c>
      <c r="X2625" t="s">
        <v>11357</v>
      </c>
      <c r="Y2625" t="s">
        <v>11358</v>
      </c>
      <c r="Z2625" t="s">
        <v>11355</v>
      </c>
      <c r="AA2625" t="s">
        <v>44</v>
      </c>
      <c r="AB2625" t="s">
        <v>44</v>
      </c>
      <c r="AC2625" s="4"/>
      <c r="AD2625" s="4"/>
      <c r="AE2625" s="2">
        <v>0</v>
      </c>
      <c r="AF2625" s="4">
        <v>0</v>
      </c>
      <c r="AG2625" s="2">
        <v>0.17</v>
      </c>
      <c r="AH2625" s="2">
        <v>2223152</v>
      </c>
      <c r="AI2625" s="2">
        <v>0.01</v>
      </c>
      <c r="AJ2625" s="5">
        <v>44673</v>
      </c>
      <c r="AK2625" t="s">
        <v>12423</v>
      </c>
      <c r="AL2625" s="2">
        <v>0</v>
      </c>
      <c r="AM2625" s="2">
        <v>0</v>
      </c>
      <c r="AN2625" s="2">
        <v>0</v>
      </c>
      <c r="AO2625" t="s">
        <v>44</v>
      </c>
      <c r="AP2625" t="s">
        <v>11363</v>
      </c>
      <c r="AQ2625" t="s">
        <v>4862</v>
      </c>
    </row>
    <row r="2626" spans="1:43" x14ac:dyDescent="0.2">
      <c r="A2626" t="s">
        <v>12422</v>
      </c>
      <c r="B2626" t="s">
        <v>11037</v>
      </c>
      <c r="C2626" t="s">
        <v>11364</v>
      </c>
      <c r="D2626" t="s">
        <v>6956</v>
      </c>
      <c r="E2626" t="s">
        <v>5431</v>
      </c>
      <c r="F2626" t="s">
        <v>6956</v>
      </c>
      <c r="G2626" s="1">
        <v>6918</v>
      </c>
      <c r="H2626" s="2">
        <v>305775.59999999998</v>
      </c>
      <c r="I2626" s="2">
        <v>460462.08000000002</v>
      </c>
      <c r="J2626" s="2">
        <v>0</v>
      </c>
      <c r="K2626" s="2">
        <v>0</v>
      </c>
      <c r="L2626" s="2">
        <v>460462.08000000002</v>
      </c>
      <c r="M2626" s="3">
        <v>6656</v>
      </c>
      <c r="N2626" s="4">
        <v>1.0476000000000001E-3</v>
      </c>
      <c r="O2626" s="5" t="s">
        <v>44</v>
      </c>
      <c r="P2626" s="5" t="s">
        <v>44</v>
      </c>
      <c r="Q2626" s="1"/>
      <c r="R2626" s="2"/>
      <c r="S2626" s="6"/>
      <c r="T2626" t="s">
        <v>10902</v>
      </c>
      <c r="U2626" t="s">
        <v>10902</v>
      </c>
      <c r="V2626" t="s">
        <v>10902</v>
      </c>
      <c r="W2626" t="s">
        <v>43</v>
      </c>
      <c r="X2626" t="s">
        <v>11720</v>
      </c>
      <c r="Y2626" t="s">
        <v>11721</v>
      </c>
      <c r="Z2626" t="s">
        <v>11364</v>
      </c>
      <c r="AA2626" t="s">
        <v>44</v>
      </c>
      <c r="AB2626" t="s">
        <v>44</v>
      </c>
      <c r="AC2626" s="4"/>
      <c r="AD2626" s="4"/>
      <c r="AE2626" s="2">
        <v>0</v>
      </c>
      <c r="AF2626" s="4">
        <v>0</v>
      </c>
      <c r="AG2626" s="2">
        <v>0.03</v>
      </c>
      <c r="AH2626" s="2">
        <v>460462.08000000002</v>
      </c>
      <c r="AI2626" s="2">
        <v>0</v>
      </c>
      <c r="AJ2626" s="5">
        <v>44673</v>
      </c>
      <c r="AK2626" t="s">
        <v>12423</v>
      </c>
      <c r="AL2626" s="2">
        <v>0</v>
      </c>
      <c r="AM2626" s="2">
        <v>0</v>
      </c>
      <c r="AN2626" s="2">
        <v>0</v>
      </c>
      <c r="AO2626" t="s">
        <v>44</v>
      </c>
      <c r="AP2626" t="s">
        <v>12494</v>
      </c>
      <c r="AQ2626" t="s">
        <v>5431</v>
      </c>
    </row>
    <row r="2627" spans="1:43" x14ac:dyDescent="0.2">
      <c r="A2627" t="s">
        <v>12422</v>
      </c>
      <c r="B2627" t="s">
        <v>11037</v>
      </c>
      <c r="C2627" t="s">
        <v>11364</v>
      </c>
      <c r="D2627" t="s">
        <v>11365</v>
      </c>
      <c r="E2627" t="s">
        <v>5762</v>
      </c>
      <c r="F2627" t="s">
        <v>11365</v>
      </c>
      <c r="G2627" s="1">
        <v>41031</v>
      </c>
      <c r="H2627" s="2">
        <v>514939.05</v>
      </c>
      <c r="I2627" s="2">
        <v>322913.96999999997</v>
      </c>
      <c r="J2627" s="2">
        <v>0</v>
      </c>
      <c r="K2627" s="2">
        <v>0</v>
      </c>
      <c r="L2627" s="2">
        <v>322913.96999999997</v>
      </c>
      <c r="M2627" s="3">
        <v>787</v>
      </c>
      <c r="N2627" s="4">
        <v>7.3466000000000004E-4</v>
      </c>
      <c r="O2627" s="5" t="s">
        <v>44</v>
      </c>
      <c r="P2627" s="5" t="s">
        <v>44</v>
      </c>
      <c r="Q2627" s="1"/>
      <c r="R2627" s="2"/>
      <c r="S2627" s="6"/>
      <c r="T2627" t="s">
        <v>10902</v>
      </c>
      <c r="U2627" t="s">
        <v>10902</v>
      </c>
      <c r="V2627" t="s">
        <v>10902</v>
      </c>
      <c r="W2627" t="s">
        <v>43</v>
      </c>
      <c r="X2627" t="s">
        <v>11366</v>
      </c>
      <c r="Y2627" t="s">
        <v>11367</v>
      </c>
      <c r="Z2627" t="s">
        <v>11364</v>
      </c>
      <c r="AA2627" t="s">
        <v>44</v>
      </c>
      <c r="AB2627" t="s">
        <v>44</v>
      </c>
      <c r="AC2627" s="4"/>
      <c r="AD2627" s="4"/>
      <c r="AE2627" s="2">
        <v>0</v>
      </c>
      <c r="AF2627" s="4">
        <v>0</v>
      </c>
      <c r="AG2627" s="2">
        <v>0.02</v>
      </c>
      <c r="AH2627" s="2">
        <v>322913.96999999997</v>
      </c>
      <c r="AI2627" s="2">
        <v>0</v>
      </c>
      <c r="AJ2627" s="5">
        <v>44673</v>
      </c>
      <c r="AK2627" t="s">
        <v>12423</v>
      </c>
      <c r="AL2627" s="2">
        <v>0</v>
      </c>
      <c r="AM2627" s="2">
        <v>0</v>
      </c>
      <c r="AN2627" s="2">
        <v>0</v>
      </c>
      <c r="AO2627" t="s">
        <v>44</v>
      </c>
      <c r="AP2627" t="s">
        <v>11368</v>
      </c>
      <c r="AQ2627" t="s">
        <v>5762</v>
      </c>
    </row>
    <row r="2628" spans="1:43" x14ac:dyDescent="0.2">
      <c r="A2628" t="s">
        <v>12422</v>
      </c>
      <c r="B2628" t="s">
        <v>11037</v>
      </c>
      <c r="C2628" t="s">
        <v>11364</v>
      </c>
      <c r="D2628" t="s">
        <v>6240</v>
      </c>
      <c r="E2628" t="s">
        <v>5065</v>
      </c>
      <c r="F2628" t="s">
        <v>6240</v>
      </c>
      <c r="G2628" s="1">
        <v>23869</v>
      </c>
      <c r="H2628" s="2">
        <v>2565163.9500000002</v>
      </c>
      <c r="I2628" s="2">
        <v>2760449.85</v>
      </c>
      <c r="J2628" s="2">
        <v>0</v>
      </c>
      <c r="K2628" s="2">
        <v>0</v>
      </c>
      <c r="L2628" s="2">
        <v>2760449.85</v>
      </c>
      <c r="M2628" s="3">
        <v>11565</v>
      </c>
      <c r="N2628" s="4">
        <v>6.2803199999999998E-3</v>
      </c>
      <c r="O2628" s="5" t="s">
        <v>44</v>
      </c>
      <c r="P2628" s="5" t="s">
        <v>44</v>
      </c>
      <c r="Q2628" s="1"/>
      <c r="R2628" s="2"/>
      <c r="S2628" s="6"/>
      <c r="T2628" t="s">
        <v>10902</v>
      </c>
      <c r="U2628" t="s">
        <v>10902</v>
      </c>
      <c r="V2628" t="s">
        <v>10902</v>
      </c>
      <c r="W2628" t="s">
        <v>43</v>
      </c>
      <c r="X2628" t="s">
        <v>11369</v>
      </c>
      <c r="Y2628" t="s">
        <v>11367</v>
      </c>
      <c r="Z2628" t="s">
        <v>11364</v>
      </c>
      <c r="AA2628" t="s">
        <v>44</v>
      </c>
      <c r="AB2628" t="s">
        <v>44</v>
      </c>
      <c r="AC2628" s="4"/>
      <c r="AD2628" s="4"/>
      <c r="AE2628" s="2">
        <v>0</v>
      </c>
      <c r="AF2628" s="4">
        <v>0</v>
      </c>
      <c r="AG2628" s="2">
        <v>0.21</v>
      </c>
      <c r="AH2628" s="2">
        <v>2760449.85</v>
      </c>
      <c r="AI2628" s="2">
        <v>0.01</v>
      </c>
      <c r="AJ2628" s="5">
        <v>44673</v>
      </c>
      <c r="AK2628" t="s">
        <v>12423</v>
      </c>
      <c r="AL2628" s="2">
        <v>0</v>
      </c>
      <c r="AM2628" s="2">
        <v>0</v>
      </c>
      <c r="AN2628" s="2">
        <v>0</v>
      </c>
      <c r="AO2628" t="s">
        <v>44</v>
      </c>
      <c r="AP2628" t="s">
        <v>11370</v>
      </c>
      <c r="AQ2628" t="s">
        <v>5065</v>
      </c>
    </row>
    <row r="2629" spans="1:43" x14ac:dyDescent="0.2">
      <c r="A2629" t="s">
        <v>12422</v>
      </c>
      <c r="B2629" t="s">
        <v>11037</v>
      </c>
      <c r="C2629" t="s">
        <v>11364</v>
      </c>
      <c r="D2629" t="s">
        <v>6806</v>
      </c>
      <c r="E2629" t="s">
        <v>5498</v>
      </c>
      <c r="F2629" t="s">
        <v>6806</v>
      </c>
      <c r="G2629" s="1">
        <v>3091</v>
      </c>
      <c r="H2629" s="2">
        <v>318373</v>
      </c>
      <c r="I2629" s="2">
        <v>442322.1</v>
      </c>
      <c r="J2629" s="2">
        <v>0</v>
      </c>
      <c r="K2629" s="2">
        <v>0</v>
      </c>
      <c r="L2629" s="2">
        <v>442322.1</v>
      </c>
      <c r="M2629" s="3">
        <v>14310</v>
      </c>
      <c r="N2629" s="4">
        <v>1.0063299999999999E-3</v>
      </c>
      <c r="O2629" s="5" t="s">
        <v>44</v>
      </c>
      <c r="P2629" s="5" t="s">
        <v>44</v>
      </c>
      <c r="Q2629" s="1"/>
      <c r="R2629" s="2"/>
      <c r="S2629" s="6"/>
      <c r="T2629" t="s">
        <v>10902</v>
      </c>
      <c r="U2629" t="s">
        <v>10902</v>
      </c>
      <c r="V2629" t="s">
        <v>10902</v>
      </c>
      <c r="W2629" t="s">
        <v>43</v>
      </c>
      <c r="X2629" t="s">
        <v>12495</v>
      </c>
      <c r="Y2629" t="s">
        <v>11367</v>
      </c>
      <c r="Z2629" t="s">
        <v>11364</v>
      </c>
      <c r="AA2629" t="s">
        <v>44</v>
      </c>
      <c r="AB2629" t="s">
        <v>44</v>
      </c>
      <c r="AC2629" s="4"/>
      <c r="AD2629" s="4"/>
      <c r="AE2629" s="2">
        <v>0</v>
      </c>
      <c r="AF2629" s="4">
        <v>0</v>
      </c>
      <c r="AG2629" s="2">
        <v>0.03</v>
      </c>
      <c r="AH2629" s="2">
        <v>442322.1</v>
      </c>
      <c r="AI2629" s="2">
        <v>0</v>
      </c>
      <c r="AJ2629" s="5">
        <v>44673</v>
      </c>
      <c r="AK2629" t="s">
        <v>12423</v>
      </c>
      <c r="AL2629" s="2">
        <v>0</v>
      </c>
      <c r="AM2629" s="2">
        <v>0</v>
      </c>
      <c r="AN2629" s="2">
        <v>0</v>
      </c>
      <c r="AO2629" t="s">
        <v>44</v>
      </c>
      <c r="AP2629" t="s">
        <v>12496</v>
      </c>
      <c r="AQ2629" t="s">
        <v>5498</v>
      </c>
    </row>
    <row r="2630" spans="1:43" x14ac:dyDescent="0.2">
      <c r="A2630" t="s">
        <v>12422</v>
      </c>
      <c r="B2630" t="s">
        <v>11037</v>
      </c>
      <c r="C2630" t="s">
        <v>11364</v>
      </c>
      <c r="D2630" t="s">
        <v>11371</v>
      </c>
      <c r="E2630" t="s">
        <v>5127</v>
      </c>
      <c r="F2630" t="s">
        <v>11371</v>
      </c>
      <c r="G2630" s="1">
        <v>239933</v>
      </c>
      <c r="H2630" s="2">
        <v>1005319.27</v>
      </c>
      <c r="I2630" s="2">
        <v>1235654.95</v>
      </c>
      <c r="J2630" s="2">
        <v>0</v>
      </c>
      <c r="K2630" s="2">
        <v>0</v>
      </c>
      <c r="L2630" s="2">
        <v>1235654.95</v>
      </c>
      <c r="M2630" s="3">
        <v>515</v>
      </c>
      <c r="N2630" s="4">
        <v>2.8112499999999999E-3</v>
      </c>
      <c r="O2630" s="5" t="s">
        <v>44</v>
      </c>
      <c r="P2630" s="5" t="s">
        <v>44</v>
      </c>
      <c r="Q2630" s="1"/>
      <c r="R2630" s="2"/>
      <c r="S2630" s="6"/>
      <c r="T2630" t="s">
        <v>10902</v>
      </c>
      <c r="U2630" t="s">
        <v>10902</v>
      </c>
      <c r="V2630" t="s">
        <v>10902</v>
      </c>
      <c r="W2630" t="s">
        <v>43</v>
      </c>
      <c r="X2630" t="s">
        <v>11369</v>
      </c>
      <c r="Y2630" t="s">
        <v>11367</v>
      </c>
      <c r="Z2630" t="s">
        <v>11364</v>
      </c>
      <c r="AA2630" t="s">
        <v>44</v>
      </c>
      <c r="AB2630" t="s">
        <v>44</v>
      </c>
      <c r="AC2630" s="4"/>
      <c r="AD2630" s="4"/>
      <c r="AE2630" s="2">
        <v>0</v>
      </c>
      <c r="AF2630" s="4">
        <v>0</v>
      </c>
      <c r="AG2630" s="2">
        <v>0.09</v>
      </c>
      <c r="AH2630" s="2">
        <v>1235654.95</v>
      </c>
      <c r="AI2630" s="2">
        <v>0</v>
      </c>
      <c r="AJ2630" s="5">
        <v>44673</v>
      </c>
      <c r="AK2630" t="s">
        <v>12423</v>
      </c>
      <c r="AL2630" s="2">
        <v>0</v>
      </c>
      <c r="AM2630" s="2">
        <v>0</v>
      </c>
      <c r="AN2630" s="2">
        <v>0</v>
      </c>
      <c r="AO2630" t="s">
        <v>44</v>
      </c>
      <c r="AP2630" t="s">
        <v>11372</v>
      </c>
      <c r="AQ2630" t="s">
        <v>5127</v>
      </c>
    </row>
    <row r="2631" spans="1:43" x14ac:dyDescent="0.2">
      <c r="A2631" t="s">
        <v>12422</v>
      </c>
      <c r="B2631" t="s">
        <v>11037</v>
      </c>
      <c r="C2631" t="s">
        <v>11364</v>
      </c>
      <c r="D2631" t="s">
        <v>6908</v>
      </c>
      <c r="E2631" t="s">
        <v>5538</v>
      </c>
      <c r="F2631" t="s">
        <v>6908</v>
      </c>
      <c r="G2631" s="1">
        <v>15639</v>
      </c>
      <c r="H2631" s="2">
        <v>133400.67000000001</v>
      </c>
      <c r="I2631" s="2">
        <v>179692.11</v>
      </c>
      <c r="J2631" s="2">
        <v>0</v>
      </c>
      <c r="K2631" s="2">
        <v>0</v>
      </c>
      <c r="L2631" s="2">
        <v>179692.11</v>
      </c>
      <c r="M2631" s="3">
        <v>1149</v>
      </c>
      <c r="N2631" s="4">
        <v>4.0882000000000001E-4</v>
      </c>
      <c r="O2631" s="5" t="s">
        <v>44</v>
      </c>
      <c r="P2631" s="5" t="s">
        <v>44</v>
      </c>
      <c r="Q2631" s="1"/>
      <c r="R2631" s="2"/>
      <c r="S2631" s="6"/>
      <c r="T2631" t="s">
        <v>10902</v>
      </c>
      <c r="U2631" t="s">
        <v>10902</v>
      </c>
      <c r="V2631" t="s">
        <v>10902</v>
      </c>
      <c r="W2631" t="s">
        <v>43</v>
      </c>
      <c r="X2631" t="s">
        <v>11720</v>
      </c>
      <c r="Y2631" t="s">
        <v>11721</v>
      </c>
      <c r="Z2631" t="s">
        <v>11364</v>
      </c>
      <c r="AA2631" t="s">
        <v>44</v>
      </c>
      <c r="AB2631" t="s">
        <v>44</v>
      </c>
      <c r="AC2631" s="4"/>
      <c r="AD2631" s="4"/>
      <c r="AE2631" s="2">
        <v>0</v>
      </c>
      <c r="AF2631" s="4">
        <v>0</v>
      </c>
      <c r="AG2631" s="2">
        <v>0.01</v>
      </c>
      <c r="AH2631" s="2">
        <v>179692.11</v>
      </c>
      <c r="AI2631" s="2">
        <v>0</v>
      </c>
      <c r="AJ2631" s="5">
        <v>44673</v>
      </c>
      <c r="AK2631" t="s">
        <v>12423</v>
      </c>
      <c r="AL2631" s="2">
        <v>0</v>
      </c>
      <c r="AM2631" s="2">
        <v>0</v>
      </c>
      <c r="AN2631" s="2">
        <v>0</v>
      </c>
      <c r="AO2631" t="s">
        <v>44</v>
      </c>
      <c r="AP2631" t="s">
        <v>12497</v>
      </c>
      <c r="AQ2631" t="s">
        <v>5538</v>
      </c>
    </row>
    <row r="2632" spans="1:43" x14ac:dyDescent="0.2">
      <c r="A2632" t="s">
        <v>12422</v>
      </c>
      <c r="B2632" t="s">
        <v>11037</v>
      </c>
      <c r="C2632" t="s">
        <v>11364</v>
      </c>
      <c r="D2632" t="s">
        <v>6915</v>
      </c>
      <c r="E2632" t="s">
        <v>5570</v>
      </c>
      <c r="F2632" t="s">
        <v>6915</v>
      </c>
      <c r="G2632" s="1">
        <v>17527</v>
      </c>
      <c r="H2632" s="2">
        <v>466393.47</v>
      </c>
      <c r="I2632" s="2">
        <v>703183.24</v>
      </c>
      <c r="J2632" s="2">
        <v>0</v>
      </c>
      <c r="K2632" s="2">
        <v>0</v>
      </c>
      <c r="L2632" s="2">
        <v>703183.24</v>
      </c>
      <c r="M2632" s="3">
        <v>4012</v>
      </c>
      <c r="N2632" s="4">
        <v>1.5998200000000001E-3</v>
      </c>
      <c r="O2632" s="5" t="s">
        <v>44</v>
      </c>
      <c r="P2632" s="5" t="s">
        <v>44</v>
      </c>
      <c r="Q2632" s="1"/>
      <c r="R2632" s="2"/>
      <c r="S2632" s="6"/>
      <c r="T2632" t="s">
        <v>10902</v>
      </c>
      <c r="U2632" t="s">
        <v>10902</v>
      </c>
      <c r="V2632" t="s">
        <v>10902</v>
      </c>
      <c r="W2632" t="s">
        <v>43</v>
      </c>
      <c r="X2632" t="s">
        <v>11720</v>
      </c>
      <c r="Y2632" t="s">
        <v>11721</v>
      </c>
      <c r="Z2632" t="s">
        <v>11364</v>
      </c>
      <c r="AA2632" t="s">
        <v>44</v>
      </c>
      <c r="AB2632" t="s">
        <v>44</v>
      </c>
      <c r="AC2632" s="4"/>
      <c r="AD2632" s="4"/>
      <c r="AE2632" s="2">
        <v>0</v>
      </c>
      <c r="AF2632" s="4">
        <v>0</v>
      </c>
      <c r="AG2632" s="2">
        <v>0.05</v>
      </c>
      <c r="AH2632" s="2">
        <v>703183.24</v>
      </c>
      <c r="AI2632" s="2">
        <v>0</v>
      </c>
      <c r="AJ2632" s="5">
        <v>44673</v>
      </c>
      <c r="AK2632" t="s">
        <v>12423</v>
      </c>
      <c r="AL2632" s="2">
        <v>0</v>
      </c>
      <c r="AM2632" s="2">
        <v>0</v>
      </c>
      <c r="AN2632" s="2">
        <v>0</v>
      </c>
      <c r="AO2632" t="s">
        <v>44</v>
      </c>
      <c r="AP2632" t="s">
        <v>12498</v>
      </c>
      <c r="AQ2632" t="s">
        <v>5570</v>
      </c>
    </row>
    <row r="2633" spans="1:43" x14ac:dyDescent="0.2">
      <c r="A2633" t="s">
        <v>12422</v>
      </c>
      <c r="B2633" t="s">
        <v>11037</v>
      </c>
      <c r="C2633" t="s">
        <v>11364</v>
      </c>
      <c r="D2633" t="s">
        <v>6443</v>
      </c>
      <c r="E2633" t="s">
        <v>5186</v>
      </c>
      <c r="F2633" t="s">
        <v>6443</v>
      </c>
      <c r="G2633" s="1">
        <v>16414</v>
      </c>
      <c r="H2633" s="2">
        <v>722216</v>
      </c>
      <c r="I2633" s="2">
        <v>724842.24</v>
      </c>
      <c r="J2633" s="2">
        <v>0</v>
      </c>
      <c r="K2633" s="2">
        <v>0</v>
      </c>
      <c r="L2633" s="2">
        <v>724842.24</v>
      </c>
      <c r="M2633" s="3">
        <v>4416</v>
      </c>
      <c r="N2633" s="4">
        <v>1.64909E-3</v>
      </c>
      <c r="O2633" s="5" t="s">
        <v>44</v>
      </c>
      <c r="P2633" s="5" t="s">
        <v>44</v>
      </c>
      <c r="Q2633" s="1"/>
      <c r="R2633" s="2"/>
      <c r="S2633" s="6"/>
      <c r="T2633" t="s">
        <v>10902</v>
      </c>
      <c r="U2633" t="s">
        <v>10902</v>
      </c>
      <c r="V2633" t="s">
        <v>10902</v>
      </c>
      <c r="W2633" t="s">
        <v>43</v>
      </c>
      <c r="X2633" t="s">
        <v>11366</v>
      </c>
      <c r="Y2633" t="s">
        <v>11367</v>
      </c>
      <c r="Z2633" t="s">
        <v>11364</v>
      </c>
      <c r="AA2633" t="s">
        <v>44</v>
      </c>
      <c r="AB2633" t="s">
        <v>44</v>
      </c>
      <c r="AC2633" s="4"/>
      <c r="AD2633" s="4"/>
      <c r="AE2633" s="2">
        <v>0</v>
      </c>
      <c r="AF2633" s="4">
        <v>0</v>
      </c>
      <c r="AG2633" s="2">
        <v>0.05</v>
      </c>
      <c r="AH2633" s="2">
        <v>724842.24</v>
      </c>
      <c r="AI2633" s="2">
        <v>0</v>
      </c>
      <c r="AJ2633" s="5">
        <v>44673</v>
      </c>
      <c r="AK2633" t="s">
        <v>12423</v>
      </c>
      <c r="AL2633" s="2">
        <v>0</v>
      </c>
      <c r="AM2633" s="2">
        <v>0</v>
      </c>
      <c r="AN2633" s="2">
        <v>0</v>
      </c>
      <c r="AO2633" t="s">
        <v>44</v>
      </c>
      <c r="AP2633" t="s">
        <v>11373</v>
      </c>
      <c r="AQ2633" t="s">
        <v>5186</v>
      </c>
    </row>
    <row r="2634" spans="1:43" x14ac:dyDescent="0.2">
      <c r="A2634" t="s">
        <v>12422</v>
      </c>
      <c r="B2634" t="s">
        <v>11037</v>
      </c>
      <c r="C2634" t="s">
        <v>11364</v>
      </c>
      <c r="D2634" t="s">
        <v>11374</v>
      </c>
      <c r="E2634" t="s">
        <v>1786</v>
      </c>
      <c r="F2634" t="s">
        <v>11374</v>
      </c>
      <c r="G2634" s="1">
        <v>33814</v>
      </c>
      <c r="H2634" s="2">
        <v>881530.98</v>
      </c>
      <c r="I2634" s="2">
        <v>912978</v>
      </c>
      <c r="J2634" s="2">
        <v>0</v>
      </c>
      <c r="K2634" s="2">
        <v>0</v>
      </c>
      <c r="L2634" s="2">
        <v>912978</v>
      </c>
      <c r="M2634" s="3">
        <v>2700</v>
      </c>
      <c r="N2634" s="4">
        <v>2.07712E-3</v>
      </c>
      <c r="O2634" s="5" t="s">
        <v>44</v>
      </c>
      <c r="P2634" s="5" t="s">
        <v>44</v>
      </c>
      <c r="Q2634" s="1"/>
      <c r="R2634" s="2"/>
      <c r="S2634" s="6"/>
      <c r="T2634" t="s">
        <v>10902</v>
      </c>
      <c r="U2634" t="s">
        <v>10902</v>
      </c>
      <c r="V2634" t="s">
        <v>10902</v>
      </c>
      <c r="W2634" t="s">
        <v>43</v>
      </c>
      <c r="X2634" t="s">
        <v>11375</v>
      </c>
      <c r="Y2634" t="s">
        <v>11367</v>
      </c>
      <c r="Z2634" t="s">
        <v>11364</v>
      </c>
      <c r="AA2634" t="s">
        <v>44</v>
      </c>
      <c r="AB2634" t="s">
        <v>44</v>
      </c>
      <c r="AC2634" s="4"/>
      <c r="AD2634" s="4"/>
      <c r="AE2634" s="2">
        <v>0</v>
      </c>
      <c r="AF2634" s="4">
        <v>0</v>
      </c>
      <c r="AG2634" s="2">
        <v>7.0000000000000007E-2</v>
      </c>
      <c r="AH2634" s="2">
        <v>912978</v>
      </c>
      <c r="AI2634" s="2">
        <v>0</v>
      </c>
      <c r="AJ2634" s="5">
        <v>44673</v>
      </c>
      <c r="AK2634" t="s">
        <v>12423</v>
      </c>
      <c r="AL2634" s="2">
        <v>0</v>
      </c>
      <c r="AM2634" s="2">
        <v>0</v>
      </c>
      <c r="AN2634" s="2">
        <v>0</v>
      </c>
      <c r="AO2634" t="s">
        <v>44</v>
      </c>
      <c r="AP2634" t="s">
        <v>11376</v>
      </c>
      <c r="AQ2634" t="s">
        <v>1786</v>
      </c>
    </row>
    <row r="2635" spans="1:43" x14ac:dyDescent="0.2">
      <c r="A2635" t="s">
        <v>12422</v>
      </c>
      <c r="B2635" t="s">
        <v>11037</v>
      </c>
      <c r="C2635" t="s">
        <v>11364</v>
      </c>
      <c r="D2635" t="s">
        <v>11377</v>
      </c>
      <c r="E2635" t="s">
        <v>5599</v>
      </c>
      <c r="F2635" t="s">
        <v>11378</v>
      </c>
      <c r="G2635" s="1">
        <v>2106</v>
      </c>
      <c r="H2635" s="2">
        <v>686556</v>
      </c>
      <c r="I2635" s="2">
        <v>1138693.1399999999</v>
      </c>
      <c r="J2635" s="2">
        <v>0</v>
      </c>
      <c r="K2635" s="2">
        <v>0</v>
      </c>
      <c r="L2635" s="2">
        <v>1138693.1399999999</v>
      </c>
      <c r="M2635" s="3">
        <v>54069</v>
      </c>
      <c r="N2635" s="4">
        <v>2.5906499999999999E-3</v>
      </c>
      <c r="O2635" s="5" t="s">
        <v>44</v>
      </c>
      <c r="P2635" s="5" t="s">
        <v>44</v>
      </c>
      <c r="Q2635" s="1"/>
      <c r="R2635" s="2"/>
      <c r="S2635" s="6"/>
      <c r="T2635" t="s">
        <v>10902</v>
      </c>
      <c r="U2635" t="s">
        <v>10902</v>
      </c>
      <c r="V2635" t="s">
        <v>10902</v>
      </c>
      <c r="W2635" t="s">
        <v>43</v>
      </c>
      <c r="X2635" t="s">
        <v>11375</v>
      </c>
      <c r="Y2635" t="s">
        <v>11367</v>
      </c>
      <c r="Z2635" t="s">
        <v>11364</v>
      </c>
      <c r="AA2635" t="s">
        <v>44</v>
      </c>
      <c r="AB2635" t="s">
        <v>44</v>
      </c>
      <c r="AC2635" s="4"/>
      <c r="AD2635" s="4"/>
      <c r="AE2635" s="2">
        <v>0</v>
      </c>
      <c r="AF2635" s="4">
        <v>0</v>
      </c>
      <c r="AG2635" s="2">
        <v>0.08</v>
      </c>
      <c r="AH2635" s="2">
        <v>1138693.1399999999</v>
      </c>
      <c r="AI2635" s="2">
        <v>0</v>
      </c>
      <c r="AJ2635" s="5">
        <v>44673</v>
      </c>
      <c r="AK2635" t="s">
        <v>12423</v>
      </c>
      <c r="AL2635" s="2">
        <v>0</v>
      </c>
      <c r="AM2635" s="2">
        <v>0</v>
      </c>
      <c r="AN2635" s="2">
        <v>0</v>
      </c>
      <c r="AO2635" t="s">
        <v>44</v>
      </c>
      <c r="AP2635" t="s">
        <v>11379</v>
      </c>
      <c r="AQ2635" t="s">
        <v>5599</v>
      </c>
    </row>
    <row r="2636" spans="1:43" x14ac:dyDescent="0.2">
      <c r="A2636" t="s">
        <v>12422</v>
      </c>
      <c r="B2636" t="s">
        <v>11037</v>
      </c>
      <c r="C2636" t="s">
        <v>11364</v>
      </c>
      <c r="D2636" t="s">
        <v>12499</v>
      </c>
      <c r="E2636" t="s">
        <v>5605</v>
      </c>
      <c r="F2636" t="s">
        <v>12499</v>
      </c>
      <c r="G2636" s="1">
        <v>4556</v>
      </c>
      <c r="H2636" s="2">
        <v>391360.4</v>
      </c>
      <c r="I2636" s="2">
        <v>341700</v>
      </c>
      <c r="J2636" s="2">
        <v>0</v>
      </c>
      <c r="K2636" s="2">
        <v>0</v>
      </c>
      <c r="L2636" s="2">
        <v>341700</v>
      </c>
      <c r="M2636" s="3">
        <v>7500</v>
      </c>
      <c r="N2636" s="4">
        <v>7.7740000000000003E-4</v>
      </c>
      <c r="O2636" s="5" t="s">
        <v>44</v>
      </c>
      <c r="P2636" s="5" t="s">
        <v>44</v>
      </c>
      <c r="Q2636" s="1"/>
      <c r="R2636" s="2"/>
      <c r="S2636" s="6"/>
      <c r="T2636" t="s">
        <v>10902</v>
      </c>
      <c r="U2636" t="s">
        <v>10902</v>
      </c>
      <c r="V2636" t="s">
        <v>10902</v>
      </c>
      <c r="W2636" t="s">
        <v>43</v>
      </c>
      <c r="X2636" t="s">
        <v>11720</v>
      </c>
      <c r="Y2636" t="s">
        <v>11721</v>
      </c>
      <c r="Z2636" t="s">
        <v>11364</v>
      </c>
      <c r="AA2636" t="s">
        <v>44</v>
      </c>
      <c r="AB2636" t="s">
        <v>44</v>
      </c>
      <c r="AC2636" s="4"/>
      <c r="AD2636" s="4"/>
      <c r="AE2636" s="2">
        <v>0</v>
      </c>
      <c r="AF2636" s="4">
        <v>0</v>
      </c>
      <c r="AG2636" s="2">
        <v>0.03</v>
      </c>
      <c r="AH2636" s="2">
        <v>341700</v>
      </c>
      <c r="AI2636" s="2">
        <v>0</v>
      </c>
      <c r="AJ2636" s="5">
        <v>44673</v>
      </c>
      <c r="AK2636" t="s">
        <v>12423</v>
      </c>
      <c r="AL2636" s="2">
        <v>0</v>
      </c>
      <c r="AM2636" s="2">
        <v>0</v>
      </c>
      <c r="AN2636" s="2">
        <v>0</v>
      </c>
      <c r="AO2636" t="s">
        <v>44</v>
      </c>
      <c r="AP2636" t="s">
        <v>12500</v>
      </c>
      <c r="AQ2636" t="s">
        <v>5605</v>
      </c>
    </row>
    <row r="2637" spans="1:43" x14ac:dyDescent="0.2">
      <c r="A2637" t="s">
        <v>12422</v>
      </c>
      <c r="B2637" t="s">
        <v>11037</v>
      </c>
      <c r="C2637" t="s">
        <v>11727</v>
      </c>
      <c r="D2637" t="s">
        <v>12182</v>
      </c>
      <c r="E2637" t="s">
        <v>12183</v>
      </c>
      <c r="F2637" t="s">
        <v>12184</v>
      </c>
      <c r="G2637" s="1">
        <v>3500</v>
      </c>
      <c r="H2637" s="2">
        <v>343213.28</v>
      </c>
      <c r="I2637" s="2">
        <v>350000</v>
      </c>
      <c r="J2637" s="2">
        <v>0</v>
      </c>
      <c r="K2637" s="2">
        <v>0</v>
      </c>
      <c r="L2637" s="2">
        <v>350000</v>
      </c>
      <c r="M2637" s="3">
        <v>10000</v>
      </c>
      <c r="N2637" s="4">
        <v>7.9628999999999995E-4</v>
      </c>
      <c r="O2637" s="5" t="s">
        <v>44</v>
      </c>
      <c r="P2637" s="5" t="s">
        <v>44</v>
      </c>
      <c r="Q2637" s="1"/>
      <c r="R2637" s="2"/>
      <c r="S2637" s="6"/>
      <c r="T2637" t="s">
        <v>10902</v>
      </c>
      <c r="U2637" t="s">
        <v>10902</v>
      </c>
      <c r="V2637" t="s">
        <v>10902</v>
      </c>
      <c r="W2637" t="s">
        <v>43</v>
      </c>
      <c r="X2637" t="s">
        <v>11729</v>
      </c>
      <c r="Y2637" t="s">
        <v>11727</v>
      </c>
      <c r="Z2637" t="s">
        <v>11727</v>
      </c>
      <c r="AA2637" t="s">
        <v>44</v>
      </c>
      <c r="AB2637" t="s">
        <v>44</v>
      </c>
      <c r="AC2637" s="4"/>
      <c r="AD2637" s="4"/>
      <c r="AE2637" s="2">
        <v>0</v>
      </c>
      <c r="AF2637" s="4">
        <v>0</v>
      </c>
      <c r="AG2637" s="2">
        <v>0.03</v>
      </c>
      <c r="AH2637" s="2">
        <v>350000</v>
      </c>
      <c r="AI2637" s="2">
        <v>0</v>
      </c>
      <c r="AJ2637" s="5">
        <v>44673</v>
      </c>
      <c r="AK2637" t="s">
        <v>12423</v>
      </c>
      <c r="AL2637" s="2">
        <v>0</v>
      </c>
      <c r="AM2637" s="2">
        <v>0</v>
      </c>
      <c r="AN2637" s="2">
        <v>0</v>
      </c>
      <c r="AO2637" t="s">
        <v>44</v>
      </c>
      <c r="AP2637" t="s">
        <v>12185</v>
      </c>
      <c r="AQ2637" t="s">
        <v>12183</v>
      </c>
    </row>
    <row r="2638" spans="1:43" x14ac:dyDescent="0.2">
      <c r="A2638" t="s">
        <v>12422</v>
      </c>
      <c r="B2638" t="s">
        <v>11037</v>
      </c>
      <c r="C2638" t="s">
        <v>11727</v>
      </c>
      <c r="D2638" t="s">
        <v>11728</v>
      </c>
      <c r="E2638" t="s">
        <v>4855</v>
      </c>
      <c r="F2638" t="s">
        <v>11728</v>
      </c>
      <c r="G2638" s="1">
        <v>4930</v>
      </c>
      <c r="H2638" s="2">
        <v>12122946.859999999</v>
      </c>
      <c r="I2638" s="2">
        <v>7430890.4000000004</v>
      </c>
      <c r="J2638" s="2">
        <v>0</v>
      </c>
      <c r="K2638" s="2">
        <v>0</v>
      </c>
      <c r="L2638" s="2">
        <v>7430890.4000000004</v>
      </c>
      <c r="M2638" s="3">
        <v>150728</v>
      </c>
      <c r="N2638" s="4">
        <v>1.690608E-2</v>
      </c>
      <c r="O2638" s="5" t="s">
        <v>44</v>
      </c>
      <c r="P2638" s="5" t="s">
        <v>44</v>
      </c>
      <c r="Q2638" s="1"/>
      <c r="R2638" s="2"/>
      <c r="S2638" s="6"/>
      <c r="T2638" t="s">
        <v>10902</v>
      </c>
      <c r="U2638" t="s">
        <v>10902</v>
      </c>
      <c r="V2638" t="s">
        <v>10902</v>
      </c>
      <c r="W2638" t="s">
        <v>43</v>
      </c>
      <c r="X2638" t="s">
        <v>11729</v>
      </c>
      <c r="Y2638" t="s">
        <v>11727</v>
      </c>
      <c r="Z2638" t="s">
        <v>11727</v>
      </c>
      <c r="AA2638" t="s">
        <v>44</v>
      </c>
      <c r="AB2638" t="s">
        <v>44</v>
      </c>
      <c r="AC2638" s="4"/>
      <c r="AD2638" s="4"/>
      <c r="AE2638" s="2">
        <v>0</v>
      </c>
      <c r="AF2638" s="4">
        <v>0</v>
      </c>
      <c r="AG2638" s="2">
        <v>0.55000000000000004</v>
      </c>
      <c r="AH2638" s="2">
        <v>7430890.4000000004</v>
      </c>
      <c r="AI2638" s="2">
        <v>0.02</v>
      </c>
      <c r="AJ2638" s="5">
        <v>44673</v>
      </c>
      <c r="AK2638" t="s">
        <v>12423</v>
      </c>
      <c r="AL2638" s="2">
        <v>0</v>
      </c>
      <c r="AM2638" s="2">
        <v>0</v>
      </c>
      <c r="AN2638" s="2">
        <v>0</v>
      </c>
      <c r="AO2638" t="s">
        <v>44</v>
      </c>
      <c r="AP2638" t="s">
        <v>11730</v>
      </c>
      <c r="AQ2638" t="s">
        <v>4855</v>
      </c>
    </row>
    <row r="2639" spans="1:43" x14ac:dyDescent="0.2">
      <c r="A2639" t="s">
        <v>12422</v>
      </c>
      <c r="B2639" t="s">
        <v>11037</v>
      </c>
      <c r="C2639" t="s">
        <v>11380</v>
      </c>
      <c r="D2639" t="s">
        <v>5901</v>
      </c>
      <c r="E2639" t="s">
        <v>4841</v>
      </c>
      <c r="F2639" t="s">
        <v>5901</v>
      </c>
      <c r="G2639" s="1">
        <v>37000</v>
      </c>
      <c r="H2639" s="2">
        <v>6961703.1900000004</v>
      </c>
      <c r="I2639" s="2">
        <v>6401000</v>
      </c>
      <c r="J2639" s="2">
        <v>0</v>
      </c>
      <c r="K2639" s="2">
        <v>0</v>
      </c>
      <c r="L2639" s="2">
        <v>6401000</v>
      </c>
      <c r="M2639" s="3">
        <v>17300</v>
      </c>
      <c r="N2639" s="4">
        <v>1.456296E-2</v>
      </c>
      <c r="O2639" s="5" t="s">
        <v>44</v>
      </c>
      <c r="P2639" s="5" t="s">
        <v>44</v>
      </c>
      <c r="Q2639" s="1"/>
      <c r="R2639" s="2"/>
      <c r="S2639" s="6"/>
      <c r="T2639" t="s">
        <v>10902</v>
      </c>
      <c r="U2639" t="s">
        <v>10902</v>
      </c>
      <c r="V2639" t="s">
        <v>10902</v>
      </c>
      <c r="W2639" t="s">
        <v>43</v>
      </c>
      <c r="X2639" t="s">
        <v>11732</v>
      </c>
      <c r="Y2639" t="s">
        <v>11380</v>
      </c>
      <c r="Z2639" t="s">
        <v>11380</v>
      </c>
      <c r="AA2639" t="s">
        <v>44</v>
      </c>
      <c r="AB2639" t="s">
        <v>44</v>
      </c>
      <c r="AC2639" s="4"/>
      <c r="AD2639" s="4"/>
      <c r="AE2639" s="2">
        <v>0</v>
      </c>
      <c r="AF2639" s="4">
        <v>0</v>
      </c>
      <c r="AG2639" s="2">
        <v>0.48</v>
      </c>
      <c r="AH2639" s="2">
        <v>6401000</v>
      </c>
      <c r="AI2639" s="2">
        <v>0.01</v>
      </c>
      <c r="AJ2639" s="5">
        <v>44673</v>
      </c>
      <c r="AK2639" t="s">
        <v>12423</v>
      </c>
      <c r="AL2639" s="2">
        <v>0</v>
      </c>
      <c r="AM2639" s="2">
        <v>0</v>
      </c>
      <c r="AN2639" s="2">
        <v>0</v>
      </c>
      <c r="AO2639" t="s">
        <v>44</v>
      </c>
      <c r="AP2639" t="s">
        <v>11733</v>
      </c>
      <c r="AQ2639" t="s">
        <v>4841</v>
      </c>
    </row>
    <row r="2640" spans="1:43" x14ac:dyDescent="0.2">
      <c r="A2640" t="s">
        <v>12422</v>
      </c>
      <c r="B2640" t="s">
        <v>11037</v>
      </c>
      <c r="C2640" t="s">
        <v>11380</v>
      </c>
      <c r="D2640" t="s">
        <v>11381</v>
      </c>
      <c r="E2640" t="s">
        <v>5221</v>
      </c>
      <c r="F2640" t="s">
        <v>11381</v>
      </c>
      <c r="G2640" s="1">
        <v>29718</v>
      </c>
      <c r="H2640" s="2">
        <v>1230325.2</v>
      </c>
      <c r="I2640" s="2">
        <v>1322451</v>
      </c>
      <c r="J2640" s="2">
        <v>0</v>
      </c>
      <c r="K2640" s="2">
        <v>0</v>
      </c>
      <c r="L2640" s="2">
        <v>1322451</v>
      </c>
      <c r="M2640" s="3">
        <v>4450</v>
      </c>
      <c r="N2640" s="4">
        <v>3.0087199999999999E-3</v>
      </c>
      <c r="O2640" s="5" t="s">
        <v>44</v>
      </c>
      <c r="P2640" s="5" t="s">
        <v>44</v>
      </c>
      <c r="Q2640" s="1"/>
      <c r="R2640" s="2"/>
      <c r="S2640" s="6"/>
      <c r="T2640" t="s">
        <v>10902</v>
      </c>
      <c r="U2640" t="s">
        <v>10902</v>
      </c>
      <c r="V2640" t="s">
        <v>10902</v>
      </c>
      <c r="W2640" t="s">
        <v>43</v>
      </c>
      <c r="X2640" t="s">
        <v>11382</v>
      </c>
      <c r="Y2640" t="s">
        <v>11380</v>
      </c>
      <c r="Z2640" t="s">
        <v>11380</v>
      </c>
      <c r="AA2640" t="s">
        <v>44</v>
      </c>
      <c r="AB2640" t="s">
        <v>44</v>
      </c>
      <c r="AC2640" s="4"/>
      <c r="AD2640" s="4"/>
      <c r="AE2640" s="2">
        <v>0</v>
      </c>
      <c r="AF2640" s="4">
        <v>0</v>
      </c>
      <c r="AG2640" s="2">
        <v>0.1</v>
      </c>
      <c r="AH2640" s="2">
        <v>1322451</v>
      </c>
      <c r="AI2640" s="2">
        <v>0</v>
      </c>
      <c r="AJ2640" s="5">
        <v>44673</v>
      </c>
      <c r="AK2640" t="s">
        <v>12423</v>
      </c>
      <c r="AL2640" s="2">
        <v>0</v>
      </c>
      <c r="AM2640" s="2">
        <v>0</v>
      </c>
      <c r="AN2640" s="2">
        <v>0</v>
      </c>
      <c r="AO2640" t="s">
        <v>44</v>
      </c>
      <c r="AP2640" t="s">
        <v>11383</v>
      </c>
      <c r="AQ2640" t="s">
        <v>5221</v>
      </c>
    </row>
    <row r="2641" spans="1:43" x14ac:dyDescent="0.2">
      <c r="A2641" t="s">
        <v>12422</v>
      </c>
      <c r="B2641" t="s">
        <v>11037</v>
      </c>
      <c r="C2641" t="s">
        <v>11743</v>
      </c>
      <c r="D2641" t="s">
        <v>11744</v>
      </c>
      <c r="E2641" t="s">
        <v>11745</v>
      </c>
      <c r="F2641" t="s">
        <v>11746</v>
      </c>
      <c r="G2641" s="1">
        <v>5727</v>
      </c>
      <c r="H2641" s="2">
        <v>1088130</v>
      </c>
      <c r="I2641" s="2">
        <v>933329.19</v>
      </c>
      <c r="J2641" s="2">
        <v>0</v>
      </c>
      <c r="K2641" s="2">
        <v>0</v>
      </c>
      <c r="L2641" s="2">
        <v>933329.19</v>
      </c>
      <c r="M2641" s="3">
        <v>16297</v>
      </c>
      <c r="N2641" s="4">
        <v>2.12342E-3</v>
      </c>
      <c r="O2641" s="5" t="s">
        <v>44</v>
      </c>
      <c r="P2641" s="5" t="s">
        <v>44</v>
      </c>
      <c r="Q2641" s="1"/>
      <c r="R2641" s="2"/>
      <c r="S2641" s="6"/>
      <c r="T2641" t="s">
        <v>10902</v>
      </c>
      <c r="U2641" t="s">
        <v>10902</v>
      </c>
      <c r="V2641" t="s">
        <v>10902</v>
      </c>
      <c r="W2641" t="s">
        <v>43</v>
      </c>
      <c r="X2641" t="s">
        <v>11747</v>
      </c>
      <c r="Y2641" t="s">
        <v>11743</v>
      </c>
      <c r="Z2641" t="s">
        <v>11743</v>
      </c>
      <c r="AA2641" t="s">
        <v>44</v>
      </c>
      <c r="AB2641" t="s">
        <v>44</v>
      </c>
      <c r="AC2641" s="4"/>
      <c r="AD2641" s="4"/>
      <c r="AE2641" s="2">
        <v>0</v>
      </c>
      <c r="AF2641" s="4">
        <v>0</v>
      </c>
      <c r="AG2641" s="2">
        <v>7.0000000000000007E-2</v>
      </c>
      <c r="AH2641" s="2">
        <v>933329.19</v>
      </c>
      <c r="AI2641" s="2">
        <v>0</v>
      </c>
      <c r="AJ2641" s="5">
        <v>44673</v>
      </c>
      <c r="AK2641" t="s">
        <v>12423</v>
      </c>
      <c r="AL2641" s="2">
        <v>0</v>
      </c>
      <c r="AM2641" s="2">
        <v>0</v>
      </c>
      <c r="AN2641" s="2">
        <v>0</v>
      </c>
      <c r="AO2641" t="s">
        <v>44</v>
      </c>
      <c r="AP2641" t="s">
        <v>11748</v>
      </c>
      <c r="AQ2641" t="s">
        <v>11745</v>
      </c>
    </row>
    <row r="2642" spans="1:43" x14ac:dyDescent="0.2">
      <c r="A2642" t="s">
        <v>12422</v>
      </c>
      <c r="B2642" t="s">
        <v>11038</v>
      </c>
      <c r="C2642" t="s">
        <v>11870</v>
      </c>
      <c r="D2642" t="s">
        <v>12501</v>
      </c>
      <c r="E2642" t="s">
        <v>12502</v>
      </c>
      <c r="F2642" t="s">
        <v>12501</v>
      </c>
      <c r="G2642" s="1">
        <v>2783632.15</v>
      </c>
      <c r="H2642" s="2">
        <v>43254326</v>
      </c>
      <c r="I2642" s="2">
        <v>43463691.93</v>
      </c>
      <c r="J2642" s="2">
        <v>95346.240000000005</v>
      </c>
      <c r="K2642" s="2">
        <v>0</v>
      </c>
      <c r="L2642" s="2">
        <v>43559038.18</v>
      </c>
      <c r="M2642" s="3">
        <v>0.51</v>
      </c>
      <c r="N2642" s="4">
        <v>9.9101499999999995E-2</v>
      </c>
      <c r="O2642" s="5" t="s">
        <v>44</v>
      </c>
      <c r="P2642" s="5">
        <v>44698</v>
      </c>
      <c r="Q2642" s="1">
        <v>0.51</v>
      </c>
      <c r="R2642" s="2">
        <v>7.0000000000000007E-2</v>
      </c>
      <c r="S2642" s="6"/>
      <c r="T2642" t="s">
        <v>112</v>
      </c>
      <c r="U2642" t="s">
        <v>11040</v>
      </c>
      <c r="V2642" t="s">
        <v>11107</v>
      </c>
      <c r="W2642" t="s">
        <v>113</v>
      </c>
      <c r="X2642" t="s">
        <v>44</v>
      </c>
      <c r="Y2642" t="s">
        <v>44</v>
      </c>
      <c r="Z2642" t="s">
        <v>44</v>
      </c>
      <c r="AA2642" t="s">
        <v>11035</v>
      </c>
      <c r="AB2642" t="s">
        <v>44</v>
      </c>
      <c r="AC2642" s="4"/>
      <c r="AD2642" s="4"/>
      <c r="AE2642" s="2">
        <v>0</v>
      </c>
      <c r="AF2642" s="4">
        <v>0</v>
      </c>
      <c r="AG2642" s="2">
        <v>3.24</v>
      </c>
      <c r="AH2642" s="2">
        <v>43559038.18</v>
      </c>
      <c r="AI2642" s="2">
        <v>0.1</v>
      </c>
      <c r="AJ2642" s="5">
        <v>44673</v>
      </c>
      <c r="AK2642" t="s">
        <v>12423</v>
      </c>
      <c r="AL2642" s="2">
        <v>0</v>
      </c>
      <c r="AM2642" s="2">
        <v>0.51</v>
      </c>
      <c r="AN2642" s="2">
        <v>0</v>
      </c>
      <c r="AO2642" t="s">
        <v>11036</v>
      </c>
      <c r="AP2642" t="s">
        <v>44</v>
      </c>
      <c r="AQ2642" t="s">
        <v>12502</v>
      </c>
    </row>
    <row r="2643" spans="1:43" x14ac:dyDescent="0.2">
      <c r="A2643" t="s">
        <v>12422</v>
      </c>
      <c r="B2643" t="s">
        <v>11038</v>
      </c>
      <c r="C2643" t="s">
        <v>11052</v>
      </c>
      <c r="D2643" t="s">
        <v>12989</v>
      </c>
      <c r="E2643" t="s">
        <v>12990</v>
      </c>
      <c r="F2643" t="s">
        <v>12989</v>
      </c>
      <c r="G2643" s="1">
        <v>1263450</v>
      </c>
      <c r="H2643" s="2">
        <v>18921853.469999999</v>
      </c>
      <c r="I2643" s="2">
        <v>19727535.329999998</v>
      </c>
      <c r="J2643" s="2">
        <v>4296.2</v>
      </c>
      <c r="K2643" s="2">
        <v>0</v>
      </c>
      <c r="L2643" s="2">
        <v>19731831.530000001</v>
      </c>
      <c r="M2643" s="3">
        <v>1.96</v>
      </c>
      <c r="N2643" s="4">
        <v>4.4892040000000001E-2</v>
      </c>
      <c r="O2643" s="5" t="s">
        <v>44</v>
      </c>
      <c r="P2643" s="5">
        <v>44853</v>
      </c>
      <c r="Q2643" s="1">
        <v>1.96</v>
      </c>
      <c r="R2643" s="2">
        <v>0.49</v>
      </c>
      <c r="S2643" s="6"/>
      <c r="T2643" t="s">
        <v>112</v>
      </c>
      <c r="U2643" t="s">
        <v>11040</v>
      </c>
      <c r="V2643" t="s">
        <v>11107</v>
      </c>
      <c r="W2643" t="s">
        <v>113</v>
      </c>
      <c r="X2643" t="s">
        <v>44</v>
      </c>
      <c r="Y2643" t="s">
        <v>44</v>
      </c>
      <c r="Z2643" t="s">
        <v>44</v>
      </c>
      <c r="AA2643" t="s">
        <v>11035</v>
      </c>
      <c r="AB2643" t="s">
        <v>44</v>
      </c>
      <c r="AC2643" s="4"/>
      <c r="AD2643" s="4"/>
      <c r="AE2643" s="2">
        <v>0</v>
      </c>
      <c r="AF2643" s="4">
        <v>0</v>
      </c>
      <c r="AG2643" s="2">
        <v>1.47</v>
      </c>
      <c r="AH2643" s="2">
        <v>19731831.530000001</v>
      </c>
      <c r="AI2643" s="2">
        <v>0.04</v>
      </c>
      <c r="AJ2643" s="5">
        <v>44673</v>
      </c>
      <c r="AK2643" t="s">
        <v>12423</v>
      </c>
      <c r="AL2643" s="2">
        <v>0</v>
      </c>
      <c r="AM2643" s="2">
        <v>1.96</v>
      </c>
      <c r="AN2643" s="2">
        <v>0</v>
      </c>
      <c r="AO2643" t="s">
        <v>11036</v>
      </c>
      <c r="AP2643" t="s">
        <v>44</v>
      </c>
      <c r="AQ2643" t="s">
        <v>12990</v>
      </c>
    </row>
    <row r="2644" spans="1:43" x14ac:dyDescent="0.2">
      <c r="A2644" t="s">
        <v>12422</v>
      </c>
      <c r="B2644" t="s">
        <v>11038</v>
      </c>
      <c r="C2644" t="s">
        <v>11052</v>
      </c>
      <c r="D2644" t="s">
        <v>13020</v>
      </c>
      <c r="E2644" t="s">
        <v>13021</v>
      </c>
      <c r="F2644" t="s">
        <v>13020</v>
      </c>
      <c r="G2644" s="1">
        <v>1263300</v>
      </c>
      <c r="H2644" s="2">
        <v>18919607.02</v>
      </c>
      <c r="I2644" s="2">
        <v>19725193.219999999</v>
      </c>
      <c r="J2644" s="2">
        <v>4295.7299999999996</v>
      </c>
      <c r="K2644" s="2">
        <v>0</v>
      </c>
      <c r="L2644" s="2">
        <v>19729488.960000001</v>
      </c>
      <c r="M2644" s="3">
        <v>1.96</v>
      </c>
      <c r="N2644" s="4">
        <v>4.4886710000000003E-2</v>
      </c>
      <c r="O2644" s="5" t="s">
        <v>44</v>
      </c>
      <c r="P2644" s="5">
        <v>44853</v>
      </c>
      <c r="Q2644" s="1">
        <v>1.96</v>
      </c>
      <c r="R2644" s="2">
        <v>0.49</v>
      </c>
      <c r="S2644" s="6"/>
      <c r="T2644" t="s">
        <v>112</v>
      </c>
      <c r="U2644" t="s">
        <v>11040</v>
      </c>
      <c r="V2644" t="s">
        <v>11107</v>
      </c>
      <c r="W2644" t="s">
        <v>113</v>
      </c>
      <c r="X2644" t="s">
        <v>44</v>
      </c>
      <c r="Y2644" t="s">
        <v>44</v>
      </c>
      <c r="Z2644" t="s">
        <v>44</v>
      </c>
      <c r="AA2644" t="s">
        <v>11035</v>
      </c>
      <c r="AB2644" t="s">
        <v>44</v>
      </c>
      <c r="AC2644" s="4"/>
      <c r="AD2644" s="4"/>
      <c r="AE2644" s="2">
        <v>0</v>
      </c>
      <c r="AF2644" s="4">
        <v>0</v>
      </c>
      <c r="AG2644" s="2">
        <v>1.47</v>
      </c>
      <c r="AH2644" s="2">
        <v>19729488.960000001</v>
      </c>
      <c r="AI2644" s="2">
        <v>0.04</v>
      </c>
      <c r="AJ2644" s="5">
        <v>44673</v>
      </c>
      <c r="AK2644" t="s">
        <v>12423</v>
      </c>
      <c r="AL2644" s="2">
        <v>0</v>
      </c>
      <c r="AM2644" s="2">
        <v>1.96</v>
      </c>
      <c r="AN2644" s="2">
        <v>0</v>
      </c>
      <c r="AO2644" t="s">
        <v>11036</v>
      </c>
      <c r="AP2644" t="s">
        <v>44</v>
      </c>
      <c r="AQ2644" t="s">
        <v>13021</v>
      </c>
    </row>
    <row r="2645" spans="1:43" x14ac:dyDescent="0.2">
      <c r="A2645" t="s">
        <v>12422</v>
      </c>
      <c r="B2645" t="s">
        <v>11038</v>
      </c>
      <c r="C2645" t="s">
        <v>11052</v>
      </c>
      <c r="D2645" t="s">
        <v>13022</v>
      </c>
      <c r="E2645" t="s">
        <v>13023</v>
      </c>
      <c r="F2645" t="s">
        <v>13022</v>
      </c>
      <c r="G2645" s="1">
        <v>1263400</v>
      </c>
      <c r="H2645" s="2">
        <v>18921104.649999999</v>
      </c>
      <c r="I2645" s="2">
        <v>19726754.629999999</v>
      </c>
      <c r="J2645" s="2">
        <v>4296.04</v>
      </c>
      <c r="K2645" s="2">
        <v>0</v>
      </c>
      <c r="L2645" s="2">
        <v>19731050.670000002</v>
      </c>
      <c r="M2645" s="3">
        <v>1.96</v>
      </c>
      <c r="N2645" s="4">
        <v>4.4890260000000001E-2</v>
      </c>
      <c r="O2645" s="5" t="s">
        <v>44</v>
      </c>
      <c r="P2645" s="5">
        <v>44853</v>
      </c>
      <c r="Q2645" s="1">
        <v>1.96</v>
      </c>
      <c r="R2645" s="2">
        <v>0.49</v>
      </c>
      <c r="S2645" s="6"/>
      <c r="T2645" t="s">
        <v>112</v>
      </c>
      <c r="U2645" t="s">
        <v>11040</v>
      </c>
      <c r="V2645" t="s">
        <v>11107</v>
      </c>
      <c r="W2645" t="s">
        <v>113</v>
      </c>
      <c r="X2645" t="s">
        <v>44</v>
      </c>
      <c r="Y2645" t="s">
        <v>44</v>
      </c>
      <c r="Z2645" t="s">
        <v>44</v>
      </c>
      <c r="AA2645" t="s">
        <v>11035</v>
      </c>
      <c r="AB2645" t="s">
        <v>44</v>
      </c>
      <c r="AC2645" s="4"/>
      <c r="AD2645" s="4"/>
      <c r="AE2645" s="2">
        <v>0</v>
      </c>
      <c r="AF2645" s="4">
        <v>0</v>
      </c>
      <c r="AG2645" s="2">
        <v>1.47</v>
      </c>
      <c r="AH2645" s="2">
        <v>19731050.670000002</v>
      </c>
      <c r="AI2645" s="2">
        <v>0.04</v>
      </c>
      <c r="AJ2645" s="5">
        <v>44673</v>
      </c>
      <c r="AK2645" t="s">
        <v>12423</v>
      </c>
      <c r="AL2645" s="2">
        <v>0</v>
      </c>
      <c r="AM2645" s="2">
        <v>1.96</v>
      </c>
      <c r="AN2645" s="2">
        <v>0</v>
      </c>
      <c r="AO2645" t="s">
        <v>11036</v>
      </c>
      <c r="AP2645" t="s">
        <v>44</v>
      </c>
      <c r="AQ2645" t="s">
        <v>13023</v>
      </c>
    </row>
    <row r="2646" spans="1:43" x14ac:dyDescent="0.2">
      <c r="A2646" t="s">
        <v>12422</v>
      </c>
      <c r="B2646" t="s">
        <v>11038</v>
      </c>
      <c r="C2646" t="s">
        <v>11039</v>
      </c>
      <c r="D2646" t="s">
        <v>11387</v>
      </c>
      <c r="E2646" t="s">
        <v>11388</v>
      </c>
      <c r="F2646" t="s">
        <v>11387</v>
      </c>
      <c r="G2646" s="1">
        <v>19000000</v>
      </c>
      <c r="H2646" s="2">
        <v>19000000</v>
      </c>
      <c r="I2646" s="2">
        <v>18971725.23</v>
      </c>
      <c r="J2646" s="2">
        <v>399156.16</v>
      </c>
      <c r="K2646" s="2">
        <v>0</v>
      </c>
      <c r="L2646" s="2">
        <v>19370881.390000001</v>
      </c>
      <c r="M2646" s="3">
        <v>5.5360769999999997</v>
      </c>
      <c r="N2646" s="4">
        <v>4.407084E-2</v>
      </c>
      <c r="O2646" s="5">
        <v>44897</v>
      </c>
      <c r="P2646" s="5">
        <v>44897</v>
      </c>
      <c r="Q2646" s="1">
        <v>5.4</v>
      </c>
      <c r="R2646" s="2">
        <v>0.61</v>
      </c>
      <c r="S2646" s="6">
        <v>0.58584213564999998</v>
      </c>
      <c r="T2646" t="s">
        <v>111</v>
      </c>
      <c r="U2646" t="s">
        <v>11040</v>
      </c>
      <c r="V2646" t="s">
        <v>11041</v>
      </c>
      <c r="W2646" t="s">
        <v>43</v>
      </c>
      <c r="X2646" t="s">
        <v>11034</v>
      </c>
      <c r="Y2646" t="s">
        <v>44</v>
      </c>
      <c r="Z2646" t="s">
        <v>44</v>
      </c>
      <c r="AA2646" t="s">
        <v>10979</v>
      </c>
      <c r="AB2646" t="s">
        <v>44</v>
      </c>
      <c r="AC2646" s="4">
        <v>5.5963009100000001</v>
      </c>
      <c r="AD2646" s="4">
        <v>5.4576890300000001</v>
      </c>
      <c r="AE2646" s="2">
        <v>5.6</v>
      </c>
      <c r="AF2646" s="4">
        <v>5.4576890300000001</v>
      </c>
      <c r="AG2646" s="2">
        <v>1.44</v>
      </c>
      <c r="AH2646" s="2">
        <v>19370881.390000001</v>
      </c>
      <c r="AI2646" s="2">
        <v>0.04</v>
      </c>
      <c r="AJ2646" s="5">
        <v>44673</v>
      </c>
      <c r="AK2646" t="s">
        <v>12423</v>
      </c>
      <c r="AL2646" s="2">
        <v>5.52</v>
      </c>
      <c r="AM2646" s="2">
        <v>5.4</v>
      </c>
      <c r="AN2646" s="2">
        <v>0.59</v>
      </c>
      <c r="AO2646" t="s">
        <v>11165</v>
      </c>
      <c r="AP2646" t="s">
        <v>11389</v>
      </c>
      <c r="AQ2646" t="s">
        <v>11388</v>
      </c>
    </row>
    <row r="2647" spans="1:43" x14ac:dyDescent="0.2">
      <c r="A2647" t="s">
        <v>12422</v>
      </c>
      <c r="B2647" t="s">
        <v>11038</v>
      </c>
      <c r="C2647" t="s">
        <v>11039</v>
      </c>
      <c r="D2647" t="s">
        <v>11971</v>
      </c>
      <c r="E2647" t="s">
        <v>11972</v>
      </c>
      <c r="F2647" t="s">
        <v>11971</v>
      </c>
      <c r="G2647" s="1">
        <v>51000000</v>
      </c>
      <c r="H2647" s="2">
        <v>51000000</v>
      </c>
      <c r="I2647" s="2">
        <v>50947151.829999998</v>
      </c>
      <c r="J2647" s="2">
        <v>604873.97</v>
      </c>
      <c r="K2647" s="2">
        <v>0</v>
      </c>
      <c r="L2647" s="2">
        <v>51552025.799999997</v>
      </c>
      <c r="M2647" s="3">
        <v>5.914955</v>
      </c>
      <c r="N2647" s="4">
        <v>0.11728640999999999</v>
      </c>
      <c r="O2647" s="5">
        <v>44965</v>
      </c>
      <c r="P2647" s="5">
        <v>44965</v>
      </c>
      <c r="Q2647" s="1">
        <v>5.85</v>
      </c>
      <c r="R2647" s="2">
        <v>0.79</v>
      </c>
      <c r="S2647" s="6">
        <v>0.75635794914999999</v>
      </c>
      <c r="T2647" t="s">
        <v>111</v>
      </c>
      <c r="U2647" t="s">
        <v>11040</v>
      </c>
      <c r="V2647" t="s">
        <v>11041</v>
      </c>
      <c r="W2647" t="s">
        <v>43</v>
      </c>
      <c r="X2647" t="s">
        <v>11034</v>
      </c>
      <c r="Y2647" t="s">
        <v>44</v>
      </c>
      <c r="Z2647" t="s">
        <v>44</v>
      </c>
      <c r="AA2647" t="s">
        <v>10979</v>
      </c>
      <c r="AB2647" t="s">
        <v>44</v>
      </c>
      <c r="AC2647" s="4">
        <v>5.9509684500000004</v>
      </c>
      <c r="AD2647" s="4">
        <v>5.7945694899999998</v>
      </c>
      <c r="AE2647" s="2">
        <v>5.95</v>
      </c>
      <c r="AF2647" s="4">
        <v>5.7945694899999998</v>
      </c>
      <c r="AG2647" s="2">
        <v>3.83</v>
      </c>
      <c r="AH2647" s="2">
        <v>51552025.799999997</v>
      </c>
      <c r="AI2647" s="2">
        <v>0.12</v>
      </c>
      <c r="AJ2647" s="5">
        <v>44673</v>
      </c>
      <c r="AK2647" t="s">
        <v>12423</v>
      </c>
      <c r="AL2647" s="2">
        <v>5.86</v>
      </c>
      <c r="AM2647" s="2">
        <v>5.85</v>
      </c>
      <c r="AN2647" s="2">
        <v>0.76</v>
      </c>
      <c r="AO2647" t="s">
        <v>11165</v>
      </c>
      <c r="AP2647" t="s">
        <v>11973</v>
      </c>
      <c r="AQ2647" t="s">
        <v>11972</v>
      </c>
    </row>
    <row r="2648" spans="1:43" x14ac:dyDescent="0.2">
      <c r="A2648" t="s">
        <v>12422</v>
      </c>
      <c r="B2648" t="s">
        <v>11038</v>
      </c>
      <c r="C2648" t="s">
        <v>11039</v>
      </c>
      <c r="D2648" t="s">
        <v>12090</v>
      </c>
      <c r="E2648" t="s">
        <v>12091</v>
      </c>
      <c r="F2648" t="s">
        <v>12090</v>
      </c>
      <c r="G2648" s="1">
        <v>19000000</v>
      </c>
      <c r="H2648" s="2">
        <v>19000000</v>
      </c>
      <c r="I2648" s="2">
        <v>18994221.739999998</v>
      </c>
      <c r="J2648" s="2">
        <v>161942.47</v>
      </c>
      <c r="K2648" s="2">
        <v>0</v>
      </c>
      <c r="L2648" s="2">
        <v>19156164.210000001</v>
      </c>
      <c r="M2648" s="3">
        <v>6.0835429999999997</v>
      </c>
      <c r="N2648" s="4">
        <v>4.3582339999999997E-2</v>
      </c>
      <c r="O2648" s="5">
        <v>44988</v>
      </c>
      <c r="P2648" s="5">
        <v>44988</v>
      </c>
      <c r="Q2648" s="1">
        <v>6.1</v>
      </c>
      <c r="R2648" s="2">
        <v>0.85</v>
      </c>
      <c r="S2648" s="6">
        <v>0.81254093581999998</v>
      </c>
      <c r="T2648" t="s">
        <v>111</v>
      </c>
      <c r="U2648" t="s">
        <v>11040</v>
      </c>
      <c r="V2648" t="s">
        <v>11041</v>
      </c>
      <c r="W2648" t="s">
        <v>43</v>
      </c>
      <c r="X2648" t="s">
        <v>11034</v>
      </c>
      <c r="Y2648" t="s">
        <v>44</v>
      </c>
      <c r="Z2648" t="s">
        <v>44</v>
      </c>
      <c r="AA2648" t="s">
        <v>10979</v>
      </c>
      <c r="AB2648" t="s">
        <v>44</v>
      </c>
      <c r="AC2648" s="4">
        <v>6.1100351799999997</v>
      </c>
      <c r="AD2648" s="4">
        <v>5.9453231400000002</v>
      </c>
      <c r="AE2648" s="2">
        <v>6.11</v>
      </c>
      <c r="AF2648" s="4">
        <v>5.9453231400000002</v>
      </c>
      <c r="AG2648" s="2">
        <v>1.42</v>
      </c>
      <c r="AH2648" s="2">
        <v>19156164.210000001</v>
      </c>
      <c r="AI2648" s="2">
        <v>0.04</v>
      </c>
      <c r="AJ2648" s="5">
        <v>44673</v>
      </c>
      <c r="AK2648" t="s">
        <v>12423</v>
      </c>
      <c r="AL2648" s="2">
        <v>6.02</v>
      </c>
      <c r="AM2648" s="2">
        <v>6.1</v>
      </c>
      <c r="AN2648" s="2">
        <v>0.81</v>
      </c>
      <c r="AO2648" t="s">
        <v>11165</v>
      </c>
      <c r="AP2648" t="s">
        <v>12092</v>
      </c>
      <c r="AQ2648" t="s">
        <v>12091</v>
      </c>
    </row>
    <row r="2649" spans="1:43" x14ac:dyDescent="0.2">
      <c r="A2649" t="s">
        <v>12422</v>
      </c>
      <c r="B2649" t="s">
        <v>11038</v>
      </c>
      <c r="C2649" t="s">
        <v>11039</v>
      </c>
      <c r="D2649" t="s">
        <v>12858</v>
      </c>
      <c r="E2649" t="s">
        <v>12859</v>
      </c>
      <c r="F2649" t="s">
        <v>12858</v>
      </c>
      <c r="G2649" s="1">
        <v>32000000</v>
      </c>
      <c r="H2649" s="2">
        <v>32000000</v>
      </c>
      <c r="I2649" s="2">
        <v>32059641.420000002</v>
      </c>
      <c r="J2649" s="2">
        <v>135504.66</v>
      </c>
      <c r="K2649" s="2">
        <v>0</v>
      </c>
      <c r="L2649" s="2">
        <v>32195146.079999998</v>
      </c>
      <c r="M2649" s="3">
        <v>6.1993330000000002</v>
      </c>
      <c r="N2649" s="4">
        <v>7.3247419999999994E-2</v>
      </c>
      <c r="O2649" s="5">
        <v>45015</v>
      </c>
      <c r="P2649" s="5">
        <v>45015</v>
      </c>
      <c r="Q2649" s="1">
        <v>6.44</v>
      </c>
      <c r="R2649" s="2">
        <v>0.93</v>
      </c>
      <c r="S2649" s="6">
        <v>0.87820253481999999</v>
      </c>
      <c r="T2649" t="s">
        <v>111</v>
      </c>
      <c r="U2649" t="s">
        <v>11040</v>
      </c>
      <c r="V2649" t="s">
        <v>11041</v>
      </c>
      <c r="W2649" t="s">
        <v>43</v>
      </c>
      <c r="X2649" t="s">
        <v>11034</v>
      </c>
      <c r="Y2649" t="s">
        <v>44</v>
      </c>
      <c r="Z2649" t="s">
        <v>44</v>
      </c>
      <c r="AA2649" t="s">
        <v>10979</v>
      </c>
      <c r="AB2649" t="s">
        <v>44</v>
      </c>
      <c r="AC2649" s="4">
        <v>6.2127848300000004</v>
      </c>
      <c r="AD2649" s="4">
        <v>6.0425928500000001</v>
      </c>
      <c r="AE2649" s="2">
        <v>6.21</v>
      </c>
      <c r="AF2649" s="4">
        <v>6.0425928500000001</v>
      </c>
      <c r="AG2649" s="2">
        <v>2.39</v>
      </c>
      <c r="AH2649" s="2">
        <v>32195146.079999998</v>
      </c>
      <c r="AI2649" s="2">
        <v>7.0000000000000007E-2</v>
      </c>
      <c r="AJ2649" s="5">
        <v>44673</v>
      </c>
      <c r="AK2649" t="s">
        <v>12423</v>
      </c>
      <c r="AL2649" s="2">
        <v>6.12</v>
      </c>
      <c r="AM2649" s="2">
        <v>6.44</v>
      </c>
      <c r="AN2649" s="2">
        <v>0.88</v>
      </c>
      <c r="AO2649" t="s">
        <v>11165</v>
      </c>
      <c r="AP2649" t="s">
        <v>12860</v>
      </c>
      <c r="AQ2649" t="s">
        <v>12859</v>
      </c>
    </row>
    <row r="2650" spans="1:43" x14ac:dyDescent="0.2">
      <c r="A2650" t="s">
        <v>12422</v>
      </c>
      <c r="B2650" t="s">
        <v>11038</v>
      </c>
      <c r="C2650" t="s">
        <v>11039</v>
      </c>
      <c r="D2650" t="s">
        <v>12503</v>
      </c>
      <c r="E2650" t="s">
        <v>12504</v>
      </c>
      <c r="F2650" t="s">
        <v>12503</v>
      </c>
      <c r="G2650" s="1">
        <v>1300000</v>
      </c>
      <c r="H2650" s="2">
        <v>19848237.32</v>
      </c>
      <c r="I2650" s="2">
        <v>20298227.809999999</v>
      </c>
      <c r="J2650" s="2">
        <v>54094.78</v>
      </c>
      <c r="K2650" s="2">
        <v>0</v>
      </c>
      <c r="L2650" s="2">
        <v>20352322.579999998</v>
      </c>
      <c r="M2650" s="3">
        <v>1.23</v>
      </c>
      <c r="N2650" s="4">
        <v>4.6303730000000001E-2</v>
      </c>
      <c r="O2650" s="5" t="s">
        <v>44</v>
      </c>
      <c r="P2650" s="5">
        <v>44869</v>
      </c>
      <c r="Q2650" s="1">
        <v>1.23</v>
      </c>
      <c r="R2650" s="2">
        <v>0.53</v>
      </c>
      <c r="S2650" s="6"/>
      <c r="T2650" t="s">
        <v>112</v>
      </c>
      <c r="U2650" t="s">
        <v>11040</v>
      </c>
      <c r="V2650" t="s">
        <v>11107</v>
      </c>
      <c r="W2650" t="s">
        <v>113</v>
      </c>
      <c r="X2650" t="s">
        <v>44</v>
      </c>
      <c r="Y2650" t="s">
        <v>44</v>
      </c>
      <c r="Z2650" t="s">
        <v>44</v>
      </c>
      <c r="AA2650" t="s">
        <v>10979</v>
      </c>
      <c r="AB2650" t="s">
        <v>44</v>
      </c>
      <c r="AC2650" s="4"/>
      <c r="AD2650" s="4"/>
      <c r="AE2650" s="2">
        <v>0</v>
      </c>
      <c r="AF2650" s="4">
        <v>0</v>
      </c>
      <c r="AG2650" s="2">
        <v>1.51</v>
      </c>
      <c r="AH2650" s="2">
        <v>20352322.579999998</v>
      </c>
      <c r="AI2650" s="2">
        <v>0.05</v>
      </c>
      <c r="AJ2650" s="5">
        <v>44673</v>
      </c>
      <c r="AK2650" t="s">
        <v>12423</v>
      </c>
      <c r="AL2650" s="2">
        <v>0</v>
      </c>
      <c r="AM2650" s="2">
        <v>1.23</v>
      </c>
      <c r="AN2650" s="2">
        <v>0</v>
      </c>
      <c r="AO2650" t="s">
        <v>11054</v>
      </c>
      <c r="AP2650" t="s">
        <v>44</v>
      </c>
      <c r="AQ2650" t="s">
        <v>12504</v>
      </c>
    </row>
    <row r="2651" spans="1:43" x14ac:dyDescent="0.2">
      <c r="A2651" t="s">
        <v>12422</v>
      </c>
      <c r="B2651" t="s">
        <v>11038</v>
      </c>
      <c r="C2651" t="s">
        <v>11039</v>
      </c>
      <c r="D2651" t="s">
        <v>12505</v>
      </c>
      <c r="E2651" t="s">
        <v>12506</v>
      </c>
      <c r="F2651" t="s">
        <v>12505</v>
      </c>
      <c r="G2651" s="1">
        <v>1300000</v>
      </c>
      <c r="H2651" s="2">
        <v>19848237.32</v>
      </c>
      <c r="I2651" s="2">
        <v>20298227.809999999</v>
      </c>
      <c r="J2651" s="2">
        <v>69487.55</v>
      </c>
      <c r="K2651" s="2">
        <v>0</v>
      </c>
      <c r="L2651" s="2">
        <v>20367715.359999999</v>
      </c>
      <c r="M2651" s="3">
        <v>1.58</v>
      </c>
      <c r="N2651" s="4">
        <v>4.6338749999999998E-2</v>
      </c>
      <c r="O2651" s="5" t="s">
        <v>44</v>
      </c>
      <c r="P2651" s="5">
        <v>44963</v>
      </c>
      <c r="Q2651" s="1">
        <v>1.58</v>
      </c>
      <c r="R2651" s="2">
        <v>0.79</v>
      </c>
      <c r="S2651" s="6"/>
      <c r="T2651" t="s">
        <v>112</v>
      </c>
      <c r="U2651" t="s">
        <v>11040</v>
      </c>
      <c r="V2651" t="s">
        <v>11107</v>
      </c>
      <c r="W2651" t="s">
        <v>113</v>
      </c>
      <c r="X2651" t="s">
        <v>44</v>
      </c>
      <c r="Y2651" t="s">
        <v>44</v>
      </c>
      <c r="Z2651" t="s">
        <v>44</v>
      </c>
      <c r="AA2651" t="s">
        <v>10979</v>
      </c>
      <c r="AB2651" t="s">
        <v>44</v>
      </c>
      <c r="AC2651" s="4"/>
      <c r="AD2651" s="4"/>
      <c r="AE2651" s="2">
        <v>0</v>
      </c>
      <c r="AF2651" s="4">
        <v>0</v>
      </c>
      <c r="AG2651" s="2">
        <v>1.51</v>
      </c>
      <c r="AH2651" s="2">
        <v>20367715.359999999</v>
      </c>
      <c r="AI2651" s="2">
        <v>0.05</v>
      </c>
      <c r="AJ2651" s="5">
        <v>44673</v>
      </c>
      <c r="AK2651" t="s">
        <v>12423</v>
      </c>
      <c r="AL2651" s="2">
        <v>0</v>
      </c>
      <c r="AM2651" s="2">
        <v>1.58</v>
      </c>
      <c r="AN2651" s="2">
        <v>0</v>
      </c>
      <c r="AO2651" t="s">
        <v>11054</v>
      </c>
      <c r="AP2651" t="s">
        <v>44</v>
      </c>
      <c r="AQ2651" t="s">
        <v>12506</v>
      </c>
    </row>
    <row r="2652" spans="1:43" x14ac:dyDescent="0.2">
      <c r="A2652" t="s">
        <v>12422</v>
      </c>
      <c r="B2652" t="s">
        <v>11038</v>
      </c>
      <c r="C2652" t="s">
        <v>11039</v>
      </c>
      <c r="D2652" t="s">
        <v>12753</v>
      </c>
      <c r="E2652" t="s">
        <v>12754</v>
      </c>
      <c r="F2652" t="s">
        <v>12753</v>
      </c>
      <c r="G2652" s="1">
        <v>2809227.6</v>
      </c>
      <c r="H2652" s="2">
        <v>41458494.689999998</v>
      </c>
      <c r="I2652" s="2">
        <v>43863339.840000004</v>
      </c>
      <c r="J2652" s="2">
        <v>90650.95</v>
      </c>
      <c r="K2652" s="2">
        <v>0</v>
      </c>
      <c r="L2652" s="2">
        <v>43953990.789999999</v>
      </c>
      <c r="M2652" s="3">
        <v>2.48</v>
      </c>
      <c r="N2652" s="4">
        <v>0.10000006</v>
      </c>
      <c r="O2652" s="5" t="s">
        <v>44</v>
      </c>
      <c r="P2652" s="5">
        <v>45008</v>
      </c>
      <c r="Q2652" s="1">
        <v>2.48</v>
      </c>
      <c r="R2652" s="2">
        <v>0.92</v>
      </c>
      <c r="S2652" s="6"/>
      <c r="T2652" t="s">
        <v>112</v>
      </c>
      <c r="U2652" t="s">
        <v>11040</v>
      </c>
      <c r="V2652" t="s">
        <v>11107</v>
      </c>
      <c r="W2652" t="s">
        <v>113</v>
      </c>
      <c r="X2652" t="s">
        <v>44</v>
      </c>
      <c r="Y2652" t="s">
        <v>44</v>
      </c>
      <c r="Z2652" t="s">
        <v>44</v>
      </c>
      <c r="AA2652" t="s">
        <v>10979</v>
      </c>
      <c r="AB2652" t="s">
        <v>44</v>
      </c>
      <c r="AC2652" s="4"/>
      <c r="AD2652" s="4"/>
      <c r="AE2652" s="2">
        <v>0</v>
      </c>
      <c r="AF2652" s="4">
        <v>0</v>
      </c>
      <c r="AG2652" s="2">
        <v>3.27</v>
      </c>
      <c r="AH2652" s="2">
        <v>43953990.789999999</v>
      </c>
      <c r="AI2652" s="2">
        <v>0.1</v>
      </c>
      <c r="AJ2652" s="5">
        <v>44673</v>
      </c>
      <c r="AK2652" t="s">
        <v>12423</v>
      </c>
      <c r="AL2652" s="2">
        <v>0</v>
      </c>
      <c r="AM2652" s="2">
        <v>2.48</v>
      </c>
      <c r="AN2652" s="2">
        <v>0</v>
      </c>
      <c r="AO2652" t="s">
        <v>11054</v>
      </c>
      <c r="AP2652" t="s">
        <v>44</v>
      </c>
      <c r="AQ2652" t="s">
        <v>12754</v>
      </c>
    </row>
    <row r="2653" spans="1:43" x14ac:dyDescent="0.2">
      <c r="A2653" t="s">
        <v>12422</v>
      </c>
      <c r="B2653" t="s">
        <v>11038</v>
      </c>
      <c r="C2653" t="s">
        <v>11039</v>
      </c>
      <c r="D2653" t="s">
        <v>12755</v>
      </c>
      <c r="E2653" t="s">
        <v>12756</v>
      </c>
      <c r="F2653" t="s">
        <v>12755</v>
      </c>
      <c r="G2653" s="1">
        <v>1000000</v>
      </c>
      <c r="H2653" s="2">
        <v>14575984.609999999</v>
      </c>
      <c r="I2653" s="2">
        <v>15614021.390000001</v>
      </c>
      <c r="J2653" s="2">
        <v>27694.59</v>
      </c>
      <c r="K2653" s="2">
        <v>0</v>
      </c>
      <c r="L2653" s="2">
        <v>15641715.98</v>
      </c>
      <c r="M2653" s="3">
        <v>2.4900000000000002</v>
      </c>
      <c r="N2653" s="4">
        <v>3.5586590000000001E-2</v>
      </c>
      <c r="O2653" s="5" t="s">
        <v>44</v>
      </c>
      <c r="P2653" s="5">
        <v>45013</v>
      </c>
      <c r="Q2653" s="1">
        <v>2.4900000000000002</v>
      </c>
      <c r="R2653" s="2">
        <v>0.93</v>
      </c>
      <c r="S2653" s="6"/>
      <c r="T2653" t="s">
        <v>112</v>
      </c>
      <c r="U2653" t="s">
        <v>11040</v>
      </c>
      <c r="V2653" t="s">
        <v>11107</v>
      </c>
      <c r="W2653" t="s">
        <v>113</v>
      </c>
      <c r="X2653" t="s">
        <v>44</v>
      </c>
      <c r="Y2653" t="s">
        <v>44</v>
      </c>
      <c r="Z2653" t="s">
        <v>44</v>
      </c>
      <c r="AA2653" t="s">
        <v>10979</v>
      </c>
      <c r="AB2653" t="s">
        <v>44</v>
      </c>
      <c r="AC2653" s="4"/>
      <c r="AD2653" s="4"/>
      <c r="AE2653" s="2">
        <v>0</v>
      </c>
      <c r="AF2653" s="4">
        <v>0</v>
      </c>
      <c r="AG2653" s="2">
        <v>1.1599999999999999</v>
      </c>
      <c r="AH2653" s="2">
        <v>15641715.98</v>
      </c>
      <c r="AI2653" s="2">
        <v>0.04</v>
      </c>
      <c r="AJ2653" s="5">
        <v>44673</v>
      </c>
      <c r="AK2653" t="s">
        <v>12423</v>
      </c>
      <c r="AL2653" s="2">
        <v>0</v>
      </c>
      <c r="AM2653" s="2">
        <v>2.4900000000000002</v>
      </c>
      <c r="AN2653" s="2">
        <v>0</v>
      </c>
      <c r="AO2653" t="s">
        <v>11054</v>
      </c>
      <c r="AP2653" t="s">
        <v>44</v>
      </c>
      <c r="AQ2653" t="s">
        <v>12756</v>
      </c>
    </row>
    <row r="2654" spans="1:43" x14ac:dyDescent="0.2">
      <c r="A2654" t="s">
        <v>12422</v>
      </c>
      <c r="B2654" t="s">
        <v>11038</v>
      </c>
      <c r="C2654" t="s">
        <v>11039</v>
      </c>
      <c r="D2654" t="s">
        <v>12991</v>
      </c>
      <c r="E2654" t="s">
        <v>12992</v>
      </c>
      <c r="F2654" t="s">
        <v>12991</v>
      </c>
      <c r="G2654" s="1">
        <v>1263453.1299999999</v>
      </c>
      <c r="H2654" s="2">
        <v>18921900.34</v>
      </c>
      <c r="I2654" s="2">
        <v>19727584.199999999</v>
      </c>
      <c r="J2654" s="2">
        <v>5962.21</v>
      </c>
      <c r="K2654" s="2">
        <v>0</v>
      </c>
      <c r="L2654" s="2">
        <v>19733546.420000002</v>
      </c>
      <c r="M2654" s="3">
        <v>2.72</v>
      </c>
      <c r="N2654" s="4">
        <v>4.4895940000000002E-2</v>
      </c>
      <c r="O2654" s="5" t="s">
        <v>44</v>
      </c>
      <c r="P2654" s="5">
        <v>45035</v>
      </c>
      <c r="Q2654" s="1">
        <v>2.72</v>
      </c>
      <c r="R2654" s="2">
        <v>0.99</v>
      </c>
      <c r="S2654" s="6"/>
      <c r="T2654" t="s">
        <v>112</v>
      </c>
      <c r="U2654" t="s">
        <v>11040</v>
      </c>
      <c r="V2654" t="s">
        <v>11107</v>
      </c>
      <c r="W2654" t="s">
        <v>113</v>
      </c>
      <c r="X2654" t="s">
        <v>44</v>
      </c>
      <c r="Y2654" t="s">
        <v>44</v>
      </c>
      <c r="Z2654" t="s">
        <v>44</v>
      </c>
      <c r="AA2654" t="s">
        <v>10979</v>
      </c>
      <c r="AB2654" t="s">
        <v>44</v>
      </c>
      <c r="AC2654" s="4"/>
      <c r="AD2654" s="4"/>
      <c r="AE2654" s="2">
        <v>0</v>
      </c>
      <c r="AF2654" s="4">
        <v>0</v>
      </c>
      <c r="AG2654" s="2">
        <v>1.47</v>
      </c>
      <c r="AH2654" s="2">
        <v>19733546.420000002</v>
      </c>
      <c r="AI2654" s="2">
        <v>0.04</v>
      </c>
      <c r="AJ2654" s="5">
        <v>44673</v>
      </c>
      <c r="AK2654" t="s">
        <v>12423</v>
      </c>
      <c r="AL2654" s="2">
        <v>0</v>
      </c>
      <c r="AM2654" s="2">
        <v>2.72</v>
      </c>
      <c r="AN2654" s="2">
        <v>0</v>
      </c>
      <c r="AO2654" t="s">
        <v>11054</v>
      </c>
      <c r="AP2654" t="s">
        <v>44</v>
      </c>
      <c r="AQ2654" t="s">
        <v>12992</v>
      </c>
    </row>
    <row r="2655" spans="1:43" x14ac:dyDescent="0.2">
      <c r="A2655" t="s">
        <v>12422</v>
      </c>
      <c r="B2655" t="s">
        <v>11038</v>
      </c>
      <c r="C2655" t="s">
        <v>11039</v>
      </c>
      <c r="D2655" t="s">
        <v>13024</v>
      </c>
      <c r="E2655" t="s">
        <v>13025</v>
      </c>
      <c r="F2655" t="s">
        <v>13024</v>
      </c>
      <c r="G2655" s="1">
        <v>1263307.29</v>
      </c>
      <c r="H2655" s="2">
        <v>18919716.190000001</v>
      </c>
      <c r="I2655" s="2">
        <v>19725307.050000001</v>
      </c>
      <c r="J2655" s="2">
        <v>5961.43</v>
      </c>
      <c r="K2655" s="2">
        <v>0</v>
      </c>
      <c r="L2655" s="2">
        <v>19731268.48</v>
      </c>
      <c r="M2655" s="3">
        <v>2.72</v>
      </c>
      <c r="N2655" s="4">
        <v>4.4890760000000002E-2</v>
      </c>
      <c r="O2655" s="5" t="s">
        <v>44</v>
      </c>
      <c r="P2655" s="5">
        <v>45035</v>
      </c>
      <c r="Q2655" s="1">
        <v>2.72</v>
      </c>
      <c r="R2655" s="2">
        <v>0.99</v>
      </c>
      <c r="S2655" s="6"/>
      <c r="T2655" t="s">
        <v>112</v>
      </c>
      <c r="U2655" t="s">
        <v>11040</v>
      </c>
      <c r="V2655" t="s">
        <v>11107</v>
      </c>
      <c r="W2655" t="s">
        <v>113</v>
      </c>
      <c r="X2655" t="s">
        <v>44</v>
      </c>
      <c r="Y2655" t="s">
        <v>44</v>
      </c>
      <c r="Z2655" t="s">
        <v>44</v>
      </c>
      <c r="AA2655" t="s">
        <v>10979</v>
      </c>
      <c r="AB2655" t="s">
        <v>44</v>
      </c>
      <c r="AC2655" s="4"/>
      <c r="AD2655" s="4"/>
      <c r="AE2655" s="2">
        <v>0</v>
      </c>
      <c r="AF2655" s="4">
        <v>0</v>
      </c>
      <c r="AG2655" s="2">
        <v>1.47</v>
      </c>
      <c r="AH2655" s="2">
        <v>19731268.48</v>
      </c>
      <c r="AI2655" s="2">
        <v>0.04</v>
      </c>
      <c r="AJ2655" s="5">
        <v>44673</v>
      </c>
      <c r="AK2655" t="s">
        <v>12423</v>
      </c>
      <c r="AL2655" s="2">
        <v>0</v>
      </c>
      <c r="AM2655" s="2">
        <v>2.72</v>
      </c>
      <c r="AN2655" s="2">
        <v>0</v>
      </c>
      <c r="AO2655" t="s">
        <v>11054</v>
      </c>
      <c r="AP2655" t="s">
        <v>44</v>
      </c>
      <c r="AQ2655" t="s">
        <v>13025</v>
      </c>
    </row>
    <row r="2656" spans="1:43" x14ac:dyDescent="0.2">
      <c r="A2656" t="s">
        <v>12422</v>
      </c>
      <c r="B2656" t="s">
        <v>11038</v>
      </c>
      <c r="C2656" t="s">
        <v>11039</v>
      </c>
      <c r="D2656" t="s">
        <v>13026</v>
      </c>
      <c r="E2656" t="s">
        <v>13027</v>
      </c>
      <c r="F2656" t="s">
        <v>13026</v>
      </c>
      <c r="G2656" s="1">
        <v>1263416.6599999999</v>
      </c>
      <c r="H2656" s="2">
        <v>18921354.16</v>
      </c>
      <c r="I2656" s="2">
        <v>19727014.75</v>
      </c>
      <c r="J2656" s="2">
        <v>5962.06</v>
      </c>
      <c r="K2656" s="2">
        <v>0</v>
      </c>
      <c r="L2656" s="2">
        <v>19732976.809999999</v>
      </c>
      <c r="M2656" s="3">
        <v>2.72</v>
      </c>
      <c r="N2656" s="4">
        <v>4.4894650000000001E-2</v>
      </c>
      <c r="O2656" s="5" t="s">
        <v>44</v>
      </c>
      <c r="P2656" s="5">
        <v>45035</v>
      </c>
      <c r="Q2656" s="1">
        <v>2.72</v>
      </c>
      <c r="R2656" s="2">
        <v>0.99</v>
      </c>
      <c r="S2656" s="6"/>
      <c r="T2656" t="s">
        <v>112</v>
      </c>
      <c r="U2656" t="s">
        <v>11040</v>
      </c>
      <c r="V2656" t="s">
        <v>11107</v>
      </c>
      <c r="W2656" t="s">
        <v>113</v>
      </c>
      <c r="X2656" t="s">
        <v>44</v>
      </c>
      <c r="Y2656" t="s">
        <v>44</v>
      </c>
      <c r="Z2656" t="s">
        <v>44</v>
      </c>
      <c r="AA2656" t="s">
        <v>10979</v>
      </c>
      <c r="AB2656" t="s">
        <v>44</v>
      </c>
      <c r="AC2656" s="4"/>
      <c r="AD2656" s="4"/>
      <c r="AE2656" s="2">
        <v>0</v>
      </c>
      <c r="AF2656" s="4">
        <v>0</v>
      </c>
      <c r="AG2656" s="2">
        <v>1.47</v>
      </c>
      <c r="AH2656" s="2">
        <v>19732976.809999999</v>
      </c>
      <c r="AI2656" s="2">
        <v>0.04</v>
      </c>
      <c r="AJ2656" s="5">
        <v>44673</v>
      </c>
      <c r="AK2656" t="s">
        <v>12423</v>
      </c>
      <c r="AL2656" s="2">
        <v>0</v>
      </c>
      <c r="AM2656" s="2">
        <v>2.72</v>
      </c>
      <c r="AN2656" s="2">
        <v>0</v>
      </c>
      <c r="AO2656" t="s">
        <v>11054</v>
      </c>
      <c r="AP2656" t="s">
        <v>44</v>
      </c>
      <c r="AQ2656" t="s">
        <v>13027</v>
      </c>
    </row>
    <row r="2657" spans="1:43" x14ac:dyDescent="0.2">
      <c r="A2657" t="s">
        <v>12422</v>
      </c>
      <c r="B2657" t="s">
        <v>11038</v>
      </c>
      <c r="C2657" t="s">
        <v>11039</v>
      </c>
      <c r="D2657" t="s">
        <v>11390</v>
      </c>
      <c r="E2657" t="s">
        <v>11391</v>
      </c>
      <c r="F2657" t="s">
        <v>11390</v>
      </c>
      <c r="G2657" s="1">
        <v>3700000</v>
      </c>
      <c r="H2657" s="2">
        <v>3571927.32</v>
      </c>
      <c r="I2657" s="2">
        <v>3571927.32</v>
      </c>
      <c r="J2657" s="2">
        <v>0</v>
      </c>
      <c r="K2657" s="2">
        <v>0</v>
      </c>
      <c r="L2657" s="2">
        <v>3571927.32</v>
      </c>
      <c r="M2657" s="3">
        <v>5.7867119999999996</v>
      </c>
      <c r="N2657" s="4">
        <v>8.1265199999999999E-3</v>
      </c>
      <c r="O2657" s="5" t="s">
        <v>44</v>
      </c>
      <c r="P2657" s="5">
        <v>44902</v>
      </c>
      <c r="Q2657" s="1">
        <v>0</v>
      </c>
      <c r="R2657" s="2">
        <v>0.62</v>
      </c>
      <c r="S2657" s="6">
        <v>0.59776029928999996</v>
      </c>
      <c r="T2657" t="s">
        <v>112</v>
      </c>
      <c r="U2657" t="s">
        <v>11040</v>
      </c>
      <c r="V2657" t="s">
        <v>11238</v>
      </c>
      <c r="W2657" t="s">
        <v>43</v>
      </c>
      <c r="X2657" t="s">
        <v>44</v>
      </c>
      <c r="Y2657" t="s">
        <v>44</v>
      </c>
      <c r="Z2657" t="s">
        <v>44</v>
      </c>
      <c r="AA2657" t="s">
        <v>10913</v>
      </c>
      <c r="AB2657" t="s">
        <v>44</v>
      </c>
      <c r="AC2657" s="4">
        <v>5.8501835199999999</v>
      </c>
      <c r="AD2657" s="4">
        <v>5.6989443299999998</v>
      </c>
      <c r="AE2657" s="2">
        <v>5.85</v>
      </c>
      <c r="AF2657" s="4">
        <v>5.6989443299999998</v>
      </c>
      <c r="AG2657" s="2">
        <v>0.27</v>
      </c>
      <c r="AH2657" s="2">
        <v>3571927.32</v>
      </c>
      <c r="AI2657" s="2">
        <v>0.01</v>
      </c>
      <c r="AJ2657" s="5">
        <v>44673</v>
      </c>
      <c r="AK2657" t="s">
        <v>12423</v>
      </c>
      <c r="AL2657" s="2">
        <v>5.77</v>
      </c>
      <c r="AM2657" s="2">
        <v>0</v>
      </c>
      <c r="AN2657" s="2">
        <v>0.6</v>
      </c>
      <c r="AO2657" t="s">
        <v>10922</v>
      </c>
      <c r="AP2657" t="s">
        <v>11392</v>
      </c>
      <c r="AQ2657" t="s">
        <v>11391</v>
      </c>
    </row>
    <row r="2658" spans="1:43" x14ac:dyDescent="0.2">
      <c r="A2658" t="s">
        <v>12422</v>
      </c>
      <c r="B2658" t="s">
        <v>11038</v>
      </c>
      <c r="C2658" t="s">
        <v>11039</v>
      </c>
      <c r="D2658" t="s">
        <v>11393</v>
      </c>
      <c r="E2658" t="s">
        <v>11394</v>
      </c>
      <c r="F2658" t="s">
        <v>11393</v>
      </c>
      <c r="G2658" s="1">
        <v>3400000</v>
      </c>
      <c r="H2658" s="2">
        <v>3303567.92</v>
      </c>
      <c r="I2658" s="2">
        <v>3303567.92</v>
      </c>
      <c r="J2658" s="2">
        <v>0</v>
      </c>
      <c r="K2658" s="2">
        <v>0</v>
      </c>
      <c r="L2658" s="2">
        <v>3303567.92</v>
      </c>
      <c r="M2658" s="3">
        <v>5.3700010000000002</v>
      </c>
      <c r="N2658" s="4">
        <v>7.5159700000000003E-3</v>
      </c>
      <c r="O2658" s="5" t="s">
        <v>44</v>
      </c>
      <c r="P2658" s="5">
        <v>44874</v>
      </c>
      <c r="Q2658" s="1">
        <v>0</v>
      </c>
      <c r="R2658" s="2">
        <v>0.54</v>
      </c>
      <c r="S2658" s="6">
        <v>0.52711079582999998</v>
      </c>
      <c r="T2658" t="s">
        <v>112</v>
      </c>
      <c r="U2658" t="s">
        <v>11040</v>
      </c>
      <c r="V2658" t="s">
        <v>11238</v>
      </c>
      <c r="W2658" t="s">
        <v>43</v>
      </c>
      <c r="X2658" t="s">
        <v>44</v>
      </c>
      <c r="Y2658" t="s">
        <v>44</v>
      </c>
      <c r="Z2658" t="s">
        <v>44</v>
      </c>
      <c r="AA2658" t="s">
        <v>10913</v>
      </c>
      <c r="AB2658" t="s">
        <v>44</v>
      </c>
      <c r="AC2658" s="4">
        <v>5.4358711399999997</v>
      </c>
      <c r="AD2658" s="4">
        <v>5.3049642199999996</v>
      </c>
      <c r="AE2658" s="2">
        <v>5.44</v>
      </c>
      <c r="AF2658" s="4">
        <v>5.3049642199999996</v>
      </c>
      <c r="AG2658" s="2">
        <v>0.25</v>
      </c>
      <c r="AH2658" s="2">
        <v>3303567.92</v>
      </c>
      <c r="AI2658" s="2">
        <v>0.01</v>
      </c>
      <c r="AJ2658" s="5">
        <v>44673</v>
      </c>
      <c r="AK2658" t="s">
        <v>12423</v>
      </c>
      <c r="AL2658" s="2">
        <v>5.36</v>
      </c>
      <c r="AM2658" s="2">
        <v>0</v>
      </c>
      <c r="AN2658" s="2">
        <v>0.53</v>
      </c>
      <c r="AO2658" t="s">
        <v>10922</v>
      </c>
      <c r="AP2658" t="s">
        <v>11395</v>
      </c>
      <c r="AQ2658" t="s">
        <v>11394</v>
      </c>
    </row>
    <row r="2659" spans="1:43" x14ac:dyDescent="0.2">
      <c r="A2659" t="s">
        <v>12422</v>
      </c>
      <c r="B2659" t="s">
        <v>11038</v>
      </c>
      <c r="C2659" t="s">
        <v>11039</v>
      </c>
      <c r="D2659" t="s">
        <v>11396</v>
      </c>
      <c r="E2659" t="s">
        <v>11397</v>
      </c>
      <c r="F2659" t="s">
        <v>11396</v>
      </c>
      <c r="G2659" s="1">
        <v>24500000</v>
      </c>
      <c r="H2659" s="2">
        <v>23501734.059999999</v>
      </c>
      <c r="I2659" s="2">
        <v>23501734.059999999</v>
      </c>
      <c r="J2659" s="2">
        <v>0</v>
      </c>
      <c r="K2659" s="2">
        <v>0</v>
      </c>
      <c r="L2659" s="2">
        <v>23501734.059999999</v>
      </c>
      <c r="M2659" s="3">
        <v>5.9260000000000002</v>
      </c>
      <c r="N2659" s="4">
        <v>5.3468979999999999E-2</v>
      </c>
      <c r="O2659" s="5" t="s">
        <v>44</v>
      </c>
      <c r="P2659" s="5">
        <v>44937</v>
      </c>
      <c r="Q2659" s="1">
        <v>0</v>
      </c>
      <c r="R2659" s="2">
        <v>0.72</v>
      </c>
      <c r="S2659" s="6">
        <v>0.68599929861999998</v>
      </c>
      <c r="T2659" t="s">
        <v>112</v>
      </c>
      <c r="U2659" t="s">
        <v>11040</v>
      </c>
      <c r="V2659" t="s">
        <v>11238</v>
      </c>
      <c r="W2659" t="s">
        <v>43</v>
      </c>
      <c r="X2659" t="s">
        <v>44</v>
      </c>
      <c r="Y2659" t="s">
        <v>44</v>
      </c>
      <c r="Z2659" t="s">
        <v>44</v>
      </c>
      <c r="AA2659" t="s">
        <v>10913</v>
      </c>
      <c r="AB2659" t="s">
        <v>44</v>
      </c>
      <c r="AC2659" s="4">
        <v>5.9756128500000001</v>
      </c>
      <c r="AD2659" s="4">
        <v>5.8179395100000004</v>
      </c>
      <c r="AE2659" s="2">
        <v>5.98</v>
      </c>
      <c r="AF2659" s="4">
        <v>5.8179395100000004</v>
      </c>
      <c r="AG2659" s="2">
        <v>1.75</v>
      </c>
      <c r="AH2659" s="2">
        <v>23501734.059999999</v>
      </c>
      <c r="AI2659" s="2">
        <v>0.05</v>
      </c>
      <c r="AJ2659" s="5">
        <v>44673</v>
      </c>
      <c r="AK2659" t="s">
        <v>12423</v>
      </c>
      <c r="AL2659" s="2">
        <v>5.89</v>
      </c>
      <c r="AM2659" s="2">
        <v>0</v>
      </c>
      <c r="AN2659" s="2">
        <v>0.69</v>
      </c>
      <c r="AO2659" t="s">
        <v>10922</v>
      </c>
      <c r="AP2659" t="s">
        <v>11398</v>
      </c>
      <c r="AQ2659" t="s">
        <v>11397</v>
      </c>
    </row>
    <row r="2660" spans="1:43" x14ac:dyDescent="0.2">
      <c r="A2660" t="s">
        <v>12422</v>
      </c>
      <c r="B2660" t="s">
        <v>11038</v>
      </c>
      <c r="C2660" t="s">
        <v>11039</v>
      </c>
      <c r="D2660" t="s">
        <v>11399</v>
      </c>
      <c r="E2660" t="s">
        <v>11400</v>
      </c>
      <c r="F2660" t="s">
        <v>11399</v>
      </c>
      <c r="G2660" s="1">
        <v>17400000</v>
      </c>
      <c r="H2660" s="2">
        <v>16881182.859999999</v>
      </c>
      <c r="I2660" s="2">
        <v>16881182.859999999</v>
      </c>
      <c r="J2660" s="2">
        <v>0</v>
      </c>
      <c r="K2660" s="2">
        <v>0</v>
      </c>
      <c r="L2660" s="2">
        <v>16881182.859999999</v>
      </c>
      <c r="M2660" s="3">
        <v>5.4191849999999997</v>
      </c>
      <c r="N2660" s="4">
        <v>3.8406509999999998E-2</v>
      </c>
      <c r="O2660" s="5" t="s">
        <v>44</v>
      </c>
      <c r="P2660" s="5">
        <v>44881</v>
      </c>
      <c r="Q2660" s="1">
        <v>0</v>
      </c>
      <c r="R2660" s="2">
        <v>0.56000000000000005</v>
      </c>
      <c r="S2660" s="6">
        <v>0.54505428138000001</v>
      </c>
      <c r="T2660" t="s">
        <v>112</v>
      </c>
      <c r="U2660" t="s">
        <v>11040</v>
      </c>
      <c r="V2660" t="s">
        <v>11238</v>
      </c>
      <c r="W2660" t="s">
        <v>43</v>
      </c>
      <c r="X2660" t="s">
        <v>44</v>
      </c>
      <c r="Y2660" t="s">
        <v>44</v>
      </c>
      <c r="Z2660" t="s">
        <v>44</v>
      </c>
      <c r="AA2660" t="s">
        <v>10913</v>
      </c>
      <c r="AB2660" t="s">
        <v>44</v>
      </c>
      <c r="AC2660" s="4">
        <v>5.4834100699999997</v>
      </c>
      <c r="AD2660" s="4">
        <v>5.3502421900000003</v>
      </c>
      <c r="AE2660" s="2">
        <v>5.48</v>
      </c>
      <c r="AF2660" s="4">
        <v>5.3502421900000003</v>
      </c>
      <c r="AG2660" s="2">
        <v>1.25</v>
      </c>
      <c r="AH2660" s="2">
        <v>16881182.859999999</v>
      </c>
      <c r="AI2660" s="2">
        <v>0.04</v>
      </c>
      <c r="AJ2660" s="5">
        <v>44673</v>
      </c>
      <c r="AK2660" t="s">
        <v>12423</v>
      </c>
      <c r="AL2660" s="2">
        <v>5.41</v>
      </c>
      <c r="AM2660" s="2">
        <v>0</v>
      </c>
      <c r="AN2660" s="2">
        <v>0.55000000000000004</v>
      </c>
      <c r="AO2660" t="s">
        <v>10922</v>
      </c>
      <c r="AP2660" t="s">
        <v>11401</v>
      </c>
      <c r="AQ2660" t="s">
        <v>11400</v>
      </c>
    </row>
    <row r="2661" spans="1:43" x14ac:dyDescent="0.2">
      <c r="A2661" t="s">
        <v>12422</v>
      </c>
      <c r="B2661" t="s">
        <v>11038</v>
      </c>
      <c r="C2661" t="s">
        <v>11039</v>
      </c>
      <c r="D2661" t="s">
        <v>11405</v>
      </c>
      <c r="E2661" t="s">
        <v>11406</v>
      </c>
      <c r="F2661" t="s">
        <v>11405</v>
      </c>
      <c r="G2661" s="1">
        <v>17500000</v>
      </c>
      <c r="H2661" s="2">
        <v>16953795.289999999</v>
      </c>
      <c r="I2661" s="2">
        <v>16953795.289999999</v>
      </c>
      <c r="J2661" s="2">
        <v>0</v>
      </c>
      <c r="K2661" s="2">
        <v>0</v>
      </c>
      <c r="L2661" s="2">
        <v>16953795.289999999</v>
      </c>
      <c r="M2661" s="3">
        <v>5.5672899999999998</v>
      </c>
      <c r="N2661" s="4">
        <v>3.8571710000000002E-2</v>
      </c>
      <c r="O2661" s="5" t="s">
        <v>44</v>
      </c>
      <c r="P2661" s="5">
        <v>44888</v>
      </c>
      <c r="Q2661" s="1">
        <v>0</v>
      </c>
      <c r="R2661" s="2">
        <v>0.57999999999999996</v>
      </c>
      <c r="S2661" s="6">
        <v>0.56262873229999999</v>
      </c>
      <c r="T2661" t="s">
        <v>112</v>
      </c>
      <c r="U2661" t="s">
        <v>11040</v>
      </c>
      <c r="V2661" t="s">
        <v>11238</v>
      </c>
      <c r="W2661" t="s">
        <v>43</v>
      </c>
      <c r="X2661" t="s">
        <v>44</v>
      </c>
      <c r="Y2661" t="s">
        <v>44</v>
      </c>
      <c r="Z2661" t="s">
        <v>44</v>
      </c>
      <c r="AA2661" t="s">
        <v>10913</v>
      </c>
      <c r="AB2661" t="s">
        <v>44</v>
      </c>
      <c r="AC2661" s="4">
        <v>5.6320586500000003</v>
      </c>
      <c r="AD2661" s="4">
        <v>5.4917004399999998</v>
      </c>
      <c r="AE2661" s="2">
        <v>5.63</v>
      </c>
      <c r="AF2661" s="4">
        <v>5.4917004399999998</v>
      </c>
      <c r="AG2661" s="2">
        <v>1.26</v>
      </c>
      <c r="AH2661" s="2">
        <v>16953795.289999999</v>
      </c>
      <c r="AI2661" s="2">
        <v>0.04</v>
      </c>
      <c r="AJ2661" s="5">
        <v>44673</v>
      </c>
      <c r="AK2661" t="s">
        <v>12423</v>
      </c>
      <c r="AL2661" s="2">
        <v>5.55</v>
      </c>
      <c r="AM2661" s="2">
        <v>0</v>
      </c>
      <c r="AN2661" s="2">
        <v>0.56000000000000005</v>
      </c>
      <c r="AO2661" t="s">
        <v>10922</v>
      </c>
      <c r="AP2661" t="s">
        <v>11407</v>
      </c>
      <c r="AQ2661" t="s">
        <v>11406</v>
      </c>
    </row>
    <row r="2662" spans="1:43" x14ac:dyDescent="0.2">
      <c r="A2662" t="s">
        <v>12422</v>
      </c>
      <c r="B2662" t="s">
        <v>11038</v>
      </c>
      <c r="C2662" t="s">
        <v>11039</v>
      </c>
      <c r="D2662" t="s">
        <v>12727</v>
      </c>
      <c r="E2662" t="s">
        <v>12728</v>
      </c>
      <c r="F2662" t="s">
        <v>12727</v>
      </c>
      <c r="G2662" s="1">
        <v>63000000</v>
      </c>
      <c r="H2662" s="2">
        <v>63000000</v>
      </c>
      <c r="I2662" s="2">
        <v>63067505.840000004</v>
      </c>
      <c r="J2662" s="2">
        <v>391463.01</v>
      </c>
      <c r="K2662" s="2">
        <v>0</v>
      </c>
      <c r="L2662" s="2">
        <v>63458968.850000001</v>
      </c>
      <c r="M2662" s="3">
        <v>6.1328639999999996</v>
      </c>
      <c r="N2662" s="4">
        <v>0.14437599000000001</v>
      </c>
      <c r="O2662" s="5">
        <v>45001</v>
      </c>
      <c r="P2662" s="5">
        <v>45001</v>
      </c>
      <c r="Q2662" s="1">
        <v>6.3</v>
      </c>
      <c r="R2662" s="2">
        <v>0.89</v>
      </c>
      <c r="S2662" s="6">
        <v>0.84430539241000002</v>
      </c>
      <c r="T2662" t="s">
        <v>111</v>
      </c>
      <c r="U2662" t="s">
        <v>11040</v>
      </c>
      <c r="V2662" t="s">
        <v>11041</v>
      </c>
      <c r="W2662" t="s">
        <v>43</v>
      </c>
      <c r="X2662" t="s">
        <v>11034</v>
      </c>
      <c r="Y2662" t="s">
        <v>44</v>
      </c>
      <c r="Z2662" t="s">
        <v>44</v>
      </c>
      <c r="AA2662" t="s">
        <v>10979</v>
      </c>
      <c r="AB2662" t="s">
        <v>44</v>
      </c>
      <c r="AC2662" s="4">
        <v>6.1531520899999999</v>
      </c>
      <c r="AD2662" s="4">
        <v>5.9861510000000004</v>
      </c>
      <c r="AE2662" s="2">
        <v>6.15</v>
      </c>
      <c r="AF2662" s="4">
        <v>5.9861510000000004</v>
      </c>
      <c r="AG2662" s="2">
        <v>4.71</v>
      </c>
      <c r="AH2662" s="2">
        <v>63458968.850000001</v>
      </c>
      <c r="AI2662" s="2">
        <v>0.14000000000000001</v>
      </c>
      <c r="AJ2662" s="5">
        <v>44673</v>
      </c>
      <c r="AK2662" t="s">
        <v>12423</v>
      </c>
      <c r="AL2662" s="2">
        <v>6.06</v>
      </c>
      <c r="AM2662" s="2">
        <v>6.3</v>
      </c>
      <c r="AN2662" s="2">
        <v>0.84</v>
      </c>
      <c r="AO2662" t="s">
        <v>11179</v>
      </c>
      <c r="AP2662" t="s">
        <v>12729</v>
      </c>
      <c r="AQ2662" t="s">
        <v>12728</v>
      </c>
    </row>
    <row r="2663" spans="1:43" x14ac:dyDescent="0.2">
      <c r="A2663" t="s">
        <v>12422</v>
      </c>
      <c r="B2663" t="s">
        <v>11038</v>
      </c>
      <c r="C2663" t="s">
        <v>11222</v>
      </c>
      <c r="D2663" t="s">
        <v>12965</v>
      </c>
      <c r="E2663" t="s">
        <v>12966</v>
      </c>
      <c r="F2663" t="s">
        <v>12965</v>
      </c>
      <c r="G2663" s="1">
        <v>10000000</v>
      </c>
      <c r="H2663" s="2">
        <v>10000000</v>
      </c>
      <c r="I2663" s="2">
        <v>10001461.42</v>
      </c>
      <c r="J2663" s="2">
        <v>19378.080000000002</v>
      </c>
      <c r="K2663" s="2">
        <v>0</v>
      </c>
      <c r="L2663" s="2">
        <v>10020839.5</v>
      </c>
      <c r="M2663" s="3">
        <v>6.4004060000000003</v>
      </c>
      <c r="N2663" s="4">
        <v>2.2798490000000001E-2</v>
      </c>
      <c r="O2663" s="5">
        <v>45057</v>
      </c>
      <c r="P2663" s="5">
        <v>45057</v>
      </c>
      <c r="Q2663" s="1">
        <v>6.43</v>
      </c>
      <c r="R2663" s="2">
        <v>1.04</v>
      </c>
      <c r="S2663" s="6">
        <v>0.97846466510999996</v>
      </c>
      <c r="T2663" t="s">
        <v>111</v>
      </c>
      <c r="U2663" t="s">
        <v>11040</v>
      </c>
      <c r="V2663" t="s">
        <v>11041</v>
      </c>
      <c r="W2663" t="s">
        <v>43</v>
      </c>
      <c r="X2663" t="s">
        <v>11034</v>
      </c>
      <c r="Y2663" t="s">
        <v>44</v>
      </c>
      <c r="Z2663" t="s">
        <v>44</v>
      </c>
      <c r="AA2663" t="s">
        <v>10979</v>
      </c>
      <c r="AB2663" t="s">
        <v>44</v>
      </c>
      <c r="AC2663" s="4">
        <v>6.3916291899999997</v>
      </c>
      <c r="AD2663" s="4">
        <v>6.2116933599999999</v>
      </c>
      <c r="AE2663" s="2">
        <v>6.39</v>
      </c>
      <c r="AF2663" s="4">
        <v>6.2116933599999999</v>
      </c>
      <c r="AG2663" s="2">
        <v>0.74</v>
      </c>
      <c r="AH2663" s="2">
        <v>10020839.5</v>
      </c>
      <c r="AI2663" s="2">
        <v>0.02</v>
      </c>
      <c r="AJ2663" s="5">
        <v>44673</v>
      </c>
      <c r="AK2663" t="s">
        <v>12423</v>
      </c>
      <c r="AL2663" s="2">
        <v>6.29</v>
      </c>
      <c r="AM2663" s="2">
        <v>6.43</v>
      </c>
      <c r="AN2663" s="2">
        <v>0.98</v>
      </c>
      <c r="AO2663" t="s">
        <v>11054</v>
      </c>
      <c r="AP2663" t="s">
        <v>12967</v>
      </c>
      <c r="AQ2663" t="s">
        <v>12966</v>
      </c>
    </row>
    <row r="2664" spans="1:43" x14ac:dyDescent="0.2">
      <c r="A2664" t="s">
        <v>12422</v>
      </c>
      <c r="B2664" t="s">
        <v>11408</v>
      </c>
      <c r="C2664" t="s">
        <v>11408</v>
      </c>
      <c r="D2664" t="s">
        <v>12126</v>
      </c>
      <c r="E2664" t="s">
        <v>12127</v>
      </c>
      <c r="F2664" t="s">
        <v>12128</v>
      </c>
      <c r="G2664" s="1">
        <v>4560.6390000000001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3"/>
      <c r="N2664" s="4">
        <v>0</v>
      </c>
      <c r="O2664" s="5" t="s">
        <v>44</v>
      </c>
      <c r="P2664" s="5">
        <v>44777</v>
      </c>
      <c r="Q2664" s="1">
        <v>0</v>
      </c>
      <c r="R2664" s="2"/>
      <c r="S2664" s="6"/>
      <c r="T2664" t="s">
        <v>11412</v>
      </c>
      <c r="U2664" t="s">
        <v>11413</v>
      </c>
      <c r="V2664" t="s">
        <v>11414</v>
      </c>
      <c r="W2664" t="s">
        <v>43</v>
      </c>
      <c r="X2664" t="s">
        <v>44</v>
      </c>
      <c r="Y2664" t="s">
        <v>44</v>
      </c>
      <c r="Z2664" t="s">
        <v>44</v>
      </c>
      <c r="AA2664" t="s">
        <v>10979</v>
      </c>
      <c r="AB2664" t="s">
        <v>44</v>
      </c>
      <c r="AC2664" s="4"/>
      <c r="AD2664" s="4"/>
      <c r="AE2664" s="2">
        <v>0</v>
      </c>
      <c r="AF2664" s="4">
        <v>0</v>
      </c>
      <c r="AG2664" s="2">
        <v>0</v>
      </c>
      <c r="AH2664" s="2">
        <v>0</v>
      </c>
      <c r="AI2664" s="2">
        <v>0</v>
      </c>
      <c r="AJ2664" s="5">
        <v>44673</v>
      </c>
      <c r="AK2664" t="s">
        <v>12423</v>
      </c>
      <c r="AL2664" s="2">
        <v>0</v>
      </c>
      <c r="AM2664" s="2">
        <v>0</v>
      </c>
      <c r="AN2664" s="2">
        <v>0</v>
      </c>
      <c r="AO2664" t="s">
        <v>11165</v>
      </c>
      <c r="AP2664" t="s">
        <v>44</v>
      </c>
      <c r="AQ2664" t="s">
        <v>44</v>
      </c>
    </row>
    <row r="2665" spans="1:43" x14ac:dyDescent="0.2">
      <c r="A2665" t="s">
        <v>12422</v>
      </c>
      <c r="B2665" t="s">
        <v>11408</v>
      </c>
      <c r="C2665" t="s">
        <v>11408</v>
      </c>
      <c r="D2665" t="s">
        <v>12129</v>
      </c>
      <c r="E2665" t="s">
        <v>12127</v>
      </c>
      <c r="F2665" t="s">
        <v>12130</v>
      </c>
      <c r="G2665" s="1">
        <v>-137860089.40000001</v>
      </c>
      <c r="H2665" s="2">
        <v>0</v>
      </c>
      <c r="I2665" s="2">
        <v>0</v>
      </c>
      <c r="J2665" s="2">
        <v>-362024.37</v>
      </c>
      <c r="K2665" s="2">
        <v>0</v>
      </c>
      <c r="L2665" s="2">
        <v>-362024.37</v>
      </c>
      <c r="M2665" s="3"/>
      <c r="N2665" s="4">
        <v>-8.2364000000000005E-4</v>
      </c>
      <c r="O2665" s="5" t="s">
        <v>44</v>
      </c>
      <c r="P2665" s="5">
        <v>44777</v>
      </c>
      <c r="Q2665" s="1">
        <v>0</v>
      </c>
      <c r="R2665" s="2"/>
      <c r="S2665" s="6"/>
      <c r="T2665" t="s">
        <v>11412</v>
      </c>
      <c r="U2665" t="s">
        <v>11413</v>
      </c>
      <c r="V2665" t="s">
        <v>11414</v>
      </c>
      <c r="W2665" t="s">
        <v>43</v>
      </c>
      <c r="X2665" t="s">
        <v>44</v>
      </c>
      <c r="Y2665" t="s">
        <v>44</v>
      </c>
      <c r="Z2665" t="s">
        <v>44</v>
      </c>
      <c r="AA2665" t="s">
        <v>10979</v>
      </c>
      <c r="AB2665" t="s">
        <v>44</v>
      </c>
      <c r="AC2665" s="4"/>
      <c r="AD2665" s="4"/>
      <c r="AE2665" s="2">
        <v>0</v>
      </c>
      <c r="AF2665" s="4">
        <v>0</v>
      </c>
      <c r="AG2665" s="2">
        <v>-0.03</v>
      </c>
      <c r="AH2665" s="2">
        <v>-138222113.77000001</v>
      </c>
      <c r="AI2665" s="2">
        <v>-0.31</v>
      </c>
      <c r="AJ2665" s="5">
        <v>44673</v>
      </c>
      <c r="AK2665" t="s">
        <v>12423</v>
      </c>
      <c r="AL2665" s="2">
        <v>0</v>
      </c>
      <c r="AM2665" s="2">
        <v>0</v>
      </c>
      <c r="AN2665" s="2">
        <v>0</v>
      </c>
      <c r="AO2665" t="s">
        <v>11165</v>
      </c>
      <c r="AP2665" t="s">
        <v>44</v>
      </c>
      <c r="AQ2665" t="s">
        <v>44</v>
      </c>
    </row>
    <row r="2666" spans="1:43" x14ac:dyDescent="0.2">
      <c r="A2666" t="s">
        <v>12422</v>
      </c>
      <c r="B2666" t="s">
        <v>11408</v>
      </c>
      <c r="C2666" t="s">
        <v>11408</v>
      </c>
      <c r="D2666" t="s">
        <v>12131</v>
      </c>
      <c r="E2666" t="s">
        <v>12127</v>
      </c>
      <c r="F2666" t="s">
        <v>12132</v>
      </c>
      <c r="G2666" s="1">
        <v>4560.6390000000001</v>
      </c>
      <c r="H2666" s="2">
        <v>0</v>
      </c>
      <c r="I2666" s="2">
        <v>-6137799.1399999997</v>
      </c>
      <c r="J2666" s="2">
        <v>0</v>
      </c>
      <c r="K2666" s="2">
        <v>0</v>
      </c>
      <c r="L2666" s="2">
        <v>-6137799.1399999997</v>
      </c>
      <c r="M2666" s="3">
        <v>28882.42</v>
      </c>
      <c r="N2666" s="4">
        <v>-1.396415E-2</v>
      </c>
      <c r="O2666" s="5" t="s">
        <v>44</v>
      </c>
      <c r="P2666" s="5">
        <v>44777</v>
      </c>
      <c r="Q2666" s="1">
        <v>0</v>
      </c>
      <c r="R2666" s="2"/>
      <c r="S2666" s="6"/>
      <c r="T2666" t="s">
        <v>11412</v>
      </c>
      <c r="U2666" t="s">
        <v>11413</v>
      </c>
      <c r="V2666" t="s">
        <v>11414</v>
      </c>
      <c r="W2666" t="s">
        <v>43</v>
      </c>
      <c r="X2666" t="s">
        <v>44</v>
      </c>
      <c r="Y2666" t="s">
        <v>44</v>
      </c>
      <c r="Z2666" t="s">
        <v>44</v>
      </c>
      <c r="AA2666" t="s">
        <v>10979</v>
      </c>
      <c r="AB2666" t="s">
        <v>44</v>
      </c>
      <c r="AC2666" s="4"/>
      <c r="AD2666" s="4"/>
      <c r="AE2666" s="2">
        <v>0</v>
      </c>
      <c r="AF2666" s="4">
        <v>0</v>
      </c>
      <c r="AG2666" s="2">
        <v>-0.46</v>
      </c>
      <c r="AH2666" s="2">
        <v>131722290.26000001</v>
      </c>
      <c r="AI2666" s="2">
        <v>0.3</v>
      </c>
      <c r="AJ2666" s="5">
        <v>44673</v>
      </c>
      <c r="AK2666" t="s">
        <v>12423</v>
      </c>
      <c r="AL2666" s="2">
        <v>0</v>
      </c>
      <c r="AM2666" s="2">
        <v>0</v>
      </c>
      <c r="AN2666" s="2">
        <v>0</v>
      </c>
      <c r="AO2666" t="s">
        <v>11165</v>
      </c>
      <c r="AP2666" t="s">
        <v>44</v>
      </c>
      <c r="AQ2666" t="s">
        <v>44</v>
      </c>
    </row>
    <row r="2667" spans="1:43" x14ac:dyDescent="0.2">
      <c r="A2667" t="s">
        <v>12422</v>
      </c>
      <c r="B2667" t="s">
        <v>11408</v>
      </c>
      <c r="C2667" t="s">
        <v>11408</v>
      </c>
      <c r="D2667" t="s">
        <v>12971</v>
      </c>
      <c r="E2667" t="s">
        <v>12972</v>
      </c>
      <c r="F2667" t="s">
        <v>12973</v>
      </c>
      <c r="G2667" s="1">
        <v>607.47829999999999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3"/>
      <c r="N2667" s="4">
        <v>0</v>
      </c>
      <c r="O2667" s="5" t="s">
        <v>44</v>
      </c>
      <c r="P2667" s="5">
        <v>44777</v>
      </c>
      <c r="Q2667" s="1">
        <v>0</v>
      </c>
      <c r="R2667" s="2"/>
      <c r="S2667" s="6"/>
      <c r="T2667" t="s">
        <v>11412</v>
      </c>
      <c r="U2667" t="s">
        <v>11413</v>
      </c>
      <c r="V2667" t="s">
        <v>11414</v>
      </c>
      <c r="W2667" t="s">
        <v>43</v>
      </c>
      <c r="X2667" t="s">
        <v>44</v>
      </c>
      <c r="Y2667" t="s">
        <v>44</v>
      </c>
      <c r="Z2667" t="s">
        <v>44</v>
      </c>
      <c r="AA2667" t="s">
        <v>10979</v>
      </c>
      <c r="AB2667" t="s">
        <v>44</v>
      </c>
      <c r="AC2667" s="4"/>
      <c r="AD2667" s="4"/>
      <c r="AE2667" s="2">
        <v>0</v>
      </c>
      <c r="AF2667" s="4">
        <v>0</v>
      </c>
      <c r="AG2667" s="2">
        <v>0</v>
      </c>
      <c r="AH2667" s="2">
        <v>0</v>
      </c>
      <c r="AI2667" s="2">
        <v>0</v>
      </c>
      <c r="AJ2667" s="5">
        <v>44673</v>
      </c>
      <c r="AK2667" t="s">
        <v>12423</v>
      </c>
      <c r="AL2667" s="2">
        <v>0</v>
      </c>
      <c r="AM2667" s="2">
        <v>0</v>
      </c>
      <c r="AN2667" s="2">
        <v>0</v>
      </c>
      <c r="AO2667" t="s">
        <v>11165</v>
      </c>
      <c r="AP2667" t="s">
        <v>44</v>
      </c>
      <c r="AQ2667" t="s">
        <v>44</v>
      </c>
    </row>
    <row r="2668" spans="1:43" x14ac:dyDescent="0.2">
      <c r="A2668" t="s">
        <v>12422</v>
      </c>
      <c r="B2668" t="s">
        <v>11408</v>
      </c>
      <c r="C2668" t="s">
        <v>11408</v>
      </c>
      <c r="D2668" t="s">
        <v>12974</v>
      </c>
      <c r="E2668" t="s">
        <v>12972</v>
      </c>
      <c r="F2668" t="s">
        <v>12975</v>
      </c>
      <c r="G2668" s="1">
        <v>-18000001.190000001</v>
      </c>
      <c r="H2668" s="2">
        <v>0</v>
      </c>
      <c r="I2668" s="2">
        <v>0</v>
      </c>
      <c r="J2668" s="2">
        <v>-10421.26</v>
      </c>
      <c r="K2668" s="2">
        <v>0</v>
      </c>
      <c r="L2668" s="2">
        <v>-10421.26</v>
      </c>
      <c r="M2668" s="3"/>
      <c r="N2668" s="4">
        <v>-2.3710000000000002E-5</v>
      </c>
      <c r="O2668" s="5" t="s">
        <v>44</v>
      </c>
      <c r="P2668" s="5">
        <v>44777</v>
      </c>
      <c r="Q2668" s="1">
        <v>0</v>
      </c>
      <c r="R2668" s="2"/>
      <c r="S2668" s="6"/>
      <c r="T2668" t="s">
        <v>11412</v>
      </c>
      <c r="U2668" t="s">
        <v>11413</v>
      </c>
      <c r="V2668" t="s">
        <v>11414</v>
      </c>
      <c r="W2668" t="s">
        <v>43</v>
      </c>
      <c r="X2668" t="s">
        <v>44</v>
      </c>
      <c r="Y2668" t="s">
        <v>44</v>
      </c>
      <c r="Z2668" t="s">
        <v>44</v>
      </c>
      <c r="AA2668" t="s">
        <v>10979</v>
      </c>
      <c r="AB2668" t="s">
        <v>44</v>
      </c>
      <c r="AC2668" s="4"/>
      <c r="AD2668" s="4"/>
      <c r="AE2668" s="2">
        <v>0</v>
      </c>
      <c r="AF2668" s="4">
        <v>0</v>
      </c>
      <c r="AG2668" s="2">
        <v>0</v>
      </c>
      <c r="AH2668" s="2">
        <v>-18010422.449999999</v>
      </c>
      <c r="AI2668" s="2">
        <v>-0.04</v>
      </c>
      <c r="AJ2668" s="5">
        <v>44673</v>
      </c>
      <c r="AK2668" t="s">
        <v>12423</v>
      </c>
      <c r="AL2668" s="2">
        <v>0</v>
      </c>
      <c r="AM2668" s="2">
        <v>0</v>
      </c>
      <c r="AN2668" s="2">
        <v>0</v>
      </c>
      <c r="AO2668" t="s">
        <v>11165</v>
      </c>
      <c r="AP2668" t="s">
        <v>44</v>
      </c>
      <c r="AQ2668" t="s">
        <v>44</v>
      </c>
    </row>
    <row r="2669" spans="1:43" x14ac:dyDescent="0.2">
      <c r="A2669" t="s">
        <v>12422</v>
      </c>
      <c r="B2669" t="s">
        <v>11408</v>
      </c>
      <c r="C2669" t="s">
        <v>11408</v>
      </c>
      <c r="D2669" t="s">
        <v>12976</v>
      </c>
      <c r="E2669" t="s">
        <v>12972</v>
      </c>
      <c r="F2669" t="s">
        <v>12977</v>
      </c>
      <c r="G2669" s="1">
        <v>607.47829999999999</v>
      </c>
      <c r="H2669" s="2">
        <v>0</v>
      </c>
      <c r="I2669" s="2">
        <v>-454557.79</v>
      </c>
      <c r="J2669" s="2">
        <v>0</v>
      </c>
      <c r="K2669" s="2">
        <v>0</v>
      </c>
      <c r="L2669" s="2">
        <v>-454557.79</v>
      </c>
      <c r="M2669" s="3">
        <v>28882.42</v>
      </c>
      <c r="N2669" s="4">
        <v>-1.0341700000000001E-3</v>
      </c>
      <c r="O2669" s="5" t="s">
        <v>44</v>
      </c>
      <c r="P2669" s="5">
        <v>44777</v>
      </c>
      <c r="Q2669" s="1">
        <v>0</v>
      </c>
      <c r="R2669" s="2"/>
      <c r="S2669" s="6"/>
      <c r="T2669" t="s">
        <v>11412</v>
      </c>
      <c r="U2669" t="s">
        <v>11413</v>
      </c>
      <c r="V2669" t="s">
        <v>11414</v>
      </c>
      <c r="W2669" t="s">
        <v>43</v>
      </c>
      <c r="X2669" t="s">
        <v>44</v>
      </c>
      <c r="Y2669" t="s">
        <v>44</v>
      </c>
      <c r="Z2669" t="s">
        <v>44</v>
      </c>
      <c r="AA2669" t="s">
        <v>10979</v>
      </c>
      <c r="AB2669" t="s">
        <v>44</v>
      </c>
      <c r="AC2669" s="4"/>
      <c r="AD2669" s="4"/>
      <c r="AE2669" s="2">
        <v>0</v>
      </c>
      <c r="AF2669" s="4">
        <v>0</v>
      </c>
      <c r="AG2669" s="2">
        <v>-0.03</v>
      </c>
      <c r="AH2669" s="2">
        <v>17545443.399999999</v>
      </c>
      <c r="AI2669" s="2">
        <v>0.04</v>
      </c>
      <c r="AJ2669" s="5">
        <v>44673</v>
      </c>
      <c r="AK2669" t="s">
        <v>12423</v>
      </c>
      <c r="AL2669" s="2">
        <v>0</v>
      </c>
      <c r="AM2669" s="2">
        <v>0</v>
      </c>
      <c r="AN2669" s="2">
        <v>0</v>
      </c>
      <c r="AO2669" t="s">
        <v>11165</v>
      </c>
      <c r="AP2669" t="s">
        <v>44</v>
      </c>
      <c r="AQ2669" t="s">
        <v>44</v>
      </c>
    </row>
    <row r="2670" spans="1:43" x14ac:dyDescent="0.2">
      <c r="A2670" t="s">
        <v>12422</v>
      </c>
      <c r="B2670" t="s">
        <v>11408</v>
      </c>
      <c r="C2670" t="s">
        <v>11408</v>
      </c>
      <c r="D2670" t="s">
        <v>11768</v>
      </c>
      <c r="E2670" t="s">
        <v>11769</v>
      </c>
      <c r="F2670" t="s">
        <v>11770</v>
      </c>
      <c r="G2670" s="1">
        <v>5025.2649000000001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3"/>
      <c r="N2670" s="4">
        <v>0</v>
      </c>
      <c r="O2670" s="5" t="s">
        <v>44</v>
      </c>
      <c r="P2670" s="5">
        <v>44809</v>
      </c>
      <c r="Q2670" s="1">
        <v>0</v>
      </c>
      <c r="R2670" s="2"/>
      <c r="S2670" s="6"/>
      <c r="T2670" t="s">
        <v>11412</v>
      </c>
      <c r="U2670" t="s">
        <v>11413</v>
      </c>
      <c r="V2670" t="s">
        <v>11414</v>
      </c>
      <c r="W2670" t="s">
        <v>43</v>
      </c>
      <c r="X2670" t="s">
        <v>44</v>
      </c>
      <c r="Y2670" t="s">
        <v>44</v>
      </c>
      <c r="Z2670" t="s">
        <v>44</v>
      </c>
      <c r="AA2670" t="s">
        <v>11035</v>
      </c>
      <c r="AB2670" t="s">
        <v>44</v>
      </c>
      <c r="AC2670" s="4"/>
      <c r="AD2670" s="4"/>
      <c r="AE2670" s="2">
        <v>0</v>
      </c>
      <c r="AF2670" s="4">
        <v>0</v>
      </c>
      <c r="AG2670" s="2">
        <v>0</v>
      </c>
      <c r="AH2670" s="2">
        <v>0</v>
      </c>
      <c r="AI2670" s="2">
        <v>0</v>
      </c>
      <c r="AJ2670" s="5">
        <v>44673</v>
      </c>
      <c r="AK2670" t="s">
        <v>12423</v>
      </c>
      <c r="AL2670" s="2">
        <v>0</v>
      </c>
      <c r="AM2670" s="2">
        <v>0</v>
      </c>
      <c r="AN2670" s="2">
        <v>0</v>
      </c>
      <c r="AO2670" t="s">
        <v>11053</v>
      </c>
      <c r="AP2670" t="s">
        <v>44</v>
      </c>
      <c r="AQ2670" t="s">
        <v>44</v>
      </c>
    </row>
    <row r="2671" spans="1:43" x14ac:dyDescent="0.2">
      <c r="A2671" t="s">
        <v>12422</v>
      </c>
      <c r="B2671" t="s">
        <v>11408</v>
      </c>
      <c r="C2671" t="s">
        <v>11408</v>
      </c>
      <c r="D2671" t="s">
        <v>11771</v>
      </c>
      <c r="E2671" t="s">
        <v>11769</v>
      </c>
      <c r="F2671" t="s">
        <v>11772</v>
      </c>
      <c r="G2671" s="1">
        <v>-151904914.97</v>
      </c>
      <c r="H2671" s="2">
        <v>0</v>
      </c>
      <c r="I2671" s="2">
        <v>0</v>
      </c>
      <c r="J2671" s="2">
        <v>-399472.47</v>
      </c>
      <c r="K2671" s="2">
        <v>0</v>
      </c>
      <c r="L2671" s="2">
        <v>-399472.47</v>
      </c>
      <c r="M2671" s="3"/>
      <c r="N2671" s="4">
        <v>-9.0883999999999995E-4</v>
      </c>
      <c r="O2671" s="5" t="s">
        <v>44</v>
      </c>
      <c r="P2671" s="5">
        <v>44809</v>
      </c>
      <c r="Q2671" s="1">
        <v>0</v>
      </c>
      <c r="R2671" s="2"/>
      <c r="S2671" s="6"/>
      <c r="T2671" t="s">
        <v>11412</v>
      </c>
      <c r="U2671" t="s">
        <v>11413</v>
      </c>
      <c r="V2671" t="s">
        <v>11414</v>
      </c>
      <c r="W2671" t="s">
        <v>43</v>
      </c>
      <c r="X2671" t="s">
        <v>44</v>
      </c>
      <c r="Y2671" t="s">
        <v>44</v>
      </c>
      <c r="Z2671" t="s">
        <v>44</v>
      </c>
      <c r="AA2671" t="s">
        <v>11035</v>
      </c>
      <c r="AB2671" t="s">
        <v>44</v>
      </c>
      <c r="AC2671" s="4"/>
      <c r="AD2671" s="4"/>
      <c r="AE2671" s="2">
        <v>0</v>
      </c>
      <c r="AF2671" s="4">
        <v>0</v>
      </c>
      <c r="AG2671" s="2">
        <v>-0.03</v>
      </c>
      <c r="AH2671" s="2">
        <v>-152304387.44</v>
      </c>
      <c r="AI2671" s="2">
        <v>-0.35</v>
      </c>
      <c r="AJ2671" s="5">
        <v>44673</v>
      </c>
      <c r="AK2671" t="s">
        <v>12423</v>
      </c>
      <c r="AL2671" s="2">
        <v>0</v>
      </c>
      <c r="AM2671" s="2">
        <v>0</v>
      </c>
      <c r="AN2671" s="2">
        <v>0</v>
      </c>
      <c r="AO2671" t="s">
        <v>11053</v>
      </c>
      <c r="AP2671" t="s">
        <v>44</v>
      </c>
      <c r="AQ2671" t="s">
        <v>44</v>
      </c>
    </row>
    <row r="2672" spans="1:43" x14ac:dyDescent="0.2">
      <c r="A2672" t="s">
        <v>12422</v>
      </c>
      <c r="B2672" t="s">
        <v>11408</v>
      </c>
      <c r="C2672" t="s">
        <v>11408</v>
      </c>
      <c r="D2672" t="s">
        <v>11773</v>
      </c>
      <c r="E2672" t="s">
        <v>11769</v>
      </c>
      <c r="F2672" t="s">
        <v>11774</v>
      </c>
      <c r="G2672" s="1">
        <v>5025.2649000000001</v>
      </c>
      <c r="H2672" s="2">
        <v>0</v>
      </c>
      <c r="I2672" s="2">
        <v>-6763102.0700000003</v>
      </c>
      <c r="J2672" s="2">
        <v>0</v>
      </c>
      <c r="K2672" s="2">
        <v>0</v>
      </c>
      <c r="L2672" s="2">
        <v>-6763102.0700000003</v>
      </c>
      <c r="M2672" s="3">
        <v>28882.42</v>
      </c>
      <c r="N2672" s="4">
        <v>-1.5386789999999999E-2</v>
      </c>
      <c r="O2672" s="5" t="s">
        <v>44</v>
      </c>
      <c r="P2672" s="5">
        <v>44809</v>
      </c>
      <c r="Q2672" s="1">
        <v>0</v>
      </c>
      <c r="R2672" s="2"/>
      <c r="S2672" s="6"/>
      <c r="T2672" t="s">
        <v>11412</v>
      </c>
      <c r="U2672" t="s">
        <v>11413</v>
      </c>
      <c r="V2672" t="s">
        <v>11414</v>
      </c>
      <c r="W2672" t="s">
        <v>43</v>
      </c>
      <c r="X2672" t="s">
        <v>44</v>
      </c>
      <c r="Y2672" t="s">
        <v>44</v>
      </c>
      <c r="Z2672" t="s">
        <v>44</v>
      </c>
      <c r="AA2672" t="s">
        <v>11035</v>
      </c>
      <c r="AB2672" t="s">
        <v>44</v>
      </c>
      <c r="AC2672" s="4"/>
      <c r="AD2672" s="4"/>
      <c r="AE2672" s="2">
        <v>0</v>
      </c>
      <c r="AF2672" s="4">
        <v>0</v>
      </c>
      <c r="AG2672" s="2">
        <v>-0.5</v>
      </c>
      <c r="AH2672" s="2">
        <v>145141812.90000001</v>
      </c>
      <c r="AI2672" s="2">
        <v>0.33</v>
      </c>
      <c r="AJ2672" s="5">
        <v>44673</v>
      </c>
      <c r="AK2672" t="s">
        <v>12423</v>
      </c>
      <c r="AL2672" s="2">
        <v>0</v>
      </c>
      <c r="AM2672" s="2">
        <v>0</v>
      </c>
      <c r="AN2672" s="2">
        <v>0</v>
      </c>
      <c r="AO2672" t="s">
        <v>11053</v>
      </c>
      <c r="AP2672" t="s">
        <v>44</v>
      </c>
      <c r="AQ2672" t="s">
        <v>44</v>
      </c>
    </row>
    <row r="2673" spans="1:43" x14ac:dyDescent="0.2">
      <c r="A2673" t="s">
        <v>12422</v>
      </c>
      <c r="B2673" t="s">
        <v>11030</v>
      </c>
      <c r="C2673" t="s">
        <v>11030</v>
      </c>
      <c r="D2673" t="s">
        <v>11775</v>
      </c>
      <c r="E2673" t="s">
        <v>11754</v>
      </c>
      <c r="F2673" t="s">
        <v>11775</v>
      </c>
      <c r="G2673" s="1">
        <v>172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3"/>
      <c r="N2673" s="4">
        <v>0</v>
      </c>
      <c r="O2673" s="5" t="s">
        <v>44</v>
      </c>
      <c r="P2673" s="5" t="s">
        <v>44</v>
      </c>
      <c r="Q2673" s="1"/>
      <c r="R2673" s="2"/>
      <c r="S2673" s="6"/>
      <c r="T2673" t="s">
        <v>11031</v>
      </c>
      <c r="U2673" t="s">
        <v>11032</v>
      </c>
      <c r="V2673" t="s">
        <v>45</v>
      </c>
      <c r="W2673" t="s">
        <v>43</v>
      </c>
      <c r="X2673" t="s">
        <v>44</v>
      </c>
      <c r="Y2673" t="s">
        <v>44</v>
      </c>
      <c r="Z2673" t="s">
        <v>44</v>
      </c>
      <c r="AA2673" t="s">
        <v>44</v>
      </c>
      <c r="AB2673" t="s">
        <v>44</v>
      </c>
      <c r="AC2673" s="4"/>
      <c r="AD2673" s="4"/>
      <c r="AE2673" s="2">
        <v>0</v>
      </c>
      <c r="AF2673" s="4">
        <v>0</v>
      </c>
      <c r="AG2673" s="2">
        <v>0</v>
      </c>
      <c r="AH2673" s="2">
        <v>-34420640</v>
      </c>
      <c r="AI2673" s="2">
        <v>-0.08</v>
      </c>
      <c r="AJ2673" s="5">
        <v>44673</v>
      </c>
      <c r="AK2673" t="s">
        <v>12423</v>
      </c>
      <c r="AL2673" s="2">
        <v>0</v>
      </c>
      <c r="AM2673" s="2">
        <v>0</v>
      </c>
      <c r="AN2673" s="2">
        <v>0</v>
      </c>
      <c r="AO2673" t="s">
        <v>44</v>
      </c>
      <c r="AP2673" t="s">
        <v>44</v>
      </c>
      <c r="AQ2673" t="s">
        <v>11182</v>
      </c>
    </row>
    <row r="2674" spans="1:43" x14ac:dyDescent="0.2">
      <c r="A2674" t="s">
        <v>12422</v>
      </c>
      <c r="B2674" t="s">
        <v>11030</v>
      </c>
      <c r="C2674" t="s">
        <v>11030</v>
      </c>
      <c r="D2674" t="s">
        <v>11776</v>
      </c>
      <c r="E2674" t="s">
        <v>11756</v>
      </c>
      <c r="F2674" t="s">
        <v>11776</v>
      </c>
      <c r="G2674" s="1">
        <v>209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3"/>
      <c r="N2674" s="4">
        <v>0</v>
      </c>
      <c r="O2674" s="5" t="s">
        <v>44</v>
      </c>
      <c r="P2674" s="5" t="s">
        <v>44</v>
      </c>
      <c r="Q2674" s="1"/>
      <c r="R2674" s="2"/>
      <c r="S2674" s="6"/>
      <c r="T2674" t="s">
        <v>11031</v>
      </c>
      <c r="U2674" t="s">
        <v>11032</v>
      </c>
      <c r="V2674" t="s">
        <v>45</v>
      </c>
      <c r="W2674" t="s">
        <v>43</v>
      </c>
      <c r="X2674" t="s">
        <v>44</v>
      </c>
      <c r="Y2674" t="s">
        <v>44</v>
      </c>
      <c r="Z2674" t="s">
        <v>44</v>
      </c>
      <c r="AA2674" t="s">
        <v>44</v>
      </c>
      <c r="AB2674" t="s">
        <v>44</v>
      </c>
      <c r="AC2674" s="4"/>
      <c r="AD2674" s="4"/>
      <c r="AE2674" s="2">
        <v>0</v>
      </c>
      <c r="AF2674" s="4">
        <v>0</v>
      </c>
      <c r="AG2674" s="2">
        <v>0</v>
      </c>
      <c r="AH2674" s="2">
        <v>-60750030</v>
      </c>
      <c r="AI2674" s="2">
        <v>-0.14000000000000001</v>
      </c>
      <c r="AJ2674" s="5">
        <v>44673</v>
      </c>
      <c r="AK2674" t="s">
        <v>12423</v>
      </c>
      <c r="AL2674" s="2">
        <v>0</v>
      </c>
      <c r="AM2674" s="2">
        <v>0</v>
      </c>
      <c r="AN2674" s="2">
        <v>0</v>
      </c>
      <c r="AO2674" t="s">
        <v>44</v>
      </c>
      <c r="AP2674" t="s">
        <v>44</v>
      </c>
      <c r="AQ2674" t="s">
        <v>11182</v>
      </c>
    </row>
    <row r="2675" spans="1:43" x14ac:dyDescent="0.2">
      <c r="A2675" t="s">
        <v>12422</v>
      </c>
      <c r="B2675" t="s">
        <v>11030</v>
      </c>
      <c r="C2675" t="s">
        <v>11030</v>
      </c>
      <c r="D2675" t="s">
        <v>12507</v>
      </c>
      <c r="E2675" t="s">
        <v>12466</v>
      </c>
      <c r="F2675" t="s">
        <v>12507</v>
      </c>
      <c r="G2675" s="1">
        <v>56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3"/>
      <c r="N2675" s="4">
        <v>0</v>
      </c>
      <c r="O2675" s="5" t="s">
        <v>44</v>
      </c>
      <c r="P2675" s="5" t="s">
        <v>44</v>
      </c>
      <c r="Q2675" s="1"/>
      <c r="R2675" s="2"/>
      <c r="S2675" s="6"/>
      <c r="T2675" t="s">
        <v>11031</v>
      </c>
      <c r="U2675" t="s">
        <v>11032</v>
      </c>
      <c r="V2675" t="s">
        <v>45</v>
      </c>
      <c r="W2675" t="s">
        <v>113</v>
      </c>
      <c r="X2675" t="s">
        <v>44</v>
      </c>
      <c r="Y2675" t="s">
        <v>44</v>
      </c>
      <c r="Z2675" t="s">
        <v>44</v>
      </c>
      <c r="AA2675" t="s">
        <v>44</v>
      </c>
      <c r="AB2675" t="s">
        <v>44</v>
      </c>
      <c r="AC2675" s="4"/>
      <c r="AD2675" s="4"/>
      <c r="AE2675" s="2">
        <v>0</v>
      </c>
      <c r="AF2675" s="4">
        <v>0</v>
      </c>
      <c r="AG2675" s="2">
        <v>0</v>
      </c>
      <c r="AH2675" s="2">
        <v>-42604028.420000002</v>
      </c>
      <c r="AI2675" s="2">
        <v>-0.1</v>
      </c>
      <c r="AJ2675" s="5">
        <v>44673</v>
      </c>
      <c r="AK2675" t="s">
        <v>12423</v>
      </c>
      <c r="AL2675" s="2">
        <v>0</v>
      </c>
      <c r="AM2675" s="2">
        <v>0</v>
      </c>
      <c r="AN2675" s="2">
        <v>0</v>
      </c>
      <c r="AO2675" t="s">
        <v>44</v>
      </c>
      <c r="AP2675" t="s">
        <v>44</v>
      </c>
      <c r="AQ2675" t="s">
        <v>11111</v>
      </c>
    </row>
    <row r="2676" spans="1:43" x14ac:dyDescent="0.2">
      <c r="A2676" t="s">
        <v>12422</v>
      </c>
      <c r="B2676" t="s">
        <v>11030</v>
      </c>
      <c r="C2676" t="s">
        <v>11030</v>
      </c>
      <c r="D2676" t="s">
        <v>12508</v>
      </c>
      <c r="E2676" t="s">
        <v>12468</v>
      </c>
      <c r="F2676" t="s">
        <v>12508</v>
      </c>
      <c r="G2676" s="1">
        <v>318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3"/>
      <c r="N2676" s="4">
        <v>0</v>
      </c>
      <c r="O2676" s="5" t="s">
        <v>44</v>
      </c>
      <c r="P2676" s="5" t="s">
        <v>44</v>
      </c>
      <c r="Q2676" s="1"/>
      <c r="R2676" s="2"/>
      <c r="S2676" s="6"/>
      <c r="T2676" t="s">
        <v>11031</v>
      </c>
      <c r="U2676" t="s">
        <v>11032</v>
      </c>
      <c r="V2676" t="s">
        <v>45</v>
      </c>
      <c r="W2676" t="s">
        <v>113</v>
      </c>
      <c r="X2676" t="s">
        <v>44</v>
      </c>
      <c r="Y2676" t="s">
        <v>44</v>
      </c>
      <c r="Z2676" t="s">
        <v>44</v>
      </c>
      <c r="AA2676" t="s">
        <v>44</v>
      </c>
      <c r="AB2676" t="s">
        <v>44</v>
      </c>
      <c r="AC2676" s="4"/>
      <c r="AD2676" s="4"/>
      <c r="AE2676" s="2">
        <v>0</v>
      </c>
      <c r="AF2676" s="4">
        <v>0</v>
      </c>
      <c r="AG2676" s="2">
        <v>0</v>
      </c>
      <c r="AH2676" s="2">
        <v>-233605745.96000001</v>
      </c>
      <c r="AI2676" s="2">
        <v>-0.53</v>
      </c>
      <c r="AJ2676" s="5">
        <v>44673</v>
      </c>
      <c r="AK2676" t="s">
        <v>12423</v>
      </c>
      <c r="AL2676" s="2">
        <v>0</v>
      </c>
      <c r="AM2676" s="2">
        <v>0</v>
      </c>
      <c r="AN2676" s="2">
        <v>0</v>
      </c>
      <c r="AO2676" t="s">
        <v>44</v>
      </c>
      <c r="AP2676" t="s">
        <v>44</v>
      </c>
      <c r="AQ2676" t="s">
        <v>11111</v>
      </c>
    </row>
    <row r="2677" spans="1:43" x14ac:dyDescent="0.2">
      <c r="A2677" t="s">
        <v>12509</v>
      </c>
      <c r="B2677" t="s">
        <v>10900</v>
      </c>
      <c r="C2677" t="s">
        <v>11137</v>
      </c>
      <c r="D2677" t="s">
        <v>12510</v>
      </c>
      <c r="E2677" t="s">
        <v>12511</v>
      </c>
      <c r="F2677" t="s">
        <v>12512</v>
      </c>
      <c r="G2677" s="1">
        <v>15520000</v>
      </c>
      <c r="H2677" s="2">
        <v>12989825.74</v>
      </c>
      <c r="I2677" s="2">
        <v>13063606.140000001</v>
      </c>
      <c r="J2677" s="2">
        <v>333361.09999999998</v>
      </c>
      <c r="K2677" s="2">
        <v>0</v>
      </c>
      <c r="L2677" s="2">
        <v>13396967.24</v>
      </c>
      <c r="M2677" s="3"/>
      <c r="N2677" s="4">
        <v>3.0479539999999999E-2</v>
      </c>
      <c r="O2677" s="5">
        <v>44757</v>
      </c>
      <c r="P2677" s="5">
        <v>47498</v>
      </c>
      <c r="Q2677" s="1">
        <v>8</v>
      </c>
      <c r="R2677" s="2"/>
      <c r="S2677" s="6"/>
      <c r="T2677" t="s">
        <v>111</v>
      </c>
      <c r="U2677" t="s">
        <v>111</v>
      </c>
      <c r="V2677" t="s">
        <v>10944</v>
      </c>
      <c r="W2677" t="s">
        <v>11979</v>
      </c>
      <c r="X2677" t="s">
        <v>44</v>
      </c>
      <c r="Y2677" t="s">
        <v>44</v>
      </c>
      <c r="Z2677" t="s">
        <v>44</v>
      </c>
      <c r="AA2677" t="s">
        <v>10979</v>
      </c>
      <c r="AB2677" t="s">
        <v>44</v>
      </c>
      <c r="AC2677" s="4"/>
      <c r="AD2677" s="4"/>
      <c r="AE2677" s="2">
        <v>0</v>
      </c>
      <c r="AF2677" s="4">
        <v>0</v>
      </c>
      <c r="AG2677" s="2">
        <v>1.94</v>
      </c>
      <c r="AH2677" s="2">
        <v>13396967.24</v>
      </c>
      <c r="AI2677" s="2">
        <v>0.03</v>
      </c>
      <c r="AJ2677" s="5">
        <v>44673</v>
      </c>
      <c r="AK2677" t="s">
        <v>12513</v>
      </c>
      <c r="AL2677" s="2">
        <v>0</v>
      </c>
      <c r="AM2677" s="2">
        <v>8</v>
      </c>
      <c r="AN2677" s="2">
        <v>0</v>
      </c>
      <c r="AO2677" t="s">
        <v>11983</v>
      </c>
      <c r="AP2677" t="s">
        <v>12514</v>
      </c>
      <c r="AQ2677" t="s">
        <v>12511</v>
      </c>
    </row>
    <row r="2678" spans="1:43" x14ac:dyDescent="0.2">
      <c r="A2678" t="s">
        <v>12509</v>
      </c>
      <c r="B2678" t="s">
        <v>10900</v>
      </c>
      <c r="C2678" t="s">
        <v>11137</v>
      </c>
      <c r="D2678" t="s">
        <v>12515</v>
      </c>
      <c r="E2678" t="s">
        <v>12516</v>
      </c>
      <c r="F2678" t="s">
        <v>12517</v>
      </c>
      <c r="G2678" s="1">
        <v>13310000</v>
      </c>
      <c r="H2678" s="2">
        <v>10777600.76</v>
      </c>
      <c r="I2678" s="2">
        <v>10990138.869999999</v>
      </c>
      <c r="J2678" s="2">
        <v>26255.34</v>
      </c>
      <c r="K2678" s="2">
        <v>0</v>
      </c>
      <c r="L2678" s="2">
        <v>11016394.210000001</v>
      </c>
      <c r="M2678" s="3"/>
      <c r="N2678" s="4">
        <v>2.5063479999999999E-2</v>
      </c>
      <c r="O2678" s="5">
        <v>44851</v>
      </c>
      <c r="P2678" s="5">
        <v>48319</v>
      </c>
      <c r="Q2678" s="1">
        <v>9</v>
      </c>
      <c r="R2678" s="2"/>
      <c r="S2678" s="6"/>
      <c r="T2678" t="s">
        <v>111</v>
      </c>
      <c r="U2678" t="s">
        <v>111</v>
      </c>
      <c r="V2678" t="s">
        <v>10944</v>
      </c>
      <c r="W2678" t="s">
        <v>11979</v>
      </c>
      <c r="X2678" t="s">
        <v>44</v>
      </c>
      <c r="Y2678" t="s">
        <v>44</v>
      </c>
      <c r="Z2678" t="s">
        <v>44</v>
      </c>
      <c r="AA2678" t="s">
        <v>10979</v>
      </c>
      <c r="AB2678" t="s">
        <v>44</v>
      </c>
      <c r="AC2678" s="4"/>
      <c r="AD2678" s="4"/>
      <c r="AE2678" s="2">
        <v>0</v>
      </c>
      <c r="AF2678" s="4">
        <v>0</v>
      </c>
      <c r="AG2678" s="2">
        <v>1.6</v>
      </c>
      <c r="AH2678" s="2">
        <v>11016394.210000001</v>
      </c>
      <c r="AI2678" s="2">
        <v>0.03</v>
      </c>
      <c r="AJ2678" s="5">
        <v>44673</v>
      </c>
      <c r="AK2678" t="s">
        <v>12513</v>
      </c>
      <c r="AL2678" s="2">
        <v>0</v>
      </c>
      <c r="AM2678" s="2">
        <v>9</v>
      </c>
      <c r="AN2678" s="2">
        <v>0</v>
      </c>
      <c r="AO2678" t="s">
        <v>11983</v>
      </c>
      <c r="AP2678" t="s">
        <v>12518</v>
      </c>
      <c r="AQ2678" t="s">
        <v>12516</v>
      </c>
    </row>
    <row r="2679" spans="1:43" x14ac:dyDescent="0.2">
      <c r="A2679" t="s">
        <v>12509</v>
      </c>
      <c r="B2679" t="s">
        <v>10900</v>
      </c>
      <c r="C2679" t="s">
        <v>10950</v>
      </c>
      <c r="D2679" t="s">
        <v>12519</v>
      </c>
      <c r="E2679" t="s">
        <v>12520</v>
      </c>
      <c r="F2679" t="s">
        <v>12519</v>
      </c>
      <c r="G2679" s="1">
        <v>10310000</v>
      </c>
      <c r="H2679" s="2">
        <v>8057664.5300000003</v>
      </c>
      <c r="I2679" s="2">
        <v>8186461.6699999999</v>
      </c>
      <c r="J2679" s="2">
        <v>262975.62</v>
      </c>
      <c r="K2679" s="2">
        <v>0</v>
      </c>
      <c r="L2679" s="2">
        <v>8449437.2899999991</v>
      </c>
      <c r="M2679" s="3"/>
      <c r="N2679" s="4">
        <v>1.9223380000000002E-2</v>
      </c>
      <c r="O2679" s="5">
        <v>44757</v>
      </c>
      <c r="P2679" s="5">
        <v>49505</v>
      </c>
      <c r="Q2679" s="1">
        <v>9.5</v>
      </c>
      <c r="R2679" s="2">
        <v>7.81</v>
      </c>
      <c r="S2679" s="6">
        <v>7.4711079099999997</v>
      </c>
      <c r="T2679" t="s">
        <v>111</v>
      </c>
      <c r="U2679" t="s">
        <v>111</v>
      </c>
      <c r="V2679" t="s">
        <v>10944</v>
      </c>
      <c r="W2679" t="s">
        <v>11979</v>
      </c>
      <c r="X2679" t="s">
        <v>44</v>
      </c>
      <c r="Y2679" t="s">
        <v>44</v>
      </c>
      <c r="Z2679" t="s">
        <v>44</v>
      </c>
      <c r="AA2679" t="s">
        <v>10979</v>
      </c>
      <c r="AB2679" t="s">
        <v>44</v>
      </c>
      <c r="AC2679" s="4"/>
      <c r="AD2679" s="4"/>
      <c r="AE2679" s="2">
        <v>0</v>
      </c>
      <c r="AF2679" s="4">
        <v>0</v>
      </c>
      <c r="AG2679" s="2">
        <v>1.22</v>
      </c>
      <c r="AH2679" s="2">
        <v>8449437.2899999991</v>
      </c>
      <c r="AI2679" s="2">
        <v>0.02</v>
      </c>
      <c r="AJ2679" s="5">
        <v>44673</v>
      </c>
      <c r="AK2679" t="s">
        <v>12513</v>
      </c>
      <c r="AL2679" s="2">
        <v>0</v>
      </c>
      <c r="AM2679" s="2">
        <v>9.5</v>
      </c>
      <c r="AN2679" s="2">
        <v>7.47</v>
      </c>
      <c r="AO2679" t="s">
        <v>11983</v>
      </c>
      <c r="AP2679" t="s">
        <v>12521</v>
      </c>
      <c r="AQ2679" t="s">
        <v>12520</v>
      </c>
    </row>
    <row r="2680" spans="1:43" x14ac:dyDescent="0.2">
      <c r="A2680" t="s">
        <v>12509</v>
      </c>
      <c r="B2680" t="s">
        <v>10900</v>
      </c>
      <c r="C2680" t="s">
        <v>10950</v>
      </c>
      <c r="D2680" t="s">
        <v>12522</v>
      </c>
      <c r="E2680" t="s">
        <v>12523</v>
      </c>
      <c r="F2680" t="s">
        <v>12522</v>
      </c>
      <c r="G2680" s="1">
        <v>9240000</v>
      </c>
      <c r="H2680" s="2">
        <v>6486540.8099999996</v>
      </c>
      <c r="I2680" s="2">
        <v>6560702.1500000004</v>
      </c>
      <c r="J2680" s="2">
        <v>244366.36</v>
      </c>
      <c r="K2680" s="2">
        <v>0</v>
      </c>
      <c r="L2680" s="2">
        <v>6805068.5099999998</v>
      </c>
      <c r="M2680" s="3"/>
      <c r="N2680" s="4">
        <v>1.5482259999999999E-2</v>
      </c>
      <c r="O2680" s="5">
        <v>44757</v>
      </c>
      <c r="P2680" s="5">
        <v>53158</v>
      </c>
      <c r="Q2680" s="1">
        <v>9.85</v>
      </c>
      <c r="R2680" s="2">
        <v>8.8000000000000007</v>
      </c>
      <c r="S2680" s="6">
        <v>8.5083607099999998</v>
      </c>
      <c r="T2680" t="s">
        <v>111</v>
      </c>
      <c r="U2680" t="s">
        <v>111</v>
      </c>
      <c r="V2680" t="s">
        <v>10944</v>
      </c>
      <c r="W2680" t="s">
        <v>11979</v>
      </c>
      <c r="X2680" t="s">
        <v>44</v>
      </c>
      <c r="Y2680" t="s">
        <v>44</v>
      </c>
      <c r="Z2680" t="s">
        <v>44</v>
      </c>
      <c r="AA2680" t="s">
        <v>10979</v>
      </c>
      <c r="AB2680" t="s">
        <v>44</v>
      </c>
      <c r="AC2680" s="4"/>
      <c r="AD2680" s="4"/>
      <c r="AE2680" s="2">
        <v>0</v>
      </c>
      <c r="AF2680" s="4">
        <v>0</v>
      </c>
      <c r="AG2680" s="2">
        <v>0.99</v>
      </c>
      <c r="AH2680" s="2">
        <v>6805068.5099999998</v>
      </c>
      <c r="AI2680" s="2">
        <v>0.02</v>
      </c>
      <c r="AJ2680" s="5">
        <v>44673</v>
      </c>
      <c r="AK2680" t="s">
        <v>12513</v>
      </c>
      <c r="AL2680" s="2">
        <v>0</v>
      </c>
      <c r="AM2680" s="2">
        <v>9.85</v>
      </c>
      <c r="AN2680" s="2">
        <v>8.51</v>
      </c>
      <c r="AO2680" t="s">
        <v>11983</v>
      </c>
      <c r="AP2680" t="s">
        <v>12524</v>
      </c>
      <c r="AQ2680" t="s">
        <v>12523</v>
      </c>
    </row>
    <row r="2681" spans="1:43" x14ac:dyDescent="0.2">
      <c r="A2681" t="s">
        <v>12509</v>
      </c>
      <c r="B2681" t="s">
        <v>10900</v>
      </c>
      <c r="C2681" t="s">
        <v>10950</v>
      </c>
      <c r="D2681" t="s">
        <v>12525</v>
      </c>
      <c r="E2681" t="s">
        <v>12526</v>
      </c>
      <c r="F2681" t="s">
        <v>12527</v>
      </c>
      <c r="G2681" s="1">
        <v>2800000</v>
      </c>
      <c r="H2681" s="2">
        <v>2007282.75</v>
      </c>
      <c r="I2681" s="2">
        <v>2048920.16</v>
      </c>
      <c r="J2681" s="2">
        <v>77057.53</v>
      </c>
      <c r="K2681" s="2">
        <v>0</v>
      </c>
      <c r="L2681" s="2">
        <v>2125977.69</v>
      </c>
      <c r="M2681" s="3"/>
      <c r="N2681" s="4">
        <v>4.8368300000000003E-3</v>
      </c>
      <c r="O2681" s="5">
        <v>44757</v>
      </c>
      <c r="P2681" s="5">
        <v>54984</v>
      </c>
      <c r="Q2681" s="1">
        <v>10.25</v>
      </c>
      <c r="R2681" s="2"/>
      <c r="S2681" s="6"/>
      <c r="T2681" t="s">
        <v>111</v>
      </c>
      <c r="U2681" t="s">
        <v>111</v>
      </c>
      <c r="V2681" t="s">
        <v>10944</v>
      </c>
      <c r="W2681" t="s">
        <v>11979</v>
      </c>
      <c r="X2681" t="s">
        <v>44</v>
      </c>
      <c r="Y2681" t="s">
        <v>44</v>
      </c>
      <c r="Z2681" t="s">
        <v>44</v>
      </c>
      <c r="AA2681" t="s">
        <v>10979</v>
      </c>
      <c r="AB2681" t="s">
        <v>44</v>
      </c>
      <c r="AC2681" s="4"/>
      <c r="AD2681" s="4"/>
      <c r="AE2681" s="2">
        <v>0</v>
      </c>
      <c r="AF2681" s="4">
        <v>0</v>
      </c>
      <c r="AG2681" s="2">
        <v>0.31</v>
      </c>
      <c r="AH2681" s="2">
        <v>2125977.69</v>
      </c>
      <c r="AI2681" s="2">
        <v>0</v>
      </c>
      <c r="AJ2681" s="5">
        <v>44673</v>
      </c>
      <c r="AK2681" t="s">
        <v>12513</v>
      </c>
      <c r="AL2681" s="2">
        <v>0</v>
      </c>
      <c r="AM2681" s="2">
        <v>10.25</v>
      </c>
      <c r="AN2681" s="2">
        <v>0</v>
      </c>
      <c r="AO2681" t="s">
        <v>11983</v>
      </c>
      <c r="AP2681" t="s">
        <v>12528</v>
      </c>
      <c r="AQ2681" t="s">
        <v>12526</v>
      </c>
    </row>
    <row r="2682" spans="1:43" x14ac:dyDescent="0.2">
      <c r="A2682" t="s">
        <v>12509</v>
      </c>
      <c r="B2682" t="s">
        <v>10900</v>
      </c>
      <c r="C2682" t="s">
        <v>10950</v>
      </c>
      <c r="D2682" t="s">
        <v>12529</v>
      </c>
      <c r="E2682" t="s">
        <v>12530</v>
      </c>
      <c r="F2682" t="s">
        <v>12531</v>
      </c>
      <c r="G2682" s="1">
        <v>2685000</v>
      </c>
      <c r="H2682" s="2">
        <v>1937753.27</v>
      </c>
      <c r="I2682" s="2">
        <v>1996116.53</v>
      </c>
      <c r="J2682" s="2">
        <v>68485.89</v>
      </c>
      <c r="K2682" s="2">
        <v>0</v>
      </c>
      <c r="L2682" s="2">
        <v>2064602.42</v>
      </c>
      <c r="M2682" s="3"/>
      <c r="N2682" s="4">
        <v>4.6971900000000004E-3</v>
      </c>
      <c r="O2682" s="5">
        <v>44757</v>
      </c>
      <c r="P2682" s="5">
        <v>50236</v>
      </c>
      <c r="Q2682" s="1">
        <v>9.5</v>
      </c>
      <c r="R2682" s="2"/>
      <c r="S2682" s="6"/>
      <c r="T2682" t="s">
        <v>111</v>
      </c>
      <c r="U2682" t="s">
        <v>111</v>
      </c>
      <c r="V2682" t="s">
        <v>10944</v>
      </c>
      <c r="W2682" t="s">
        <v>11979</v>
      </c>
      <c r="X2682" t="s">
        <v>44</v>
      </c>
      <c r="Y2682" t="s">
        <v>44</v>
      </c>
      <c r="Z2682" t="s">
        <v>44</v>
      </c>
      <c r="AA2682" t="s">
        <v>10979</v>
      </c>
      <c r="AB2682" t="s">
        <v>44</v>
      </c>
      <c r="AC2682" s="4"/>
      <c r="AD2682" s="4"/>
      <c r="AE2682" s="2">
        <v>0</v>
      </c>
      <c r="AF2682" s="4">
        <v>0</v>
      </c>
      <c r="AG2682" s="2">
        <v>0.3</v>
      </c>
      <c r="AH2682" s="2">
        <v>2064602.42</v>
      </c>
      <c r="AI2682" s="2">
        <v>0</v>
      </c>
      <c r="AJ2682" s="5">
        <v>44673</v>
      </c>
      <c r="AK2682" t="s">
        <v>12513</v>
      </c>
      <c r="AL2682" s="2">
        <v>0</v>
      </c>
      <c r="AM2682" s="2">
        <v>9.5</v>
      </c>
      <c r="AN2682" s="2">
        <v>0</v>
      </c>
      <c r="AO2682" t="s">
        <v>11983</v>
      </c>
      <c r="AP2682" t="s">
        <v>12532</v>
      </c>
      <c r="AQ2682" t="s">
        <v>12530</v>
      </c>
    </row>
    <row r="2683" spans="1:43" x14ac:dyDescent="0.2">
      <c r="A2683" t="s">
        <v>12509</v>
      </c>
      <c r="B2683" t="s">
        <v>10900</v>
      </c>
      <c r="C2683" t="s">
        <v>10950</v>
      </c>
      <c r="D2683" t="s">
        <v>12533</v>
      </c>
      <c r="E2683" t="s">
        <v>12534</v>
      </c>
      <c r="F2683" t="s">
        <v>12535</v>
      </c>
      <c r="G2683" s="1">
        <v>15170000</v>
      </c>
      <c r="H2683" s="2">
        <v>11054552.140000001</v>
      </c>
      <c r="I2683" s="2">
        <v>11372785.16</v>
      </c>
      <c r="J2683" s="2">
        <v>32584.33</v>
      </c>
      <c r="K2683" s="2">
        <v>0</v>
      </c>
      <c r="L2683" s="2">
        <v>11405369.49</v>
      </c>
      <c r="M2683" s="3"/>
      <c r="N2683" s="4">
        <v>2.594844E-2</v>
      </c>
      <c r="O2683" s="5">
        <v>44851</v>
      </c>
      <c r="P2683" s="5">
        <v>51424</v>
      </c>
      <c r="Q2683" s="1">
        <v>9.8000000000000007</v>
      </c>
      <c r="R2683" s="2"/>
      <c r="S2683" s="6"/>
      <c r="T2683" t="s">
        <v>111</v>
      </c>
      <c r="U2683" t="s">
        <v>111</v>
      </c>
      <c r="V2683" t="s">
        <v>10944</v>
      </c>
      <c r="W2683" t="s">
        <v>11979</v>
      </c>
      <c r="X2683" t="s">
        <v>44</v>
      </c>
      <c r="Y2683" t="s">
        <v>44</v>
      </c>
      <c r="Z2683" t="s">
        <v>44</v>
      </c>
      <c r="AA2683" t="s">
        <v>10979</v>
      </c>
      <c r="AB2683" t="s">
        <v>44</v>
      </c>
      <c r="AC2683" s="4"/>
      <c r="AD2683" s="4"/>
      <c r="AE2683" s="2">
        <v>0</v>
      </c>
      <c r="AF2683" s="4">
        <v>0</v>
      </c>
      <c r="AG2683" s="2">
        <v>1.65</v>
      </c>
      <c r="AH2683" s="2">
        <v>11405369.49</v>
      </c>
      <c r="AI2683" s="2">
        <v>0.03</v>
      </c>
      <c r="AJ2683" s="5">
        <v>44673</v>
      </c>
      <c r="AK2683" t="s">
        <v>12513</v>
      </c>
      <c r="AL2683" s="2">
        <v>0</v>
      </c>
      <c r="AM2683" s="2">
        <v>9.8000000000000007</v>
      </c>
      <c r="AN2683" s="2">
        <v>0</v>
      </c>
      <c r="AO2683" t="s">
        <v>11983</v>
      </c>
      <c r="AP2683" t="s">
        <v>12536</v>
      </c>
      <c r="AQ2683" t="s">
        <v>12534</v>
      </c>
    </row>
    <row r="2684" spans="1:43" x14ac:dyDescent="0.2">
      <c r="A2684" t="s">
        <v>12509</v>
      </c>
      <c r="B2684" t="s">
        <v>10900</v>
      </c>
      <c r="C2684" t="s">
        <v>10990</v>
      </c>
      <c r="D2684" t="s">
        <v>12537</v>
      </c>
      <c r="E2684" t="s">
        <v>12538</v>
      </c>
      <c r="F2684" t="s">
        <v>12539</v>
      </c>
      <c r="G2684" s="1">
        <v>10480000</v>
      </c>
      <c r="H2684" s="2">
        <v>13965857.039999999</v>
      </c>
      <c r="I2684" s="2">
        <v>13954454.310000001</v>
      </c>
      <c r="J2684" s="2">
        <v>10889.24</v>
      </c>
      <c r="K2684" s="2">
        <v>0</v>
      </c>
      <c r="L2684" s="2">
        <v>13965343.550000001</v>
      </c>
      <c r="M2684" s="3"/>
      <c r="N2684" s="4">
        <v>3.1772660000000001E-2</v>
      </c>
      <c r="O2684" s="5">
        <v>44849</v>
      </c>
      <c r="P2684" s="5">
        <v>44849</v>
      </c>
      <c r="Q2684" s="1">
        <v>3.55</v>
      </c>
      <c r="R2684" s="2"/>
      <c r="S2684" s="6"/>
      <c r="T2684" t="s">
        <v>111</v>
      </c>
      <c r="U2684" t="s">
        <v>111</v>
      </c>
      <c r="V2684" t="s">
        <v>10992</v>
      </c>
      <c r="W2684" t="s">
        <v>11979</v>
      </c>
      <c r="X2684" t="s">
        <v>10945</v>
      </c>
      <c r="Y2684" t="s">
        <v>44</v>
      </c>
      <c r="Z2684" t="s">
        <v>44</v>
      </c>
      <c r="AA2684" t="s">
        <v>10979</v>
      </c>
      <c r="AB2684" t="s">
        <v>44</v>
      </c>
      <c r="AC2684" s="4"/>
      <c r="AD2684" s="4"/>
      <c r="AE2684" s="2">
        <v>0</v>
      </c>
      <c r="AF2684" s="4">
        <v>0</v>
      </c>
      <c r="AG2684" s="2">
        <v>2.02</v>
      </c>
      <c r="AH2684" s="2">
        <v>13965343.550000001</v>
      </c>
      <c r="AI2684" s="2">
        <v>0.03</v>
      </c>
      <c r="AJ2684" s="5">
        <v>44673</v>
      </c>
      <c r="AK2684" t="s">
        <v>12513</v>
      </c>
      <c r="AL2684" s="2">
        <v>0</v>
      </c>
      <c r="AM2684" s="2">
        <v>3.55</v>
      </c>
      <c r="AN2684" s="2">
        <v>0</v>
      </c>
      <c r="AO2684" t="s">
        <v>11983</v>
      </c>
      <c r="AP2684" t="s">
        <v>12540</v>
      </c>
      <c r="AQ2684" t="s">
        <v>12538</v>
      </c>
    </row>
    <row r="2685" spans="1:43" x14ac:dyDescent="0.2">
      <c r="A2685" t="s">
        <v>12509</v>
      </c>
      <c r="B2685" t="s">
        <v>10900</v>
      </c>
      <c r="C2685" t="s">
        <v>10990</v>
      </c>
      <c r="D2685" t="s">
        <v>12541</v>
      </c>
      <c r="E2685" t="s">
        <v>12542</v>
      </c>
      <c r="F2685" t="s">
        <v>12543</v>
      </c>
      <c r="G2685" s="1">
        <v>20110000</v>
      </c>
      <c r="H2685" s="2">
        <v>26734021.280000001</v>
      </c>
      <c r="I2685" s="2">
        <v>26724052.309999999</v>
      </c>
      <c r="J2685" s="2">
        <v>273993.08</v>
      </c>
      <c r="K2685" s="2">
        <v>0</v>
      </c>
      <c r="L2685" s="2">
        <v>26998045.390000001</v>
      </c>
      <c r="M2685" s="3"/>
      <c r="N2685" s="4">
        <v>6.1423459999999999E-2</v>
      </c>
      <c r="O2685" s="5">
        <v>44757</v>
      </c>
      <c r="P2685" s="5">
        <v>45853</v>
      </c>
      <c r="Q2685" s="1">
        <v>3.8</v>
      </c>
      <c r="R2685" s="2"/>
      <c r="S2685" s="6"/>
      <c r="T2685" t="s">
        <v>111</v>
      </c>
      <c r="U2685" t="s">
        <v>111</v>
      </c>
      <c r="V2685" t="s">
        <v>10992</v>
      </c>
      <c r="W2685" t="s">
        <v>11979</v>
      </c>
      <c r="X2685" t="s">
        <v>10945</v>
      </c>
      <c r="Y2685" t="s">
        <v>44</v>
      </c>
      <c r="Z2685" t="s">
        <v>44</v>
      </c>
      <c r="AA2685" t="s">
        <v>10979</v>
      </c>
      <c r="AB2685" t="s">
        <v>44</v>
      </c>
      <c r="AC2685" s="4"/>
      <c r="AD2685" s="4"/>
      <c r="AE2685" s="2">
        <v>0</v>
      </c>
      <c r="AF2685" s="4">
        <v>0</v>
      </c>
      <c r="AG2685" s="2">
        <v>3.91</v>
      </c>
      <c r="AH2685" s="2">
        <v>26998045.390000001</v>
      </c>
      <c r="AI2685" s="2">
        <v>0.06</v>
      </c>
      <c r="AJ2685" s="5">
        <v>44673</v>
      </c>
      <c r="AK2685" t="s">
        <v>12513</v>
      </c>
      <c r="AL2685" s="2">
        <v>0</v>
      </c>
      <c r="AM2685" s="2">
        <v>3.8</v>
      </c>
      <c r="AN2685" s="2">
        <v>0</v>
      </c>
      <c r="AO2685" t="s">
        <v>11983</v>
      </c>
      <c r="AP2685" t="s">
        <v>12544</v>
      </c>
      <c r="AQ2685" t="s">
        <v>12542</v>
      </c>
    </row>
    <row r="2686" spans="1:43" x14ac:dyDescent="0.2">
      <c r="A2686" t="s">
        <v>12509</v>
      </c>
      <c r="B2686" t="s">
        <v>10900</v>
      </c>
      <c r="C2686" t="s">
        <v>10990</v>
      </c>
      <c r="D2686" t="s">
        <v>12545</v>
      </c>
      <c r="E2686" t="s">
        <v>12546</v>
      </c>
      <c r="F2686" t="s">
        <v>12547</v>
      </c>
      <c r="G2686" s="1">
        <v>13000000</v>
      </c>
      <c r="H2686" s="2">
        <v>14219088.82</v>
      </c>
      <c r="I2686" s="2">
        <v>14487911.1</v>
      </c>
      <c r="J2686" s="2">
        <v>185722.81</v>
      </c>
      <c r="K2686" s="2">
        <v>0</v>
      </c>
      <c r="L2686" s="2">
        <v>14673633.91</v>
      </c>
      <c r="M2686" s="3"/>
      <c r="N2686" s="4">
        <v>3.33841E-2</v>
      </c>
      <c r="O2686" s="5">
        <v>44757</v>
      </c>
      <c r="P2686" s="5">
        <v>47133</v>
      </c>
      <c r="Q2686" s="1">
        <v>4.5</v>
      </c>
      <c r="R2686" s="2"/>
      <c r="S2686" s="6"/>
      <c r="T2686" t="s">
        <v>111</v>
      </c>
      <c r="U2686" t="s">
        <v>111</v>
      </c>
      <c r="V2686" t="s">
        <v>10992</v>
      </c>
      <c r="W2686" t="s">
        <v>11979</v>
      </c>
      <c r="X2686" t="s">
        <v>10945</v>
      </c>
      <c r="Y2686" t="s">
        <v>44</v>
      </c>
      <c r="Z2686" t="s">
        <v>44</v>
      </c>
      <c r="AA2686" t="s">
        <v>10979</v>
      </c>
      <c r="AB2686" t="s">
        <v>44</v>
      </c>
      <c r="AC2686" s="4"/>
      <c r="AD2686" s="4"/>
      <c r="AE2686" s="2">
        <v>0</v>
      </c>
      <c r="AF2686" s="4">
        <v>0</v>
      </c>
      <c r="AG2686" s="2">
        <v>2.13</v>
      </c>
      <c r="AH2686" s="2">
        <v>14673633.91</v>
      </c>
      <c r="AI2686" s="2">
        <v>0.03</v>
      </c>
      <c r="AJ2686" s="5">
        <v>44673</v>
      </c>
      <c r="AK2686" t="s">
        <v>12513</v>
      </c>
      <c r="AL2686" s="2">
        <v>0</v>
      </c>
      <c r="AM2686" s="2">
        <v>4.5</v>
      </c>
      <c r="AN2686" s="2">
        <v>0</v>
      </c>
      <c r="AO2686" t="s">
        <v>11983</v>
      </c>
      <c r="AP2686" t="s">
        <v>12548</v>
      </c>
      <c r="AQ2686" t="s">
        <v>12546</v>
      </c>
    </row>
    <row r="2687" spans="1:43" x14ac:dyDescent="0.2">
      <c r="A2687" t="s">
        <v>12509</v>
      </c>
      <c r="B2687" t="s">
        <v>10900</v>
      </c>
      <c r="C2687" t="s">
        <v>10990</v>
      </c>
      <c r="D2687" t="s">
        <v>12549</v>
      </c>
      <c r="E2687" t="s">
        <v>12550</v>
      </c>
      <c r="F2687" t="s">
        <v>12551</v>
      </c>
      <c r="G2687" s="1">
        <v>3000000</v>
      </c>
      <c r="H2687" s="2">
        <v>2666754.7999999998</v>
      </c>
      <c r="I2687" s="2">
        <v>2687178.9</v>
      </c>
      <c r="J2687" s="2">
        <v>3376.32</v>
      </c>
      <c r="K2687" s="2">
        <v>0</v>
      </c>
      <c r="L2687" s="2">
        <v>2690555.22</v>
      </c>
      <c r="M2687" s="3"/>
      <c r="N2687" s="4">
        <v>6.1212999999999997E-3</v>
      </c>
      <c r="O2687" s="5">
        <v>44851</v>
      </c>
      <c r="P2687" s="5">
        <v>48684</v>
      </c>
      <c r="Q2687" s="1">
        <v>4.5</v>
      </c>
      <c r="R2687" s="2"/>
      <c r="S2687" s="6"/>
      <c r="T2687" t="s">
        <v>111</v>
      </c>
      <c r="U2687" t="s">
        <v>111</v>
      </c>
      <c r="V2687" t="s">
        <v>10992</v>
      </c>
      <c r="W2687" t="s">
        <v>11979</v>
      </c>
      <c r="X2687" t="s">
        <v>10945</v>
      </c>
      <c r="Y2687" t="s">
        <v>44</v>
      </c>
      <c r="Z2687" t="s">
        <v>44</v>
      </c>
      <c r="AA2687" t="s">
        <v>10979</v>
      </c>
      <c r="AB2687" t="s">
        <v>44</v>
      </c>
      <c r="AC2687" s="4"/>
      <c r="AD2687" s="4"/>
      <c r="AE2687" s="2">
        <v>0</v>
      </c>
      <c r="AF2687" s="4">
        <v>0</v>
      </c>
      <c r="AG2687" s="2">
        <v>0.39</v>
      </c>
      <c r="AH2687" s="2">
        <v>2690555.22</v>
      </c>
      <c r="AI2687" s="2">
        <v>0.01</v>
      </c>
      <c r="AJ2687" s="5">
        <v>44673</v>
      </c>
      <c r="AK2687" t="s">
        <v>12513</v>
      </c>
      <c r="AL2687" s="2">
        <v>0</v>
      </c>
      <c r="AM2687" s="2">
        <v>4.5</v>
      </c>
      <c r="AN2687" s="2">
        <v>0</v>
      </c>
      <c r="AO2687" t="s">
        <v>11983</v>
      </c>
      <c r="AP2687" t="s">
        <v>12552</v>
      </c>
      <c r="AQ2687" t="s">
        <v>12550</v>
      </c>
    </row>
    <row r="2688" spans="1:43" x14ac:dyDescent="0.2">
      <c r="A2688" t="s">
        <v>12509</v>
      </c>
      <c r="B2688" t="s">
        <v>10900</v>
      </c>
      <c r="C2688" t="s">
        <v>10990</v>
      </c>
      <c r="D2688" t="s">
        <v>12553</v>
      </c>
      <c r="E2688" t="s">
        <v>12554</v>
      </c>
      <c r="F2688" t="s">
        <v>12555</v>
      </c>
      <c r="G2688" s="1">
        <v>3000000</v>
      </c>
      <c r="H2688" s="2">
        <v>2354128.73</v>
      </c>
      <c r="I2688" s="2">
        <v>2391466.2000000002</v>
      </c>
      <c r="J2688" s="2">
        <v>42224.46</v>
      </c>
      <c r="K2688" s="2">
        <v>0</v>
      </c>
      <c r="L2688" s="2">
        <v>2433690.66</v>
      </c>
      <c r="M2688" s="3"/>
      <c r="N2688" s="4">
        <v>5.5369099999999999E-3</v>
      </c>
      <c r="O2688" s="5">
        <v>44757</v>
      </c>
      <c r="P2688" s="5">
        <v>49871</v>
      </c>
      <c r="Q2688" s="1">
        <v>4.8</v>
      </c>
      <c r="R2688" s="2"/>
      <c r="S2688" s="6"/>
      <c r="T2688" t="s">
        <v>111</v>
      </c>
      <c r="U2688" t="s">
        <v>111</v>
      </c>
      <c r="V2688" t="s">
        <v>10992</v>
      </c>
      <c r="W2688" t="s">
        <v>11979</v>
      </c>
      <c r="X2688" t="s">
        <v>10945</v>
      </c>
      <c r="Y2688" t="s">
        <v>44</v>
      </c>
      <c r="Z2688" t="s">
        <v>44</v>
      </c>
      <c r="AA2688" t="s">
        <v>10979</v>
      </c>
      <c r="AB2688" t="s">
        <v>44</v>
      </c>
      <c r="AC2688" s="4"/>
      <c r="AD2688" s="4"/>
      <c r="AE2688" s="2">
        <v>0</v>
      </c>
      <c r="AF2688" s="4">
        <v>0</v>
      </c>
      <c r="AG2688" s="2">
        <v>0.35</v>
      </c>
      <c r="AH2688" s="2">
        <v>2433690.66</v>
      </c>
      <c r="AI2688" s="2">
        <v>0.01</v>
      </c>
      <c r="AJ2688" s="5">
        <v>44673</v>
      </c>
      <c r="AK2688" t="s">
        <v>12513</v>
      </c>
      <c r="AL2688" s="2">
        <v>0</v>
      </c>
      <c r="AM2688" s="2">
        <v>4.8</v>
      </c>
      <c r="AN2688" s="2">
        <v>0</v>
      </c>
      <c r="AO2688" t="s">
        <v>11983</v>
      </c>
      <c r="AP2688" t="s">
        <v>12556</v>
      </c>
      <c r="AQ2688" t="s">
        <v>12554</v>
      </c>
    </row>
    <row r="2689" spans="1:43" x14ac:dyDescent="0.2">
      <c r="A2689" t="s">
        <v>12509</v>
      </c>
      <c r="B2689" t="s">
        <v>45</v>
      </c>
      <c r="C2689" t="s">
        <v>11144</v>
      </c>
      <c r="D2689" t="s">
        <v>11145</v>
      </c>
      <c r="E2689" t="s">
        <v>11146</v>
      </c>
      <c r="F2689" t="s">
        <v>11147</v>
      </c>
      <c r="G2689" s="1">
        <v>30091063.989999998</v>
      </c>
      <c r="H2689" s="2">
        <v>30091063.989999998</v>
      </c>
      <c r="I2689" s="2">
        <v>30091063.989999998</v>
      </c>
      <c r="J2689" s="2">
        <v>79162.559999999998</v>
      </c>
      <c r="K2689" s="2">
        <v>0</v>
      </c>
      <c r="L2689" s="2">
        <v>30170226.550000001</v>
      </c>
      <c r="M2689" s="3">
        <v>6.88</v>
      </c>
      <c r="N2689" s="4">
        <v>6.8640510000000002E-2</v>
      </c>
      <c r="O2689" s="5" t="s">
        <v>44</v>
      </c>
      <c r="P2689" s="5">
        <v>55153</v>
      </c>
      <c r="Q2689" s="1">
        <v>6.88</v>
      </c>
      <c r="R2689" s="2">
        <v>0.08</v>
      </c>
      <c r="S2689" s="6">
        <v>2.6006750000000002E-3</v>
      </c>
      <c r="T2689" t="s">
        <v>112</v>
      </c>
      <c r="U2689" t="s">
        <v>46</v>
      </c>
      <c r="V2689" t="s">
        <v>11148</v>
      </c>
      <c r="W2689" t="s">
        <v>43</v>
      </c>
      <c r="X2689" t="s">
        <v>44</v>
      </c>
      <c r="Y2689" t="s">
        <v>44</v>
      </c>
      <c r="Z2689" t="s">
        <v>44</v>
      </c>
      <c r="AA2689" t="s">
        <v>44</v>
      </c>
      <c r="AB2689" t="s">
        <v>44</v>
      </c>
      <c r="AC2689" s="4"/>
      <c r="AD2689" s="4"/>
      <c r="AE2689" s="2">
        <v>0</v>
      </c>
      <c r="AF2689" s="4">
        <v>0</v>
      </c>
      <c r="AG2689" s="2">
        <v>4.37</v>
      </c>
      <c r="AH2689" s="2">
        <v>30170226.550000001</v>
      </c>
      <c r="AI2689" s="2">
        <v>7.0000000000000007E-2</v>
      </c>
      <c r="AJ2689" s="5">
        <v>44673</v>
      </c>
      <c r="AK2689" t="s">
        <v>12513</v>
      </c>
      <c r="AL2689" s="2">
        <v>0</v>
      </c>
      <c r="AM2689" s="2">
        <v>6.88</v>
      </c>
      <c r="AN2689" s="2">
        <v>0</v>
      </c>
      <c r="AO2689" t="s">
        <v>11146</v>
      </c>
      <c r="AP2689" t="s">
        <v>44</v>
      </c>
      <c r="AQ2689" t="s">
        <v>11146</v>
      </c>
    </row>
    <row r="2690" spans="1:43" x14ac:dyDescent="0.2">
      <c r="A2690" t="s">
        <v>12509</v>
      </c>
      <c r="B2690" t="s">
        <v>45</v>
      </c>
      <c r="C2690" t="s">
        <v>47</v>
      </c>
      <c r="D2690" t="s">
        <v>11981</v>
      </c>
      <c r="E2690" t="s">
        <v>11982</v>
      </c>
      <c r="F2690" t="s">
        <v>11981</v>
      </c>
      <c r="G2690" s="1">
        <v>135014962.91999999</v>
      </c>
      <c r="H2690" s="2">
        <v>135014962.91999999</v>
      </c>
      <c r="I2690" s="2">
        <v>135014962.91999999</v>
      </c>
      <c r="J2690" s="2">
        <v>0</v>
      </c>
      <c r="K2690" s="2">
        <v>0</v>
      </c>
      <c r="L2690" s="2">
        <v>135014962.91999999</v>
      </c>
      <c r="M2690" s="3"/>
      <c r="N2690" s="4">
        <v>0.30717358</v>
      </c>
      <c r="O2690" s="5" t="s">
        <v>44</v>
      </c>
      <c r="P2690" s="5" t="s">
        <v>44</v>
      </c>
      <c r="Q2690" s="1"/>
      <c r="R2690" s="2">
        <v>0.08</v>
      </c>
      <c r="S2690" s="6"/>
      <c r="T2690" t="s">
        <v>45</v>
      </c>
      <c r="U2690" t="s">
        <v>53</v>
      </c>
      <c r="V2690" t="s">
        <v>44</v>
      </c>
      <c r="W2690" t="s">
        <v>11979</v>
      </c>
      <c r="X2690" t="s">
        <v>44</v>
      </c>
      <c r="Y2690" t="s">
        <v>44</v>
      </c>
      <c r="Z2690" t="s">
        <v>44</v>
      </c>
      <c r="AA2690" t="s">
        <v>44</v>
      </c>
      <c r="AB2690" t="s">
        <v>44</v>
      </c>
      <c r="AC2690" s="4"/>
      <c r="AD2690" s="4"/>
      <c r="AE2690" s="2">
        <v>0</v>
      </c>
      <c r="AF2690" s="4">
        <v>0</v>
      </c>
      <c r="AG2690" s="2">
        <v>19.559999999999999</v>
      </c>
      <c r="AH2690" s="2">
        <v>135014962.91999999</v>
      </c>
      <c r="AI2690" s="2">
        <v>0.31</v>
      </c>
      <c r="AJ2690" s="5">
        <v>44673</v>
      </c>
      <c r="AK2690" t="s">
        <v>12513</v>
      </c>
      <c r="AL2690" s="2">
        <v>0</v>
      </c>
      <c r="AM2690" s="2">
        <v>0</v>
      </c>
      <c r="AN2690" s="2">
        <v>0</v>
      </c>
      <c r="AO2690" t="s">
        <v>44</v>
      </c>
      <c r="AP2690" t="s">
        <v>44</v>
      </c>
      <c r="AQ2690" t="s">
        <v>11979</v>
      </c>
    </row>
    <row r="2691" spans="1:43" x14ac:dyDescent="0.2">
      <c r="A2691" t="s">
        <v>12509</v>
      </c>
      <c r="B2691" t="s">
        <v>45</v>
      </c>
      <c r="C2691" t="s">
        <v>47</v>
      </c>
      <c r="D2691" t="s">
        <v>51</v>
      </c>
      <c r="E2691" t="s">
        <v>52</v>
      </c>
      <c r="F2691" t="s">
        <v>51</v>
      </c>
      <c r="G2691" s="1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3"/>
      <c r="N2691" s="4">
        <v>0</v>
      </c>
      <c r="O2691" s="5" t="s">
        <v>44</v>
      </c>
      <c r="P2691" s="5" t="s">
        <v>44</v>
      </c>
      <c r="Q2691" s="1"/>
      <c r="R2691" s="2">
        <v>0.08</v>
      </c>
      <c r="S2691" s="6"/>
      <c r="T2691" t="s">
        <v>45</v>
      </c>
      <c r="U2691" t="s">
        <v>53</v>
      </c>
      <c r="V2691" t="s">
        <v>44</v>
      </c>
      <c r="W2691" t="s">
        <v>43</v>
      </c>
      <c r="X2691" t="s">
        <v>44</v>
      </c>
      <c r="Y2691" t="s">
        <v>44</v>
      </c>
      <c r="Z2691" t="s">
        <v>44</v>
      </c>
      <c r="AA2691" t="s">
        <v>44</v>
      </c>
      <c r="AB2691" t="s">
        <v>44</v>
      </c>
      <c r="AC2691" s="4">
        <v>5.1163389600000002</v>
      </c>
      <c r="AD2691" s="4">
        <v>5.0001424999999999</v>
      </c>
      <c r="AE2691" s="2">
        <v>5.12</v>
      </c>
      <c r="AF2691" s="4">
        <v>5.0001424999999999</v>
      </c>
      <c r="AG2691" s="2">
        <v>0</v>
      </c>
      <c r="AH2691" s="2">
        <v>0</v>
      </c>
      <c r="AI2691" s="2">
        <v>0</v>
      </c>
      <c r="AJ2691" s="5">
        <v>44673</v>
      </c>
      <c r="AK2691" t="s">
        <v>12513</v>
      </c>
      <c r="AL2691" s="2">
        <v>5.05</v>
      </c>
      <c r="AM2691" s="2">
        <v>0</v>
      </c>
      <c r="AN2691" s="2">
        <v>0</v>
      </c>
      <c r="AO2691" t="s">
        <v>44</v>
      </c>
      <c r="AP2691" t="s">
        <v>44</v>
      </c>
      <c r="AQ2691" t="s">
        <v>43</v>
      </c>
    </row>
    <row r="2692" spans="1:43" x14ac:dyDescent="0.2">
      <c r="A2692" t="s">
        <v>12509</v>
      </c>
      <c r="B2692" t="s">
        <v>45</v>
      </c>
      <c r="C2692" t="s">
        <v>11005</v>
      </c>
      <c r="D2692" t="s">
        <v>11149</v>
      </c>
      <c r="E2692" t="s">
        <v>11150</v>
      </c>
      <c r="F2692" t="s">
        <v>44</v>
      </c>
      <c r="G2692" s="1">
        <v>-3229586.72</v>
      </c>
      <c r="H2692" s="2">
        <v>-3229586.72</v>
      </c>
      <c r="I2692" s="2">
        <v>-3229586.72</v>
      </c>
      <c r="J2692" s="2">
        <v>0</v>
      </c>
      <c r="K2692" s="2"/>
      <c r="L2692" s="2">
        <v>-3229586.72</v>
      </c>
      <c r="M2692" s="3"/>
      <c r="N2692" s="4">
        <v>-7.3476599999999998E-3</v>
      </c>
      <c r="O2692" s="5" t="s">
        <v>44</v>
      </c>
      <c r="P2692" s="5">
        <v>73051</v>
      </c>
      <c r="Q2692" s="1">
        <v>0</v>
      </c>
      <c r="R2692" s="2">
        <v>0.08</v>
      </c>
      <c r="S2692" s="6"/>
      <c r="T2692" t="s">
        <v>45</v>
      </c>
      <c r="U2692" t="s">
        <v>44</v>
      </c>
      <c r="V2692" t="s">
        <v>44</v>
      </c>
      <c r="W2692" t="s">
        <v>43</v>
      </c>
      <c r="X2692" t="s">
        <v>44</v>
      </c>
      <c r="Y2692" t="s">
        <v>44</v>
      </c>
      <c r="Z2692" t="s">
        <v>44</v>
      </c>
      <c r="AA2692" t="s">
        <v>44</v>
      </c>
      <c r="AB2692" t="s">
        <v>44</v>
      </c>
      <c r="AC2692" s="4">
        <v>5.1163389600000002</v>
      </c>
      <c r="AD2692" s="4">
        <v>5.0001424999999999</v>
      </c>
      <c r="AE2692" s="2">
        <v>5.12</v>
      </c>
      <c r="AF2692" s="4">
        <v>5.0001424999999999</v>
      </c>
      <c r="AG2692" s="2">
        <v>-0.47</v>
      </c>
      <c r="AH2692" s="2">
        <v>-3229586.72</v>
      </c>
      <c r="AI2692" s="2">
        <v>-0.01</v>
      </c>
      <c r="AJ2692" s="5">
        <v>44673</v>
      </c>
      <c r="AK2692" t="s">
        <v>12513</v>
      </c>
      <c r="AL2692" s="2">
        <v>5.05</v>
      </c>
      <c r="AM2692" s="2">
        <v>0</v>
      </c>
      <c r="AN2692" s="2">
        <v>0</v>
      </c>
      <c r="AO2692" t="s">
        <v>44</v>
      </c>
      <c r="AP2692" t="s">
        <v>44</v>
      </c>
      <c r="AQ2692" t="s">
        <v>44</v>
      </c>
    </row>
    <row r="2693" spans="1:43" x14ac:dyDescent="0.2">
      <c r="A2693" t="s">
        <v>12509</v>
      </c>
      <c r="B2693" t="s">
        <v>11024</v>
      </c>
      <c r="C2693" t="s">
        <v>61</v>
      </c>
      <c r="D2693" t="s">
        <v>12557</v>
      </c>
      <c r="E2693" t="s">
        <v>12558</v>
      </c>
      <c r="F2693" t="s">
        <v>12557</v>
      </c>
      <c r="G2693" s="1">
        <v>216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3">
        <v>122.78582</v>
      </c>
      <c r="N2693" s="4">
        <v>0</v>
      </c>
      <c r="O2693" s="5" t="s">
        <v>44</v>
      </c>
      <c r="P2693" s="5">
        <v>44777</v>
      </c>
      <c r="Q2693" s="1"/>
      <c r="R2693" s="2"/>
      <c r="S2693" s="6"/>
      <c r="T2693" t="s">
        <v>11026</v>
      </c>
      <c r="U2693" t="s">
        <v>11025</v>
      </c>
      <c r="V2693" t="s">
        <v>11072</v>
      </c>
      <c r="W2693" t="s">
        <v>43</v>
      </c>
      <c r="X2693" t="s">
        <v>44</v>
      </c>
      <c r="Y2693" t="s">
        <v>44</v>
      </c>
      <c r="Z2693" t="s">
        <v>44</v>
      </c>
      <c r="AA2693" t="s">
        <v>44</v>
      </c>
      <c r="AB2693" t="s">
        <v>44</v>
      </c>
      <c r="AC2693" s="4"/>
      <c r="AD2693" s="4"/>
      <c r="AE2693" s="2">
        <v>0</v>
      </c>
      <c r="AF2693" s="4">
        <v>0</v>
      </c>
      <c r="AG2693" s="2">
        <v>0</v>
      </c>
      <c r="AH2693" s="2">
        <v>26521737.120000001</v>
      </c>
      <c r="AI2693" s="2">
        <v>0.06</v>
      </c>
      <c r="AJ2693" s="5">
        <v>44673</v>
      </c>
      <c r="AK2693" t="s">
        <v>12513</v>
      </c>
      <c r="AL2693" s="2">
        <v>0</v>
      </c>
      <c r="AM2693" s="2">
        <v>0</v>
      </c>
      <c r="AN2693" s="2">
        <v>0</v>
      </c>
      <c r="AO2693" t="s">
        <v>44</v>
      </c>
      <c r="AP2693" t="s">
        <v>44</v>
      </c>
      <c r="AQ2693" t="s">
        <v>12558</v>
      </c>
    </row>
    <row r="2694" spans="1:43" x14ac:dyDescent="0.2">
      <c r="A2694" t="s">
        <v>12509</v>
      </c>
      <c r="B2694" t="s">
        <v>11024</v>
      </c>
      <c r="C2694" t="s">
        <v>61</v>
      </c>
      <c r="D2694" t="s">
        <v>12559</v>
      </c>
      <c r="E2694" t="s">
        <v>12560</v>
      </c>
      <c r="F2694" t="s">
        <v>12559</v>
      </c>
      <c r="G2694" s="1">
        <v>380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3">
        <v>84.831010000000006</v>
      </c>
      <c r="N2694" s="4">
        <v>0</v>
      </c>
      <c r="O2694" s="5" t="s">
        <v>44</v>
      </c>
      <c r="P2694" s="5">
        <v>44777</v>
      </c>
      <c r="Q2694" s="1"/>
      <c r="R2694" s="2"/>
      <c r="S2694" s="6"/>
      <c r="T2694" t="s">
        <v>11026</v>
      </c>
      <c r="U2694" t="s">
        <v>11025</v>
      </c>
      <c r="V2694" t="s">
        <v>11072</v>
      </c>
      <c r="W2694" t="s">
        <v>43</v>
      </c>
      <c r="X2694" t="s">
        <v>44</v>
      </c>
      <c r="Y2694" t="s">
        <v>44</v>
      </c>
      <c r="Z2694" t="s">
        <v>44</v>
      </c>
      <c r="AA2694" t="s">
        <v>44</v>
      </c>
      <c r="AB2694" t="s">
        <v>44</v>
      </c>
      <c r="AC2694" s="4"/>
      <c r="AD2694" s="4"/>
      <c r="AE2694" s="2">
        <v>0</v>
      </c>
      <c r="AF2694" s="4">
        <v>0</v>
      </c>
      <c r="AG2694" s="2">
        <v>0</v>
      </c>
      <c r="AH2694" s="2">
        <v>32235783.800000001</v>
      </c>
      <c r="AI2694" s="2">
        <v>7.0000000000000007E-2</v>
      </c>
      <c r="AJ2694" s="5">
        <v>44673</v>
      </c>
      <c r="AK2694" t="s">
        <v>12513</v>
      </c>
      <c r="AL2694" s="2">
        <v>0</v>
      </c>
      <c r="AM2694" s="2">
        <v>0</v>
      </c>
      <c r="AN2694" s="2">
        <v>0</v>
      </c>
      <c r="AO2694" t="s">
        <v>44</v>
      </c>
      <c r="AP2694" t="s">
        <v>44</v>
      </c>
      <c r="AQ2694" t="s">
        <v>12560</v>
      </c>
    </row>
    <row r="2695" spans="1:43" x14ac:dyDescent="0.2">
      <c r="A2695" t="s">
        <v>12509</v>
      </c>
      <c r="B2695" t="s">
        <v>11024</v>
      </c>
      <c r="C2695" t="s">
        <v>57</v>
      </c>
      <c r="D2695" t="s">
        <v>12561</v>
      </c>
      <c r="E2695" t="s">
        <v>12561</v>
      </c>
      <c r="F2695" t="s">
        <v>12561</v>
      </c>
      <c r="G2695" s="1">
        <v>14196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3">
        <v>1506.96</v>
      </c>
      <c r="N2695" s="4">
        <v>0</v>
      </c>
      <c r="O2695" s="5" t="s">
        <v>44</v>
      </c>
      <c r="P2695" s="5">
        <v>44725</v>
      </c>
      <c r="Q2695" s="1"/>
      <c r="R2695" s="2"/>
      <c r="S2695" s="6"/>
      <c r="T2695" t="s">
        <v>11026</v>
      </c>
      <c r="U2695" t="s">
        <v>11025</v>
      </c>
      <c r="V2695" t="s">
        <v>11027</v>
      </c>
      <c r="W2695" t="s">
        <v>43</v>
      </c>
      <c r="X2695" t="s">
        <v>44</v>
      </c>
      <c r="Y2695" t="s">
        <v>44</v>
      </c>
      <c r="Z2695" t="s">
        <v>44</v>
      </c>
      <c r="AA2695" t="s">
        <v>44</v>
      </c>
      <c r="AB2695" t="s">
        <v>44</v>
      </c>
      <c r="AC2695" s="4"/>
      <c r="AD2695" s="4"/>
      <c r="AE2695" s="2">
        <v>0</v>
      </c>
      <c r="AF2695" s="4">
        <v>0</v>
      </c>
      <c r="AG2695" s="2">
        <v>0</v>
      </c>
      <c r="AH2695" s="2">
        <v>21392804.16</v>
      </c>
      <c r="AI2695" s="2">
        <v>0.05</v>
      </c>
      <c r="AJ2695" s="5">
        <v>44673</v>
      </c>
      <c r="AK2695" t="s">
        <v>12513</v>
      </c>
      <c r="AL2695" s="2">
        <v>0</v>
      </c>
      <c r="AM2695" s="2">
        <v>0</v>
      </c>
      <c r="AN2695" s="2">
        <v>0</v>
      </c>
      <c r="AO2695" t="s">
        <v>44</v>
      </c>
      <c r="AP2695" t="s">
        <v>12562</v>
      </c>
      <c r="AQ2695" t="s">
        <v>12561</v>
      </c>
    </row>
    <row r="2696" spans="1:43" x14ac:dyDescent="0.2">
      <c r="A2696" t="s">
        <v>12509</v>
      </c>
      <c r="B2696" t="s">
        <v>11024</v>
      </c>
      <c r="C2696" t="s">
        <v>57</v>
      </c>
      <c r="D2696" t="s">
        <v>12563</v>
      </c>
      <c r="E2696" t="s">
        <v>12563</v>
      </c>
      <c r="F2696" t="s">
        <v>12563</v>
      </c>
      <c r="G2696" s="1">
        <v>80444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3">
        <v>1508.08</v>
      </c>
      <c r="N2696" s="4">
        <v>0</v>
      </c>
      <c r="O2696" s="5" t="s">
        <v>44</v>
      </c>
      <c r="P2696" s="5">
        <v>44725</v>
      </c>
      <c r="Q2696" s="1"/>
      <c r="R2696" s="2"/>
      <c r="S2696" s="6"/>
      <c r="T2696" t="s">
        <v>11026</v>
      </c>
      <c r="U2696" t="s">
        <v>11025</v>
      </c>
      <c r="V2696" t="s">
        <v>11027</v>
      </c>
      <c r="W2696" t="s">
        <v>43</v>
      </c>
      <c r="X2696" t="s">
        <v>44</v>
      </c>
      <c r="Y2696" t="s">
        <v>44</v>
      </c>
      <c r="Z2696" t="s">
        <v>44</v>
      </c>
      <c r="AA2696" t="s">
        <v>44</v>
      </c>
      <c r="AB2696" t="s">
        <v>44</v>
      </c>
      <c r="AC2696" s="4"/>
      <c r="AD2696" s="4"/>
      <c r="AE2696" s="2">
        <v>0</v>
      </c>
      <c r="AF2696" s="4">
        <v>0</v>
      </c>
      <c r="AG2696" s="2">
        <v>0</v>
      </c>
      <c r="AH2696" s="2">
        <v>121315987.52</v>
      </c>
      <c r="AI2696" s="2">
        <v>0.28000000000000003</v>
      </c>
      <c r="AJ2696" s="5">
        <v>44673</v>
      </c>
      <c r="AK2696" t="s">
        <v>12513</v>
      </c>
      <c r="AL2696" s="2">
        <v>0</v>
      </c>
      <c r="AM2696" s="2">
        <v>0</v>
      </c>
      <c r="AN2696" s="2">
        <v>0</v>
      </c>
      <c r="AO2696" t="s">
        <v>44</v>
      </c>
      <c r="AP2696" t="s">
        <v>12564</v>
      </c>
      <c r="AQ2696" t="s">
        <v>12563</v>
      </c>
    </row>
    <row r="2697" spans="1:43" x14ac:dyDescent="0.2">
      <c r="A2697" t="s">
        <v>12509</v>
      </c>
      <c r="B2697" t="s">
        <v>11024</v>
      </c>
      <c r="C2697" t="s">
        <v>57</v>
      </c>
      <c r="D2697" t="s">
        <v>11754</v>
      </c>
      <c r="E2697" t="s">
        <v>11754</v>
      </c>
      <c r="F2697" t="s">
        <v>11754</v>
      </c>
      <c r="G2697" s="1">
        <v>622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3">
        <v>20012</v>
      </c>
      <c r="N2697" s="4">
        <v>0</v>
      </c>
      <c r="O2697" s="5" t="s">
        <v>44</v>
      </c>
      <c r="P2697" s="5">
        <v>44727</v>
      </c>
      <c r="Q2697" s="1"/>
      <c r="R2697" s="2"/>
      <c r="S2697" s="6"/>
      <c r="T2697" t="s">
        <v>11026</v>
      </c>
      <c r="U2697" t="s">
        <v>11025</v>
      </c>
      <c r="V2697" t="s">
        <v>11027</v>
      </c>
      <c r="W2697" t="s">
        <v>43</v>
      </c>
      <c r="X2697" t="s">
        <v>44</v>
      </c>
      <c r="Y2697" t="s">
        <v>44</v>
      </c>
      <c r="Z2697" t="s">
        <v>44</v>
      </c>
      <c r="AA2697" t="s">
        <v>44</v>
      </c>
      <c r="AB2697" t="s">
        <v>44</v>
      </c>
      <c r="AC2697" s="4"/>
      <c r="AD2697" s="4"/>
      <c r="AE2697" s="2">
        <v>0</v>
      </c>
      <c r="AF2697" s="4">
        <v>0</v>
      </c>
      <c r="AG2697" s="2">
        <v>0</v>
      </c>
      <c r="AH2697" s="2">
        <v>124474640</v>
      </c>
      <c r="AI2697" s="2">
        <v>0.28000000000000003</v>
      </c>
      <c r="AJ2697" s="5">
        <v>44673</v>
      </c>
      <c r="AK2697" t="s">
        <v>12513</v>
      </c>
      <c r="AL2697" s="2">
        <v>0</v>
      </c>
      <c r="AM2697" s="2">
        <v>0</v>
      </c>
      <c r="AN2697" s="2">
        <v>0</v>
      </c>
      <c r="AO2697" t="s">
        <v>44</v>
      </c>
      <c r="AP2697" t="s">
        <v>11755</v>
      </c>
      <c r="AQ2697" t="s">
        <v>11754</v>
      </c>
    </row>
    <row r="2698" spans="1:43" x14ac:dyDescent="0.2">
      <c r="A2698" t="s">
        <v>12509</v>
      </c>
      <c r="B2698" t="s">
        <v>11037</v>
      </c>
      <c r="C2698" t="s">
        <v>12565</v>
      </c>
      <c r="D2698" t="s">
        <v>12566</v>
      </c>
      <c r="E2698" t="s">
        <v>12567</v>
      </c>
      <c r="F2698" t="s">
        <v>12568</v>
      </c>
      <c r="G2698" s="1">
        <v>629683</v>
      </c>
      <c r="H2698" s="2">
        <v>30218487.170000002</v>
      </c>
      <c r="I2698" s="2">
        <v>25193616.829999998</v>
      </c>
      <c r="J2698" s="2">
        <v>0</v>
      </c>
      <c r="K2698" s="2">
        <v>0</v>
      </c>
      <c r="L2698" s="2">
        <v>25193616.829999998</v>
      </c>
      <c r="M2698" s="3">
        <v>4001</v>
      </c>
      <c r="N2698" s="4">
        <v>5.7318189999999998E-2</v>
      </c>
      <c r="O2698" s="5" t="s">
        <v>44</v>
      </c>
      <c r="P2698" s="5" t="s">
        <v>44</v>
      </c>
      <c r="Q2698" s="1"/>
      <c r="R2698" s="2"/>
      <c r="S2698" s="6"/>
      <c r="T2698" t="s">
        <v>10902</v>
      </c>
      <c r="U2698" t="s">
        <v>10902</v>
      </c>
      <c r="V2698" t="s">
        <v>10902</v>
      </c>
      <c r="W2698" t="s">
        <v>11979</v>
      </c>
      <c r="X2698" t="s">
        <v>12569</v>
      </c>
      <c r="Y2698" t="s">
        <v>12570</v>
      </c>
      <c r="Z2698" t="s">
        <v>12571</v>
      </c>
      <c r="AA2698" t="s">
        <v>44</v>
      </c>
      <c r="AB2698" t="s">
        <v>44</v>
      </c>
      <c r="AC2698" s="4"/>
      <c r="AD2698" s="4"/>
      <c r="AE2698" s="2">
        <v>0</v>
      </c>
      <c r="AF2698" s="4">
        <v>0</v>
      </c>
      <c r="AG2698" s="2">
        <v>3.65</v>
      </c>
      <c r="AH2698" s="2">
        <v>25193616.829999998</v>
      </c>
      <c r="AI2698" s="2">
        <v>0.06</v>
      </c>
      <c r="AJ2698" s="5">
        <v>44673</v>
      </c>
      <c r="AK2698" t="s">
        <v>12513</v>
      </c>
      <c r="AL2698" s="2">
        <v>0</v>
      </c>
      <c r="AM2698" s="2">
        <v>0</v>
      </c>
      <c r="AN2698" s="2">
        <v>0</v>
      </c>
      <c r="AO2698" t="s">
        <v>44</v>
      </c>
      <c r="AP2698" t="s">
        <v>12572</v>
      </c>
      <c r="AQ2698" t="s">
        <v>12573</v>
      </c>
    </row>
    <row r="2699" spans="1:43" x14ac:dyDescent="0.2">
      <c r="A2699" t="s">
        <v>12509</v>
      </c>
      <c r="B2699" t="s">
        <v>11038</v>
      </c>
      <c r="C2699" t="s">
        <v>11039</v>
      </c>
      <c r="D2699" t="s">
        <v>12578</v>
      </c>
      <c r="E2699" t="s">
        <v>12579</v>
      </c>
      <c r="F2699" t="s">
        <v>12578</v>
      </c>
      <c r="G2699" s="1">
        <v>50000000</v>
      </c>
      <c r="H2699" s="2">
        <v>50000000</v>
      </c>
      <c r="I2699" s="2">
        <v>50015069.909999996</v>
      </c>
      <c r="J2699" s="2">
        <v>331589.03999999998</v>
      </c>
      <c r="K2699" s="2">
        <v>0</v>
      </c>
      <c r="L2699" s="2">
        <v>50346658.950000003</v>
      </c>
      <c r="M2699" s="3">
        <v>6.290343</v>
      </c>
      <c r="N2699" s="4">
        <v>0.11454407</v>
      </c>
      <c r="O2699" s="5">
        <v>45001</v>
      </c>
      <c r="P2699" s="5">
        <v>45001</v>
      </c>
      <c r="Q2699" s="1">
        <v>6.37</v>
      </c>
      <c r="R2699" s="2">
        <v>0.89</v>
      </c>
      <c r="S2699" s="6">
        <v>0.84318428830000003</v>
      </c>
      <c r="T2699" t="s">
        <v>111</v>
      </c>
      <c r="U2699" t="s">
        <v>11040</v>
      </c>
      <c r="V2699" t="s">
        <v>11041</v>
      </c>
      <c r="W2699" t="s">
        <v>11979</v>
      </c>
      <c r="X2699" t="s">
        <v>11034</v>
      </c>
      <c r="Y2699" t="s">
        <v>44</v>
      </c>
      <c r="Z2699" t="s">
        <v>44</v>
      </c>
      <c r="AA2699" t="s">
        <v>11465</v>
      </c>
      <c r="AB2699" t="s">
        <v>44</v>
      </c>
      <c r="AC2699" s="4">
        <v>6.3116783999999999</v>
      </c>
      <c r="AD2699" s="4">
        <v>6.1361306999999998</v>
      </c>
      <c r="AE2699" s="2">
        <v>6.31</v>
      </c>
      <c r="AF2699" s="4">
        <v>6.1361306999999998</v>
      </c>
      <c r="AG2699" s="2">
        <v>7.29</v>
      </c>
      <c r="AH2699" s="2">
        <v>50346658.950000003</v>
      </c>
      <c r="AI2699" s="2">
        <v>0.11</v>
      </c>
      <c r="AJ2699" s="5">
        <v>44673</v>
      </c>
      <c r="AK2699" t="s">
        <v>12513</v>
      </c>
      <c r="AL2699" s="2">
        <v>6.22</v>
      </c>
      <c r="AM2699" s="2">
        <v>6.37</v>
      </c>
      <c r="AN2699" s="2">
        <v>0.84</v>
      </c>
      <c r="AO2699" t="s">
        <v>11980</v>
      </c>
      <c r="AP2699" t="s">
        <v>44</v>
      </c>
      <c r="AQ2699" t="s">
        <v>12579</v>
      </c>
    </row>
    <row r="2700" spans="1:43" x14ac:dyDescent="0.2">
      <c r="A2700" t="s">
        <v>12509</v>
      </c>
      <c r="B2700" t="s">
        <v>11038</v>
      </c>
      <c r="C2700" t="s">
        <v>11039</v>
      </c>
      <c r="D2700" t="s">
        <v>12574</v>
      </c>
      <c r="E2700" t="s">
        <v>12575</v>
      </c>
      <c r="F2700" t="s">
        <v>12574</v>
      </c>
      <c r="G2700" s="1">
        <v>50000000</v>
      </c>
      <c r="H2700" s="2">
        <v>50000000</v>
      </c>
      <c r="I2700" s="2">
        <v>50038534.68</v>
      </c>
      <c r="J2700" s="2">
        <v>351780.82</v>
      </c>
      <c r="K2700" s="2">
        <v>0</v>
      </c>
      <c r="L2700" s="2">
        <v>50390315.5</v>
      </c>
      <c r="M2700" s="3">
        <v>6.281663</v>
      </c>
      <c r="N2700" s="4">
        <v>0.11464339</v>
      </c>
      <c r="O2700" s="5">
        <v>44999</v>
      </c>
      <c r="P2700" s="5">
        <v>44999</v>
      </c>
      <c r="Q2700" s="1">
        <v>6.42</v>
      </c>
      <c r="R2700" s="2">
        <v>0.88</v>
      </c>
      <c r="S2700" s="6">
        <v>0.83833006812999999</v>
      </c>
      <c r="T2700" t="s">
        <v>111</v>
      </c>
      <c r="U2700" t="s">
        <v>11040</v>
      </c>
      <c r="V2700" t="s">
        <v>11041</v>
      </c>
      <c r="W2700" t="s">
        <v>11979</v>
      </c>
      <c r="X2700" t="s">
        <v>11034</v>
      </c>
      <c r="Y2700" t="s">
        <v>44</v>
      </c>
      <c r="Z2700" t="s">
        <v>44</v>
      </c>
      <c r="AA2700" t="s">
        <v>11465</v>
      </c>
      <c r="AB2700" t="s">
        <v>44</v>
      </c>
      <c r="AC2700" s="4">
        <v>6.3040087099999997</v>
      </c>
      <c r="AD2700" s="4">
        <v>6.1288792299999999</v>
      </c>
      <c r="AE2700" s="2">
        <v>6.3</v>
      </c>
      <c r="AF2700" s="4">
        <v>6.1288792299999999</v>
      </c>
      <c r="AG2700" s="2">
        <v>7.3</v>
      </c>
      <c r="AH2700" s="2">
        <v>50390315.5</v>
      </c>
      <c r="AI2700" s="2">
        <v>0.11</v>
      </c>
      <c r="AJ2700" s="5">
        <v>44673</v>
      </c>
      <c r="AK2700" t="s">
        <v>12513</v>
      </c>
      <c r="AL2700" s="2">
        <v>6.21</v>
      </c>
      <c r="AM2700" s="2">
        <v>6.42</v>
      </c>
      <c r="AN2700" s="2">
        <v>0.84</v>
      </c>
      <c r="AO2700" t="s">
        <v>11980</v>
      </c>
      <c r="AP2700" t="s">
        <v>44</v>
      </c>
      <c r="AQ2700" t="s">
        <v>12575</v>
      </c>
    </row>
    <row r="2701" spans="1:43" x14ac:dyDescent="0.2">
      <c r="A2701" t="s">
        <v>12509</v>
      </c>
      <c r="B2701" t="s">
        <v>11038</v>
      </c>
      <c r="C2701" t="s">
        <v>11039</v>
      </c>
      <c r="D2701" t="s">
        <v>12993</v>
      </c>
      <c r="E2701" t="s">
        <v>12994</v>
      </c>
      <c r="F2701" t="s">
        <v>12993</v>
      </c>
      <c r="G2701" s="1">
        <v>25000000</v>
      </c>
      <c r="H2701" s="2">
        <v>23901543.98</v>
      </c>
      <c r="I2701" s="2">
        <v>23901543.98</v>
      </c>
      <c r="J2701" s="2">
        <v>0</v>
      </c>
      <c r="K2701" s="2">
        <v>0</v>
      </c>
      <c r="L2701" s="2">
        <v>23901543.98</v>
      </c>
      <c r="M2701" s="3">
        <v>6.33</v>
      </c>
      <c r="N2701" s="4">
        <v>5.4378589999999997E-2</v>
      </c>
      <c r="O2701" s="5" t="s">
        <v>44</v>
      </c>
      <c r="P2701" s="5">
        <v>44939</v>
      </c>
      <c r="Q2701" s="1">
        <v>0</v>
      </c>
      <c r="R2701" s="2">
        <v>0.72</v>
      </c>
      <c r="S2701" s="6">
        <v>0.68911685358999997</v>
      </c>
      <c r="T2701" t="s">
        <v>112</v>
      </c>
      <c r="U2701" t="s">
        <v>11040</v>
      </c>
      <c r="V2701" t="s">
        <v>11238</v>
      </c>
      <c r="W2701" t="s">
        <v>11979</v>
      </c>
      <c r="X2701" t="s">
        <v>44</v>
      </c>
      <c r="Y2701" t="s">
        <v>44</v>
      </c>
      <c r="Z2701" t="s">
        <v>44</v>
      </c>
      <c r="AA2701" t="s">
        <v>10979</v>
      </c>
      <c r="AB2701" t="s">
        <v>44</v>
      </c>
      <c r="AC2701" s="4">
        <v>6.3854749499999999</v>
      </c>
      <c r="AD2701" s="4">
        <v>6.2058787400000002</v>
      </c>
      <c r="AE2701" s="2">
        <v>6.39</v>
      </c>
      <c r="AF2701" s="4">
        <v>6.2058787400000002</v>
      </c>
      <c r="AG2701" s="2">
        <v>3.46</v>
      </c>
      <c r="AH2701" s="2">
        <v>23901543.98</v>
      </c>
      <c r="AI2701" s="2">
        <v>0.05</v>
      </c>
      <c r="AJ2701" s="5">
        <v>44673</v>
      </c>
      <c r="AK2701" t="s">
        <v>12513</v>
      </c>
      <c r="AL2701" s="2">
        <v>6.29</v>
      </c>
      <c r="AM2701" s="2">
        <v>0</v>
      </c>
      <c r="AN2701" s="2">
        <v>0.69</v>
      </c>
      <c r="AO2701" t="s">
        <v>11983</v>
      </c>
      <c r="AP2701" t="s">
        <v>44</v>
      </c>
      <c r="AQ2701" t="s">
        <v>12994</v>
      </c>
    </row>
    <row r="2702" spans="1:43" x14ac:dyDescent="0.2">
      <c r="A2702" t="s">
        <v>12509</v>
      </c>
      <c r="B2702" t="s">
        <v>11038</v>
      </c>
      <c r="C2702" t="s">
        <v>11039</v>
      </c>
      <c r="D2702" t="s">
        <v>12881</v>
      </c>
      <c r="E2702" t="s">
        <v>12882</v>
      </c>
      <c r="F2702" t="s">
        <v>12881</v>
      </c>
      <c r="G2702" s="1">
        <v>75000000</v>
      </c>
      <c r="H2702" s="2">
        <v>71994041.510000005</v>
      </c>
      <c r="I2702" s="2">
        <v>71994041.510000005</v>
      </c>
      <c r="J2702" s="2">
        <v>0</v>
      </c>
      <c r="K2702" s="2">
        <v>0</v>
      </c>
      <c r="L2702" s="2">
        <v>71994041.510000005</v>
      </c>
      <c r="M2702" s="3">
        <v>6.2458200000000001</v>
      </c>
      <c r="N2702" s="4">
        <v>0.1637942</v>
      </c>
      <c r="O2702" s="5" t="s">
        <v>44</v>
      </c>
      <c r="P2702" s="5">
        <v>44918</v>
      </c>
      <c r="Q2702" s="1">
        <v>0</v>
      </c>
      <c r="R2702" s="2">
        <v>0.66</v>
      </c>
      <c r="S2702" s="6">
        <v>0.63664962868999997</v>
      </c>
      <c r="T2702" t="s">
        <v>112</v>
      </c>
      <c r="U2702" t="s">
        <v>11040</v>
      </c>
      <c r="V2702" t="s">
        <v>11238</v>
      </c>
      <c r="W2702" t="s">
        <v>11979</v>
      </c>
      <c r="X2702" t="s">
        <v>44</v>
      </c>
      <c r="Y2702" t="s">
        <v>44</v>
      </c>
      <c r="Z2702" t="s">
        <v>44</v>
      </c>
      <c r="AA2702" t="s">
        <v>10979</v>
      </c>
      <c r="AB2702" t="s">
        <v>44</v>
      </c>
      <c r="AC2702" s="4">
        <v>6.3111102199999998</v>
      </c>
      <c r="AD2702" s="4">
        <v>6.1355935099999996</v>
      </c>
      <c r="AE2702" s="2">
        <v>6.31</v>
      </c>
      <c r="AF2702" s="4">
        <v>6.1355935099999996</v>
      </c>
      <c r="AG2702" s="2">
        <v>10.43</v>
      </c>
      <c r="AH2702" s="2">
        <v>71994041.510000005</v>
      </c>
      <c r="AI2702" s="2">
        <v>0.16</v>
      </c>
      <c r="AJ2702" s="5">
        <v>44673</v>
      </c>
      <c r="AK2702" t="s">
        <v>12513</v>
      </c>
      <c r="AL2702" s="2">
        <v>6.21</v>
      </c>
      <c r="AM2702" s="2">
        <v>0</v>
      </c>
      <c r="AN2702" s="2">
        <v>0.64</v>
      </c>
      <c r="AO2702" t="s">
        <v>11983</v>
      </c>
      <c r="AP2702" t="s">
        <v>44</v>
      </c>
      <c r="AQ2702" t="s">
        <v>12882</v>
      </c>
    </row>
    <row r="2703" spans="1:43" x14ac:dyDescent="0.2">
      <c r="A2703" t="s">
        <v>12509</v>
      </c>
      <c r="B2703" t="s">
        <v>11038</v>
      </c>
      <c r="C2703" t="s">
        <v>11039</v>
      </c>
      <c r="D2703" t="s">
        <v>12883</v>
      </c>
      <c r="E2703" t="s">
        <v>12884</v>
      </c>
      <c r="F2703" t="s">
        <v>12883</v>
      </c>
      <c r="G2703" s="1">
        <v>75000000</v>
      </c>
      <c r="H2703" s="2">
        <v>70800721.900000006</v>
      </c>
      <c r="I2703" s="2">
        <v>70800721.900000006</v>
      </c>
      <c r="J2703" s="2">
        <v>0</v>
      </c>
      <c r="K2703" s="2">
        <v>0</v>
      </c>
      <c r="L2703" s="2">
        <v>70800721.900000006</v>
      </c>
      <c r="M2703" s="3">
        <v>6.33</v>
      </c>
      <c r="N2703" s="4">
        <v>0.16107927</v>
      </c>
      <c r="O2703" s="5" t="s">
        <v>44</v>
      </c>
      <c r="P2703" s="5">
        <v>45016</v>
      </c>
      <c r="Q2703" s="1">
        <v>0</v>
      </c>
      <c r="R2703" s="2">
        <v>0.93</v>
      </c>
      <c r="S2703" s="6">
        <v>0.87963945136999999</v>
      </c>
      <c r="T2703" t="s">
        <v>112</v>
      </c>
      <c r="U2703" t="s">
        <v>11040</v>
      </c>
      <c r="V2703" t="s">
        <v>11238</v>
      </c>
      <c r="W2703" t="s">
        <v>11979</v>
      </c>
      <c r="X2703" t="s">
        <v>44</v>
      </c>
      <c r="Y2703" t="s">
        <v>44</v>
      </c>
      <c r="Z2703" t="s">
        <v>44</v>
      </c>
      <c r="AA2703" t="s">
        <v>10979</v>
      </c>
      <c r="AB2703" t="s">
        <v>44</v>
      </c>
      <c r="AC2703" s="4">
        <v>6.3434792</v>
      </c>
      <c r="AD2703" s="4">
        <v>6.1661923300000003</v>
      </c>
      <c r="AE2703" s="2">
        <v>6.34</v>
      </c>
      <c r="AF2703" s="4">
        <v>6.1661923300000003</v>
      </c>
      <c r="AG2703" s="2">
        <v>10.26</v>
      </c>
      <c r="AH2703" s="2">
        <v>70800721.900000006</v>
      </c>
      <c r="AI2703" s="2">
        <v>0.16</v>
      </c>
      <c r="AJ2703" s="5">
        <v>44673</v>
      </c>
      <c r="AK2703" t="s">
        <v>12513</v>
      </c>
      <c r="AL2703" s="2">
        <v>6.25</v>
      </c>
      <c r="AM2703" s="2">
        <v>0</v>
      </c>
      <c r="AN2703" s="2">
        <v>0.88</v>
      </c>
      <c r="AO2703" t="s">
        <v>11983</v>
      </c>
      <c r="AP2703" t="s">
        <v>44</v>
      </c>
      <c r="AQ2703" t="s">
        <v>12884</v>
      </c>
    </row>
    <row r="2704" spans="1:43" x14ac:dyDescent="0.2">
      <c r="A2704" t="s">
        <v>12509</v>
      </c>
      <c r="B2704" t="s">
        <v>11038</v>
      </c>
      <c r="C2704" t="s">
        <v>11039</v>
      </c>
      <c r="D2704" t="s">
        <v>12736</v>
      </c>
      <c r="E2704" t="s">
        <v>12737</v>
      </c>
      <c r="F2704" t="s">
        <v>12736</v>
      </c>
      <c r="G2704" s="1">
        <v>75000000</v>
      </c>
      <c r="H2704" s="2">
        <v>72129051.950000003</v>
      </c>
      <c r="I2704" s="2">
        <v>72129051.950000003</v>
      </c>
      <c r="J2704" s="2">
        <v>0</v>
      </c>
      <c r="K2704" s="2">
        <v>0</v>
      </c>
      <c r="L2704" s="2">
        <v>72129051.950000003</v>
      </c>
      <c r="M2704" s="3">
        <v>6.2130020000000004</v>
      </c>
      <c r="N2704" s="4">
        <v>0.16410136</v>
      </c>
      <c r="O2704" s="5" t="s">
        <v>44</v>
      </c>
      <c r="P2704" s="5">
        <v>44911</v>
      </c>
      <c r="Q2704" s="1">
        <v>0</v>
      </c>
      <c r="R2704" s="2">
        <v>0.64</v>
      </c>
      <c r="S2704" s="6">
        <v>0.61907180157999997</v>
      </c>
      <c r="T2704" t="s">
        <v>112</v>
      </c>
      <c r="U2704" t="s">
        <v>11040</v>
      </c>
      <c r="V2704" t="s">
        <v>11238</v>
      </c>
      <c r="W2704" t="s">
        <v>11979</v>
      </c>
      <c r="X2704" t="s">
        <v>44</v>
      </c>
      <c r="Y2704" t="s">
        <v>44</v>
      </c>
      <c r="Z2704" t="s">
        <v>44</v>
      </c>
      <c r="AA2704" t="s">
        <v>10979</v>
      </c>
      <c r="AB2704" t="s">
        <v>44</v>
      </c>
      <c r="AC2704" s="4">
        <v>6.2813409800000004</v>
      </c>
      <c r="AD2704" s="4">
        <v>6.1074447300000001</v>
      </c>
      <c r="AE2704" s="2">
        <v>6.28</v>
      </c>
      <c r="AF2704" s="4">
        <v>6.1074447300000001</v>
      </c>
      <c r="AG2704" s="2">
        <v>10.45</v>
      </c>
      <c r="AH2704" s="2">
        <v>72129051.950000003</v>
      </c>
      <c r="AI2704" s="2">
        <v>0.16</v>
      </c>
      <c r="AJ2704" s="5">
        <v>44673</v>
      </c>
      <c r="AK2704" t="s">
        <v>12513</v>
      </c>
      <c r="AL2704" s="2">
        <v>6.19</v>
      </c>
      <c r="AM2704" s="2">
        <v>0</v>
      </c>
      <c r="AN2704" s="2">
        <v>0.62</v>
      </c>
      <c r="AO2704" t="s">
        <v>11983</v>
      </c>
      <c r="AP2704" t="s">
        <v>44</v>
      </c>
      <c r="AQ2704" t="s">
        <v>12737</v>
      </c>
    </row>
    <row r="2705" spans="1:43" x14ac:dyDescent="0.2">
      <c r="A2705" t="s">
        <v>12509</v>
      </c>
      <c r="B2705" t="s">
        <v>11038</v>
      </c>
      <c r="C2705" t="s">
        <v>11039</v>
      </c>
      <c r="D2705" t="s">
        <v>12576</v>
      </c>
      <c r="E2705" t="s">
        <v>12577</v>
      </c>
      <c r="F2705" t="s">
        <v>12576</v>
      </c>
      <c r="G2705" s="1">
        <v>50000000</v>
      </c>
      <c r="H2705" s="2">
        <v>50000000</v>
      </c>
      <c r="I2705" s="2">
        <v>49822144.369999997</v>
      </c>
      <c r="J2705" s="2">
        <v>323287.67</v>
      </c>
      <c r="K2705" s="2">
        <v>0</v>
      </c>
      <c r="L2705" s="2">
        <v>50145432.039999999</v>
      </c>
      <c r="M2705" s="3">
        <v>6.281663</v>
      </c>
      <c r="N2705" s="4">
        <v>0.11408625999999999</v>
      </c>
      <c r="O2705" s="5">
        <v>44999</v>
      </c>
      <c r="P2705" s="5">
        <v>44999</v>
      </c>
      <c r="Q2705" s="1">
        <v>5.9</v>
      </c>
      <c r="R2705" s="2">
        <v>0.88</v>
      </c>
      <c r="S2705" s="6">
        <v>0.83833006812999999</v>
      </c>
      <c r="T2705" t="s">
        <v>111</v>
      </c>
      <c r="U2705" t="s">
        <v>11040</v>
      </c>
      <c r="V2705" t="s">
        <v>11041</v>
      </c>
      <c r="W2705" t="s">
        <v>11979</v>
      </c>
      <c r="X2705" t="s">
        <v>11034</v>
      </c>
      <c r="Y2705" t="s">
        <v>44</v>
      </c>
      <c r="Z2705" t="s">
        <v>44</v>
      </c>
      <c r="AA2705" t="s">
        <v>10979</v>
      </c>
      <c r="AB2705" t="s">
        <v>44</v>
      </c>
      <c r="AC2705" s="4">
        <v>6.3040087099999997</v>
      </c>
      <c r="AD2705" s="4">
        <v>6.1288792299999999</v>
      </c>
      <c r="AE2705" s="2">
        <v>6.3</v>
      </c>
      <c r="AF2705" s="4">
        <v>6.1288792299999999</v>
      </c>
      <c r="AG2705" s="2">
        <v>7.26</v>
      </c>
      <c r="AH2705" s="2">
        <v>50145432.039999999</v>
      </c>
      <c r="AI2705" s="2">
        <v>0.11</v>
      </c>
      <c r="AJ2705" s="5">
        <v>44673</v>
      </c>
      <c r="AK2705" t="s">
        <v>12513</v>
      </c>
      <c r="AL2705" s="2">
        <v>6.21</v>
      </c>
      <c r="AM2705" s="2">
        <v>5.9</v>
      </c>
      <c r="AN2705" s="2">
        <v>0.84</v>
      </c>
      <c r="AO2705" t="s">
        <v>11179</v>
      </c>
      <c r="AP2705" t="s">
        <v>44</v>
      </c>
      <c r="AQ2705" t="s">
        <v>12577</v>
      </c>
    </row>
    <row r="2706" spans="1:43" x14ac:dyDescent="0.2">
      <c r="A2706" t="s">
        <v>12509</v>
      </c>
      <c r="B2706" t="s">
        <v>11030</v>
      </c>
      <c r="C2706" t="s">
        <v>11030</v>
      </c>
      <c r="D2706" t="s">
        <v>12580</v>
      </c>
      <c r="E2706" t="s">
        <v>12558</v>
      </c>
      <c r="F2706" t="s">
        <v>12580</v>
      </c>
      <c r="G2706" s="1">
        <v>216</v>
      </c>
      <c r="H2706" s="2"/>
      <c r="I2706" s="2">
        <v>0</v>
      </c>
      <c r="J2706" s="2"/>
      <c r="K2706" s="2"/>
      <c r="L2706" s="2">
        <v>0</v>
      </c>
      <c r="M2706" s="3"/>
      <c r="N2706" s="4">
        <v>0</v>
      </c>
      <c r="O2706" s="5" t="s">
        <v>44</v>
      </c>
      <c r="P2706" s="5" t="s">
        <v>44</v>
      </c>
      <c r="Q2706" s="1"/>
      <c r="R2706" s="2"/>
      <c r="S2706" s="6"/>
      <c r="T2706" t="s">
        <v>11031</v>
      </c>
      <c r="U2706" t="s">
        <v>11032</v>
      </c>
      <c r="V2706" t="s">
        <v>11073</v>
      </c>
      <c r="W2706" t="s">
        <v>43</v>
      </c>
      <c r="X2706" t="s">
        <v>44</v>
      </c>
      <c r="Y2706" t="s">
        <v>44</v>
      </c>
      <c r="Z2706" t="s">
        <v>44</v>
      </c>
      <c r="AA2706" t="s">
        <v>44</v>
      </c>
      <c r="AB2706" t="s">
        <v>44</v>
      </c>
      <c r="AC2706" s="4"/>
      <c r="AD2706" s="4"/>
      <c r="AE2706" s="2">
        <v>0</v>
      </c>
      <c r="AF2706" s="4">
        <v>0</v>
      </c>
      <c r="AG2706" s="2">
        <v>0</v>
      </c>
      <c r="AH2706" s="2">
        <v>-26521737.120000001</v>
      </c>
      <c r="AI2706" s="2">
        <v>-0.06</v>
      </c>
      <c r="AJ2706" s="5">
        <v>44673</v>
      </c>
      <c r="AK2706" t="s">
        <v>12513</v>
      </c>
      <c r="AL2706" s="2">
        <v>0</v>
      </c>
      <c r="AM2706" s="2">
        <v>0</v>
      </c>
      <c r="AN2706" s="2">
        <v>0</v>
      </c>
      <c r="AO2706" t="s">
        <v>44</v>
      </c>
      <c r="AP2706" t="s">
        <v>44</v>
      </c>
      <c r="AQ2706" t="s">
        <v>44</v>
      </c>
    </row>
    <row r="2707" spans="1:43" x14ac:dyDescent="0.2">
      <c r="A2707" t="s">
        <v>12509</v>
      </c>
      <c r="B2707" t="s">
        <v>11030</v>
      </c>
      <c r="C2707" t="s">
        <v>11030</v>
      </c>
      <c r="D2707" t="s">
        <v>12581</v>
      </c>
      <c r="E2707" t="s">
        <v>12560</v>
      </c>
      <c r="F2707" t="s">
        <v>12581</v>
      </c>
      <c r="G2707" s="1">
        <v>380</v>
      </c>
      <c r="H2707" s="2"/>
      <c r="I2707" s="2">
        <v>0</v>
      </c>
      <c r="J2707" s="2"/>
      <c r="K2707" s="2"/>
      <c r="L2707" s="2">
        <v>0</v>
      </c>
      <c r="M2707" s="3"/>
      <c r="N2707" s="4">
        <v>0</v>
      </c>
      <c r="O2707" s="5" t="s">
        <v>44</v>
      </c>
      <c r="P2707" s="5" t="s">
        <v>44</v>
      </c>
      <c r="Q2707" s="1"/>
      <c r="R2707" s="2"/>
      <c r="S2707" s="6"/>
      <c r="T2707" t="s">
        <v>11031</v>
      </c>
      <c r="U2707" t="s">
        <v>11032</v>
      </c>
      <c r="V2707" t="s">
        <v>11073</v>
      </c>
      <c r="W2707" t="s">
        <v>43</v>
      </c>
      <c r="X2707" t="s">
        <v>44</v>
      </c>
      <c r="Y2707" t="s">
        <v>44</v>
      </c>
      <c r="Z2707" t="s">
        <v>44</v>
      </c>
      <c r="AA2707" t="s">
        <v>44</v>
      </c>
      <c r="AB2707" t="s">
        <v>44</v>
      </c>
      <c r="AC2707" s="4"/>
      <c r="AD2707" s="4"/>
      <c r="AE2707" s="2">
        <v>0</v>
      </c>
      <c r="AF2707" s="4">
        <v>0</v>
      </c>
      <c r="AG2707" s="2">
        <v>0</v>
      </c>
      <c r="AH2707" s="2">
        <v>-32235783.800000001</v>
      </c>
      <c r="AI2707" s="2">
        <v>-7.0000000000000007E-2</v>
      </c>
      <c r="AJ2707" s="5">
        <v>44673</v>
      </c>
      <c r="AK2707" t="s">
        <v>12513</v>
      </c>
      <c r="AL2707" s="2">
        <v>0</v>
      </c>
      <c r="AM2707" s="2">
        <v>0</v>
      </c>
      <c r="AN2707" s="2">
        <v>0</v>
      </c>
      <c r="AO2707" t="s">
        <v>44</v>
      </c>
      <c r="AP2707" t="s">
        <v>44</v>
      </c>
      <c r="AQ2707" t="s">
        <v>44</v>
      </c>
    </row>
    <row r="2708" spans="1:43" x14ac:dyDescent="0.2">
      <c r="A2708" t="s">
        <v>12509</v>
      </c>
      <c r="B2708" t="s">
        <v>11030</v>
      </c>
      <c r="C2708" t="s">
        <v>11030</v>
      </c>
      <c r="D2708" t="s">
        <v>12582</v>
      </c>
      <c r="E2708" t="s">
        <v>12561</v>
      </c>
      <c r="F2708" t="s">
        <v>12582</v>
      </c>
      <c r="G2708" s="1">
        <v>14196</v>
      </c>
      <c r="H2708" s="2"/>
      <c r="I2708" s="2">
        <v>0</v>
      </c>
      <c r="J2708" s="2"/>
      <c r="K2708" s="2"/>
      <c r="L2708" s="2">
        <v>0</v>
      </c>
      <c r="M2708" s="3"/>
      <c r="N2708" s="4">
        <v>0</v>
      </c>
      <c r="O2708" s="5" t="s">
        <v>44</v>
      </c>
      <c r="P2708" s="5" t="s">
        <v>44</v>
      </c>
      <c r="Q2708" s="1"/>
      <c r="R2708" s="2"/>
      <c r="S2708" s="6"/>
      <c r="T2708" t="s">
        <v>11031</v>
      </c>
      <c r="U2708" t="s">
        <v>11032</v>
      </c>
      <c r="V2708" t="s">
        <v>45</v>
      </c>
      <c r="W2708" t="s">
        <v>43</v>
      </c>
      <c r="X2708" t="s">
        <v>44</v>
      </c>
      <c r="Y2708" t="s">
        <v>44</v>
      </c>
      <c r="Z2708" t="s">
        <v>44</v>
      </c>
      <c r="AA2708" t="s">
        <v>44</v>
      </c>
      <c r="AB2708" t="s">
        <v>44</v>
      </c>
      <c r="AC2708" s="4"/>
      <c r="AD2708" s="4"/>
      <c r="AE2708" s="2">
        <v>0</v>
      </c>
      <c r="AF2708" s="4">
        <v>0</v>
      </c>
      <c r="AG2708" s="2">
        <v>0</v>
      </c>
      <c r="AH2708" s="2">
        <v>-21392804.16</v>
      </c>
      <c r="AI2708" s="2">
        <v>-0.05</v>
      </c>
      <c r="AJ2708" s="5">
        <v>44673</v>
      </c>
      <c r="AK2708" t="s">
        <v>12513</v>
      </c>
      <c r="AL2708" s="2">
        <v>0</v>
      </c>
      <c r="AM2708" s="2">
        <v>0</v>
      </c>
      <c r="AN2708" s="2">
        <v>0</v>
      </c>
      <c r="AO2708" t="s">
        <v>44</v>
      </c>
      <c r="AP2708" t="s">
        <v>44</v>
      </c>
      <c r="AQ2708" t="s">
        <v>11182</v>
      </c>
    </row>
    <row r="2709" spans="1:43" x14ac:dyDescent="0.2">
      <c r="A2709" t="s">
        <v>12509</v>
      </c>
      <c r="B2709" t="s">
        <v>11030</v>
      </c>
      <c r="C2709" t="s">
        <v>11030</v>
      </c>
      <c r="D2709" t="s">
        <v>12583</v>
      </c>
      <c r="E2709" t="s">
        <v>12563</v>
      </c>
      <c r="F2709" t="s">
        <v>12583</v>
      </c>
      <c r="G2709" s="1">
        <v>80444</v>
      </c>
      <c r="H2709" s="2"/>
      <c r="I2709" s="2">
        <v>0</v>
      </c>
      <c r="J2709" s="2"/>
      <c r="K2709" s="2"/>
      <c r="L2709" s="2">
        <v>0</v>
      </c>
      <c r="M2709" s="3"/>
      <c r="N2709" s="4">
        <v>0</v>
      </c>
      <c r="O2709" s="5" t="s">
        <v>44</v>
      </c>
      <c r="P2709" s="5" t="s">
        <v>44</v>
      </c>
      <c r="Q2709" s="1"/>
      <c r="R2709" s="2"/>
      <c r="S2709" s="6"/>
      <c r="T2709" t="s">
        <v>11031</v>
      </c>
      <c r="U2709" t="s">
        <v>11032</v>
      </c>
      <c r="V2709" t="s">
        <v>45</v>
      </c>
      <c r="W2709" t="s">
        <v>43</v>
      </c>
      <c r="X2709" t="s">
        <v>44</v>
      </c>
      <c r="Y2709" t="s">
        <v>44</v>
      </c>
      <c r="Z2709" t="s">
        <v>44</v>
      </c>
      <c r="AA2709" t="s">
        <v>44</v>
      </c>
      <c r="AB2709" t="s">
        <v>44</v>
      </c>
      <c r="AC2709" s="4"/>
      <c r="AD2709" s="4"/>
      <c r="AE2709" s="2">
        <v>0</v>
      </c>
      <c r="AF2709" s="4">
        <v>0</v>
      </c>
      <c r="AG2709" s="2">
        <v>0</v>
      </c>
      <c r="AH2709" s="2">
        <v>-121315987.52</v>
      </c>
      <c r="AI2709" s="2">
        <v>-0.28000000000000003</v>
      </c>
      <c r="AJ2709" s="5">
        <v>44673</v>
      </c>
      <c r="AK2709" t="s">
        <v>12513</v>
      </c>
      <c r="AL2709" s="2">
        <v>0</v>
      </c>
      <c r="AM2709" s="2">
        <v>0</v>
      </c>
      <c r="AN2709" s="2">
        <v>0</v>
      </c>
      <c r="AO2709" t="s">
        <v>44</v>
      </c>
      <c r="AP2709" t="s">
        <v>44</v>
      </c>
      <c r="AQ2709" t="s">
        <v>11182</v>
      </c>
    </row>
    <row r="2710" spans="1:43" x14ac:dyDescent="0.2">
      <c r="A2710" t="s">
        <v>12509</v>
      </c>
      <c r="B2710" t="s">
        <v>11030</v>
      </c>
      <c r="C2710" t="s">
        <v>11030</v>
      </c>
      <c r="D2710" t="s">
        <v>11775</v>
      </c>
      <c r="E2710" t="s">
        <v>11754</v>
      </c>
      <c r="F2710" t="s">
        <v>11775</v>
      </c>
      <c r="G2710" s="1">
        <v>622</v>
      </c>
      <c r="H2710" s="2"/>
      <c r="I2710" s="2">
        <v>0</v>
      </c>
      <c r="J2710" s="2"/>
      <c r="K2710" s="2"/>
      <c r="L2710" s="2">
        <v>0</v>
      </c>
      <c r="M2710" s="3"/>
      <c r="N2710" s="4">
        <v>0</v>
      </c>
      <c r="O2710" s="5" t="s">
        <v>44</v>
      </c>
      <c r="P2710" s="5" t="s">
        <v>44</v>
      </c>
      <c r="Q2710" s="1"/>
      <c r="R2710" s="2"/>
      <c r="S2710" s="6"/>
      <c r="T2710" t="s">
        <v>11031</v>
      </c>
      <c r="U2710" t="s">
        <v>11032</v>
      </c>
      <c r="V2710" t="s">
        <v>45</v>
      </c>
      <c r="W2710" t="s">
        <v>43</v>
      </c>
      <c r="X2710" t="s">
        <v>44</v>
      </c>
      <c r="Y2710" t="s">
        <v>44</v>
      </c>
      <c r="Z2710" t="s">
        <v>44</v>
      </c>
      <c r="AA2710" t="s">
        <v>44</v>
      </c>
      <c r="AB2710" t="s">
        <v>44</v>
      </c>
      <c r="AC2710" s="4"/>
      <c r="AD2710" s="4"/>
      <c r="AE2710" s="2">
        <v>0</v>
      </c>
      <c r="AF2710" s="4">
        <v>0</v>
      </c>
      <c r="AG2710" s="2">
        <v>0</v>
      </c>
      <c r="AH2710" s="2">
        <v>-124474640</v>
      </c>
      <c r="AI2710" s="2">
        <v>-0.28000000000000003</v>
      </c>
      <c r="AJ2710" s="5">
        <v>44673</v>
      </c>
      <c r="AK2710" t="s">
        <v>12513</v>
      </c>
      <c r="AL2710" s="2">
        <v>0</v>
      </c>
      <c r="AM2710" s="2">
        <v>0</v>
      </c>
      <c r="AN2710" s="2">
        <v>0</v>
      </c>
      <c r="AO2710" t="s">
        <v>44</v>
      </c>
      <c r="AP2710" t="s">
        <v>44</v>
      </c>
      <c r="AQ2710" t="s">
        <v>11182</v>
      </c>
    </row>
    <row r="2711" spans="1:43" x14ac:dyDescent="0.2">
      <c r="A2711" t="s">
        <v>12584</v>
      </c>
      <c r="B2711" t="s">
        <v>45</v>
      </c>
      <c r="C2711" t="s">
        <v>11000</v>
      </c>
      <c r="D2711" t="s">
        <v>11268</v>
      </c>
      <c r="E2711" t="s">
        <v>11269</v>
      </c>
      <c r="F2711" t="s">
        <v>11268</v>
      </c>
      <c r="G2711" s="1">
        <v>3631874.4</v>
      </c>
      <c r="H2711" s="2">
        <v>3631874.4</v>
      </c>
      <c r="I2711" s="2">
        <v>3631874.4</v>
      </c>
      <c r="J2711" s="2">
        <v>11667.17</v>
      </c>
      <c r="K2711" s="2">
        <v>0</v>
      </c>
      <c r="L2711" s="2">
        <v>3643541.57</v>
      </c>
      <c r="M2711" s="3">
        <v>4.617</v>
      </c>
      <c r="N2711" s="4">
        <v>8.2894500000000003E-3</v>
      </c>
      <c r="O2711" s="5" t="s">
        <v>44</v>
      </c>
      <c r="P2711" s="5">
        <v>47848</v>
      </c>
      <c r="Q2711" s="1">
        <v>4.617</v>
      </c>
      <c r="R2711" s="2">
        <v>0.08</v>
      </c>
      <c r="S2711" s="6"/>
      <c r="T2711" t="s">
        <v>112</v>
      </c>
      <c r="U2711" t="s">
        <v>46</v>
      </c>
      <c r="V2711" t="s">
        <v>11270</v>
      </c>
      <c r="W2711" t="s">
        <v>43</v>
      </c>
      <c r="X2711" t="s">
        <v>44</v>
      </c>
      <c r="Y2711" t="s">
        <v>44</v>
      </c>
      <c r="Z2711" t="s">
        <v>44</v>
      </c>
      <c r="AA2711" t="s">
        <v>44</v>
      </c>
      <c r="AB2711" t="s">
        <v>44</v>
      </c>
      <c r="AC2711" s="4">
        <v>4.7160921900000004</v>
      </c>
      <c r="AD2711" s="4">
        <v>4.6171215200000004</v>
      </c>
      <c r="AE2711" s="2">
        <v>4.72</v>
      </c>
      <c r="AF2711" s="4">
        <v>4.6171215200000004</v>
      </c>
      <c r="AG2711" s="2">
        <v>2.68</v>
      </c>
      <c r="AH2711" s="2">
        <v>3643541.57</v>
      </c>
      <c r="AI2711" s="2">
        <v>0.01</v>
      </c>
      <c r="AJ2711" s="5">
        <v>44673</v>
      </c>
      <c r="AK2711" t="s">
        <v>12585</v>
      </c>
      <c r="AL2711" s="2">
        <v>4.66</v>
      </c>
      <c r="AM2711" s="2">
        <v>4.62</v>
      </c>
      <c r="AN2711" s="2">
        <v>0</v>
      </c>
      <c r="AO2711" t="s">
        <v>44</v>
      </c>
      <c r="AP2711" t="s">
        <v>44</v>
      </c>
      <c r="AQ2711" t="s">
        <v>11269</v>
      </c>
    </row>
    <row r="2712" spans="1:43" x14ac:dyDescent="0.2">
      <c r="A2712" t="s">
        <v>12584</v>
      </c>
      <c r="B2712" t="s">
        <v>45</v>
      </c>
      <c r="C2712" t="s">
        <v>11000</v>
      </c>
      <c r="D2712" t="s">
        <v>11271</v>
      </c>
      <c r="E2712" t="s">
        <v>11272</v>
      </c>
      <c r="F2712" t="s">
        <v>11271</v>
      </c>
      <c r="G2712" s="1">
        <v>1380000</v>
      </c>
      <c r="H2712" s="2">
        <v>1380000</v>
      </c>
      <c r="I2712" s="2">
        <v>1380000</v>
      </c>
      <c r="J2712" s="2">
        <v>1814.68</v>
      </c>
      <c r="K2712" s="2">
        <v>0</v>
      </c>
      <c r="L2712" s="2">
        <v>1381814.68</v>
      </c>
      <c r="M2712" s="3">
        <v>4.617</v>
      </c>
      <c r="N2712" s="4">
        <v>3.1437800000000001E-3</v>
      </c>
      <c r="O2712" s="5" t="s">
        <v>44</v>
      </c>
      <c r="P2712" s="5">
        <v>47848</v>
      </c>
      <c r="Q2712" s="1">
        <v>4.617</v>
      </c>
      <c r="R2712" s="2">
        <v>0.08</v>
      </c>
      <c r="S2712" s="6"/>
      <c r="T2712" t="s">
        <v>112</v>
      </c>
      <c r="U2712" t="s">
        <v>46</v>
      </c>
      <c r="V2712" t="s">
        <v>11270</v>
      </c>
      <c r="W2712" t="s">
        <v>43</v>
      </c>
      <c r="X2712" t="s">
        <v>44</v>
      </c>
      <c r="Y2712" t="s">
        <v>44</v>
      </c>
      <c r="Z2712" t="s">
        <v>44</v>
      </c>
      <c r="AA2712" t="s">
        <v>44</v>
      </c>
      <c r="AB2712" t="s">
        <v>44</v>
      </c>
      <c r="AC2712" s="4">
        <v>4.7160921900000004</v>
      </c>
      <c r="AD2712" s="4">
        <v>4.6171215200000004</v>
      </c>
      <c r="AE2712" s="2">
        <v>4.72</v>
      </c>
      <c r="AF2712" s="4">
        <v>4.6171215200000004</v>
      </c>
      <c r="AG2712" s="2">
        <v>1.02</v>
      </c>
      <c r="AH2712" s="2">
        <v>1381814.68</v>
      </c>
      <c r="AI2712" s="2">
        <v>0</v>
      </c>
      <c r="AJ2712" s="5">
        <v>44673</v>
      </c>
      <c r="AK2712" t="s">
        <v>12585</v>
      </c>
      <c r="AL2712" s="2">
        <v>4.66</v>
      </c>
      <c r="AM2712" s="2">
        <v>4.62</v>
      </c>
      <c r="AN2712" s="2">
        <v>0</v>
      </c>
      <c r="AO2712" t="s">
        <v>44</v>
      </c>
      <c r="AP2712" t="s">
        <v>44</v>
      </c>
      <c r="AQ2712" t="s">
        <v>11272</v>
      </c>
    </row>
    <row r="2713" spans="1:43" x14ac:dyDescent="0.2">
      <c r="A2713" t="s">
        <v>12584</v>
      </c>
      <c r="B2713" t="s">
        <v>45</v>
      </c>
      <c r="C2713" t="s">
        <v>11000</v>
      </c>
      <c r="D2713" t="s">
        <v>11001</v>
      </c>
      <c r="E2713" t="s">
        <v>11002</v>
      </c>
      <c r="F2713" t="s">
        <v>11001</v>
      </c>
      <c r="G2713" s="1">
        <v>18371043.190000001</v>
      </c>
      <c r="H2713" s="2">
        <v>18371043.190000001</v>
      </c>
      <c r="I2713" s="2">
        <v>18371043.190000001</v>
      </c>
      <c r="J2713" s="2">
        <v>60682.86</v>
      </c>
      <c r="K2713" s="2">
        <v>0</v>
      </c>
      <c r="L2713" s="2">
        <v>18431726.050000001</v>
      </c>
      <c r="M2713" s="3"/>
      <c r="N2713" s="4">
        <v>4.1934159999999998E-2</v>
      </c>
      <c r="O2713" s="5">
        <v>40756</v>
      </c>
      <c r="P2713" s="5">
        <v>73020</v>
      </c>
      <c r="Q2713" s="1">
        <v>0</v>
      </c>
      <c r="R2713" s="2"/>
      <c r="S2713" s="6"/>
      <c r="T2713" t="s">
        <v>111</v>
      </c>
      <c r="U2713" t="s">
        <v>11003</v>
      </c>
      <c r="V2713" t="s">
        <v>46</v>
      </c>
      <c r="W2713" t="s">
        <v>43</v>
      </c>
      <c r="X2713" t="s">
        <v>44</v>
      </c>
      <c r="Y2713" t="s">
        <v>44</v>
      </c>
      <c r="Z2713" t="s">
        <v>44</v>
      </c>
      <c r="AA2713" t="s">
        <v>44</v>
      </c>
      <c r="AB2713" t="s">
        <v>44</v>
      </c>
      <c r="AC2713" s="4"/>
      <c r="AD2713" s="4"/>
      <c r="AE2713" s="2">
        <v>0</v>
      </c>
      <c r="AF2713" s="4">
        <v>0</v>
      </c>
      <c r="AG2713" s="2">
        <v>13.57</v>
      </c>
      <c r="AH2713" s="2">
        <v>18431726.050000001</v>
      </c>
      <c r="AI2713" s="2">
        <v>0.04</v>
      </c>
      <c r="AJ2713" s="5">
        <v>44673</v>
      </c>
      <c r="AK2713" t="s">
        <v>12585</v>
      </c>
      <c r="AL2713" s="2">
        <v>0</v>
      </c>
      <c r="AM2713" s="2">
        <v>0</v>
      </c>
      <c r="AN2713" s="2">
        <v>0</v>
      </c>
      <c r="AO2713" t="s">
        <v>44</v>
      </c>
      <c r="AP2713" t="s">
        <v>11004</v>
      </c>
      <c r="AQ2713" t="s">
        <v>11002</v>
      </c>
    </row>
    <row r="2714" spans="1:43" x14ac:dyDescent="0.2">
      <c r="A2714" t="s">
        <v>12584</v>
      </c>
      <c r="B2714" t="s">
        <v>45</v>
      </c>
      <c r="C2714" t="s">
        <v>11144</v>
      </c>
      <c r="D2714" t="s">
        <v>11145</v>
      </c>
      <c r="E2714" t="s">
        <v>11146</v>
      </c>
      <c r="F2714" t="s">
        <v>11147</v>
      </c>
      <c r="G2714" s="1">
        <v>874448</v>
      </c>
      <c r="H2714" s="2">
        <v>874448</v>
      </c>
      <c r="I2714" s="2">
        <v>874448</v>
      </c>
      <c r="J2714" s="2">
        <v>2341.3000000000002</v>
      </c>
      <c r="K2714" s="2">
        <v>0</v>
      </c>
      <c r="L2714" s="2">
        <v>876789.3</v>
      </c>
      <c r="M2714" s="3">
        <v>6.88</v>
      </c>
      <c r="N2714" s="4">
        <v>1.9947900000000002E-3</v>
      </c>
      <c r="O2714" s="5" t="s">
        <v>44</v>
      </c>
      <c r="P2714" s="5">
        <v>55153</v>
      </c>
      <c r="Q2714" s="1">
        <v>6.88</v>
      </c>
      <c r="R2714" s="2">
        <v>0.08</v>
      </c>
      <c r="S2714" s="6">
        <v>2.6006750000000002E-3</v>
      </c>
      <c r="T2714" t="s">
        <v>112</v>
      </c>
      <c r="U2714" t="s">
        <v>46</v>
      </c>
      <c r="V2714" t="s">
        <v>11148</v>
      </c>
      <c r="W2714" t="s">
        <v>43</v>
      </c>
      <c r="X2714" t="s">
        <v>44</v>
      </c>
      <c r="Y2714" t="s">
        <v>44</v>
      </c>
      <c r="Z2714" t="s">
        <v>44</v>
      </c>
      <c r="AA2714" t="s">
        <v>44</v>
      </c>
      <c r="AB2714" t="s">
        <v>44</v>
      </c>
      <c r="AC2714" s="4"/>
      <c r="AD2714" s="4"/>
      <c r="AE2714" s="2">
        <v>0</v>
      </c>
      <c r="AF2714" s="4">
        <v>0</v>
      </c>
      <c r="AG2714" s="2">
        <v>0.65</v>
      </c>
      <c r="AH2714" s="2">
        <v>876789.3</v>
      </c>
      <c r="AI2714" s="2">
        <v>0</v>
      </c>
      <c r="AJ2714" s="5">
        <v>44673</v>
      </c>
      <c r="AK2714" t="s">
        <v>12585</v>
      </c>
      <c r="AL2714" s="2">
        <v>0</v>
      </c>
      <c r="AM2714" s="2">
        <v>6.88</v>
      </c>
      <c r="AN2714" s="2">
        <v>0</v>
      </c>
      <c r="AO2714" t="s">
        <v>11146</v>
      </c>
      <c r="AP2714" t="s">
        <v>44</v>
      </c>
      <c r="AQ2714" t="s">
        <v>11146</v>
      </c>
    </row>
    <row r="2715" spans="1:43" x14ac:dyDescent="0.2">
      <c r="A2715" t="s">
        <v>12584</v>
      </c>
      <c r="B2715" t="s">
        <v>45</v>
      </c>
      <c r="C2715" t="s">
        <v>47</v>
      </c>
      <c r="D2715" t="s">
        <v>48</v>
      </c>
      <c r="E2715" t="s">
        <v>49</v>
      </c>
      <c r="F2715" t="s">
        <v>50</v>
      </c>
      <c r="G2715" s="1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2490.9499999999998</v>
      </c>
      <c r="M2715" s="3"/>
      <c r="N2715" s="4">
        <v>5.6699999999999999E-6</v>
      </c>
      <c r="O2715" s="5" t="s">
        <v>44</v>
      </c>
      <c r="P2715" s="5" t="s">
        <v>44</v>
      </c>
      <c r="Q2715" s="1"/>
      <c r="R2715" s="2">
        <v>0.08</v>
      </c>
      <c r="S2715" s="6"/>
      <c r="T2715" t="s">
        <v>45</v>
      </c>
      <c r="U2715" t="s">
        <v>46</v>
      </c>
      <c r="V2715" t="s">
        <v>44</v>
      </c>
      <c r="W2715" t="s">
        <v>43</v>
      </c>
      <c r="X2715" t="s">
        <v>44</v>
      </c>
      <c r="Y2715" t="s">
        <v>44</v>
      </c>
      <c r="Z2715" t="s">
        <v>44</v>
      </c>
      <c r="AA2715" t="s">
        <v>44</v>
      </c>
      <c r="AB2715" t="s">
        <v>44</v>
      </c>
      <c r="AC2715" s="4">
        <v>5.1163389600000002</v>
      </c>
      <c r="AD2715" s="4">
        <v>5.0001424999999999</v>
      </c>
      <c r="AE2715" s="2">
        <v>5.12</v>
      </c>
      <c r="AF2715" s="4">
        <v>5.0001424999999999</v>
      </c>
      <c r="AG2715" s="2">
        <v>0</v>
      </c>
      <c r="AH2715" s="2">
        <v>2490.9499999999998</v>
      </c>
      <c r="AI2715" s="2">
        <v>0</v>
      </c>
      <c r="AJ2715" s="5">
        <v>44673</v>
      </c>
      <c r="AK2715" t="s">
        <v>12585</v>
      </c>
      <c r="AL2715" s="2">
        <v>5.05</v>
      </c>
      <c r="AM2715" s="2">
        <v>0</v>
      </c>
      <c r="AN2715" s="2">
        <v>0</v>
      </c>
      <c r="AO2715" t="s">
        <v>44</v>
      </c>
      <c r="AP2715" t="s">
        <v>44</v>
      </c>
      <c r="AQ2715" t="s">
        <v>44</v>
      </c>
    </row>
    <row r="2716" spans="1:43" x14ac:dyDescent="0.2">
      <c r="A2716" t="s">
        <v>12584</v>
      </c>
      <c r="B2716" t="s">
        <v>45</v>
      </c>
      <c r="C2716" t="s">
        <v>47</v>
      </c>
      <c r="D2716" t="s">
        <v>51</v>
      </c>
      <c r="E2716" t="s">
        <v>52</v>
      </c>
      <c r="F2716" t="s">
        <v>51</v>
      </c>
      <c r="G2716" s="1">
        <v>489940.02</v>
      </c>
      <c r="H2716" s="2">
        <v>489940.02</v>
      </c>
      <c r="I2716" s="2">
        <v>489940.02</v>
      </c>
      <c r="J2716" s="2">
        <v>0</v>
      </c>
      <c r="K2716" s="2">
        <v>0</v>
      </c>
      <c r="L2716" s="2">
        <v>489940.02</v>
      </c>
      <c r="M2716" s="3"/>
      <c r="N2716" s="4">
        <v>1.1146699999999999E-3</v>
      </c>
      <c r="O2716" s="5" t="s">
        <v>44</v>
      </c>
      <c r="P2716" s="5" t="s">
        <v>44</v>
      </c>
      <c r="Q2716" s="1"/>
      <c r="R2716" s="2">
        <v>0.08</v>
      </c>
      <c r="S2716" s="6"/>
      <c r="T2716" t="s">
        <v>45</v>
      </c>
      <c r="U2716" t="s">
        <v>53</v>
      </c>
      <c r="V2716" t="s">
        <v>44</v>
      </c>
      <c r="W2716" t="s">
        <v>43</v>
      </c>
      <c r="X2716" t="s">
        <v>44</v>
      </c>
      <c r="Y2716" t="s">
        <v>44</v>
      </c>
      <c r="Z2716" t="s">
        <v>44</v>
      </c>
      <c r="AA2716" t="s">
        <v>44</v>
      </c>
      <c r="AB2716" t="s">
        <v>44</v>
      </c>
      <c r="AC2716" s="4">
        <v>5.1163389600000002</v>
      </c>
      <c r="AD2716" s="4">
        <v>5.0001424999999999</v>
      </c>
      <c r="AE2716" s="2">
        <v>5.12</v>
      </c>
      <c r="AF2716" s="4">
        <v>5.0001424999999999</v>
      </c>
      <c r="AG2716" s="2">
        <v>0.36</v>
      </c>
      <c r="AH2716" s="2">
        <v>489940.02</v>
      </c>
      <c r="AI2716" s="2">
        <v>0</v>
      </c>
      <c r="AJ2716" s="5">
        <v>44673</v>
      </c>
      <c r="AK2716" t="s">
        <v>12585</v>
      </c>
      <c r="AL2716" s="2">
        <v>5.05</v>
      </c>
      <c r="AM2716" s="2">
        <v>0</v>
      </c>
      <c r="AN2716" s="2">
        <v>0</v>
      </c>
      <c r="AO2716" t="s">
        <v>44</v>
      </c>
      <c r="AP2716" t="s">
        <v>44</v>
      </c>
      <c r="AQ2716" t="s">
        <v>43</v>
      </c>
    </row>
    <row r="2717" spans="1:43" x14ac:dyDescent="0.2">
      <c r="A2717" t="s">
        <v>12584</v>
      </c>
      <c r="B2717" t="s">
        <v>45</v>
      </c>
      <c r="C2717" t="s">
        <v>11005</v>
      </c>
      <c r="D2717" t="s">
        <v>11009</v>
      </c>
      <c r="E2717" t="s">
        <v>11010</v>
      </c>
      <c r="F2717" t="s">
        <v>44</v>
      </c>
      <c r="G2717" s="1">
        <v>-16517.14</v>
      </c>
      <c r="H2717" s="2">
        <v>-16517.14</v>
      </c>
      <c r="I2717" s="2">
        <v>-16517.14</v>
      </c>
      <c r="J2717" s="2">
        <v>0</v>
      </c>
      <c r="K2717" s="2"/>
      <c r="L2717" s="2">
        <v>-16517.14</v>
      </c>
      <c r="M2717" s="3"/>
      <c r="N2717" s="4">
        <v>-3.7580000000000003E-5</v>
      </c>
      <c r="O2717" s="5" t="s">
        <v>44</v>
      </c>
      <c r="P2717" s="5">
        <v>73051</v>
      </c>
      <c r="Q2717" s="1">
        <v>0</v>
      </c>
      <c r="R2717" s="2">
        <v>0.08</v>
      </c>
      <c r="S2717" s="6"/>
      <c r="T2717" t="s">
        <v>45</v>
      </c>
      <c r="U2717" t="s">
        <v>44</v>
      </c>
      <c r="V2717" t="s">
        <v>44</v>
      </c>
      <c r="W2717" t="s">
        <v>43</v>
      </c>
      <c r="X2717" t="s">
        <v>44</v>
      </c>
      <c r="Y2717" t="s">
        <v>44</v>
      </c>
      <c r="Z2717" t="s">
        <v>44</v>
      </c>
      <c r="AA2717" t="s">
        <v>44</v>
      </c>
      <c r="AB2717" t="s">
        <v>44</v>
      </c>
      <c r="AC2717" s="4">
        <v>5.1163389600000002</v>
      </c>
      <c r="AD2717" s="4">
        <v>5.0001424999999999</v>
      </c>
      <c r="AE2717" s="2">
        <v>5.12</v>
      </c>
      <c r="AF2717" s="4">
        <v>5.0001424999999999</v>
      </c>
      <c r="AG2717" s="2">
        <v>-0.01</v>
      </c>
      <c r="AH2717" s="2">
        <v>-16517.14</v>
      </c>
      <c r="AI2717" s="2">
        <v>0</v>
      </c>
      <c r="AJ2717" s="5">
        <v>44673</v>
      </c>
      <c r="AK2717" t="s">
        <v>12585</v>
      </c>
      <c r="AL2717" s="2">
        <v>5.05</v>
      </c>
      <c r="AM2717" s="2">
        <v>0</v>
      </c>
      <c r="AN2717" s="2">
        <v>0</v>
      </c>
      <c r="AO2717" t="s">
        <v>44</v>
      </c>
      <c r="AP2717" t="s">
        <v>44</v>
      </c>
      <c r="AQ2717" t="s">
        <v>44</v>
      </c>
    </row>
    <row r="2718" spans="1:43" x14ac:dyDescent="0.2">
      <c r="A2718" t="s">
        <v>12584</v>
      </c>
      <c r="B2718" t="s">
        <v>45</v>
      </c>
      <c r="C2718" t="s">
        <v>11005</v>
      </c>
      <c r="D2718" t="s">
        <v>11149</v>
      </c>
      <c r="E2718" t="s">
        <v>11150</v>
      </c>
      <c r="F2718" t="s">
        <v>44</v>
      </c>
      <c r="G2718" s="1">
        <v>-91430</v>
      </c>
      <c r="H2718" s="2">
        <v>-91430</v>
      </c>
      <c r="I2718" s="2">
        <v>-91430</v>
      </c>
      <c r="J2718" s="2">
        <v>0</v>
      </c>
      <c r="K2718" s="2"/>
      <c r="L2718" s="2">
        <v>-91430</v>
      </c>
      <c r="M2718" s="3"/>
      <c r="N2718" s="4">
        <v>-2.0801000000000001E-4</v>
      </c>
      <c r="O2718" s="5" t="s">
        <v>44</v>
      </c>
      <c r="P2718" s="5">
        <v>73051</v>
      </c>
      <c r="Q2718" s="1">
        <v>0</v>
      </c>
      <c r="R2718" s="2">
        <v>0.08</v>
      </c>
      <c r="S2718" s="6"/>
      <c r="T2718" t="s">
        <v>45</v>
      </c>
      <c r="U2718" t="s">
        <v>44</v>
      </c>
      <c r="V2718" t="s">
        <v>44</v>
      </c>
      <c r="W2718" t="s">
        <v>43</v>
      </c>
      <c r="X2718" t="s">
        <v>44</v>
      </c>
      <c r="Y2718" t="s">
        <v>44</v>
      </c>
      <c r="Z2718" t="s">
        <v>44</v>
      </c>
      <c r="AA2718" t="s">
        <v>44</v>
      </c>
      <c r="AB2718" t="s">
        <v>44</v>
      </c>
      <c r="AC2718" s="4">
        <v>5.1163389600000002</v>
      </c>
      <c r="AD2718" s="4">
        <v>5.0001424999999999</v>
      </c>
      <c r="AE2718" s="2">
        <v>5.12</v>
      </c>
      <c r="AF2718" s="4">
        <v>5.0001424999999999</v>
      </c>
      <c r="AG2718" s="2">
        <v>-7.0000000000000007E-2</v>
      </c>
      <c r="AH2718" s="2">
        <v>-91430</v>
      </c>
      <c r="AI2718" s="2">
        <v>0</v>
      </c>
      <c r="AJ2718" s="5">
        <v>44673</v>
      </c>
      <c r="AK2718" t="s">
        <v>12585</v>
      </c>
      <c r="AL2718" s="2">
        <v>5.05</v>
      </c>
      <c r="AM2718" s="2">
        <v>0</v>
      </c>
      <c r="AN2718" s="2">
        <v>0</v>
      </c>
      <c r="AO2718" t="s">
        <v>44</v>
      </c>
      <c r="AP2718" t="s">
        <v>44</v>
      </c>
      <c r="AQ2718" t="s">
        <v>44</v>
      </c>
    </row>
    <row r="2719" spans="1:43" x14ac:dyDescent="0.2">
      <c r="A2719" t="s">
        <v>12584</v>
      </c>
      <c r="B2719" t="s">
        <v>11013</v>
      </c>
      <c r="C2719" t="s">
        <v>11014</v>
      </c>
      <c r="D2719" t="s">
        <v>11751</v>
      </c>
      <c r="E2719" t="s">
        <v>11752</v>
      </c>
      <c r="F2719" t="s">
        <v>11751</v>
      </c>
      <c r="G2719" s="1">
        <v>89342125.511000007</v>
      </c>
      <c r="H2719" s="2">
        <v>91963707.890000001</v>
      </c>
      <c r="I2719" s="2">
        <v>88636322.719999999</v>
      </c>
      <c r="J2719" s="2">
        <v>0</v>
      </c>
      <c r="K2719" s="2">
        <v>0</v>
      </c>
      <c r="L2719" s="2">
        <v>88636322.719999999</v>
      </c>
      <c r="M2719" s="3">
        <v>0.99209999999999998</v>
      </c>
      <c r="N2719" s="4">
        <v>0.20165717999999999</v>
      </c>
      <c r="O2719" s="5" t="s">
        <v>44</v>
      </c>
      <c r="P2719" s="5" t="s">
        <v>44</v>
      </c>
      <c r="Q2719" s="1"/>
      <c r="R2719" s="2"/>
      <c r="S2719" s="6"/>
      <c r="T2719" t="s">
        <v>10902</v>
      </c>
      <c r="U2719" t="s">
        <v>11003</v>
      </c>
      <c r="V2719" t="s">
        <v>11003</v>
      </c>
      <c r="W2719" t="s">
        <v>43</v>
      </c>
      <c r="X2719" t="s">
        <v>44</v>
      </c>
      <c r="Y2719" t="s">
        <v>44</v>
      </c>
      <c r="Z2719" t="s">
        <v>44</v>
      </c>
      <c r="AA2719" t="s">
        <v>44</v>
      </c>
      <c r="AB2719" t="s">
        <v>44</v>
      </c>
      <c r="AC2719" s="4"/>
      <c r="AD2719" s="4"/>
      <c r="AE2719" s="2">
        <v>0</v>
      </c>
      <c r="AF2719" s="4">
        <v>0</v>
      </c>
      <c r="AG2719" s="2">
        <v>65.27</v>
      </c>
      <c r="AH2719" s="2">
        <v>88636322.719999999</v>
      </c>
      <c r="AI2719" s="2">
        <v>0.2</v>
      </c>
      <c r="AJ2719" s="5">
        <v>44673</v>
      </c>
      <c r="AK2719" t="s">
        <v>12585</v>
      </c>
      <c r="AL2719" s="2">
        <v>0</v>
      </c>
      <c r="AM2719" s="2">
        <v>0</v>
      </c>
      <c r="AN2719" s="2">
        <v>0</v>
      </c>
      <c r="AO2719" t="s">
        <v>44</v>
      </c>
      <c r="AP2719" t="s">
        <v>11753</v>
      </c>
      <c r="AQ2719" t="s">
        <v>11752</v>
      </c>
    </row>
    <row r="2720" spans="1:43" x14ac:dyDescent="0.2">
      <c r="A2720" t="s">
        <v>12584</v>
      </c>
      <c r="B2720" t="s">
        <v>11024</v>
      </c>
      <c r="C2720" t="s">
        <v>57</v>
      </c>
      <c r="D2720" t="s">
        <v>11754</v>
      </c>
      <c r="E2720" t="s">
        <v>11754</v>
      </c>
      <c r="F2720" t="s">
        <v>11754</v>
      </c>
      <c r="G2720" s="1">
        <v>41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3">
        <v>20012</v>
      </c>
      <c r="N2720" s="4">
        <v>0</v>
      </c>
      <c r="O2720" s="5" t="s">
        <v>44</v>
      </c>
      <c r="P2720" s="5">
        <v>44727</v>
      </c>
      <c r="Q2720" s="1"/>
      <c r="R2720" s="2"/>
      <c r="S2720" s="6"/>
      <c r="T2720" t="s">
        <v>11026</v>
      </c>
      <c r="U2720" t="s">
        <v>11025</v>
      </c>
      <c r="V2720" t="s">
        <v>11027</v>
      </c>
      <c r="W2720" t="s">
        <v>43</v>
      </c>
      <c r="X2720" t="s">
        <v>44</v>
      </c>
      <c r="Y2720" t="s">
        <v>44</v>
      </c>
      <c r="Z2720" t="s">
        <v>44</v>
      </c>
      <c r="AA2720" t="s">
        <v>44</v>
      </c>
      <c r="AB2720" t="s">
        <v>44</v>
      </c>
      <c r="AC2720" s="4"/>
      <c r="AD2720" s="4"/>
      <c r="AE2720" s="2">
        <v>0</v>
      </c>
      <c r="AF2720" s="4">
        <v>0</v>
      </c>
      <c r="AG2720" s="2">
        <v>0</v>
      </c>
      <c r="AH2720" s="2">
        <v>8204920</v>
      </c>
      <c r="AI2720" s="2">
        <v>0.02</v>
      </c>
      <c r="AJ2720" s="5">
        <v>44673</v>
      </c>
      <c r="AK2720" t="s">
        <v>12585</v>
      </c>
      <c r="AL2720" s="2">
        <v>0</v>
      </c>
      <c r="AM2720" s="2">
        <v>0</v>
      </c>
      <c r="AN2720" s="2">
        <v>0</v>
      </c>
      <c r="AO2720" t="s">
        <v>44</v>
      </c>
      <c r="AP2720" t="s">
        <v>11755</v>
      </c>
      <c r="AQ2720" t="s">
        <v>11754</v>
      </c>
    </row>
    <row r="2721" spans="1:43" x14ac:dyDescent="0.2">
      <c r="A2721" t="s">
        <v>12584</v>
      </c>
      <c r="B2721" t="s">
        <v>11037</v>
      </c>
      <c r="C2721" t="s">
        <v>11276</v>
      </c>
      <c r="D2721" t="s">
        <v>6473</v>
      </c>
      <c r="E2721" t="s">
        <v>4464</v>
      </c>
      <c r="F2721" t="s">
        <v>6473</v>
      </c>
      <c r="G2721" s="1">
        <v>863</v>
      </c>
      <c r="H2721" s="2">
        <v>97790.29</v>
      </c>
      <c r="I2721" s="2">
        <v>86300</v>
      </c>
      <c r="J2721" s="2">
        <v>0</v>
      </c>
      <c r="K2721" s="2">
        <v>0</v>
      </c>
      <c r="L2721" s="2">
        <v>86300</v>
      </c>
      <c r="M2721" s="3">
        <v>10000</v>
      </c>
      <c r="N2721" s="4">
        <v>1.9634000000000001E-4</v>
      </c>
      <c r="O2721" s="5" t="s">
        <v>44</v>
      </c>
      <c r="P2721" s="5" t="s">
        <v>44</v>
      </c>
      <c r="Q2721" s="1"/>
      <c r="R2721" s="2"/>
      <c r="S2721" s="6"/>
      <c r="T2721" t="s">
        <v>10902</v>
      </c>
      <c r="U2721" t="s">
        <v>10902</v>
      </c>
      <c r="V2721" t="s">
        <v>10902</v>
      </c>
      <c r="W2721" t="s">
        <v>43</v>
      </c>
      <c r="X2721" t="s">
        <v>11277</v>
      </c>
      <c r="Y2721" t="s">
        <v>11277</v>
      </c>
      <c r="Z2721" t="s">
        <v>11276</v>
      </c>
      <c r="AA2721" t="s">
        <v>44</v>
      </c>
      <c r="AB2721" t="s">
        <v>44</v>
      </c>
      <c r="AC2721" s="4"/>
      <c r="AD2721" s="4"/>
      <c r="AE2721" s="2">
        <v>0</v>
      </c>
      <c r="AF2721" s="4">
        <v>0</v>
      </c>
      <c r="AG2721" s="2">
        <v>0.06</v>
      </c>
      <c r="AH2721" s="2">
        <v>86300</v>
      </c>
      <c r="AI2721" s="2">
        <v>0</v>
      </c>
      <c r="AJ2721" s="5">
        <v>44673</v>
      </c>
      <c r="AK2721" t="s">
        <v>12585</v>
      </c>
      <c r="AL2721" s="2">
        <v>0</v>
      </c>
      <c r="AM2721" s="2">
        <v>0</v>
      </c>
      <c r="AN2721" s="2">
        <v>0</v>
      </c>
      <c r="AO2721" t="s">
        <v>44</v>
      </c>
      <c r="AP2721" t="s">
        <v>11278</v>
      </c>
      <c r="AQ2721" t="s">
        <v>4464</v>
      </c>
    </row>
    <row r="2722" spans="1:43" x14ac:dyDescent="0.2">
      <c r="A2722" t="s">
        <v>12584</v>
      </c>
      <c r="B2722" t="s">
        <v>11037</v>
      </c>
      <c r="C2722" t="s">
        <v>11276</v>
      </c>
      <c r="D2722" t="s">
        <v>6316</v>
      </c>
      <c r="E2722" t="s">
        <v>4585</v>
      </c>
      <c r="F2722" t="s">
        <v>6316</v>
      </c>
      <c r="G2722" s="1">
        <v>2887</v>
      </c>
      <c r="H2722" s="2">
        <v>574790.52</v>
      </c>
      <c r="I2722" s="2">
        <v>700155.24</v>
      </c>
      <c r="J2722" s="2">
        <v>0</v>
      </c>
      <c r="K2722" s="2">
        <v>0</v>
      </c>
      <c r="L2722" s="2">
        <v>700155.24</v>
      </c>
      <c r="M2722" s="3">
        <v>24252</v>
      </c>
      <c r="N2722" s="4">
        <v>1.59293E-3</v>
      </c>
      <c r="O2722" s="5" t="s">
        <v>44</v>
      </c>
      <c r="P2722" s="5" t="s">
        <v>44</v>
      </c>
      <c r="Q2722" s="1"/>
      <c r="R2722" s="2"/>
      <c r="S2722" s="6"/>
      <c r="T2722" t="s">
        <v>10902</v>
      </c>
      <c r="U2722" t="s">
        <v>10902</v>
      </c>
      <c r="V2722" t="s">
        <v>10902</v>
      </c>
      <c r="W2722" t="s">
        <v>43</v>
      </c>
      <c r="X2722" t="s">
        <v>11279</v>
      </c>
      <c r="Y2722" t="s">
        <v>11280</v>
      </c>
      <c r="Z2722" t="s">
        <v>11276</v>
      </c>
      <c r="AA2722" t="s">
        <v>44</v>
      </c>
      <c r="AB2722" t="s">
        <v>44</v>
      </c>
      <c r="AC2722" s="4"/>
      <c r="AD2722" s="4"/>
      <c r="AE2722" s="2">
        <v>0</v>
      </c>
      <c r="AF2722" s="4">
        <v>0</v>
      </c>
      <c r="AG2722" s="2">
        <v>0.52</v>
      </c>
      <c r="AH2722" s="2">
        <v>700155.24</v>
      </c>
      <c r="AI2722" s="2">
        <v>0</v>
      </c>
      <c r="AJ2722" s="5">
        <v>44673</v>
      </c>
      <c r="AK2722" t="s">
        <v>12585</v>
      </c>
      <c r="AL2722" s="2">
        <v>0</v>
      </c>
      <c r="AM2722" s="2">
        <v>0</v>
      </c>
      <c r="AN2722" s="2">
        <v>0</v>
      </c>
      <c r="AO2722" t="s">
        <v>44</v>
      </c>
      <c r="AP2722" t="s">
        <v>11281</v>
      </c>
      <c r="AQ2722" t="s">
        <v>4585</v>
      </c>
    </row>
    <row r="2723" spans="1:43" x14ac:dyDescent="0.2">
      <c r="A2723" t="s">
        <v>12584</v>
      </c>
      <c r="B2723" t="s">
        <v>11037</v>
      </c>
      <c r="C2723" t="s">
        <v>11276</v>
      </c>
      <c r="D2723" t="s">
        <v>11661</v>
      </c>
      <c r="E2723" t="s">
        <v>4578</v>
      </c>
      <c r="F2723" t="s">
        <v>11661</v>
      </c>
      <c r="G2723" s="1">
        <v>1000</v>
      </c>
      <c r="H2723" s="2">
        <v>721383.26</v>
      </c>
      <c r="I2723" s="2">
        <v>703470</v>
      </c>
      <c r="J2723" s="2">
        <v>0</v>
      </c>
      <c r="K2723" s="2">
        <v>0</v>
      </c>
      <c r="L2723" s="2">
        <v>703470</v>
      </c>
      <c r="M2723" s="3">
        <v>70347</v>
      </c>
      <c r="N2723" s="4">
        <v>1.6004700000000001E-3</v>
      </c>
      <c r="O2723" s="5" t="s">
        <v>44</v>
      </c>
      <c r="P2723" s="5" t="s">
        <v>44</v>
      </c>
      <c r="Q2723" s="1"/>
      <c r="R2723" s="2"/>
      <c r="S2723" s="6"/>
      <c r="T2723" t="s">
        <v>10902</v>
      </c>
      <c r="U2723" t="s">
        <v>10902</v>
      </c>
      <c r="V2723" t="s">
        <v>10902</v>
      </c>
      <c r="W2723" t="s">
        <v>43</v>
      </c>
      <c r="X2723" t="s">
        <v>11279</v>
      </c>
      <c r="Y2723" t="s">
        <v>11280</v>
      </c>
      <c r="Z2723" t="s">
        <v>11276</v>
      </c>
      <c r="AA2723" t="s">
        <v>44</v>
      </c>
      <c r="AB2723" t="s">
        <v>44</v>
      </c>
      <c r="AC2723" s="4"/>
      <c r="AD2723" s="4"/>
      <c r="AE2723" s="2">
        <v>0</v>
      </c>
      <c r="AF2723" s="4">
        <v>0</v>
      </c>
      <c r="AG2723" s="2">
        <v>0.52</v>
      </c>
      <c r="AH2723" s="2">
        <v>703470</v>
      </c>
      <c r="AI2723" s="2">
        <v>0</v>
      </c>
      <c r="AJ2723" s="5">
        <v>44673</v>
      </c>
      <c r="AK2723" t="s">
        <v>12585</v>
      </c>
      <c r="AL2723" s="2">
        <v>0</v>
      </c>
      <c r="AM2723" s="2">
        <v>0</v>
      </c>
      <c r="AN2723" s="2">
        <v>0</v>
      </c>
      <c r="AO2723" t="s">
        <v>44</v>
      </c>
      <c r="AP2723" t="s">
        <v>2559</v>
      </c>
      <c r="AQ2723" t="s">
        <v>4578</v>
      </c>
    </row>
    <row r="2724" spans="1:43" x14ac:dyDescent="0.2">
      <c r="A2724" t="s">
        <v>12584</v>
      </c>
      <c r="B2724" t="s">
        <v>11037</v>
      </c>
      <c r="C2724" t="s">
        <v>11276</v>
      </c>
      <c r="D2724" t="s">
        <v>11284</v>
      </c>
      <c r="E2724" t="s">
        <v>4506</v>
      </c>
      <c r="F2724" t="s">
        <v>11284</v>
      </c>
      <c r="G2724" s="1">
        <v>7034</v>
      </c>
      <c r="H2724" s="2">
        <v>407471.96</v>
      </c>
      <c r="I2724" s="2">
        <v>462696.52</v>
      </c>
      <c r="J2724" s="2">
        <v>0</v>
      </c>
      <c r="K2724" s="2">
        <v>0</v>
      </c>
      <c r="L2724" s="2">
        <v>462696.52</v>
      </c>
      <c r="M2724" s="3">
        <v>6578</v>
      </c>
      <c r="N2724" s="4">
        <v>1.0526800000000001E-3</v>
      </c>
      <c r="O2724" s="5" t="s">
        <v>44</v>
      </c>
      <c r="P2724" s="5" t="s">
        <v>44</v>
      </c>
      <c r="Q2724" s="1"/>
      <c r="R2724" s="2"/>
      <c r="S2724" s="6"/>
      <c r="T2724" t="s">
        <v>10902</v>
      </c>
      <c r="U2724" t="s">
        <v>10902</v>
      </c>
      <c r="V2724" t="s">
        <v>10902</v>
      </c>
      <c r="W2724" t="s">
        <v>43</v>
      </c>
      <c r="X2724" t="s">
        <v>11279</v>
      </c>
      <c r="Y2724" t="s">
        <v>11280</v>
      </c>
      <c r="Z2724" t="s">
        <v>11276</v>
      </c>
      <c r="AA2724" t="s">
        <v>44</v>
      </c>
      <c r="AB2724" t="s">
        <v>44</v>
      </c>
      <c r="AC2724" s="4"/>
      <c r="AD2724" s="4"/>
      <c r="AE2724" s="2">
        <v>0</v>
      </c>
      <c r="AF2724" s="4">
        <v>0</v>
      </c>
      <c r="AG2724" s="2">
        <v>0.34</v>
      </c>
      <c r="AH2724" s="2">
        <v>462696.52</v>
      </c>
      <c r="AI2724" s="2">
        <v>0</v>
      </c>
      <c r="AJ2724" s="5">
        <v>44673</v>
      </c>
      <c r="AK2724" t="s">
        <v>12585</v>
      </c>
      <c r="AL2724" s="2">
        <v>0</v>
      </c>
      <c r="AM2724" s="2">
        <v>0</v>
      </c>
      <c r="AN2724" s="2">
        <v>0</v>
      </c>
      <c r="AO2724" t="s">
        <v>44</v>
      </c>
      <c r="AP2724" t="s">
        <v>11285</v>
      </c>
      <c r="AQ2724" t="s">
        <v>4506</v>
      </c>
    </row>
    <row r="2725" spans="1:43" x14ac:dyDescent="0.2">
      <c r="A2725" t="s">
        <v>12584</v>
      </c>
      <c r="B2725" t="s">
        <v>11037</v>
      </c>
      <c r="C2725" t="s">
        <v>11276</v>
      </c>
      <c r="D2725" t="s">
        <v>6278</v>
      </c>
      <c r="E2725" t="s">
        <v>4640</v>
      </c>
      <c r="F2725" t="s">
        <v>6278</v>
      </c>
      <c r="G2725" s="1">
        <v>1089</v>
      </c>
      <c r="H2725" s="2">
        <v>476278.38</v>
      </c>
      <c r="I2725" s="2">
        <v>551796.30000000005</v>
      </c>
      <c r="J2725" s="2">
        <v>0</v>
      </c>
      <c r="K2725" s="2">
        <v>0</v>
      </c>
      <c r="L2725" s="2">
        <v>551796.30000000005</v>
      </c>
      <c r="M2725" s="3">
        <v>50670</v>
      </c>
      <c r="N2725" s="4">
        <v>1.2554E-3</v>
      </c>
      <c r="O2725" s="5" t="s">
        <v>44</v>
      </c>
      <c r="P2725" s="5" t="s">
        <v>44</v>
      </c>
      <c r="Q2725" s="1"/>
      <c r="R2725" s="2"/>
      <c r="S2725" s="6"/>
      <c r="T2725" t="s">
        <v>10902</v>
      </c>
      <c r="U2725" t="s">
        <v>10902</v>
      </c>
      <c r="V2725" t="s">
        <v>10902</v>
      </c>
      <c r="W2725" t="s">
        <v>43</v>
      </c>
      <c r="X2725" t="s">
        <v>11286</v>
      </c>
      <c r="Y2725" t="s">
        <v>11280</v>
      </c>
      <c r="Z2725" t="s">
        <v>11276</v>
      </c>
      <c r="AA2725" t="s">
        <v>44</v>
      </c>
      <c r="AB2725" t="s">
        <v>44</v>
      </c>
      <c r="AC2725" s="4"/>
      <c r="AD2725" s="4"/>
      <c r="AE2725" s="2">
        <v>0</v>
      </c>
      <c r="AF2725" s="4">
        <v>0</v>
      </c>
      <c r="AG2725" s="2">
        <v>0.41</v>
      </c>
      <c r="AH2725" s="2">
        <v>551796.30000000005</v>
      </c>
      <c r="AI2725" s="2">
        <v>0</v>
      </c>
      <c r="AJ2725" s="5">
        <v>44673</v>
      </c>
      <c r="AK2725" t="s">
        <v>12585</v>
      </c>
      <c r="AL2725" s="2">
        <v>0</v>
      </c>
      <c r="AM2725" s="2">
        <v>0</v>
      </c>
      <c r="AN2725" s="2">
        <v>0</v>
      </c>
      <c r="AO2725" t="s">
        <v>44</v>
      </c>
      <c r="AP2725" t="s">
        <v>11287</v>
      </c>
      <c r="AQ2725" t="s">
        <v>4640</v>
      </c>
    </row>
    <row r="2726" spans="1:43" x14ac:dyDescent="0.2">
      <c r="A2726" t="s">
        <v>12584</v>
      </c>
      <c r="B2726" t="s">
        <v>11037</v>
      </c>
      <c r="C2726" t="s">
        <v>11276</v>
      </c>
      <c r="D2726" t="s">
        <v>11290</v>
      </c>
      <c r="E2726" t="s">
        <v>4478</v>
      </c>
      <c r="F2726" t="s">
        <v>11290</v>
      </c>
      <c r="G2726" s="1">
        <v>1109</v>
      </c>
      <c r="H2726" s="2">
        <v>70894.100000000006</v>
      </c>
      <c r="I2726" s="2">
        <v>86945.600000000006</v>
      </c>
      <c r="J2726" s="2">
        <v>0</v>
      </c>
      <c r="K2726" s="2">
        <v>0</v>
      </c>
      <c r="L2726" s="2">
        <v>86945.600000000006</v>
      </c>
      <c r="M2726" s="3">
        <v>7840</v>
      </c>
      <c r="N2726" s="4">
        <v>1.9781000000000001E-4</v>
      </c>
      <c r="O2726" s="5" t="s">
        <v>44</v>
      </c>
      <c r="P2726" s="5" t="s">
        <v>44</v>
      </c>
      <c r="Q2726" s="1"/>
      <c r="R2726" s="2"/>
      <c r="S2726" s="6"/>
      <c r="T2726" t="s">
        <v>10902</v>
      </c>
      <c r="U2726" t="s">
        <v>10902</v>
      </c>
      <c r="V2726" t="s">
        <v>10902</v>
      </c>
      <c r="W2726" t="s">
        <v>43</v>
      </c>
      <c r="X2726" t="s">
        <v>11277</v>
      </c>
      <c r="Y2726" t="s">
        <v>11277</v>
      </c>
      <c r="Z2726" t="s">
        <v>11276</v>
      </c>
      <c r="AA2726" t="s">
        <v>44</v>
      </c>
      <c r="AB2726" t="s">
        <v>44</v>
      </c>
      <c r="AC2726" s="4"/>
      <c r="AD2726" s="4"/>
      <c r="AE2726" s="2">
        <v>0</v>
      </c>
      <c r="AF2726" s="4">
        <v>0</v>
      </c>
      <c r="AG2726" s="2">
        <v>0.06</v>
      </c>
      <c r="AH2726" s="2">
        <v>86945.600000000006</v>
      </c>
      <c r="AI2726" s="2">
        <v>0</v>
      </c>
      <c r="AJ2726" s="5">
        <v>44673</v>
      </c>
      <c r="AK2726" t="s">
        <v>12585</v>
      </c>
      <c r="AL2726" s="2">
        <v>0</v>
      </c>
      <c r="AM2726" s="2">
        <v>0</v>
      </c>
      <c r="AN2726" s="2">
        <v>0</v>
      </c>
      <c r="AO2726" t="s">
        <v>44</v>
      </c>
      <c r="AP2726" t="s">
        <v>11291</v>
      </c>
      <c r="AQ2726" t="s">
        <v>4478</v>
      </c>
    </row>
    <row r="2727" spans="1:43" x14ac:dyDescent="0.2">
      <c r="A2727" t="s">
        <v>12584</v>
      </c>
      <c r="B2727" t="s">
        <v>11037</v>
      </c>
      <c r="C2727" t="s">
        <v>11276</v>
      </c>
      <c r="D2727" t="s">
        <v>6743</v>
      </c>
      <c r="E2727" t="s">
        <v>4570</v>
      </c>
      <c r="F2727" t="s">
        <v>6743</v>
      </c>
      <c r="G2727" s="1">
        <v>2383</v>
      </c>
      <c r="H2727" s="2">
        <v>308419.82</v>
      </c>
      <c r="I2727" s="2">
        <v>368244.99</v>
      </c>
      <c r="J2727" s="2">
        <v>0</v>
      </c>
      <c r="K2727" s="2">
        <v>0</v>
      </c>
      <c r="L2727" s="2">
        <v>368244.99</v>
      </c>
      <c r="M2727" s="3">
        <v>15453</v>
      </c>
      <c r="N2727" s="4">
        <v>8.3779999999999998E-4</v>
      </c>
      <c r="O2727" s="5" t="s">
        <v>44</v>
      </c>
      <c r="P2727" s="5" t="s">
        <v>44</v>
      </c>
      <c r="Q2727" s="1"/>
      <c r="R2727" s="2"/>
      <c r="S2727" s="6"/>
      <c r="T2727" t="s">
        <v>10902</v>
      </c>
      <c r="U2727" t="s">
        <v>10902</v>
      </c>
      <c r="V2727" t="s">
        <v>10902</v>
      </c>
      <c r="W2727" t="s">
        <v>43</v>
      </c>
      <c r="X2727" t="s">
        <v>11279</v>
      </c>
      <c r="Y2727" t="s">
        <v>11280</v>
      </c>
      <c r="Z2727" t="s">
        <v>11276</v>
      </c>
      <c r="AA2727" t="s">
        <v>44</v>
      </c>
      <c r="AB2727" t="s">
        <v>44</v>
      </c>
      <c r="AC2727" s="4"/>
      <c r="AD2727" s="4"/>
      <c r="AE2727" s="2">
        <v>0</v>
      </c>
      <c r="AF2727" s="4">
        <v>0</v>
      </c>
      <c r="AG2727" s="2">
        <v>0.27</v>
      </c>
      <c r="AH2727" s="2">
        <v>368244.99</v>
      </c>
      <c r="AI2727" s="2">
        <v>0</v>
      </c>
      <c r="AJ2727" s="5">
        <v>44673</v>
      </c>
      <c r="AK2727" t="s">
        <v>12585</v>
      </c>
      <c r="AL2727" s="2">
        <v>0</v>
      </c>
      <c r="AM2727" s="2">
        <v>0</v>
      </c>
      <c r="AN2727" s="2">
        <v>0</v>
      </c>
      <c r="AO2727" t="s">
        <v>44</v>
      </c>
      <c r="AP2727" t="s">
        <v>11294</v>
      </c>
      <c r="AQ2727" t="s">
        <v>4570</v>
      </c>
    </row>
    <row r="2728" spans="1:43" x14ac:dyDescent="0.2">
      <c r="A2728" t="s">
        <v>12584</v>
      </c>
      <c r="B2728" t="s">
        <v>11037</v>
      </c>
      <c r="C2728" t="s">
        <v>11276</v>
      </c>
      <c r="D2728" t="s">
        <v>6209</v>
      </c>
      <c r="E2728" t="s">
        <v>520</v>
      </c>
      <c r="F2728" t="s">
        <v>6209</v>
      </c>
      <c r="G2728" s="1">
        <v>15700</v>
      </c>
      <c r="H2728" s="2">
        <v>728379.34</v>
      </c>
      <c r="I2728" s="2">
        <v>856278</v>
      </c>
      <c r="J2728" s="2">
        <v>0</v>
      </c>
      <c r="K2728" s="2">
        <v>0</v>
      </c>
      <c r="L2728" s="2">
        <v>856278</v>
      </c>
      <c r="M2728" s="3">
        <v>5454</v>
      </c>
      <c r="N2728" s="4">
        <v>1.94812E-3</v>
      </c>
      <c r="O2728" s="5" t="s">
        <v>44</v>
      </c>
      <c r="P2728" s="5" t="s">
        <v>44</v>
      </c>
      <c r="Q2728" s="1"/>
      <c r="R2728" s="2"/>
      <c r="S2728" s="6"/>
      <c r="T2728" t="s">
        <v>10902</v>
      </c>
      <c r="U2728" t="s">
        <v>10902</v>
      </c>
      <c r="V2728" t="s">
        <v>10902</v>
      </c>
      <c r="W2728" t="s">
        <v>43</v>
      </c>
      <c r="X2728" t="s">
        <v>11289</v>
      </c>
      <c r="Y2728" t="s">
        <v>11280</v>
      </c>
      <c r="Z2728" t="s">
        <v>11276</v>
      </c>
      <c r="AA2728" t="s">
        <v>44</v>
      </c>
      <c r="AB2728" t="s">
        <v>44</v>
      </c>
      <c r="AC2728" s="4"/>
      <c r="AD2728" s="4"/>
      <c r="AE2728" s="2">
        <v>0</v>
      </c>
      <c r="AF2728" s="4">
        <v>0</v>
      </c>
      <c r="AG2728" s="2">
        <v>0.63</v>
      </c>
      <c r="AH2728" s="2">
        <v>856278</v>
      </c>
      <c r="AI2728" s="2">
        <v>0</v>
      </c>
      <c r="AJ2728" s="5">
        <v>44673</v>
      </c>
      <c r="AK2728" t="s">
        <v>12585</v>
      </c>
      <c r="AL2728" s="2">
        <v>0</v>
      </c>
      <c r="AM2728" s="2">
        <v>0</v>
      </c>
      <c r="AN2728" s="2">
        <v>0</v>
      </c>
      <c r="AO2728" t="s">
        <v>44</v>
      </c>
      <c r="AP2728" t="s">
        <v>11295</v>
      </c>
      <c r="AQ2728" t="s">
        <v>520</v>
      </c>
    </row>
    <row r="2729" spans="1:43" x14ac:dyDescent="0.2">
      <c r="A2729" t="s">
        <v>12584</v>
      </c>
      <c r="B2729" t="s">
        <v>11037</v>
      </c>
      <c r="C2729" t="s">
        <v>11276</v>
      </c>
      <c r="D2729" t="s">
        <v>11678</v>
      </c>
      <c r="E2729" t="s">
        <v>11679</v>
      </c>
      <c r="F2729" t="s">
        <v>11680</v>
      </c>
      <c r="G2729" s="1">
        <v>2000</v>
      </c>
      <c r="H2729" s="2">
        <v>319330.24</v>
      </c>
      <c r="I2729" s="2">
        <v>470440</v>
      </c>
      <c r="J2729" s="2">
        <v>0</v>
      </c>
      <c r="K2729" s="2">
        <v>0</v>
      </c>
      <c r="L2729" s="2">
        <v>470440</v>
      </c>
      <c r="M2729" s="3">
        <v>23522</v>
      </c>
      <c r="N2729" s="4">
        <v>1.0702999999999999E-3</v>
      </c>
      <c r="O2729" s="5" t="s">
        <v>44</v>
      </c>
      <c r="P2729" s="5" t="s">
        <v>44</v>
      </c>
      <c r="Q2729" s="1"/>
      <c r="R2729" s="2"/>
      <c r="S2729" s="6"/>
      <c r="T2729" t="s">
        <v>10902</v>
      </c>
      <c r="U2729" t="s">
        <v>10902</v>
      </c>
      <c r="V2729" t="s">
        <v>10902</v>
      </c>
      <c r="W2729" t="s">
        <v>43</v>
      </c>
      <c r="X2729" t="s">
        <v>11279</v>
      </c>
      <c r="Y2729" t="s">
        <v>11280</v>
      </c>
      <c r="Z2729" t="s">
        <v>11276</v>
      </c>
      <c r="AA2729" t="s">
        <v>44</v>
      </c>
      <c r="AB2729" t="s">
        <v>44</v>
      </c>
      <c r="AC2729" s="4"/>
      <c r="AD2729" s="4"/>
      <c r="AE2729" s="2">
        <v>0</v>
      </c>
      <c r="AF2729" s="4">
        <v>0</v>
      </c>
      <c r="AG2729" s="2">
        <v>0.35</v>
      </c>
      <c r="AH2729" s="2">
        <v>470440</v>
      </c>
      <c r="AI2729" s="2">
        <v>0</v>
      </c>
      <c r="AJ2729" s="5">
        <v>44673</v>
      </c>
      <c r="AK2729" t="s">
        <v>12585</v>
      </c>
      <c r="AL2729" s="2">
        <v>0</v>
      </c>
      <c r="AM2729" s="2">
        <v>0</v>
      </c>
      <c r="AN2729" s="2">
        <v>0</v>
      </c>
      <c r="AO2729" t="s">
        <v>44</v>
      </c>
      <c r="AP2729" t="s">
        <v>11681</v>
      </c>
      <c r="AQ2729" t="s">
        <v>11679</v>
      </c>
    </row>
    <row r="2730" spans="1:43" x14ac:dyDescent="0.2">
      <c r="A2730" t="s">
        <v>12584</v>
      </c>
      <c r="B2730" t="s">
        <v>11037</v>
      </c>
      <c r="C2730" t="s">
        <v>11296</v>
      </c>
      <c r="D2730" t="s">
        <v>6200</v>
      </c>
      <c r="E2730" t="s">
        <v>5051</v>
      </c>
      <c r="F2730" t="s">
        <v>6200</v>
      </c>
      <c r="G2730" s="1">
        <v>10228</v>
      </c>
      <c r="H2730" s="2">
        <v>826747.98</v>
      </c>
      <c r="I2730" s="2">
        <v>701640.8</v>
      </c>
      <c r="J2730" s="2">
        <v>0</v>
      </c>
      <c r="K2730" s="2">
        <v>0</v>
      </c>
      <c r="L2730" s="2">
        <v>701640.8</v>
      </c>
      <c r="M2730" s="3">
        <v>6860</v>
      </c>
      <c r="N2730" s="4">
        <v>1.5963100000000001E-3</v>
      </c>
      <c r="O2730" s="5" t="s">
        <v>44</v>
      </c>
      <c r="P2730" s="5" t="s">
        <v>44</v>
      </c>
      <c r="Q2730" s="1"/>
      <c r="R2730" s="2"/>
      <c r="S2730" s="6"/>
      <c r="T2730" t="s">
        <v>10902</v>
      </c>
      <c r="U2730" t="s">
        <v>10902</v>
      </c>
      <c r="V2730" t="s">
        <v>10902</v>
      </c>
      <c r="W2730" t="s">
        <v>43</v>
      </c>
      <c r="X2730" t="s">
        <v>11300</v>
      </c>
      <c r="Y2730" t="s">
        <v>11299</v>
      </c>
      <c r="Z2730" t="s">
        <v>11296</v>
      </c>
      <c r="AA2730" t="s">
        <v>44</v>
      </c>
      <c r="AB2730" t="s">
        <v>44</v>
      </c>
      <c r="AC2730" s="4"/>
      <c r="AD2730" s="4"/>
      <c r="AE2730" s="2">
        <v>0</v>
      </c>
      <c r="AF2730" s="4">
        <v>0</v>
      </c>
      <c r="AG2730" s="2">
        <v>0.52</v>
      </c>
      <c r="AH2730" s="2">
        <v>701640.8</v>
      </c>
      <c r="AI2730" s="2">
        <v>0</v>
      </c>
      <c r="AJ2730" s="5">
        <v>44673</v>
      </c>
      <c r="AK2730" t="s">
        <v>12585</v>
      </c>
      <c r="AL2730" s="2">
        <v>0</v>
      </c>
      <c r="AM2730" s="2">
        <v>0</v>
      </c>
      <c r="AN2730" s="2">
        <v>0</v>
      </c>
      <c r="AO2730" t="s">
        <v>44</v>
      </c>
      <c r="AP2730" t="s">
        <v>11301</v>
      </c>
      <c r="AQ2730" t="s">
        <v>5051</v>
      </c>
    </row>
    <row r="2731" spans="1:43" x14ac:dyDescent="0.2">
      <c r="A2731" t="s">
        <v>12584</v>
      </c>
      <c r="B2731" t="s">
        <v>11037</v>
      </c>
      <c r="C2731" t="s">
        <v>11296</v>
      </c>
      <c r="D2731" t="s">
        <v>6458</v>
      </c>
      <c r="E2731" t="s">
        <v>5402</v>
      </c>
      <c r="F2731" t="s">
        <v>11302</v>
      </c>
      <c r="G2731" s="1">
        <v>2041</v>
      </c>
      <c r="H2731" s="2">
        <v>372894.49</v>
      </c>
      <c r="I2731" s="2">
        <v>353093</v>
      </c>
      <c r="J2731" s="2">
        <v>0</v>
      </c>
      <c r="K2731" s="2">
        <v>0</v>
      </c>
      <c r="L2731" s="2">
        <v>353093</v>
      </c>
      <c r="M2731" s="3">
        <v>17300</v>
      </c>
      <c r="N2731" s="4">
        <v>8.0332000000000005E-4</v>
      </c>
      <c r="O2731" s="5" t="s">
        <v>44</v>
      </c>
      <c r="P2731" s="5" t="s">
        <v>44</v>
      </c>
      <c r="Q2731" s="1"/>
      <c r="R2731" s="2"/>
      <c r="S2731" s="6"/>
      <c r="T2731" t="s">
        <v>10902</v>
      </c>
      <c r="U2731" t="s">
        <v>10902</v>
      </c>
      <c r="V2731" t="s">
        <v>10902</v>
      </c>
      <c r="W2731" t="s">
        <v>43</v>
      </c>
      <c r="X2731" t="s">
        <v>11298</v>
      </c>
      <c r="Y2731" t="s">
        <v>11299</v>
      </c>
      <c r="Z2731" t="s">
        <v>11296</v>
      </c>
      <c r="AA2731" t="s">
        <v>44</v>
      </c>
      <c r="AB2731" t="s">
        <v>44</v>
      </c>
      <c r="AC2731" s="4"/>
      <c r="AD2731" s="4"/>
      <c r="AE2731" s="2">
        <v>0</v>
      </c>
      <c r="AF2731" s="4">
        <v>0</v>
      </c>
      <c r="AG2731" s="2">
        <v>0.26</v>
      </c>
      <c r="AH2731" s="2">
        <v>353093</v>
      </c>
      <c r="AI2731" s="2">
        <v>0</v>
      </c>
      <c r="AJ2731" s="5">
        <v>44673</v>
      </c>
      <c r="AK2731" t="s">
        <v>12585</v>
      </c>
      <c r="AL2731" s="2">
        <v>0</v>
      </c>
      <c r="AM2731" s="2">
        <v>0</v>
      </c>
      <c r="AN2731" s="2">
        <v>0</v>
      </c>
      <c r="AO2731" t="s">
        <v>44</v>
      </c>
      <c r="AP2731" t="s">
        <v>11303</v>
      </c>
      <c r="AQ2731" t="s">
        <v>5402</v>
      </c>
    </row>
    <row r="2732" spans="1:43" x14ac:dyDescent="0.2">
      <c r="A2732" t="s">
        <v>12584</v>
      </c>
      <c r="B2732" t="s">
        <v>11037</v>
      </c>
      <c r="C2732" t="s">
        <v>11296</v>
      </c>
      <c r="D2732" t="s">
        <v>6137</v>
      </c>
      <c r="E2732" t="s">
        <v>4926</v>
      </c>
      <c r="F2732" t="s">
        <v>6137</v>
      </c>
      <c r="G2732" s="1">
        <v>4478</v>
      </c>
      <c r="H2732" s="2">
        <v>875856.81</v>
      </c>
      <c r="I2732" s="2">
        <v>697403.72</v>
      </c>
      <c r="J2732" s="2">
        <v>0</v>
      </c>
      <c r="K2732" s="2">
        <v>0</v>
      </c>
      <c r="L2732" s="2">
        <v>697403.72</v>
      </c>
      <c r="M2732" s="3">
        <v>15574</v>
      </c>
      <c r="N2732" s="4">
        <v>1.5866700000000001E-3</v>
      </c>
      <c r="O2732" s="5" t="s">
        <v>44</v>
      </c>
      <c r="P2732" s="5" t="s">
        <v>44</v>
      </c>
      <c r="Q2732" s="1"/>
      <c r="R2732" s="2"/>
      <c r="S2732" s="6"/>
      <c r="T2732" t="s">
        <v>10902</v>
      </c>
      <c r="U2732" t="s">
        <v>10902</v>
      </c>
      <c r="V2732" t="s">
        <v>10902</v>
      </c>
      <c r="W2732" t="s">
        <v>43</v>
      </c>
      <c r="X2732" t="s">
        <v>11300</v>
      </c>
      <c r="Y2732" t="s">
        <v>11299</v>
      </c>
      <c r="Z2732" t="s">
        <v>11296</v>
      </c>
      <c r="AA2732" t="s">
        <v>44</v>
      </c>
      <c r="AB2732" t="s">
        <v>44</v>
      </c>
      <c r="AC2732" s="4"/>
      <c r="AD2732" s="4"/>
      <c r="AE2732" s="2">
        <v>0</v>
      </c>
      <c r="AF2732" s="4">
        <v>0</v>
      </c>
      <c r="AG2732" s="2">
        <v>0.51</v>
      </c>
      <c r="AH2732" s="2">
        <v>697403.72</v>
      </c>
      <c r="AI2732" s="2">
        <v>0</v>
      </c>
      <c r="AJ2732" s="5">
        <v>44673</v>
      </c>
      <c r="AK2732" t="s">
        <v>12585</v>
      </c>
      <c r="AL2732" s="2">
        <v>0</v>
      </c>
      <c r="AM2732" s="2">
        <v>0</v>
      </c>
      <c r="AN2732" s="2">
        <v>0</v>
      </c>
      <c r="AO2732" t="s">
        <v>44</v>
      </c>
      <c r="AP2732" t="s">
        <v>11304</v>
      </c>
      <c r="AQ2732" t="s">
        <v>4926</v>
      </c>
    </row>
    <row r="2733" spans="1:43" x14ac:dyDescent="0.2">
      <c r="A2733" t="s">
        <v>12584</v>
      </c>
      <c r="B2733" t="s">
        <v>11037</v>
      </c>
      <c r="C2733" t="s">
        <v>11305</v>
      </c>
      <c r="D2733" t="s">
        <v>6592</v>
      </c>
      <c r="E2733" t="s">
        <v>5424</v>
      </c>
      <c r="F2733" t="s">
        <v>6592</v>
      </c>
      <c r="G2733" s="1">
        <v>4026</v>
      </c>
      <c r="H2733" s="2">
        <v>78644.509999999995</v>
      </c>
      <c r="I2733" s="2">
        <v>69931.62</v>
      </c>
      <c r="J2733" s="2">
        <v>0</v>
      </c>
      <c r="K2733" s="2">
        <v>0</v>
      </c>
      <c r="L2733" s="2">
        <v>69931.62</v>
      </c>
      <c r="M2733" s="3">
        <v>1737</v>
      </c>
      <c r="N2733" s="4">
        <v>1.5909999999999999E-4</v>
      </c>
      <c r="O2733" s="5" t="s">
        <v>44</v>
      </c>
      <c r="P2733" s="5" t="s">
        <v>44</v>
      </c>
      <c r="Q2733" s="1"/>
      <c r="R2733" s="2"/>
      <c r="S2733" s="6"/>
      <c r="T2733" t="s">
        <v>10902</v>
      </c>
      <c r="U2733" t="s">
        <v>10902</v>
      </c>
      <c r="V2733" t="s">
        <v>10902</v>
      </c>
      <c r="W2733" t="s">
        <v>43</v>
      </c>
      <c r="X2733" t="s">
        <v>11306</v>
      </c>
      <c r="Y2733" t="s">
        <v>11307</v>
      </c>
      <c r="Z2733" t="s">
        <v>11305</v>
      </c>
      <c r="AA2733" t="s">
        <v>44</v>
      </c>
      <c r="AB2733" t="s">
        <v>44</v>
      </c>
      <c r="AC2733" s="4"/>
      <c r="AD2733" s="4"/>
      <c r="AE2733" s="2">
        <v>0</v>
      </c>
      <c r="AF2733" s="4">
        <v>0</v>
      </c>
      <c r="AG2733" s="2">
        <v>0.05</v>
      </c>
      <c r="AH2733" s="2">
        <v>69931.62</v>
      </c>
      <c r="AI2733" s="2">
        <v>0</v>
      </c>
      <c r="AJ2733" s="5">
        <v>44673</v>
      </c>
      <c r="AK2733" t="s">
        <v>12585</v>
      </c>
      <c r="AL2733" s="2">
        <v>0</v>
      </c>
      <c r="AM2733" s="2">
        <v>0</v>
      </c>
      <c r="AN2733" s="2">
        <v>0</v>
      </c>
      <c r="AO2733" t="s">
        <v>44</v>
      </c>
      <c r="AP2733" t="s">
        <v>11308</v>
      </c>
      <c r="AQ2733" t="s">
        <v>5424</v>
      </c>
    </row>
    <row r="2734" spans="1:43" x14ac:dyDescent="0.2">
      <c r="A2734" t="s">
        <v>12584</v>
      </c>
      <c r="B2734" t="s">
        <v>11037</v>
      </c>
      <c r="C2734" t="s">
        <v>11305</v>
      </c>
      <c r="D2734" t="s">
        <v>11309</v>
      </c>
      <c r="E2734" t="s">
        <v>5389</v>
      </c>
      <c r="F2734" t="s">
        <v>11309</v>
      </c>
      <c r="G2734" s="1">
        <v>2396</v>
      </c>
      <c r="H2734" s="2">
        <v>80686.600000000006</v>
      </c>
      <c r="I2734" s="2">
        <v>90185.44</v>
      </c>
      <c r="J2734" s="2">
        <v>0</v>
      </c>
      <c r="K2734" s="2">
        <v>0</v>
      </c>
      <c r="L2734" s="2">
        <v>90185.44</v>
      </c>
      <c r="M2734" s="3">
        <v>3764</v>
      </c>
      <c r="N2734" s="4">
        <v>2.0518000000000001E-4</v>
      </c>
      <c r="O2734" s="5" t="s">
        <v>44</v>
      </c>
      <c r="P2734" s="5" t="s">
        <v>44</v>
      </c>
      <c r="Q2734" s="1"/>
      <c r="R2734" s="2"/>
      <c r="S2734" s="6"/>
      <c r="T2734" t="s">
        <v>10902</v>
      </c>
      <c r="U2734" t="s">
        <v>10902</v>
      </c>
      <c r="V2734" t="s">
        <v>10902</v>
      </c>
      <c r="W2734" t="s">
        <v>43</v>
      </c>
      <c r="X2734" t="s">
        <v>11310</v>
      </c>
      <c r="Y2734" t="s">
        <v>11307</v>
      </c>
      <c r="Z2734" t="s">
        <v>11305</v>
      </c>
      <c r="AA2734" t="s">
        <v>44</v>
      </c>
      <c r="AB2734" t="s">
        <v>44</v>
      </c>
      <c r="AC2734" s="4"/>
      <c r="AD2734" s="4"/>
      <c r="AE2734" s="2">
        <v>0</v>
      </c>
      <c r="AF2734" s="4">
        <v>0</v>
      </c>
      <c r="AG2734" s="2">
        <v>7.0000000000000007E-2</v>
      </c>
      <c r="AH2734" s="2">
        <v>90185.44</v>
      </c>
      <c r="AI2734" s="2">
        <v>0</v>
      </c>
      <c r="AJ2734" s="5">
        <v>44673</v>
      </c>
      <c r="AK2734" t="s">
        <v>12585</v>
      </c>
      <c r="AL2734" s="2">
        <v>0</v>
      </c>
      <c r="AM2734" s="2">
        <v>0</v>
      </c>
      <c r="AN2734" s="2">
        <v>0</v>
      </c>
      <c r="AO2734" t="s">
        <v>44</v>
      </c>
      <c r="AP2734" t="s">
        <v>11311</v>
      </c>
      <c r="AQ2734" t="s">
        <v>5389</v>
      </c>
    </row>
    <row r="2735" spans="1:43" x14ac:dyDescent="0.2">
      <c r="A2735" t="s">
        <v>12584</v>
      </c>
      <c r="B2735" t="s">
        <v>11037</v>
      </c>
      <c r="C2735" t="s">
        <v>11305</v>
      </c>
      <c r="D2735" t="s">
        <v>6609</v>
      </c>
      <c r="E2735" t="s">
        <v>5271</v>
      </c>
      <c r="F2735" t="s">
        <v>6609</v>
      </c>
      <c r="G2735" s="1">
        <v>3503</v>
      </c>
      <c r="H2735" s="2">
        <v>63563.6</v>
      </c>
      <c r="I2735" s="2">
        <v>59165.67</v>
      </c>
      <c r="J2735" s="2">
        <v>0</v>
      </c>
      <c r="K2735" s="2">
        <v>0</v>
      </c>
      <c r="L2735" s="2">
        <v>59165.67</v>
      </c>
      <c r="M2735" s="3">
        <v>1689</v>
      </c>
      <c r="N2735" s="4">
        <v>1.3460999999999999E-4</v>
      </c>
      <c r="O2735" s="5" t="s">
        <v>44</v>
      </c>
      <c r="P2735" s="5" t="s">
        <v>44</v>
      </c>
      <c r="Q2735" s="1"/>
      <c r="R2735" s="2"/>
      <c r="S2735" s="6"/>
      <c r="T2735" t="s">
        <v>10902</v>
      </c>
      <c r="U2735" t="s">
        <v>10902</v>
      </c>
      <c r="V2735" t="s">
        <v>10902</v>
      </c>
      <c r="W2735" t="s">
        <v>43</v>
      </c>
      <c r="X2735" t="s">
        <v>11306</v>
      </c>
      <c r="Y2735" t="s">
        <v>11307</v>
      </c>
      <c r="Z2735" t="s">
        <v>11305</v>
      </c>
      <c r="AA2735" t="s">
        <v>44</v>
      </c>
      <c r="AB2735" t="s">
        <v>44</v>
      </c>
      <c r="AC2735" s="4"/>
      <c r="AD2735" s="4"/>
      <c r="AE2735" s="2">
        <v>0</v>
      </c>
      <c r="AF2735" s="4">
        <v>0</v>
      </c>
      <c r="AG2735" s="2">
        <v>0.04</v>
      </c>
      <c r="AH2735" s="2">
        <v>59165.67</v>
      </c>
      <c r="AI2735" s="2">
        <v>0</v>
      </c>
      <c r="AJ2735" s="5">
        <v>44673</v>
      </c>
      <c r="AK2735" t="s">
        <v>12585</v>
      </c>
      <c r="AL2735" s="2">
        <v>0</v>
      </c>
      <c r="AM2735" s="2">
        <v>0</v>
      </c>
      <c r="AN2735" s="2">
        <v>0</v>
      </c>
      <c r="AO2735" t="s">
        <v>44</v>
      </c>
      <c r="AP2735" t="s">
        <v>11312</v>
      </c>
      <c r="AQ2735" t="s">
        <v>5271</v>
      </c>
    </row>
    <row r="2736" spans="1:43" x14ac:dyDescent="0.2">
      <c r="A2736" t="s">
        <v>12584</v>
      </c>
      <c r="B2736" t="s">
        <v>11037</v>
      </c>
      <c r="C2736" t="s">
        <v>11305</v>
      </c>
      <c r="D2736" t="s">
        <v>6372</v>
      </c>
      <c r="E2736" t="s">
        <v>6607</v>
      </c>
      <c r="F2736" t="s">
        <v>6372</v>
      </c>
      <c r="G2736" s="1">
        <v>5258</v>
      </c>
      <c r="H2736" s="2">
        <v>528056.26</v>
      </c>
      <c r="I2736" s="2">
        <v>587476.34</v>
      </c>
      <c r="J2736" s="2">
        <v>0</v>
      </c>
      <c r="K2736" s="2">
        <v>0</v>
      </c>
      <c r="L2736" s="2">
        <v>587476.34</v>
      </c>
      <c r="M2736" s="3">
        <v>11173</v>
      </c>
      <c r="N2736" s="4">
        <v>1.33657E-3</v>
      </c>
      <c r="O2736" s="5" t="s">
        <v>44</v>
      </c>
      <c r="P2736" s="5" t="s">
        <v>44</v>
      </c>
      <c r="Q2736" s="1"/>
      <c r="R2736" s="2"/>
      <c r="S2736" s="6"/>
      <c r="T2736" t="s">
        <v>10902</v>
      </c>
      <c r="U2736" t="s">
        <v>10902</v>
      </c>
      <c r="V2736" t="s">
        <v>10902</v>
      </c>
      <c r="W2736" t="s">
        <v>43</v>
      </c>
      <c r="X2736" t="s">
        <v>11306</v>
      </c>
      <c r="Y2736" t="s">
        <v>11307</v>
      </c>
      <c r="Z2736" t="s">
        <v>11305</v>
      </c>
      <c r="AA2736" t="s">
        <v>44</v>
      </c>
      <c r="AB2736" t="s">
        <v>44</v>
      </c>
      <c r="AC2736" s="4"/>
      <c r="AD2736" s="4"/>
      <c r="AE2736" s="2">
        <v>0</v>
      </c>
      <c r="AF2736" s="4">
        <v>0</v>
      </c>
      <c r="AG2736" s="2">
        <v>0.43</v>
      </c>
      <c r="AH2736" s="2">
        <v>587476.34</v>
      </c>
      <c r="AI2736" s="2">
        <v>0</v>
      </c>
      <c r="AJ2736" s="5">
        <v>44673</v>
      </c>
      <c r="AK2736" t="s">
        <v>12585</v>
      </c>
      <c r="AL2736" s="2">
        <v>0</v>
      </c>
      <c r="AM2736" s="2">
        <v>0</v>
      </c>
      <c r="AN2736" s="2">
        <v>0</v>
      </c>
      <c r="AO2736" t="s">
        <v>44</v>
      </c>
      <c r="AP2736" t="s">
        <v>11313</v>
      </c>
      <c r="AQ2736" t="s">
        <v>6607</v>
      </c>
    </row>
    <row r="2737" spans="1:43" x14ac:dyDescent="0.2">
      <c r="A2737" t="s">
        <v>12584</v>
      </c>
      <c r="B2737" t="s">
        <v>11037</v>
      </c>
      <c r="C2737" t="s">
        <v>11305</v>
      </c>
      <c r="D2737" t="s">
        <v>11314</v>
      </c>
      <c r="E2737" t="s">
        <v>6750</v>
      </c>
      <c r="F2737" t="s">
        <v>11314</v>
      </c>
      <c r="G2737" s="1">
        <v>42900</v>
      </c>
      <c r="H2737" s="2">
        <v>1065089.43</v>
      </c>
      <c r="I2737" s="2">
        <v>935649</v>
      </c>
      <c r="J2737" s="2">
        <v>0</v>
      </c>
      <c r="K2737" s="2">
        <v>0</v>
      </c>
      <c r="L2737" s="2">
        <v>935649</v>
      </c>
      <c r="M2737" s="3">
        <v>2181</v>
      </c>
      <c r="N2737" s="4">
        <v>2.1286999999999999E-3</v>
      </c>
      <c r="O2737" s="5" t="s">
        <v>44</v>
      </c>
      <c r="P2737" s="5" t="s">
        <v>44</v>
      </c>
      <c r="Q2737" s="1"/>
      <c r="R2737" s="2"/>
      <c r="S2737" s="6"/>
      <c r="T2737" t="s">
        <v>10902</v>
      </c>
      <c r="U2737" t="s">
        <v>10902</v>
      </c>
      <c r="V2737" t="s">
        <v>10902</v>
      </c>
      <c r="W2737" t="s">
        <v>43</v>
      </c>
      <c r="X2737" t="s">
        <v>11306</v>
      </c>
      <c r="Y2737" t="s">
        <v>11307</v>
      </c>
      <c r="Z2737" t="s">
        <v>11305</v>
      </c>
      <c r="AA2737" t="s">
        <v>44</v>
      </c>
      <c r="AB2737" t="s">
        <v>44</v>
      </c>
      <c r="AC2737" s="4"/>
      <c r="AD2737" s="4"/>
      <c r="AE2737" s="2">
        <v>0</v>
      </c>
      <c r="AF2737" s="4">
        <v>0</v>
      </c>
      <c r="AG2737" s="2">
        <v>0.69</v>
      </c>
      <c r="AH2737" s="2">
        <v>935649</v>
      </c>
      <c r="AI2737" s="2">
        <v>0</v>
      </c>
      <c r="AJ2737" s="5">
        <v>44673</v>
      </c>
      <c r="AK2737" t="s">
        <v>12585</v>
      </c>
      <c r="AL2737" s="2">
        <v>0</v>
      </c>
      <c r="AM2737" s="2">
        <v>0</v>
      </c>
      <c r="AN2737" s="2">
        <v>0</v>
      </c>
      <c r="AO2737" t="s">
        <v>44</v>
      </c>
      <c r="AP2737" t="s">
        <v>11315</v>
      </c>
      <c r="AQ2737" t="s">
        <v>6750</v>
      </c>
    </row>
    <row r="2738" spans="1:43" x14ac:dyDescent="0.2">
      <c r="A2738" t="s">
        <v>12584</v>
      </c>
      <c r="B2738" t="s">
        <v>11037</v>
      </c>
      <c r="C2738" t="s">
        <v>11305</v>
      </c>
      <c r="D2738" t="s">
        <v>11316</v>
      </c>
      <c r="E2738" t="s">
        <v>5173</v>
      </c>
      <c r="F2738" t="s">
        <v>11316</v>
      </c>
      <c r="G2738" s="1">
        <v>11589</v>
      </c>
      <c r="H2738" s="2">
        <v>708837.38</v>
      </c>
      <c r="I2738" s="2">
        <v>693138.09</v>
      </c>
      <c r="J2738" s="2">
        <v>0</v>
      </c>
      <c r="K2738" s="2">
        <v>0</v>
      </c>
      <c r="L2738" s="2">
        <v>693138.09</v>
      </c>
      <c r="M2738" s="3">
        <v>5981</v>
      </c>
      <c r="N2738" s="4">
        <v>1.5769600000000001E-3</v>
      </c>
      <c r="O2738" s="5" t="s">
        <v>44</v>
      </c>
      <c r="P2738" s="5" t="s">
        <v>44</v>
      </c>
      <c r="Q2738" s="1"/>
      <c r="R2738" s="2"/>
      <c r="S2738" s="6"/>
      <c r="T2738" t="s">
        <v>10902</v>
      </c>
      <c r="U2738" t="s">
        <v>10902</v>
      </c>
      <c r="V2738" t="s">
        <v>10902</v>
      </c>
      <c r="W2738" t="s">
        <v>43</v>
      </c>
      <c r="X2738" t="s">
        <v>11310</v>
      </c>
      <c r="Y2738" t="s">
        <v>11307</v>
      </c>
      <c r="Z2738" t="s">
        <v>11305</v>
      </c>
      <c r="AA2738" t="s">
        <v>44</v>
      </c>
      <c r="AB2738" t="s">
        <v>44</v>
      </c>
      <c r="AC2738" s="4"/>
      <c r="AD2738" s="4"/>
      <c r="AE2738" s="2">
        <v>0</v>
      </c>
      <c r="AF2738" s="4">
        <v>0</v>
      </c>
      <c r="AG2738" s="2">
        <v>0.51</v>
      </c>
      <c r="AH2738" s="2">
        <v>693138.09</v>
      </c>
      <c r="AI2738" s="2">
        <v>0</v>
      </c>
      <c r="AJ2738" s="5">
        <v>44673</v>
      </c>
      <c r="AK2738" t="s">
        <v>12585</v>
      </c>
      <c r="AL2738" s="2">
        <v>0</v>
      </c>
      <c r="AM2738" s="2">
        <v>0</v>
      </c>
      <c r="AN2738" s="2">
        <v>0</v>
      </c>
      <c r="AO2738" t="s">
        <v>44</v>
      </c>
      <c r="AP2738" t="s">
        <v>11317</v>
      </c>
      <c r="AQ2738" t="s">
        <v>5173</v>
      </c>
    </row>
    <row r="2739" spans="1:43" x14ac:dyDescent="0.2">
      <c r="A2739" t="s">
        <v>12584</v>
      </c>
      <c r="B2739" t="s">
        <v>11037</v>
      </c>
      <c r="C2739" t="s">
        <v>11305</v>
      </c>
      <c r="D2739" t="s">
        <v>11698</v>
      </c>
      <c r="E2739" t="s">
        <v>4919</v>
      </c>
      <c r="F2739" t="s">
        <v>11698</v>
      </c>
      <c r="G2739" s="1">
        <v>5301</v>
      </c>
      <c r="H2739" s="2">
        <v>867298.63</v>
      </c>
      <c r="I2739" s="2">
        <v>881026.2</v>
      </c>
      <c r="J2739" s="2">
        <v>0</v>
      </c>
      <c r="K2739" s="2">
        <v>0</v>
      </c>
      <c r="L2739" s="2">
        <v>881026.2</v>
      </c>
      <c r="M2739" s="3">
        <v>16620</v>
      </c>
      <c r="N2739" s="4">
        <v>2.0044300000000002E-3</v>
      </c>
      <c r="O2739" s="5" t="s">
        <v>44</v>
      </c>
      <c r="P2739" s="5" t="s">
        <v>44</v>
      </c>
      <c r="Q2739" s="1"/>
      <c r="R2739" s="2"/>
      <c r="S2739" s="6"/>
      <c r="T2739" t="s">
        <v>10902</v>
      </c>
      <c r="U2739" t="s">
        <v>10902</v>
      </c>
      <c r="V2739" t="s">
        <v>10902</v>
      </c>
      <c r="W2739" t="s">
        <v>43</v>
      </c>
      <c r="X2739" t="s">
        <v>11310</v>
      </c>
      <c r="Y2739" t="s">
        <v>11307</v>
      </c>
      <c r="Z2739" t="s">
        <v>11305</v>
      </c>
      <c r="AA2739" t="s">
        <v>44</v>
      </c>
      <c r="AB2739" t="s">
        <v>44</v>
      </c>
      <c r="AC2739" s="4"/>
      <c r="AD2739" s="4"/>
      <c r="AE2739" s="2">
        <v>0</v>
      </c>
      <c r="AF2739" s="4">
        <v>0</v>
      </c>
      <c r="AG2739" s="2">
        <v>0.65</v>
      </c>
      <c r="AH2739" s="2">
        <v>881026.2</v>
      </c>
      <c r="AI2739" s="2">
        <v>0</v>
      </c>
      <c r="AJ2739" s="5">
        <v>44673</v>
      </c>
      <c r="AK2739" t="s">
        <v>12585</v>
      </c>
      <c r="AL2739" s="2">
        <v>0</v>
      </c>
      <c r="AM2739" s="2">
        <v>0</v>
      </c>
      <c r="AN2739" s="2">
        <v>0</v>
      </c>
      <c r="AO2739" t="s">
        <v>44</v>
      </c>
      <c r="AP2739" t="s">
        <v>11699</v>
      </c>
      <c r="AQ2739" t="s">
        <v>4919</v>
      </c>
    </row>
    <row r="2740" spans="1:43" x14ac:dyDescent="0.2">
      <c r="A2740" t="s">
        <v>12584</v>
      </c>
      <c r="B2740" t="s">
        <v>11037</v>
      </c>
      <c r="C2740" t="s">
        <v>11305</v>
      </c>
      <c r="D2740" t="s">
        <v>6224</v>
      </c>
      <c r="E2740" t="s">
        <v>3901</v>
      </c>
      <c r="F2740" t="s">
        <v>6224</v>
      </c>
      <c r="G2740" s="1">
        <v>13173</v>
      </c>
      <c r="H2740" s="2">
        <v>731662.33</v>
      </c>
      <c r="I2740" s="2">
        <v>733999.56</v>
      </c>
      <c r="J2740" s="2">
        <v>0</v>
      </c>
      <c r="K2740" s="2">
        <v>0</v>
      </c>
      <c r="L2740" s="2">
        <v>733999.56</v>
      </c>
      <c r="M2740" s="3">
        <v>5572</v>
      </c>
      <c r="N2740" s="4">
        <v>1.66993E-3</v>
      </c>
      <c r="O2740" s="5" t="s">
        <v>44</v>
      </c>
      <c r="P2740" s="5" t="s">
        <v>44</v>
      </c>
      <c r="Q2740" s="1"/>
      <c r="R2740" s="2"/>
      <c r="S2740" s="6"/>
      <c r="T2740" t="s">
        <v>10902</v>
      </c>
      <c r="U2740" t="s">
        <v>10902</v>
      </c>
      <c r="V2740" t="s">
        <v>10902</v>
      </c>
      <c r="W2740" t="s">
        <v>43</v>
      </c>
      <c r="X2740" t="s">
        <v>11306</v>
      </c>
      <c r="Y2740" t="s">
        <v>11307</v>
      </c>
      <c r="Z2740" t="s">
        <v>11305</v>
      </c>
      <c r="AA2740" t="s">
        <v>44</v>
      </c>
      <c r="AB2740" t="s">
        <v>44</v>
      </c>
      <c r="AC2740" s="4"/>
      <c r="AD2740" s="4"/>
      <c r="AE2740" s="2">
        <v>0</v>
      </c>
      <c r="AF2740" s="4">
        <v>0</v>
      </c>
      <c r="AG2740" s="2">
        <v>0.54</v>
      </c>
      <c r="AH2740" s="2">
        <v>733999.56</v>
      </c>
      <c r="AI2740" s="2">
        <v>0</v>
      </c>
      <c r="AJ2740" s="5">
        <v>44673</v>
      </c>
      <c r="AK2740" t="s">
        <v>12585</v>
      </c>
      <c r="AL2740" s="2">
        <v>0</v>
      </c>
      <c r="AM2740" s="2">
        <v>0</v>
      </c>
      <c r="AN2740" s="2">
        <v>0</v>
      </c>
      <c r="AO2740" t="s">
        <v>44</v>
      </c>
      <c r="AP2740" t="s">
        <v>11320</v>
      </c>
      <c r="AQ2740" t="s">
        <v>3901</v>
      </c>
    </row>
    <row r="2741" spans="1:43" x14ac:dyDescent="0.2">
      <c r="A2741" t="s">
        <v>12584</v>
      </c>
      <c r="B2741" t="s">
        <v>11037</v>
      </c>
      <c r="C2741" t="s">
        <v>11195</v>
      </c>
      <c r="D2741" t="s">
        <v>6419</v>
      </c>
      <c r="E2741" t="s">
        <v>5072</v>
      </c>
      <c r="F2741" t="s">
        <v>6419</v>
      </c>
      <c r="G2741" s="1">
        <v>7849</v>
      </c>
      <c r="H2741" s="2">
        <v>407108.11</v>
      </c>
      <c r="I2741" s="2">
        <v>329344.03999999998</v>
      </c>
      <c r="J2741" s="2">
        <v>0</v>
      </c>
      <c r="K2741" s="2">
        <v>0</v>
      </c>
      <c r="L2741" s="2">
        <v>329344.03999999998</v>
      </c>
      <c r="M2741" s="3">
        <v>4196</v>
      </c>
      <c r="N2741" s="4">
        <v>7.4929E-4</v>
      </c>
      <c r="O2741" s="5" t="s">
        <v>44</v>
      </c>
      <c r="P2741" s="5" t="s">
        <v>44</v>
      </c>
      <c r="Q2741" s="1"/>
      <c r="R2741" s="2"/>
      <c r="S2741" s="6"/>
      <c r="T2741" t="s">
        <v>10902</v>
      </c>
      <c r="U2741" t="s">
        <v>10902</v>
      </c>
      <c r="V2741" t="s">
        <v>10902</v>
      </c>
      <c r="W2741" t="s">
        <v>43</v>
      </c>
      <c r="X2741" t="s">
        <v>11327</v>
      </c>
      <c r="Y2741" t="s">
        <v>11198</v>
      </c>
      <c r="Z2741" t="s">
        <v>11195</v>
      </c>
      <c r="AA2741" t="s">
        <v>44</v>
      </c>
      <c r="AB2741" t="s">
        <v>44</v>
      </c>
      <c r="AC2741" s="4"/>
      <c r="AD2741" s="4"/>
      <c r="AE2741" s="2">
        <v>0</v>
      </c>
      <c r="AF2741" s="4">
        <v>0</v>
      </c>
      <c r="AG2741" s="2">
        <v>0.24</v>
      </c>
      <c r="AH2741" s="2">
        <v>329344.03999999998</v>
      </c>
      <c r="AI2741" s="2">
        <v>0</v>
      </c>
      <c r="AJ2741" s="5">
        <v>44673</v>
      </c>
      <c r="AK2741" t="s">
        <v>12585</v>
      </c>
      <c r="AL2741" s="2">
        <v>0</v>
      </c>
      <c r="AM2741" s="2">
        <v>0</v>
      </c>
      <c r="AN2741" s="2">
        <v>0</v>
      </c>
      <c r="AO2741" t="s">
        <v>44</v>
      </c>
      <c r="AP2741" t="s">
        <v>11328</v>
      </c>
      <c r="AQ2741" t="s">
        <v>5072</v>
      </c>
    </row>
    <row r="2742" spans="1:43" x14ac:dyDescent="0.2">
      <c r="A2742" t="s">
        <v>12584</v>
      </c>
      <c r="B2742" t="s">
        <v>11037</v>
      </c>
      <c r="C2742" t="s">
        <v>11195</v>
      </c>
      <c r="D2742" t="s">
        <v>11704</v>
      </c>
      <c r="E2742" t="s">
        <v>3205</v>
      </c>
      <c r="F2742" t="s">
        <v>11704</v>
      </c>
      <c r="G2742" s="1">
        <v>2554</v>
      </c>
      <c r="H2742" s="2">
        <v>368409.98</v>
      </c>
      <c r="I2742" s="2">
        <v>420388.4</v>
      </c>
      <c r="J2742" s="2">
        <v>0</v>
      </c>
      <c r="K2742" s="2">
        <v>0</v>
      </c>
      <c r="L2742" s="2">
        <v>420388.4</v>
      </c>
      <c r="M2742" s="3">
        <v>16460</v>
      </c>
      <c r="N2742" s="4">
        <v>9.5642999999999998E-4</v>
      </c>
      <c r="O2742" s="5" t="s">
        <v>44</v>
      </c>
      <c r="P2742" s="5" t="s">
        <v>44</v>
      </c>
      <c r="Q2742" s="1"/>
      <c r="R2742" s="2"/>
      <c r="S2742" s="6"/>
      <c r="T2742" t="s">
        <v>10902</v>
      </c>
      <c r="U2742" t="s">
        <v>10902</v>
      </c>
      <c r="V2742" t="s">
        <v>10902</v>
      </c>
      <c r="W2742" t="s">
        <v>43</v>
      </c>
      <c r="X2742" t="s">
        <v>11334</v>
      </c>
      <c r="Y2742" t="s">
        <v>11335</v>
      </c>
      <c r="Z2742" t="s">
        <v>11195</v>
      </c>
      <c r="AA2742" t="s">
        <v>44</v>
      </c>
      <c r="AB2742" t="s">
        <v>44</v>
      </c>
      <c r="AC2742" s="4"/>
      <c r="AD2742" s="4"/>
      <c r="AE2742" s="2">
        <v>0</v>
      </c>
      <c r="AF2742" s="4">
        <v>0</v>
      </c>
      <c r="AG2742" s="2">
        <v>0.31</v>
      </c>
      <c r="AH2742" s="2">
        <v>420388.4</v>
      </c>
      <c r="AI2742" s="2">
        <v>0</v>
      </c>
      <c r="AJ2742" s="5">
        <v>44673</v>
      </c>
      <c r="AK2742" t="s">
        <v>12585</v>
      </c>
      <c r="AL2742" s="2">
        <v>0</v>
      </c>
      <c r="AM2742" s="2">
        <v>0</v>
      </c>
      <c r="AN2742" s="2">
        <v>0</v>
      </c>
      <c r="AO2742" t="s">
        <v>44</v>
      </c>
      <c r="AP2742" t="s">
        <v>11705</v>
      </c>
      <c r="AQ2742" t="s">
        <v>3205</v>
      </c>
    </row>
    <row r="2743" spans="1:43" x14ac:dyDescent="0.2">
      <c r="A2743" t="s">
        <v>12584</v>
      </c>
      <c r="B2743" t="s">
        <v>11037</v>
      </c>
      <c r="C2743" t="s">
        <v>11195</v>
      </c>
      <c r="D2743" t="s">
        <v>11196</v>
      </c>
      <c r="E2743" t="s">
        <v>5755</v>
      </c>
      <c r="F2743" t="s">
        <v>11196</v>
      </c>
      <c r="G2743" s="1">
        <v>19734</v>
      </c>
      <c r="H2743" s="2">
        <v>432373.57</v>
      </c>
      <c r="I2743" s="2">
        <v>425859.72</v>
      </c>
      <c r="J2743" s="2">
        <v>0</v>
      </c>
      <c r="K2743" s="2">
        <v>0</v>
      </c>
      <c r="L2743" s="2">
        <v>425859.72</v>
      </c>
      <c r="M2743" s="3">
        <v>2158</v>
      </c>
      <c r="N2743" s="4">
        <v>9.6887999999999998E-4</v>
      </c>
      <c r="O2743" s="5" t="s">
        <v>44</v>
      </c>
      <c r="P2743" s="5" t="s">
        <v>44</v>
      </c>
      <c r="Q2743" s="1"/>
      <c r="R2743" s="2"/>
      <c r="S2743" s="6"/>
      <c r="T2743" t="s">
        <v>10902</v>
      </c>
      <c r="U2743" t="s">
        <v>10902</v>
      </c>
      <c r="V2743" t="s">
        <v>10902</v>
      </c>
      <c r="W2743" t="s">
        <v>43</v>
      </c>
      <c r="X2743" t="s">
        <v>11197</v>
      </c>
      <c r="Y2743" t="s">
        <v>11198</v>
      </c>
      <c r="Z2743" t="s">
        <v>11195</v>
      </c>
      <c r="AA2743" t="s">
        <v>44</v>
      </c>
      <c r="AB2743" t="s">
        <v>44</v>
      </c>
      <c r="AC2743" s="4"/>
      <c r="AD2743" s="4"/>
      <c r="AE2743" s="2">
        <v>0</v>
      </c>
      <c r="AF2743" s="4">
        <v>0</v>
      </c>
      <c r="AG2743" s="2">
        <v>0.31</v>
      </c>
      <c r="AH2743" s="2">
        <v>425859.72</v>
      </c>
      <c r="AI2743" s="2">
        <v>0</v>
      </c>
      <c r="AJ2743" s="5">
        <v>44673</v>
      </c>
      <c r="AK2743" t="s">
        <v>12585</v>
      </c>
      <c r="AL2743" s="2">
        <v>0</v>
      </c>
      <c r="AM2743" s="2">
        <v>0</v>
      </c>
      <c r="AN2743" s="2">
        <v>0</v>
      </c>
      <c r="AO2743" t="s">
        <v>44</v>
      </c>
      <c r="AP2743" t="s">
        <v>11199</v>
      </c>
      <c r="AQ2743" t="s">
        <v>5755</v>
      </c>
    </row>
    <row r="2744" spans="1:43" x14ac:dyDescent="0.2">
      <c r="A2744" t="s">
        <v>12584</v>
      </c>
      <c r="B2744" t="s">
        <v>11037</v>
      </c>
      <c r="C2744" t="s">
        <v>11195</v>
      </c>
      <c r="D2744" t="s">
        <v>11706</v>
      </c>
      <c r="E2744" t="s">
        <v>4801</v>
      </c>
      <c r="F2744" t="s">
        <v>11706</v>
      </c>
      <c r="G2744" s="1">
        <v>17552</v>
      </c>
      <c r="H2744" s="2">
        <v>1168082.43</v>
      </c>
      <c r="I2744" s="2">
        <v>1221092.6399999999</v>
      </c>
      <c r="J2744" s="2">
        <v>0</v>
      </c>
      <c r="K2744" s="2">
        <v>0</v>
      </c>
      <c r="L2744" s="2">
        <v>1221092.6399999999</v>
      </c>
      <c r="M2744" s="3">
        <v>6957</v>
      </c>
      <c r="N2744" s="4">
        <v>2.7781199999999998E-3</v>
      </c>
      <c r="O2744" s="5" t="s">
        <v>44</v>
      </c>
      <c r="P2744" s="5" t="s">
        <v>44</v>
      </c>
      <c r="Q2744" s="1"/>
      <c r="R2744" s="2"/>
      <c r="S2744" s="6"/>
      <c r="T2744" t="s">
        <v>10902</v>
      </c>
      <c r="U2744" t="s">
        <v>10902</v>
      </c>
      <c r="V2744" t="s">
        <v>10902</v>
      </c>
      <c r="W2744" t="s">
        <v>43</v>
      </c>
      <c r="X2744" t="s">
        <v>11034</v>
      </c>
      <c r="Y2744" t="s">
        <v>11034</v>
      </c>
      <c r="Z2744" t="s">
        <v>11195</v>
      </c>
      <c r="AA2744" t="s">
        <v>44</v>
      </c>
      <c r="AB2744" t="s">
        <v>44</v>
      </c>
      <c r="AC2744" s="4"/>
      <c r="AD2744" s="4"/>
      <c r="AE2744" s="2">
        <v>0</v>
      </c>
      <c r="AF2744" s="4">
        <v>0</v>
      </c>
      <c r="AG2744" s="2">
        <v>0.9</v>
      </c>
      <c r="AH2744" s="2">
        <v>1221092.6399999999</v>
      </c>
      <c r="AI2744" s="2">
        <v>0</v>
      </c>
      <c r="AJ2744" s="5">
        <v>44673</v>
      </c>
      <c r="AK2744" t="s">
        <v>12585</v>
      </c>
      <c r="AL2744" s="2">
        <v>0</v>
      </c>
      <c r="AM2744" s="2">
        <v>0</v>
      </c>
      <c r="AN2744" s="2">
        <v>0</v>
      </c>
      <c r="AO2744" t="s">
        <v>44</v>
      </c>
      <c r="AP2744" t="s">
        <v>11707</v>
      </c>
      <c r="AQ2744" t="s">
        <v>4801</v>
      </c>
    </row>
    <row r="2745" spans="1:43" x14ac:dyDescent="0.2">
      <c r="A2745" t="s">
        <v>12584</v>
      </c>
      <c r="B2745" t="s">
        <v>11037</v>
      </c>
      <c r="C2745" t="s">
        <v>11195</v>
      </c>
      <c r="D2745" t="s">
        <v>11200</v>
      </c>
      <c r="E2745" t="s">
        <v>5277</v>
      </c>
      <c r="F2745" t="s">
        <v>11200</v>
      </c>
      <c r="G2745" s="1">
        <v>38620</v>
      </c>
      <c r="H2745" s="2">
        <v>502993.38</v>
      </c>
      <c r="I2745" s="2">
        <v>481591.4</v>
      </c>
      <c r="J2745" s="2">
        <v>0</v>
      </c>
      <c r="K2745" s="2">
        <v>0</v>
      </c>
      <c r="L2745" s="2">
        <v>481591.4</v>
      </c>
      <c r="M2745" s="3">
        <v>1247</v>
      </c>
      <c r="N2745" s="4">
        <v>1.09567E-3</v>
      </c>
      <c r="O2745" s="5" t="s">
        <v>44</v>
      </c>
      <c r="P2745" s="5" t="s">
        <v>44</v>
      </c>
      <c r="Q2745" s="1"/>
      <c r="R2745" s="2"/>
      <c r="S2745" s="6"/>
      <c r="T2745" t="s">
        <v>10902</v>
      </c>
      <c r="U2745" t="s">
        <v>10902</v>
      </c>
      <c r="V2745" t="s">
        <v>10902</v>
      </c>
      <c r="W2745" t="s">
        <v>43</v>
      </c>
      <c r="X2745" t="s">
        <v>11197</v>
      </c>
      <c r="Y2745" t="s">
        <v>11198</v>
      </c>
      <c r="Z2745" t="s">
        <v>11195</v>
      </c>
      <c r="AA2745" t="s">
        <v>44</v>
      </c>
      <c r="AB2745" t="s">
        <v>44</v>
      </c>
      <c r="AC2745" s="4"/>
      <c r="AD2745" s="4"/>
      <c r="AE2745" s="2">
        <v>0</v>
      </c>
      <c r="AF2745" s="4">
        <v>0</v>
      </c>
      <c r="AG2745" s="2">
        <v>0.35</v>
      </c>
      <c r="AH2745" s="2">
        <v>481591.4</v>
      </c>
      <c r="AI2745" s="2">
        <v>0</v>
      </c>
      <c r="AJ2745" s="5">
        <v>44673</v>
      </c>
      <c r="AK2745" t="s">
        <v>12585</v>
      </c>
      <c r="AL2745" s="2">
        <v>0</v>
      </c>
      <c r="AM2745" s="2">
        <v>0</v>
      </c>
      <c r="AN2745" s="2">
        <v>0</v>
      </c>
      <c r="AO2745" t="s">
        <v>44</v>
      </c>
      <c r="AP2745" t="s">
        <v>11201</v>
      </c>
      <c r="AQ2745" t="s">
        <v>5277</v>
      </c>
    </row>
    <row r="2746" spans="1:43" x14ac:dyDescent="0.2">
      <c r="A2746" t="s">
        <v>12584</v>
      </c>
      <c r="B2746" t="s">
        <v>11037</v>
      </c>
      <c r="C2746" t="s">
        <v>11195</v>
      </c>
      <c r="D2746" t="s">
        <v>6332</v>
      </c>
      <c r="E2746" t="s">
        <v>3152</v>
      </c>
      <c r="F2746" t="s">
        <v>6332</v>
      </c>
      <c r="G2746" s="1">
        <v>7673</v>
      </c>
      <c r="H2746" s="2">
        <v>255358.04</v>
      </c>
      <c r="I2746" s="2">
        <v>276841.84000000003</v>
      </c>
      <c r="J2746" s="2">
        <v>0</v>
      </c>
      <c r="K2746" s="2">
        <v>0</v>
      </c>
      <c r="L2746" s="2">
        <v>276841.84000000003</v>
      </c>
      <c r="M2746" s="3">
        <v>3608</v>
      </c>
      <c r="N2746" s="4">
        <v>6.2984E-4</v>
      </c>
      <c r="O2746" s="5" t="s">
        <v>44</v>
      </c>
      <c r="P2746" s="5" t="s">
        <v>44</v>
      </c>
      <c r="Q2746" s="1"/>
      <c r="R2746" s="2"/>
      <c r="S2746" s="6"/>
      <c r="T2746" t="s">
        <v>10902</v>
      </c>
      <c r="U2746" t="s">
        <v>10902</v>
      </c>
      <c r="V2746" t="s">
        <v>10902</v>
      </c>
      <c r="W2746" t="s">
        <v>43</v>
      </c>
      <c r="X2746" t="s">
        <v>11197</v>
      </c>
      <c r="Y2746" t="s">
        <v>11198</v>
      </c>
      <c r="Z2746" t="s">
        <v>11195</v>
      </c>
      <c r="AA2746" t="s">
        <v>44</v>
      </c>
      <c r="AB2746" t="s">
        <v>44</v>
      </c>
      <c r="AC2746" s="4"/>
      <c r="AD2746" s="4"/>
      <c r="AE2746" s="2">
        <v>0</v>
      </c>
      <c r="AF2746" s="4">
        <v>0</v>
      </c>
      <c r="AG2746" s="2">
        <v>0.2</v>
      </c>
      <c r="AH2746" s="2">
        <v>276841.84000000003</v>
      </c>
      <c r="AI2746" s="2">
        <v>0</v>
      </c>
      <c r="AJ2746" s="5">
        <v>44673</v>
      </c>
      <c r="AK2746" t="s">
        <v>12585</v>
      </c>
      <c r="AL2746" s="2">
        <v>0</v>
      </c>
      <c r="AM2746" s="2">
        <v>0</v>
      </c>
      <c r="AN2746" s="2">
        <v>0</v>
      </c>
      <c r="AO2746" t="s">
        <v>44</v>
      </c>
      <c r="AP2746" t="s">
        <v>11203</v>
      </c>
      <c r="AQ2746" t="s">
        <v>3152</v>
      </c>
    </row>
    <row r="2747" spans="1:43" x14ac:dyDescent="0.2">
      <c r="A2747" t="s">
        <v>12584</v>
      </c>
      <c r="B2747" t="s">
        <v>11037</v>
      </c>
      <c r="C2747" t="s">
        <v>11195</v>
      </c>
      <c r="D2747" t="s">
        <v>11329</v>
      </c>
      <c r="E2747" t="s">
        <v>4814</v>
      </c>
      <c r="F2747" t="s">
        <v>11329</v>
      </c>
      <c r="G2747" s="1">
        <v>292</v>
      </c>
      <c r="H2747" s="2">
        <v>20662.27</v>
      </c>
      <c r="I2747" s="2">
        <v>28943.040000000001</v>
      </c>
      <c r="J2747" s="2">
        <v>0</v>
      </c>
      <c r="K2747" s="2">
        <v>0</v>
      </c>
      <c r="L2747" s="2">
        <v>28943.040000000001</v>
      </c>
      <c r="M2747" s="3">
        <v>9912</v>
      </c>
      <c r="N2747" s="4">
        <v>6.5850000000000001E-5</v>
      </c>
      <c r="O2747" s="5" t="s">
        <v>44</v>
      </c>
      <c r="P2747" s="5" t="s">
        <v>44</v>
      </c>
      <c r="Q2747" s="1"/>
      <c r="R2747" s="2"/>
      <c r="S2747" s="6"/>
      <c r="T2747" t="s">
        <v>10902</v>
      </c>
      <c r="U2747" t="s">
        <v>10902</v>
      </c>
      <c r="V2747" t="s">
        <v>10902</v>
      </c>
      <c r="W2747" t="s">
        <v>43</v>
      </c>
      <c r="X2747" t="s">
        <v>11327</v>
      </c>
      <c r="Y2747" t="s">
        <v>11198</v>
      </c>
      <c r="Z2747" t="s">
        <v>11195</v>
      </c>
      <c r="AA2747" t="s">
        <v>44</v>
      </c>
      <c r="AB2747" t="s">
        <v>44</v>
      </c>
      <c r="AC2747" s="4"/>
      <c r="AD2747" s="4"/>
      <c r="AE2747" s="2">
        <v>0</v>
      </c>
      <c r="AF2747" s="4">
        <v>0</v>
      </c>
      <c r="AG2747" s="2">
        <v>0.02</v>
      </c>
      <c r="AH2747" s="2">
        <v>28943.040000000001</v>
      </c>
      <c r="AI2747" s="2">
        <v>0</v>
      </c>
      <c r="AJ2747" s="5">
        <v>44673</v>
      </c>
      <c r="AK2747" t="s">
        <v>12585</v>
      </c>
      <c r="AL2747" s="2">
        <v>0</v>
      </c>
      <c r="AM2747" s="2">
        <v>0</v>
      </c>
      <c r="AN2747" s="2">
        <v>0</v>
      </c>
      <c r="AO2747" t="s">
        <v>44</v>
      </c>
      <c r="AP2747" t="s">
        <v>11330</v>
      </c>
      <c r="AQ2747" t="s">
        <v>4814</v>
      </c>
    </row>
    <row r="2748" spans="1:43" x14ac:dyDescent="0.2">
      <c r="A2748" t="s">
        <v>12584</v>
      </c>
      <c r="B2748" t="s">
        <v>11037</v>
      </c>
      <c r="C2748" t="s">
        <v>11195</v>
      </c>
      <c r="D2748" t="s">
        <v>11708</v>
      </c>
      <c r="E2748" t="s">
        <v>4821</v>
      </c>
      <c r="F2748" t="s">
        <v>11708</v>
      </c>
      <c r="G2748" s="1">
        <v>2550</v>
      </c>
      <c r="H2748" s="2">
        <v>175859.28</v>
      </c>
      <c r="I2748" s="2">
        <v>246738</v>
      </c>
      <c r="J2748" s="2">
        <v>0</v>
      </c>
      <c r="K2748" s="2">
        <v>0</v>
      </c>
      <c r="L2748" s="2">
        <v>246738</v>
      </c>
      <c r="M2748" s="3">
        <v>9676</v>
      </c>
      <c r="N2748" s="4">
        <v>5.6136000000000001E-4</v>
      </c>
      <c r="O2748" s="5" t="s">
        <v>44</v>
      </c>
      <c r="P2748" s="5" t="s">
        <v>44</v>
      </c>
      <c r="Q2748" s="1"/>
      <c r="R2748" s="2"/>
      <c r="S2748" s="6"/>
      <c r="T2748" t="s">
        <v>10902</v>
      </c>
      <c r="U2748" t="s">
        <v>10902</v>
      </c>
      <c r="V2748" t="s">
        <v>10902</v>
      </c>
      <c r="W2748" t="s">
        <v>43</v>
      </c>
      <c r="X2748" t="s">
        <v>11327</v>
      </c>
      <c r="Y2748" t="s">
        <v>11198</v>
      </c>
      <c r="Z2748" t="s">
        <v>11195</v>
      </c>
      <c r="AA2748" t="s">
        <v>44</v>
      </c>
      <c r="AB2748" t="s">
        <v>44</v>
      </c>
      <c r="AC2748" s="4"/>
      <c r="AD2748" s="4"/>
      <c r="AE2748" s="2">
        <v>0</v>
      </c>
      <c r="AF2748" s="4">
        <v>0</v>
      </c>
      <c r="AG2748" s="2">
        <v>0.18</v>
      </c>
      <c r="AH2748" s="2">
        <v>246738</v>
      </c>
      <c r="AI2748" s="2">
        <v>0</v>
      </c>
      <c r="AJ2748" s="5">
        <v>44673</v>
      </c>
      <c r="AK2748" t="s">
        <v>12585</v>
      </c>
      <c r="AL2748" s="2">
        <v>0</v>
      </c>
      <c r="AM2748" s="2">
        <v>0</v>
      </c>
      <c r="AN2748" s="2">
        <v>0</v>
      </c>
      <c r="AO2748" t="s">
        <v>44</v>
      </c>
      <c r="AP2748" t="s">
        <v>11709</v>
      </c>
      <c r="AQ2748" t="s">
        <v>4821</v>
      </c>
    </row>
    <row r="2749" spans="1:43" x14ac:dyDescent="0.2">
      <c r="A2749" t="s">
        <v>12584</v>
      </c>
      <c r="B2749" t="s">
        <v>11037</v>
      </c>
      <c r="C2749" t="s">
        <v>11195</v>
      </c>
      <c r="D2749" t="s">
        <v>6450</v>
      </c>
      <c r="E2749" t="s">
        <v>5121</v>
      </c>
      <c r="F2749" t="s">
        <v>6450</v>
      </c>
      <c r="G2749" s="1">
        <v>452</v>
      </c>
      <c r="H2749" s="2">
        <v>51795.02</v>
      </c>
      <c r="I2749" s="2">
        <v>50122.28</v>
      </c>
      <c r="J2749" s="2">
        <v>0</v>
      </c>
      <c r="K2749" s="2">
        <v>0</v>
      </c>
      <c r="L2749" s="2">
        <v>50122.28</v>
      </c>
      <c r="M2749" s="3">
        <v>11089</v>
      </c>
      <c r="N2749" s="4">
        <v>1.1403E-4</v>
      </c>
      <c r="O2749" s="5" t="s">
        <v>44</v>
      </c>
      <c r="P2749" s="5" t="s">
        <v>44</v>
      </c>
      <c r="Q2749" s="1"/>
      <c r="R2749" s="2"/>
      <c r="S2749" s="6"/>
      <c r="T2749" t="s">
        <v>10902</v>
      </c>
      <c r="U2749" t="s">
        <v>10902</v>
      </c>
      <c r="V2749" t="s">
        <v>10902</v>
      </c>
      <c r="W2749" t="s">
        <v>43</v>
      </c>
      <c r="X2749" t="s">
        <v>11327</v>
      </c>
      <c r="Y2749" t="s">
        <v>11198</v>
      </c>
      <c r="Z2749" t="s">
        <v>11195</v>
      </c>
      <c r="AA2749" t="s">
        <v>44</v>
      </c>
      <c r="AB2749" t="s">
        <v>44</v>
      </c>
      <c r="AC2749" s="4"/>
      <c r="AD2749" s="4"/>
      <c r="AE2749" s="2">
        <v>0</v>
      </c>
      <c r="AF2749" s="4">
        <v>0</v>
      </c>
      <c r="AG2749" s="2">
        <v>0.04</v>
      </c>
      <c r="AH2749" s="2">
        <v>50122.28</v>
      </c>
      <c r="AI2749" s="2">
        <v>0</v>
      </c>
      <c r="AJ2749" s="5">
        <v>44673</v>
      </c>
      <c r="AK2749" t="s">
        <v>12585</v>
      </c>
      <c r="AL2749" s="2">
        <v>0</v>
      </c>
      <c r="AM2749" s="2">
        <v>0</v>
      </c>
      <c r="AN2749" s="2">
        <v>0</v>
      </c>
      <c r="AO2749" t="s">
        <v>44</v>
      </c>
      <c r="AP2749" t="s">
        <v>11331</v>
      </c>
      <c r="AQ2749" t="s">
        <v>5121</v>
      </c>
    </row>
    <row r="2750" spans="1:43" x14ac:dyDescent="0.2">
      <c r="A2750" t="s">
        <v>12584</v>
      </c>
      <c r="B2750" t="s">
        <v>11037</v>
      </c>
      <c r="C2750" t="s">
        <v>11195</v>
      </c>
      <c r="D2750" t="s">
        <v>11204</v>
      </c>
      <c r="E2750" t="s">
        <v>5699</v>
      </c>
      <c r="F2750" t="s">
        <v>11204</v>
      </c>
      <c r="G2750" s="1">
        <v>2311</v>
      </c>
      <c r="H2750" s="2">
        <v>43024.79</v>
      </c>
      <c r="I2750" s="2">
        <v>50564.68</v>
      </c>
      <c r="J2750" s="2">
        <v>0</v>
      </c>
      <c r="K2750" s="2">
        <v>0</v>
      </c>
      <c r="L2750" s="2">
        <v>50564.68</v>
      </c>
      <c r="M2750" s="3">
        <v>2188</v>
      </c>
      <c r="N2750" s="4">
        <v>1.1504E-4</v>
      </c>
      <c r="O2750" s="5" t="s">
        <v>44</v>
      </c>
      <c r="P2750" s="5" t="s">
        <v>44</v>
      </c>
      <c r="Q2750" s="1"/>
      <c r="R2750" s="2"/>
      <c r="S2750" s="6"/>
      <c r="T2750" t="s">
        <v>10902</v>
      </c>
      <c r="U2750" t="s">
        <v>10902</v>
      </c>
      <c r="V2750" t="s">
        <v>10902</v>
      </c>
      <c r="W2750" t="s">
        <v>43</v>
      </c>
      <c r="X2750" t="s">
        <v>11197</v>
      </c>
      <c r="Y2750" t="s">
        <v>11198</v>
      </c>
      <c r="Z2750" t="s">
        <v>11195</v>
      </c>
      <c r="AA2750" t="s">
        <v>44</v>
      </c>
      <c r="AB2750" t="s">
        <v>44</v>
      </c>
      <c r="AC2750" s="4"/>
      <c r="AD2750" s="4"/>
      <c r="AE2750" s="2">
        <v>0</v>
      </c>
      <c r="AF2750" s="4">
        <v>0</v>
      </c>
      <c r="AG2750" s="2">
        <v>0.04</v>
      </c>
      <c r="AH2750" s="2">
        <v>50564.68</v>
      </c>
      <c r="AI2750" s="2">
        <v>0</v>
      </c>
      <c r="AJ2750" s="5">
        <v>44673</v>
      </c>
      <c r="AK2750" t="s">
        <v>12585</v>
      </c>
      <c r="AL2750" s="2">
        <v>0</v>
      </c>
      <c r="AM2750" s="2">
        <v>0</v>
      </c>
      <c r="AN2750" s="2">
        <v>0</v>
      </c>
      <c r="AO2750" t="s">
        <v>44</v>
      </c>
      <c r="AP2750" t="s">
        <v>11205</v>
      </c>
      <c r="AQ2750" t="s">
        <v>5699</v>
      </c>
    </row>
    <row r="2751" spans="1:43" x14ac:dyDescent="0.2">
      <c r="A2751" t="s">
        <v>12584</v>
      </c>
      <c r="B2751" t="s">
        <v>11037</v>
      </c>
      <c r="C2751" t="s">
        <v>11195</v>
      </c>
      <c r="D2751" t="s">
        <v>11332</v>
      </c>
      <c r="E2751" t="s">
        <v>11333</v>
      </c>
      <c r="F2751" t="s">
        <v>11332</v>
      </c>
      <c r="G2751" s="1">
        <v>37746</v>
      </c>
      <c r="H2751" s="2">
        <v>677162.04</v>
      </c>
      <c r="I2751" s="2">
        <v>637529.93999999994</v>
      </c>
      <c r="J2751" s="2">
        <v>0</v>
      </c>
      <c r="K2751" s="2">
        <v>0</v>
      </c>
      <c r="L2751" s="2">
        <v>637529.93999999994</v>
      </c>
      <c r="M2751" s="3">
        <v>1689</v>
      </c>
      <c r="N2751" s="4">
        <v>1.45045E-3</v>
      </c>
      <c r="O2751" s="5" t="s">
        <v>44</v>
      </c>
      <c r="P2751" s="5" t="s">
        <v>44</v>
      </c>
      <c r="Q2751" s="1"/>
      <c r="R2751" s="2"/>
      <c r="S2751" s="6"/>
      <c r="T2751" t="s">
        <v>10902</v>
      </c>
      <c r="U2751" t="s">
        <v>10902</v>
      </c>
      <c r="V2751" t="s">
        <v>10902</v>
      </c>
      <c r="W2751" t="s">
        <v>43</v>
      </c>
      <c r="X2751" t="s">
        <v>11334</v>
      </c>
      <c r="Y2751" t="s">
        <v>11335</v>
      </c>
      <c r="Z2751" t="s">
        <v>11195</v>
      </c>
      <c r="AA2751" t="s">
        <v>44</v>
      </c>
      <c r="AB2751" t="s">
        <v>44</v>
      </c>
      <c r="AC2751" s="4"/>
      <c r="AD2751" s="4"/>
      <c r="AE2751" s="2">
        <v>0</v>
      </c>
      <c r="AF2751" s="4">
        <v>0</v>
      </c>
      <c r="AG2751" s="2">
        <v>0.47</v>
      </c>
      <c r="AH2751" s="2">
        <v>637529.93999999994</v>
      </c>
      <c r="AI2751" s="2">
        <v>0</v>
      </c>
      <c r="AJ2751" s="5">
        <v>44673</v>
      </c>
      <c r="AK2751" t="s">
        <v>12585</v>
      </c>
      <c r="AL2751" s="2">
        <v>0</v>
      </c>
      <c r="AM2751" s="2">
        <v>0</v>
      </c>
      <c r="AN2751" s="2">
        <v>0</v>
      </c>
      <c r="AO2751" t="s">
        <v>44</v>
      </c>
      <c r="AP2751" t="s">
        <v>11336</v>
      </c>
      <c r="AQ2751" t="s">
        <v>11333</v>
      </c>
    </row>
    <row r="2752" spans="1:43" x14ac:dyDescent="0.2">
      <c r="A2752" t="s">
        <v>12584</v>
      </c>
      <c r="B2752" t="s">
        <v>11037</v>
      </c>
      <c r="C2752" t="s">
        <v>11195</v>
      </c>
      <c r="D2752" t="s">
        <v>5965</v>
      </c>
      <c r="E2752" t="s">
        <v>4848</v>
      </c>
      <c r="F2752" t="s">
        <v>5965</v>
      </c>
      <c r="G2752" s="1">
        <v>257</v>
      </c>
      <c r="H2752" s="2">
        <v>45893.83</v>
      </c>
      <c r="I2752" s="2">
        <v>57244.18</v>
      </c>
      <c r="J2752" s="2">
        <v>0</v>
      </c>
      <c r="K2752" s="2">
        <v>0</v>
      </c>
      <c r="L2752" s="2">
        <v>57244.18</v>
      </c>
      <c r="M2752" s="3">
        <v>22274</v>
      </c>
      <c r="N2752" s="4">
        <v>1.3024E-4</v>
      </c>
      <c r="O2752" s="5" t="s">
        <v>44</v>
      </c>
      <c r="P2752" s="5" t="s">
        <v>44</v>
      </c>
      <c r="Q2752" s="1"/>
      <c r="R2752" s="2"/>
      <c r="S2752" s="6"/>
      <c r="T2752" t="s">
        <v>10902</v>
      </c>
      <c r="U2752" t="s">
        <v>10902</v>
      </c>
      <c r="V2752" t="s">
        <v>10902</v>
      </c>
      <c r="W2752" t="s">
        <v>43</v>
      </c>
      <c r="X2752" t="s">
        <v>11034</v>
      </c>
      <c r="Y2752" t="s">
        <v>11034</v>
      </c>
      <c r="Z2752" t="s">
        <v>11195</v>
      </c>
      <c r="AA2752" t="s">
        <v>44</v>
      </c>
      <c r="AB2752" t="s">
        <v>44</v>
      </c>
      <c r="AC2752" s="4"/>
      <c r="AD2752" s="4"/>
      <c r="AE2752" s="2">
        <v>0</v>
      </c>
      <c r="AF2752" s="4">
        <v>0</v>
      </c>
      <c r="AG2752" s="2">
        <v>0.04</v>
      </c>
      <c r="AH2752" s="2">
        <v>57244.18</v>
      </c>
      <c r="AI2752" s="2">
        <v>0</v>
      </c>
      <c r="AJ2752" s="5">
        <v>44673</v>
      </c>
      <c r="AK2752" t="s">
        <v>12585</v>
      </c>
      <c r="AL2752" s="2">
        <v>0</v>
      </c>
      <c r="AM2752" s="2">
        <v>0</v>
      </c>
      <c r="AN2752" s="2">
        <v>0</v>
      </c>
      <c r="AO2752" t="s">
        <v>44</v>
      </c>
      <c r="AP2752" t="s">
        <v>11712</v>
      </c>
      <c r="AQ2752" t="s">
        <v>4848</v>
      </c>
    </row>
    <row r="2753" spans="1:43" x14ac:dyDescent="0.2">
      <c r="A2753" t="s">
        <v>12584</v>
      </c>
      <c r="B2753" t="s">
        <v>11037</v>
      </c>
      <c r="C2753" t="s">
        <v>11195</v>
      </c>
      <c r="D2753" t="s">
        <v>11341</v>
      </c>
      <c r="E2753" t="s">
        <v>11342</v>
      </c>
      <c r="F2753" t="s">
        <v>11341</v>
      </c>
      <c r="G2753" s="1">
        <v>1274</v>
      </c>
      <c r="H2753" s="2">
        <v>68735</v>
      </c>
      <c r="I2753" s="2">
        <v>66451.839999999997</v>
      </c>
      <c r="J2753" s="2">
        <v>0</v>
      </c>
      <c r="K2753" s="2">
        <v>0</v>
      </c>
      <c r="L2753" s="2">
        <v>66451.839999999997</v>
      </c>
      <c r="M2753" s="3">
        <v>5216</v>
      </c>
      <c r="N2753" s="4">
        <v>1.5118999999999999E-4</v>
      </c>
      <c r="O2753" s="5" t="s">
        <v>44</v>
      </c>
      <c r="P2753" s="5" t="s">
        <v>44</v>
      </c>
      <c r="Q2753" s="1"/>
      <c r="R2753" s="2"/>
      <c r="S2753" s="6"/>
      <c r="T2753" t="s">
        <v>10902</v>
      </c>
      <c r="U2753" t="s">
        <v>10902</v>
      </c>
      <c r="V2753" t="s">
        <v>10902</v>
      </c>
      <c r="W2753" t="s">
        <v>43</v>
      </c>
      <c r="X2753" t="s">
        <v>11327</v>
      </c>
      <c r="Y2753" t="s">
        <v>11198</v>
      </c>
      <c r="Z2753" t="s">
        <v>11195</v>
      </c>
      <c r="AA2753" t="s">
        <v>44</v>
      </c>
      <c r="AB2753" t="s">
        <v>44</v>
      </c>
      <c r="AC2753" s="4"/>
      <c r="AD2753" s="4"/>
      <c r="AE2753" s="2">
        <v>0</v>
      </c>
      <c r="AF2753" s="4">
        <v>0</v>
      </c>
      <c r="AG2753" s="2">
        <v>0.05</v>
      </c>
      <c r="AH2753" s="2">
        <v>66451.839999999997</v>
      </c>
      <c r="AI2753" s="2">
        <v>0</v>
      </c>
      <c r="AJ2753" s="5">
        <v>44673</v>
      </c>
      <c r="AK2753" t="s">
        <v>12585</v>
      </c>
      <c r="AL2753" s="2">
        <v>0</v>
      </c>
      <c r="AM2753" s="2">
        <v>0</v>
      </c>
      <c r="AN2753" s="2">
        <v>0</v>
      </c>
      <c r="AO2753" t="s">
        <v>44</v>
      </c>
      <c r="AP2753" t="s">
        <v>11343</v>
      </c>
      <c r="AQ2753" t="s">
        <v>11342</v>
      </c>
    </row>
    <row r="2754" spans="1:43" x14ac:dyDescent="0.2">
      <c r="A2754" t="s">
        <v>12584</v>
      </c>
      <c r="B2754" t="s">
        <v>11037</v>
      </c>
      <c r="C2754" t="s">
        <v>11195</v>
      </c>
      <c r="D2754" t="s">
        <v>5940</v>
      </c>
      <c r="E2754" t="s">
        <v>5019</v>
      </c>
      <c r="F2754" t="s">
        <v>5940</v>
      </c>
      <c r="G2754" s="1">
        <v>2883</v>
      </c>
      <c r="H2754" s="2">
        <v>40908.92</v>
      </c>
      <c r="I2754" s="2">
        <v>35720.370000000003</v>
      </c>
      <c r="J2754" s="2">
        <v>0</v>
      </c>
      <c r="K2754" s="2">
        <v>1470.33</v>
      </c>
      <c r="L2754" s="2">
        <v>37190.699999999997</v>
      </c>
      <c r="M2754" s="3">
        <v>1239</v>
      </c>
      <c r="N2754" s="4">
        <v>8.4610000000000005E-5</v>
      </c>
      <c r="O2754" s="5" t="s">
        <v>44</v>
      </c>
      <c r="P2754" s="5" t="s">
        <v>44</v>
      </c>
      <c r="Q2754" s="1"/>
      <c r="R2754" s="2"/>
      <c r="S2754" s="6"/>
      <c r="T2754" t="s">
        <v>10902</v>
      </c>
      <c r="U2754" t="s">
        <v>10902</v>
      </c>
      <c r="V2754" t="s">
        <v>10902</v>
      </c>
      <c r="W2754" t="s">
        <v>43</v>
      </c>
      <c r="X2754" t="s">
        <v>11334</v>
      </c>
      <c r="Y2754" t="s">
        <v>11335</v>
      </c>
      <c r="Z2754" t="s">
        <v>11195</v>
      </c>
      <c r="AA2754" t="s">
        <v>44</v>
      </c>
      <c r="AB2754" t="s">
        <v>44</v>
      </c>
      <c r="AC2754" s="4"/>
      <c r="AD2754" s="4"/>
      <c r="AE2754" s="2">
        <v>0</v>
      </c>
      <c r="AF2754" s="4">
        <v>0</v>
      </c>
      <c r="AG2754" s="2">
        <v>0.03</v>
      </c>
      <c r="AH2754" s="2">
        <v>37190.699999999997</v>
      </c>
      <c r="AI2754" s="2">
        <v>0</v>
      </c>
      <c r="AJ2754" s="5">
        <v>44673</v>
      </c>
      <c r="AK2754" t="s">
        <v>12585</v>
      </c>
      <c r="AL2754" s="2">
        <v>0</v>
      </c>
      <c r="AM2754" s="2">
        <v>0</v>
      </c>
      <c r="AN2754" s="2">
        <v>0</v>
      </c>
      <c r="AO2754" t="s">
        <v>44</v>
      </c>
      <c r="AP2754" t="s">
        <v>11713</v>
      </c>
      <c r="AQ2754" t="s">
        <v>5019</v>
      </c>
    </row>
    <row r="2755" spans="1:43" x14ac:dyDescent="0.2">
      <c r="A2755" t="s">
        <v>12584</v>
      </c>
      <c r="B2755" t="s">
        <v>11037</v>
      </c>
      <c r="C2755" t="s">
        <v>11195</v>
      </c>
      <c r="D2755" t="s">
        <v>6128</v>
      </c>
      <c r="E2755" t="s">
        <v>6759</v>
      </c>
      <c r="F2755" t="s">
        <v>6128</v>
      </c>
      <c r="G2755" s="1">
        <v>4941</v>
      </c>
      <c r="H2755" s="2">
        <v>388938.3</v>
      </c>
      <c r="I2755" s="2">
        <v>476806.5</v>
      </c>
      <c r="J2755" s="2">
        <v>0</v>
      </c>
      <c r="K2755" s="2">
        <v>0</v>
      </c>
      <c r="L2755" s="2">
        <v>476806.5</v>
      </c>
      <c r="M2755" s="3">
        <v>9650</v>
      </c>
      <c r="N2755" s="4">
        <v>1.08479E-3</v>
      </c>
      <c r="O2755" s="5" t="s">
        <v>44</v>
      </c>
      <c r="P2755" s="5" t="s">
        <v>44</v>
      </c>
      <c r="Q2755" s="1"/>
      <c r="R2755" s="2"/>
      <c r="S2755" s="6"/>
      <c r="T2755" t="s">
        <v>10902</v>
      </c>
      <c r="U2755" t="s">
        <v>10902</v>
      </c>
      <c r="V2755" t="s">
        <v>10902</v>
      </c>
      <c r="W2755" t="s">
        <v>43</v>
      </c>
      <c r="X2755" t="s">
        <v>11327</v>
      </c>
      <c r="Y2755" t="s">
        <v>11198</v>
      </c>
      <c r="Z2755" t="s">
        <v>11195</v>
      </c>
      <c r="AA2755" t="s">
        <v>44</v>
      </c>
      <c r="AB2755" t="s">
        <v>44</v>
      </c>
      <c r="AC2755" s="4"/>
      <c r="AD2755" s="4"/>
      <c r="AE2755" s="2">
        <v>0</v>
      </c>
      <c r="AF2755" s="4">
        <v>0</v>
      </c>
      <c r="AG2755" s="2">
        <v>0.35</v>
      </c>
      <c r="AH2755" s="2">
        <v>476806.5</v>
      </c>
      <c r="AI2755" s="2">
        <v>0</v>
      </c>
      <c r="AJ2755" s="5">
        <v>44673</v>
      </c>
      <c r="AK2755" t="s">
        <v>12585</v>
      </c>
      <c r="AL2755" s="2">
        <v>0</v>
      </c>
      <c r="AM2755" s="2">
        <v>0</v>
      </c>
      <c r="AN2755" s="2">
        <v>0</v>
      </c>
      <c r="AO2755" t="s">
        <v>44</v>
      </c>
      <c r="AP2755" t="s">
        <v>11344</v>
      </c>
      <c r="AQ2755" t="s">
        <v>6759</v>
      </c>
    </row>
    <row r="2756" spans="1:43" x14ac:dyDescent="0.2">
      <c r="A2756" t="s">
        <v>12584</v>
      </c>
      <c r="B2756" t="s">
        <v>11037</v>
      </c>
      <c r="C2756" t="s">
        <v>11195</v>
      </c>
      <c r="D2756" t="s">
        <v>11345</v>
      </c>
      <c r="E2756" t="s">
        <v>5409</v>
      </c>
      <c r="F2756" t="s">
        <v>11345</v>
      </c>
      <c r="G2756" s="1">
        <v>25463</v>
      </c>
      <c r="H2756" s="2">
        <v>824407.31</v>
      </c>
      <c r="I2756" s="2">
        <v>702778.8</v>
      </c>
      <c r="J2756" s="2">
        <v>0</v>
      </c>
      <c r="K2756" s="2">
        <v>19927.32</v>
      </c>
      <c r="L2756" s="2">
        <v>722706.12</v>
      </c>
      <c r="M2756" s="3">
        <v>2760</v>
      </c>
      <c r="N2756" s="4">
        <v>1.64423E-3</v>
      </c>
      <c r="O2756" s="5" t="s">
        <v>44</v>
      </c>
      <c r="P2756" s="5" t="s">
        <v>44</v>
      </c>
      <c r="Q2756" s="1"/>
      <c r="R2756" s="2"/>
      <c r="S2756" s="6"/>
      <c r="T2756" t="s">
        <v>10902</v>
      </c>
      <c r="U2756" t="s">
        <v>10902</v>
      </c>
      <c r="V2756" t="s">
        <v>10902</v>
      </c>
      <c r="W2756" t="s">
        <v>43</v>
      </c>
      <c r="X2756" t="s">
        <v>11327</v>
      </c>
      <c r="Y2756" t="s">
        <v>11198</v>
      </c>
      <c r="Z2756" t="s">
        <v>11195</v>
      </c>
      <c r="AA2756" t="s">
        <v>44</v>
      </c>
      <c r="AB2756" t="s">
        <v>44</v>
      </c>
      <c r="AC2756" s="4"/>
      <c r="AD2756" s="4"/>
      <c r="AE2756" s="2">
        <v>0</v>
      </c>
      <c r="AF2756" s="4">
        <v>0</v>
      </c>
      <c r="AG2756" s="2">
        <v>0.53</v>
      </c>
      <c r="AH2756" s="2">
        <v>722706.12</v>
      </c>
      <c r="AI2756" s="2">
        <v>0</v>
      </c>
      <c r="AJ2756" s="5">
        <v>44673</v>
      </c>
      <c r="AK2756" t="s">
        <v>12585</v>
      </c>
      <c r="AL2756" s="2">
        <v>0</v>
      </c>
      <c r="AM2756" s="2">
        <v>0</v>
      </c>
      <c r="AN2756" s="2">
        <v>0</v>
      </c>
      <c r="AO2756" t="s">
        <v>44</v>
      </c>
      <c r="AP2756" t="s">
        <v>11346</v>
      </c>
      <c r="AQ2756" t="s">
        <v>5409</v>
      </c>
    </row>
    <row r="2757" spans="1:43" x14ac:dyDescent="0.2">
      <c r="A2757" t="s">
        <v>12584</v>
      </c>
      <c r="B2757" t="s">
        <v>11037</v>
      </c>
      <c r="C2757" t="s">
        <v>11195</v>
      </c>
      <c r="D2757" t="s">
        <v>6263</v>
      </c>
      <c r="E2757" t="s">
        <v>6850</v>
      </c>
      <c r="F2757" t="s">
        <v>6263</v>
      </c>
      <c r="G2757" s="1">
        <v>21226</v>
      </c>
      <c r="H2757" s="2">
        <v>520750.64</v>
      </c>
      <c r="I2757" s="2">
        <v>562276.74</v>
      </c>
      <c r="J2757" s="2">
        <v>0</v>
      </c>
      <c r="K2757" s="2">
        <v>35129.03</v>
      </c>
      <c r="L2757" s="2">
        <v>597405.77</v>
      </c>
      <c r="M2757" s="3">
        <v>2649</v>
      </c>
      <c r="N2757" s="4">
        <v>1.3591600000000001E-3</v>
      </c>
      <c r="O2757" s="5" t="s">
        <v>44</v>
      </c>
      <c r="P2757" s="5" t="s">
        <v>44</v>
      </c>
      <c r="Q2757" s="1"/>
      <c r="R2757" s="2"/>
      <c r="S2757" s="6"/>
      <c r="T2757" t="s">
        <v>10902</v>
      </c>
      <c r="U2757" t="s">
        <v>10902</v>
      </c>
      <c r="V2757" t="s">
        <v>10902</v>
      </c>
      <c r="W2757" t="s">
        <v>43</v>
      </c>
      <c r="X2757" t="s">
        <v>11347</v>
      </c>
      <c r="Y2757" t="s">
        <v>11348</v>
      </c>
      <c r="Z2757" t="s">
        <v>11195</v>
      </c>
      <c r="AA2757" t="s">
        <v>44</v>
      </c>
      <c r="AB2757" t="s">
        <v>44</v>
      </c>
      <c r="AC2757" s="4"/>
      <c r="AD2757" s="4"/>
      <c r="AE2757" s="2">
        <v>0</v>
      </c>
      <c r="AF2757" s="4">
        <v>0</v>
      </c>
      <c r="AG2757" s="2">
        <v>0.44</v>
      </c>
      <c r="AH2757" s="2">
        <v>597405.77</v>
      </c>
      <c r="AI2757" s="2">
        <v>0</v>
      </c>
      <c r="AJ2757" s="5">
        <v>44673</v>
      </c>
      <c r="AK2757" t="s">
        <v>12585</v>
      </c>
      <c r="AL2757" s="2">
        <v>0</v>
      </c>
      <c r="AM2757" s="2">
        <v>0</v>
      </c>
      <c r="AN2757" s="2">
        <v>0</v>
      </c>
      <c r="AO2757" t="s">
        <v>44</v>
      </c>
      <c r="AP2757" t="s">
        <v>11349</v>
      </c>
      <c r="AQ2757" t="s">
        <v>6850</v>
      </c>
    </row>
    <row r="2758" spans="1:43" x14ac:dyDescent="0.2">
      <c r="A2758" t="s">
        <v>12584</v>
      </c>
      <c r="B2758" t="s">
        <v>11037</v>
      </c>
      <c r="C2758" t="s">
        <v>11195</v>
      </c>
      <c r="D2758" t="s">
        <v>11208</v>
      </c>
      <c r="E2758" t="s">
        <v>3160</v>
      </c>
      <c r="F2758" t="s">
        <v>11208</v>
      </c>
      <c r="G2758" s="1">
        <v>152542</v>
      </c>
      <c r="H2758" s="2">
        <v>733314.98</v>
      </c>
      <c r="I2758" s="2">
        <v>675761.06</v>
      </c>
      <c r="J2758" s="2">
        <v>0</v>
      </c>
      <c r="K2758" s="2">
        <v>0</v>
      </c>
      <c r="L2758" s="2">
        <v>675761.06</v>
      </c>
      <c r="M2758" s="3">
        <v>443</v>
      </c>
      <c r="N2758" s="4">
        <v>1.53743E-3</v>
      </c>
      <c r="O2758" s="5" t="s">
        <v>44</v>
      </c>
      <c r="P2758" s="5" t="s">
        <v>44</v>
      </c>
      <c r="Q2758" s="1"/>
      <c r="R2758" s="2"/>
      <c r="S2758" s="6"/>
      <c r="T2758" t="s">
        <v>10902</v>
      </c>
      <c r="U2758" t="s">
        <v>10902</v>
      </c>
      <c r="V2758" t="s">
        <v>10902</v>
      </c>
      <c r="W2758" t="s">
        <v>43</v>
      </c>
      <c r="X2758" t="s">
        <v>11197</v>
      </c>
      <c r="Y2758" t="s">
        <v>11198</v>
      </c>
      <c r="Z2758" t="s">
        <v>11195</v>
      </c>
      <c r="AA2758" t="s">
        <v>44</v>
      </c>
      <c r="AB2758" t="s">
        <v>44</v>
      </c>
      <c r="AC2758" s="4"/>
      <c r="AD2758" s="4"/>
      <c r="AE2758" s="2">
        <v>0</v>
      </c>
      <c r="AF2758" s="4">
        <v>0</v>
      </c>
      <c r="AG2758" s="2">
        <v>0.5</v>
      </c>
      <c r="AH2758" s="2">
        <v>675761.06</v>
      </c>
      <c r="AI2758" s="2">
        <v>0</v>
      </c>
      <c r="AJ2758" s="5">
        <v>44673</v>
      </c>
      <c r="AK2758" t="s">
        <v>12585</v>
      </c>
      <c r="AL2758" s="2">
        <v>0</v>
      </c>
      <c r="AM2758" s="2">
        <v>0</v>
      </c>
      <c r="AN2758" s="2">
        <v>0</v>
      </c>
      <c r="AO2758" t="s">
        <v>44</v>
      </c>
      <c r="AP2758" t="s">
        <v>11209</v>
      </c>
      <c r="AQ2758" t="s">
        <v>3160</v>
      </c>
    </row>
    <row r="2759" spans="1:43" x14ac:dyDescent="0.2">
      <c r="A2759" t="s">
        <v>12584</v>
      </c>
      <c r="B2759" t="s">
        <v>11037</v>
      </c>
      <c r="C2759" t="s">
        <v>11195</v>
      </c>
      <c r="D2759" t="s">
        <v>11714</v>
      </c>
      <c r="E2759" t="s">
        <v>5012</v>
      </c>
      <c r="F2759" t="s">
        <v>11714</v>
      </c>
      <c r="G2759" s="1">
        <v>3000</v>
      </c>
      <c r="H2759" s="2">
        <v>940831.02</v>
      </c>
      <c r="I2759" s="2">
        <v>959550</v>
      </c>
      <c r="J2759" s="2">
        <v>0</v>
      </c>
      <c r="K2759" s="2">
        <v>0</v>
      </c>
      <c r="L2759" s="2">
        <v>959550</v>
      </c>
      <c r="M2759" s="3">
        <v>31985</v>
      </c>
      <c r="N2759" s="4">
        <v>2.18308E-3</v>
      </c>
      <c r="O2759" s="5" t="s">
        <v>44</v>
      </c>
      <c r="P2759" s="5" t="s">
        <v>44</v>
      </c>
      <c r="Q2759" s="1"/>
      <c r="R2759" s="2"/>
      <c r="S2759" s="6"/>
      <c r="T2759" t="s">
        <v>10902</v>
      </c>
      <c r="U2759" t="s">
        <v>10902</v>
      </c>
      <c r="V2759" t="s">
        <v>10902</v>
      </c>
      <c r="W2759" t="s">
        <v>43</v>
      </c>
      <c r="X2759" t="s">
        <v>11327</v>
      </c>
      <c r="Y2759" t="s">
        <v>11198</v>
      </c>
      <c r="Z2759" t="s">
        <v>11195</v>
      </c>
      <c r="AA2759" t="s">
        <v>44</v>
      </c>
      <c r="AB2759" t="s">
        <v>44</v>
      </c>
      <c r="AC2759" s="4"/>
      <c r="AD2759" s="4"/>
      <c r="AE2759" s="2">
        <v>0</v>
      </c>
      <c r="AF2759" s="4">
        <v>0</v>
      </c>
      <c r="AG2759" s="2">
        <v>0.71</v>
      </c>
      <c r="AH2759" s="2">
        <v>959550</v>
      </c>
      <c r="AI2759" s="2">
        <v>0</v>
      </c>
      <c r="AJ2759" s="5">
        <v>44673</v>
      </c>
      <c r="AK2759" t="s">
        <v>12585</v>
      </c>
      <c r="AL2759" s="2">
        <v>0</v>
      </c>
      <c r="AM2759" s="2">
        <v>0</v>
      </c>
      <c r="AN2759" s="2">
        <v>0</v>
      </c>
      <c r="AO2759" t="s">
        <v>44</v>
      </c>
      <c r="AP2759" t="s">
        <v>11715</v>
      </c>
      <c r="AQ2759" t="s">
        <v>5012</v>
      </c>
    </row>
    <row r="2760" spans="1:43" x14ac:dyDescent="0.2">
      <c r="A2760" t="s">
        <v>12584</v>
      </c>
      <c r="B2760" t="s">
        <v>11037</v>
      </c>
      <c r="C2760" t="s">
        <v>11195</v>
      </c>
      <c r="D2760" t="s">
        <v>11210</v>
      </c>
      <c r="E2760" t="s">
        <v>3167</v>
      </c>
      <c r="F2760" t="s">
        <v>11211</v>
      </c>
      <c r="G2760" s="1">
        <v>10305</v>
      </c>
      <c r="H2760" s="2">
        <v>585742.96</v>
      </c>
      <c r="I2760" s="2">
        <v>602842.5</v>
      </c>
      <c r="J2760" s="2">
        <v>0</v>
      </c>
      <c r="K2760" s="2">
        <v>0</v>
      </c>
      <c r="L2760" s="2">
        <v>602842.5</v>
      </c>
      <c r="M2760" s="3">
        <v>5850</v>
      </c>
      <c r="N2760" s="4">
        <v>1.3715299999999999E-3</v>
      </c>
      <c r="O2760" s="5" t="s">
        <v>44</v>
      </c>
      <c r="P2760" s="5" t="s">
        <v>44</v>
      </c>
      <c r="Q2760" s="1"/>
      <c r="R2760" s="2"/>
      <c r="S2760" s="6"/>
      <c r="T2760" t="s">
        <v>10902</v>
      </c>
      <c r="U2760" t="s">
        <v>10902</v>
      </c>
      <c r="V2760" t="s">
        <v>11212</v>
      </c>
      <c r="W2760" t="s">
        <v>43</v>
      </c>
      <c r="X2760" t="s">
        <v>11197</v>
      </c>
      <c r="Y2760" t="s">
        <v>11198</v>
      </c>
      <c r="Z2760" t="s">
        <v>11195</v>
      </c>
      <c r="AA2760" t="s">
        <v>44</v>
      </c>
      <c r="AB2760" t="s">
        <v>44</v>
      </c>
      <c r="AC2760" s="4"/>
      <c r="AD2760" s="4"/>
      <c r="AE2760" s="2">
        <v>0</v>
      </c>
      <c r="AF2760" s="4">
        <v>0</v>
      </c>
      <c r="AG2760" s="2">
        <v>0.44</v>
      </c>
      <c r="AH2760" s="2">
        <v>602842.5</v>
      </c>
      <c r="AI2760" s="2">
        <v>0</v>
      </c>
      <c r="AJ2760" s="5">
        <v>44673</v>
      </c>
      <c r="AK2760" t="s">
        <v>12585</v>
      </c>
      <c r="AL2760" s="2">
        <v>0</v>
      </c>
      <c r="AM2760" s="2">
        <v>0</v>
      </c>
      <c r="AN2760" s="2">
        <v>0</v>
      </c>
      <c r="AO2760" t="s">
        <v>44</v>
      </c>
      <c r="AP2760" t="s">
        <v>11213</v>
      </c>
      <c r="AQ2760" t="s">
        <v>3167</v>
      </c>
    </row>
    <row r="2761" spans="1:43" x14ac:dyDescent="0.2">
      <c r="A2761" t="s">
        <v>12584</v>
      </c>
      <c r="B2761" t="s">
        <v>11037</v>
      </c>
      <c r="C2761" t="s">
        <v>11195</v>
      </c>
      <c r="D2761" t="s">
        <v>6379</v>
      </c>
      <c r="E2761" t="s">
        <v>5199</v>
      </c>
      <c r="F2761" t="s">
        <v>6379</v>
      </c>
      <c r="G2761" s="1">
        <v>990</v>
      </c>
      <c r="H2761" s="2">
        <v>253794.66</v>
      </c>
      <c r="I2761" s="2">
        <v>289080</v>
      </c>
      <c r="J2761" s="2">
        <v>0</v>
      </c>
      <c r="K2761" s="2">
        <v>0</v>
      </c>
      <c r="L2761" s="2">
        <v>289080</v>
      </c>
      <c r="M2761" s="3">
        <v>29200</v>
      </c>
      <c r="N2761" s="4">
        <v>6.5769000000000005E-4</v>
      </c>
      <c r="O2761" s="5" t="s">
        <v>44</v>
      </c>
      <c r="P2761" s="5" t="s">
        <v>44</v>
      </c>
      <c r="Q2761" s="1"/>
      <c r="R2761" s="2"/>
      <c r="S2761" s="6"/>
      <c r="T2761" t="s">
        <v>10902</v>
      </c>
      <c r="U2761" t="s">
        <v>10902</v>
      </c>
      <c r="V2761" t="s">
        <v>10902</v>
      </c>
      <c r="W2761" t="s">
        <v>43</v>
      </c>
      <c r="X2761" t="s">
        <v>11350</v>
      </c>
      <c r="Y2761" t="s">
        <v>11335</v>
      </c>
      <c r="Z2761" t="s">
        <v>11195</v>
      </c>
      <c r="AA2761" t="s">
        <v>44</v>
      </c>
      <c r="AB2761" t="s">
        <v>44</v>
      </c>
      <c r="AC2761" s="4"/>
      <c r="AD2761" s="4"/>
      <c r="AE2761" s="2">
        <v>0</v>
      </c>
      <c r="AF2761" s="4">
        <v>0</v>
      </c>
      <c r="AG2761" s="2">
        <v>0.21</v>
      </c>
      <c r="AH2761" s="2">
        <v>289080</v>
      </c>
      <c r="AI2761" s="2">
        <v>0</v>
      </c>
      <c r="AJ2761" s="5">
        <v>44673</v>
      </c>
      <c r="AK2761" t="s">
        <v>12585</v>
      </c>
      <c r="AL2761" s="2">
        <v>0</v>
      </c>
      <c r="AM2761" s="2">
        <v>0</v>
      </c>
      <c r="AN2761" s="2">
        <v>0</v>
      </c>
      <c r="AO2761" t="s">
        <v>44</v>
      </c>
      <c r="AP2761" t="s">
        <v>11351</v>
      </c>
      <c r="AQ2761" t="s">
        <v>5199</v>
      </c>
    </row>
    <row r="2762" spans="1:43" x14ac:dyDescent="0.2">
      <c r="A2762" t="s">
        <v>12584</v>
      </c>
      <c r="B2762" t="s">
        <v>11037</v>
      </c>
      <c r="C2762" t="s">
        <v>11195</v>
      </c>
      <c r="D2762" t="s">
        <v>6710</v>
      </c>
      <c r="E2762" t="s">
        <v>1780</v>
      </c>
      <c r="F2762" t="s">
        <v>6710</v>
      </c>
      <c r="G2762" s="1">
        <v>1548</v>
      </c>
      <c r="H2762" s="2">
        <v>44169.279999999999</v>
      </c>
      <c r="I2762" s="2">
        <v>36842.400000000001</v>
      </c>
      <c r="J2762" s="2">
        <v>0</v>
      </c>
      <c r="K2762" s="2">
        <v>0</v>
      </c>
      <c r="L2762" s="2">
        <v>36842.400000000001</v>
      </c>
      <c r="M2762" s="3">
        <v>2380</v>
      </c>
      <c r="N2762" s="4">
        <v>8.3819999999999994E-5</v>
      </c>
      <c r="O2762" s="5" t="s">
        <v>44</v>
      </c>
      <c r="P2762" s="5" t="s">
        <v>44</v>
      </c>
      <c r="Q2762" s="1"/>
      <c r="R2762" s="2"/>
      <c r="S2762" s="6"/>
      <c r="T2762" t="s">
        <v>10902</v>
      </c>
      <c r="U2762" t="s">
        <v>10902</v>
      </c>
      <c r="V2762" t="s">
        <v>10902</v>
      </c>
      <c r="W2762" t="s">
        <v>43</v>
      </c>
      <c r="X2762" t="s">
        <v>11197</v>
      </c>
      <c r="Y2762" t="s">
        <v>11198</v>
      </c>
      <c r="Z2762" t="s">
        <v>11195</v>
      </c>
      <c r="AA2762" t="s">
        <v>44</v>
      </c>
      <c r="AB2762" t="s">
        <v>44</v>
      </c>
      <c r="AC2762" s="4"/>
      <c r="AD2762" s="4"/>
      <c r="AE2762" s="2">
        <v>0</v>
      </c>
      <c r="AF2762" s="4">
        <v>0</v>
      </c>
      <c r="AG2762" s="2">
        <v>0.03</v>
      </c>
      <c r="AH2762" s="2">
        <v>36842.400000000001</v>
      </c>
      <c r="AI2762" s="2">
        <v>0</v>
      </c>
      <c r="AJ2762" s="5">
        <v>44673</v>
      </c>
      <c r="AK2762" t="s">
        <v>12585</v>
      </c>
      <c r="AL2762" s="2">
        <v>0</v>
      </c>
      <c r="AM2762" s="2">
        <v>0</v>
      </c>
      <c r="AN2762" s="2">
        <v>0</v>
      </c>
      <c r="AO2762" t="s">
        <v>44</v>
      </c>
      <c r="AP2762" t="s">
        <v>11214</v>
      </c>
      <c r="AQ2762" t="s">
        <v>1780</v>
      </c>
    </row>
    <row r="2763" spans="1:43" x14ac:dyDescent="0.2">
      <c r="A2763" t="s">
        <v>12584</v>
      </c>
      <c r="B2763" t="s">
        <v>11037</v>
      </c>
      <c r="C2763" t="s">
        <v>11195</v>
      </c>
      <c r="D2763" t="s">
        <v>5876</v>
      </c>
      <c r="E2763" t="s">
        <v>4893</v>
      </c>
      <c r="F2763" t="s">
        <v>5876</v>
      </c>
      <c r="G2763" s="1">
        <v>436</v>
      </c>
      <c r="H2763" s="2">
        <v>57567.38</v>
      </c>
      <c r="I2763" s="2">
        <v>74529.84</v>
      </c>
      <c r="J2763" s="2">
        <v>0</v>
      </c>
      <c r="K2763" s="2">
        <v>0</v>
      </c>
      <c r="L2763" s="2">
        <v>74529.84</v>
      </c>
      <c r="M2763" s="3">
        <v>17094</v>
      </c>
      <c r="N2763" s="4">
        <v>1.6956E-4</v>
      </c>
      <c r="O2763" s="5" t="s">
        <v>44</v>
      </c>
      <c r="P2763" s="5" t="s">
        <v>44</v>
      </c>
      <c r="Q2763" s="1"/>
      <c r="R2763" s="2"/>
      <c r="S2763" s="6"/>
      <c r="T2763" t="s">
        <v>10902</v>
      </c>
      <c r="U2763" t="s">
        <v>10902</v>
      </c>
      <c r="V2763" t="s">
        <v>10902</v>
      </c>
      <c r="W2763" t="s">
        <v>43</v>
      </c>
      <c r="X2763" t="s">
        <v>11034</v>
      </c>
      <c r="Y2763" t="s">
        <v>11034</v>
      </c>
      <c r="Z2763" t="s">
        <v>11195</v>
      </c>
      <c r="AA2763" t="s">
        <v>44</v>
      </c>
      <c r="AB2763" t="s">
        <v>44</v>
      </c>
      <c r="AC2763" s="4"/>
      <c r="AD2763" s="4"/>
      <c r="AE2763" s="2">
        <v>0</v>
      </c>
      <c r="AF2763" s="4">
        <v>0</v>
      </c>
      <c r="AG2763" s="2">
        <v>0.05</v>
      </c>
      <c r="AH2763" s="2">
        <v>74529.84</v>
      </c>
      <c r="AI2763" s="2">
        <v>0</v>
      </c>
      <c r="AJ2763" s="5">
        <v>44673</v>
      </c>
      <c r="AK2763" t="s">
        <v>12585</v>
      </c>
      <c r="AL2763" s="2">
        <v>0</v>
      </c>
      <c r="AM2763" s="2">
        <v>0</v>
      </c>
      <c r="AN2763" s="2">
        <v>0</v>
      </c>
      <c r="AO2763" t="s">
        <v>44</v>
      </c>
      <c r="AP2763" t="s">
        <v>11352</v>
      </c>
      <c r="AQ2763" t="s">
        <v>4893</v>
      </c>
    </row>
    <row r="2764" spans="1:43" x14ac:dyDescent="0.2">
      <c r="A2764" t="s">
        <v>12584</v>
      </c>
      <c r="B2764" t="s">
        <v>11037</v>
      </c>
      <c r="C2764" t="s">
        <v>11195</v>
      </c>
      <c r="D2764" t="s">
        <v>11353</v>
      </c>
      <c r="E2764" t="s">
        <v>5706</v>
      </c>
      <c r="F2764" t="s">
        <v>11353</v>
      </c>
      <c r="G2764" s="1">
        <v>16970</v>
      </c>
      <c r="H2764" s="2">
        <v>771801.19</v>
      </c>
      <c r="I2764" s="2">
        <v>848500</v>
      </c>
      <c r="J2764" s="2">
        <v>0</v>
      </c>
      <c r="K2764" s="2">
        <v>0</v>
      </c>
      <c r="L2764" s="2">
        <v>848500</v>
      </c>
      <c r="M2764" s="3">
        <v>5000</v>
      </c>
      <c r="N2764" s="4">
        <v>1.9304299999999999E-3</v>
      </c>
      <c r="O2764" s="5" t="s">
        <v>44</v>
      </c>
      <c r="P2764" s="5" t="s">
        <v>44</v>
      </c>
      <c r="Q2764" s="1"/>
      <c r="R2764" s="2"/>
      <c r="S2764" s="6"/>
      <c r="T2764" t="s">
        <v>10902</v>
      </c>
      <c r="U2764" t="s">
        <v>10902</v>
      </c>
      <c r="V2764" t="s">
        <v>10902</v>
      </c>
      <c r="W2764" t="s">
        <v>43</v>
      </c>
      <c r="X2764" t="s">
        <v>11327</v>
      </c>
      <c r="Y2764" t="s">
        <v>11198</v>
      </c>
      <c r="Z2764" t="s">
        <v>11195</v>
      </c>
      <c r="AA2764" t="s">
        <v>44</v>
      </c>
      <c r="AB2764" t="s">
        <v>44</v>
      </c>
      <c r="AC2764" s="4"/>
      <c r="AD2764" s="4"/>
      <c r="AE2764" s="2">
        <v>0</v>
      </c>
      <c r="AF2764" s="4">
        <v>0</v>
      </c>
      <c r="AG2764" s="2">
        <v>0.62</v>
      </c>
      <c r="AH2764" s="2">
        <v>848500</v>
      </c>
      <c r="AI2764" s="2">
        <v>0</v>
      </c>
      <c r="AJ2764" s="5">
        <v>44673</v>
      </c>
      <c r="AK2764" t="s">
        <v>12585</v>
      </c>
      <c r="AL2764" s="2">
        <v>0</v>
      </c>
      <c r="AM2764" s="2">
        <v>0</v>
      </c>
      <c r="AN2764" s="2">
        <v>0</v>
      </c>
      <c r="AO2764" t="s">
        <v>44</v>
      </c>
      <c r="AP2764" t="s">
        <v>11354</v>
      </c>
      <c r="AQ2764" t="s">
        <v>5706</v>
      </c>
    </row>
    <row r="2765" spans="1:43" x14ac:dyDescent="0.2">
      <c r="A2765" t="s">
        <v>12584</v>
      </c>
      <c r="B2765" t="s">
        <v>11037</v>
      </c>
      <c r="C2765" t="s">
        <v>11195</v>
      </c>
      <c r="D2765" t="s">
        <v>6348</v>
      </c>
      <c r="E2765" t="s">
        <v>5241</v>
      </c>
      <c r="F2765" t="s">
        <v>6348</v>
      </c>
      <c r="G2765" s="1">
        <v>28301</v>
      </c>
      <c r="H2765" s="2">
        <v>349561.76</v>
      </c>
      <c r="I2765" s="2">
        <v>379233.4</v>
      </c>
      <c r="J2765" s="2">
        <v>0</v>
      </c>
      <c r="K2765" s="2">
        <v>0</v>
      </c>
      <c r="L2765" s="2">
        <v>379233.4</v>
      </c>
      <c r="M2765" s="3">
        <v>1340</v>
      </c>
      <c r="N2765" s="4">
        <v>8.6280000000000005E-4</v>
      </c>
      <c r="O2765" s="5" t="s">
        <v>44</v>
      </c>
      <c r="P2765" s="5" t="s">
        <v>44</v>
      </c>
      <c r="Q2765" s="1"/>
      <c r="R2765" s="2"/>
      <c r="S2765" s="6"/>
      <c r="T2765" t="s">
        <v>10902</v>
      </c>
      <c r="U2765" t="s">
        <v>10902</v>
      </c>
      <c r="V2765" t="s">
        <v>10902</v>
      </c>
      <c r="W2765" t="s">
        <v>43</v>
      </c>
      <c r="X2765" t="s">
        <v>11197</v>
      </c>
      <c r="Y2765" t="s">
        <v>11198</v>
      </c>
      <c r="Z2765" t="s">
        <v>11195</v>
      </c>
      <c r="AA2765" t="s">
        <v>44</v>
      </c>
      <c r="AB2765" t="s">
        <v>44</v>
      </c>
      <c r="AC2765" s="4"/>
      <c r="AD2765" s="4"/>
      <c r="AE2765" s="2">
        <v>0</v>
      </c>
      <c r="AF2765" s="4">
        <v>0</v>
      </c>
      <c r="AG2765" s="2">
        <v>0.28000000000000003</v>
      </c>
      <c r="AH2765" s="2">
        <v>379233.4</v>
      </c>
      <c r="AI2765" s="2">
        <v>0</v>
      </c>
      <c r="AJ2765" s="5">
        <v>44673</v>
      </c>
      <c r="AK2765" t="s">
        <v>12585</v>
      </c>
      <c r="AL2765" s="2">
        <v>0</v>
      </c>
      <c r="AM2765" s="2">
        <v>0</v>
      </c>
      <c r="AN2765" s="2">
        <v>0</v>
      </c>
      <c r="AO2765" t="s">
        <v>44</v>
      </c>
      <c r="AP2765" t="s">
        <v>11215</v>
      </c>
      <c r="AQ2765" t="s">
        <v>5241</v>
      </c>
    </row>
    <row r="2766" spans="1:43" x14ac:dyDescent="0.2">
      <c r="A2766" t="s">
        <v>12584</v>
      </c>
      <c r="B2766" t="s">
        <v>11037</v>
      </c>
      <c r="C2766" t="s">
        <v>11355</v>
      </c>
      <c r="D2766" t="s">
        <v>11356</v>
      </c>
      <c r="E2766" t="s">
        <v>4971</v>
      </c>
      <c r="F2766" t="s">
        <v>6192</v>
      </c>
      <c r="G2766" s="1">
        <v>31456</v>
      </c>
      <c r="H2766" s="2">
        <v>770404</v>
      </c>
      <c r="I2766" s="2">
        <v>708703.68</v>
      </c>
      <c r="J2766" s="2">
        <v>0</v>
      </c>
      <c r="K2766" s="2">
        <v>0</v>
      </c>
      <c r="L2766" s="2">
        <v>708703.68</v>
      </c>
      <c r="M2766" s="3">
        <v>2253</v>
      </c>
      <c r="N2766" s="4">
        <v>1.6123800000000001E-3</v>
      </c>
      <c r="O2766" s="5" t="s">
        <v>44</v>
      </c>
      <c r="P2766" s="5" t="s">
        <v>44</v>
      </c>
      <c r="Q2766" s="1"/>
      <c r="R2766" s="2"/>
      <c r="S2766" s="6"/>
      <c r="T2766" t="s">
        <v>10902</v>
      </c>
      <c r="U2766" t="s">
        <v>10902</v>
      </c>
      <c r="V2766" t="s">
        <v>10902</v>
      </c>
      <c r="W2766" t="s">
        <v>43</v>
      </c>
      <c r="X2766" t="s">
        <v>11357</v>
      </c>
      <c r="Y2766" t="s">
        <v>11358</v>
      </c>
      <c r="Z2766" t="s">
        <v>11355</v>
      </c>
      <c r="AA2766" t="s">
        <v>44</v>
      </c>
      <c r="AB2766" t="s">
        <v>44</v>
      </c>
      <c r="AC2766" s="4"/>
      <c r="AD2766" s="4"/>
      <c r="AE2766" s="2">
        <v>0</v>
      </c>
      <c r="AF2766" s="4">
        <v>0</v>
      </c>
      <c r="AG2766" s="2">
        <v>0.52</v>
      </c>
      <c r="AH2766" s="2">
        <v>708703.68</v>
      </c>
      <c r="AI2766" s="2">
        <v>0</v>
      </c>
      <c r="AJ2766" s="5">
        <v>44673</v>
      </c>
      <c r="AK2766" t="s">
        <v>12585</v>
      </c>
      <c r="AL2766" s="2">
        <v>0</v>
      </c>
      <c r="AM2766" s="2">
        <v>0</v>
      </c>
      <c r="AN2766" s="2">
        <v>0</v>
      </c>
      <c r="AO2766" t="s">
        <v>44</v>
      </c>
      <c r="AP2766" t="s">
        <v>11359</v>
      </c>
      <c r="AQ2766" t="s">
        <v>4971</v>
      </c>
    </row>
    <row r="2767" spans="1:43" x14ac:dyDescent="0.2">
      <c r="A2767" t="s">
        <v>12584</v>
      </c>
      <c r="B2767" t="s">
        <v>11037</v>
      </c>
      <c r="C2767" t="s">
        <v>11355</v>
      </c>
      <c r="D2767" t="s">
        <v>11360</v>
      </c>
      <c r="E2767" t="s">
        <v>4991</v>
      </c>
      <c r="F2767" t="s">
        <v>11360</v>
      </c>
      <c r="G2767" s="1">
        <v>10307</v>
      </c>
      <c r="H2767" s="2">
        <v>722160.35</v>
      </c>
      <c r="I2767" s="2">
        <v>779518.41</v>
      </c>
      <c r="J2767" s="2">
        <v>0</v>
      </c>
      <c r="K2767" s="2">
        <v>0</v>
      </c>
      <c r="L2767" s="2">
        <v>779518.41</v>
      </c>
      <c r="M2767" s="3">
        <v>7563</v>
      </c>
      <c r="N2767" s="4">
        <v>1.77349E-3</v>
      </c>
      <c r="O2767" s="5" t="s">
        <v>44</v>
      </c>
      <c r="P2767" s="5" t="s">
        <v>44</v>
      </c>
      <c r="Q2767" s="1"/>
      <c r="R2767" s="2"/>
      <c r="S2767" s="6"/>
      <c r="T2767" t="s">
        <v>10902</v>
      </c>
      <c r="U2767" t="s">
        <v>10902</v>
      </c>
      <c r="V2767" t="s">
        <v>10902</v>
      </c>
      <c r="W2767" t="s">
        <v>43</v>
      </c>
      <c r="X2767" t="s">
        <v>11357</v>
      </c>
      <c r="Y2767" t="s">
        <v>11358</v>
      </c>
      <c r="Z2767" t="s">
        <v>11355</v>
      </c>
      <c r="AA2767" t="s">
        <v>44</v>
      </c>
      <c r="AB2767" t="s">
        <v>44</v>
      </c>
      <c r="AC2767" s="4"/>
      <c r="AD2767" s="4"/>
      <c r="AE2767" s="2">
        <v>0</v>
      </c>
      <c r="AF2767" s="4">
        <v>0</v>
      </c>
      <c r="AG2767" s="2">
        <v>0.56999999999999995</v>
      </c>
      <c r="AH2767" s="2">
        <v>779518.41</v>
      </c>
      <c r="AI2767" s="2">
        <v>0</v>
      </c>
      <c r="AJ2767" s="5">
        <v>44673</v>
      </c>
      <c r="AK2767" t="s">
        <v>12585</v>
      </c>
      <c r="AL2767" s="2">
        <v>0</v>
      </c>
      <c r="AM2767" s="2">
        <v>0</v>
      </c>
      <c r="AN2767" s="2">
        <v>0</v>
      </c>
      <c r="AO2767" t="s">
        <v>44</v>
      </c>
      <c r="AP2767" t="s">
        <v>11361</v>
      </c>
      <c r="AQ2767" t="s">
        <v>4991</v>
      </c>
    </row>
    <row r="2768" spans="1:43" x14ac:dyDescent="0.2">
      <c r="A2768" t="s">
        <v>12584</v>
      </c>
      <c r="B2768" t="s">
        <v>11037</v>
      </c>
      <c r="C2768" t="s">
        <v>11355</v>
      </c>
      <c r="D2768" t="s">
        <v>11362</v>
      </c>
      <c r="E2768" t="s">
        <v>4862</v>
      </c>
      <c r="F2768" t="s">
        <v>11362</v>
      </c>
      <c r="G2768" s="1">
        <v>38326</v>
      </c>
      <c r="H2768" s="2">
        <v>647357.25</v>
      </c>
      <c r="I2768" s="2">
        <v>613216</v>
      </c>
      <c r="J2768" s="2">
        <v>0</v>
      </c>
      <c r="K2768" s="2">
        <v>0</v>
      </c>
      <c r="L2768" s="2">
        <v>613216</v>
      </c>
      <c r="M2768" s="3">
        <v>1600</v>
      </c>
      <c r="N2768" s="4">
        <v>1.3951300000000001E-3</v>
      </c>
      <c r="O2768" s="5" t="s">
        <v>44</v>
      </c>
      <c r="P2768" s="5" t="s">
        <v>44</v>
      </c>
      <c r="Q2768" s="1"/>
      <c r="R2768" s="2"/>
      <c r="S2768" s="6"/>
      <c r="T2768" t="s">
        <v>10902</v>
      </c>
      <c r="U2768" t="s">
        <v>10902</v>
      </c>
      <c r="V2768" t="s">
        <v>10902</v>
      </c>
      <c r="W2768" t="s">
        <v>43</v>
      </c>
      <c r="X2768" t="s">
        <v>11357</v>
      </c>
      <c r="Y2768" t="s">
        <v>11358</v>
      </c>
      <c r="Z2768" t="s">
        <v>11355</v>
      </c>
      <c r="AA2768" t="s">
        <v>44</v>
      </c>
      <c r="AB2768" t="s">
        <v>44</v>
      </c>
      <c r="AC2768" s="4"/>
      <c r="AD2768" s="4"/>
      <c r="AE2768" s="2">
        <v>0</v>
      </c>
      <c r="AF2768" s="4">
        <v>0</v>
      </c>
      <c r="AG2768" s="2">
        <v>0.45</v>
      </c>
      <c r="AH2768" s="2">
        <v>613216</v>
      </c>
      <c r="AI2768" s="2">
        <v>0</v>
      </c>
      <c r="AJ2768" s="5">
        <v>44673</v>
      </c>
      <c r="AK2768" t="s">
        <v>12585</v>
      </c>
      <c r="AL2768" s="2">
        <v>0</v>
      </c>
      <c r="AM2768" s="2">
        <v>0</v>
      </c>
      <c r="AN2768" s="2">
        <v>0</v>
      </c>
      <c r="AO2768" t="s">
        <v>44</v>
      </c>
      <c r="AP2768" t="s">
        <v>11363</v>
      </c>
      <c r="AQ2768" t="s">
        <v>4862</v>
      </c>
    </row>
    <row r="2769" spans="1:43" x14ac:dyDescent="0.2">
      <c r="A2769" t="s">
        <v>12584</v>
      </c>
      <c r="B2769" t="s">
        <v>11037</v>
      </c>
      <c r="C2769" t="s">
        <v>11364</v>
      </c>
      <c r="D2769" t="s">
        <v>6240</v>
      </c>
      <c r="E2769" t="s">
        <v>5065</v>
      </c>
      <c r="F2769" t="s">
        <v>6240</v>
      </c>
      <c r="G2769" s="1">
        <v>6480</v>
      </c>
      <c r="H2769" s="2">
        <v>852778.81</v>
      </c>
      <c r="I2769" s="2">
        <v>749412</v>
      </c>
      <c r="J2769" s="2">
        <v>0</v>
      </c>
      <c r="K2769" s="2">
        <v>0</v>
      </c>
      <c r="L2769" s="2">
        <v>749412</v>
      </c>
      <c r="M2769" s="3">
        <v>11565</v>
      </c>
      <c r="N2769" s="4">
        <v>1.70499E-3</v>
      </c>
      <c r="O2769" s="5" t="s">
        <v>44</v>
      </c>
      <c r="P2769" s="5" t="s">
        <v>44</v>
      </c>
      <c r="Q2769" s="1"/>
      <c r="R2769" s="2"/>
      <c r="S2769" s="6"/>
      <c r="T2769" t="s">
        <v>10902</v>
      </c>
      <c r="U2769" t="s">
        <v>10902</v>
      </c>
      <c r="V2769" t="s">
        <v>10902</v>
      </c>
      <c r="W2769" t="s">
        <v>43</v>
      </c>
      <c r="X2769" t="s">
        <v>11369</v>
      </c>
      <c r="Y2769" t="s">
        <v>11367</v>
      </c>
      <c r="Z2769" t="s">
        <v>11364</v>
      </c>
      <c r="AA2769" t="s">
        <v>44</v>
      </c>
      <c r="AB2769" t="s">
        <v>44</v>
      </c>
      <c r="AC2769" s="4"/>
      <c r="AD2769" s="4"/>
      <c r="AE2769" s="2">
        <v>0</v>
      </c>
      <c r="AF2769" s="4">
        <v>0</v>
      </c>
      <c r="AG2769" s="2">
        <v>0.55000000000000004</v>
      </c>
      <c r="AH2769" s="2">
        <v>749412</v>
      </c>
      <c r="AI2769" s="2">
        <v>0</v>
      </c>
      <c r="AJ2769" s="5">
        <v>44673</v>
      </c>
      <c r="AK2769" t="s">
        <v>12585</v>
      </c>
      <c r="AL2769" s="2">
        <v>0</v>
      </c>
      <c r="AM2769" s="2">
        <v>0</v>
      </c>
      <c r="AN2769" s="2">
        <v>0</v>
      </c>
      <c r="AO2769" t="s">
        <v>44</v>
      </c>
      <c r="AP2769" t="s">
        <v>11370</v>
      </c>
      <c r="AQ2769" t="s">
        <v>5065</v>
      </c>
    </row>
    <row r="2770" spans="1:43" x14ac:dyDescent="0.2">
      <c r="A2770" t="s">
        <v>12584</v>
      </c>
      <c r="B2770" t="s">
        <v>11037</v>
      </c>
      <c r="C2770" t="s">
        <v>11364</v>
      </c>
      <c r="D2770" t="s">
        <v>11371</v>
      </c>
      <c r="E2770" t="s">
        <v>5127</v>
      </c>
      <c r="F2770" t="s">
        <v>11371</v>
      </c>
      <c r="G2770" s="1">
        <v>64042</v>
      </c>
      <c r="H2770" s="2">
        <v>290290.87</v>
      </c>
      <c r="I2770" s="2">
        <v>329816.3</v>
      </c>
      <c r="J2770" s="2">
        <v>0</v>
      </c>
      <c r="K2770" s="2">
        <v>0</v>
      </c>
      <c r="L2770" s="2">
        <v>329816.3</v>
      </c>
      <c r="M2770" s="3">
        <v>515</v>
      </c>
      <c r="N2770" s="4">
        <v>7.5036999999999999E-4</v>
      </c>
      <c r="O2770" s="5" t="s">
        <v>44</v>
      </c>
      <c r="P2770" s="5" t="s">
        <v>44</v>
      </c>
      <c r="Q2770" s="1"/>
      <c r="R2770" s="2"/>
      <c r="S2770" s="6"/>
      <c r="T2770" t="s">
        <v>10902</v>
      </c>
      <c r="U2770" t="s">
        <v>10902</v>
      </c>
      <c r="V2770" t="s">
        <v>10902</v>
      </c>
      <c r="W2770" t="s">
        <v>43</v>
      </c>
      <c r="X2770" t="s">
        <v>11369</v>
      </c>
      <c r="Y2770" t="s">
        <v>11367</v>
      </c>
      <c r="Z2770" t="s">
        <v>11364</v>
      </c>
      <c r="AA2770" t="s">
        <v>44</v>
      </c>
      <c r="AB2770" t="s">
        <v>44</v>
      </c>
      <c r="AC2770" s="4"/>
      <c r="AD2770" s="4"/>
      <c r="AE2770" s="2">
        <v>0</v>
      </c>
      <c r="AF2770" s="4">
        <v>0</v>
      </c>
      <c r="AG2770" s="2">
        <v>0.24</v>
      </c>
      <c r="AH2770" s="2">
        <v>329816.3</v>
      </c>
      <c r="AI2770" s="2">
        <v>0</v>
      </c>
      <c r="AJ2770" s="5">
        <v>44673</v>
      </c>
      <c r="AK2770" t="s">
        <v>12585</v>
      </c>
      <c r="AL2770" s="2">
        <v>0</v>
      </c>
      <c r="AM2770" s="2">
        <v>0</v>
      </c>
      <c r="AN2770" s="2">
        <v>0</v>
      </c>
      <c r="AO2770" t="s">
        <v>44</v>
      </c>
      <c r="AP2770" t="s">
        <v>11372</v>
      </c>
      <c r="AQ2770" t="s">
        <v>5127</v>
      </c>
    </row>
    <row r="2771" spans="1:43" x14ac:dyDescent="0.2">
      <c r="A2771" t="s">
        <v>12584</v>
      </c>
      <c r="B2771" t="s">
        <v>11037</v>
      </c>
      <c r="C2771" t="s">
        <v>11364</v>
      </c>
      <c r="D2771" t="s">
        <v>5973</v>
      </c>
      <c r="E2771" t="s">
        <v>4873</v>
      </c>
      <c r="F2771" t="s">
        <v>5973</v>
      </c>
      <c r="G2771" s="1">
        <v>393</v>
      </c>
      <c r="H2771" s="2">
        <v>53588.07</v>
      </c>
      <c r="I2771" s="2">
        <v>57240.45</v>
      </c>
      <c r="J2771" s="2">
        <v>0</v>
      </c>
      <c r="K2771" s="2">
        <v>196.5</v>
      </c>
      <c r="L2771" s="2">
        <v>57436.95</v>
      </c>
      <c r="M2771" s="3">
        <v>14565</v>
      </c>
      <c r="N2771" s="4">
        <v>1.3067999999999999E-4</v>
      </c>
      <c r="O2771" s="5" t="s">
        <v>44</v>
      </c>
      <c r="P2771" s="5" t="s">
        <v>44</v>
      </c>
      <c r="Q2771" s="1"/>
      <c r="R2771" s="2"/>
      <c r="S2771" s="6"/>
      <c r="T2771" t="s">
        <v>10902</v>
      </c>
      <c r="U2771" t="s">
        <v>10902</v>
      </c>
      <c r="V2771" t="s">
        <v>10902</v>
      </c>
      <c r="W2771" t="s">
        <v>43</v>
      </c>
      <c r="X2771" t="s">
        <v>11369</v>
      </c>
      <c r="Y2771" t="s">
        <v>11367</v>
      </c>
      <c r="Z2771" t="s">
        <v>11364</v>
      </c>
      <c r="AA2771" t="s">
        <v>44</v>
      </c>
      <c r="AB2771" t="s">
        <v>44</v>
      </c>
      <c r="AC2771" s="4"/>
      <c r="AD2771" s="4"/>
      <c r="AE2771" s="2">
        <v>0</v>
      </c>
      <c r="AF2771" s="4">
        <v>0</v>
      </c>
      <c r="AG2771" s="2">
        <v>0.04</v>
      </c>
      <c r="AH2771" s="2">
        <v>57436.95</v>
      </c>
      <c r="AI2771" s="2">
        <v>0</v>
      </c>
      <c r="AJ2771" s="5">
        <v>44673</v>
      </c>
      <c r="AK2771" t="s">
        <v>12585</v>
      </c>
      <c r="AL2771" s="2">
        <v>0</v>
      </c>
      <c r="AM2771" s="2">
        <v>0</v>
      </c>
      <c r="AN2771" s="2">
        <v>0</v>
      </c>
      <c r="AO2771" t="s">
        <v>44</v>
      </c>
      <c r="AP2771" t="s">
        <v>11723</v>
      </c>
      <c r="AQ2771" t="s">
        <v>4873</v>
      </c>
    </row>
    <row r="2772" spans="1:43" x14ac:dyDescent="0.2">
      <c r="A2772" t="s">
        <v>12584</v>
      </c>
      <c r="B2772" t="s">
        <v>11037</v>
      </c>
      <c r="C2772" t="s">
        <v>11364</v>
      </c>
      <c r="D2772" t="s">
        <v>6443</v>
      </c>
      <c r="E2772" t="s">
        <v>5186</v>
      </c>
      <c r="F2772" t="s">
        <v>6443</v>
      </c>
      <c r="G2772" s="1">
        <v>3952</v>
      </c>
      <c r="H2772" s="2">
        <v>217873.56</v>
      </c>
      <c r="I2772" s="2">
        <v>174520.32000000001</v>
      </c>
      <c r="J2772" s="2">
        <v>0</v>
      </c>
      <c r="K2772" s="2">
        <v>0</v>
      </c>
      <c r="L2772" s="2">
        <v>174520.32000000001</v>
      </c>
      <c r="M2772" s="3">
        <v>4416</v>
      </c>
      <c r="N2772" s="4">
        <v>3.9704999999999997E-4</v>
      </c>
      <c r="O2772" s="5" t="s">
        <v>44</v>
      </c>
      <c r="P2772" s="5" t="s">
        <v>44</v>
      </c>
      <c r="Q2772" s="1"/>
      <c r="R2772" s="2"/>
      <c r="S2772" s="6"/>
      <c r="T2772" t="s">
        <v>10902</v>
      </c>
      <c r="U2772" t="s">
        <v>10902</v>
      </c>
      <c r="V2772" t="s">
        <v>10902</v>
      </c>
      <c r="W2772" t="s">
        <v>43</v>
      </c>
      <c r="X2772" t="s">
        <v>11366</v>
      </c>
      <c r="Y2772" t="s">
        <v>11367</v>
      </c>
      <c r="Z2772" t="s">
        <v>11364</v>
      </c>
      <c r="AA2772" t="s">
        <v>44</v>
      </c>
      <c r="AB2772" t="s">
        <v>44</v>
      </c>
      <c r="AC2772" s="4"/>
      <c r="AD2772" s="4"/>
      <c r="AE2772" s="2">
        <v>0</v>
      </c>
      <c r="AF2772" s="4">
        <v>0</v>
      </c>
      <c r="AG2772" s="2">
        <v>0.13</v>
      </c>
      <c r="AH2772" s="2">
        <v>174520.32000000001</v>
      </c>
      <c r="AI2772" s="2">
        <v>0</v>
      </c>
      <c r="AJ2772" s="5">
        <v>44673</v>
      </c>
      <c r="AK2772" t="s">
        <v>12585</v>
      </c>
      <c r="AL2772" s="2">
        <v>0</v>
      </c>
      <c r="AM2772" s="2">
        <v>0</v>
      </c>
      <c r="AN2772" s="2">
        <v>0</v>
      </c>
      <c r="AO2772" t="s">
        <v>44</v>
      </c>
      <c r="AP2772" t="s">
        <v>11373</v>
      </c>
      <c r="AQ2772" t="s">
        <v>5186</v>
      </c>
    </row>
    <row r="2773" spans="1:43" x14ac:dyDescent="0.2">
      <c r="A2773" t="s">
        <v>12584</v>
      </c>
      <c r="B2773" t="s">
        <v>11037</v>
      </c>
      <c r="C2773" t="s">
        <v>11364</v>
      </c>
      <c r="D2773" t="s">
        <v>11374</v>
      </c>
      <c r="E2773" t="s">
        <v>1786</v>
      </c>
      <c r="F2773" t="s">
        <v>11374</v>
      </c>
      <c r="G2773" s="1">
        <v>9792</v>
      </c>
      <c r="H2773" s="2">
        <v>311900.87</v>
      </c>
      <c r="I2773" s="2">
        <v>264384</v>
      </c>
      <c r="J2773" s="2">
        <v>0</v>
      </c>
      <c r="K2773" s="2">
        <v>0</v>
      </c>
      <c r="L2773" s="2">
        <v>264384</v>
      </c>
      <c r="M2773" s="3">
        <v>2700</v>
      </c>
      <c r="N2773" s="4">
        <v>6.0150000000000004E-4</v>
      </c>
      <c r="O2773" s="5" t="s">
        <v>44</v>
      </c>
      <c r="P2773" s="5" t="s">
        <v>44</v>
      </c>
      <c r="Q2773" s="1"/>
      <c r="R2773" s="2"/>
      <c r="S2773" s="6"/>
      <c r="T2773" t="s">
        <v>10902</v>
      </c>
      <c r="U2773" t="s">
        <v>10902</v>
      </c>
      <c r="V2773" t="s">
        <v>10902</v>
      </c>
      <c r="W2773" t="s">
        <v>43</v>
      </c>
      <c r="X2773" t="s">
        <v>11375</v>
      </c>
      <c r="Y2773" t="s">
        <v>11367</v>
      </c>
      <c r="Z2773" t="s">
        <v>11364</v>
      </c>
      <c r="AA2773" t="s">
        <v>44</v>
      </c>
      <c r="AB2773" t="s">
        <v>44</v>
      </c>
      <c r="AC2773" s="4"/>
      <c r="AD2773" s="4"/>
      <c r="AE2773" s="2">
        <v>0</v>
      </c>
      <c r="AF2773" s="4">
        <v>0</v>
      </c>
      <c r="AG2773" s="2">
        <v>0.19</v>
      </c>
      <c r="AH2773" s="2">
        <v>264384</v>
      </c>
      <c r="AI2773" s="2">
        <v>0</v>
      </c>
      <c r="AJ2773" s="5">
        <v>44673</v>
      </c>
      <c r="AK2773" t="s">
        <v>12585</v>
      </c>
      <c r="AL2773" s="2">
        <v>0</v>
      </c>
      <c r="AM2773" s="2">
        <v>0</v>
      </c>
      <c r="AN2773" s="2">
        <v>0</v>
      </c>
      <c r="AO2773" t="s">
        <v>44</v>
      </c>
      <c r="AP2773" t="s">
        <v>11376</v>
      </c>
      <c r="AQ2773" t="s">
        <v>1786</v>
      </c>
    </row>
    <row r="2774" spans="1:43" x14ac:dyDescent="0.2">
      <c r="A2774" t="s">
        <v>12584</v>
      </c>
      <c r="B2774" t="s">
        <v>11037</v>
      </c>
      <c r="C2774" t="s">
        <v>11364</v>
      </c>
      <c r="D2774" t="s">
        <v>11377</v>
      </c>
      <c r="E2774" t="s">
        <v>5599</v>
      </c>
      <c r="F2774" t="s">
        <v>11378</v>
      </c>
      <c r="G2774" s="1">
        <v>510</v>
      </c>
      <c r="H2774" s="2">
        <v>303014.52</v>
      </c>
      <c r="I2774" s="2">
        <v>275751.90000000002</v>
      </c>
      <c r="J2774" s="2">
        <v>0</v>
      </c>
      <c r="K2774" s="2">
        <v>0</v>
      </c>
      <c r="L2774" s="2">
        <v>275751.90000000002</v>
      </c>
      <c r="M2774" s="3">
        <v>54069</v>
      </c>
      <c r="N2774" s="4">
        <v>6.2737000000000003E-4</v>
      </c>
      <c r="O2774" s="5" t="s">
        <v>44</v>
      </c>
      <c r="P2774" s="5" t="s">
        <v>44</v>
      </c>
      <c r="Q2774" s="1"/>
      <c r="R2774" s="2"/>
      <c r="S2774" s="6"/>
      <c r="T2774" t="s">
        <v>10902</v>
      </c>
      <c r="U2774" t="s">
        <v>10902</v>
      </c>
      <c r="V2774" t="s">
        <v>10902</v>
      </c>
      <c r="W2774" t="s">
        <v>43</v>
      </c>
      <c r="X2774" t="s">
        <v>11375</v>
      </c>
      <c r="Y2774" t="s">
        <v>11367</v>
      </c>
      <c r="Z2774" t="s">
        <v>11364</v>
      </c>
      <c r="AA2774" t="s">
        <v>44</v>
      </c>
      <c r="AB2774" t="s">
        <v>44</v>
      </c>
      <c r="AC2774" s="4"/>
      <c r="AD2774" s="4"/>
      <c r="AE2774" s="2">
        <v>0</v>
      </c>
      <c r="AF2774" s="4">
        <v>0</v>
      </c>
      <c r="AG2774" s="2">
        <v>0.2</v>
      </c>
      <c r="AH2774" s="2">
        <v>275751.90000000002</v>
      </c>
      <c r="AI2774" s="2">
        <v>0</v>
      </c>
      <c r="AJ2774" s="5">
        <v>44673</v>
      </c>
      <c r="AK2774" t="s">
        <v>12585</v>
      </c>
      <c r="AL2774" s="2">
        <v>0</v>
      </c>
      <c r="AM2774" s="2">
        <v>0</v>
      </c>
      <c r="AN2774" s="2">
        <v>0</v>
      </c>
      <c r="AO2774" t="s">
        <v>44</v>
      </c>
      <c r="AP2774" t="s">
        <v>11379</v>
      </c>
      <c r="AQ2774" t="s">
        <v>5599</v>
      </c>
    </row>
    <row r="2775" spans="1:43" x14ac:dyDescent="0.2">
      <c r="A2775" t="s">
        <v>12584</v>
      </c>
      <c r="B2775" t="s">
        <v>11037</v>
      </c>
      <c r="C2775" t="s">
        <v>11364</v>
      </c>
      <c r="D2775" t="s">
        <v>11724</v>
      </c>
      <c r="E2775" t="s">
        <v>4782</v>
      </c>
      <c r="F2775" t="s">
        <v>11724</v>
      </c>
      <c r="G2775" s="1">
        <v>180</v>
      </c>
      <c r="H2775" s="2">
        <v>35594.99</v>
      </c>
      <c r="I2775" s="2">
        <v>39704.400000000001</v>
      </c>
      <c r="J2775" s="2">
        <v>0</v>
      </c>
      <c r="K2775" s="2">
        <v>0</v>
      </c>
      <c r="L2775" s="2">
        <v>39704.400000000001</v>
      </c>
      <c r="M2775" s="3">
        <v>22058</v>
      </c>
      <c r="N2775" s="4">
        <v>9.0329999999999997E-5</v>
      </c>
      <c r="O2775" s="5" t="s">
        <v>44</v>
      </c>
      <c r="P2775" s="5" t="s">
        <v>44</v>
      </c>
      <c r="Q2775" s="1"/>
      <c r="R2775" s="2"/>
      <c r="S2775" s="6"/>
      <c r="T2775" t="s">
        <v>10902</v>
      </c>
      <c r="U2775" t="s">
        <v>10902</v>
      </c>
      <c r="V2775" t="s">
        <v>10902</v>
      </c>
      <c r="W2775" t="s">
        <v>43</v>
      </c>
      <c r="X2775" t="s">
        <v>11725</v>
      </c>
      <c r="Y2775" t="s">
        <v>11367</v>
      </c>
      <c r="Z2775" t="s">
        <v>11364</v>
      </c>
      <c r="AA2775" t="s">
        <v>44</v>
      </c>
      <c r="AB2775" t="s">
        <v>44</v>
      </c>
      <c r="AC2775" s="4"/>
      <c r="AD2775" s="4"/>
      <c r="AE2775" s="2">
        <v>0</v>
      </c>
      <c r="AF2775" s="4">
        <v>0</v>
      </c>
      <c r="AG2775" s="2">
        <v>0.03</v>
      </c>
      <c r="AH2775" s="2">
        <v>39704.400000000001</v>
      </c>
      <c r="AI2775" s="2">
        <v>0</v>
      </c>
      <c r="AJ2775" s="5">
        <v>44673</v>
      </c>
      <c r="AK2775" t="s">
        <v>12585</v>
      </c>
      <c r="AL2775" s="2">
        <v>0</v>
      </c>
      <c r="AM2775" s="2">
        <v>0</v>
      </c>
      <c r="AN2775" s="2">
        <v>0</v>
      </c>
      <c r="AO2775" t="s">
        <v>44</v>
      </c>
      <c r="AP2775" t="s">
        <v>11726</v>
      </c>
      <c r="AQ2775" t="s">
        <v>4782</v>
      </c>
    </row>
    <row r="2776" spans="1:43" x14ac:dyDescent="0.2">
      <c r="A2776" t="s">
        <v>12584</v>
      </c>
      <c r="B2776" t="s">
        <v>11037</v>
      </c>
      <c r="C2776" t="s">
        <v>11727</v>
      </c>
      <c r="D2776" t="s">
        <v>11728</v>
      </c>
      <c r="E2776" t="s">
        <v>4855</v>
      </c>
      <c r="F2776" t="s">
        <v>11728</v>
      </c>
      <c r="G2776" s="1">
        <v>932</v>
      </c>
      <c r="H2776" s="2">
        <v>2252882.56</v>
      </c>
      <c r="I2776" s="2">
        <v>1404784.96</v>
      </c>
      <c r="J2776" s="2">
        <v>0</v>
      </c>
      <c r="K2776" s="2">
        <v>0</v>
      </c>
      <c r="L2776" s="2">
        <v>1404784.96</v>
      </c>
      <c r="M2776" s="3">
        <v>150728</v>
      </c>
      <c r="N2776" s="4">
        <v>3.1960399999999998E-3</v>
      </c>
      <c r="O2776" s="5" t="s">
        <v>44</v>
      </c>
      <c r="P2776" s="5" t="s">
        <v>44</v>
      </c>
      <c r="Q2776" s="1"/>
      <c r="R2776" s="2"/>
      <c r="S2776" s="6"/>
      <c r="T2776" t="s">
        <v>10902</v>
      </c>
      <c r="U2776" t="s">
        <v>10902</v>
      </c>
      <c r="V2776" t="s">
        <v>10902</v>
      </c>
      <c r="W2776" t="s">
        <v>43</v>
      </c>
      <c r="X2776" t="s">
        <v>11729</v>
      </c>
      <c r="Y2776" t="s">
        <v>11727</v>
      </c>
      <c r="Z2776" t="s">
        <v>11727</v>
      </c>
      <c r="AA2776" t="s">
        <v>44</v>
      </c>
      <c r="AB2776" t="s">
        <v>44</v>
      </c>
      <c r="AC2776" s="4"/>
      <c r="AD2776" s="4"/>
      <c r="AE2776" s="2">
        <v>0</v>
      </c>
      <c r="AF2776" s="4">
        <v>0</v>
      </c>
      <c r="AG2776" s="2">
        <v>1.03</v>
      </c>
      <c r="AH2776" s="2">
        <v>1404784.96</v>
      </c>
      <c r="AI2776" s="2">
        <v>0</v>
      </c>
      <c r="AJ2776" s="5">
        <v>44673</v>
      </c>
      <c r="AK2776" t="s">
        <v>12585</v>
      </c>
      <c r="AL2776" s="2">
        <v>0</v>
      </c>
      <c r="AM2776" s="2">
        <v>0</v>
      </c>
      <c r="AN2776" s="2">
        <v>0</v>
      </c>
      <c r="AO2776" t="s">
        <v>44</v>
      </c>
      <c r="AP2776" t="s">
        <v>11730</v>
      </c>
      <c r="AQ2776" t="s">
        <v>4855</v>
      </c>
    </row>
    <row r="2777" spans="1:43" x14ac:dyDescent="0.2">
      <c r="A2777" t="s">
        <v>12584</v>
      </c>
      <c r="B2777" t="s">
        <v>11037</v>
      </c>
      <c r="C2777" t="s">
        <v>11380</v>
      </c>
      <c r="D2777" t="s">
        <v>5901</v>
      </c>
      <c r="E2777" t="s">
        <v>4841</v>
      </c>
      <c r="F2777" t="s">
        <v>5901</v>
      </c>
      <c r="G2777" s="1">
        <v>8011</v>
      </c>
      <c r="H2777" s="2">
        <v>1520641.84</v>
      </c>
      <c r="I2777" s="2">
        <v>1385903</v>
      </c>
      <c r="J2777" s="2">
        <v>0</v>
      </c>
      <c r="K2777" s="2">
        <v>0</v>
      </c>
      <c r="L2777" s="2">
        <v>1385903</v>
      </c>
      <c r="M2777" s="3">
        <v>17300</v>
      </c>
      <c r="N2777" s="4">
        <v>3.1530799999999999E-3</v>
      </c>
      <c r="O2777" s="5" t="s">
        <v>44</v>
      </c>
      <c r="P2777" s="5" t="s">
        <v>44</v>
      </c>
      <c r="Q2777" s="1"/>
      <c r="R2777" s="2"/>
      <c r="S2777" s="6"/>
      <c r="T2777" t="s">
        <v>10902</v>
      </c>
      <c r="U2777" t="s">
        <v>10902</v>
      </c>
      <c r="V2777" t="s">
        <v>10902</v>
      </c>
      <c r="W2777" t="s">
        <v>43</v>
      </c>
      <c r="X2777" t="s">
        <v>11732</v>
      </c>
      <c r="Y2777" t="s">
        <v>11380</v>
      </c>
      <c r="Z2777" t="s">
        <v>11380</v>
      </c>
      <c r="AA2777" t="s">
        <v>44</v>
      </c>
      <c r="AB2777" t="s">
        <v>44</v>
      </c>
      <c r="AC2777" s="4"/>
      <c r="AD2777" s="4"/>
      <c r="AE2777" s="2">
        <v>0</v>
      </c>
      <c r="AF2777" s="4">
        <v>0</v>
      </c>
      <c r="AG2777" s="2">
        <v>1.02</v>
      </c>
      <c r="AH2777" s="2">
        <v>1385903</v>
      </c>
      <c r="AI2777" s="2">
        <v>0</v>
      </c>
      <c r="AJ2777" s="5">
        <v>44673</v>
      </c>
      <c r="AK2777" t="s">
        <v>12585</v>
      </c>
      <c r="AL2777" s="2">
        <v>0</v>
      </c>
      <c r="AM2777" s="2">
        <v>0</v>
      </c>
      <c r="AN2777" s="2">
        <v>0</v>
      </c>
      <c r="AO2777" t="s">
        <v>44</v>
      </c>
      <c r="AP2777" t="s">
        <v>11733</v>
      </c>
      <c r="AQ2777" t="s">
        <v>4841</v>
      </c>
    </row>
    <row r="2778" spans="1:43" x14ac:dyDescent="0.2">
      <c r="A2778" t="s">
        <v>12584</v>
      </c>
      <c r="B2778" t="s">
        <v>11037</v>
      </c>
      <c r="C2778" t="s">
        <v>11380</v>
      </c>
      <c r="D2778" t="s">
        <v>11381</v>
      </c>
      <c r="E2778" t="s">
        <v>5221</v>
      </c>
      <c r="F2778" t="s">
        <v>11381</v>
      </c>
      <c r="G2778" s="1">
        <v>6555</v>
      </c>
      <c r="H2778" s="2">
        <v>366090.74</v>
      </c>
      <c r="I2778" s="2">
        <v>291697.5</v>
      </c>
      <c r="J2778" s="2">
        <v>0</v>
      </c>
      <c r="K2778" s="2">
        <v>0</v>
      </c>
      <c r="L2778" s="2">
        <v>291697.5</v>
      </c>
      <c r="M2778" s="3">
        <v>4450</v>
      </c>
      <c r="N2778" s="4">
        <v>6.6363999999999995E-4</v>
      </c>
      <c r="O2778" s="5" t="s">
        <v>44</v>
      </c>
      <c r="P2778" s="5" t="s">
        <v>44</v>
      </c>
      <c r="Q2778" s="1"/>
      <c r="R2778" s="2"/>
      <c r="S2778" s="6"/>
      <c r="T2778" t="s">
        <v>10902</v>
      </c>
      <c r="U2778" t="s">
        <v>10902</v>
      </c>
      <c r="V2778" t="s">
        <v>10902</v>
      </c>
      <c r="W2778" t="s">
        <v>43</v>
      </c>
      <c r="X2778" t="s">
        <v>11382</v>
      </c>
      <c r="Y2778" t="s">
        <v>11380</v>
      </c>
      <c r="Z2778" t="s">
        <v>11380</v>
      </c>
      <c r="AA2778" t="s">
        <v>44</v>
      </c>
      <c r="AB2778" t="s">
        <v>44</v>
      </c>
      <c r="AC2778" s="4"/>
      <c r="AD2778" s="4"/>
      <c r="AE2778" s="2">
        <v>0</v>
      </c>
      <c r="AF2778" s="4">
        <v>0</v>
      </c>
      <c r="AG2778" s="2">
        <v>0.21</v>
      </c>
      <c r="AH2778" s="2">
        <v>291697.5</v>
      </c>
      <c r="AI2778" s="2">
        <v>0</v>
      </c>
      <c r="AJ2778" s="5">
        <v>44673</v>
      </c>
      <c r="AK2778" t="s">
        <v>12585</v>
      </c>
      <c r="AL2778" s="2">
        <v>0</v>
      </c>
      <c r="AM2778" s="2">
        <v>0</v>
      </c>
      <c r="AN2778" s="2">
        <v>0</v>
      </c>
      <c r="AO2778" t="s">
        <v>44</v>
      </c>
      <c r="AP2778" t="s">
        <v>11383</v>
      </c>
      <c r="AQ2778" t="s">
        <v>5221</v>
      </c>
    </row>
    <row r="2779" spans="1:43" x14ac:dyDescent="0.2">
      <c r="A2779" t="s">
        <v>12584</v>
      </c>
      <c r="B2779" t="s">
        <v>11037</v>
      </c>
      <c r="C2779" t="s">
        <v>11743</v>
      </c>
      <c r="D2779" t="s">
        <v>11744</v>
      </c>
      <c r="E2779" t="s">
        <v>11745</v>
      </c>
      <c r="F2779" t="s">
        <v>11746</v>
      </c>
      <c r="G2779" s="1">
        <v>241</v>
      </c>
      <c r="H2779" s="2">
        <v>38700.99</v>
      </c>
      <c r="I2779" s="2">
        <v>39275.769999999997</v>
      </c>
      <c r="J2779" s="2">
        <v>0</v>
      </c>
      <c r="K2779" s="2">
        <v>0</v>
      </c>
      <c r="L2779" s="2">
        <v>39275.769999999997</v>
      </c>
      <c r="M2779" s="3">
        <v>16297</v>
      </c>
      <c r="N2779" s="4">
        <v>8.9359999999999998E-5</v>
      </c>
      <c r="O2779" s="5" t="s">
        <v>44</v>
      </c>
      <c r="P2779" s="5" t="s">
        <v>44</v>
      </c>
      <c r="Q2779" s="1"/>
      <c r="R2779" s="2"/>
      <c r="S2779" s="6"/>
      <c r="T2779" t="s">
        <v>10902</v>
      </c>
      <c r="U2779" t="s">
        <v>10902</v>
      </c>
      <c r="V2779" t="s">
        <v>10902</v>
      </c>
      <c r="W2779" t="s">
        <v>43</v>
      </c>
      <c r="X2779" t="s">
        <v>11747</v>
      </c>
      <c r="Y2779" t="s">
        <v>11743</v>
      </c>
      <c r="Z2779" t="s">
        <v>11743</v>
      </c>
      <c r="AA2779" t="s">
        <v>44</v>
      </c>
      <c r="AB2779" t="s">
        <v>44</v>
      </c>
      <c r="AC2779" s="4"/>
      <c r="AD2779" s="4"/>
      <c r="AE2779" s="2">
        <v>0</v>
      </c>
      <c r="AF2779" s="4">
        <v>0</v>
      </c>
      <c r="AG2779" s="2">
        <v>0.03</v>
      </c>
      <c r="AH2779" s="2">
        <v>39275.769999999997</v>
      </c>
      <c r="AI2779" s="2">
        <v>0</v>
      </c>
      <c r="AJ2779" s="5">
        <v>44673</v>
      </c>
      <c r="AK2779" t="s">
        <v>12585</v>
      </c>
      <c r="AL2779" s="2">
        <v>0</v>
      </c>
      <c r="AM2779" s="2">
        <v>0</v>
      </c>
      <c r="AN2779" s="2">
        <v>0</v>
      </c>
      <c r="AO2779" t="s">
        <v>44</v>
      </c>
      <c r="AP2779" t="s">
        <v>11748</v>
      </c>
      <c r="AQ2779" t="s">
        <v>11745</v>
      </c>
    </row>
    <row r="2780" spans="1:43" x14ac:dyDescent="0.2">
      <c r="A2780" t="s">
        <v>12584</v>
      </c>
      <c r="B2780" t="s">
        <v>11408</v>
      </c>
      <c r="C2780" t="s">
        <v>11408</v>
      </c>
      <c r="D2780" t="s">
        <v>12126</v>
      </c>
      <c r="E2780" t="s">
        <v>12127</v>
      </c>
      <c r="F2780" t="s">
        <v>12128</v>
      </c>
      <c r="G2780" s="1">
        <v>1696.1053999999999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3"/>
      <c r="N2780" s="4">
        <v>0</v>
      </c>
      <c r="O2780" s="5" t="s">
        <v>44</v>
      </c>
      <c r="P2780" s="5">
        <v>44777</v>
      </c>
      <c r="Q2780" s="1">
        <v>0</v>
      </c>
      <c r="R2780" s="2"/>
      <c r="S2780" s="6"/>
      <c r="T2780" t="s">
        <v>11412</v>
      </c>
      <c r="U2780" t="s">
        <v>11413</v>
      </c>
      <c r="V2780" t="s">
        <v>11414</v>
      </c>
      <c r="W2780" t="s">
        <v>43</v>
      </c>
      <c r="X2780" t="s">
        <v>44</v>
      </c>
      <c r="Y2780" t="s">
        <v>44</v>
      </c>
      <c r="Z2780" t="s">
        <v>44</v>
      </c>
      <c r="AA2780" t="s">
        <v>10979</v>
      </c>
      <c r="AB2780" t="s">
        <v>44</v>
      </c>
      <c r="AC2780" s="4"/>
      <c r="AD2780" s="4"/>
      <c r="AE2780" s="2">
        <v>0</v>
      </c>
      <c r="AF2780" s="4">
        <v>0</v>
      </c>
      <c r="AG2780" s="2">
        <v>0</v>
      </c>
      <c r="AH2780" s="2">
        <v>0</v>
      </c>
      <c r="AI2780" s="2">
        <v>0</v>
      </c>
      <c r="AJ2780" s="5">
        <v>44673</v>
      </c>
      <c r="AK2780" t="s">
        <v>12585</v>
      </c>
      <c r="AL2780" s="2">
        <v>0</v>
      </c>
      <c r="AM2780" s="2">
        <v>0</v>
      </c>
      <c r="AN2780" s="2">
        <v>0</v>
      </c>
      <c r="AO2780" t="s">
        <v>11165</v>
      </c>
      <c r="AP2780" t="s">
        <v>44</v>
      </c>
      <c r="AQ2780" t="s">
        <v>44</v>
      </c>
    </row>
    <row r="2781" spans="1:43" x14ac:dyDescent="0.2">
      <c r="A2781" t="s">
        <v>12584</v>
      </c>
      <c r="B2781" t="s">
        <v>11408</v>
      </c>
      <c r="C2781" t="s">
        <v>11408</v>
      </c>
      <c r="D2781" t="s">
        <v>12129</v>
      </c>
      <c r="E2781" t="s">
        <v>12127</v>
      </c>
      <c r="F2781" t="s">
        <v>12130</v>
      </c>
      <c r="G2781" s="1">
        <v>-51270281.189999998</v>
      </c>
      <c r="H2781" s="2">
        <v>0</v>
      </c>
      <c r="I2781" s="2">
        <v>0</v>
      </c>
      <c r="J2781" s="2">
        <v>-134637.16</v>
      </c>
      <c r="K2781" s="2">
        <v>0</v>
      </c>
      <c r="L2781" s="2">
        <v>-134637.16</v>
      </c>
      <c r="M2781" s="3"/>
      <c r="N2781" s="4">
        <v>-3.0631000000000001E-4</v>
      </c>
      <c r="O2781" s="5" t="s">
        <v>44</v>
      </c>
      <c r="P2781" s="5">
        <v>44777</v>
      </c>
      <c r="Q2781" s="1">
        <v>0</v>
      </c>
      <c r="R2781" s="2"/>
      <c r="S2781" s="6"/>
      <c r="T2781" t="s">
        <v>11412</v>
      </c>
      <c r="U2781" t="s">
        <v>11413</v>
      </c>
      <c r="V2781" t="s">
        <v>11414</v>
      </c>
      <c r="W2781" t="s">
        <v>43</v>
      </c>
      <c r="X2781" t="s">
        <v>44</v>
      </c>
      <c r="Y2781" t="s">
        <v>44</v>
      </c>
      <c r="Z2781" t="s">
        <v>44</v>
      </c>
      <c r="AA2781" t="s">
        <v>10979</v>
      </c>
      <c r="AB2781" t="s">
        <v>44</v>
      </c>
      <c r="AC2781" s="4"/>
      <c r="AD2781" s="4"/>
      <c r="AE2781" s="2">
        <v>0</v>
      </c>
      <c r="AF2781" s="4">
        <v>0</v>
      </c>
      <c r="AG2781" s="2">
        <v>-0.1</v>
      </c>
      <c r="AH2781" s="2">
        <v>-51404918.350000001</v>
      </c>
      <c r="AI2781" s="2">
        <v>-0.12</v>
      </c>
      <c r="AJ2781" s="5">
        <v>44673</v>
      </c>
      <c r="AK2781" t="s">
        <v>12585</v>
      </c>
      <c r="AL2781" s="2">
        <v>0</v>
      </c>
      <c r="AM2781" s="2">
        <v>0</v>
      </c>
      <c r="AN2781" s="2">
        <v>0</v>
      </c>
      <c r="AO2781" t="s">
        <v>11165</v>
      </c>
      <c r="AP2781" t="s">
        <v>44</v>
      </c>
      <c r="AQ2781" t="s">
        <v>44</v>
      </c>
    </row>
    <row r="2782" spans="1:43" x14ac:dyDescent="0.2">
      <c r="A2782" t="s">
        <v>12584</v>
      </c>
      <c r="B2782" t="s">
        <v>11408</v>
      </c>
      <c r="C2782" t="s">
        <v>11408</v>
      </c>
      <c r="D2782" t="s">
        <v>12131</v>
      </c>
      <c r="E2782" t="s">
        <v>12127</v>
      </c>
      <c r="F2782" t="s">
        <v>12132</v>
      </c>
      <c r="G2782" s="1">
        <v>1696.1053999999999</v>
      </c>
      <c r="H2782" s="2">
        <v>0</v>
      </c>
      <c r="I2782" s="2">
        <v>-2282652.58</v>
      </c>
      <c r="J2782" s="2">
        <v>0</v>
      </c>
      <c r="K2782" s="2">
        <v>0</v>
      </c>
      <c r="L2782" s="2">
        <v>-2282652.58</v>
      </c>
      <c r="M2782" s="3">
        <v>28882.42</v>
      </c>
      <c r="N2782" s="4">
        <v>-5.1932799999999998E-3</v>
      </c>
      <c r="O2782" s="5" t="s">
        <v>44</v>
      </c>
      <c r="P2782" s="5">
        <v>44777</v>
      </c>
      <c r="Q2782" s="1">
        <v>0</v>
      </c>
      <c r="R2782" s="2"/>
      <c r="S2782" s="6"/>
      <c r="T2782" t="s">
        <v>11412</v>
      </c>
      <c r="U2782" t="s">
        <v>11413</v>
      </c>
      <c r="V2782" t="s">
        <v>11414</v>
      </c>
      <c r="W2782" t="s">
        <v>43</v>
      </c>
      <c r="X2782" t="s">
        <v>44</v>
      </c>
      <c r="Y2782" t="s">
        <v>44</v>
      </c>
      <c r="Z2782" t="s">
        <v>44</v>
      </c>
      <c r="AA2782" t="s">
        <v>10979</v>
      </c>
      <c r="AB2782" t="s">
        <v>44</v>
      </c>
      <c r="AC2782" s="4"/>
      <c r="AD2782" s="4"/>
      <c r="AE2782" s="2">
        <v>0</v>
      </c>
      <c r="AF2782" s="4">
        <v>0</v>
      </c>
      <c r="AG2782" s="2">
        <v>-1.68</v>
      </c>
      <c r="AH2782" s="2">
        <v>48987628.609999999</v>
      </c>
      <c r="AI2782" s="2">
        <v>0.11</v>
      </c>
      <c r="AJ2782" s="5">
        <v>44673</v>
      </c>
      <c r="AK2782" t="s">
        <v>12585</v>
      </c>
      <c r="AL2782" s="2">
        <v>0</v>
      </c>
      <c r="AM2782" s="2">
        <v>0</v>
      </c>
      <c r="AN2782" s="2">
        <v>0</v>
      </c>
      <c r="AO2782" t="s">
        <v>11165</v>
      </c>
      <c r="AP2782" t="s">
        <v>44</v>
      </c>
      <c r="AQ2782" t="s">
        <v>44</v>
      </c>
    </row>
    <row r="2783" spans="1:43" x14ac:dyDescent="0.2">
      <c r="A2783" t="s">
        <v>12584</v>
      </c>
      <c r="B2783" t="s">
        <v>11408</v>
      </c>
      <c r="C2783" t="s">
        <v>11408</v>
      </c>
      <c r="D2783" t="s">
        <v>11768</v>
      </c>
      <c r="E2783" t="s">
        <v>11769</v>
      </c>
      <c r="F2783" t="s">
        <v>11770</v>
      </c>
      <c r="G2783" s="1">
        <v>1732.85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3"/>
      <c r="N2783" s="4">
        <v>0</v>
      </c>
      <c r="O2783" s="5" t="s">
        <v>44</v>
      </c>
      <c r="P2783" s="5">
        <v>44809</v>
      </c>
      <c r="Q2783" s="1">
        <v>0</v>
      </c>
      <c r="R2783" s="2"/>
      <c r="S2783" s="6"/>
      <c r="T2783" t="s">
        <v>11412</v>
      </c>
      <c r="U2783" t="s">
        <v>11413</v>
      </c>
      <c r="V2783" t="s">
        <v>11414</v>
      </c>
      <c r="W2783" t="s">
        <v>43</v>
      </c>
      <c r="X2783" t="s">
        <v>44</v>
      </c>
      <c r="Y2783" t="s">
        <v>44</v>
      </c>
      <c r="Z2783" t="s">
        <v>44</v>
      </c>
      <c r="AA2783" t="s">
        <v>11035</v>
      </c>
      <c r="AB2783" t="s">
        <v>44</v>
      </c>
      <c r="AC2783" s="4"/>
      <c r="AD2783" s="4"/>
      <c r="AE2783" s="2">
        <v>0</v>
      </c>
      <c r="AF2783" s="4">
        <v>0</v>
      </c>
      <c r="AG2783" s="2">
        <v>0</v>
      </c>
      <c r="AH2783" s="2">
        <v>0</v>
      </c>
      <c r="AI2783" s="2">
        <v>0</v>
      </c>
      <c r="AJ2783" s="5">
        <v>44673</v>
      </c>
      <c r="AK2783" t="s">
        <v>12585</v>
      </c>
      <c r="AL2783" s="2">
        <v>0</v>
      </c>
      <c r="AM2783" s="2">
        <v>0</v>
      </c>
      <c r="AN2783" s="2">
        <v>0</v>
      </c>
      <c r="AO2783" t="s">
        <v>11053</v>
      </c>
      <c r="AP2783" t="s">
        <v>44</v>
      </c>
      <c r="AQ2783" t="s">
        <v>44</v>
      </c>
    </row>
    <row r="2784" spans="1:43" x14ac:dyDescent="0.2">
      <c r="A2784" t="s">
        <v>12584</v>
      </c>
      <c r="B2784" t="s">
        <v>11408</v>
      </c>
      <c r="C2784" t="s">
        <v>11408</v>
      </c>
      <c r="D2784" t="s">
        <v>11771</v>
      </c>
      <c r="E2784" t="s">
        <v>11769</v>
      </c>
      <c r="F2784" t="s">
        <v>11772</v>
      </c>
      <c r="G2784" s="1">
        <v>-52381005.079999998</v>
      </c>
      <c r="H2784" s="2">
        <v>0</v>
      </c>
      <c r="I2784" s="2">
        <v>0</v>
      </c>
      <c r="J2784" s="2">
        <v>-137749.13</v>
      </c>
      <c r="K2784" s="2">
        <v>0</v>
      </c>
      <c r="L2784" s="2">
        <v>-137749.13</v>
      </c>
      <c r="M2784" s="3"/>
      <c r="N2784" s="4">
        <v>-3.1338999999999998E-4</v>
      </c>
      <c r="O2784" s="5" t="s">
        <v>44</v>
      </c>
      <c r="P2784" s="5">
        <v>44809</v>
      </c>
      <c r="Q2784" s="1">
        <v>0</v>
      </c>
      <c r="R2784" s="2"/>
      <c r="S2784" s="6"/>
      <c r="T2784" t="s">
        <v>11412</v>
      </c>
      <c r="U2784" t="s">
        <v>11413</v>
      </c>
      <c r="V2784" t="s">
        <v>11414</v>
      </c>
      <c r="W2784" t="s">
        <v>43</v>
      </c>
      <c r="X2784" t="s">
        <v>44</v>
      </c>
      <c r="Y2784" t="s">
        <v>44</v>
      </c>
      <c r="Z2784" t="s">
        <v>44</v>
      </c>
      <c r="AA2784" t="s">
        <v>11035</v>
      </c>
      <c r="AB2784" t="s">
        <v>44</v>
      </c>
      <c r="AC2784" s="4"/>
      <c r="AD2784" s="4"/>
      <c r="AE2784" s="2">
        <v>0</v>
      </c>
      <c r="AF2784" s="4">
        <v>0</v>
      </c>
      <c r="AG2784" s="2">
        <v>-0.1</v>
      </c>
      <c r="AH2784" s="2">
        <v>-52518754.210000001</v>
      </c>
      <c r="AI2784" s="2">
        <v>-0.12</v>
      </c>
      <c r="AJ2784" s="5">
        <v>44673</v>
      </c>
      <c r="AK2784" t="s">
        <v>12585</v>
      </c>
      <c r="AL2784" s="2">
        <v>0</v>
      </c>
      <c r="AM2784" s="2">
        <v>0</v>
      </c>
      <c r="AN2784" s="2">
        <v>0</v>
      </c>
      <c r="AO2784" t="s">
        <v>11053</v>
      </c>
      <c r="AP2784" t="s">
        <v>44</v>
      </c>
      <c r="AQ2784" t="s">
        <v>44</v>
      </c>
    </row>
    <row r="2785" spans="1:43" x14ac:dyDescent="0.2">
      <c r="A2785" t="s">
        <v>12584</v>
      </c>
      <c r="B2785" t="s">
        <v>11408</v>
      </c>
      <c r="C2785" t="s">
        <v>11408</v>
      </c>
      <c r="D2785" t="s">
        <v>11773</v>
      </c>
      <c r="E2785" t="s">
        <v>11769</v>
      </c>
      <c r="F2785" t="s">
        <v>11774</v>
      </c>
      <c r="G2785" s="1">
        <v>1732.85</v>
      </c>
      <c r="H2785" s="2">
        <v>0</v>
      </c>
      <c r="I2785" s="2">
        <v>-2332104.16</v>
      </c>
      <c r="J2785" s="2">
        <v>0</v>
      </c>
      <c r="K2785" s="2">
        <v>0</v>
      </c>
      <c r="L2785" s="2">
        <v>-2332104.16</v>
      </c>
      <c r="M2785" s="3">
        <v>28882.42</v>
      </c>
      <c r="N2785" s="4">
        <v>-5.3057900000000003E-3</v>
      </c>
      <c r="O2785" s="5" t="s">
        <v>44</v>
      </c>
      <c r="P2785" s="5">
        <v>44809</v>
      </c>
      <c r="Q2785" s="1">
        <v>0</v>
      </c>
      <c r="R2785" s="2"/>
      <c r="S2785" s="6"/>
      <c r="T2785" t="s">
        <v>11412</v>
      </c>
      <c r="U2785" t="s">
        <v>11413</v>
      </c>
      <c r="V2785" t="s">
        <v>11414</v>
      </c>
      <c r="W2785" t="s">
        <v>43</v>
      </c>
      <c r="X2785" t="s">
        <v>44</v>
      </c>
      <c r="Y2785" t="s">
        <v>44</v>
      </c>
      <c r="Z2785" t="s">
        <v>44</v>
      </c>
      <c r="AA2785" t="s">
        <v>11035</v>
      </c>
      <c r="AB2785" t="s">
        <v>44</v>
      </c>
      <c r="AC2785" s="4"/>
      <c r="AD2785" s="4"/>
      <c r="AE2785" s="2">
        <v>0</v>
      </c>
      <c r="AF2785" s="4">
        <v>0</v>
      </c>
      <c r="AG2785" s="2">
        <v>-1.72</v>
      </c>
      <c r="AH2785" s="2">
        <v>50048900.920000002</v>
      </c>
      <c r="AI2785" s="2">
        <v>0.11</v>
      </c>
      <c r="AJ2785" s="5">
        <v>44673</v>
      </c>
      <c r="AK2785" t="s">
        <v>12585</v>
      </c>
      <c r="AL2785" s="2">
        <v>0</v>
      </c>
      <c r="AM2785" s="2">
        <v>0</v>
      </c>
      <c r="AN2785" s="2">
        <v>0</v>
      </c>
      <c r="AO2785" t="s">
        <v>11053</v>
      </c>
      <c r="AP2785" t="s">
        <v>44</v>
      </c>
      <c r="AQ2785" t="s">
        <v>44</v>
      </c>
    </row>
    <row r="2786" spans="1:43" x14ac:dyDescent="0.2">
      <c r="A2786" t="s">
        <v>12584</v>
      </c>
      <c r="B2786" t="s">
        <v>11030</v>
      </c>
      <c r="C2786" t="s">
        <v>11030</v>
      </c>
      <c r="D2786" t="s">
        <v>11775</v>
      </c>
      <c r="E2786" t="s">
        <v>11754</v>
      </c>
      <c r="F2786" t="s">
        <v>11775</v>
      </c>
      <c r="G2786" s="1">
        <v>41</v>
      </c>
      <c r="H2786" s="2"/>
      <c r="I2786" s="2">
        <v>0</v>
      </c>
      <c r="J2786" s="2"/>
      <c r="K2786" s="2"/>
      <c r="L2786" s="2">
        <v>0</v>
      </c>
      <c r="M2786" s="3"/>
      <c r="N2786" s="4">
        <v>0</v>
      </c>
      <c r="O2786" s="5" t="s">
        <v>44</v>
      </c>
      <c r="P2786" s="5" t="s">
        <v>44</v>
      </c>
      <c r="Q2786" s="1"/>
      <c r="R2786" s="2"/>
      <c r="S2786" s="6"/>
      <c r="T2786" t="s">
        <v>11031</v>
      </c>
      <c r="U2786" t="s">
        <v>11032</v>
      </c>
      <c r="V2786" t="s">
        <v>45</v>
      </c>
      <c r="W2786" t="s">
        <v>43</v>
      </c>
      <c r="X2786" t="s">
        <v>44</v>
      </c>
      <c r="Y2786" t="s">
        <v>44</v>
      </c>
      <c r="Z2786" t="s">
        <v>44</v>
      </c>
      <c r="AA2786" t="s">
        <v>44</v>
      </c>
      <c r="AB2786" t="s">
        <v>44</v>
      </c>
      <c r="AC2786" s="4"/>
      <c r="AD2786" s="4"/>
      <c r="AE2786" s="2">
        <v>0</v>
      </c>
      <c r="AF2786" s="4">
        <v>0</v>
      </c>
      <c r="AG2786" s="2">
        <v>0</v>
      </c>
      <c r="AH2786" s="2">
        <v>-8204920</v>
      </c>
      <c r="AI2786" s="2">
        <v>-0.02</v>
      </c>
      <c r="AJ2786" s="5">
        <v>44673</v>
      </c>
      <c r="AK2786" t="s">
        <v>12585</v>
      </c>
      <c r="AL2786" s="2">
        <v>0</v>
      </c>
      <c r="AM2786" s="2">
        <v>0</v>
      </c>
      <c r="AN2786" s="2">
        <v>0</v>
      </c>
      <c r="AO2786" t="s">
        <v>44</v>
      </c>
      <c r="AP2786" t="s">
        <v>44</v>
      </c>
      <c r="AQ2786" t="s">
        <v>11182</v>
      </c>
    </row>
    <row r="2787" spans="1:43" x14ac:dyDescent="0.2">
      <c r="A2787" t="s">
        <v>12586</v>
      </c>
      <c r="B2787" t="s">
        <v>10900</v>
      </c>
      <c r="C2787" t="s">
        <v>11049</v>
      </c>
      <c r="D2787" t="s">
        <v>11453</v>
      </c>
      <c r="E2787" t="s">
        <v>11454</v>
      </c>
      <c r="F2787" t="s">
        <v>11453</v>
      </c>
      <c r="G2787" s="1">
        <v>2400000</v>
      </c>
      <c r="H2787" s="2">
        <v>2406126.5699999998</v>
      </c>
      <c r="I2787" s="2">
        <v>2409065.73</v>
      </c>
      <c r="J2787" s="2">
        <v>19269.57</v>
      </c>
      <c r="K2787" s="2">
        <v>0</v>
      </c>
      <c r="L2787" s="2">
        <v>2428335.2999999998</v>
      </c>
      <c r="M2787" s="3">
        <v>5.0248049999999997</v>
      </c>
      <c r="N2787" s="4">
        <v>5.5247200000000003E-3</v>
      </c>
      <c r="O2787" s="5">
        <v>44707</v>
      </c>
      <c r="P2787" s="5">
        <v>44983</v>
      </c>
      <c r="Q2787" s="1">
        <v>5.4269999999999996</v>
      </c>
      <c r="R2787" s="2">
        <v>0.08</v>
      </c>
      <c r="S2787" s="6">
        <v>7.8644503066000002E-2</v>
      </c>
      <c r="T2787" t="s">
        <v>111</v>
      </c>
      <c r="U2787" t="s">
        <v>111</v>
      </c>
      <c r="V2787" t="s">
        <v>11189</v>
      </c>
      <c r="W2787" t="s">
        <v>43</v>
      </c>
      <c r="X2787" t="s">
        <v>11034</v>
      </c>
      <c r="Y2787" t="s">
        <v>44</v>
      </c>
      <c r="Z2787" t="s">
        <v>44</v>
      </c>
      <c r="AA2787" t="s">
        <v>11441</v>
      </c>
      <c r="AB2787" t="s">
        <v>44</v>
      </c>
      <c r="AC2787" s="4">
        <v>5.0879264600000003</v>
      </c>
      <c r="AD2787" s="4">
        <v>4.9729969399999998</v>
      </c>
      <c r="AE2787" s="2">
        <v>5.09</v>
      </c>
      <c r="AF2787" s="4">
        <v>4.9729969399999998</v>
      </c>
      <c r="AG2787" s="2">
        <v>2.4500000000000002</v>
      </c>
      <c r="AH2787" s="2">
        <v>2428335.2999999998</v>
      </c>
      <c r="AI2787" s="2">
        <v>0.01</v>
      </c>
      <c r="AJ2787" s="5">
        <v>44673</v>
      </c>
      <c r="AK2787" t="s">
        <v>12587</v>
      </c>
      <c r="AL2787" s="2">
        <v>5.0199999999999996</v>
      </c>
      <c r="AM2787" s="2">
        <v>5.43</v>
      </c>
      <c r="AN2787" s="2">
        <v>0.08</v>
      </c>
      <c r="AO2787" t="s">
        <v>11455</v>
      </c>
      <c r="AP2787" t="s">
        <v>11456</v>
      </c>
      <c r="AQ2787" t="s">
        <v>11454</v>
      </c>
    </row>
    <row r="2788" spans="1:43" x14ac:dyDescent="0.2">
      <c r="A2788" t="s">
        <v>12586</v>
      </c>
      <c r="B2788" t="s">
        <v>10900</v>
      </c>
      <c r="C2788" t="s">
        <v>11049</v>
      </c>
      <c r="D2788" t="s">
        <v>11457</v>
      </c>
      <c r="E2788" t="s">
        <v>11458</v>
      </c>
      <c r="F2788" t="s">
        <v>11457</v>
      </c>
      <c r="G2788" s="1">
        <v>200000</v>
      </c>
      <c r="H2788" s="2">
        <v>199955.59</v>
      </c>
      <c r="I2788" s="2">
        <v>200000.74</v>
      </c>
      <c r="J2788" s="2">
        <v>2407.4299999999998</v>
      </c>
      <c r="K2788" s="2">
        <v>0</v>
      </c>
      <c r="L2788" s="2">
        <v>202408.17</v>
      </c>
      <c r="M2788" s="3">
        <v>5.4289139999999998</v>
      </c>
      <c r="N2788" s="4">
        <v>4.6050000000000003E-4</v>
      </c>
      <c r="O2788" s="5">
        <v>44684</v>
      </c>
      <c r="P2788" s="5">
        <v>44957</v>
      </c>
      <c r="Q2788" s="1">
        <v>5.3579999999999997</v>
      </c>
      <c r="R2788" s="2">
        <v>0.02</v>
      </c>
      <c r="S2788" s="6">
        <v>1.4426938812E-2</v>
      </c>
      <c r="T2788" t="s">
        <v>111</v>
      </c>
      <c r="U2788" t="s">
        <v>111</v>
      </c>
      <c r="V2788" t="s">
        <v>11189</v>
      </c>
      <c r="W2788" t="s">
        <v>43</v>
      </c>
      <c r="X2788" t="s">
        <v>11034</v>
      </c>
      <c r="Y2788" t="s">
        <v>44</v>
      </c>
      <c r="Z2788" t="s">
        <v>44</v>
      </c>
      <c r="AA2788" t="s">
        <v>10979</v>
      </c>
      <c r="AB2788" t="s">
        <v>44</v>
      </c>
      <c r="AC2788" s="4">
        <v>5.5025962599999998</v>
      </c>
      <c r="AD2788" s="4">
        <v>5.3685105899999996</v>
      </c>
      <c r="AE2788" s="2">
        <v>5.5</v>
      </c>
      <c r="AF2788" s="4">
        <v>5.3685105899999996</v>
      </c>
      <c r="AG2788" s="2">
        <v>0.2</v>
      </c>
      <c r="AH2788" s="2">
        <v>202408.17</v>
      </c>
      <c r="AI2788" s="2">
        <v>0</v>
      </c>
      <c r="AJ2788" s="5">
        <v>44673</v>
      </c>
      <c r="AK2788" t="s">
        <v>12587</v>
      </c>
      <c r="AL2788" s="2">
        <v>5.43</v>
      </c>
      <c r="AM2788" s="2">
        <v>5.36</v>
      </c>
      <c r="AN2788" s="2">
        <v>0.01</v>
      </c>
      <c r="AO2788" t="s">
        <v>11048</v>
      </c>
      <c r="AP2788" t="s">
        <v>11459</v>
      </c>
      <c r="AQ2788" t="s">
        <v>11458</v>
      </c>
    </row>
    <row r="2789" spans="1:43" x14ac:dyDescent="0.2">
      <c r="A2789" t="s">
        <v>12586</v>
      </c>
      <c r="B2789" t="s">
        <v>10900</v>
      </c>
      <c r="C2789" t="s">
        <v>11049</v>
      </c>
      <c r="D2789" t="s">
        <v>11785</v>
      </c>
      <c r="E2789" t="s">
        <v>11786</v>
      </c>
      <c r="F2789" t="s">
        <v>11785</v>
      </c>
      <c r="G2789" s="1">
        <v>4100000</v>
      </c>
      <c r="H2789" s="2">
        <v>4132106.87</v>
      </c>
      <c r="I2789" s="2">
        <v>4141875.72</v>
      </c>
      <c r="J2789" s="2">
        <v>26750.42</v>
      </c>
      <c r="K2789" s="2">
        <v>0</v>
      </c>
      <c r="L2789" s="2">
        <v>4168626.14</v>
      </c>
      <c r="M2789" s="3">
        <v>4.8216830000000002</v>
      </c>
      <c r="N2789" s="4">
        <v>9.4840700000000007E-3</v>
      </c>
      <c r="O2789" s="5">
        <v>44732</v>
      </c>
      <c r="P2789" s="5">
        <v>44824</v>
      </c>
      <c r="Q2789" s="1">
        <v>7.4420000000000002</v>
      </c>
      <c r="R2789" s="2">
        <v>0.15</v>
      </c>
      <c r="S2789" s="6">
        <v>0.146783072519</v>
      </c>
      <c r="T2789" t="s">
        <v>111</v>
      </c>
      <c r="U2789" t="s">
        <v>111</v>
      </c>
      <c r="V2789" t="s">
        <v>11189</v>
      </c>
      <c r="W2789" t="s">
        <v>43</v>
      </c>
      <c r="X2789" t="s">
        <v>11034</v>
      </c>
      <c r="Y2789" t="s">
        <v>44</v>
      </c>
      <c r="Z2789" t="s">
        <v>44</v>
      </c>
      <c r="AA2789" t="s">
        <v>10979</v>
      </c>
      <c r="AB2789" t="s">
        <v>11441</v>
      </c>
      <c r="AC2789" s="4">
        <v>4.87980444</v>
      </c>
      <c r="AD2789" s="4">
        <v>4.7739498600000001</v>
      </c>
      <c r="AE2789" s="2">
        <v>4.88</v>
      </c>
      <c r="AF2789" s="4">
        <v>4.7739498600000001</v>
      </c>
      <c r="AG2789" s="2">
        <v>4.21</v>
      </c>
      <c r="AH2789" s="2">
        <v>4168626.14</v>
      </c>
      <c r="AI2789" s="2">
        <v>0.01</v>
      </c>
      <c r="AJ2789" s="5">
        <v>44673</v>
      </c>
      <c r="AK2789" t="s">
        <v>12587</v>
      </c>
      <c r="AL2789" s="2">
        <v>4.82</v>
      </c>
      <c r="AM2789" s="2">
        <v>7.44</v>
      </c>
      <c r="AN2789" s="2">
        <v>0.15</v>
      </c>
      <c r="AO2789" t="s">
        <v>11054</v>
      </c>
      <c r="AP2789" t="s">
        <v>11787</v>
      </c>
      <c r="AQ2789" t="s">
        <v>11786</v>
      </c>
    </row>
    <row r="2790" spans="1:43" x14ac:dyDescent="0.2">
      <c r="A2790" t="s">
        <v>12586</v>
      </c>
      <c r="B2790" t="s">
        <v>10900</v>
      </c>
      <c r="C2790" t="s">
        <v>11049</v>
      </c>
      <c r="D2790" t="s">
        <v>11956</v>
      </c>
      <c r="E2790" t="s">
        <v>11957</v>
      </c>
      <c r="F2790" t="s">
        <v>11956</v>
      </c>
      <c r="G2790" s="1">
        <v>400000</v>
      </c>
      <c r="H2790" s="2">
        <v>399946.16</v>
      </c>
      <c r="I2790" s="2">
        <v>400923.97</v>
      </c>
      <c r="J2790" s="2">
        <v>4271.1099999999997</v>
      </c>
      <c r="K2790" s="2">
        <v>0</v>
      </c>
      <c r="L2790" s="2">
        <v>405195.08</v>
      </c>
      <c r="M2790" s="3">
        <v>5.1338650000000001</v>
      </c>
      <c r="N2790" s="4">
        <v>9.2186000000000004E-4</v>
      </c>
      <c r="O2790" s="5">
        <v>44697</v>
      </c>
      <c r="P2790" s="5">
        <v>44788</v>
      </c>
      <c r="Q2790" s="1">
        <v>5.8170000000000002</v>
      </c>
      <c r="R2790" s="2">
        <v>0.06</v>
      </c>
      <c r="S2790" s="6">
        <v>5.3630172561E-2</v>
      </c>
      <c r="T2790" t="s">
        <v>111</v>
      </c>
      <c r="U2790" t="s">
        <v>111</v>
      </c>
      <c r="V2790" t="s">
        <v>11189</v>
      </c>
      <c r="W2790" t="s">
        <v>43</v>
      </c>
      <c r="X2790" t="s">
        <v>11034</v>
      </c>
      <c r="Y2790" t="s">
        <v>44</v>
      </c>
      <c r="Z2790" t="s">
        <v>44</v>
      </c>
      <c r="AA2790" t="s">
        <v>11225</v>
      </c>
      <c r="AB2790" t="s">
        <v>44</v>
      </c>
      <c r="AC2790" s="4">
        <v>5.1997564000000001</v>
      </c>
      <c r="AD2790" s="4">
        <v>5.0798014499999997</v>
      </c>
      <c r="AE2790" s="2">
        <v>5.2</v>
      </c>
      <c r="AF2790" s="4">
        <v>5.0798014499999997</v>
      </c>
      <c r="AG2790" s="2">
        <v>0.41</v>
      </c>
      <c r="AH2790" s="2">
        <v>405195.08</v>
      </c>
      <c r="AI2790" s="2">
        <v>0</v>
      </c>
      <c r="AJ2790" s="5">
        <v>44673</v>
      </c>
      <c r="AK2790" t="s">
        <v>12587</v>
      </c>
      <c r="AL2790" s="2">
        <v>5.13</v>
      </c>
      <c r="AM2790" s="2">
        <v>5.82</v>
      </c>
      <c r="AN2790" s="2">
        <v>0.05</v>
      </c>
      <c r="AO2790" t="s">
        <v>11817</v>
      </c>
      <c r="AP2790" t="s">
        <v>11958</v>
      </c>
      <c r="AQ2790" t="s">
        <v>11957</v>
      </c>
    </row>
    <row r="2791" spans="1:43" x14ac:dyDescent="0.2">
      <c r="A2791" t="s">
        <v>12586</v>
      </c>
      <c r="B2791" t="s">
        <v>10900</v>
      </c>
      <c r="C2791" t="s">
        <v>11049</v>
      </c>
      <c r="D2791" t="s">
        <v>11463</v>
      </c>
      <c r="E2791" t="s">
        <v>11464</v>
      </c>
      <c r="F2791" t="s">
        <v>11463</v>
      </c>
      <c r="G2791" s="1">
        <v>200000</v>
      </c>
      <c r="H2791" s="2">
        <v>200841.98</v>
      </c>
      <c r="I2791" s="2">
        <v>200794.74</v>
      </c>
      <c r="J2791" s="2">
        <v>1436.41</v>
      </c>
      <c r="K2791" s="2">
        <v>0</v>
      </c>
      <c r="L2791" s="2">
        <v>202231.15</v>
      </c>
      <c r="M2791" s="3">
        <v>5.5214679999999996</v>
      </c>
      <c r="N2791" s="4">
        <v>4.6010000000000002E-4</v>
      </c>
      <c r="O2791" s="5">
        <v>44733</v>
      </c>
      <c r="P2791" s="5">
        <v>44733</v>
      </c>
      <c r="Q2791" s="1">
        <v>8.1920000000000002</v>
      </c>
      <c r="R2791" s="2">
        <v>0.16</v>
      </c>
      <c r="S2791" s="6">
        <v>0.14786153473499999</v>
      </c>
      <c r="T2791" t="s">
        <v>111</v>
      </c>
      <c r="U2791" t="s">
        <v>111</v>
      </c>
      <c r="V2791" t="s">
        <v>11189</v>
      </c>
      <c r="W2791" t="s">
        <v>43</v>
      </c>
      <c r="X2791" t="s">
        <v>11034</v>
      </c>
      <c r="Y2791" t="s">
        <v>44</v>
      </c>
      <c r="Z2791" t="s">
        <v>44</v>
      </c>
      <c r="AA2791" t="s">
        <v>11035</v>
      </c>
      <c r="AB2791" t="s">
        <v>11465</v>
      </c>
      <c r="AC2791" s="4">
        <v>5.5976845400000004</v>
      </c>
      <c r="AD2791" s="4">
        <v>5.4590052800000004</v>
      </c>
      <c r="AE2791" s="2">
        <v>5.6</v>
      </c>
      <c r="AF2791" s="4">
        <v>5.4590052800000004</v>
      </c>
      <c r="AG2791" s="2">
        <v>0.2</v>
      </c>
      <c r="AH2791" s="2">
        <v>202231.15</v>
      </c>
      <c r="AI2791" s="2">
        <v>0</v>
      </c>
      <c r="AJ2791" s="5">
        <v>44673</v>
      </c>
      <c r="AK2791" t="s">
        <v>12587</v>
      </c>
      <c r="AL2791" s="2">
        <v>5.52</v>
      </c>
      <c r="AM2791" s="2">
        <v>8.19</v>
      </c>
      <c r="AN2791" s="2">
        <v>0.15</v>
      </c>
      <c r="AO2791" t="s">
        <v>11053</v>
      </c>
      <c r="AP2791" t="s">
        <v>11466</v>
      </c>
      <c r="AQ2791" t="s">
        <v>11464</v>
      </c>
    </row>
    <row r="2792" spans="1:43" x14ac:dyDescent="0.2">
      <c r="A2792" t="s">
        <v>12586</v>
      </c>
      <c r="B2792" t="s">
        <v>10900</v>
      </c>
      <c r="C2792" t="s">
        <v>11049</v>
      </c>
      <c r="D2792" t="s">
        <v>11467</v>
      </c>
      <c r="E2792" t="s">
        <v>11468</v>
      </c>
      <c r="F2792" t="s">
        <v>11467</v>
      </c>
      <c r="G2792" s="1">
        <v>300000</v>
      </c>
      <c r="H2792" s="2">
        <v>298918.87</v>
      </c>
      <c r="I2792" s="2">
        <v>300040.05</v>
      </c>
      <c r="J2792" s="2">
        <v>7269.86</v>
      </c>
      <c r="K2792" s="2">
        <v>0</v>
      </c>
      <c r="L2792" s="2">
        <v>307309.90999999997</v>
      </c>
      <c r="M2792" s="3">
        <v>6.1</v>
      </c>
      <c r="N2792" s="4">
        <v>6.9915999999999999E-4</v>
      </c>
      <c r="O2792" s="5">
        <v>44710</v>
      </c>
      <c r="P2792" s="5">
        <v>44894</v>
      </c>
      <c r="Q2792" s="1">
        <v>6.1</v>
      </c>
      <c r="R2792" s="2">
        <v>0.57999999999999996</v>
      </c>
      <c r="S2792" s="6">
        <v>0.56198351300000005</v>
      </c>
      <c r="T2792" t="s">
        <v>111</v>
      </c>
      <c r="U2792" t="s">
        <v>111</v>
      </c>
      <c r="V2792" t="s">
        <v>114</v>
      </c>
      <c r="W2792" t="s">
        <v>43</v>
      </c>
      <c r="X2792" t="s">
        <v>44</v>
      </c>
      <c r="Y2792" t="s">
        <v>44</v>
      </c>
      <c r="Z2792" t="s">
        <v>44</v>
      </c>
      <c r="AA2792" t="s">
        <v>11465</v>
      </c>
      <c r="AB2792" t="s">
        <v>44</v>
      </c>
      <c r="AC2792" s="4">
        <v>6.1930249999999996</v>
      </c>
      <c r="AD2792" s="4">
        <v>6.0238935700000003</v>
      </c>
      <c r="AE2792" s="2">
        <v>6.19</v>
      </c>
      <c r="AF2792" s="4">
        <v>6.0238935700000003</v>
      </c>
      <c r="AG2792" s="2">
        <v>0.31</v>
      </c>
      <c r="AH2792" s="2">
        <v>307309.90999999997</v>
      </c>
      <c r="AI2792" s="2">
        <v>0</v>
      </c>
      <c r="AJ2792" s="5">
        <v>44673</v>
      </c>
      <c r="AK2792" t="s">
        <v>12587</v>
      </c>
      <c r="AL2792" s="2">
        <v>6.1</v>
      </c>
      <c r="AM2792" s="2">
        <v>6.1</v>
      </c>
      <c r="AN2792" s="2">
        <v>0.56000000000000005</v>
      </c>
      <c r="AO2792" t="s">
        <v>11469</v>
      </c>
      <c r="AP2792" t="s">
        <v>11470</v>
      </c>
      <c r="AQ2792" t="s">
        <v>11468</v>
      </c>
    </row>
    <row r="2793" spans="1:43" x14ac:dyDescent="0.2">
      <c r="A2793" t="s">
        <v>12586</v>
      </c>
      <c r="B2793" t="s">
        <v>10900</v>
      </c>
      <c r="C2793" t="s">
        <v>11049</v>
      </c>
      <c r="D2793" t="s">
        <v>11471</v>
      </c>
      <c r="E2793" t="s">
        <v>11472</v>
      </c>
      <c r="F2793" t="s">
        <v>11471</v>
      </c>
      <c r="G2793" s="1">
        <v>6000000</v>
      </c>
      <c r="H2793" s="2">
        <v>5999453.2699999996</v>
      </c>
      <c r="I2793" s="2">
        <v>5999548.2000000002</v>
      </c>
      <c r="J2793" s="2">
        <v>149621.92000000001</v>
      </c>
      <c r="K2793" s="2">
        <v>0</v>
      </c>
      <c r="L2793" s="2">
        <v>6149170.1200000001</v>
      </c>
      <c r="M2793" s="3">
        <v>7.4</v>
      </c>
      <c r="N2793" s="4">
        <v>1.3990020000000001E-2</v>
      </c>
      <c r="O2793" s="5">
        <v>44733</v>
      </c>
      <c r="P2793" s="5">
        <v>44916</v>
      </c>
      <c r="Q2793" s="1">
        <v>7.4</v>
      </c>
      <c r="R2793" s="2">
        <v>0.64</v>
      </c>
      <c r="S2793" s="6">
        <v>0.61596285799999995</v>
      </c>
      <c r="T2793" t="s">
        <v>111</v>
      </c>
      <c r="U2793" t="s">
        <v>111</v>
      </c>
      <c r="V2793" t="s">
        <v>114</v>
      </c>
      <c r="W2793" t="s">
        <v>43</v>
      </c>
      <c r="X2793" t="s">
        <v>10988</v>
      </c>
      <c r="Y2793" t="s">
        <v>44</v>
      </c>
      <c r="Z2793" t="s">
        <v>44</v>
      </c>
      <c r="AA2793" t="s">
        <v>10913</v>
      </c>
      <c r="AB2793" t="s">
        <v>44</v>
      </c>
      <c r="AC2793" s="4">
        <v>7.5369000000000002</v>
      </c>
      <c r="AD2793" s="4">
        <v>7.2884304699999998</v>
      </c>
      <c r="AE2793" s="2">
        <v>7.54</v>
      </c>
      <c r="AF2793" s="4">
        <v>7.2884304699999998</v>
      </c>
      <c r="AG2793" s="2">
        <v>6.22</v>
      </c>
      <c r="AH2793" s="2">
        <v>6149170.1200000001</v>
      </c>
      <c r="AI2793" s="2">
        <v>0.01</v>
      </c>
      <c r="AJ2793" s="5">
        <v>44673</v>
      </c>
      <c r="AK2793" t="s">
        <v>12587</v>
      </c>
      <c r="AL2793" s="2">
        <v>7.4</v>
      </c>
      <c r="AM2793" s="2">
        <v>7.4</v>
      </c>
      <c r="AN2793" s="2">
        <v>0.62</v>
      </c>
      <c r="AO2793" t="s">
        <v>10922</v>
      </c>
      <c r="AP2793" t="s">
        <v>11473</v>
      </c>
      <c r="AQ2793" t="s">
        <v>11472</v>
      </c>
    </row>
    <row r="2794" spans="1:43" x14ac:dyDescent="0.2">
      <c r="A2794" t="s">
        <v>12586</v>
      </c>
      <c r="B2794" t="s">
        <v>10900</v>
      </c>
      <c r="C2794" t="s">
        <v>11049</v>
      </c>
      <c r="D2794" t="s">
        <v>11474</v>
      </c>
      <c r="E2794" t="s">
        <v>11475</v>
      </c>
      <c r="F2794" t="s">
        <v>11474</v>
      </c>
      <c r="G2794" s="1">
        <v>7700000</v>
      </c>
      <c r="H2794" s="2">
        <v>7699261.0599999996</v>
      </c>
      <c r="I2794" s="2">
        <v>7699829.0599999996</v>
      </c>
      <c r="J2794" s="2">
        <v>125069.1</v>
      </c>
      <c r="K2794" s="2">
        <v>0</v>
      </c>
      <c r="L2794" s="2">
        <v>7824898.1600000001</v>
      </c>
      <c r="M2794" s="3">
        <v>7.23</v>
      </c>
      <c r="N2794" s="4">
        <v>1.7802490000000001E-2</v>
      </c>
      <c r="O2794" s="5">
        <v>44773</v>
      </c>
      <c r="P2794" s="5">
        <v>44773</v>
      </c>
      <c r="Q2794" s="1">
        <v>7.23</v>
      </c>
      <c r="R2794" s="2">
        <v>0.27</v>
      </c>
      <c r="S2794" s="6">
        <v>0.26074350600000001</v>
      </c>
      <c r="T2794" t="s">
        <v>111</v>
      </c>
      <c r="U2794" t="s">
        <v>111</v>
      </c>
      <c r="V2794" t="s">
        <v>10944</v>
      </c>
      <c r="W2794" t="s">
        <v>43</v>
      </c>
      <c r="X2794" t="s">
        <v>44</v>
      </c>
      <c r="Y2794" t="s">
        <v>44</v>
      </c>
      <c r="Z2794" t="s">
        <v>44</v>
      </c>
      <c r="AA2794" t="s">
        <v>10913</v>
      </c>
      <c r="AB2794" t="s">
        <v>44</v>
      </c>
      <c r="AC2794" s="4">
        <v>7.36068225</v>
      </c>
      <c r="AD2794" s="4">
        <v>7.1234440000000001</v>
      </c>
      <c r="AE2794" s="2">
        <v>7.36</v>
      </c>
      <c r="AF2794" s="4">
        <v>7.1234440000000001</v>
      </c>
      <c r="AG2794" s="2">
        <v>7.91</v>
      </c>
      <c r="AH2794" s="2">
        <v>7824898.1600000001</v>
      </c>
      <c r="AI2794" s="2">
        <v>0.02</v>
      </c>
      <c r="AJ2794" s="5">
        <v>44673</v>
      </c>
      <c r="AK2794" t="s">
        <v>12587</v>
      </c>
      <c r="AL2794" s="2">
        <v>7.23</v>
      </c>
      <c r="AM2794" s="2">
        <v>7.23</v>
      </c>
      <c r="AN2794" s="2">
        <v>0.26</v>
      </c>
      <c r="AO2794" t="s">
        <v>10922</v>
      </c>
      <c r="AP2794" t="s">
        <v>11476</v>
      </c>
      <c r="AQ2794" t="s">
        <v>11475</v>
      </c>
    </row>
    <row r="2795" spans="1:43" x14ac:dyDescent="0.2">
      <c r="A2795" t="s">
        <v>12586</v>
      </c>
      <c r="B2795" t="s">
        <v>10900</v>
      </c>
      <c r="C2795" t="s">
        <v>11049</v>
      </c>
      <c r="D2795" t="s">
        <v>11477</v>
      </c>
      <c r="E2795" t="s">
        <v>11478</v>
      </c>
      <c r="F2795" t="s">
        <v>11477</v>
      </c>
      <c r="G2795" s="1">
        <v>450000</v>
      </c>
      <c r="H2795" s="2">
        <v>450032.84</v>
      </c>
      <c r="I2795" s="2">
        <v>449734.77</v>
      </c>
      <c r="J2795" s="2">
        <v>4959.8599999999997</v>
      </c>
      <c r="K2795" s="2">
        <v>0</v>
      </c>
      <c r="L2795" s="2">
        <v>454694.63</v>
      </c>
      <c r="M2795" s="3">
        <v>7.45</v>
      </c>
      <c r="N2795" s="4">
        <v>1.0344799999999999E-3</v>
      </c>
      <c r="O2795" s="5">
        <v>44804</v>
      </c>
      <c r="P2795" s="5">
        <v>44804</v>
      </c>
      <c r="Q2795" s="1">
        <v>7.45</v>
      </c>
      <c r="R2795" s="2">
        <v>0.35</v>
      </c>
      <c r="S2795" s="6">
        <v>0.34175620000000001</v>
      </c>
      <c r="T2795" t="s">
        <v>111</v>
      </c>
      <c r="U2795" t="s">
        <v>111</v>
      </c>
      <c r="V2795" t="s">
        <v>114</v>
      </c>
      <c r="W2795" t="s">
        <v>43</v>
      </c>
      <c r="X2795" t="s">
        <v>10988</v>
      </c>
      <c r="Y2795" t="s">
        <v>44</v>
      </c>
      <c r="Z2795" t="s">
        <v>44</v>
      </c>
      <c r="AA2795" t="s">
        <v>10913</v>
      </c>
      <c r="AB2795" t="s">
        <v>44</v>
      </c>
      <c r="AC2795" s="4">
        <v>7.5887562500000003</v>
      </c>
      <c r="AD2795" s="4">
        <v>7.3369344600000002</v>
      </c>
      <c r="AE2795" s="2">
        <v>7.59</v>
      </c>
      <c r="AF2795" s="4">
        <v>7.3369344600000002</v>
      </c>
      <c r="AG2795" s="2">
        <v>0.46</v>
      </c>
      <c r="AH2795" s="2">
        <v>454694.63</v>
      </c>
      <c r="AI2795" s="2">
        <v>0</v>
      </c>
      <c r="AJ2795" s="5">
        <v>44673</v>
      </c>
      <c r="AK2795" t="s">
        <v>12587</v>
      </c>
      <c r="AL2795" s="2">
        <v>7.45</v>
      </c>
      <c r="AM2795" s="2">
        <v>7.45</v>
      </c>
      <c r="AN2795" s="2">
        <v>0.34</v>
      </c>
      <c r="AO2795" t="s">
        <v>10922</v>
      </c>
      <c r="AP2795" t="s">
        <v>11479</v>
      </c>
      <c r="AQ2795" t="s">
        <v>11478</v>
      </c>
    </row>
    <row r="2796" spans="1:43" x14ac:dyDescent="0.2">
      <c r="A2796" t="s">
        <v>12586</v>
      </c>
      <c r="B2796" t="s">
        <v>10900</v>
      </c>
      <c r="C2796" t="s">
        <v>11049</v>
      </c>
      <c r="D2796" t="s">
        <v>11794</v>
      </c>
      <c r="E2796" t="s">
        <v>11795</v>
      </c>
      <c r="F2796" t="s">
        <v>11794</v>
      </c>
      <c r="G2796" s="1">
        <v>100000</v>
      </c>
      <c r="H2796" s="2">
        <v>100007.79</v>
      </c>
      <c r="I2796" s="2">
        <v>100011.22</v>
      </c>
      <c r="J2796" s="2">
        <v>1271.1099999999999</v>
      </c>
      <c r="K2796" s="2">
        <v>0</v>
      </c>
      <c r="L2796" s="2">
        <v>101282.33</v>
      </c>
      <c r="M2796" s="3">
        <v>4.7002220000000001</v>
      </c>
      <c r="N2796" s="4">
        <v>2.3043E-4</v>
      </c>
      <c r="O2796" s="5">
        <v>44680</v>
      </c>
      <c r="P2796" s="5">
        <v>44680</v>
      </c>
      <c r="Q2796" s="1">
        <v>5.6580000000000004</v>
      </c>
      <c r="R2796" s="2">
        <v>0.01</v>
      </c>
      <c r="S2796" s="6">
        <v>1.0461427896999999E-2</v>
      </c>
      <c r="T2796" t="s">
        <v>111</v>
      </c>
      <c r="U2796" t="s">
        <v>111</v>
      </c>
      <c r="V2796" t="s">
        <v>11189</v>
      </c>
      <c r="W2796" t="s">
        <v>43</v>
      </c>
      <c r="X2796" t="s">
        <v>11034</v>
      </c>
      <c r="Y2796" t="s">
        <v>44</v>
      </c>
      <c r="Z2796" t="s">
        <v>44</v>
      </c>
      <c r="AA2796" t="s">
        <v>44</v>
      </c>
      <c r="AB2796" t="s">
        <v>11225</v>
      </c>
      <c r="AC2796" s="4">
        <v>4.7554521300000001</v>
      </c>
      <c r="AD2796" s="4">
        <v>4.6548469299999997</v>
      </c>
      <c r="AE2796" s="2">
        <v>4.76</v>
      </c>
      <c r="AF2796" s="4">
        <v>4.6548469299999997</v>
      </c>
      <c r="AG2796" s="2">
        <v>0.1</v>
      </c>
      <c r="AH2796" s="2">
        <v>101282.33</v>
      </c>
      <c r="AI2796" s="2">
        <v>0</v>
      </c>
      <c r="AJ2796" s="5">
        <v>44673</v>
      </c>
      <c r="AK2796" t="s">
        <v>12587</v>
      </c>
      <c r="AL2796" s="2">
        <v>4.7</v>
      </c>
      <c r="AM2796" s="2">
        <v>5.66</v>
      </c>
      <c r="AN2796" s="2">
        <v>0.01</v>
      </c>
      <c r="AO2796" t="s">
        <v>11527</v>
      </c>
      <c r="AP2796" t="s">
        <v>11796</v>
      </c>
      <c r="AQ2796" t="s">
        <v>11795</v>
      </c>
    </row>
    <row r="2797" spans="1:43" x14ac:dyDescent="0.2">
      <c r="A2797" t="s">
        <v>12586</v>
      </c>
      <c r="B2797" t="s">
        <v>10900</v>
      </c>
      <c r="C2797" t="s">
        <v>11049</v>
      </c>
      <c r="D2797" t="s">
        <v>11797</v>
      </c>
      <c r="E2797" t="s">
        <v>11798</v>
      </c>
      <c r="F2797" t="s">
        <v>11797</v>
      </c>
      <c r="G2797" s="1">
        <v>800000</v>
      </c>
      <c r="H2797" s="2">
        <v>811348.5</v>
      </c>
      <c r="I2797" s="2">
        <v>813373.19</v>
      </c>
      <c r="J2797" s="2">
        <v>4948.84</v>
      </c>
      <c r="K2797" s="2">
        <v>0</v>
      </c>
      <c r="L2797" s="2">
        <v>818322.03</v>
      </c>
      <c r="M2797" s="3">
        <v>5.7687520000000001</v>
      </c>
      <c r="N2797" s="4">
        <v>1.86177E-3</v>
      </c>
      <c r="O2797" s="5">
        <v>44742</v>
      </c>
      <c r="P2797" s="5">
        <v>44834</v>
      </c>
      <c r="Q2797" s="1">
        <v>9.8170000000000002</v>
      </c>
      <c r="R2797" s="2">
        <v>0.18</v>
      </c>
      <c r="S2797" s="6">
        <v>0.17046604942900001</v>
      </c>
      <c r="T2797" t="s">
        <v>111</v>
      </c>
      <c r="U2797" t="s">
        <v>111</v>
      </c>
      <c r="V2797" t="s">
        <v>11189</v>
      </c>
      <c r="W2797" t="s">
        <v>43</v>
      </c>
      <c r="X2797" t="s">
        <v>11034</v>
      </c>
      <c r="Y2797" t="s">
        <v>44</v>
      </c>
      <c r="Z2797" t="s">
        <v>44</v>
      </c>
      <c r="AA2797" t="s">
        <v>11035</v>
      </c>
      <c r="AB2797" t="s">
        <v>2680</v>
      </c>
      <c r="AC2797" s="4">
        <v>5.8519482600000003</v>
      </c>
      <c r="AD2797" s="4">
        <v>5.7006194399999996</v>
      </c>
      <c r="AE2797" s="2">
        <v>5.85</v>
      </c>
      <c r="AF2797" s="4">
        <v>5.7006194399999996</v>
      </c>
      <c r="AG2797" s="2">
        <v>0.83</v>
      </c>
      <c r="AH2797" s="2">
        <v>818322.03</v>
      </c>
      <c r="AI2797" s="2">
        <v>0</v>
      </c>
      <c r="AJ2797" s="5">
        <v>44673</v>
      </c>
      <c r="AK2797" t="s">
        <v>12587</v>
      </c>
      <c r="AL2797" s="2">
        <v>5.77</v>
      </c>
      <c r="AM2797" s="2">
        <v>9.82</v>
      </c>
      <c r="AN2797" s="2">
        <v>0.17</v>
      </c>
      <c r="AO2797" t="s">
        <v>11496</v>
      </c>
      <c r="AP2797" t="s">
        <v>11799</v>
      </c>
      <c r="AQ2797" t="s">
        <v>11798</v>
      </c>
    </row>
    <row r="2798" spans="1:43" x14ac:dyDescent="0.2">
      <c r="A2798" t="s">
        <v>12586</v>
      </c>
      <c r="B2798" t="s">
        <v>10900</v>
      </c>
      <c r="C2798" t="s">
        <v>11049</v>
      </c>
      <c r="D2798" t="s">
        <v>11494</v>
      </c>
      <c r="E2798" t="s">
        <v>11495</v>
      </c>
      <c r="F2798" t="s">
        <v>11494</v>
      </c>
      <c r="G2798" s="1">
        <v>500000</v>
      </c>
      <c r="H2798" s="2">
        <v>507369.08</v>
      </c>
      <c r="I2798" s="2">
        <v>507948.46</v>
      </c>
      <c r="J2798" s="2">
        <v>6806.52</v>
      </c>
      <c r="K2798" s="2">
        <v>0</v>
      </c>
      <c r="L2798" s="2">
        <v>514754.98</v>
      </c>
      <c r="M2798" s="3">
        <v>5.349933</v>
      </c>
      <c r="N2798" s="4">
        <v>1.1711200000000001E-3</v>
      </c>
      <c r="O2798" s="5">
        <v>44694</v>
      </c>
      <c r="P2798" s="5">
        <v>44970</v>
      </c>
      <c r="Q2798" s="1">
        <v>7.3070000000000004</v>
      </c>
      <c r="R2798" s="2">
        <v>0.05</v>
      </c>
      <c r="S2798" s="6">
        <v>4.8092249657999998E-2</v>
      </c>
      <c r="T2798" t="s">
        <v>111</v>
      </c>
      <c r="U2798" t="s">
        <v>111</v>
      </c>
      <c r="V2798" t="s">
        <v>11189</v>
      </c>
      <c r="W2798" t="s">
        <v>43</v>
      </c>
      <c r="X2798" t="s">
        <v>11034</v>
      </c>
      <c r="Y2798" t="s">
        <v>44</v>
      </c>
      <c r="Z2798" t="s">
        <v>44</v>
      </c>
      <c r="AA2798" t="s">
        <v>11035</v>
      </c>
      <c r="AB2798" t="s">
        <v>44</v>
      </c>
      <c r="AC2798" s="4">
        <v>5.4214878100000004</v>
      </c>
      <c r="AD2798" s="4">
        <v>5.2912612699999997</v>
      </c>
      <c r="AE2798" s="2">
        <v>5.42</v>
      </c>
      <c r="AF2798" s="4">
        <v>5.2912612699999997</v>
      </c>
      <c r="AG2798" s="2">
        <v>0.52</v>
      </c>
      <c r="AH2798" s="2">
        <v>514754.98</v>
      </c>
      <c r="AI2798" s="2">
        <v>0</v>
      </c>
      <c r="AJ2798" s="5">
        <v>44673</v>
      </c>
      <c r="AK2798" t="s">
        <v>12587</v>
      </c>
      <c r="AL2798" s="2">
        <v>5.35</v>
      </c>
      <c r="AM2798" s="2">
        <v>7.31</v>
      </c>
      <c r="AN2798" s="2">
        <v>0.05</v>
      </c>
      <c r="AO2798" t="s">
        <v>11496</v>
      </c>
      <c r="AP2798" t="s">
        <v>11497</v>
      </c>
      <c r="AQ2798" t="s">
        <v>11495</v>
      </c>
    </row>
    <row r="2799" spans="1:43" x14ac:dyDescent="0.2">
      <c r="A2799" t="s">
        <v>12586</v>
      </c>
      <c r="B2799" t="s">
        <v>10900</v>
      </c>
      <c r="C2799" t="s">
        <v>11049</v>
      </c>
      <c r="D2799" t="s">
        <v>11800</v>
      </c>
      <c r="E2799" t="s">
        <v>11801</v>
      </c>
      <c r="F2799" t="s">
        <v>11800</v>
      </c>
      <c r="G2799" s="1">
        <v>950000</v>
      </c>
      <c r="H2799" s="2">
        <v>950001.07</v>
      </c>
      <c r="I2799" s="2">
        <v>949971.31</v>
      </c>
      <c r="J2799" s="2">
        <v>15793.42</v>
      </c>
      <c r="K2799" s="2">
        <v>0</v>
      </c>
      <c r="L2799" s="2">
        <v>965764.73</v>
      </c>
      <c r="M2799" s="3">
        <v>7.4</v>
      </c>
      <c r="N2799" s="4">
        <v>2.1972200000000002E-3</v>
      </c>
      <c r="O2799" s="5">
        <v>44592</v>
      </c>
      <c r="P2799" s="5">
        <v>44773</v>
      </c>
      <c r="Q2799" s="1">
        <v>7.4</v>
      </c>
      <c r="R2799" s="2">
        <v>0.27</v>
      </c>
      <c r="S2799" s="6">
        <v>0.26062797900000001</v>
      </c>
      <c r="T2799" t="s">
        <v>111</v>
      </c>
      <c r="U2799" t="s">
        <v>111</v>
      </c>
      <c r="V2799" t="s">
        <v>114</v>
      </c>
      <c r="W2799" t="s">
        <v>43</v>
      </c>
      <c r="X2799" t="s">
        <v>10988</v>
      </c>
      <c r="Y2799" t="s">
        <v>44</v>
      </c>
      <c r="Z2799" t="s">
        <v>44</v>
      </c>
      <c r="AA2799" t="s">
        <v>10913</v>
      </c>
      <c r="AB2799" t="s">
        <v>44</v>
      </c>
      <c r="AC2799" s="4">
        <v>7.5369000000000002</v>
      </c>
      <c r="AD2799" s="4">
        <v>7.2884304699999998</v>
      </c>
      <c r="AE2799" s="2">
        <v>7.54</v>
      </c>
      <c r="AF2799" s="4">
        <v>7.2884304699999998</v>
      </c>
      <c r="AG2799" s="2">
        <v>0.98</v>
      </c>
      <c r="AH2799" s="2">
        <v>965764.73</v>
      </c>
      <c r="AI2799" s="2">
        <v>0</v>
      </c>
      <c r="AJ2799" s="5">
        <v>44673</v>
      </c>
      <c r="AK2799" t="s">
        <v>12587</v>
      </c>
      <c r="AL2799" s="2">
        <v>7.4</v>
      </c>
      <c r="AM2799" s="2">
        <v>7.4</v>
      </c>
      <c r="AN2799" s="2">
        <v>0.26</v>
      </c>
      <c r="AO2799" t="s">
        <v>10922</v>
      </c>
      <c r="AP2799" t="s">
        <v>11802</v>
      </c>
      <c r="AQ2799" t="s">
        <v>11801</v>
      </c>
    </row>
    <row r="2800" spans="1:43" x14ac:dyDescent="0.2">
      <c r="A2800" t="s">
        <v>12586</v>
      </c>
      <c r="B2800" t="s">
        <v>10900</v>
      </c>
      <c r="C2800" t="s">
        <v>11033</v>
      </c>
      <c r="D2800" t="s">
        <v>11803</v>
      </c>
      <c r="E2800" t="s">
        <v>11804</v>
      </c>
      <c r="F2800" t="s">
        <v>11803</v>
      </c>
      <c r="G2800" s="1">
        <v>300000</v>
      </c>
      <c r="H2800" s="2">
        <v>303188.05</v>
      </c>
      <c r="I2800" s="2">
        <v>303568.18</v>
      </c>
      <c r="J2800" s="2">
        <v>2959.05</v>
      </c>
      <c r="K2800" s="2">
        <v>0</v>
      </c>
      <c r="L2800" s="2">
        <v>306527.23</v>
      </c>
      <c r="M2800" s="3">
        <v>5.9316740000000001</v>
      </c>
      <c r="N2800" s="4">
        <v>6.9738000000000005E-4</v>
      </c>
      <c r="O2800" s="5">
        <v>44711</v>
      </c>
      <c r="P2800" s="5">
        <v>45259</v>
      </c>
      <c r="Q2800" s="1">
        <v>6.6669999999999998</v>
      </c>
      <c r="R2800" s="2">
        <v>0.1</v>
      </c>
      <c r="S2800" s="6">
        <v>8.3360787894999996E-2</v>
      </c>
      <c r="T2800" t="s">
        <v>111</v>
      </c>
      <c r="U2800" t="s">
        <v>111</v>
      </c>
      <c r="V2800" t="s">
        <v>11189</v>
      </c>
      <c r="W2800" t="s">
        <v>43</v>
      </c>
      <c r="X2800" t="s">
        <v>11034</v>
      </c>
      <c r="Y2800" t="s">
        <v>44</v>
      </c>
      <c r="Z2800" t="s">
        <v>44</v>
      </c>
      <c r="AA2800" t="s">
        <v>10979</v>
      </c>
      <c r="AB2800" t="s">
        <v>44</v>
      </c>
      <c r="AC2800" s="4">
        <v>6.0196354200000002</v>
      </c>
      <c r="AD2800" s="4">
        <v>5.8596732400000002</v>
      </c>
      <c r="AE2800" s="2">
        <v>6.02</v>
      </c>
      <c r="AF2800" s="4">
        <v>5.8596732400000002</v>
      </c>
      <c r="AG2800" s="2">
        <v>0.31</v>
      </c>
      <c r="AH2800" s="2">
        <v>306527.23</v>
      </c>
      <c r="AI2800" s="2">
        <v>0</v>
      </c>
      <c r="AJ2800" s="5">
        <v>44673</v>
      </c>
      <c r="AK2800" t="s">
        <v>12587</v>
      </c>
      <c r="AL2800" s="2">
        <v>5.93</v>
      </c>
      <c r="AM2800" s="2">
        <v>6.67</v>
      </c>
      <c r="AN2800" s="2">
        <v>0.08</v>
      </c>
      <c r="AO2800" t="s">
        <v>11165</v>
      </c>
      <c r="AP2800" t="s">
        <v>11805</v>
      </c>
      <c r="AQ2800" t="s">
        <v>11804</v>
      </c>
    </row>
    <row r="2801" spans="1:43" x14ac:dyDescent="0.2">
      <c r="A2801" t="s">
        <v>12586</v>
      </c>
      <c r="B2801" t="s">
        <v>10900</v>
      </c>
      <c r="C2801" t="s">
        <v>11033</v>
      </c>
      <c r="D2801" t="s">
        <v>11806</v>
      </c>
      <c r="E2801" t="s">
        <v>11807</v>
      </c>
      <c r="F2801" t="s">
        <v>11806</v>
      </c>
      <c r="G2801" s="1">
        <v>300000</v>
      </c>
      <c r="H2801" s="2">
        <v>303315.81</v>
      </c>
      <c r="I2801" s="2">
        <v>303545.15000000002</v>
      </c>
      <c r="J2801" s="2">
        <v>669.01</v>
      </c>
      <c r="K2801" s="2">
        <v>0</v>
      </c>
      <c r="L2801" s="2">
        <v>304214.15999999997</v>
      </c>
      <c r="M2801" s="3">
        <v>6.0434890000000001</v>
      </c>
      <c r="N2801" s="4">
        <v>6.9211999999999995E-4</v>
      </c>
      <c r="O2801" s="5">
        <v>44753</v>
      </c>
      <c r="P2801" s="5">
        <v>45393</v>
      </c>
      <c r="Q2801" s="1">
        <v>6.7830000000000004</v>
      </c>
      <c r="R2801" s="2">
        <v>0.21</v>
      </c>
      <c r="S2801" s="6">
        <v>0.19079709986500001</v>
      </c>
      <c r="T2801" t="s">
        <v>111</v>
      </c>
      <c r="U2801" t="s">
        <v>111</v>
      </c>
      <c r="V2801" t="s">
        <v>11189</v>
      </c>
      <c r="W2801" t="s">
        <v>43</v>
      </c>
      <c r="X2801" t="s">
        <v>11034</v>
      </c>
      <c r="Y2801" t="s">
        <v>44</v>
      </c>
      <c r="Z2801" t="s">
        <v>44</v>
      </c>
      <c r="AA2801" t="s">
        <v>10979</v>
      </c>
      <c r="AB2801" t="s">
        <v>44</v>
      </c>
      <c r="AC2801" s="4">
        <v>6.1347979300000004</v>
      </c>
      <c r="AD2801" s="4">
        <v>5.9687731099999999</v>
      </c>
      <c r="AE2801" s="2">
        <v>6.13</v>
      </c>
      <c r="AF2801" s="4">
        <v>5.9687731099999999</v>
      </c>
      <c r="AG2801" s="2">
        <v>0.31</v>
      </c>
      <c r="AH2801" s="2">
        <v>304214.15999999997</v>
      </c>
      <c r="AI2801" s="2">
        <v>0</v>
      </c>
      <c r="AJ2801" s="5">
        <v>44673</v>
      </c>
      <c r="AK2801" t="s">
        <v>12587</v>
      </c>
      <c r="AL2801" s="2">
        <v>6.04</v>
      </c>
      <c r="AM2801" s="2">
        <v>6.78</v>
      </c>
      <c r="AN2801" s="2">
        <v>0.19</v>
      </c>
      <c r="AO2801" t="s">
        <v>11165</v>
      </c>
      <c r="AP2801" t="s">
        <v>11808</v>
      </c>
      <c r="AQ2801" t="s">
        <v>11807</v>
      </c>
    </row>
    <row r="2802" spans="1:43" x14ac:dyDescent="0.2">
      <c r="A2802" t="s">
        <v>12586</v>
      </c>
      <c r="B2802" t="s">
        <v>10900</v>
      </c>
      <c r="C2802" t="s">
        <v>11033</v>
      </c>
      <c r="D2802" t="s">
        <v>11501</v>
      </c>
      <c r="E2802" t="s">
        <v>11502</v>
      </c>
      <c r="F2802" t="s">
        <v>11501</v>
      </c>
      <c r="G2802" s="1">
        <v>5000000</v>
      </c>
      <c r="H2802" s="2">
        <v>5010848.03</v>
      </c>
      <c r="I2802" s="2">
        <v>5010007.66</v>
      </c>
      <c r="J2802" s="2">
        <v>17973.7</v>
      </c>
      <c r="K2802" s="2">
        <v>0</v>
      </c>
      <c r="L2802" s="2">
        <v>5027981.3600000003</v>
      </c>
      <c r="M2802" s="3">
        <v>5.2487519999999996</v>
      </c>
      <c r="N2802" s="4">
        <v>1.14392E-2</v>
      </c>
      <c r="O2802" s="5">
        <v>44742</v>
      </c>
      <c r="P2802" s="5">
        <v>45383</v>
      </c>
      <c r="Q2802" s="1">
        <v>5.4669999999999996</v>
      </c>
      <c r="R2802" s="2">
        <v>0.18</v>
      </c>
      <c r="S2802" s="6">
        <v>0.16209118744199999</v>
      </c>
      <c r="T2802" t="s">
        <v>111</v>
      </c>
      <c r="U2802" t="s">
        <v>111</v>
      </c>
      <c r="V2802" t="s">
        <v>11189</v>
      </c>
      <c r="W2802" t="s">
        <v>43</v>
      </c>
      <c r="X2802" t="s">
        <v>11034</v>
      </c>
      <c r="Y2802" t="s">
        <v>44</v>
      </c>
      <c r="Z2802" t="s">
        <v>44</v>
      </c>
      <c r="AA2802" t="s">
        <v>10979</v>
      </c>
      <c r="AB2802" t="s">
        <v>44</v>
      </c>
      <c r="AC2802" s="4">
        <v>5.3176255100000001</v>
      </c>
      <c r="AD2802" s="4">
        <v>5.1922611500000002</v>
      </c>
      <c r="AE2802" s="2">
        <v>5.32</v>
      </c>
      <c r="AF2802" s="4">
        <v>5.1922611500000002</v>
      </c>
      <c r="AG2802" s="2">
        <v>5.08</v>
      </c>
      <c r="AH2802" s="2">
        <v>5027981.3600000003</v>
      </c>
      <c r="AI2802" s="2">
        <v>0.01</v>
      </c>
      <c r="AJ2802" s="5">
        <v>44673</v>
      </c>
      <c r="AK2802" t="s">
        <v>12587</v>
      </c>
      <c r="AL2802" s="2">
        <v>5.25</v>
      </c>
      <c r="AM2802" s="2">
        <v>5.47</v>
      </c>
      <c r="AN2802" s="2">
        <v>0.16</v>
      </c>
      <c r="AO2802" t="s">
        <v>11165</v>
      </c>
      <c r="AP2802" t="s">
        <v>11503</v>
      </c>
      <c r="AQ2802" t="s">
        <v>11502</v>
      </c>
    </row>
    <row r="2803" spans="1:43" x14ac:dyDescent="0.2">
      <c r="A2803" t="s">
        <v>12586</v>
      </c>
      <c r="B2803" t="s">
        <v>10900</v>
      </c>
      <c r="C2803" t="s">
        <v>11033</v>
      </c>
      <c r="D2803" t="s">
        <v>11518</v>
      </c>
      <c r="E2803" t="s">
        <v>11519</v>
      </c>
      <c r="F2803" t="s">
        <v>11518</v>
      </c>
      <c r="G2803" s="1">
        <v>300000</v>
      </c>
      <c r="H2803" s="2">
        <v>300003.56</v>
      </c>
      <c r="I2803" s="2">
        <v>300951.87</v>
      </c>
      <c r="J2803" s="2">
        <v>3129.55</v>
      </c>
      <c r="K2803" s="2">
        <v>0</v>
      </c>
      <c r="L2803" s="2">
        <v>304081.42</v>
      </c>
      <c r="M2803" s="3">
        <v>6.0730570000000004</v>
      </c>
      <c r="N2803" s="4">
        <v>6.9182E-4</v>
      </c>
      <c r="O2803" s="5">
        <v>44704</v>
      </c>
      <c r="P2803" s="5">
        <v>45159</v>
      </c>
      <c r="Q2803" s="1">
        <v>6.242</v>
      </c>
      <c r="R2803" s="2">
        <v>0.08</v>
      </c>
      <c r="S2803" s="6">
        <v>5.9720457003999999E-2</v>
      </c>
      <c r="T2803" t="s">
        <v>111</v>
      </c>
      <c r="U2803" t="s">
        <v>111</v>
      </c>
      <c r="V2803" t="s">
        <v>11189</v>
      </c>
      <c r="W2803" t="s">
        <v>43</v>
      </c>
      <c r="X2803" t="s">
        <v>11034</v>
      </c>
      <c r="Y2803" t="s">
        <v>44</v>
      </c>
      <c r="Z2803" t="s">
        <v>44</v>
      </c>
      <c r="AA2803" t="s">
        <v>11441</v>
      </c>
      <c r="AB2803" t="s">
        <v>44</v>
      </c>
      <c r="AC2803" s="4">
        <v>6.1652619800000004</v>
      </c>
      <c r="AD2803" s="4">
        <v>5.9976152599999999</v>
      </c>
      <c r="AE2803" s="2">
        <v>6.17</v>
      </c>
      <c r="AF2803" s="4">
        <v>5.9976152599999999</v>
      </c>
      <c r="AG2803" s="2">
        <v>0.31</v>
      </c>
      <c r="AH2803" s="2">
        <v>304081.42</v>
      </c>
      <c r="AI2803" s="2">
        <v>0</v>
      </c>
      <c r="AJ2803" s="5">
        <v>44673</v>
      </c>
      <c r="AK2803" t="s">
        <v>12587</v>
      </c>
      <c r="AL2803" s="2">
        <v>6.07</v>
      </c>
      <c r="AM2803" s="2">
        <v>6.24</v>
      </c>
      <c r="AN2803" s="2">
        <v>0.06</v>
      </c>
      <c r="AO2803" t="s">
        <v>11520</v>
      </c>
      <c r="AP2803" t="s">
        <v>11521</v>
      </c>
      <c r="AQ2803" t="s">
        <v>11519</v>
      </c>
    </row>
    <row r="2804" spans="1:43" x14ac:dyDescent="0.2">
      <c r="A2804" t="s">
        <v>12586</v>
      </c>
      <c r="B2804" t="s">
        <v>10900</v>
      </c>
      <c r="C2804" t="s">
        <v>11033</v>
      </c>
      <c r="D2804" t="s">
        <v>11059</v>
      </c>
      <c r="E2804" t="s">
        <v>11060</v>
      </c>
      <c r="F2804" t="s">
        <v>11059</v>
      </c>
      <c r="G2804" s="1">
        <v>100000</v>
      </c>
      <c r="H2804" s="2">
        <v>109284.48</v>
      </c>
      <c r="I2804" s="2">
        <v>107145.57</v>
      </c>
      <c r="J2804" s="2">
        <v>3946.58</v>
      </c>
      <c r="K2804" s="2">
        <v>0</v>
      </c>
      <c r="L2804" s="2">
        <v>111092.15</v>
      </c>
      <c r="M2804" s="3">
        <v>7.69</v>
      </c>
      <c r="N2804" s="4">
        <v>2.5274999999999999E-4</v>
      </c>
      <c r="O2804" s="5">
        <v>44722</v>
      </c>
      <c r="P2804" s="5">
        <v>45636</v>
      </c>
      <c r="Q2804" s="1">
        <v>10.75</v>
      </c>
      <c r="R2804" s="2">
        <v>2.2799999999999998</v>
      </c>
      <c r="S2804" s="6">
        <v>2.1998010890000002</v>
      </c>
      <c r="T2804" t="s">
        <v>111</v>
      </c>
      <c r="U2804" t="s">
        <v>111</v>
      </c>
      <c r="V2804" t="s">
        <v>10944</v>
      </c>
      <c r="W2804" t="s">
        <v>43</v>
      </c>
      <c r="X2804" t="s">
        <v>10988</v>
      </c>
      <c r="Y2804" t="s">
        <v>44</v>
      </c>
      <c r="Z2804" t="s">
        <v>44</v>
      </c>
      <c r="AA2804" t="s">
        <v>10979</v>
      </c>
      <c r="AB2804" t="s">
        <v>44</v>
      </c>
      <c r="AC2804" s="4">
        <v>7.8378402500000002</v>
      </c>
      <c r="AD2804" s="4">
        <v>7.5696180699999998</v>
      </c>
      <c r="AE2804" s="2">
        <v>7.84</v>
      </c>
      <c r="AF2804" s="4">
        <v>7.5696180699999998</v>
      </c>
      <c r="AG2804" s="2">
        <v>0.11</v>
      </c>
      <c r="AH2804" s="2">
        <v>111092.15</v>
      </c>
      <c r="AI2804" s="2">
        <v>0</v>
      </c>
      <c r="AJ2804" s="5">
        <v>44673</v>
      </c>
      <c r="AK2804" t="s">
        <v>12587</v>
      </c>
      <c r="AL2804" s="2">
        <v>7.69</v>
      </c>
      <c r="AM2804" s="2">
        <v>10.75</v>
      </c>
      <c r="AN2804" s="2">
        <v>2.2000000000000002</v>
      </c>
      <c r="AO2804" t="s">
        <v>11054</v>
      </c>
      <c r="AP2804" t="s">
        <v>11061</v>
      </c>
      <c r="AQ2804" t="s">
        <v>11060</v>
      </c>
    </row>
    <row r="2805" spans="1:43" x14ac:dyDescent="0.2">
      <c r="A2805" t="s">
        <v>12586</v>
      </c>
      <c r="B2805" t="s">
        <v>10900</v>
      </c>
      <c r="C2805" t="s">
        <v>11033</v>
      </c>
      <c r="D2805" t="s">
        <v>11815</v>
      </c>
      <c r="E2805" t="s">
        <v>11816</v>
      </c>
      <c r="F2805" t="s">
        <v>11815</v>
      </c>
      <c r="G2805" s="1">
        <v>200000</v>
      </c>
      <c r="H2805" s="2">
        <v>199971.99</v>
      </c>
      <c r="I2805" s="2">
        <v>199989.36</v>
      </c>
      <c r="J2805" s="2">
        <v>2227.34</v>
      </c>
      <c r="K2805" s="2">
        <v>0</v>
      </c>
      <c r="L2805" s="2">
        <v>202216.7</v>
      </c>
      <c r="M2805" s="3">
        <v>6.1638650000000004</v>
      </c>
      <c r="N2805" s="4">
        <v>4.6005999999999998E-4</v>
      </c>
      <c r="O2805" s="5">
        <v>44697</v>
      </c>
      <c r="P2805" s="5">
        <v>45519</v>
      </c>
      <c r="Q2805" s="1">
        <v>6.0670000000000002</v>
      </c>
      <c r="R2805" s="2">
        <v>0.06</v>
      </c>
      <c r="S2805" s="6">
        <v>2.7386669091000002E-2</v>
      </c>
      <c r="T2805" t="s">
        <v>111</v>
      </c>
      <c r="U2805" t="s">
        <v>111</v>
      </c>
      <c r="V2805" t="s">
        <v>11189</v>
      </c>
      <c r="W2805" t="s">
        <v>43</v>
      </c>
      <c r="X2805" t="s">
        <v>11034</v>
      </c>
      <c r="Y2805" t="s">
        <v>44</v>
      </c>
      <c r="Z2805" t="s">
        <v>44</v>
      </c>
      <c r="AA2805" t="s">
        <v>11225</v>
      </c>
      <c r="AB2805" t="s">
        <v>44</v>
      </c>
      <c r="AC2805" s="4">
        <v>6.2588480500000001</v>
      </c>
      <c r="AD2805" s="4">
        <v>6.0861713799999997</v>
      </c>
      <c r="AE2805" s="2">
        <v>6.26</v>
      </c>
      <c r="AF2805" s="4">
        <v>6.0861713799999997</v>
      </c>
      <c r="AG2805" s="2">
        <v>0.2</v>
      </c>
      <c r="AH2805" s="2">
        <v>202216.7</v>
      </c>
      <c r="AI2805" s="2">
        <v>0</v>
      </c>
      <c r="AJ2805" s="5">
        <v>44673</v>
      </c>
      <c r="AK2805" t="s">
        <v>12587</v>
      </c>
      <c r="AL2805" s="2">
        <v>6.16</v>
      </c>
      <c r="AM2805" s="2">
        <v>6.07</v>
      </c>
      <c r="AN2805" s="2">
        <v>0.03</v>
      </c>
      <c r="AO2805" t="s">
        <v>11817</v>
      </c>
      <c r="AP2805" t="s">
        <v>11818</v>
      </c>
      <c r="AQ2805" t="s">
        <v>11816</v>
      </c>
    </row>
    <row r="2806" spans="1:43" x14ac:dyDescent="0.2">
      <c r="A2806" t="s">
        <v>12586</v>
      </c>
      <c r="B2806" t="s">
        <v>10900</v>
      </c>
      <c r="C2806" t="s">
        <v>11033</v>
      </c>
      <c r="D2806" t="s">
        <v>11819</v>
      </c>
      <c r="E2806" t="s">
        <v>11820</v>
      </c>
      <c r="F2806" t="s">
        <v>11819</v>
      </c>
      <c r="G2806" s="1">
        <v>500000</v>
      </c>
      <c r="H2806" s="2">
        <v>499775.65</v>
      </c>
      <c r="I2806" s="2">
        <v>500313.42</v>
      </c>
      <c r="J2806" s="2">
        <v>2071.81</v>
      </c>
      <c r="K2806" s="2">
        <v>0</v>
      </c>
      <c r="L2806" s="2">
        <v>502385.23</v>
      </c>
      <c r="M2806" s="3">
        <v>5.6743709999999998</v>
      </c>
      <c r="N2806" s="4">
        <v>1.14298E-3</v>
      </c>
      <c r="O2806" s="5">
        <v>44739</v>
      </c>
      <c r="P2806" s="5">
        <v>45470</v>
      </c>
      <c r="Q2806" s="1">
        <v>5.8170000000000002</v>
      </c>
      <c r="R2806" s="2">
        <v>0.17</v>
      </c>
      <c r="S2806" s="6">
        <v>0.145695338009</v>
      </c>
      <c r="T2806" t="s">
        <v>111</v>
      </c>
      <c r="U2806" t="s">
        <v>111</v>
      </c>
      <c r="V2806" t="s">
        <v>11189</v>
      </c>
      <c r="W2806" t="s">
        <v>43</v>
      </c>
      <c r="X2806" t="s">
        <v>11034</v>
      </c>
      <c r="Y2806" t="s">
        <v>44</v>
      </c>
      <c r="Z2806" t="s">
        <v>44</v>
      </c>
      <c r="AA2806" t="s">
        <v>10913</v>
      </c>
      <c r="AB2806" t="s">
        <v>44</v>
      </c>
      <c r="AC2806" s="4">
        <v>5.7548670399999997</v>
      </c>
      <c r="AD2806" s="4">
        <v>5.6084308399999996</v>
      </c>
      <c r="AE2806" s="2">
        <v>5.75</v>
      </c>
      <c r="AF2806" s="4">
        <v>5.6084308399999996</v>
      </c>
      <c r="AG2806" s="2">
        <v>0.51</v>
      </c>
      <c r="AH2806" s="2">
        <v>502385.23</v>
      </c>
      <c r="AI2806" s="2">
        <v>0</v>
      </c>
      <c r="AJ2806" s="5">
        <v>44673</v>
      </c>
      <c r="AK2806" t="s">
        <v>12587</v>
      </c>
      <c r="AL2806" s="2">
        <v>5.67</v>
      </c>
      <c r="AM2806" s="2">
        <v>5.82</v>
      </c>
      <c r="AN2806" s="2">
        <v>0.15</v>
      </c>
      <c r="AO2806" t="s">
        <v>11563</v>
      </c>
      <c r="AP2806" t="s">
        <v>11821</v>
      </c>
      <c r="AQ2806" t="s">
        <v>11820</v>
      </c>
    </row>
    <row r="2807" spans="1:43" x14ac:dyDescent="0.2">
      <c r="A2807" t="s">
        <v>12586</v>
      </c>
      <c r="B2807" t="s">
        <v>10900</v>
      </c>
      <c r="C2807" t="s">
        <v>11033</v>
      </c>
      <c r="D2807" t="s">
        <v>11822</v>
      </c>
      <c r="E2807" t="s">
        <v>11823</v>
      </c>
      <c r="F2807" t="s">
        <v>11822</v>
      </c>
      <c r="G2807" s="1">
        <v>200000</v>
      </c>
      <c r="H2807" s="2">
        <v>198460.87</v>
      </c>
      <c r="I2807" s="2">
        <v>198453.79</v>
      </c>
      <c r="J2807" s="2">
        <v>2186.06</v>
      </c>
      <c r="K2807" s="2">
        <v>0</v>
      </c>
      <c r="L2807" s="2">
        <v>200639.85</v>
      </c>
      <c r="M2807" s="3">
        <v>6.4745299999999997</v>
      </c>
      <c r="N2807" s="4">
        <v>4.5647999999999999E-4</v>
      </c>
      <c r="O2807" s="5">
        <v>44693</v>
      </c>
      <c r="P2807" s="5">
        <v>45242</v>
      </c>
      <c r="Q2807" s="1">
        <v>5.867</v>
      </c>
      <c r="R2807" s="2">
        <v>0.05</v>
      </c>
      <c r="S2807" s="6">
        <v>1.5942423563000001E-2</v>
      </c>
      <c r="T2807" t="s">
        <v>111</v>
      </c>
      <c r="U2807" t="s">
        <v>111</v>
      </c>
      <c r="V2807" t="s">
        <v>11189</v>
      </c>
      <c r="W2807" t="s">
        <v>43</v>
      </c>
      <c r="X2807" t="s">
        <v>11034</v>
      </c>
      <c r="Y2807" t="s">
        <v>44</v>
      </c>
      <c r="Z2807" t="s">
        <v>44</v>
      </c>
      <c r="AA2807" t="s">
        <v>10979</v>
      </c>
      <c r="AB2807" t="s">
        <v>44</v>
      </c>
      <c r="AC2807" s="4">
        <v>6.5793283799999998</v>
      </c>
      <c r="AD2807" s="4">
        <v>6.3888862499999997</v>
      </c>
      <c r="AE2807" s="2">
        <v>6.58</v>
      </c>
      <c r="AF2807" s="4">
        <v>6.3888862499999997</v>
      </c>
      <c r="AG2807" s="2">
        <v>0.2</v>
      </c>
      <c r="AH2807" s="2">
        <v>200639.85</v>
      </c>
      <c r="AI2807" s="2">
        <v>0</v>
      </c>
      <c r="AJ2807" s="5">
        <v>44673</v>
      </c>
      <c r="AK2807" t="s">
        <v>12587</v>
      </c>
      <c r="AL2807" s="2">
        <v>6.47</v>
      </c>
      <c r="AM2807" s="2">
        <v>5.87</v>
      </c>
      <c r="AN2807" s="2">
        <v>0.02</v>
      </c>
      <c r="AO2807" t="s">
        <v>11824</v>
      </c>
      <c r="AP2807" t="s">
        <v>11825</v>
      </c>
      <c r="AQ2807" t="s">
        <v>11823</v>
      </c>
    </row>
    <row r="2808" spans="1:43" x14ac:dyDescent="0.2">
      <c r="A2808" t="s">
        <v>12586</v>
      </c>
      <c r="B2808" t="s">
        <v>10900</v>
      </c>
      <c r="C2808" t="s">
        <v>11033</v>
      </c>
      <c r="D2808" t="s">
        <v>11826</v>
      </c>
      <c r="E2808" t="s">
        <v>11827</v>
      </c>
      <c r="F2808" t="s">
        <v>11826</v>
      </c>
      <c r="G2808" s="1">
        <v>300000</v>
      </c>
      <c r="H2808" s="2">
        <v>296652.93</v>
      </c>
      <c r="I2808" s="2">
        <v>297980.43</v>
      </c>
      <c r="J2808" s="2">
        <v>1758.18</v>
      </c>
      <c r="K2808" s="2">
        <v>0</v>
      </c>
      <c r="L2808" s="2">
        <v>299738.61</v>
      </c>
      <c r="M2808" s="3">
        <v>6.1816829999999996</v>
      </c>
      <c r="N2808" s="4">
        <v>6.8194000000000002E-4</v>
      </c>
      <c r="O2808" s="5">
        <v>44732</v>
      </c>
      <c r="P2808" s="5">
        <v>45644</v>
      </c>
      <c r="Q2808" s="1">
        <v>5.9420000000000002</v>
      </c>
      <c r="R2808" s="2">
        <v>0.15</v>
      </c>
      <c r="S2808" s="6">
        <v>0.106811678077</v>
      </c>
      <c r="T2808" t="s">
        <v>111</v>
      </c>
      <c r="U2808" t="s">
        <v>111</v>
      </c>
      <c r="V2808" t="s">
        <v>11189</v>
      </c>
      <c r="W2808" t="s">
        <v>43</v>
      </c>
      <c r="X2808" t="s">
        <v>11034</v>
      </c>
      <c r="Y2808" t="s">
        <v>44</v>
      </c>
      <c r="Z2808" t="s">
        <v>44</v>
      </c>
      <c r="AA2808" t="s">
        <v>10979</v>
      </c>
      <c r="AB2808" t="s">
        <v>44</v>
      </c>
      <c r="AC2808" s="4">
        <v>6.2772158899999999</v>
      </c>
      <c r="AD2808" s="4">
        <v>6.10354361</v>
      </c>
      <c r="AE2808" s="2">
        <v>6.28</v>
      </c>
      <c r="AF2808" s="4">
        <v>6.10354361</v>
      </c>
      <c r="AG2808" s="2">
        <v>0.3</v>
      </c>
      <c r="AH2808" s="2">
        <v>299738.61</v>
      </c>
      <c r="AI2808" s="2">
        <v>0</v>
      </c>
      <c r="AJ2808" s="5">
        <v>44673</v>
      </c>
      <c r="AK2808" t="s">
        <v>12587</v>
      </c>
      <c r="AL2808" s="2">
        <v>6.18</v>
      </c>
      <c r="AM2808" s="2">
        <v>5.94</v>
      </c>
      <c r="AN2808" s="2">
        <v>0.11</v>
      </c>
      <c r="AO2808" t="s">
        <v>11824</v>
      </c>
      <c r="AP2808" t="s">
        <v>11828</v>
      </c>
      <c r="AQ2808" t="s">
        <v>11827</v>
      </c>
    </row>
    <row r="2809" spans="1:43" x14ac:dyDescent="0.2">
      <c r="A2809" t="s">
        <v>12586</v>
      </c>
      <c r="B2809" t="s">
        <v>10900</v>
      </c>
      <c r="C2809" t="s">
        <v>11033</v>
      </c>
      <c r="D2809" t="s">
        <v>12390</v>
      </c>
      <c r="E2809" t="s">
        <v>12391</v>
      </c>
      <c r="F2809" t="s">
        <v>12390</v>
      </c>
      <c r="G2809" s="1">
        <v>300000</v>
      </c>
      <c r="H2809" s="2">
        <v>300000</v>
      </c>
      <c r="I2809" s="2">
        <v>300360.59000000003</v>
      </c>
      <c r="J2809" s="2">
        <v>4419.91</v>
      </c>
      <c r="K2809" s="2">
        <v>0</v>
      </c>
      <c r="L2809" s="2">
        <v>304780.5</v>
      </c>
      <c r="M2809" s="3">
        <v>6.4902220000000002</v>
      </c>
      <c r="N2809" s="4">
        <v>6.9340999999999999E-4</v>
      </c>
      <c r="O2809" s="5">
        <v>44680</v>
      </c>
      <c r="P2809" s="5">
        <v>45136</v>
      </c>
      <c r="Q2809" s="1">
        <v>6.5579999999999998</v>
      </c>
      <c r="R2809" s="2">
        <v>0.01</v>
      </c>
      <c r="S2809" s="6">
        <v>-8.1043672139999995E-3</v>
      </c>
      <c r="T2809" t="s">
        <v>111</v>
      </c>
      <c r="U2809" t="s">
        <v>111</v>
      </c>
      <c r="V2809" t="s">
        <v>11189</v>
      </c>
      <c r="W2809" t="s">
        <v>43</v>
      </c>
      <c r="X2809" t="s">
        <v>11034</v>
      </c>
      <c r="Y2809" t="s">
        <v>44</v>
      </c>
      <c r="Z2809" t="s">
        <v>44</v>
      </c>
      <c r="AA2809" t="s">
        <v>11035</v>
      </c>
      <c r="AB2809" t="s">
        <v>44</v>
      </c>
      <c r="AC2809" s="4">
        <v>6.5955293700000004</v>
      </c>
      <c r="AD2809" s="4">
        <v>6.4041669900000002</v>
      </c>
      <c r="AE2809" s="2">
        <v>6.6</v>
      </c>
      <c r="AF2809" s="4">
        <v>6.4041669900000002</v>
      </c>
      <c r="AG2809" s="2">
        <v>0.31</v>
      </c>
      <c r="AH2809" s="2">
        <v>304780.5</v>
      </c>
      <c r="AI2809" s="2">
        <v>0</v>
      </c>
      <c r="AJ2809" s="5">
        <v>44673</v>
      </c>
      <c r="AK2809" t="s">
        <v>12587</v>
      </c>
      <c r="AL2809" s="2">
        <v>6.49</v>
      </c>
      <c r="AM2809" s="2">
        <v>6.56</v>
      </c>
      <c r="AN2809" s="2">
        <v>-0.01</v>
      </c>
      <c r="AO2809" t="s">
        <v>11437</v>
      </c>
      <c r="AP2809" t="s">
        <v>12392</v>
      </c>
      <c r="AQ2809" t="s">
        <v>12391</v>
      </c>
    </row>
    <row r="2810" spans="1:43" x14ac:dyDescent="0.2">
      <c r="A2810" t="s">
        <v>12586</v>
      </c>
      <c r="B2810" t="s">
        <v>10900</v>
      </c>
      <c r="C2810" t="s">
        <v>11033</v>
      </c>
      <c r="D2810" t="s">
        <v>11829</v>
      </c>
      <c r="E2810" t="s">
        <v>11830</v>
      </c>
      <c r="F2810" t="s">
        <v>11829</v>
      </c>
      <c r="G2810" s="1">
        <v>1400000</v>
      </c>
      <c r="H2810" s="2">
        <v>1400163.78</v>
      </c>
      <c r="I2810" s="2">
        <v>1399821.32</v>
      </c>
      <c r="J2810" s="2">
        <v>10666.81</v>
      </c>
      <c r="K2810" s="2">
        <v>0</v>
      </c>
      <c r="L2810" s="2">
        <v>1410488.13</v>
      </c>
      <c r="M2810" s="3">
        <v>5.9678570000000004</v>
      </c>
      <c r="N2810" s="4">
        <v>3.20901E-3</v>
      </c>
      <c r="O2810" s="5">
        <v>44719</v>
      </c>
      <c r="P2810" s="5">
        <v>45723</v>
      </c>
      <c r="Q2810" s="1">
        <v>5.9169999999999998</v>
      </c>
      <c r="R2810" s="2">
        <v>0.12</v>
      </c>
      <c r="S2810" s="6">
        <v>8.2443218371999999E-2</v>
      </c>
      <c r="T2810" t="s">
        <v>111</v>
      </c>
      <c r="U2810" t="s">
        <v>111</v>
      </c>
      <c r="V2810" t="s">
        <v>11189</v>
      </c>
      <c r="W2810" t="s">
        <v>43</v>
      </c>
      <c r="X2810" t="s">
        <v>11034</v>
      </c>
      <c r="Y2810" t="s">
        <v>44</v>
      </c>
      <c r="Z2810" t="s">
        <v>44</v>
      </c>
      <c r="AA2810" t="s">
        <v>11035</v>
      </c>
      <c r="AB2810" t="s">
        <v>44</v>
      </c>
      <c r="AC2810" s="4">
        <v>6.0568952400000002</v>
      </c>
      <c r="AD2810" s="4">
        <v>5.8949834299999999</v>
      </c>
      <c r="AE2810" s="2">
        <v>6.06</v>
      </c>
      <c r="AF2810" s="4">
        <v>5.8949834299999999</v>
      </c>
      <c r="AG2810" s="2">
        <v>1.43</v>
      </c>
      <c r="AH2810" s="2">
        <v>1410488.13</v>
      </c>
      <c r="AI2810" s="2">
        <v>0</v>
      </c>
      <c r="AJ2810" s="5">
        <v>44673</v>
      </c>
      <c r="AK2810" t="s">
        <v>12587</v>
      </c>
      <c r="AL2810" s="2">
        <v>5.97</v>
      </c>
      <c r="AM2810" s="2">
        <v>5.92</v>
      </c>
      <c r="AN2810" s="2">
        <v>0.08</v>
      </c>
      <c r="AO2810" t="s">
        <v>11437</v>
      </c>
      <c r="AP2810" t="s">
        <v>11831</v>
      </c>
      <c r="AQ2810" t="s">
        <v>11830</v>
      </c>
    </row>
    <row r="2811" spans="1:43" x14ac:dyDescent="0.2">
      <c r="A2811" t="s">
        <v>12586</v>
      </c>
      <c r="B2811" t="s">
        <v>10900</v>
      </c>
      <c r="C2811" t="s">
        <v>11033</v>
      </c>
      <c r="D2811" t="s">
        <v>12982</v>
      </c>
      <c r="E2811" t="s">
        <v>12983</v>
      </c>
      <c r="F2811" t="s">
        <v>12982</v>
      </c>
      <c r="G2811" s="1">
        <v>1100000</v>
      </c>
      <c r="H2811" s="2">
        <v>1100000</v>
      </c>
      <c r="I2811" s="2">
        <v>1146580.3600000001</v>
      </c>
      <c r="J2811" s="2">
        <v>14115.23</v>
      </c>
      <c r="K2811" s="2">
        <v>0</v>
      </c>
      <c r="L2811" s="2">
        <v>1160695.5900000001</v>
      </c>
      <c r="M2811" s="3">
        <v>6.0747210000000003</v>
      </c>
      <c r="N2811" s="4">
        <v>2.6407100000000001E-3</v>
      </c>
      <c r="O2811" s="5">
        <v>44706</v>
      </c>
      <c r="P2811" s="5">
        <v>45439</v>
      </c>
      <c r="Q2811" s="1">
        <v>8.2170000000000005</v>
      </c>
      <c r="R2811" s="2">
        <v>0.08</v>
      </c>
      <c r="S2811" s="6">
        <v>9.4979191527000004E-2</v>
      </c>
      <c r="T2811" t="s">
        <v>111</v>
      </c>
      <c r="U2811" t="s">
        <v>111</v>
      </c>
      <c r="V2811" t="s">
        <v>11189</v>
      </c>
      <c r="W2811" t="s">
        <v>43</v>
      </c>
      <c r="X2811" t="s">
        <v>11034</v>
      </c>
      <c r="Y2811" t="s">
        <v>44</v>
      </c>
      <c r="Z2811" t="s">
        <v>44</v>
      </c>
      <c r="AA2811" t="s">
        <v>44</v>
      </c>
      <c r="AB2811" t="s">
        <v>44</v>
      </c>
      <c r="AC2811" s="4">
        <v>6.1669761000000003</v>
      </c>
      <c r="AD2811" s="4">
        <v>5.9992378899999999</v>
      </c>
      <c r="AE2811" s="2">
        <v>6.17</v>
      </c>
      <c r="AF2811" s="4">
        <v>5.9992378899999999</v>
      </c>
      <c r="AG2811" s="2">
        <v>1.17</v>
      </c>
      <c r="AH2811" s="2">
        <v>1160695.5900000001</v>
      </c>
      <c r="AI2811" s="2">
        <v>0</v>
      </c>
      <c r="AJ2811" s="5">
        <v>44673</v>
      </c>
      <c r="AK2811" t="s">
        <v>12587</v>
      </c>
      <c r="AL2811" s="2">
        <v>6.07</v>
      </c>
      <c r="AM2811" s="2">
        <v>8.2200000000000006</v>
      </c>
      <c r="AN2811" s="2">
        <v>0.09</v>
      </c>
      <c r="AO2811" t="s">
        <v>12984</v>
      </c>
      <c r="AP2811" t="s">
        <v>12985</v>
      </c>
      <c r="AQ2811" t="s">
        <v>12983</v>
      </c>
    </row>
    <row r="2812" spans="1:43" x14ac:dyDescent="0.2">
      <c r="A2812" t="s">
        <v>12586</v>
      </c>
      <c r="B2812" t="s">
        <v>10900</v>
      </c>
      <c r="C2812" t="s">
        <v>11033</v>
      </c>
      <c r="D2812" t="s">
        <v>11843</v>
      </c>
      <c r="E2812" t="s">
        <v>11844</v>
      </c>
      <c r="F2812" t="s">
        <v>11843</v>
      </c>
      <c r="G2812" s="1">
        <v>400000</v>
      </c>
      <c r="H2812" s="2">
        <v>401389.61</v>
      </c>
      <c r="I2812" s="2">
        <v>398195.45</v>
      </c>
      <c r="J2812" s="2">
        <v>297.33999999999997</v>
      </c>
      <c r="K2812" s="2">
        <v>0</v>
      </c>
      <c r="L2812" s="2">
        <v>398492.79</v>
      </c>
      <c r="M2812" s="3">
        <v>6.9820180000000001</v>
      </c>
      <c r="N2812" s="4">
        <v>9.0660999999999997E-4</v>
      </c>
      <c r="O2812" s="5">
        <v>44760</v>
      </c>
      <c r="P2812" s="5">
        <v>45398</v>
      </c>
      <c r="Q2812" s="1">
        <v>6.7830000000000004</v>
      </c>
      <c r="R2812" s="2">
        <v>0.23</v>
      </c>
      <c r="S2812" s="6">
        <v>0.182016060841</v>
      </c>
      <c r="T2812" t="s">
        <v>111</v>
      </c>
      <c r="U2812" t="s">
        <v>111</v>
      </c>
      <c r="V2812" t="s">
        <v>11189</v>
      </c>
      <c r="W2812" t="s">
        <v>43</v>
      </c>
      <c r="X2812" t="s">
        <v>11034</v>
      </c>
      <c r="Y2812" t="s">
        <v>44</v>
      </c>
      <c r="Z2812" t="s">
        <v>44</v>
      </c>
      <c r="AA2812" t="s">
        <v>10979</v>
      </c>
      <c r="AB2812" t="s">
        <v>44</v>
      </c>
      <c r="AC2812" s="4">
        <v>7.1038890300000004</v>
      </c>
      <c r="AD2812" s="4">
        <v>6.8825725699999998</v>
      </c>
      <c r="AE2812" s="2">
        <v>7.1</v>
      </c>
      <c r="AF2812" s="4">
        <v>6.8825725699999998</v>
      </c>
      <c r="AG2812" s="2">
        <v>0.4</v>
      </c>
      <c r="AH2812" s="2">
        <v>398492.79</v>
      </c>
      <c r="AI2812" s="2">
        <v>0</v>
      </c>
      <c r="AJ2812" s="5">
        <v>44673</v>
      </c>
      <c r="AK2812" t="s">
        <v>12587</v>
      </c>
      <c r="AL2812" s="2">
        <v>6.98</v>
      </c>
      <c r="AM2812" s="2">
        <v>6.78</v>
      </c>
      <c r="AN2812" s="2">
        <v>0.18</v>
      </c>
      <c r="AO2812" t="s">
        <v>11179</v>
      </c>
      <c r="AP2812" t="s">
        <v>11845</v>
      </c>
      <c r="AQ2812" t="s">
        <v>11844</v>
      </c>
    </row>
    <row r="2813" spans="1:43" x14ac:dyDescent="0.2">
      <c r="A2813" t="s">
        <v>12586</v>
      </c>
      <c r="B2813" t="s">
        <v>10900</v>
      </c>
      <c r="C2813" t="s">
        <v>10943</v>
      </c>
      <c r="D2813" t="s">
        <v>11552</v>
      </c>
      <c r="E2813" t="s">
        <v>11553</v>
      </c>
      <c r="F2813" t="s">
        <v>11552</v>
      </c>
      <c r="G2813" s="1">
        <v>100000</v>
      </c>
      <c r="H2813" s="2">
        <v>99973.6</v>
      </c>
      <c r="I2813" s="2">
        <v>100000.34</v>
      </c>
      <c r="J2813" s="2">
        <v>1268.8699999999999</v>
      </c>
      <c r="K2813" s="2">
        <v>0</v>
      </c>
      <c r="L2813" s="2">
        <v>101269.21</v>
      </c>
      <c r="M2813" s="3">
        <v>5.7189139999999998</v>
      </c>
      <c r="N2813" s="4">
        <v>2.3039999999999999E-4</v>
      </c>
      <c r="O2813" s="5">
        <v>44684</v>
      </c>
      <c r="P2813" s="5">
        <v>46418</v>
      </c>
      <c r="Q2813" s="1">
        <v>5.6479999999999997</v>
      </c>
      <c r="R2813" s="2">
        <v>0.02</v>
      </c>
      <c r="S2813" s="6">
        <v>-2.0490922419E-2</v>
      </c>
      <c r="T2813" t="s">
        <v>111</v>
      </c>
      <c r="U2813" t="s">
        <v>111</v>
      </c>
      <c r="V2813" t="s">
        <v>11189</v>
      </c>
      <c r="W2813" t="s">
        <v>43</v>
      </c>
      <c r="X2813" t="s">
        <v>11034</v>
      </c>
      <c r="Y2813" t="s">
        <v>44</v>
      </c>
      <c r="Z2813" t="s">
        <v>44</v>
      </c>
      <c r="AA2813" t="s">
        <v>10979</v>
      </c>
      <c r="AB2813" t="s">
        <v>44</v>
      </c>
      <c r="AC2813" s="4">
        <v>5.8006784400000004</v>
      </c>
      <c r="AD2813" s="4">
        <v>5.6519431300000003</v>
      </c>
      <c r="AE2813" s="2">
        <v>5.8</v>
      </c>
      <c r="AF2813" s="4">
        <v>5.6519431300000003</v>
      </c>
      <c r="AG2813" s="2">
        <v>0.1</v>
      </c>
      <c r="AH2813" s="2">
        <v>101269.21</v>
      </c>
      <c r="AI2813" s="2">
        <v>0</v>
      </c>
      <c r="AJ2813" s="5">
        <v>44673</v>
      </c>
      <c r="AK2813" t="s">
        <v>12587</v>
      </c>
      <c r="AL2813" s="2">
        <v>5.72</v>
      </c>
      <c r="AM2813" s="2">
        <v>5.65</v>
      </c>
      <c r="AN2813" s="2">
        <v>-0.02</v>
      </c>
      <c r="AO2813" t="s">
        <v>11048</v>
      </c>
      <c r="AP2813" t="s">
        <v>11554</v>
      </c>
      <c r="AQ2813" t="s">
        <v>11553</v>
      </c>
    </row>
    <row r="2814" spans="1:43" x14ac:dyDescent="0.2">
      <c r="A2814" t="s">
        <v>12586</v>
      </c>
      <c r="B2814" t="s">
        <v>10900</v>
      </c>
      <c r="C2814" t="s">
        <v>10943</v>
      </c>
      <c r="D2814" t="s">
        <v>11555</v>
      </c>
      <c r="E2814" t="s">
        <v>11556</v>
      </c>
      <c r="F2814" t="s">
        <v>11555</v>
      </c>
      <c r="G2814" s="1">
        <v>1100000</v>
      </c>
      <c r="H2814" s="2">
        <v>1100000</v>
      </c>
      <c r="I2814" s="2">
        <v>1078955.8999999999</v>
      </c>
      <c r="J2814" s="2">
        <v>22699.18</v>
      </c>
      <c r="K2814" s="2">
        <v>0</v>
      </c>
      <c r="L2814" s="2">
        <v>1101655.08</v>
      </c>
      <c r="M2814" s="3">
        <v>9.9250000000000007</v>
      </c>
      <c r="N2814" s="4">
        <v>2.5063799999999999E-3</v>
      </c>
      <c r="O2814" s="5">
        <v>44775</v>
      </c>
      <c r="P2814" s="5">
        <v>46420</v>
      </c>
      <c r="Q2814" s="1">
        <v>9.4149999999999991</v>
      </c>
      <c r="R2814" s="2">
        <v>3.86</v>
      </c>
      <c r="S2814" s="6">
        <v>3.6810259830000001</v>
      </c>
      <c r="T2814" t="s">
        <v>111</v>
      </c>
      <c r="U2814" t="s">
        <v>111</v>
      </c>
      <c r="V2814" t="s">
        <v>10944</v>
      </c>
      <c r="W2814" t="s">
        <v>43</v>
      </c>
      <c r="X2814" t="s">
        <v>44</v>
      </c>
      <c r="Y2814" t="s">
        <v>44</v>
      </c>
      <c r="Z2814" t="s">
        <v>44</v>
      </c>
      <c r="AA2814" t="s">
        <v>10979</v>
      </c>
      <c r="AB2814" t="s">
        <v>44</v>
      </c>
      <c r="AC2814" s="4">
        <v>10.17126406</v>
      </c>
      <c r="AD2814" s="4">
        <v>9.72579277</v>
      </c>
      <c r="AE2814" s="2">
        <v>10.17</v>
      </c>
      <c r="AF2814" s="4">
        <v>9.72579277</v>
      </c>
      <c r="AG2814" s="2">
        <v>1.1100000000000001</v>
      </c>
      <c r="AH2814" s="2">
        <v>1101655.08</v>
      </c>
      <c r="AI2814" s="2">
        <v>0</v>
      </c>
      <c r="AJ2814" s="5">
        <v>44673</v>
      </c>
      <c r="AK2814" t="s">
        <v>12587</v>
      </c>
      <c r="AL2814" s="2">
        <v>9.93</v>
      </c>
      <c r="AM2814" s="2">
        <v>9.41</v>
      </c>
      <c r="AN2814" s="2">
        <v>3.68</v>
      </c>
      <c r="AO2814" t="s">
        <v>11048</v>
      </c>
      <c r="AP2814" t="s">
        <v>11557</v>
      </c>
      <c r="AQ2814" t="s">
        <v>11556</v>
      </c>
    </row>
    <row r="2815" spans="1:43" x14ac:dyDescent="0.2">
      <c r="A2815" t="s">
        <v>12586</v>
      </c>
      <c r="B2815" t="s">
        <v>10900</v>
      </c>
      <c r="C2815" t="s">
        <v>10943</v>
      </c>
      <c r="D2815" t="s">
        <v>11558</v>
      </c>
      <c r="E2815" t="s">
        <v>11559</v>
      </c>
      <c r="F2815" t="s">
        <v>11558</v>
      </c>
      <c r="G2815" s="1">
        <v>200000</v>
      </c>
      <c r="H2815" s="2">
        <v>199501.49</v>
      </c>
      <c r="I2815" s="2">
        <v>196880.66</v>
      </c>
      <c r="J2815" s="2">
        <v>178.74</v>
      </c>
      <c r="K2815" s="2">
        <v>0</v>
      </c>
      <c r="L2815" s="2">
        <v>197059.4</v>
      </c>
      <c r="M2815" s="3">
        <v>8.625</v>
      </c>
      <c r="N2815" s="4">
        <v>4.4832999999999999E-4</v>
      </c>
      <c r="O2815" s="5">
        <v>44853</v>
      </c>
      <c r="P2815" s="5">
        <v>46131</v>
      </c>
      <c r="Q2815" s="1">
        <v>8.1549999999999994</v>
      </c>
      <c r="R2815" s="2">
        <v>3.47</v>
      </c>
      <c r="S2815" s="6">
        <v>3.327828963</v>
      </c>
      <c r="T2815" t="s">
        <v>111</v>
      </c>
      <c r="U2815" t="s">
        <v>111</v>
      </c>
      <c r="V2815" t="s">
        <v>10944</v>
      </c>
      <c r="W2815" t="s">
        <v>43</v>
      </c>
      <c r="X2815" t="s">
        <v>44</v>
      </c>
      <c r="Y2815" t="s">
        <v>44</v>
      </c>
      <c r="Z2815" t="s">
        <v>44</v>
      </c>
      <c r="AA2815" t="s">
        <v>10979</v>
      </c>
      <c r="AB2815" t="s">
        <v>44</v>
      </c>
      <c r="AC2815" s="4">
        <v>8.8109765600000003</v>
      </c>
      <c r="AD2815" s="4">
        <v>8.4739831300000006</v>
      </c>
      <c r="AE2815" s="2">
        <v>8.81</v>
      </c>
      <c r="AF2815" s="4">
        <v>8.4739831300000006</v>
      </c>
      <c r="AG2815" s="2">
        <v>0.2</v>
      </c>
      <c r="AH2815" s="2">
        <v>197059.4</v>
      </c>
      <c r="AI2815" s="2">
        <v>0</v>
      </c>
      <c r="AJ2815" s="5">
        <v>44673</v>
      </c>
      <c r="AK2815" t="s">
        <v>12587</v>
      </c>
      <c r="AL2815" s="2">
        <v>8.6300000000000008</v>
      </c>
      <c r="AM2815" s="2">
        <v>8.15</v>
      </c>
      <c r="AN2815" s="2">
        <v>3.33</v>
      </c>
      <c r="AO2815" t="s">
        <v>11054</v>
      </c>
      <c r="AP2815" t="s">
        <v>11560</v>
      </c>
      <c r="AQ2815" t="s">
        <v>11559</v>
      </c>
    </row>
    <row r="2816" spans="1:43" x14ac:dyDescent="0.2">
      <c r="A2816" t="s">
        <v>12586</v>
      </c>
      <c r="B2816" t="s">
        <v>10900</v>
      </c>
      <c r="C2816" t="s">
        <v>10943</v>
      </c>
      <c r="D2816" t="s">
        <v>11569</v>
      </c>
      <c r="E2816" t="s">
        <v>11570</v>
      </c>
      <c r="F2816" t="s">
        <v>11569</v>
      </c>
      <c r="G2816" s="1">
        <v>300000</v>
      </c>
      <c r="H2816" s="2">
        <v>301717.33</v>
      </c>
      <c r="I2816" s="2">
        <v>301621.18</v>
      </c>
      <c r="J2816" s="2">
        <v>4107.83</v>
      </c>
      <c r="K2816" s="2">
        <v>0</v>
      </c>
      <c r="L2816" s="2">
        <v>305729.01</v>
      </c>
      <c r="M2816" s="3">
        <v>8.5241640000000007</v>
      </c>
      <c r="N2816" s="4">
        <v>6.9556999999999996E-4</v>
      </c>
      <c r="O2816" s="5">
        <v>44705</v>
      </c>
      <c r="P2816" s="5">
        <v>46166</v>
      </c>
      <c r="Q2816" s="1">
        <v>8.6170000000000009</v>
      </c>
      <c r="R2816" s="2">
        <v>0.08</v>
      </c>
      <c r="S2816" s="6">
        <v>-9.3404076700000001E-3</v>
      </c>
      <c r="T2816" t="s">
        <v>111</v>
      </c>
      <c r="U2816" t="s">
        <v>111</v>
      </c>
      <c r="V2816" t="s">
        <v>11189</v>
      </c>
      <c r="W2816" t="s">
        <v>43</v>
      </c>
      <c r="X2816" t="s">
        <v>11034</v>
      </c>
      <c r="Y2816" t="s">
        <v>44</v>
      </c>
      <c r="Z2816" t="s">
        <v>44</v>
      </c>
      <c r="AA2816" t="s">
        <v>11035</v>
      </c>
      <c r="AB2816" t="s">
        <v>44</v>
      </c>
      <c r="AC2816" s="4">
        <v>8.7058170199999996</v>
      </c>
      <c r="AD2816" s="4">
        <v>8.3766132899999999</v>
      </c>
      <c r="AE2816" s="2">
        <v>8.7100000000000009</v>
      </c>
      <c r="AF2816" s="4">
        <v>8.3766132899999999</v>
      </c>
      <c r="AG2816" s="2">
        <v>0.31</v>
      </c>
      <c r="AH2816" s="2">
        <v>305729.01</v>
      </c>
      <c r="AI2816" s="2">
        <v>0</v>
      </c>
      <c r="AJ2816" s="5">
        <v>44673</v>
      </c>
      <c r="AK2816" t="s">
        <v>12587</v>
      </c>
      <c r="AL2816" s="2">
        <v>8.52</v>
      </c>
      <c r="AM2816" s="2">
        <v>8.6199999999999992</v>
      </c>
      <c r="AN2816" s="2">
        <v>-0.01</v>
      </c>
      <c r="AO2816" t="s">
        <v>11226</v>
      </c>
      <c r="AP2816" t="s">
        <v>11571</v>
      </c>
      <c r="AQ2816" t="s">
        <v>11570</v>
      </c>
    </row>
    <row r="2817" spans="1:43" x14ac:dyDescent="0.2">
      <c r="A2817" t="s">
        <v>12586</v>
      </c>
      <c r="B2817" t="s">
        <v>10900</v>
      </c>
      <c r="C2817" t="s">
        <v>10943</v>
      </c>
      <c r="D2817" t="s">
        <v>11572</v>
      </c>
      <c r="E2817" t="s">
        <v>11573</v>
      </c>
      <c r="F2817" t="s">
        <v>11572</v>
      </c>
      <c r="G2817" s="1">
        <v>2000000</v>
      </c>
      <c r="H2817" s="2">
        <v>2000000</v>
      </c>
      <c r="I2817" s="2">
        <v>1999820.03</v>
      </c>
      <c r="J2817" s="2">
        <v>11207.89</v>
      </c>
      <c r="K2817" s="2">
        <v>0</v>
      </c>
      <c r="L2817" s="2">
        <v>2011027.92</v>
      </c>
      <c r="M2817" s="3">
        <v>6.3514429999999997</v>
      </c>
      <c r="N2817" s="4">
        <v>4.57531E-3</v>
      </c>
      <c r="O2817" s="5">
        <v>44734</v>
      </c>
      <c r="P2817" s="5">
        <v>46468</v>
      </c>
      <c r="Q2817" s="1">
        <v>6.3920000000000003</v>
      </c>
      <c r="R2817" s="2">
        <v>0.16</v>
      </c>
      <c r="S2817" s="6">
        <v>9.4330326845999998E-2</v>
      </c>
      <c r="T2817" t="s">
        <v>111</v>
      </c>
      <c r="U2817" t="s">
        <v>111</v>
      </c>
      <c r="V2817" t="s">
        <v>11189</v>
      </c>
      <c r="W2817" t="s">
        <v>43</v>
      </c>
      <c r="X2817" t="s">
        <v>11034</v>
      </c>
      <c r="Y2817" t="s">
        <v>44</v>
      </c>
      <c r="Z2817" t="s">
        <v>44</v>
      </c>
      <c r="AA2817" t="s">
        <v>11035</v>
      </c>
      <c r="AB2817" t="s">
        <v>44</v>
      </c>
      <c r="AC2817" s="4">
        <v>6.4522949799999996</v>
      </c>
      <c r="AD2817" s="4">
        <v>6.2689947500000001</v>
      </c>
      <c r="AE2817" s="2">
        <v>6.45</v>
      </c>
      <c r="AF2817" s="4">
        <v>6.2689947500000001</v>
      </c>
      <c r="AG2817" s="2">
        <v>2.0299999999999998</v>
      </c>
      <c r="AH2817" s="2">
        <v>2011027.92</v>
      </c>
      <c r="AI2817" s="2">
        <v>0</v>
      </c>
      <c r="AJ2817" s="5">
        <v>44673</v>
      </c>
      <c r="AK2817" t="s">
        <v>12587</v>
      </c>
      <c r="AL2817" s="2">
        <v>6.35</v>
      </c>
      <c r="AM2817" s="2">
        <v>6.39</v>
      </c>
      <c r="AN2817" s="2">
        <v>0.09</v>
      </c>
      <c r="AO2817" t="s">
        <v>11226</v>
      </c>
      <c r="AP2817" t="s">
        <v>11574</v>
      </c>
      <c r="AQ2817" t="s">
        <v>11573</v>
      </c>
    </row>
    <row r="2818" spans="1:43" x14ac:dyDescent="0.2">
      <c r="A2818" t="s">
        <v>12586</v>
      </c>
      <c r="B2818" t="s">
        <v>10900</v>
      </c>
      <c r="C2818" t="s">
        <v>10943</v>
      </c>
      <c r="D2818" t="s">
        <v>11575</v>
      </c>
      <c r="E2818" t="s">
        <v>11576</v>
      </c>
      <c r="F2818" t="s">
        <v>11575</v>
      </c>
      <c r="G2818" s="1">
        <v>500000</v>
      </c>
      <c r="H2818" s="2">
        <v>493460.02</v>
      </c>
      <c r="I2818" s="2">
        <v>487452.2</v>
      </c>
      <c r="J2818" s="2">
        <v>9289.59</v>
      </c>
      <c r="K2818" s="2">
        <v>0</v>
      </c>
      <c r="L2818" s="2">
        <v>496741.79</v>
      </c>
      <c r="M2818" s="3">
        <v>9.07</v>
      </c>
      <c r="N2818" s="4">
        <v>1.13014E-3</v>
      </c>
      <c r="O2818" s="5">
        <v>44771</v>
      </c>
      <c r="P2818" s="5">
        <v>46051</v>
      </c>
      <c r="Q2818" s="1">
        <v>8.27</v>
      </c>
      <c r="R2818" s="2">
        <v>3.24</v>
      </c>
      <c r="S2818" s="6">
        <v>3.0998465770000001</v>
      </c>
      <c r="T2818" t="s">
        <v>111</v>
      </c>
      <c r="U2818" t="s">
        <v>111</v>
      </c>
      <c r="V2818" t="s">
        <v>10944</v>
      </c>
      <c r="W2818" t="s">
        <v>43</v>
      </c>
      <c r="X2818" t="s">
        <v>44</v>
      </c>
      <c r="Y2818" t="s">
        <v>44</v>
      </c>
      <c r="Z2818" t="s">
        <v>44</v>
      </c>
      <c r="AA2818" t="s">
        <v>11035</v>
      </c>
      <c r="AB2818" t="s">
        <v>44</v>
      </c>
      <c r="AC2818" s="4">
        <v>9.2756622499999999</v>
      </c>
      <c r="AD2818" s="4">
        <v>8.9032170799999992</v>
      </c>
      <c r="AE2818" s="2">
        <v>9.2799999999999994</v>
      </c>
      <c r="AF2818" s="4">
        <v>8.9032170799999992</v>
      </c>
      <c r="AG2818" s="2">
        <v>0.5</v>
      </c>
      <c r="AH2818" s="2">
        <v>496741.79</v>
      </c>
      <c r="AI2818" s="2">
        <v>0</v>
      </c>
      <c r="AJ2818" s="5">
        <v>44673</v>
      </c>
      <c r="AK2818" t="s">
        <v>12587</v>
      </c>
      <c r="AL2818" s="2">
        <v>9.07</v>
      </c>
      <c r="AM2818" s="2">
        <v>8.27</v>
      </c>
      <c r="AN2818" s="2">
        <v>3.1</v>
      </c>
      <c r="AO2818" t="s">
        <v>11437</v>
      </c>
      <c r="AP2818" t="s">
        <v>11577</v>
      </c>
      <c r="AQ2818" t="s">
        <v>11576</v>
      </c>
    </row>
    <row r="2819" spans="1:43" x14ac:dyDescent="0.2">
      <c r="A2819" t="s">
        <v>12586</v>
      </c>
      <c r="B2819" t="s">
        <v>10900</v>
      </c>
      <c r="C2819" t="s">
        <v>10943</v>
      </c>
      <c r="D2819" t="s">
        <v>11578</v>
      </c>
      <c r="E2819" t="s">
        <v>11579</v>
      </c>
      <c r="F2819" t="s">
        <v>11578</v>
      </c>
      <c r="G2819" s="1">
        <v>100000</v>
      </c>
      <c r="H2819" s="2">
        <v>95073.68</v>
      </c>
      <c r="I2819" s="2">
        <v>93350.26</v>
      </c>
      <c r="J2819" s="2">
        <v>832.31</v>
      </c>
      <c r="K2819" s="2">
        <v>0</v>
      </c>
      <c r="L2819" s="2">
        <v>94182.57</v>
      </c>
      <c r="M2819" s="3">
        <v>9.375</v>
      </c>
      <c r="N2819" s="4">
        <v>2.1427999999999999E-4</v>
      </c>
      <c r="O2819" s="5">
        <v>44819</v>
      </c>
      <c r="P2819" s="5">
        <v>46827</v>
      </c>
      <c r="Q2819" s="1">
        <v>7.8849999999999998</v>
      </c>
      <c r="R2819" s="2">
        <v>4.74</v>
      </c>
      <c r="S2819" s="6">
        <v>4.5243735450000004</v>
      </c>
      <c r="T2819" t="s">
        <v>111</v>
      </c>
      <c r="U2819" t="s">
        <v>111</v>
      </c>
      <c r="V2819" t="s">
        <v>10944</v>
      </c>
      <c r="W2819" t="s">
        <v>43</v>
      </c>
      <c r="X2819" t="s">
        <v>44</v>
      </c>
      <c r="Y2819" t="s">
        <v>44</v>
      </c>
      <c r="Z2819" t="s">
        <v>44</v>
      </c>
      <c r="AA2819" t="s">
        <v>11441</v>
      </c>
      <c r="AB2819" t="s">
        <v>44</v>
      </c>
      <c r="AC2819" s="4">
        <v>9.5947265599999998</v>
      </c>
      <c r="AD2819" s="4">
        <v>9.1969716100000003</v>
      </c>
      <c r="AE2819" s="2">
        <v>9.59</v>
      </c>
      <c r="AF2819" s="4">
        <v>9.1969716100000003</v>
      </c>
      <c r="AG2819" s="2">
        <v>0.1</v>
      </c>
      <c r="AH2819" s="2">
        <v>94182.57</v>
      </c>
      <c r="AI2819" s="2">
        <v>0</v>
      </c>
      <c r="AJ2819" s="5">
        <v>44673</v>
      </c>
      <c r="AK2819" t="s">
        <v>12587</v>
      </c>
      <c r="AL2819" s="2">
        <v>9.3800000000000008</v>
      </c>
      <c r="AM2819" s="2">
        <v>7.88</v>
      </c>
      <c r="AN2819" s="2">
        <v>4.5199999999999996</v>
      </c>
      <c r="AO2819" t="s">
        <v>11580</v>
      </c>
      <c r="AP2819" t="s">
        <v>11581</v>
      </c>
      <c r="AQ2819" t="s">
        <v>11579</v>
      </c>
    </row>
    <row r="2820" spans="1:43" x14ac:dyDescent="0.2">
      <c r="A2820" t="s">
        <v>12586</v>
      </c>
      <c r="B2820" t="s">
        <v>10900</v>
      </c>
      <c r="C2820" t="s">
        <v>10943</v>
      </c>
      <c r="D2820" t="s">
        <v>11582</v>
      </c>
      <c r="E2820" t="s">
        <v>11583</v>
      </c>
      <c r="F2820" t="s">
        <v>11582</v>
      </c>
      <c r="G2820" s="1">
        <v>2000000</v>
      </c>
      <c r="H2820" s="2">
        <v>2000000</v>
      </c>
      <c r="I2820" s="2">
        <v>2000041.67</v>
      </c>
      <c r="J2820" s="2">
        <v>9070.7900000000009</v>
      </c>
      <c r="K2820" s="2">
        <v>0</v>
      </c>
      <c r="L2820" s="2">
        <v>2009112.46</v>
      </c>
      <c r="M2820" s="3">
        <v>6.2543709999999999</v>
      </c>
      <c r="N2820" s="4">
        <v>4.5709499999999998E-3</v>
      </c>
      <c r="O2820" s="5">
        <v>44739</v>
      </c>
      <c r="P2820" s="5">
        <v>46383</v>
      </c>
      <c r="Q2820" s="1">
        <v>6.367</v>
      </c>
      <c r="R2820" s="2">
        <v>0.17</v>
      </c>
      <c r="S2820" s="6">
        <v>0.11195984108699999</v>
      </c>
      <c r="T2820" t="s">
        <v>111</v>
      </c>
      <c r="U2820" t="s">
        <v>111</v>
      </c>
      <c r="V2820" t="s">
        <v>11189</v>
      </c>
      <c r="W2820" t="s">
        <v>43</v>
      </c>
      <c r="X2820" t="s">
        <v>11034</v>
      </c>
      <c r="Y2820" t="s">
        <v>44</v>
      </c>
      <c r="Z2820" t="s">
        <v>44</v>
      </c>
      <c r="AA2820" t="s">
        <v>11035</v>
      </c>
      <c r="AB2820" t="s">
        <v>44</v>
      </c>
      <c r="AC2820" s="4">
        <v>6.3521637200000001</v>
      </c>
      <c r="AD2820" s="4">
        <v>6.1744004700000001</v>
      </c>
      <c r="AE2820" s="2">
        <v>6.35</v>
      </c>
      <c r="AF2820" s="4">
        <v>6.1744004700000001</v>
      </c>
      <c r="AG2820" s="2">
        <v>2.0299999999999998</v>
      </c>
      <c r="AH2820" s="2">
        <v>2009112.46</v>
      </c>
      <c r="AI2820" s="2">
        <v>0</v>
      </c>
      <c r="AJ2820" s="5">
        <v>44673</v>
      </c>
      <c r="AK2820" t="s">
        <v>12587</v>
      </c>
      <c r="AL2820" s="2">
        <v>6.25</v>
      </c>
      <c r="AM2820" s="2">
        <v>6.37</v>
      </c>
      <c r="AN2820" s="2">
        <v>0.11</v>
      </c>
      <c r="AO2820" t="s">
        <v>11036</v>
      </c>
      <c r="AP2820" t="s">
        <v>11584</v>
      </c>
      <c r="AQ2820" t="s">
        <v>11583</v>
      </c>
    </row>
    <row r="2821" spans="1:43" x14ac:dyDescent="0.2">
      <c r="A2821" t="s">
        <v>12586</v>
      </c>
      <c r="B2821" t="s">
        <v>10900</v>
      </c>
      <c r="C2821" t="s">
        <v>10943</v>
      </c>
      <c r="D2821" t="s">
        <v>11588</v>
      </c>
      <c r="E2821" t="s">
        <v>11589</v>
      </c>
      <c r="F2821" t="s">
        <v>11588</v>
      </c>
      <c r="G2821" s="1">
        <v>2000000</v>
      </c>
      <c r="H2821" s="2">
        <v>2000000</v>
      </c>
      <c r="I2821" s="2">
        <v>2000000.33</v>
      </c>
      <c r="J2821" s="2">
        <v>11791.89</v>
      </c>
      <c r="K2821" s="2">
        <v>0</v>
      </c>
      <c r="L2821" s="2">
        <v>2011792.22</v>
      </c>
      <c r="M2821" s="3">
        <v>8.1643709999999992</v>
      </c>
      <c r="N2821" s="4">
        <v>4.5770400000000001E-3</v>
      </c>
      <c r="O2821" s="5">
        <v>44739</v>
      </c>
      <c r="P2821" s="5">
        <v>46383</v>
      </c>
      <c r="Q2821" s="1">
        <v>8.2769999999999992</v>
      </c>
      <c r="R2821" s="2">
        <v>0.17</v>
      </c>
      <c r="S2821" s="6">
        <v>6.6173810217000001E-2</v>
      </c>
      <c r="T2821" t="s">
        <v>111</v>
      </c>
      <c r="U2821" t="s">
        <v>111</v>
      </c>
      <c r="V2821" t="s">
        <v>11189</v>
      </c>
      <c r="W2821" t="s">
        <v>43</v>
      </c>
      <c r="X2821" t="s">
        <v>11034</v>
      </c>
      <c r="Y2821" t="s">
        <v>44</v>
      </c>
      <c r="Z2821" t="s">
        <v>44</v>
      </c>
      <c r="AA2821" t="s">
        <v>11035</v>
      </c>
      <c r="AB2821" t="s">
        <v>44</v>
      </c>
      <c r="AC2821" s="4">
        <v>8.3310132100000001</v>
      </c>
      <c r="AD2821" s="4">
        <v>8.0288693599999998</v>
      </c>
      <c r="AE2821" s="2">
        <v>8.33</v>
      </c>
      <c r="AF2821" s="4">
        <v>8.0288693599999998</v>
      </c>
      <c r="AG2821" s="2">
        <v>2.0299999999999998</v>
      </c>
      <c r="AH2821" s="2">
        <v>2011792.22</v>
      </c>
      <c r="AI2821" s="2">
        <v>0</v>
      </c>
      <c r="AJ2821" s="5">
        <v>44673</v>
      </c>
      <c r="AK2821" t="s">
        <v>12587</v>
      </c>
      <c r="AL2821" s="2">
        <v>8.16</v>
      </c>
      <c r="AM2821" s="2">
        <v>8.2799999999999994</v>
      </c>
      <c r="AN2821" s="2">
        <v>7.0000000000000007E-2</v>
      </c>
      <c r="AO2821" t="s">
        <v>11036</v>
      </c>
      <c r="AP2821" t="s">
        <v>11590</v>
      </c>
      <c r="AQ2821" t="s">
        <v>11589</v>
      </c>
    </row>
    <row r="2822" spans="1:43" x14ac:dyDescent="0.2">
      <c r="A2822" t="s">
        <v>12586</v>
      </c>
      <c r="B2822" t="s">
        <v>10900</v>
      </c>
      <c r="C2822" t="s">
        <v>10943</v>
      </c>
      <c r="D2822" t="s">
        <v>11135</v>
      </c>
      <c r="E2822" t="s">
        <v>10946</v>
      </c>
      <c r="F2822" t="s">
        <v>11135</v>
      </c>
      <c r="G2822" s="1">
        <v>8000000</v>
      </c>
      <c r="H2822" s="2">
        <v>8850313.3399999999</v>
      </c>
      <c r="I2822" s="2">
        <v>8691436</v>
      </c>
      <c r="J2822" s="2">
        <v>283068.49</v>
      </c>
      <c r="K2822" s="2">
        <v>0</v>
      </c>
      <c r="L2822" s="2">
        <v>8974504.4900000002</v>
      </c>
      <c r="M2822" s="3">
        <v>8.2249999999999996</v>
      </c>
      <c r="N2822" s="4">
        <v>2.0417959999999999E-2</v>
      </c>
      <c r="O2822" s="5">
        <v>44733</v>
      </c>
      <c r="P2822" s="5">
        <v>46377</v>
      </c>
      <c r="Q2822" s="1">
        <v>10.5</v>
      </c>
      <c r="R2822" s="2">
        <v>3.72</v>
      </c>
      <c r="S2822" s="6">
        <v>3.572672968</v>
      </c>
      <c r="T2822" t="s">
        <v>111</v>
      </c>
      <c r="U2822" t="s">
        <v>111</v>
      </c>
      <c r="V2822" t="s">
        <v>10944</v>
      </c>
      <c r="W2822" t="s">
        <v>43</v>
      </c>
      <c r="X2822" t="s">
        <v>10945</v>
      </c>
      <c r="Y2822" t="s">
        <v>44</v>
      </c>
      <c r="Z2822" t="s">
        <v>44</v>
      </c>
      <c r="AA2822" t="s">
        <v>10913</v>
      </c>
      <c r="AB2822" t="s">
        <v>44</v>
      </c>
      <c r="AC2822" s="4">
        <v>8.3941265600000001</v>
      </c>
      <c r="AD2822" s="4">
        <v>8.0875032299999994</v>
      </c>
      <c r="AE2822" s="2">
        <v>8.39</v>
      </c>
      <c r="AF2822" s="4">
        <v>8.0875032299999994</v>
      </c>
      <c r="AG2822" s="2">
        <v>9.07</v>
      </c>
      <c r="AH2822" s="2">
        <v>8974504.4900000002</v>
      </c>
      <c r="AI2822" s="2">
        <v>0.02</v>
      </c>
      <c r="AJ2822" s="5">
        <v>44673</v>
      </c>
      <c r="AK2822" t="s">
        <v>12587</v>
      </c>
      <c r="AL2822" s="2">
        <v>8.23</v>
      </c>
      <c r="AM2822" s="2">
        <v>10.5</v>
      </c>
      <c r="AN2822" s="2">
        <v>3.57</v>
      </c>
      <c r="AO2822" t="s">
        <v>10922</v>
      </c>
      <c r="AP2822" t="s">
        <v>11136</v>
      </c>
      <c r="AQ2822" t="s">
        <v>10946</v>
      </c>
    </row>
    <row r="2823" spans="1:43" x14ac:dyDescent="0.2">
      <c r="A2823" t="s">
        <v>12586</v>
      </c>
      <c r="B2823" t="s">
        <v>10900</v>
      </c>
      <c r="C2823" t="s">
        <v>10943</v>
      </c>
      <c r="D2823" t="s">
        <v>12863</v>
      </c>
      <c r="E2823" t="s">
        <v>12864</v>
      </c>
      <c r="F2823" t="s">
        <v>12863</v>
      </c>
      <c r="G2823" s="1">
        <v>600000</v>
      </c>
      <c r="H2823" s="2">
        <v>600000</v>
      </c>
      <c r="I2823" s="2">
        <v>600681.54</v>
      </c>
      <c r="J2823" s="2">
        <v>2145.4</v>
      </c>
      <c r="K2823" s="2">
        <v>0</v>
      </c>
      <c r="L2823" s="2">
        <v>602826.93999999994</v>
      </c>
      <c r="M2823" s="3">
        <v>8.0409749999999995</v>
      </c>
      <c r="N2823" s="4">
        <v>1.3715000000000001E-3</v>
      </c>
      <c r="O2823" s="5">
        <v>44750</v>
      </c>
      <c r="P2823" s="5">
        <v>46485</v>
      </c>
      <c r="Q2823" s="1">
        <v>8.157</v>
      </c>
      <c r="R2823" s="2">
        <v>0.2</v>
      </c>
      <c r="S2823" s="6">
        <v>9.4975697833E-2</v>
      </c>
      <c r="T2823" t="s">
        <v>111</v>
      </c>
      <c r="U2823" t="s">
        <v>111</v>
      </c>
      <c r="V2823" t="s">
        <v>11189</v>
      </c>
      <c r="W2823" t="s">
        <v>43</v>
      </c>
      <c r="X2823" t="s">
        <v>11034</v>
      </c>
      <c r="Y2823" t="s">
        <v>44</v>
      </c>
      <c r="Z2823" t="s">
        <v>44</v>
      </c>
      <c r="AA2823" t="s">
        <v>11035</v>
      </c>
      <c r="AB2823" t="s">
        <v>44</v>
      </c>
      <c r="AC2823" s="4">
        <v>8.2026182599999995</v>
      </c>
      <c r="AD2823" s="4">
        <v>7.9094905600000001</v>
      </c>
      <c r="AE2823" s="2">
        <v>8.1999999999999993</v>
      </c>
      <c r="AF2823" s="4">
        <v>7.9094905600000001</v>
      </c>
      <c r="AG2823" s="2">
        <v>0.61</v>
      </c>
      <c r="AH2823" s="2">
        <v>602826.93999999994</v>
      </c>
      <c r="AI2823" s="2">
        <v>0</v>
      </c>
      <c r="AJ2823" s="5">
        <v>44673</v>
      </c>
      <c r="AK2823" t="s">
        <v>12587</v>
      </c>
      <c r="AL2823" s="2">
        <v>8.0399999999999991</v>
      </c>
      <c r="AM2823" s="2">
        <v>8.16</v>
      </c>
      <c r="AN2823" s="2">
        <v>0.09</v>
      </c>
      <c r="AO2823" t="s">
        <v>11496</v>
      </c>
      <c r="AP2823" t="s">
        <v>12865</v>
      </c>
      <c r="AQ2823" t="s">
        <v>12864</v>
      </c>
    </row>
    <row r="2824" spans="1:43" x14ac:dyDescent="0.2">
      <c r="A2824" t="s">
        <v>12586</v>
      </c>
      <c r="B2824" t="s">
        <v>10900</v>
      </c>
      <c r="C2824" t="s">
        <v>10943</v>
      </c>
      <c r="D2824" t="s">
        <v>11852</v>
      </c>
      <c r="E2824" t="s">
        <v>11853</v>
      </c>
      <c r="F2824" t="s">
        <v>11852</v>
      </c>
      <c r="G2824" s="1">
        <v>3000000</v>
      </c>
      <c r="H2824" s="2">
        <v>3191066.74</v>
      </c>
      <c r="I2824" s="2">
        <v>3173956.21</v>
      </c>
      <c r="J2824" s="2">
        <v>19325.919999999998</v>
      </c>
      <c r="K2824" s="2">
        <v>0</v>
      </c>
      <c r="L2824" s="2">
        <v>3193282.13</v>
      </c>
      <c r="M2824" s="3">
        <v>5.9243709999999998</v>
      </c>
      <c r="N2824" s="4">
        <v>7.2650600000000003E-3</v>
      </c>
      <c r="O2824" s="5">
        <v>44739</v>
      </c>
      <c r="P2824" s="5">
        <v>45833</v>
      </c>
      <c r="Q2824" s="1">
        <v>8.1080000000000005</v>
      </c>
      <c r="R2824" s="2">
        <v>0.17</v>
      </c>
      <c r="S2824" s="6">
        <v>0.20785827684899999</v>
      </c>
      <c r="T2824" t="s">
        <v>111</v>
      </c>
      <c r="U2824" t="s">
        <v>111</v>
      </c>
      <c r="V2824" t="s">
        <v>11189</v>
      </c>
      <c r="W2824" t="s">
        <v>43</v>
      </c>
      <c r="X2824" t="s">
        <v>11034</v>
      </c>
      <c r="Y2824" t="s">
        <v>44</v>
      </c>
      <c r="Z2824" t="s">
        <v>44</v>
      </c>
      <c r="AA2824" t="s">
        <v>10979</v>
      </c>
      <c r="AB2824" t="s">
        <v>44</v>
      </c>
      <c r="AC2824" s="4">
        <v>6.0121162500000001</v>
      </c>
      <c r="AD2824" s="4">
        <v>5.8525461400000003</v>
      </c>
      <c r="AE2824" s="2">
        <v>6.01</v>
      </c>
      <c r="AF2824" s="4">
        <v>5.8525461400000003</v>
      </c>
      <c r="AG2824" s="2">
        <v>3.23</v>
      </c>
      <c r="AH2824" s="2">
        <v>3193282.13</v>
      </c>
      <c r="AI2824" s="2">
        <v>0.01</v>
      </c>
      <c r="AJ2824" s="5">
        <v>44673</v>
      </c>
      <c r="AK2824" t="s">
        <v>12587</v>
      </c>
      <c r="AL2824" s="2">
        <v>5.92</v>
      </c>
      <c r="AM2824" s="2">
        <v>8.11</v>
      </c>
      <c r="AN2824" s="2">
        <v>0.21</v>
      </c>
      <c r="AO2824" t="s">
        <v>11179</v>
      </c>
      <c r="AP2824" t="s">
        <v>11854</v>
      </c>
      <c r="AQ2824" t="s">
        <v>11853</v>
      </c>
    </row>
    <row r="2825" spans="1:43" x14ac:dyDescent="0.2">
      <c r="A2825" t="s">
        <v>12586</v>
      </c>
      <c r="B2825" t="s">
        <v>10900</v>
      </c>
      <c r="C2825" t="s">
        <v>10943</v>
      </c>
      <c r="D2825" t="s">
        <v>11858</v>
      </c>
      <c r="E2825" t="s">
        <v>11859</v>
      </c>
      <c r="F2825" t="s">
        <v>11858</v>
      </c>
      <c r="G2825" s="1">
        <v>100000</v>
      </c>
      <c r="H2825" s="2">
        <v>100000</v>
      </c>
      <c r="I2825" s="2">
        <v>97573.22</v>
      </c>
      <c r="J2825" s="2">
        <v>2080.11</v>
      </c>
      <c r="K2825" s="2">
        <v>0</v>
      </c>
      <c r="L2825" s="2">
        <v>99653.33</v>
      </c>
      <c r="M2825" s="3">
        <v>10.77</v>
      </c>
      <c r="N2825" s="4">
        <v>2.2672E-4</v>
      </c>
      <c r="O2825" s="5">
        <v>44780</v>
      </c>
      <c r="P2825" s="5">
        <v>47156</v>
      </c>
      <c r="Q2825" s="1">
        <v>10.26</v>
      </c>
      <c r="R2825" s="2">
        <v>4.92</v>
      </c>
      <c r="S2825" s="6">
        <v>4.6700968569999999</v>
      </c>
      <c r="T2825" t="s">
        <v>111</v>
      </c>
      <c r="U2825" t="s">
        <v>111</v>
      </c>
      <c r="V2825" t="s">
        <v>10944</v>
      </c>
      <c r="W2825" t="s">
        <v>43</v>
      </c>
      <c r="X2825" t="s">
        <v>44</v>
      </c>
      <c r="Y2825" t="s">
        <v>44</v>
      </c>
      <c r="Z2825" t="s">
        <v>44</v>
      </c>
      <c r="AA2825" t="s">
        <v>10979</v>
      </c>
      <c r="AB2825" t="s">
        <v>44</v>
      </c>
      <c r="AC2825" s="4">
        <v>11.059982249999999</v>
      </c>
      <c r="AD2825" s="4">
        <v>10.536009160000001</v>
      </c>
      <c r="AE2825" s="2">
        <v>11.06</v>
      </c>
      <c r="AF2825" s="4">
        <v>10.536009160000001</v>
      </c>
      <c r="AG2825" s="2">
        <v>0.1</v>
      </c>
      <c r="AH2825" s="2">
        <v>99653.33</v>
      </c>
      <c r="AI2825" s="2">
        <v>0</v>
      </c>
      <c r="AJ2825" s="5">
        <v>44673</v>
      </c>
      <c r="AK2825" t="s">
        <v>12587</v>
      </c>
      <c r="AL2825" s="2">
        <v>10.77</v>
      </c>
      <c r="AM2825" s="2">
        <v>10.26</v>
      </c>
      <c r="AN2825" s="2">
        <v>4.67</v>
      </c>
      <c r="AO2825" t="s">
        <v>10982</v>
      </c>
      <c r="AP2825" t="s">
        <v>11860</v>
      </c>
      <c r="AQ2825" t="s">
        <v>11859</v>
      </c>
    </row>
    <row r="2826" spans="1:43" x14ac:dyDescent="0.2">
      <c r="A2826" t="s">
        <v>12586</v>
      </c>
      <c r="B2826" t="s">
        <v>10900</v>
      </c>
      <c r="C2826" t="s">
        <v>11137</v>
      </c>
      <c r="D2826" t="s">
        <v>11594</v>
      </c>
      <c r="E2826" t="s">
        <v>11595</v>
      </c>
      <c r="F2826" t="s">
        <v>11594</v>
      </c>
      <c r="G2826" s="1">
        <v>10810000</v>
      </c>
      <c r="H2826" s="2">
        <v>9990674.75</v>
      </c>
      <c r="I2826" s="2">
        <v>9746194.3900000006</v>
      </c>
      <c r="J2826" s="2">
        <v>194283.84</v>
      </c>
      <c r="K2826" s="2">
        <v>0</v>
      </c>
      <c r="L2826" s="2">
        <v>9940478.2300000004</v>
      </c>
      <c r="M2826" s="3">
        <v>9.84</v>
      </c>
      <c r="N2826" s="4">
        <v>2.2615659999999999E-2</v>
      </c>
      <c r="O2826" s="5">
        <v>44774</v>
      </c>
      <c r="P2826" s="5">
        <v>47514</v>
      </c>
      <c r="Q2826" s="1">
        <v>8</v>
      </c>
      <c r="R2826" s="2">
        <v>5.71</v>
      </c>
      <c r="S2826" s="6">
        <v>5.4383328750000004</v>
      </c>
      <c r="T2826" t="s">
        <v>111</v>
      </c>
      <c r="U2826" t="s">
        <v>111</v>
      </c>
      <c r="V2826" t="s">
        <v>10944</v>
      </c>
      <c r="W2826" t="s">
        <v>43</v>
      </c>
      <c r="X2826" t="s">
        <v>10945</v>
      </c>
      <c r="Y2826" t="s">
        <v>44</v>
      </c>
      <c r="Z2826" t="s">
        <v>44</v>
      </c>
      <c r="AA2826" t="s">
        <v>10913</v>
      </c>
      <c r="AB2826" t="s">
        <v>44</v>
      </c>
      <c r="AC2826" s="4">
        <v>10.082064000000001</v>
      </c>
      <c r="AD2826" s="4">
        <v>9.6441413499999999</v>
      </c>
      <c r="AE2826" s="2">
        <v>10.08</v>
      </c>
      <c r="AF2826" s="4">
        <v>9.6441413499999999</v>
      </c>
      <c r="AG2826" s="2">
        <v>10.050000000000001</v>
      </c>
      <c r="AH2826" s="2">
        <v>9940478.2300000004</v>
      </c>
      <c r="AI2826" s="2">
        <v>0.02</v>
      </c>
      <c r="AJ2826" s="5">
        <v>44673</v>
      </c>
      <c r="AK2826" t="s">
        <v>12587</v>
      </c>
      <c r="AL2826" s="2">
        <v>9.84</v>
      </c>
      <c r="AM2826" s="2">
        <v>8</v>
      </c>
      <c r="AN2826" s="2">
        <v>5.44</v>
      </c>
      <c r="AO2826" t="s">
        <v>10922</v>
      </c>
      <c r="AP2826" t="s">
        <v>11596</v>
      </c>
      <c r="AQ2826" t="s">
        <v>11595</v>
      </c>
    </row>
    <row r="2827" spans="1:43" x14ac:dyDescent="0.2">
      <c r="A2827" t="s">
        <v>12586</v>
      </c>
      <c r="B2827" t="s">
        <v>10900</v>
      </c>
      <c r="C2827" t="s">
        <v>10950</v>
      </c>
      <c r="D2827" t="s">
        <v>10983</v>
      </c>
      <c r="E2827" t="s">
        <v>10984</v>
      </c>
      <c r="F2827" t="s">
        <v>10983</v>
      </c>
      <c r="G2827" s="1">
        <v>107000</v>
      </c>
      <c r="H2827" s="2">
        <v>90525.89</v>
      </c>
      <c r="I2827" s="2">
        <v>89466.18</v>
      </c>
      <c r="J2827" s="2">
        <v>2043.25</v>
      </c>
      <c r="K2827" s="2">
        <v>0</v>
      </c>
      <c r="L2827" s="2">
        <v>91509.43</v>
      </c>
      <c r="M2827" s="3">
        <v>10.734999999999999</v>
      </c>
      <c r="N2827" s="4">
        <v>2.0819E-4</v>
      </c>
      <c r="O2827" s="5">
        <v>44774</v>
      </c>
      <c r="P2827" s="5">
        <v>50071</v>
      </c>
      <c r="Q2827" s="1">
        <v>8.5</v>
      </c>
      <c r="R2827" s="2">
        <v>7.91</v>
      </c>
      <c r="S2827" s="6">
        <v>7.5106016819999999</v>
      </c>
      <c r="T2827" t="s">
        <v>111</v>
      </c>
      <c r="U2827" t="s">
        <v>111</v>
      </c>
      <c r="V2827" t="s">
        <v>10944</v>
      </c>
      <c r="W2827" t="s">
        <v>43</v>
      </c>
      <c r="X2827" t="s">
        <v>10945</v>
      </c>
      <c r="Y2827" t="s">
        <v>44</v>
      </c>
      <c r="Z2827" t="s">
        <v>44</v>
      </c>
      <c r="AA2827" t="s">
        <v>10913</v>
      </c>
      <c r="AB2827" t="s">
        <v>44</v>
      </c>
      <c r="AC2827" s="4">
        <v>11.02310056</v>
      </c>
      <c r="AD2827" s="4">
        <v>10.50250368</v>
      </c>
      <c r="AE2827" s="2">
        <v>11.02</v>
      </c>
      <c r="AF2827" s="4">
        <v>10.50250368</v>
      </c>
      <c r="AG2827" s="2">
        <v>0.09</v>
      </c>
      <c r="AH2827" s="2">
        <v>91509.43</v>
      </c>
      <c r="AI2827" s="2">
        <v>0</v>
      </c>
      <c r="AJ2827" s="5">
        <v>44673</v>
      </c>
      <c r="AK2827" t="s">
        <v>12587</v>
      </c>
      <c r="AL2827" s="2">
        <v>10.73</v>
      </c>
      <c r="AM2827" s="2">
        <v>8.5</v>
      </c>
      <c r="AN2827" s="2">
        <v>7.51</v>
      </c>
      <c r="AO2827" t="s">
        <v>10922</v>
      </c>
      <c r="AP2827" t="s">
        <v>10985</v>
      </c>
      <c r="AQ2827" t="s">
        <v>10984</v>
      </c>
    </row>
    <row r="2828" spans="1:43" x14ac:dyDescent="0.2">
      <c r="A2828" t="s">
        <v>12586</v>
      </c>
      <c r="B2828" t="s">
        <v>45</v>
      </c>
      <c r="C2828" t="s">
        <v>11000</v>
      </c>
      <c r="D2828" t="s">
        <v>11421</v>
      </c>
      <c r="E2828" t="s">
        <v>11422</v>
      </c>
      <c r="F2828" t="s">
        <v>11421</v>
      </c>
      <c r="G2828" s="1">
        <v>0</v>
      </c>
      <c r="H2828" s="2">
        <v>0</v>
      </c>
      <c r="I2828" s="2">
        <v>0</v>
      </c>
      <c r="J2828" s="2">
        <v>2071.23</v>
      </c>
      <c r="K2828" s="2">
        <v>0</v>
      </c>
      <c r="L2828" s="2">
        <v>2071.23</v>
      </c>
      <c r="M2828" s="3">
        <v>4.2</v>
      </c>
      <c r="N2828" s="4">
        <v>4.7099999999999998E-6</v>
      </c>
      <c r="O2828" s="5" t="s">
        <v>44</v>
      </c>
      <c r="P2828" s="5">
        <v>55153</v>
      </c>
      <c r="Q2828" s="1">
        <v>4.2</v>
      </c>
      <c r="R2828" s="2">
        <v>0.08</v>
      </c>
      <c r="S2828" s="6">
        <v>2.5947269999999998E-3</v>
      </c>
      <c r="T2828" t="s">
        <v>112</v>
      </c>
      <c r="U2828" t="s">
        <v>46</v>
      </c>
      <c r="V2828" t="s">
        <v>11270</v>
      </c>
      <c r="W2828" t="s">
        <v>43</v>
      </c>
      <c r="X2828" t="s">
        <v>44</v>
      </c>
      <c r="Y2828" t="s">
        <v>44</v>
      </c>
      <c r="Z2828" t="s">
        <v>44</v>
      </c>
      <c r="AA2828" t="s">
        <v>10913</v>
      </c>
      <c r="AB2828" t="s">
        <v>44</v>
      </c>
      <c r="AC2828" s="4">
        <v>4.2819052299999996</v>
      </c>
      <c r="AD2828" s="4">
        <v>4.20010057</v>
      </c>
      <c r="AE2828" s="2">
        <v>4.28</v>
      </c>
      <c r="AF2828" s="4">
        <v>4.20010057</v>
      </c>
      <c r="AG2828" s="2">
        <v>0</v>
      </c>
      <c r="AH2828" s="2">
        <v>2071.23</v>
      </c>
      <c r="AI2828" s="2">
        <v>0</v>
      </c>
      <c r="AJ2828" s="5">
        <v>44673</v>
      </c>
      <c r="AK2828" t="s">
        <v>12587</v>
      </c>
      <c r="AL2828" s="2">
        <v>4.24</v>
      </c>
      <c r="AM2828" s="2">
        <v>4.2</v>
      </c>
      <c r="AN2828" s="2">
        <v>0</v>
      </c>
      <c r="AO2828" t="s">
        <v>11423</v>
      </c>
      <c r="AP2828" t="s">
        <v>44</v>
      </c>
      <c r="AQ2828" t="s">
        <v>11422</v>
      </c>
    </row>
    <row r="2829" spans="1:43" x14ac:dyDescent="0.2">
      <c r="A2829" t="s">
        <v>12586</v>
      </c>
      <c r="B2829" t="s">
        <v>45</v>
      </c>
      <c r="C2829" t="s">
        <v>11000</v>
      </c>
      <c r="D2829" t="s">
        <v>11424</v>
      </c>
      <c r="E2829" t="s">
        <v>11425</v>
      </c>
      <c r="F2829" t="s">
        <v>11424</v>
      </c>
      <c r="G2829" s="1">
        <v>0</v>
      </c>
      <c r="H2829" s="2">
        <v>0</v>
      </c>
      <c r="I2829" s="2">
        <v>0</v>
      </c>
      <c r="J2829" s="2">
        <v>2761.65</v>
      </c>
      <c r="K2829" s="2">
        <v>0</v>
      </c>
      <c r="L2829" s="2">
        <v>2761.65</v>
      </c>
      <c r="M2829" s="3">
        <v>4.2</v>
      </c>
      <c r="N2829" s="4">
        <v>6.28E-6</v>
      </c>
      <c r="O2829" s="5" t="s">
        <v>44</v>
      </c>
      <c r="P2829" s="5">
        <v>55153</v>
      </c>
      <c r="Q2829" s="1">
        <v>4.2</v>
      </c>
      <c r="R2829" s="2">
        <v>0.08</v>
      </c>
      <c r="S2829" s="6">
        <v>2.5986049999999999E-3</v>
      </c>
      <c r="T2829" t="s">
        <v>112</v>
      </c>
      <c r="U2829" t="s">
        <v>46</v>
      </c>
      <c r="V2829" t="s">
        <v>11270</v>
      </c>
      <c r="W2829" t="s">
        <v>43</v>
      </c>
      <c r="X2829" t="s">
        <v>44</v>
      </c>
      <c r="Y2829" t="s">
        <v>44</v>
      </c>
      <c r="Z2829" t="s">
        <v>44</v>
      </c>
      <c r="AA2829" t="s">
        <v>11035</v>
      </c>
      <c r="AB2829" t="s">
        <v>44</v>
      </c>
      <c r="AC2829" s="4">
        <v>4.2819052299999996</v>
      </c>
      <c r="AD2829" s="4">
        <v>4.20010057</v>
      </c>
      <c r="AE2829" s="2">
        <v>4.28</v>
      </c>
      <c r="AF2829" s="4">
        <v>4.20010057</v>
      </c>
      <c r="AG2829" s="2">
        <v>0</v>
      </c>
      <c r="AH2829" s="2">
        <v>2761.65</v>
      </c>
      <c r="AI2829" s="2">
        <v>0</v>
      </c>
      <c r="AJ2829" s="5">
        <v>44673</v>
      </c>
      <c r="AK2829" t="s">
        <v>12587</v>
      </c>
      <c r="AL2829" s="2">
        <v>4.24</v>
      </c>
      <c r="AM2829" s="2">
        <v>4.2</v>
      </c>
      <c r="AN2829" s="2">
        <v>0</v>
      </c>
      <c r="AO2829" t="s">
        <v>11053</v>
      </c>
      <c r="AP2829" t="s">
        <v>44</v>
      </c>
      <c r="AQ2829" t="s">
        <v>11425</v>
      </c>
    </row>
    <row r="2830" spans="1:43" x14ac:dyDescent="0.2">
      <c r="A2830" t="s">
        <v>12586</v>
      </c>
      <c r="B2830" t="s">
        <v>45</v>
      </c>
      <c r="C2830" t="s">
        <v>47</v>
      </c>
      <c r="D2830" t="s">
        <v>48</v>
      </c>
      <c r="E2830" t="s">
        <v>49</v>
      </c>
      <c r="F2830" t="s">
        <v>50</v>
      </c>
      <c r="G2830" s="1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2063.0100000000002</v>
      </c>
      <c r="M2830" s="3"/>
      <c r="N2830" s="4">
        <v>4.69E-6</v>
      </c>
      <c r="O2830" s="5" t="s">
        <v>44</v>
      </c>
      <c r="P2830" s="5" t="s">
        <v>44</v>
      </c>
      <c r="Q2830" s="1"/>
      <c r="R2830" s="2">
        <v>0.08</v>
      </c>
      <c r="S2830" s="6"/>
      <c r="T2830" t="s">
        <v>45</v>
      </c>
      <c r="U2830" t="s">
        <v>46</v>
      </c>
      <c r="V2830" t="s">
        <v>44</v>
      </c>
      <c r="W2830" t="s">
        <v>43</v>
      </c>
      <c r="X2830" t="s">
        <v>44</v>
      </c>
      <c r="Y2830" t="s">
        <v>44</v>
      </c>
      <c r="Z2830" t="s">
        <v>44</v>
      </c>
      <c r="AA2830" t="s">
        <v>44</v>
      </c>
      <c r="AB2830" t="s">
        <v>44</v>
      </c>
      <c r="AC2830" s="4">
        <v>5.1163389600000002</v>
      </c>
      <c r="AD2830" s="4">
        <v>5.0001424999999999</v>
      </c>
      <c r="AE2830" s="2">
        <v>5.12</v>
      </c>
      <c r="AF2830" s="4">
        <v>5.0001424999999999</v>
      </c>
      <c r="AG2830" s="2">
        <v>0</v>
      </c>
      <c r="AH2830" s="2">
        <v>2063.0100000000002</v>
      </c>
      <c r="AI2830" s="2">
        <v>0</v>
      </c>
      <c r="AJ2830" s="5">
        <v>44673</v>
      </c>
      <c r="AK2830" t="s">
        <v>12587</v>
      </c>
      <c r="AL2830" s="2">
        <v>5.05</v>
      </c>
      <c r="AM2830" s="2">
        <v>0</v>
      </c>
      <c r="AN2830" s="2">
        <v>0</v>
      </c>
      <c r="AO2830" t="s">
        <v>44</v>
      </c>
      <c r="AP2830" t="s">
        <v>44</v>
      </c>
      <c r="AQ2830" t="s">
        <v>44</v>
      </c>
    </row>
    <row r="2831" spans="1:43" x14ac:dyDescent="0.2">
      <c r="A2831" t="s">
        <v>12586</v>
      </c>
      <c r="B2831" t="s">
        <v>45</v>
      </c>
      <c r="C2831" t="s">
        <v>47</v>
      </c>
      <c r="D2831" t="s">
        <v>51</v>
      </c>
      <c r="E2831" t="s">
        <v>52</v>
      </c>
      <c r="F2831" t="s">
        <v>51</v>
      </c>
      <c r="G2831" s="1">
        <v>266199.94</v>
      </c>
      <c r="H2831" s="2">
        <v>266199.94</v>
      </c>
      <c r="I2831" s="2">
        <v>266199.94</v>
      </c>
      <c r="J2831" s="2">
        <v>0</v>
      </c>
      <c r="K2831" s="2">
        <v>0</v>
      </c>
      <c r="L2831" s="2">
        <v>266199.94</v>
      </c>
      <c r="M2831" s="3"/>
      <c r="N2831" s="4">
        <v>6.0563000000000001E-4</v>
      </c>
      <c r="O2831" s="5" t="s">
        <v>44</v>
      </c>
      <c r="P2831" s="5" t="s">
        <v>44</v>
      </c>
      <c r="Q2831" s="1"/>
      <c r="R2831" s="2">
        <v>0.08</v>
      </c>
      <c r="S2831" s="6"/>
      <c r="T2831" t="s">
        <v>45</v>
      </c>
      <c r="U2831" t="s">
        <v>53</v>
      </c>
      <c r="V2831" t="s">
        <v>44</v>
      </c>
      <c r="W2831" t="s">
        <v>43</v>
      </c>
      <c r="X2831" t="s">
        <v>44</v>
      </c>
      <c r="Y2831" t="s">
        <v>44</v>
      </c>
      <c r="Z2831" t="s">
        <v>44</v>
      </c>
      <c r="AA2831" t="s">
        <v>44</v>
      </c>
      <c r="AB2831" t="s">
        <v>44</v>
      </c>
      <c r="AC2831" s="4">
        <v>5.1163389600000002</v>
      </c>
      <c r="AD2831" s="4">
        <v>5.0001424999999999</v>
      </c>
      <c r="AE2831" s="2">
        <v>5.12</v>
      </c>
      <c r="AF2831" s="4">
        <v>5.0001424999999999</v>
      </c>
      <c r="AG2831" s="2">
        <v>0.27</v>
      </c>
      <c r="AH2831" s="2">
        <v>266199.94</v>
      </c>
      <c r="AI2831" s="2">
        <v>0</v>
      </c>
      <c r="AJ2831" s="5">
        <v>44673</v>
      </c>
      <c r="AK2831" t="s">
        <v>12587</v>
      </c>
      <c r="AL2831" s="2">
        <v>5.05</v>
      </c>
      <c r="AM2831" s="2">
        <v>0</v>
      </c>
      <c r="AN2831" s="2">
        <v>0</v>
      </c>
      <c r="AO2831" t="s">
        <v>44</v>
      </c>
      <c r="AP2831" t="s">
        <v>44</v>
      </c>
      <c r="AQ2831" t="s">
        <v>43</v>
      </c>
    </row>
    <row r="2832" spans="1:43" x14ac:dyDescent="0.2">
      <c r="A2832" t="s">
        <v>12586</v>
      </c>
      <c r="B2832" t="s">
        <v>45</v>
      </c>
      <c r="C2832" t="s">
        <v>11005</v>
      </c>
      <c r="D2832" t="s">
        <v>11009</v>
      </c>
      <c r="E2832" t="s">
        <v>11010</v>
      </c>
      <c r="F2832" t="s">
        <v>44</v>
      </c>
      <c r="G2832" s="1">
        <v>-29635.25</v>
      </c>
      <c r="H2832" s="2">
        <v>-29635.25</v>
      </c>
      <c r="I2832" s="2">
        <v>-29635.25</v>
      </c>
      <c r="J2832" s="2">
        <v>0</v>
      </c>
      <c r="K2832" s="2"/>
      <c r="L2832" s="2">
        <v>-29635.25</v>
      </c>
      <c r="M2832" s="3"/>
      <c r="N2832" s="4">
        <v>-6.7420000000000002E-5</v>
      </c>
      <c r="O2832" s="5" t="s">
        <v>44</v>
      </c>
      <c r="P2832" s="5">
        <v>73051</v>
      </c>
      <c r="Q2832" s="1">
        <v>0</v>
      </c>
      <c r="R2832" s="2">
        <v>0.08</v>
      </c>
      <c r="S2832" s="6"/>
      <c r="T2832" t="s">
        <v>45</v>
      </c>
      <c r="U2832" t="s">
        <v>44</v>
      </c>
      <c r="V2832" t="s">
        <v>44</v>
      </c>
      <c r="W2832" t="s">
        <v>43</v>
      </c>
      <c r="X2832" t="s">
        <v>44</v>
      </c>
      <c r="Y2832" t="s">
        <v>44</v>
      </c>
      <c r="Z2832" t="s">
        <v>44</v>
      </c>
      <c r="AA2832" t="s">
        <v>44</v>
      </c>
      <c r="AB2832" t="s">
        <v>44</v>
      </c>
      <c r="AC2832" s="4">
        <v>5.1163389600000002</v>
      </c>
      <c r="AD2832" s="4">
        <v>5.0001424999999999</v>
      </c>
      <c r="AE2832" s="2">
        <v>5.12</v>
      </c>
      <c r="AF2832" s="4">
        <v>5.0001424999999999</v>
      </c>
      <c r="AG2832" s="2">
        <v>-0.03</v>
      </c>
      <c r="AH2832" s="2">
        <v>-29635.25</v>
      </c>
      <c r="AI2832" s="2">
        <v>0</v>
      </c>
      <c r="AJ2832" s="5">
        <v>44673</v>
      </c>
      <c r="AK2832" t="s">
        <v>12587</v>
      </c>
      <c r="AL2832" s="2">
        <v>5.05</v>
      </c>
      <c r="AM2832" s="2">
        <v>0</v>
      </c>
      <c r="AN2832" s="2">
        <v>0</v>
      </c>
      <c r="AO2832" t="s">
        <v>44</v>
      </c>
      <c r="AP2832" t="s">
        <v>44</v>
      </c>
      <c r="AQ2832" t="s">
        <v>44</v>
      </c>
    </row>
    <row r="2833" spans="1:43" x14ac:dyDescent="0.2">
      <c r="A2833" t="s">
        <v>12586</v>
      </c>
      <c r="B2833" t="s">
        <v>11037</v>
      </c>
      <c r="C2833" t="s">
        <v>11195</v>
      </c>
      <c r="D2833" t="s">
        <v>11606</v>
      </c>
      <c r="E2833" t="s">
        <v>7660</v>
      </c>
      <c r="F2833" t="s">
        <v>11606</v>
      </c>
      <c r="G2833" s="1">
        <v>59524</v>
      </c>
      <c r="H2833" s="2">
        <v>500001.6</v>
      </c>
      <c r="I2833" s="2">
        <v>485120.6</v>
      </c>
      <c r="J2833" s="2">
        <v>0</v>
      </c>
      <c r="K2833" s="2">
        <v>0</v>
      </c>
      <c r="L2833" s="2">
        <v>485120.6</v>
      </c>
      <c r="M2833" s="3">
        <v>815</v>
      </c>
      <c r="N2833" s="4">
        <v>1.1037E-3</v>
      </c>
      <c r="O2833" s="5" t="s">
        <v>44</v>
      </c>
      <c r="P2833" s="5" t="s">
        <v>44</v>
      </c>
      <c r="Q2833" s="1"/>
      <c r="R2833" s="2"/>
      <c r="S2833" s="6"/>
      <c r="T2833" t="s">
        <v>10902</v>
      </c>
      <c r="U2833" t="s">
        <v>10902</v>
      </c>
      <c r="V2833" t="s">
        <v>10902</v>
      </c>
      <c r="W2833" t="s">
        <v>43</v>
      </c>
      <c r="X2833" t="s">
        <v>11197</v>
      </c>
      <c r="Y2833" t="s">
        <v>11198</v>
      </c>
      <c r="Z2833" t="s">
        <v>11195</v>
      </c>
      <c r="AA2833" t="s">
        <v>44</v>
      </c>
      <c r="AB2833" t="s">
        <v>44</v>
      </c>
      <c r="AC2833" s="4"/>
      <c r="AD2833" s="4"/>
      <c r="AE2833" s="2">
        <v>0</v>
      </c>
      <c r="AF2833" s="4">
        <v>0</v>
      </c>
      <c r="AG2833" s="2">
        <v>0.49</v>
      </c>
      <c r="AH2833" s="2">
        <v>485120.6</v>
      </c>
      <c r="AI2833" s="2">
        <v>0</v>
      </c>
      <c r="AJ2833" s="5">
        <v>44673</v>
      </c>
      <c r="AK2833" t="s">
        <v>12587</v>
      </c>
      <c r="AL2833" s="2">
        <v>0</v>
      </c>
      <c r="AM2833" s="2">
        <v>0</v>
      </c>
      <c r="AN2833" s="2">
        <v>0</v>
      </c>
      <c r="AO2833" t="s">
        <v>44</v>
      </c>
      <c r="AP2833" t="s">
        <v>11607</v>
      </c>
      <c r="AQ2833" t="s">
        <v>7660</v>
      </c>
    </row>
    <row r="2834" spans="1:43" x14ac:dyDescent="0.2">
      <c r="A2834" t="s">
        <v>12586</v>
      </c>
      <c r="B2834" t="s">
        <v>11608</v>
      </c>
      <c r="C2834" t="s">
        <v>11608</v>
      </c>
      <c r="D2834" t="s">
        <v>12745</v>
      </c>
      <c r="E2834" t="s">
        <v>12746</v>
      </c>
      <c r="F2834" t="s">
        <v>12745</v>
      </c>
      <c r="G2834" s="1">
        <v>11500000</v>
      </c>
      <c r="H2834" s="2">
        <v>0</v>
      </c>
      <c r="I2834" s="2">
        <v>4280.47</v>
      </c>
      <c r="J2834" s="2">
        <v>0</v>
      </c>
      <c r="K2834" s="2">
        <v>0</v>
      </c>
      <c r="L2834" s="2">
        <v>4280.47</v>
      </c>
      <c r="M2834" s="3">
        <v>3.7221999999999998E-2</v>
      </c>
      <c r="N2834" s="4">
        <v>9.7399999999999999E-6</v>
      </c>
      <c r="O2834" s="5" t="s">
        <v>44</v>
      </c>
      <c r="P2834" s="5">
        <v>44890</v>
      </c>
      <c r="Q2834" s="1">
        <v>0</v>
      </c>
      <c r="R2834" s="2"/>
      <c r="S2834" s="6">
        <v>0.34246575342500002</v>
      </c>
      <c r="T2834" t="s">
        <v>11412</v>
      </c>
      <c r="U2834" t="s">
        <v>11413</v>
      </c>
      <c r="V2834" t="s">
        <v>9802</v>
      </c>
      <c r="W2834" t="s">
        <v>43</v>
      </c>
      <c r="X2834" t="s">
        <v>44</v>
      </c>
      <c r="Y2834" t="s">
        <v>44</v>
      </c>
      <c r="Z2834" t="s">
        <v>44</v>
      </c>
      <c r="AA2834" t="s">
        <v>44</v>
      </c>
      <c r="AB2834" t="s">
        <v>44</v>
      </c>
      <c r="AC2834" s="4"/>
      <c r="AD2834" s="4"/>
      <c r="AE2834" s="2">
        <v>0</v>
      </c>
      <c r="AF2834" s="4">
        <v>0</v>
      </c>
      <c r="AG2834" s="2">
        <v>0</v>
      </c>
      <c r="AH2834" s="2">
        <v>4280.47</v>
      </c>
      <c r="AI2834" s="2">
        <v>0</v>
      </c>
      <c r="AJ2834" s="5">
        <v>44673</v>
      </c>
      <c r="AK2834" t="s">
        <v>12587</v>
      </c>
      <c r="AL2834" s="2">
        <v>0</v>
      </c>
      <c r="AM2834" s="2">
        <v>0</v>
      </c>
      <c r="AN2834" s="2">
        <v>0.34</v>
      </c>
      <c r="AO2834" t="s">
        <v>44</v>
      </c>
      <c r="AP2834" t="s">
        <v>44</v>
      </c>
      <c r="AQ2834" t="s">
        <v>44</v>
      </c>
    </row>
    <row r="2835" spans="1:43" x14ac:dyDescent="0.2">
      <c r="A2835" t="s">
        <v>12586</v>
      </c>
      <c r="B2835" t="s">
        <v>11608</v>
      </c>
      <c r="C2835" t="s">
        <v>11608</v>
      </c>
      <c r="D2835" t="s">
        <v>12747</v>
      </c>
      <c r="E2835" t="s">
        <v>12746</v>
      </c>
      <c r="F2835" t="s">
        <v>12747</v>
      </c>
      <c r="G2835" s="1">
        <v>-11500000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3"/>
      <c r="N2835" s="4">
        <v>0</v>
      </c>
      <c r="O2835" s="5" t="s">
        <v>44</v>
      </c>
      <c r="P2835" s="5">
        <v>44890</v>
      </c>
      <c r="Q2835" s="1">
        <v>0</v>
      </c>
      <c r="R2835" s="2"/>
      <c r="S2835" s="6"/>
      <c r="T2835" t="s">
        <v>11412</v>
      </c>
      <c r="U2835" t="s">
        <v>11413</v>
      </c>
      <c r="V2835" t="s">
        <v>9802</v>
      </c>
      <c r="W2835" t="s">
        <v>43</v>
      </c>
      <c r="X2835" t="s">
        <v>44</v>
      </c>
      <c r="Y2835" t="s">
        <v>44</v>
      </c>
      <c r="Z2835" t="s">
        <v>44</v>
      </c>
      <c r="AA2835" t="s">
        <v>44</v>
      </c>
      <c r="AB2835" t="s">
        <v>44</v>
      </c>
      <c r="AC2835" s="4"/>
      <c r="AD2835" s="4"/>
      <c r="AE2835" s="2">
        <v>0</v>
      </c>
      <c r="AF2835" s="4">
        <v>0</v>
      </c>
      <c r="AG2835" s="2">
        <v>0</v>
      </c>
      <c r="AH2835" s="2">
        <v>0</v>
      </c>
      <c r="AI2835" s="2">
        <v>0</v>
      </c>
      <c r="AJ2835" s="5">
        <v>44673</v>
      </c>
      <c r="AK2835" t="s">
        <v>12587</v>
      </c>
      <c r="AL2835" s="2">
        <v>0</v>
      </c>
      <c r="AM2835" s="2">
        <v>0</v>
      </c>
      <c r="AN2835" s="2">
        <v>0</v>
      </c>
      <c r="AO2835" t="s">
        <v>44</v>
      </c>
      <c r="AP2835" t="s">
        <v>44</v>
      </c>
      <c r="AQ2835" t="s">
        <v>44</v>
      </c>
    </row>
    <row r="2836" spans="1:43" x14ac:dyDescent="0.2">
      <c r="A2836" t="s">
        <v>12586</v>
      </c>
      <c r="B2836" t="s">
        <v>11608</v>
      </c>
      <c r="C2836" t="s">
        <v>11608</v>
      </c>
      <c r="D2836" t="s">
        <v>12748</v>
      </c>
      <c r="E2836" t="s">
        <v>12746</v>
      </c>
      <c r="F2836" t="s">
        <v>12748</v>
      </c>
      <c r="G2836" s="1">
        <v>11500000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3"/>
      <c r="N2836" s="4">
        <v>0</v>
      </c>
      <c r="O2836" s="5" t="s">
        <v>44</v>
      </c>
      <c r="P2836" s="5">
        <v>44890</v>
      </c>
      <c r="Q2836" s="1">
        <v>5.49</v>
      </c>
      <c r="R2836" s="2"/>
      <c r="S2836" s="6"/>
      <c r="T2836" t="s">
        <v>11412</v>
      </c>
      <c r="U2836" t="s">
        <v>11413</v>
      </c>
      <c r="V2836" t="s">
        <v>9802</v>
      </c>
      <c r="W2836" t="s">
        <v>43</v>
      </c>
      <c r="X2836" t="s">
        <v>44</v>
      </c>
      <c r="Y2836" t="s">
        <v>44</v>
      </c>
      <c r="Z2836" t="s">
        <v>44</v>
      </c>
      <c r="AA2836" t="s">
        <v>44</v>
      </c>
      <c r="AB2836" t="s">
        <v>44</v>
      </c>
      <c r="AC2836" s="4"/>
      <c r="AD2836" s="4"/>
      <c r="AE2836" s="2">
        <v>0</v>
      </c>
      <c r="AF2836" s="4">
        <v>0</v>
      </c>
      <c r="AG2836" s="2">
        <v>0</v>
      </c>
      <c r="AH2836" s="2">
        <v>0</v>
      </c>
      <c r="AI2836" s="2">
        <v>0</v>
      </c>
      <c r="AJ2836" s="5">
        <v>44673</v>
      </c>
      <c r="AK2836" t="s">
        <v>12587</v>
      </c>
      <c r="AL2836" s="2">
        <v>0</v>
      </c>
      <c r="AM2836" s="2">
        <v>5.49</v>
      </c>
      <c r="AN2836" s="2">
        <v>0</v>
      </c>
      <c r="AO2836" t="s">
        <v>44</v>
      </c>
      <c r="AP2836" t="s">
        <v>44</v>
      </c>
      <c r="AQ2836" t="s">
        <v>44</v>
      </c>
    </row>
    <row r="2837" spans="1:43" x14ac:dyDescent="0.2">
      <c r="A2837" t="s">
        <v>12586</v>
      </c>
      <c r="B2837" t="s">
        <v>11608</v>
      </c>
      <c r="C2837" t="s">
        <v>11608</v>
      </c>
      <c r="D2837" t="s">
        <v>11609</v>
      </c>
      <c r="E2837" t="s">
        <v>11610</v>
      </c>
      <c r="F2837" t="s">
        <v>11611</v>
      </c>
      <c r="G2837" s="1">
        <v>14000000</v>
      </c>
      <c r="H2837" s="2">
        <v>0</v>
      </c>
      <c r="I2837" s="2">
        <v>9220.7199999999993</v>
      </c>
      <c r="J2837" s="2">
        <v>0</v>
      </c>
      <c r="K2837" s="2">
        <v>0</v>
      </c>
      <c r="L2837" s="2">
        <v>9220.7199999999993</v>
      </c>
      <c r="M2837" s="3">
        <v>6.5862000000000004E-2</v>
      </c>
      <c r="N2837" s="4">
        <v>2.0979999999999999E-5</v>
      </c>
      <c r="O2837" s="5" t="s">
        <v>44</v>
      </c>
      <c r="P2837" s="5">
        <v>44914</v>
      </c>
      <c r="Q2837" s="1">
        <v>0</v>
      </c>
      <c r="R2837" s="2"/>
      <c r="S2837" s="6">
        <v>0.40273972602699998</v>
      </c>
      <c r="T2837" t="s">
        <v>11412</v>
      </c>
      <c r="U2837" t="s">
        <v>11413</v>
      </c>
      <c r="V2837" t="s">
        <v>9802</v>
      </c>
      <c r="W2837" t="s">
        <v>43</v>
      </c>
      <c r="X2837" t="s">
        <v>44</v>
      </c>
      <c r="Y2837" t="s">
        <v>44</v>
      </c>
      <c r="Z2837" t="s">
        <v>44</v>
      </c>
      <c r="AA2837" t="s">
        <v>44</v>
      </c>
      <c r="AB2837" t="s">
        <v>44</v>
      </c>
      <c r="AC2837" s="4"/>
      <c r="AD2837" s="4"/>
      <c r="AE2837" s="2">
        <v>0</v>
      </c>
      <c r="AF2837" s="4">
        <v>0</v>
      </c>
      <c r="AG2837" s="2">
        <v>0.01</v>
      </c>
      <c r="AH2837" s="2">
        <v>9220.7199999999993</v>
      </c>
      <c r="AI2837" s="2">
        <v>0</v>
      </c>
      <c r="AJ2837" s="5">
        <v>44673</v>
      </c>
      <c r="AK2837" t="s">
        <v>12587</v>
      </c>
      <c r="AL2837" s="2">
        <v>0</v>
      </c>
      <c r="AM2837" s="2">
        <v>0</v>
      </c>
      <c r="AN2837" s="2">
        <v>0.4</v>
      </c>
      <c r="AO2837" t="s">
        <v>44</v>
      </c>
      <c r="AP2837" t="s">
        <v>44</v>
      </c>
      <c r="AQ2837" t="s">
        <v>44</v>
      </c>
    </row>
    <row r="2838" spans="1:43" x14ac:dyDescent="0.2">
      <c r="A2838" t="s">
        <v>12586</v>
      </c>
      <c r="B2838" t="s">
        <v>11608</v>
      </c>
      <c r="C2838" t="s">
        <v>11608</v>
      </c>
      <c r="D2838" t="s">
        <v>11612</v>
      </c>
      <c r="E2838" t="s">
        <v>11610</v>
      </c>
      <c r="F2838" t="s">
        <v>11613</v>
      </c>
      <c r="G2838" s="1">
        <v>-14000000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3"/>
      <c r="N2838" s="4">
        <v>0</v>
      </c>
      <c r="O2838" s="5" t="s">
        <v>44</v>
      </c>
      <c r="P2838" s="5">
        <v>44914</v>
      </c>
      <c r="Q2838" s="1">
        <v>0</v>
      </c>
      <c r="R2838" s="2"/>
      <c r="S2838" s="6"/>
      <c r="T2838" t="s">
        <v>11412</v>
      </c>
      <c r="U2838" t="s">
        <v>11413</v>
      </c>
      <c r="V2838" t="s">
        <v>9802</v>
      </c>
      <c r="W2838" t="s">
        <v>43</v>
      </c>
      <c r="X2838" t="s">
        <v>44</v>
      </c>
      <c r="Y2838" t="s">
        <v>44</v>
      </c>
      <c r="Z2838" t="s">
        <v>44</v>
      </c>
      <c r="AA2838" t="s">
        <v>44</v>
      </c>
      <c r="AB2838" t="s">
        <v>44</v>
      </c>
      <c r="AC2838" s="4"/>
      <c r="AD2838" s="4"/>
      <c r="AE2838" s="2">
        <v>0</v>
      </c>
      <c r="AF2838" s="4">
        <v>0</v>
      </c>
      <c r="AG2838" s="2">
        <v>0</v>
      </c>
      <c r="AH2838" s="2">
        <v>0</v>
      </c>
      <c r="AI2838" s="2">
        <v>0</v>
      </c>
      <c r="AJ2838" s="5">
        <v>44673</v>
      </c>
      <c r="AK2838" t="s">
        <v>12587</v>
      </c>
      <c r="AL2838" s="2">
        <v>0</v>
      </c>
      <c r="AM2838" s="2">
        <v>0</v>
      </c>
      <c r="AN2838" s="2">
        <v>0</v>
      </c>
      <c r="AO2838" t="s">
        <v>44</v>
      </c>
      <c r="AP2838" t="s">
        <v>44</v>
      </c>
      <c r="AQ2838" t="s">
        <v>44</v>
      </c>
    </row>
    <row r="2839" spans="1:43" x14ac:dyDescent="0.2">
      <c r="A2839" t="s">
        <v>12586</v>
      </c>
      <c r="B2839" t="s">
        <v>11608</v>
      </c>
      <c r="C2839" t="s">
        <v>11608</v>
      </c>
      <c r="D2839" t="s">
        <v>11614</v>
      </c>
      <c r="E2839" t="s">
        <v>11610</v>
      </c>
      <c r="F2839" t="s">
        <v>11615</v>
      </c>
      <c r="G2839" s="1">
        <v>14000000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3"/>
      <c r="N2839" s="4">
        <v>0</v>
      </c>
      <c r="O2839" s="5" t="s">
        <v>44</v>
      </c>
      <c r="P2839" s="5">
        <v>44914</v>
      </c>
      <c r="Q2839" s="1">
        <v>5.63</v>
      </c>
      <c r="R2839" s="2"/>
      <c r="S2839" s="6"/>
      <c r="T2839" t="s">
        <v>11412</v>
      </c>
      <c r="U2839" t="s">
        <v>11413</v>
      </c>
      <c r="V2839" t="s">
        <v>9802</v>
      </c>
      <c r="W2839" t="s">
        <v>43</v>
      </c>
      <c r="X2839" t="s">
        <v>44</v>
      </c>
      <c r="Y2839" t="s">
        <v>44</v>
      </c>
      <c r="Z2839" t="s">
        <v>44</v>
      </c>
      <c r="AA2839" t="s">
        <v>44</v>
      </c>
      <c r="AB2839" t="s">
        <v>44</v>
      </c>
      <c r="AC2839" s="4"/>
      <c r="AD2839" s="4"/>
      <c r="AE2839" s="2">
        <v>0</v>
      </c>
      <c r="AF2839" s="4">
        <v>0</v>
      </c>
      <c r="AG2839" s="2">
        <v>0</v>
      </c>
      <c r="AH2839" s="2">
        <v>0</v>
      </c>
      <c r="AI2839" s="2">
        <v>0</v>
      </c>
      <c r="AJ2839" s="5">
        <v>44673</v>
      </c>
      <c r="AK2839" t="s">
        <v>12587</v>
      </c>
      <c r="AL2839" s="2">
        <v>0</v>
      </c>
      <c r="AM2839" s="2">
        <v>5.63</v>
      </c>
      <c r="AN2839" s="2">
        <v>0</v>
      </c>
      <c r="AO2839" t="s">
        <v>44</v>
      </c>
      <c r="AP2839" t="s">
        <v>44</v>
      </c>
      <c r="AQ2839" t="s">
        <v>44</v>
      </c>
    </row>
    <row r="2840" spans="1:43" x14ac:dyDescent="0.2">
      <c r="A2840" t="s">
        <v>12586</v>
      </c>
      <c r="B2840" t="s">
        <v>11608</v>
      </c>
      <c r="C2840" t="s">
        <v>11608</v>
      </c>
      <c r="D2840" t="s">
        <v>12749</v>
      </c>
      <c r="E2840" t="s">
        <v>12750</v>
      </c>
      <c r="F2840" t="s">
        <v>12749</v>
      </c>
      <c r="G2840" s="1">
        <v>11500000</v>
      </c>
      <c r="H2840" s="2">
        <v>0</v>
      </c>
      <c r="I2840" s="2">
        <v>3998.97</v>
      </c>
      <c r="J2840" s="2">
        <v>0</v>
      </c>
      <c r="K2840" s="2">
        <v>0</v>
      </c>
      <c r="L2840" s="2">
        <v>3998.97</v>
      </c>
      <c r="M2840" s="3">
        <v>3.4773999999999999E-2</v>
      </c>
      <c r="N2840" s="4">
        <v>9.0999999999999993E-6</v>
      </c>
      <c r="O2840" s="5" t="s">
        <v>44</v>
      </c>
      <c r="P2840" s="5">
        <v>44890</v>
      </c>
      <c r="Q2840" s="1">
        <v>0</v>
      </c>
      <c r="R2840" s="2"/>
      <c r="S2840" s="6">
        <v>0.34246575342500002</v>
      </c>
      <c r="T2840" t="s">
        <v>11412</v>
      </c>
      <c r="U2840" t="s">
        <v>11413</v>
      </c>
      <c r="V2840" t="s">
        <v>9802</v>
      </c>
      <c r="W2840" t="s">
        <v>43</v>
      </c>
      <c r="X2840" t="s">
        <v>44</v>
      </c>
      <c r="Y2840" t="s">
        <v>44</v>
      </c>
      <c r="Z2840" t="s">
        <v>44</v>
      </c>
      <c r="AA2840" t="s">
        <v>44</v>
      </c>
      <c r="AB2840" t="s">
        <v>44</v>
      </c>
      <c r="AC2840" s="4"/>
      <c r="AD2840" s="4"/>
      <c r="AE2840" s="2">
        <v>0</v>
      </c>
      <c r="AF2840" s="4">
        <v>0</v>
      </c>
      <c r="AG2840" s="2">
        <v>0</v>
      </c>
      <c r="AH2840" s="2">
        <v>3998.97</v>
      </c>
      <c r="AI2840" s="2">
        <v>0</v>
      </c>
      <c r="AJ2840" s="5">
        <v>44673</v>
      </c>
      <c r="AK2840" t="s">
        <v>12587</v>
      </c>
      <c r="AL2840" s="2">
        <v>0</v>
      </c>
      <c r="AM2840" s="2">
        <v>0</v>
      </c>
      <c r="AN2840" s="2">
        <v>0.34</v>
      </c>
      <c r="AO2840" t="s">
        <v>44</v>
      </c>
      <c r="AP2840" t="s">
        <v>44</v>
      </c>
      <c r="AQ2840" t="s">
        <v>44</v>
      </c>
    </row>
    <row r="2841" spans="1:43" x14ac:dyDescent="0.2">
      <c r="A2841" t="s">
        <v>12586</v>
      </c>
      <c r="B2841" t="s">
        <v>11608</v>
      </c>
      <c r="C2841" t="s">
        <v>11608</v>
      </c>
      <c r="D2841" t="s">
        <v>12751</v>
      </c>
      <c r="E2841" t="s">
        <v>12750</v>
      </c>
      <c r="F2841" t="s">
        <v>12751</v>
      </c>
      <c r="G2841" s="1">
        <v>-11500000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3"/>
      <c r="N2841" s="4">
        <v>0</v>
      </c>
      <c r="O2841" s="5" t="s">
        <v>44</v>
      </c>
      <c r="P2841" s="5">
        <v>44890</v>
      </c>
      <c r="Q2841" s="1">
        <v>0</v>
      </c>
      <c r="R2841" s="2"/>
      <c r="S2841" s="6"/>
      <c r="T2841" t="s">
        <v>11412</v>
      </c>
      <c r="U2841" t="s">
        <v>11413</v>
      </c>
      <c r="V2841" t="s">
        <v>9802</v>
      </c>
      <c r="W2841" t="s">
        <v>43</v>
      </c>
      <c r="X2841" t="s">
        <v>44</v>
      </c>
      <c r="Y2841" t="s">
        <v>44</v>
      </c>
      <c r="Z2841" t="s">
        <v>44</v>
      </c>
      <c r="AA2841" t="s">
        <v>44</v>
      </c>
      <c r="AB2841" t="s">
        <v>44</v>
      </c>
      <c r="AC2841" s="4"/>
      <c r="AD2841" s="4"/>
      <c r="AE2841" s="2">
        <v>0</v>
      </c>
      <c r="AF2841" s="4">
        <v>0</v>
      </c>
      <c r="AG2841" s="2">
        <v>0</v>
      </c>
      <c r="AH2841" s="2">
        <v>0</v>
      </c>
      <c r="AI2841" s="2">
        <v>0</v>
      </c>
      <c r="AJ2841" s="5">
        <v>44673</v>
      </c>
      <c r="AK2841" t="s">
        <v>12587</v>
      </c>
      <c r="AL2841" s="2">
        <v>0</v>
      </c>
      <c r="AM2841" s="2">
        <v>0</v>
      </c>
      <c r="AN2841" s="2">
        <v>0</v>
      </c>
      <c r="AO2841" t="s">
        <v>44</v>
      </c>
      <c r="AP2841" t="s">
        <v>44</v>
      </c>
      <c r="AQ2841" t="s">
        <v>44</v>
      </c>
    </row>
    <row r="2842" spans="1:43" x14ac:dyDescent="0.2">
      <c r="A2842" t="s">
        <v>12586</v>
      </c>
      <c r="B2842" t="s">
        <v>11608</v>
      </c>
      <c r="C2842" t="s">
        <v>11608</v>
      </c>
      <c r="D2842" t="s">
        <v>12752</v>
      </c>
      <c r="E2842" t="s">
        <v>12750</v>
      </c>
      <c r="F2842" t="s">
        <v>12752</v>
      </c>
      <c r="G2842" s="1">
        <v>11500000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3"/>
      <c r="N2842" s="4">
        <v>0</v>
      </c>
      <c r="O2842" s="5" t="s">
        <v>44</v>
      </c>
      <c r="P2842" s="5">
        <v>44890</v>
      </c>
      <c r="Q2842" s="1">
        <v>5.48</v>
      </c>
      <c r="R2842" s="2"/>
      <c r="S2842" s="6"/>
      <c r="T2842" t="s">
        <v>11412</v>
      </c>
      <c r="U2842" t="s">
        <v>11413</v>
      </c>
      <c r="V2842" t="s">
        <v>9802</v>
      </c>
      <c r="W2842" t="s">
        <v>43</v>
      </c>
      <c r="X2842" t="s">
        <v>44</v>
      </c>
      <c r="Y2842" t="s">
        <v>44</v>
      </c>
      <c r="Z2842" t="s">
        <v>44</v>
      </c>
      <c r="AA2842" t="s">
        <v>44</v>
      </c>
      <c r="AB2842" t="s">
        <v>44</v>
      </c>
      <c r="AC2842" s="4"/>
      <c r="AD2842" s="4"/>
      <c r="AE2842" s="2">
        <v>0</v>
      </c>
      <c r="AF2842" s="4">
        <v>0</v>
      </c>
      <c r="AG2842" s="2">
        <v>0</v>
      </c>
      <c r="AH2842" s="2">
        <v>0</v>
      </c>
      <c r="AI2842" s="2">
        <v>0</v>
      </c>
      <c r="AJ2842" s="5">
        <v>44673</v>
      </c>
      <c r="AK2842" t="s">
        <v>12587</v>
      </c>
      <c r="AL2842" s="2">
        <v>0</v>
      </c>
      <c r="AM2842" s="2">
        <v>5.48</v>
      </c>
      <c r="AN2842" s="2">
        <v>0</v>
      </c>
      <c r="AO2842" t="s">
        <v>44</v>
      </c>
      <c r="AP2842" t="s">
        <v>44</v>
      </c>
      <c r="AQ2842" t="s">
        <v>44</v>
      </c>
    </row>
    <row r="2843" spans="1:43" x14ac:dyDescent="0.2">
      <c r="A2843" t="s">
        <v>12586</v>
      </c>
      <c r="B2843" t="s">
        <v>11038</v>
      </c>
      <c r="C2843" t="s">
        <v>11870</v>
      </c>
      <c r="D2843" t="s">
        <v>11616</v>
      </c>
      <c r="E2843" t="s">
        <v>11617</v>
      </c>
      <c r="F2843" t="s">
        <v>11616</v>
      </c>
      <c r="G2843" s="1">
        <v>400000</v>
      </c>
      <c r="H2843" s="2">
        <v>400008.42</v>
      </c>
      <c r="I2843" s="2">
        <v>400168.16</v>
      </c>
      <c r="J2843" s="2">
        <v>4846.3999999999996</v>
      </c>
      <c r="K2843" s="2">
        <v>0</v>
      </c>
      <c r="L2843" s="2">
        <v>405014.56</v>
      </c>
      <c r="M2843" s="3">
        <v>4.9760429999999998</v>
      </c>
      <c r="N2843" s="4">
        <v>9.2144999999999998E-4</v>
      </c>
      <c r="O2843" s="5">
        <v>44690</v>
      </c>
      <c r="P2843" s="5">
        <v>44690</v>
      </c>
      <c r="Q2843" s="1">
        <v>6.0579999999999998</v>
      </c>
      <c r="R2843" s="2">
        <v>0.04</v>
      </c>
      <c r="S2843" s="6">
        <v>3.6514757501999999E-2</v>
      </c>
      <c r="T2843" t="s">
        <v>111</v>
      </c>
      <c r="U2843" t="s">
        <v>11040</v>
      </c>
      <c r="V2843" t="s">
        <v>114</v>
      </c>
      <c r="W2843" t="s">
        <v>43</v>
      </c>
      <c r="X2843" t="s">
        <v>10988</v>
      </c>
      <c r="Y2843" t="s">
        <v>44</v>
      </c>
      <c r="Z2843" t="s">
        <v>44</v>
      </c>
      <c r="AA2843" t="s">
        <v>10979</v>
      </c>
      <c r="AB2843" t="s">
        <v>44</v>
      </c>
      <c r="AC2843" s="4">
        <v>5.09694307</v>
      </c>
      <c r="AD2843" s="4">
        <v>4.9816122199999997</v>
      </c>
      <c r="AE2843" s="2">
        <v>5.0999999999999996</v>
      </c>
      <c r="AF2843" s="4">
        <v>4.9816122199999997</v>
      </c>
      <c r="AG2843" s="2">
        <v>0.41</v>
      </c>
      <c r="AH2843" s="2">
        <v>405014.56</v>
      </c>
      <c r="AI2843" s="2">
        <v>0</v>
      </c>
      <c r="AJ2843" s="5">
        <v>44673</v>
      </c>
      <c r="AK2843" t="s">
        <v>12587</v>
      </c>
      <c r="AL2843" s="2">
        <v>5.03</v>
      </c>
      <c r="AM2843" s="2">
        <v>6.06</v>
      </c>
      <c r="AN2843" s="2">
        <v>0.04</v>
      </c>
      <c r="AO2843" t="s">
        <v>11618</v>
      </c>
      <c r="AP2843" t="s">
        <v>11619</v>
      </c>
      <c r="AQ2843" t="s">
        <v>11617</v>
      </c>
    </row>
    <row r="2844" spans="1:43" x14ac:dyDescent="0.2">
      <c r="A2844" t="s">
        <v>12586</v>
      </c>
      <c r="B2844" t="s">
        <v>11038</v>
      </c>
      <c r="C2844" t="s">
        <v>11055</v>
      </c>
      <c r="D2844" t="s">
        <v>11872</v>
      </c>
      <c r="E2844" t="s">
        <v>11873</v>
      </c>
      <c r="F2844" t="s">
        <v>11872</v>
      </c>
      <c r="G2844" s="1">
        <v>2000000</v>
      </c>
      <c r="H2844" s="2">
        <v>2000091.65</v>
      </c>
      <c r="I2844" s="2">
        <v>2001239.77</v>
      </c>
      <c r="J2844" s="2">
        <v>17211.95</v>
      </c>
      <c r="K2844" s="2">
        <v>0</v>
      </c>
      <c r="L2844" s="2">
        <v>2018451.72</v>
      </c>
      <c r="M2844" s="3">
        <v>5.1502819999999998</v>
      </c>
      <c r="N2844" s="4">
        <v>4.5921900000000003E-3</v>
      </c>
      <c r="O2844" s="5">
        <v>44712</v>
      </c>
      <c r="P2844" s="5">
        <v>44712</v>
      </c>
      <c r="Q2844" s="1">
        <v>5.8170000000000002</v>
      </c>
      <c r="R2844" s="2">
        <v>0.1</v>
      </c>
      <c r="S2844" s="6">
        <v>9.3730576011000002E-2</v>
      </c>
      <c r="T2844" t="s">
        <v>111</v>
      </c>
      <c r="U2844" t="s">
        <v>11040</v>
      </c>
      <c r="V2844" t="s">
        <v>114</v>
      </c>
      <c r="W2844" t="s">
        <v>43</v>
      </c>
      <c r="X2844" t="s">
        <v>10988</v>
      </c>
      <c r="Y2844" t="s">
        <v>44</v>
      </c>
      <c r="Z2844" t="s">
        <v>44</v>
      </c>
      <c r="AA2844" t="s">
        <v>10979</v>
      </c>
      <c r="AB2844" t="s">
        <v>44</v>
      </c>
      <c r="AC2844" s="4">
        <v>5.2714900699999996</v>
      </c>
      <c r="AD2844" s="4">
        <v>5.1482567699999997</v>
      </c>
      <c r="AE2844" s="2">
        <v>5.27</v>
      </c>
      <c r="AF2844" s="4">
        <v>5.1482567699999997</v>
      </c>
      <c r="AG2844" s="2">
        <v>2.04</v>
      </c>
      <c r="AH2844" s="2">
        <v>2018451.72</v>
      </c>
      <c r="AI2844" s="2">
        <v>0</v>
      </c>
      <c r="AJ2844" s="5">
        <v>44673</v>
      </c>
      <c r="AK2844" t="s">
        <v>12587</v>
      </c>
      <c r="AL2844" s="2">
        <v>5.2</v>
      </c>
      <c r="AM2844" s="2">
        <v>5.82</v>
      </c>
      <c r="AN2844" s="2">
        <v>0.09</v>
      </c>
      <c r="AO2844" t="s">
        <v>11048</v>
      </c>
      <c r="AP2844" t="s">
        <v>11874</v>
      </c>
      <c r="AQ2844" t="s">
        <v>11873</v>
      </c>
    </row>
    <row r="2845" spans="1:43" x14ac:dyDescent="0.2">
      <c r="A2845" t="s">
        <v>12586</v>
      </c>
      <c r="B2845" t="s">
        <v>11038</v>
      </c>
      <c r="C2845" t="s">
        <v>11052</v>
      </c>
      <c r="D2845" t="s">
        <v>11875</v>
      </c>
      <c r="E2845" t="s">
        <v>11876</v>
      </c>
      <c r="F2845" t="s">
        <v>11875</v>
      </c>
      <c r="G2845" s="1">
        <v>400000</v>
      </c>
      <c r="H2845" s="2">
        <v>399914.52</v>
      </c>
      <c r="I2845" s="2">
        <v>400226.12</v>
      </c>
      <c r="J2845" s="2">
        <v>5444.36</v>
      </c>
      <c r="K2845" s="2">
        <v>0</v>
      </c>
      <c r="L2845" s="2">
        <v>405670.48</v>
      </c>
      <c r="M2845" s="3">
        <v>5.8453989999999996</v>
      </c>
      <c r="N2845" s="4">
        <v>9.2294000000000002E-4</v>
      </c>
      <c r="O2845" s="5">
        <v>44676</v>
      </c>
      <c r="P2845" s="5">
        <v>44765</v>
      </c>
      <c r="Q2845" s="1">
        <v>5.5819999999999999</v>
      </c>
      <c r="R2845" s="2">
        <v>0.25</v>
      </c>
      <c r="S2845" s="6">
        <v>-2.4241619880000002E-3</v>
      </c>
      <c r="T2845" t="s">
        <v>111</v>
      </c>
      <c r="U2845" t="s">
        <v>11040</v>
      </c>
      <c r="V2845" t="s">
        <v>114</v>
      </c>
      <c r="W2845" t="s">
        <v>43</v>
      </c>
      <c r="X2845" t="s">
        <v>10988</v>
      </c>
      <c r="Y2845" t="s">
        <v>44</v>
      </c>
      <c r="Z2845" t="s">
        <v>44</v>
      </c>
      <c r="AA2845" t="s">
        <v>10979</v>
      </c>
      <c r="AB2845" t="s">
        <v>44</v>
      </c>
      <c r="AC2845" s="4">
        <v>5.9749057099999998</v>
      </c>
      <c r="AD2845" s="4">
        <v>5.8172689999999996</v>
      </c>
      <c r="AE2845" s="2">
        <v>5.97</v>
      </c>
      <c r="AF2845" s="4">
        <v>5.8172689999999996</v>
      </c>
      <c r="AG2845" s="2">
        <v>0.41</v>
      </c>
      <c r="AH2845" s="2">
        <v>405670.48</v>
      </c>
      <c r="AI2845" s="2">
        <v>0</v>
      </c>
      <c r="AJ2845" s="5">
        <v>44673</v>
      </c>
      <c r="AK2845" t="s">
        <v>12587</v>
      </c>
      <c r="AL2845" s="2">
        <v>5.89</v>
      </c>
      <c r="AM2845" s="2">
        <v>5.58</v>
      </c>
      <c r="AN2845" s="2">
        <v>0</v>
      </c>
      <c r="AO2845" t="s">
        <v>11048</v>
      </c>
      <c r="AP2845" t="s">
        <v>11877</v>
      </c>
      <c r="AQ2845" t="s">
        <v>11876</v>
      </c>
    </row>
    <row r="2846" spans="1:43" x14ac:dyDescent="0.2">
      <c r="A2846" t="s">
        <v>12586</v>
      </c>
      <c r="B2846" t="s">
        <v>11038</v>
      </c>
      <c r="C2846" t="s">
        <v>11039</v>
      </c>
      <c r="D2846" t="s">
        <v>11878</v>
      </c>
      <c r="E2846" t="s">
        <v>11879</v>
      </c>
      <c r="F2846" t="s">
        <v>11878</v>
      </c>
      <c r="G2846" s="1">
        <v>100000</v>
      </c>
      <c r="H2846" s="2">
        <v>100007.03999999999</v>
      </c>
      <c r="I2846" s="2">
        <v>99991.3</v>
      </c>
      <c r="J2846" s="2">
        <v>659.79</v>
      </c>
      <c r="K2846" s="2">
        <v>0</v>
      </c>
      <c r="L2846" s="2">
        <v>100651.09</v>
      </c>
      <c r="M2846" s="3">
        <v>6.1553490000000002</v>
      </c>
      <c r="N2846" s="4">
        <v>2.2898999999999999E-4</v>
      </c>
      <c r="O2846" s="5">
        <v>44727</v>
      </c>
      <c r="P2846" s="5">
        <v>45000</v>
      </c>
      <c r="Q2846" s="1">
        <v>6.1749999999999998</v>
      </c>
      <c r="R2846" s="2">
        <v>0.14000000000000001</v>
      </c>
      <c r="S2846" s="6">
        <v>0.121958312463</v>
      </c>
      <c r="T2846" t="s">
        <v>111</v>
      </c>
      <c r="U2846" t="s">
        <v>11040</v>
      </c>
      <c r="V2846" t="s">
        <v>114</v>
      </c>
      <c r="W2846" t="s">
        <v>43</v>
      </c>
      <c r="X2846" t="s">
        <v>10988</v>
      </c>
      <c r="Y2846" t="s">
        <v>44</v>
      </c>
      <c r="Z2846" t="s">
        <v>44</v>
      </c>
      <c r="AA2846" t="s">
        <v>10979</v>
      </c>
      <c r="AB2846" t="s">
        <v>44</v>
      </c>
      <c r="AC2846" s="4">
        <v>6.3207521</v>
      </c>
      <c r="AD2846" s="4">
        <v>6.1447089999999998</v>
      </c>
      <c r="AE2846" s="2">
        <v>6.32</v>
      </c>
      <c r="AF2846" s="4">
        <v>6.1447089999999998</v>
      </c>
      <c r="AG2846" s="2">
        <v>0.1</v>
      </c>
      <c r="AH2846" s="2">
        <v>100651.09</v>
      </c>
      <c r="AI2846" s="2">
        <v>0</v>
      </c>
      <c r="AJ2846" s="5">
        <v>44673</v>
      </c>
      <c r="AK2846" t="s">
        <v>12587</v>
      </c>
      <c r="AL2846" s="2">
        <v>6.22</v>
      </c>
      <c r="AM2846" s="2">
        <v>6.17</v>
      </c>
      <c r="AN2846" s="2">
        <v>0.12</v>
      </c>
      <c r="AO2846" t="s">
        <v>11567</v>
      </c>
      <c r="AP2846" t="s">
        <v>11880</v>
      </c>
      <c r="AQ2846" t="s">
        <v>11879</v>
      </c>
    </row>
    <row r="2847" spans="1:43" x14ac:dyDescent="0.2">
      <c r="A2847" t="s">
        <v>12586</v>
      </c>
      <c r="B2847" t="s">
        <v>11038</v>
      </c>
      <c r="C2847" t="s">
        <v>11039</v>
      </c>
      <c r="D2847" t="s">
        <v>11881</v>
      </c>
      <c r="E2847" t="s">
        <v>11882</v>
      </c>
      <c r="F2847" t="s">
        <v>11881</v>
      </c>
      <c r="G2847" s="1">
        <v>100000</v>
      </c>
      <c r="H2847" s="2">
        <v>100007.03999999999</v>
      </c>
      <c r="I2847" s="2">
        <v>99991.3</v>
      </c>
      <c r="J2847" s="2">
        <v>659.79</v>
      </c>
      <c r="K2847" s="2">
        <v>0</v>
      </c>
      <c r="L2847" s="2">
        <v>100651.09</v>
      </c>
      <c r="M2847" s="3">
        <v>6.1553490000000002</v>
      </c>
      <c r="N2847" s="4">
        <v>2.2898999999999999E-4</v>
      </c>
      <c r="O2847" s="5">
        <v>44727</v>
      </c>
      <c r="P2847" s="5">
        <v>45000</v>
      </c>
      <c r="Q2847" s="1">
        <v>6.1749999999999998</v>
      </c>
      <c r="R2847" s="2">
        <v>0.14000000000000001</v>
      </c>
      <c r="S2847" s="6">
        <v>0.121958312463</v>
      </c>
      <c r="T2847" t="s">
        <v>111</v>
      </c>
      <c r="U2847" t="s">
        <v>11040</v>
      </c>
      <c r="V2847" t="s">
        <v>114</v>
      </c>
      <c r="W2847" t="s">
        <v>43</v>
      </c>
      <c r="X2847" t="s">
        <v>10988</v>
      </c>
      <c r="Y2847" t="s">
        <v>44</v>
      </c>
      <c r="Z2847" t="s">
        <v>44</v>
      </c>
      <c r="AA2847" t="s">
        <v>10979</v>
      </c>
      <c r="AB2847" t="s">
        <v>44</v>
      </c>
      <c r="AC2847" s="4">
        <v>6.3207521</v>
      </c>
      <c r="AD2847" s="4">
        <v>6.1447089999999998</v>
      </c>
      <c r="AE2847" s="2">
        <v>6.32</v>
      </c>
      <c r="AF2847" s="4">
        <v>6.1447089999999998</v>
      </c>
      <c r="AG2847" s="2">
        <v>0.1</v>
      </c>
      <c r="AH2847" s="2">
        <v>100651.09</v>
      </c>
      <c r="AI2847" s="2">
        <v>0</v>
      </c>
      <c r="AJ2847" s="5">
        <v>44673</v>
      </c>
      <c r="AK2847" t="s">
        <v>12587</v>
      </c>
      <c r="AL2847" s="2">
        <v>6.22</v>
      </c>
      <c r="AM2847" s="2">
        <v>6.17</v>
      </c>
      <c r="AN2847" s="2">
        <v>0.12</v>
      </c>
      <c r="AO2847" t="s">
        <v>11567</v>
      </c>
      <c r="AP2847" t="s">
        <v>11883</v>
      </c>
      <c r="AQ2847" t="s">
        <v>11882</v>
      </c>
    </row>
    <row r="2848" spans="1:43" x14ac:dyDescent="0.2">
      <c r="A2848" t="s">
        <v>12586</v>
      </c>
      <c r="B2848" t="s">
        <v>11038</v>
      </c>
      <c r="C2848" t="s">
        <v>11039</v>
      </c>
      <c r="D2848" t="s">
        <v>11968</v>
      </c>
      <c r="E2848" t="s">
        <v>11969</v>
      </c>
      <c r="F2848" t="s">
        <v>11968</v>
      </c>
      <c r="G2848" s="1">
        <v>5000000</v>
      </c>
      <c r="H2848" s="2">
        <v>5000000</v>
      </c>
      <c r="I2848" s="2">
        <v>4991445.3099999996</v>
      </c>
      <c r="J2848" s="2">
        <v>86205.48</v>
      </c>
      <c r="K2848" s="2">
        <v>0</v>
      </c>
      <c r="L2848" s="2">
        <v>5077650.79</v>
      </c>
      <c r="M2848" s="3">
        <v>5.5893660000000001</v>
      </c>
      <c r="N2848" s="4">
        <v>1.15522E-2</v>
      </c>
      <c r="O2848" s="5">
        <v>44923</v>
      </c>
      <c r="P2848" s="5">
        <v>44923</v>
      </c>
      <c r="Q2848" s="1">
        <v>5.4249999999999998</v>
      </c>
      <c r="R2848" s="2">
        <v>0.68</v>
      </c>
      <c r="S2848" s="6">
        <v>0.65204926551999998</v>
      </c>
      <c r="T2848" t="s">
        <v>111</v>
      </c>
      <c r="U2848" t="s">
        <v>11040</v>
      </c>
      <c r="V2848" t="s">
        <v>11041</v>
      </c>
      <c r="W2848" t="s">
        <v>43</v>
      </c>
      <c r="X2848" t="s">
        <v>11034</v>
      </c>
      <c r="Y2848" t="s">
        <v>44</v>
      </c>
      <c r="Z2848" t="s">
        <v>44</v>
      </c>
      <c r="AA2848" t="s">
        <v>10979</v>
      </c>
      <c r="AB2848" t="s">
        <v>44</v>
      </c>
      <c r="AC2848" s="4">
        <v>5.6395369400000002</v>
      </c>
      <c r="AD2848" s="4">
        <v>5.4988121699999999</v>
      </c>
      <c r="AE2848" s="2">
        <v>5.64</v>
      </c>
      <c r="AF2848" s="4">
        <v>5.4988121699999999</v>
      </c>
      <c r="AG2848" s="2">
        <v>5.13</v>
      </c>
      <c r="AH2848" s="2">
        <v>5077650.79</v>
      </c>
      <c r="AI2848" s="2">
        <v>0.01</v>
      </c>
      <c r="AJ2848" s="5">
        <v>44673</v>
      </c>
      <c r="AK2848" t="s">
        <v>12587</v>
      </c>
      <c r="AL2848" s="2">
        <v>5.56</v>
      </c>
      <c r="AM2848" s="2">
        <v>5.42</v>
      </c>
      <c r="AN2848" s="2">
        <v>0.65</v>
      </c>
      <c r="AO2848" t="s">
        <v>11165</v>
      </c>
      <c r="AP2848" t="s">
        <v>11970</v>
      </c>
      <c r="AQ2848" t="s">
        <v>11969</v>
      </c>
    </row>
    <row r="2849" spans="1:43" x14ac:dyDescent="0.2">
      <c r="A2849" t="s">
        <v>12586</v>
      </c>
      <c r="B2849" t="s">
        <v>11038</v>
      </c>
      <c r="C2849" t="s">
        <v>11039</v>
      </c>
      <c r="D2849" t="s">
        <v>11971</v>
      </c>
      <c r="E2849" t="s">
        <v>11972</v>
      </c>
      <c r="F2849" t="s">
        <v>11971</v>
      </c>
      <c r="G2849" s="1">
        <v>1000000</v>
      </c>
      <c r="H2849" s="2">
        <v>1000000</v>
      </c>
      <c r="I2849" s="2">
        <v>998963.76</v>
      </c>
      <c r="J2849" s="2">
        <v>11860.27</v>
      </c>
      <c r="K2849" s="2">
        <v>0</v>
      </c>
      <c r="L2849" s="2">
        <v>1010824.03</v>
      </c>
      <c r="M2849" s="3">
        <v>5.914955</v>
      </c>
      <c r="N2849" s="4">
        <v>2.2997299999999998E-3</v>
      </c>
      <c r="O2849" s="5">
        <v>44965</v>
      </c>
      <c r="P2849" s="5">
        <v>44965</v>
      </c>
      <c r="Q2849" s="1">
        <v>5.85</v>
      </c>
      <c r="R2849" s="2">
        <v>0.79</v>
      </c>
      <c r="S2849" s="6">
        <v>0.75635794914999999</v>
      </c>
      <c r="T2849" t="s">
        <v>111</v>
      </c>
      <c r="U2849" t="s">
        <v>11040</v>
      </c>
      <c r="V2849" t="s">
        <v>11041</v>
      </c>
      <c r="W2849" t="s">
        <v>43</v>
      </c>
      <c r="X2849" t="s">
        <v>11034</v>
      </c>
      <c r="Y2849" t="s">
        <v>44</v>
      </c>
      <c r="Z2849" t="s">
        <v>44</v>
      </c>
      <c r="AA2849" t="s">
        <v>10979</v>
      </c>
      <c r="AB2849" t="s">
        <v>44</v>
      </c>
      <c r="AC2849" s="4">
        <v>5.9509684500000004</v>
      </c>
      <c r="AD2849" s="4">
        <v>5.7945694899999998</v>
      </c>
      <c r="AE2849" s="2">
        <v>5.95</v>
      </c>
      <c r="AF2849" s="4">
        <v>5.7945694899999998</v>
      </c>
      <c r="AG2849" s="2">
        <v>1.02</v>
      </c>
      <c r="AH2849" s="2">
        <v>1010824.03</v>
      </c>
      <c r="AI2849" s="2">
        <v>0</v>
      </c>
      <c r="AJ2849" s="5">
        <v>44673</v>
      </c>
      <c r="AK2849" t="s">
        <v>12587</v>
      </c>
      <c r="AL2849" s="2">
        <v>5.86</v>
      </c>
      <c r="AM2849" s="2">
        <v>5.85</v>
      </c>
      <c r="AN2849" s="2">
        <v>0.76</v>
      </c>
      <c r="AO2849" t="s">
        <v>11165</v>
      </c>
      <c r="AP2849" t="s">
        <v>11973</v>
      </c>
      <c r="AQ2849" t="s">
        <v>11972</v>
      </c>
    </row>
    <row r="2850" spans="1:43" x14ac:dyDescent="0.2">
      <c r="A2850" t="s">
        <v>12586</v>
      </c>
      <c r="B2850" t="s">
        <v>11038</v>
      </c>
      <c r="C2850" t="s">
        <v>11039</v>
      </c>
      <c r="D2850" t="s">
        <v>11974</v>
      </c>
      <c r="E2850" t="s">
        <v>11975</v>
      </c>
      <c r="F2850" t="s">
        <v>11974</v>
      </c>
      <c r="G2850" s="1">
        <v>5000000</v>
      </c>
      <c r="H2850" s="2">
        <v>4999115.38</v>
      </c>
      <c r="I2850" s="2">
        <v>4992317.47</v>
      </c>
      <c r="J2850" s="2">
        <v>99123.29</v>
      </c>
      <c r="K2850" s="2">
        <v>0</v>
      </c>
      <c r="L2850" s="2">
        <v>5091440.76</v>
      </c>
      <c r="M2850" s="3">
        <v>5.5398290000000001</v>
      </c>
      <c r="N2850" s="4">
        <v>1.158358E-2</v>
      </c>
      <c r="O2850" s="5">
        <v>44907</v>
      </c>
      <c r="P2850" s="5">
        <v>44907</v>
      </c>
      <c r="Q2850" s="1">
        <v>5.4</v>
      </c>
      <c r="R2850" s="2">
        <v>0.63</v>
      </c>
      <c r="S2850" s="6">
        <v>0.61143946870999999</v>
      </c>
      <c r="T2850" t="s">
        <v>111</v>
      </c>
      <c r="U2850" t="s">
        <v>11040</v>
      </c>
      <c r="V2850" t="s">
        <v>11041</v>
      </c>
      <c r="W2850" t="s">
        <v>43</v>
      </c>
      <c r="X2850" t="s">
        <v>11034</v>
      </c>
      <c r="Y2850" t="s">
        <v>44</v>
      </c>
      <c r="Z2850" t="s">
        <v>44</v>
      </c>
      <c r="AA2850" t="s">
        <v>10979</v>
      </c>
      <c r="AB2850" t="s">
        <v>44</v>
      </c>
      <c r="AC2850" s="4">
        <v>5.5958904499999997</v>
      </c>
      <c r="AD2850" s="4">
        <v>5.45729855</v>
      </c>
      <c r="AE2850" s="2">
        <v>5.6</v>
      </c>
      <c r="AF2850" s="4">
        <v>5.45729855</v>
      </c>
      <c r="AG2850" s="2">
        <v>5.15</v>
      </c>
      <c r="AH2850" s="2">
        <v>5091440.76</v>
      </c>
      <c r="AI2850" s="2">
        <v>0.01</v>
      </c>
      <c r="AJ2850" s="5">
        <v>44673</v>
      </c>
      <c r="AK2850" t="s">
        <v>12587</v>
      </c>
      <c r="AL2850" s="2">
        <v>5.52</v>
      </c>
      <c r="AM2850" s="2">
        <v>5.4</v>
      </c>
      <c r="AN2850" s="2">
        <v>0.61</v>
      </c>
      <c r="AO2850" t="s">
        <v>11179</v>
      </c>
      <c r="AP2850" t="s">
        <v>11976</v>
      </c>
      <c r="AQ2850" t="s">
        <v>11975</v>
      </c>
    </row>
    <row r="2851" spans="1:43" x14ac:dyDescent="0.2">
      <c r="A2851" t="s">
        <v>12586</v>
      </c>
      <c r="B2851" t="s">
        <v>11038</v>
      </c>
      <c r="C2851" t="s">
        <v>11039</v>
      </c>
      <c r="D2851" t="s">
        <v>12588</v>
      </c>
      <c r="E2851" t="s">
        <v>12589</v>
      </c>
      <c r="F2851" t="s">
        <v>12588</v>
      </c>
      <c r="G2851" s="1">
        <v>4000000</v>
      </c>
      <c r="H2851" s="2">
        <v>4000000</v>
      </c>
      <c r="I2851" s="2">
        <v>3993508.18</v>
      </c>
      <c r="J2851" s="2">
        <v>68087.67</v>
      </c>
      <c r="K2851" s="2">
        <v>0</v>
      </c>
      <c r="L2851" s="2">
        <v>4061595.85</v>
      </c>
      <c r="M2851" s="3">
        <v>5.599996</v>
      </c>
      <c r="N2851" s="4">
        <v>9.24057E-3</v>
      </c>
      <c r="O2851" s="5">
        <v>44925</v>
      </c>
      <c r="P2851" s="5">
        <v>44925</v>
      </c>
      <c r="Q2851" s="1">
        <v>5.45</v>
      </c>
      <c r="R2851" s="2">
        <v>0.68</v>
      </c>
      <c r="S2851" s="6">
        <v>0.65708918935000005</v>
      </c>
      <c r="T2851" t="s">
        <v>111</v>
      </c>
      <c r="U2851" t="s">
        <v>11040</v>
      </c>
      <c r="V2851" t="s">
        <v>11041</v>
      </c>
      <c r="W2851" t="s">
        <v>43</v>
      </c>
      <c r="X2851" t="s">
        <v>11034</v>
      </c>
      <c r="Y2851" t="s">
        <v>44</v>
      </c>
      <c r="Z2851" t="s">
        <v>44</v>
      </c>
      <c r="AA2851" t="s">
        <v>10979</v>
      </c>
      <c r="AB2851" t="s">
        <v>44</v>
      </c>
      <c r="AC2851" s="4">
        <v>5.6494946600000002</v>
      </c>
      <c r="AD2851" s="4">
        <v>5.5082810899999997</v>
      </c>
      <c r="AE2851" s="2">
        <v>5.65</v>
      </c>
      <c r="AF2851" s="4">
        <v>5.5082810899999997</v>
      </c>
      <c r="AG2851" s="2">
        <v>4.1100000000000003</v>
      </c>
      <c r="AH2851" s="2">
        <v>4061595.85</v>
      </c>
      <c r="AI2851" s="2">
        <v>0.01</v>
      </c>
      <c r="AJ2851" s="5">
        <v>44673</v>
      </c>
      <c r="AK2851" t="s">
        <v>12587</v>
      </c>
      <c r="AL2851" s="2">
        <v>5.57</v>
      </c>
      <c r="AM2851" s="2">
        <v>5.45</v>
      </c>
      <c r="AN2851" s="2">
        <v>0.66</v>
      </c>
      <c r="AO2851" t="s">
        <v>11179</v>
      </c>
      <c r="AP2851" t="s">
        <v>12590</v>
      </c>
      <c r="AQ2851" t="s">
        <v>12589</v>
      </c>
    </row>
    <row r="2852" spans="1:43" x14ac:dyDescent="0.2">
      <c r="A2852" t="s">
        <v>12586</v>
      </c>
      <c r="B2852" t="s">
        <v>11038</v>
      </c>
      <c r="C2852" t="s">
        <v>11222</v>
      </c>
      <c r="D2852" t="s">
        <v>11888</v>
      </c>
      <c r="E2852" t="s">
        <v>11889</v>
      </c>
      <c r="F2852" t="s">
        <v>11888</v>
      </c>
      <c r="G2852" s="1">
        <v>4300000</v>
      </c>
      <c r="H2852" s="2">
        <v>4315513.6500000004</v>
      </c>
      <c r="I2852" s="2">
        <v>4314637.34</v>
      </c>
      <c r="J2852" s="2">
        <v>32762.35</v>
      </c>
      <c r="K2852" s="2">
        <v>0</v>
      </c>
      <c r="L2852" s="2">
        <v>4347399.6900000004</v>
      </c>
      <c r="M2852" s="3">
        <v>5.6397240000000002</v>
      </c>
      <c r="N2852" s="4">
        <v>9.8907999999999999E-3</v>
      </c>
      <c r="O2852" s="5">
        <v>44718</v>
      </c>
      <c r="P2852" s="5">
        <v>45083</v>
      </c>
      <c r="Q2852" s="1">
        <v>5.9169999999999998</v>
      </c>
      <c r="R2852" s="2">
        <v>0.12</v>
      </c>
      <c r="S2852" s="6">
        <v>0.10153073584699999</v>
      </c>
      <c r="T2852" t="s">
        <v>111</v>
      </c>
      <c r="U2852" t="s">
        <v>11040</v>
      </c>
      <c r="V2852" t="s">
        <v>114</v>
      </c>
      <c r="W2852" t="s">
        <v>43</v>
      </c>
      <c r="X2852" t="s">
        <v>10988</v>
      </c>
      <c r="Y2852" t="s">
        <v>44</v>
      </c>
      <c r="Z2852" t="s">
        <v>44</v>
      </c>
      <c r="AA2852" t="s">
        <v>10913</v>
      </c>
      <c r="AB2852" t="s">
        <v>44</v>
      </c>
      <c r="AC2852" s="4">
        <v>5.7825122599999998</v>
      </c>
      <c r="AD2852" s="4">
        <v>5.63469072</v>
      </c>
      <c r="AE2852" s="2">
        <v>5.78</v>
      </c>
      <c r="AF2852" s="4">
        <v>5.63469072</v>
      </c>
      <c r="AG2852" s="2">
        <v>4.3899999999999997</v>
      </c>
      <c r="AH2852" s="2">
        <v>4347399.6900000004</v>
      </c>
      <c r="AI2852" s="2">
        <v>0.01</v>
      </c>
      <c r="AJ2852" s="5">
        <v>44673</v>
      </c>
      <c r="AK2852" t="s">
        <v>12587</v>
      </c>
      <c r="AL2852" s="2">
        <v>5.7</v>
      </c>
      <c r="AM2852" s="2">
        <v>5.92</v>
      </c>
      <c r="AN2852" s="2">
        <v>0.1</v>
      </c>
      <c r="AO2852" t="s">
        <v>11563</v>
      </c>
      <c r="AP2852" t="s">
        <v>11890</v>
      </c>
      <c r="AQ2852" t="s">
        <v>11889</v>
      </c>
    </row>
    <row r="2853" spans="1:43" x14ac:dyDescent="0.2">
      <c r="A2853" t="s">
        <v>12586</v>
      </c>
      <c r="B2853" t="s">
        <v>11038</v>
      </c>
      <c r="C2853" t="s">
        <v>11222</v>
      </c>
      <c r="D2853" t="s">
        <v>11648</v>
      </c>
      <c r="E2853" t="s">
        <v>11649</v>
      </c>
      <c r="F2853" t="s">
        <v>11648</v>
      </c>
      <c r="G2853" s="1">
        <v>400000</v>
      </c>
      <c r="H2853" s="2">
        <v>401253.68</v>
      </c>
      <c r="I2853" s="2">
        <v>401160.1</v>
      </c>
      <c r="J2853" s="2">
        <v>3649.51</v>
      </c>
      <c r="K2853" s="2">
        <v>0</v>
      </c>
      <c r="L2853" s="2">
        <v>404809.61</v>
      </c>
      <c r="M2853" s="3">
        <v>6.0302819999999997</v>
      </c>
      <c r="N2853" s="4">
        <v>9.2099E-4</v>
      </c>
      <c r="O2853" s="5">
        <v>44712</v>
      </c>
      <c r="P2853" s="5">
        <v>45260</v>
      </c>
      <c r="Q2853" s="1">
        <v>6.1669999999999998</v>
      </c>
      <c r="R2853" s="2">
        <v>0.1</v>
      </c>
      <c r="S2853" s="6">
        <v>7.8177650525999995E-2</v>
      </c>
      <c r="T2853" t="s">
        <v>111</v>
      </c>
      <c r="U2853" t="s">
        <v>11040</v>
      </c>
      <c r="V2853" t="s">
        <v>114</v>
      </c>
      <c r="W2853" t="s">
        <v>43</v>
      </c>
      <c r="X2853" t="s">
        <v>10988</v>
      </c>
      <c r="Y2853" t="s">
        <v>44</v>
      </c>
      <c r="Z2853" t="s">
        <v>44</v>
      </c>
      <c r="AA2853" t="s">
        <v>10979</v>
      </c>
      <c r="AB2853" t="s">
        <v>44</v>
      </c>
      <c r="AC2853" s="4">
        <v>6.1968427300000002</v>
      </c>
      <c r="AD2853" s="4">
        <v>6.0275066400000004</v>
      </c>
      <c r="AE2853" s="2">
        <v>6.2</v>
      </c>
      <c r="AF2853" s="4">
        <v>6.0275066400000004</v>
      </c>
      <c r="AG2853" s="2">
        <v>0.41</v>
      </c>
      <c r="AH2853" s="2">
        <v>404809.61</v>
      </c>
      <c r="AI2853" s="2">
        <v>0</v>
      </c>
      <c r="AJ2853" s="5">
        <v>44673</v>
      </c>
      <c r="AK2853" t="s">
        <v>12587</v>
      </c>
      <c r="AL2853" s="2">
        <v>6.1</v>
      </c>
      <c r="AM2853" s="2">
        <v>6.17</v>
      </c>
      <c r="AN2853" s="2">
        <v>0.08</v>
      </c>
      <c r="AO2853" t="s">
        <v>11048</v>
      </c>
      <c r="AP2853" t="s">
        <v>11650</v>
      </c>
      <c r="AQ2853" t="s">
        <v>11649</v>
      </c>
    </row>
    <row r="2854" spans="1:43" x14ac:dyDescent="0.2">
      <c r="A2854" t="s">
        <v>12586</v>
      </c>
      <c r="B2854" t="s">
        <v>11038</v>
      </c>
      <c r="C2854" t="s">
        <v>11222</v>
      </c>
      <c r="D2854" t="s">
        <v>11894</v>
      </c>
      <c r="E2854" t="s">
        <v>11895</v>
      </c>
      <c r="F2854" t="s">
        <v>11894</v>
      </c>
      <c r="G2854" s="1">
        <v>300000</v>
      </c>
      <c r="H2854" s="2">
        <v>300034.51</v>
      </c>
      <c r="I2854" s="2">
        <v>299973.21999999997</v>
      </c>
      <c r="J2854" s="2">
        <v>2027.47</v>
      </c>
      <c r="K2854" s="2">
        <v>0</v>
      </c>
      <c r="L2854" s="2">
        <v>302000.69</v>
      </c>
      <c r="M2854" s="3">
        <v>6.3053489999999996</v>
      </c>
      <c r="N2854" s="4">
        <v>6.8707999999999996E-4</v>
      </c>
      <c r="O2854" s="5">
        <v>44727</v>
      </c>
      <c r="P2854" s="5">
        <v>45366</v>
      </c>
      <c r="Q2854" s="1">
        <v>6.3250000000000002</v>
      </c>
      <c r="R2854" s="2">
        <v>0.14000000000000001</v>
      </c>
      <c r="S2854" s="6">
        <v>0.10845508335</v>
      </c>
      <c r="T2854" t="s">
        <v>111</v>
      </c>
      <c r="U2854" t="s">
        <v>11040</v>
      </c>
      <c r="V2854" t="s">
        <v>114</v>
      </c>
      <c r="W2854" t="s">
        <v>43</v>
      </c>
      <c r="X2854" t="s">
        <v>10988</v>
      </c>
      <c r="Y2854" t="s">
        <v>44</v>
      </c>
      <c r="Z2854" t="s">
        <v>44</v>
      </c>
      <c r="AA2854" t="s">
        <v>10979</v>
      </c>
      <c r="AB2854" t="s">
        <v>44</v>
      </c>
      <c r="AC2854" s="4">
        <v>6.4789744799999998</v>
      </c>
      <c r="AD2854" s="4">
        <v>6.2941851800000004</v>
      </c>
      <c r="AE2854" s="2">
        <v>6.48</v>
      </c>
      <c r="AF2854" s="4">
        <v>6.2941851800000004</v>
      </c>
      <c r="AG2854" s="2">
        <v>0.31</v>
      </c>
      <c r="AH2854" s="2">
        <v>302000.69</v>
      </c>
      <c r="AI2854" s="2">
        <v>0</v>
      </c>
      <c r="AJ2854" s="5">
        <v>44673</v>
      </c>
      <c r="AK2854" t="s">
        <v>12587</v>
      </c>
      <c r="AL2854" s="2">
        <v>6.38</v>
      </c>
      <c r="AM2854" s="2">
        <v>6.33</v>
      </c>
      <c r="AN2854" s="2">
        <v>0.11</v>
      </c>
      <c r="AO2854" t="s">
        <v>11567</v>
      </c>
      <c r="AP2854" t="s">
        <v>11896</v>
      </c>
      <c r="AQ2854" t="s">
        <v>11895</v>
      </c>
    </row>
    <row r="2855" spans="1:43" x14ac:dyDescent="0.2">
      <c r="A2855" t="s">
        <v>12586</v>
      </c>
      <c r="B2855" t="s">
        <v>11038</v>
      </c>
      <c r="C2855" t="s">
        <v>11222</v>
      </c>
      <c r="D2855" t="s">
        <v>11897</v>
      </c>
      <c r="E2855" t="s">
        <v>11898</v>
      </c>
      <c r="F2855" t="s">
        <v>11897</v>
      </c>
      <c r="G2855" s="1">
        <v>100000</v>
      </c>
      <c r="H2855" s="2">
        <v>100010.82</v>
      </c>
      <c r="I2855" s="2">
        <v>99986.95</v>
      </c>
      <c r="J2855" s="2">
        <v>800.55</v>
      </c>
      <c r="K2855" s="2">
        <v>0</v>
      </c>
      <c r="L2855" s="2">
        <v>100787.5</v>
      </c>
      <c r="M2855" s="3">
        <v>6.2678570000000002</v>
      </c>
      <c r="N2855" s="4">
        <v>2.2929999999999999E-4</v>
      </c>
      <c r="O2855" s="5">
        <v>44719</v>
      </c>
      <c r="P2855" s="5">
        <v>45723</v>
      </c>
      <c r="Q2855" s="1">
        <v>6.2169999999999996</v>
      </c>
      <c r="R2855" s="2">
        <v>0.12</v>
      </c>
      <c r="S2855" s="6">
        <v>7.7282729554999999E-2</v>
      </c>
      <c r="T2855" t="s">
        <v>111</v>
      </c>
      <c r="U2855" t="s">
        <v>11040</v>
      </c>
      <c r="V2855" t="s">
        <v>114</v>
      </c>
      <c r="W2855" t="s">
        <v>43</v>
      </c>
      <c r="X2855" t="s">
        <v>10988</v>
      </c>
      <c r="Y2855" t="s">
        <v>44</v>
      </c>
      <c r="Z2855" t="s">
        <v>44</v>
      </c>
      <c r="AA2855" t="s">
        <v>11035</v>
      </c>
      <c r="AB2855" t="s">
        <v>44</v>
      </c>
      <c r="AC2855" s="4">
        <v>6.4439416999999999</v>
      </c>
      <c r="AD2855" s="4">
        <v>6.2611065000000004</v>
      </c>
      <c r="AE2855" s="2">
        <v>6.44</v>
      </c>
      <c r="AF2855" s="4">
        <v>6.2611065000000004</v>
      </c>
      <c r="AG2855" s="2">
        <v>0.1</v>
      </c>
      <c r="AH2855" s="2">
        <v>100787.5</v>
      </c>
      <c r="AI2855" s="2">
        <v>0</v>
      </c>
      <c r="AJ2855" s="5">
        <v>44673</v>
      </c>
      <c r="AK2855" t="s">
        <v>12587</v>
      </c>
      <c r="AL2855" s="2">
        <v>6.34</v>
      </c>
      <c r="AM2855" s="2">
        <v>6.22</v>
      </c>
      <c r="AN2855" s="2">
        <v>0.08</v>
      </c>
      <c r="AO2855" t="s">
        <v>11437</v>
      </c>
      <c r="AP2855" t="s">
        <v>11899</v>
      </c>
      <c r="AQ2855" t="s">
        <v>11898</v>
      </c>
    </row>
    <row r="2856" spans="1:43" x14ac:dyDescent="0.2">
      <c r="A2856" t="s">
        <v>12586</v>
      </c>
      <c r="B2856" t="s">
        <v>11038</v>
      </c>
      <c r="C2856" t="s">
        <v>11222</v>
      </c>
      <c r="D2856" t="s">
        <v>11924</v>
      </c>
      <c r="E2856" t="s">
        <v>11925</v>
      </c>
      <c r="F2856" t="s">
        <v>11924</v>
      </c>
      <c r="G2856" s="1">
        <v>400000</v>
      </c>
      <c r="H2856" s="2">
        <v>399943.05</v>
      </c>
      <c r="I2856" s="2">
        <v>410331.73</v>
      </c>
      <c r="J2856" s="2">
        <v>285.27999999999997</v>
      </c>
      <c r="K2856" s="2">
        <v>0</v>
      </c>
      <c r="L2856" s="2">
        <v>410617.01</v>
      </c>
      <c r="M2856" s="3">
        <v>5.0620180000000001</v>
      </c>
      <c r="N2856" s="4">
        <v>9.3420000000000005E-4</v>
      </c>
      <c r="O2856" s="5">
        <v>44760</v>
      </c>
      <c r="P2856" s="5">
        <v>45400</v>
      </c>
      <c r="Q2856" s="1">
        <v>6.508</v>
      </c>
      <c r="R2856" s="2">
        <v>0.23</v>
      </c>
      <c r="S2856" s="6">
        <v>0.23106658820500001</v>
      </c>
      <c r="T2856" t="s">
        <v>111</v>
      </c>
      <c r="U2856" t="s">
        <v>11040</v>
      </c>
      <c r="V2856" t="s">
        <v>114</v>
      </c>
      <c r="W2856" t="s">
        <v>43</v>
      </c>
      <c r="X2856" t="s">
        <v>10988</v>
      </c>
      <c r="Y2856" t="s">
        <v>44</v>
      </c>
      <c r="Z2856" t="s">
        <v>44</v>
      </c>
      <c r="AA2856" t="s">
        <v>10913</v>
      </c>
      <c r="AB2856" t="s">
        <v>44</v>
      </c>
      <c r="AC2856" s="4">
        <v>5.1615543300000004</v>
      </c>
      <c r="AD2856" s="4">
        <v>5.04332782</v>
      </c>
      <c r="AE2856" s="2">
        <v>5.16</v>
      </c>
      <c r="AF2856" s="4">
        <v>5.04332782</v>
      </c>
      <c r="AG2856" s="2">
        <v>0.42</v>
      </c>
      <c r="AH2856" s="2">
        <v>410617.01</v>
      </c>
      <c r="AI2856" s="2">
        <v>0</v>
      </c>
      <c r="AJ2856" s="5">
        <v>44673</v>
      </c>
      <c r="AK2856" t="s">
        <v>12587</v>
      </c>
      <c r="AL2856" s="2">
        <v>5.0999999999999996</v>
      </c>
      <c r="AM2856" s="2">
        <v>6.51</v>
      </c>
      <c r="AN2856" s="2">
        <v>0.23</v>
      </c>
      <c r="AO2856" t="s">
        <v>11563</v>
      </c>
      <c r="AP2856" t="s">
        <v>11926</v>
      </c>
      <c r="AQ2856" t="s">
        <v>11925</v>
      </c>
    </row>
    <row r="2857" spans="1:43" x14ac:dyDescent="0.2">
      <c r="A2857" t="s">
        <v>12586</v>
      </c>
      <c r="B2857" t="s">
        <v>11038</v>
      </c>
      <c r="C2857" t="s">
        <v>11222</v>
      </c>
      <c r="D2857" t="s">
        <v>11900</v>
      </c>
      <c r="E2857" t="s">
        <v>11901</v>
      </c>
      <c r="F2857" t="s">
        <v>11900</v>
      </c>
      <c r="G2857" s="1">
        <v>300000</v>
      </c>
      <c r="H2857" s="2">
        <v>299985.31</v>
      </c>
      <c r="I2857" s="2">
        <v>300991.88</v>
      </c>
      <c r="J2857" s="2">
        <v>3806.24</v>
      </c>
      <c r="K2857" s="2">
        <v>0</v>
      </c>
      <c r="L2857" s="2">
        <v>304798.12</v>
      </c>
      <c r="M2857" s="3">
        <v>6.1260430000000001</v>
      </c>
      <c r="N2857" s="4">
        <v>6.9344999999999997E-4</v>
      </c>
      <c r="O2857" s="5">
        <v>44690</v>
      </c>
      <c r="P2857" s="5">
        <v>45330</v>
      </c>
      <c r="Q2857" s="1">
        <v>6.258</v>
      </c>
      <c r="R2857" s="2">
        <v>0.04</v>
      </c>
      <c r="S2857" s="6">
        <v>1.7773178866000001E-2</v>
      </c>
      <c r="T2857" t="s">
        <v>111</v>
      </c>
      <c r="U2857" t="s">
        <v>11040</v>
      </c>
      <c r="V2857" t="s">
        <v>114</v>
      </c>
      <c r="W2857" t="s">
        <v>43</v>
      </c>
      <c r="X2857" t="s">
        <v>10988</v>
      </c>
      <c r="Y2857" t="s">
        <v>44</v>
      </c>
      <c r="Z2857" t="s">
        <v>44</v>
      </c>
      <c r="AA2857" t="s">
        <v>10979</v>
      </c>
      <c r="AB2857" t="s">
        <v>44</v>
      </c>
      <c r="AC2857" s="4">
        <v>6.3099366400000001</v>
      </c>
      <c r="AD2857" s="4">
        <v>6.1344839599999998</v>
      </c>
      <c r="AE2857" s="2">
        <v>6.31</v>
      </c>
      <c r="AF2857" s="4">
        <v>6.1344839599999998</v>
      </c>
      <c r="AG2857" s="2">
        <v>0.31</v>
      </c>
      <c r="AH2857" s="2">
        <v>304798.12</v>
      </c>
      <c r="AI2857" s="2">
        <v>0</v>
      </c>
      <c r="AJ2857" s="5">
        <v>44673</v>
      </c>
      <c r="AK2857" t="s">
        <v>12587</v>
      </c>
      <c r="AL2857" s="2">
        <v>6.21</v>
      </c>
      <c r="AM2857" s="2">
        <v>6.26</v>
      </c>
      <c r="AN2857" s="2">
        <v>0.02</v>
      </c>
      <c r="AO2857" t="s">
        <v>11824</v>
      </c>
      <c r="AP2857" t="s">
        <v>11902</v>
      </c>
      <c r="AQ2857" t="s">
        <v>11901</v>
      </c>
    </row>
    <row r="2858" spans="1:43" x14ac:dyDescent="0.2">
      <c r="A2858" t="s">
        <v>12586</v>
      </c>
      <c r="B2858" t="s">
        <v>11038</v>
      </c>
      <c r="C2858" t="s">
        <v>11222</v>
      </c>
      <c r="D2858" t="s">
        <v>11903</v>
      </c>
      <c r="E2858" t="s">
        <v>11904</v>
      </c>
      <c r="F2858" t="s">
        <v>11903</v>
      </c>
      <c r="G2858" s="1">
        <v>1600000</v>
      </c>
      <c r="H2858" s="2">
        <v>1600000</v>
      </c>
      <c r="I2858" s="2">
        <v>1599964.72</v>
      </c>
      <c r="J2858" s="2">
        <v>19464.07</v>
      </c>
      <c r="K2858" s="2">
        <v>0</v>
      </c>
      <c r="L2858" s="2">
        <v>1619428.79</v>
      </c>
      <c r="M2858" s="3">
        <v>6.2325840000000001</v>
      </c>
      <c r="N2858" s="4">
        <v>3.6843700000000002E-3</v>
      </c>
      <c r="O2858" s="5">
        <v>44691</v>
      </c>
      <c r="P2858" s="5">
        <v>45422</v>
      </c>
      <c r="Q2858" s="1">
        <v>6.1669999999999998</v>
      </c>
      <c r="R2858" s="2">
        <v>0.04</v>
      </c>
      <c r="S2858" s="6">
        <v>1.3346666328999999E-2</v>
      </c>
      <c r="T2858" t="s">
        <v>111</v>
      </c>
      <c r="U2858" t="s">
        <v>11040</v>
      </c>
      <c r="V2858" t="s">
        <v>114</v>
      </c>
      <c r="W2858" t="s">
        <v>43</v>
      </c>
      <c r="X2858" t="s">
        <v>10988</v>
      </c>
      <c r="Y2858" t="s">
        <v>44</v>
      </c>
      <c r="Z2858" t="s">
        <v>44</v>
      </c>
      <c r="AA2858" t="s">
        <v>11035</v>
      </c>
      <c r="AB2858" t="s">
        <v>44</v>
      </c>
      <c r="AC2858" s="4">
        <v>6.4224278899999998</v>
      </c>
      <c r="AD2858" s="4">
        <v>6.2407877699999998</v>
      </c>
      <c r="AE2858" s="2">
        <v>6.42</v>
      </c>
      <c r="AF2858" s="4">
        <v>6.2407877699999998</v>
      </c>
      <c r="AG2858" s="2">
        <v>1.64</v>
      </c>
      <c r="AH2858" s="2">
        <v>1619428.79</v>
      </c>
      <c r="AI2858" s="2">
        <v>0</v>
      </c>
      <c r="AJ2858" s="5">
        <v>44673</v>
      </c>
      <c r="AK2858" t="s">
        <v>12587</v>
      </c>
      <c r="AL2858" s="2">
        <v>6.32</v>
      </c>
      <c r="AM2858" s="2">
        <v>6.17</v>
      </c>
      <c r="AN2858" s="2">
        <v>0.01</v>
      </c>
      <c r="AO2858" t="s">
        <v>11437</v>
      </c>
      <c r="AP2858" t="s">
        <v>11905</v>
      </c>
      <c r="AQ2858" t="s">
        <v>11904</v>
      </c>
    </row>
    <row r="2859" spans="1:43" x14ac:dyDescent="0.2">
      <c r="A2859" t="s">
        <v>12586</v>
      </c>
      <c r="B2859" t="s">
        <v>11038</v>
      </c>
      <c r="C2859" t="s">
        <v>11222</v>
      </c>
      <c r="D2859" t="s">
        <v>11906</v>
      </c>
      <c r="E2859" t="s">
        <v>11907</v>
      </c>
      <c r="F2859" t="s">
        <v>11906</v>
      </c>
      <c r="G2859" s="1">
        <v>3000000</v>
      </c>
      <c r="H2859" s="2">
        <v>3000189.95</v>
      </c>
      <c r="I2859" s="2">
        <v>3004341.51</v>
      </c>
      <c r="J2859" s="2">
        <v>28788.66</v>
      </c>
      <c r="K2859" s="2">
        <v>0</v>
      </c>
      <c r="L2859" s="2">
        <v>3033130.17</v>
      </c>
      <c r="M2859" s="3">
        <v>5.7430570000000003</v>
      </c>
      <c r="N2859" s="4">
        <v>6.9007000000000001E-3</v>
      </c>
      <c r="O2859" s="5">
        <v>44704</v>
      </c>
      <c r="P2859" s="5">
        <v>45343</v>
      </c>
      <c r="Q2859" s="1">
        <v>5.742</v>
      </c>
      <c r="R2859" s="2">
        <v>0.08</v>
      </c>
      <c r="S2859" s="6">
        <v>5.7362487435999997E-2</v>
      </c>
      <c r="T2859" t="s">
        <v>111</v>
      </c>
      <c r="U2859" t="s">
        <v>11040</v>
      </c>
      <c r="V2859" t="s">
        <v>114</v>
      </c>
      <c r="W2859" t="s">
        <v>43</v>
      </c>
      <c r="X2859" t="s">
        <v>10988</v>
      </c>
      <c r="Y2859" t="s">
        <v>44</v>
      </c>
      <c r="Z2859" t="s">
        <v>44</v>
      </c>
      <c r="AA2859" t="s">
        <v>11035</v>
      </c>
      <c r="AB2859" t="s">
        <v>44</v>
      </c>
      <c r="AC2859" s="4">
        <v>5.8978146699999998</v>
      </c>
      <c r="AD2859" s="4">
        <v>5.7441473600000004</v>
      </c>
      <c r="AE2859" s="2">
        <v>5.9</v>
      </c>
      <c r="AF2859" s="4">
        <v>5.7441473600000004</v>
      </c>
      <c r="AG2859" s="2">
        <v>3.07</v>
      </c>
      <c r="AH2859" s="2">
        <v>3033130.17</v>
      </c>
      <c r="AI2859" s="2">
        <v>0.01</v>
      </c>
      <c r="AJ2859" s="5">
        <v>44673</v>
      </c>
      <c r="AK2859" t="s">
        <v>12587</v>
      </c>
      <c r="AL2859" s="2">
        <v>5.81</v>
      </c>
      <c r="AM2859" s="2">
        <v>5.74</v>
      </c>
      <c r="AN2859" s="2">
        <v>0.06</v>
      </c>
      <c r="AO2859" t="s">
        <v>11036</v>
      </c>
      <c r="AP2859" t="s">
        <v>11908</v>
      </c>
      <c r="AQ2859" t="s">
        <v>11907</v>
      </c>
    </row>
    <row r="2860" spans="1:43" x14ac:dyDescent="0.2">
      <c r="A2860" t="s">
        <v>12586</v>
      </c>
      <c r="B2860" t="s">
        <v>11160</v>
      </c>
      <c r="C2860" t="s">
        <v>11161</v>
      </c>
      <c r="D2860" t="s">
        <v>11162</v>
      </c>
      <c r="E2860" t="s">
        <v>11163</v>
      </c>
      <c r="F2860" t="s">
        <v>11162</v>
      </c>
      <c r="G2860" s="1">
        <v>1750</v>
      </c>
      <c r="H2860" s="2">
        <v>1260468.8700000001</v>
      </c>
      <c r="I2860" s="2">
        <v>1575000</v>
      </c>
      <c r="J2860" s="2">
        <v>0</v>
      </c>
      <c r="K2860" s="2">
        <v>43646.92</v>
      </c>
      <c r="L2860" s="2">
        <v>1618646.92</v>
      </c>
      <c r="M2860" s="3">
        <v>90000</v>
      </c>
      <c r="N2860" s="4">
        <v>3.6825999999999998E-3</v>
      </c>
      <c r="O2860" s="5" t="s">
        <v>44</v>
      </c>
      <c r="P2860" s="5" t="s">
        <v>44</v>
      </c>
      <c r="Q2860" s="1"/>
      <c r="R2860" s="2"/>
      <c r="S2860" s="6"/>
      <c r="T2860" t="s">
        <v>10902</v>
      </c>
      <c r="U2860" t="s">
        <v>10902</v>
      </c>
      <c r="V2860" t="s">
        <v>11164</v>
      </c>
      <c r="W2860" t="s">
        <v>43</v>
      </c>
      <c r="X2860" t="s">
        <v>44</v>
      </c>
      <c r="Y2860" t="s">
        <v>44</v>
      </c>
      <c r="Z2860" t="s">
        <v>44</v>
      </c>
      <c r="AA2860" t="s">
        <v>10979</v>
      </c>
      <c r="AB2860" t="s">
        <v>44</v>
      </c>
      <c r="AC2860" s="4"/>
      <c r="AD2860" s="4"/>
      <c r="AE2860" s="2">
        <v>0</v>
      </c>
      <c r="AF2860" s="4">
        <v>0</v>
      </c>
      <c r="AG2860" s="2">
        <v>1.64</v>
      </c>
      <c r="AH2860" s="2">
        <v>1618646.92</v>
      </c>
      <c r="AI2860" s="2">
        <v>0</v>
      </c>
      <c r="AJ2860" s="5">
        <v>44673</v>
      </c>
      <c r="AK2860" t="s">
        <v>12587</v>
      </c>
      <c r="AL2860" s="2">
        <v>0</v>
      </c>
      <c r="AM2860" s="2">
        <v>0</v>
      </c>
      <c r="AN2860" s="2">
        <v>0</v>
      </c>
      <c r="AO2860" t="s">
        <v>11165</v>
      </c>
      <c r="AP2860" t="s">
        <v>11166</v>
      </c>
      <c r="AQ2860" t="s">
        <v>11163</v>
      </c>
    </row>
    <row r="2861" spans="1:43" x14ac:dyDescent="0.2">
      <c r="A2861" t="s">
        <v>12586</v>
      </c>
      <c r="B2861" t="s">
        <v>11160</v>
      </c>
      <c r="C2861" t="s">
        <v>11161</v>
      </c>
      <c r="D2861" t="s">
        <v>11654</v>
      </c>
      <c r="E2861" t="s">
        <v>11655</v>
      </c>
      <c r="F2861" t="s">
        <v>11654</v>
      </c>
      <c r="G2861" s="1">
        <v>15590</v>
      </c>
      <c r="H2861" s="2">
        <v>1297442.8400000001</v>
      </c>
      <c r="I2861" s="2">
        <v>1494925.1</v>
      </c>
      <c r="J2861" s="2">
        <v>0</v>
      </c>
      <c r="K2861" s="2">
        <v>0</v>
      </c>
      <c r="L2861" s="2">
        <v>1494925.1</v>
      </c>
      <c r="M2861" s="3">
        <v>9589</v>
      </c>
      <c r="N2861" s="4">
        <v>3.4011200000000001E-3</v>
      </c>
      <c r="O2861" s="5" t="s">
        <v>44</v>
      </c>
      <c r="P2861" s="5" t="s">
        <v>44</v>
      </c>
      <c r="Q2861" s="1"/>
      <c r="R2861" s="2"/>
      <c r="S2861" s="6"/>
      <c r="T2861" t="s">
        <v>10902</v>
      </c>
      <c r="U2861" t="s">
        <v>10902</v>
      </c>
      <c r="V2861" t="s">
        <v>11164</v>
      </c>
      <c r="W2861" t="s">
        <v>43</v>
      </c>
      <c r="X2861" t="s">
        <v>44</v>
      </c>
      <c r="Y2861" t="s">
        <v>44</v>
      </c>
      <c r="Z2861" t="s">
        <v>44</v>
      </c>
      <c r="AA2861" t="s">
        <v>10979</v>
      </c>
      <c r="AB2861" t="s">
        <v>44</v>
      </c>
      <c r="AC2861" s="4"/>
      <c r="AD2861" s="4"/>
      <c r="AE2861" s="2">
        <v>0</v>
      </c>
      <c r="AF2861" s="4">
        <v>0</v>
      </c>
      <c r="AG2861" s="2">
        <v>1.51</v>
      </c>
      <c r="AH2861" s="2">
        <v>1494925.1</v>
      </c>
      <c r="AI2861" s="2">
        <v>0</v>
      </c>
      <c r="AJ2861" s="5">
        <v>44673</v>
      </c>
      <c r="AK2861" t="s">
        <v>12587</v>
      </c>
      <c r="AL2861" s="2">
        <v>0</v>
      </c>
      <c r="AM2861" s="2">
        <v>0</v>
      </c>
      <c r="AN2861" s="2">
        <v>0</v>
      </c>
      <c r="AO2861" t="s">
        <v>11054</v>
      </c>
      <c r="AP2861" t="s">
        <v>11656</v>
      </c>
      <c r="AQ2861" t="s">
        <v>11655</v>
      </c>
    </row>
    <row r="2862" spans="1:43" x14ac:dyDescent="0.2">
      <c r="A2862" t="s">
        <v>12586</v>
      </c>
      <c r="B2862" t="s">
        <v>11160</v>
      </c>
      <c r="C2862" t="s">
        <v>11161</v>
      </c>
      <c r="D2862" t="s">
        <v>11176</v>
      </c>
      <c r="E2862" t="s">
        <v>11177</v>
      </c>
      <c r="F2862" t="s">
        <v>11178</v>
      </c>
      <c r="G2862" s="1">
        <v>15180</v>
      </c>
      <c r="H2862" s="2">
        <v>1270931.8899999999</v>
      </c>
      <c r="I2862" s="2">
        <v>1402480.2</v>
      </c>
      <c r="J2862" s="2">
        <v>0</v>
      </c>
      <c r="K2862" s="2">
        <v>0</v>
      </c>
      <c r="L2862" s="2">
        <v>1402480.2</v>
      </c>
      <c r="M2862" s="3">
        <v>9239</v>
      </c>
      <c r="N2862" s="4">
        <v>3.1907900000000002E-3</v>
      </c>
      <c r="O2862" s="5" t="s">
        <v>44</v>
      </c>
      <c r="P2862" s="5" t="s">
        <v>44</v>
      </c>
      <c r="Q2862" s="1"/>
      <c r="R2862" s="2"/>
      <c r="S2862" s="6"/>
      <c r="T2862" t="s">
        <v>10902</v>
      </c>
      <c r="U2862" t="s">
        <v>10902</v>
      </c>
      <c r="V2862" t="s">
        <v>11164</v>
      </c>
      <c r="W2862" t="s">
        <v>43</v>
      </c>
      <c r="X2862" t="s">
        <v>44</v>
      </c>
      <c r="Y2862" t="s">
        <v>44</v>
      </c>
      <c r="Z2862" t="s">
        <v>44</v>
      </c>
      <c r="AA2862" t="s">
        <v>10979</v>
      </c>
      <c r="AB2862" t="s">
        <v>44</v>
      </c>
      <c r="AC2862" s="4"/>
      <c r="AD2862" s="4"/>
      <c r="AE2862" s="2">
        <v>0</v>
      </c>
      <c r="AF2862" s="4">
        <v>0</v>
      </c>
      <c r="AG2862" s="2">
        <v>1.42</v>
      </c>
      <c r="AH2862" s="2">
        <v>1402480.2</v>
      </c>
      <c r="AI2862" s="2">
        <v>0</v>
      </c>
      <c r="AJ2862" s="5">
        <v>44673</v>
      </c>
      <c r="AK2862" t="s">
        <v>12587</v>
      </c>
      <c r="AL2862" s="2">
        <v>0</v>
      </c>
      <c r="AM2862" s="2">
        <v>0</v>
      </c>
      <c r="AN2862" s="2">
        <v>0</v>
      </c>
      <c r="AO2862" t="s">
        <v>11179</v>
      </c>
      <c r="AP2862" t="s">
        <v>11180</v>
      </c>
      <c r="AQ2862" t="s">
        <v>11177</v>
      </c>
    </row>
    <row r="2863" spans="1:43" x14ac:dyDescent="0.2">
      <c r="A2863" t="s">
        <v>12591</v>
      </c>
      <c r="B2863" t="s">
        <v>45</v>
      </c>
      <c r="C2863" t="s">
        <v>11000</v>
      </c>
      <c r="D2863" t="s">
        <v>11273</v>
      </c>
      <c r="E2863" t="s">
        <v>11274</v>
      </c>
      <c r="F2863" t="s">
        <v>11273</v>
      </c>
      <c r="G2863" s="1">
        <v>889.17</v>
      </c>
      <c r="H2863" s="2">
        <v>889.17</v>
      </c>
      <c r="I2863" s="2">
        <v>889.17</v>
      </c>
      <c r="J2863" s="2">
        <v>2.94</v>
      </c>
      <c r="K2863" s="2">
        <v>0</v>
      </c>
      <c r="L2863" s="2">
        <v>892.11</v>
      </c>
      <c r="M2863" s="3"/>
      <c r="N2863" s="4">
        <v>2.03E-6</v>
      </c>
      <c r="O2863" s="5">
        <v>44378</v>
      </c>
      <c r="P2863" s="5">
        <v>55153</v>
      </c>
      <c r="Q2863" s="1">
        <v>0</v>
      </c>
      <c r="R2863" s="2"/>
      <c r="S2863" s="6"/>
      <c r="T2863" t="s">
        <v>111</v>
      </c>
      <c r="U2863" t="s">
        <v>11003</v>
      </c>
      <c r="V2863" t="s">
        <v>46</v>
      </c>
      <c r="W2863" t="s">
        <v>43</v>
      </c>
      <c r="X2863" t="s">
        <v>44</v>
      </c>
      <c r="Y2863" t="s">
        <v>44</v>
      </c>
      <c r="Z2863" t="s">
        <v>44</v>
      </c>
      <c r="AA2863" t="s">
        <v>44</v>
      </c>
      <c r="AB2863" t="s">
        <v>44</v>
      </c>
      <c r="AC2863" s="4"/>
      <c r="AD2863" s="4"/>
      <c r="AE2863" s="2">
        <v>0</v>
      </c>
      <c r="AF2863" s="4">
        <v>0</v>
      </c>
      <c r="AG2863" s="2">
        <v>0</v>
      </c>
      <c r="AH2863" s="2">
        <v>892.11</v>
      </c>
      <c r="AI2863" s="2">
        <v>0</v>
      </c>
      <c r="AJ2863" s="5">
        <v>44673</v>
      </c>
      <c r="AK2863" t="s">
        <v>12592</v>
      </c>
      <c r="AL2863" s="2">
        <v>0</v>
      </c>
      <c r="AM2863" s="2">
        <v>0</v>
      </c>
      <c r="AN2863" s="2">
        <v>0</v>
      </c>
      <c r="AO2863" t="s">
        <v>44</v>
      </c>
      <c r="AP2863" t="s">
        <v>11275</v>
      </c>
      <c r="AQ2863" t="s">
        <v>11274</v>
      </c>
    </row>
    <row r="2864" spans="1:43" x14ac:dyDescent="0.2">
      <c r="A2864" t="s">
        <v>12591</v>
      </c>
      <c r="B2864" t="s">
        <v>45</v>
      </c>
      <c r="C2864" t="s">
        <v>11000</v>
      </c>
      <c r="D2864" t="s">
        <v>11001</v>
      </c>
      <c r="E2864" t="s">
        <v>11002</v>
      </c>
      <c r="F2864" t="s">
        <v>11001</v>
      </c>
      <c r="G2864" s="1">
        <v>7560000</v>
      </c>
      <c r="H2864" s="2">
        <v>7560000</v>
      </c>
      <c r="I2864" s="2">
        <v>7560000</v>
      </c>
      <c r="J2864" s="2">
        <v>20173.45</v>
      </c>
      <c r="K2864" s="2">
        <v>0</v>
      </c>
      <c r="L2864" s="2">
        <v>7580173.4500000002</v>
      </c>
      <c r="M2864" s="3"/>
      <c r="N2864" s="4">
        <v>1.7245710000000001E-2</v>
      </c>
      <c r="O2864" s="5">
        <v>40756</v>
      </c>
      <c r="P2864" s="5">
        <v>73020</v>
      </c>
      <c r="Q2864" s="1">
        <v>0</v>
      </c>
      <c r="R2864" s="2"/>
      <c r="S2864" s="6"/>
      <c r="T2864" t="s">
        <v>111</v>
      </c>
      <c r="U2864" t="s">
        <v>11003</v>
      </c>
      <c r="V2864" t="s">
        <v>46</v>
      </c>
      <c r="W2864" t="s">
        <v>43</v>
      </c>
      <c r="X2864" t="s">
        <v>44</v>
      </c>
      <c r="Y2864" t="s">
        <v>44</v>
      </c>
      <c r="Z2864" t="s">
        <v>44</v>
      </c>
      <c r="AA2864" t="s">
        <v>44</v>
      </c>
      <c r="AB2864" t="s">
        <v>44</v>
      </c>
      <c r="AC2864" s="4"/>
      <c r="AD2864" s="4"/>
      <c r="AE2864" s="2">
        <v>0</v>
      </c>
      <c r="AF2864" s="4">
        <v>0</v>
      </c>
      <c r="AG2864" s="2">
        <v>3.02</v>
      </c>
      <c r="AH2864" s="2">
        <v>7580173.4500000002</v>
      </c>
      <c r="AI2864" s="2">
        <v>0.02</v>
      </c>
      <c r="AJ2864" s="5">
        <v>44673</v>
      </c>
      <c r="AK2864" t="s">
        <v>12592</v>
      </c>
      <c r="AL2864" s="2">
        <v>0</v>
      </c>
      <c r="AM2864" s="2">
        <v>0</v>
      </c>
      <c r="AN2864" s="2">
        <v>0</v>
      </c>
      <c r="AO2864" t="s">
        <v>44</v>
      </c>
      <c r="AP2864" t="s">
        <v>11004</v>
      </c>
      <c r="AQ2864" t="s">
        <v>11002</v>
      </c>
    </row>
    <row r="2865" spans="1:43" x14ac:dyDescent="0.2">
      <c r="A2865" t="s">
        <v>12591</v>
      </c>
      <c r="B2865" t="s">
        <v>45</v>
      </c>
      <c r="C2865" t="s">
        <v>47</v>
      </c>
      <c r="D2865" t="s">
        <v>51</v>
      </c>
      <c r="E2865" t="s">
        <v>52</v>
      </c>
      <c r="F2865" t="s">
        <v>51</v>
      </c>
      <c r="G2865" s="1">
        <v>28775775.120000001</v>
      </c>
      <c r="H2865" s="2">
        <v>28778577.800000001</v>
      </c>
      <c r="I2865" s="2">
        <v>28775775.120000001</v>
      </c>
      <c r="J2865" s="2">
        <v>0</v>
      </c>
      <c r="K2865" s="2">
        <v>0</v>
      </c>
      <c r="L2865" s="2">
        <v>28775775.120000001</v>
      </c>
      <c r="M2865" s="3"/>
      <c r="N2865" s="4">
        <v>6.5467990000000004E-2</v>
      </c>
      <c r="O2865" s="5" t="s">
        <v>44</v>
      </c>
      <c r="P2865" s="5" t="s">
        <v>44</v>
      </c>
      <c r="Q2865" s="1"/>
      <c r="R2865" s="2">
        <v>0.08</v>
      </c>
      <c r="S2865" s="6"/>
      <c r="T2865" t="s">
        <v>45</v>
      </c>
      <c r="U2865" t="s">
        <v>53</v>
      </c>
      <c r="V2865" t="s">
        <v>44</v>
      </c>
      <c r="W2865" t="s">
        <v>43</v>
      </c>
      <c r="X2865" t="s">
        <v>44</v>
      </c>
      <c r="Y2865" t="s">
        <v>44</v>
      </c>
      <c r="Z2865" t="s">
        <v>44</v>
      </c>
      <c r="AA2865" t="s">
        <v>44</v>
      </c>
      <c r="AB2865" t="s">
        <v>44</v>
      </c>
      <c r="AC2865" s="4">
        <v>5.1163389600000002</v>
      </c>
      <c r="AD2865" s="4">
        <v>5.0001424999999999</v>
      </c>
      <c r="AE2865" s="2">
        <v>5.12</v>
      </c>
      <c r="AF2865" s="4">
        <v>5.0001424999999999</v>
      </c>
      <c r="AG2865" s="2">
        <v>11.47</v>
      </c>
      <c r="AH2865" s="2">
        <v>28775775.120000001</v>
      </c>
      <c r="AI2865" s="2">
        <v>7.0000000000000007E-2</v>
      </c>
      <c r="AJ2865" s="5">
        <v>44673</v>
      </c>
      <c r="AK2865" t="s">
        <v>12592</v>
      </c>
      <c r="AL2865" s="2">
        <v>5.05</v>
      </c>
      <c r="AM2865" s="2">
        <v>0</v>
      </c>
      <c r="AN2865" s="2">
        <v>0</v>
      </c>
      <c r="AO2865" t="s">
        <v>44</v>
      </c>
      <c r="AP2865" t="s">
        <v>44</v>
      </c>
      <c r="AQ2865" t="s">
        <v>43</v>
      </c>
    </row>
    <row r="2866" spans="1:43" x14ac:dyDescent="0.2">
      <c r="A2866" t="s">
        <v>12591</v>
      </c>
      <c r="B2866" t="s">
        <v>11037</v>
      </c>
      <c r="C2866" t="s">
        <v>11276</v>
      </c>
      <c r="D2866" t="s">
        <v>6316</v>
      </c>
      <c r="E2866" t="s">
        <v>4585</v>
      </c>
      <c r="F2866" t="s">
        <v>6316</v>
      </c>
      <c r="G2866" s="1">
        <v>25000</v>
      </c>
      <c r="H2866" s="2">
        <v>4047361.88</v>
      </c>
      <c r="I2866" s="2">
        <v>4047361.88</v>
      </c>
      <c r="J2866" s="2">
        <v>0</v>
      </c>
      <c r="K2866" s="2">
        <v>0</v>
      </c>
      <c r="L2866" s="2">
        <v>4047361.88</v>
      </c>
      <c r="M2866" s="3">
        <v>24252</v>
      </c>
      <c r="N2866" s="4">
        <v>9.2081799999999998E-3</v>
      </c>
      <c r="O2866" s="5" t="s">
        <v>44</v>
      </c>
      <c r="P2866" s="5" t="s">
        <v>44</v>
      </c>
      <c r="Q2866" s="1"/>
      <c r="R2866" s="2"/>
      <c r="S2866" s="6"/>
      <c r="T2866" t="s">
        <v>10902</v>
      </c>
      <c r="U2866" t="s">
        <v>10902</v>
      </c>
      <c r="V2866" t="s">
        <v>10902</v>
      </c>
      <c r="W2866" t="s">
        <v>43</v>
      </c>
      <c r="X2866" t="s">
        <v>11279</v>
      </c>
      <c r="Y2866" t="s">
        <v>11280</v>
      </c>
      <c r="Z2866" t="s">
        <v>11276</v>
      </c>
      <c r="AA2866" t="s">
        <v>44</v>
      </c>
      <c r="AB2866" t="s">
        <v>44</v>
      </c>
      <c r="AC2866" s="4"/>
      <c r="AD2866" s="4"/>
      <c r="AE2866" s="2">
        <v>0</v>
      </c>
      <c r="AF2866" s="4">
        <v>0</v>
      </c>
      <c r="AG2866" s="2">
        <v>1.61</v>
      </c>
      <c r="AH2866" s="2">
        <v>4047361.88</v>
      </c>
      <c r="AI2866" s="2">
        <v>0.01</v>
      </c>
      <c r="AJ2866" s="5">
        <v>44673</v>
      </c>
      <c r="AK2866" t="s">
        <v>12592</v>
      </c>
      <c r="AL2866" s="2">
        <v>0</v>
      </c>
      <c r="AM2866" s="2">
        <v>0</v>
      </c>
      <c r="AN2866" s="2">
        <v>0</v>
      </c>
      <c r="AO2866" t="s">
        <v>44</v>
      </c>
      <c r="AP2866" t="s">
        <v>11281</v>
      </c>
      <c r="AQ2866" t="s">
        <v>4585</v>
      </c>
    </row>
    <row r="2867" spans="1:43" x14ac:dyDescent="0.2">
      <c r="A2867" t="s">
        <v>12591</v>
      </c>
      <c r="B2867" t="s">
        <v>11037</v>
      </c>
      <c r="C2867" t="s">
        <v>11276</v>
      </c>
      <c r="D2867" t="s">
        <v>6112</v>
      </c>
      <c r="E2867" t="s">
        <v>4527</v>
      </c>
      <c r="F2867" t="s">
        <v>6112</v>
      </c>
      <c r="G2867" s="1">
        <v>114529</v>
      </c>
      <c r="H2867" s="2">
        <v>14852885.34</v>
      </c>
      <c r="I2867" s="2">
        <v>14852885.34</v>
      </c>
      <c r="J2867" s="2">
        <v>0</v>
      </c>
      <c r="K2867" s="2">
        <v>0</v>
      </c>
      <c r="L2867" s="2">
        <v>14852885.34</v>
      </c>
      <c r="M2867" s="3">
        <v>21968</v>
      </c>
      <c r="N2867" s="4">
        <v>3.3791910000000001E-2</v>
      </c>
      <c r="O2867" s="5" t="s">
        <v>44</v>
      </c>
      <c r="P2867" s="5" t="s">
        <v>44</v>
      </c>
      <c r="Q2867" s="1"/>
      <c r="R2867" s="2"/>
      <c r="S2867" s="6"/>
      <c r="T2867" t="s">
        <v>10902</v>
      </c>
      <c r="U2867" t="s">
        <v>10902</v>
      </c>
      <c r="V2867" t="s">
        <v>10902</v>
      </c>
      <c r="W2867" t="s">
        <v>43</v>
      </c>
      <c r="X2867" t="s">
        <v>11279</v>
      </c>
      <c r="Y2867" t="s">
        <v>11280</v>
      </c>
      <c r="Z2867" t="s">
        <v>11276</v>
      </c>
      <c r="AA2867" t="s">
        <v>44</v>
      </c>
      <c r="AB2867" t="s">
        <v>44</v>
      </c>
      <c r="AC2867" s="4"/>
      <c r="AD2867" s="4"/>
      <c r="AE2867" s="2">
        <v>0</v>
      </c>
      <c r="AF2867" s="4">
        <v>0</v>
      </c>
      <c r="AG2867" s="2">
        <v>5.92</v>
      </c>
      <c r="AH2867" s="2">
        <v>14852885.34</v>
      </c>
      <c r="AI2867" s="2">
        <v>0.03</v>
      </c>
      <c r="AJ2867" s="5">
        <v>44673</v>
      </c>
      <c r="AK2867" t="s">
        <v>12592</v>
      </c>
      <c r="AL2867" s="2">
        <v>0</v>
      </c>
      <c r="AM2867" s="2">
        <v>0</v>
      </c>
      <c r="AN2867" s="2">
        <v>0</v>
      </c>
      <c r="AO2867" t="s">
        <v>44</v>
      </c>
      <c r="AP2867" t="s">
        <v>11666</v>
      </c>
      <c r="AQ2867" t="s">
        <v>4527</v>
      </c>
    </row>
    <row r="2868" spans="1:43" x14ac:dyDescent="0.2">
      <c r="A2868" t="s">
        <v>12591</v>
      </c>
      <c r="B2868" t="s">
        <v>11037</v>
      </c>
      <c r="C2868" t="s">
        <v>11276</v>
      </c>
      <c r="D2868" t="s">
        <v>6278</v>
      </c>
      <c r="E2868" t="s">
        <v>4640</v>
      </c>
      <c r="F2868" t="s">
        <v>6278</v>
      </c>
      <c r="G2868" s="1">
        <v>26000</v>
      </c>
      <c r="H2868" s="2">
        <v>14629899.029999999</v>
      </c>
      <c r="I2868" s="2">
        <v>14629899.029999999</v>
      </c>
      <c r="J2868" s="2">
        <v>0</v>
      </c>
      <c r="K2868" s="2">
        <v>0</v>
      </c>
      <c r="L2868" s="2">
        <v>14629899.029999999</v>
      </c>
      <c r="M2868" s="3">
        <v>50670</v>
      </c>
      <c r="N2868" s="4">
        <v>3.3284599999999998E-2</v>
      </c>
      <c r="O2868" s="5" t="s">
        <v>44</v>
      </c>
      <c r="P2868" s="5" t="s">
        <v>44</v>
      </c>
      <c r="Q2868" s="1"/>
      <c r="R2868" s="2"/>
      <c r="S2868" s="6"/>
      <c r="T2868" t="s">
        <v>10902</v>
      </c>
      <c r="U2868" t="s">
        <v>10902</v>
      </c>
      <c r="V2868" t="s">
        <v>10902</v>
      </c>
      <c r="W2868" t="s">
        <v>43</v>
      </c>
      <c r="X2868" t="s">
        <v>11286</v>
      </c>
      <c r="Y2868" t="s">
        <v>11280</v>
      </c>
      <c r="Z2868" t="s">
        <v>11276</v>
      </c>
      <c r="AA2868" t="s">
        <v>44</v>
      </c>
      <c r="AB2868" t="s">
        <v>44</v>
      </c>
      <c r="AC2868" s="4"/>
      <c r="AD2868" s="4"/>
      <c r="AE2868" s="2">
        <v>0</v>
      </c>
      <c r="AF2868" s="4">
        <v>0</v>
      </c>
      <c r="AG2868" s="2">
        <v>5.83</v>
      </c>
      <c r="AH2868" s="2">
        <v>14629899.029999999</v>
      </c>
      <c r="AI2868" s="2">
        <v>0.03</v>
      </c>
      <c r="AJ2868" s="5">
        <v>44673</v>
      </c>
      <c r="AK2868" t="s">
        <v>12592</v>
      </c>
      <c r="AL2868" s="2">
        <v>0</v>
      </c>
      <c r="AM2868" s="2">
        <v>0</v>
      </c>
      <c r="AN2868" s="2">
        <v>0</v>
      </c>
      <c r="AO2868" t="s">
        <v>44</v>
      </c>
      <c r="AP2868" t="s">
        <v>11287</v>
      </c>
      <c r="AQ2868" t="s">
        <v>4640</v>
      </c>
    </row>
    <row r="2869" spans="1:43" x14ac:dyDescent="0.2">
      <c r="A2869" t="s">
        <v>12591</v>
      </c>
      <c r="B2869" t="s">
        <v>11037</v>
      </c>
      <c r="C2869" t="s">
        <v>11296</v>
      </c>
      <c r="D2869" t="s">
        <v>12593</v>
      </c>
      <c r="E2869" t="s">
        <v>5417</v>
      </c>
      <c r="F2869" t="s">
        <v>12594</v>
      </c>
      <c r="G2869" s="1">
        <v>2000000</v>
      </c>
      <c r="H2869" s="2">
        <v>6828608.9900000002</v>
      </c>
      <c r="I2869" s="2">
        <v>6828608.9900000002</v>
      </c>
      <c r="J2869" s="2">
        <v>0</v>
      </c>
      <c r="K2869" s="2">
        <v>0</v>
      </c>
      <c r="L2869" s="2">
        <v>6828608.9900000002</v>
      </c>
      <c r="M2869" s="3">
        <v>490</v>
      </c>
      <c r="N2869" s="4">
        <v>1.5535820000000001E-2</v>
      </c>
      <c r="O2869" s="5" t="s">
        <v>44</v>
      </c>
      <c r="P2869" s="5" t="s">
        <v>44</v>
      </c>
      <c r="Q2869" s="1"/>
      <c r="R2869" s="2"/>
      <c r="S2869" s="6"/>
      <c r="T2869" t="s">
        <v>10902</v>
      </c>
      <c r="U2869" t="s">
        <v>10902</v>
      </c>
      <c r="V2869" t="s">
        <v>10902</v>
      </c>
      <c r="W2869" t="s">
        <v>43</v>
      </c>
      <c r="X2869" t="s">
        <v>11300</v>
      </c>
      <c r="Y2869" t="s">
        <v>11299</v>
      </c>
      <c r="Z2869" t="s">
        <v>11296</v>
      </c>
      <c r="AA2869" t="s">
        <v>44</v>
      </c>
      <c r="AB2869" t="s">
        <v>44</v>
      </c>
      <c r="AC2869" s="4"/>
      <c r="AD2869" s="4"/>
      <c r="AE2869" s="2">
        <v>0</v>
      </c>
      <c r="AF2869" s="4">
        <v>0</v>
      </c>
      <c r="AG2869" s="2">
        <v>2.72</v>
      </c>
      <c r="AH2869" s="2">
        <v>6828608.9900000002</v>
      </c>
      <c r="AI2869" s="2">
        <v>0.02</v>
      </c>
      <c r="AJ2869" s="5">
        <v>44673</v>
      </c>
      <c r="AK2869" t="s">
        <v>12592</v>
      </c>
      <c r="AL2869" s="2">
        <v>0</v>
      </c>
      <c r="AM2869" s="2">
        <v>0</v>
      </c>
      <c r="AN2869" s="2">
        <v>0</v>
      </c>
      <c r="AO2869" t="s">
        <v>44</v>
      </c>
      <c r="AP2869" t="s">
        <v>12595</v>
      </c>
      <c r="AQ2869" t="s">
        <v>5417</v>
      </c>
    </row>
    <row r="2870" spans="1:43" x14ac:dyDescent="0.2">
      <c r="A2870" t="s">
        <v>12591</v>
      </c>
      <c r="B2870" t="s">
        <v>11037</v>
      </c>
      <c r="C2870" t="s">
        <v>11296</v>
      </c>
      <c r="D2870" t="s">
        <v>6632</v>
      </c>
      <c r="E2870" t="s">
        <v>5444</v>
      </c>
      <c r="F2870" t="s">
        <v>6632</v>
      </c>
      <c r="G2870" s="1">
        <v>100000</v>
      </c>
      <c r="H2870" s="2">
        <v>13634133.539999999</v>
      </c>
      <c r="I2870" s="2">
        <v>13634133.539999999</v>
      </c>
      <c r="J2870" s="2">
        <v>0</v>
      </c>
      <c r="K2870" s="2">
        <v>0</v>
      </c>
      <c r="L2870" s="2">
        <v>13634133.539999999</v>
      </c>
      <c r="M2870" s="3">
        <v>14535</v>
      </c>
      <c r="N2870" s="4">
        <v>3.1019120000000001E-2</v>
      </c>
      <c r="O2870" s="5" t="s">
        <v>44</v>
      </c>
      <c r="P2870" s="5" t="s">
        <v>44</v>
      </c>
      <c r="Q2870" s="1"/>
      <c r="R2870" s="2"/>
      <c r="S2870" s="6"/>
      <c r="T2870" t="s">
        <v>10902</v>
      </c>
      <c r="U2870" t="s">
        <v>10902</v>
      </c>
      <c r="V2870" t="s">
        <v>10902</v>
      </c>
      <c r="W2870" t="s">
        <v>43</v>
      </c>
      <c r="X2870" t="s">
        <v>11300</v>
      </c>
      <c r="Y2870" t="s">
        <v>11299</v>
      </c>
      <c r="Z2870" t="s">
        <v>11296</v>
      </c>
      <c r="AA2870" t="s">
        <v>44</v>
      </c>
      <c r="AB2870" t="s">
        <v>44</v>
      </c>
      <c r="AC2870" s="4"/>
      <c r="AD2870" s="4"/>
      <c r="AE2870" s="2">
        <v>0</v>
      </c>
      <c r="AF2870" s="4">
        <v>0</v>
      </c>
      <c r="AG2870" s="2">
        <v>5.43</v>
      </c>
      <c r="AH2870" s="2">
        <v>13634133.539999999</v>
      </c>
      <c r="AI2870" s="2">
        <v>0.03</v>
      </c>
      <c r="AJ2870" s="5">
        <v>44673</v>
      </c>
      <c r="AK2870" t="s">
        <v>12592</v>
      </c>
      <c r="AL2870" s="2">
        <v>0</v>
      </c>
      <c r="AM2870" s="2">
        <v>0</v>
      </c>
      <c r="AN2870" s="2">
        <v>0</v>
      </c>
      <c r="AO2870" t="s">
        <v>44</v>
      </c>
      <c r="AP2870" t="s">
        <v>11758</v>
      </c>
      <c r="AQ2870" t="s">
        <v>5444</v>
      </c>
    </row>
    <row r="2871" spans="1:43" x14ac:dyDescent="0.2">
      <c r="A2871" t="s">
        <v>12591</v>
      </c>
      <c r="B2871" t="s">
        <v>11037</v>
      </c>
      <c r="C2871" t="s">
        <v>11296</v>
      </c>
      <c r="D2871" t="s">
        <v>6200</v>
      </c>
      <c r="E2871" t="s">
        <v>5051</v>
      </c>
      <c r="F2871" t="s">
        <v>6200</v>
      </c>
      <c r="G2871" s="1">
        <v>286000</v>
      </c>
      <c r="H2871" s="2">
        <v>22292224.879999999</v>
      </c>
      <c r="I2871" s="2">
        <v>22292224.879999999</v>
      </c>
      <c r="J2871" s="2">
        <v>0</v>
      </c>
      <c r="K2871" s="2">
        <v>0</v>
      </c>
      <c r="L2871" s="2">
        <v>22292224.879999999</v>
      </c>
      <c r="M2871" s="3">
        <v>6860</v>
      </c>
      <c r="N2871" s="4">
        <v>5.0717209999999999E-2</v>
      </c>
      <c r="O2871" s="5" t="s">
        <v>44</v>
      </c>
      <c r="P2871" s="5" t="s">
        <v>44</v>
      </c>
      <c r="Q2871" s="1"/>
      <c r="R2871" s="2"/>
      <c r="S2871" s="6"/>
      <c r="T2871" t="s">
        <v>10902</v>
      </c>
      <c r="U2871" t="s">
        <v>10902</v>
      </c>
      <c r="V2871" t="s">
        <v>10902</v>
      </c>
      <c r="W2871" t="s">
        <v>43</v>
      </c>
      <c r="X2871" t="s">
        <v>11300</v>
      </c>
      <c r="Y2871" t="s">
        <v>11299</v>
      </c>
      <c r="Z2871" t="s">
        <v>11296</v>
      </c>
      <c r="AA2871" t="s">
        <v>44</v>
      </c>
      <c r="AB2871" t="s">
        <v>44</v>
      </c>
      <c r="AC2871" s="4"/>
      <c r="AD2871" s="4"/>
      <c r="AE2871" s="2">
        <v>0</v>
      </c>
      <c r="AF2871" s="4">
        <v>0</v>
      </c>
      <c r="AG2871" s="2">
        <v>8.8800000000000008</v>
      </c>
      <c r="AH2871" s="2">
        <v>22292224.879999999</v>
      </c>
      <c r="AI2871" s="2">
        <v>0.05</v>
      </c>
      <c r="AJ2871" s="5">
        <v>44673</v>
      </c>
      <c r="AK2871" t="s">
        <v>12592</v>
      </c>
      <c r="AL2871" s="2">
        <v>0</v>
      </c>
      <c r="AM2871" s="2">
        <v>0</v>
      </c>
      <c r="AN2871" s="2">
        <v>0</v>
      </c>
      <c r="AO2871" t="s">
        <v>44</v>
      </c>
      <c r="AP2871" t="s">
        <v>11301</v>
      </c>
      <c r="AQ2871" t="s">
        <v>5051</v>
      </c>
    </row>
    <row r="2872" spans="1:43" x14ac:dyDescent="0.2">
      <c r="A2872" t="s">
        <v>12591</v>
      </c>
      <c r="B2872" t="s">
        <v>11037</v>
      </c>
      <c r="C2872" t="s">
        <v>11305</v>
      </c>
      <c r="D2872" t="s">
        <v>11694</v>
      </c>
      <c r="E2872" t="s">
        <v>6518</v>
      </c>
      <c r="F2872" t="s">
        <v>11694</v>
      </c>
      <c r="G2872" s="1">
        <v>139352</v>
      </c>
      <c r="H2872" s="2">
        <v>13081675.859999999</v>
      </c>
      <c r="I2872" s="2">
        <v>13081675.859999999</v>
      </c>
      <c r="J2872" s="2">
        <v>0</v>
      </c>
      <c r="K2872" s="2">
        <v>0</v>
      </c>
      <c r="L2872" s="2">
        <v>13081675.859999999</v>
      </c>
      <c r="M2872" s="3">
        <v>12866</v>
      </c>
      <c r="N2872" s="4">
        <v>2.9762219999999999E-2</v>
      </c>
      <c r="O2872" s="5" t="s">
        <v>44</v>
      </c>
      <c r="P2872" s="5" t="s">
        <v>44</v>
      </c>
      <c r="Q2872" s="1"/>
      <c r="R2872" s="2"/>
      <c r="S2872" s="6"/>
      <c r="T2872" t="s">
        <v>10902</v>
      </c>
      <c r="U2872" t="s">
        <v>10902</v>
      </c>
      <c r="V2872" t="s">
        <v>10902</v>
      </c>
      <c r="W2872" t="s">
        <v>43</v>
      </c>
      <c r="X2872" t="s">
        <v>44</v>
      </c>
      <c r="Y2872" t="s">
        <v>11695</v>
      </c>
      <c r="Z2872" t="s">
        <v>11305</v>
      </c>
      <c r="AA2872" t="s">
        <v>44</v>
      </c>
      <c r="AB2872" t="s">
        <v>44</v>
      </c>
      <c r="AC2872" s="4"/>
      <c r="AD2872" s="4"/>
      <c r="AE2872" s="2">
        <v>0</v>
      </c>
      <c r="AF2872" s="4">
        <v>0</v>
      </c>
      <c r="AG2872" s="2">
        <v>5.21</v>
      </c>
      <c r="AH2872" s="2">
        <v>13081675.859999999</v>
      </c>
      <c r="AI2872" s="2">
        <v>0.03</v>
      </c>
      <c r="AJ2872" s="5">
        <v>44673</v>
      </c>
      <c r="AK2872" t="s">
        <v>12592</v>
      </c>
      <c r="AL2872" s="2">
        <v>0</v>
      </c>
      <c r="AM2872" s="2">
        <v>0</v>
      </c>
      <c r="AN2872" s="2">
        <v>0</v>
      </c>
      <c r="AO2872" t="s">
        <v>44</v>
      </c>
      <c r="AP2872" t="s">
        <v>11696</v>
      </c>
      <c r="AQ2872" t="s">
        <v>6518</v>
      </c>
    </row>
    <row r="2873" spans="1:43" x14ac:dyDescent="0.2">
      <c r="A2873" t="s">
        <v>12591</v>
      </c>
      <c r="B2873" t="s">
        <v>11037</v>
      </c>
      <c r="C2873" t="s">
        <v>11195</v>
      </c>
      <c r="D2873" t="s">
        <v>6768</v>
      </c>
      <c r="E2873" t="s">
        <v>5741</v>
      </c>
      <c r="F2873" t="s">
        <v>6768</v>
      </c>
      <c r="G2873" s="1">
        <v>3400000</v>
      </c>
      <c r="H2873" s="2">
        <v>14656685.880000001</v>
      </c>
      <c r="I2873" s="2">
        <v>14656685.880000001</v>
      </c>
      <c r="J2873" s="2">
        <v>0</v>
      </c>
      <c r="K2873" s="2">
        <v>0</v>
      </c>
      <c r="L2873" s="2">
        <v>14656685.880000001</v>
      </c>
      <c r="M2873" s="3">
        <v>446</v>
      </c>
      <c r="N2873" s="4">
        <v>3.334554E-2</v>
      </c>
      <c r="O2873" s="5" t="s">
        <v>44</v>
      </c>
      <c r="P2873" s="5" t="s">
        <v>44</v>
      </c>
      <c r="Q2873" s="1"/>
      <c r="R2873" s="2"/>
      <c r="S2873" s="6"/>
      <c r="T2873" t="s">
        <v>10902</v>
      </c>
      <c r="U2873" t="s">
        <v>10902</v>
      </c>
      <c r="V2873" t="s">
        <v>10902</v>
      </c>
      <c r="W2873" t="s">
        <v>43</v>
      </c>
      <c r="X2873" t="s">
        <v>11327</v>
      </c>
      <c r="Y2873" t="s">
        <v>11198</v>
      </c>
      <c r="Z2873" t="s">
        <v>11195</v>
      </c>
      <c r="AA2873" t="s">
        <v>44</v>
      </c>
      <c r="AB2873" t="s">
        <v>44</v>
      </c>
      <c r="AC2873" s="4"/>
      <c r="AD2873" s="4"/>
      <c r="AE2873" s="2">
        <v>0</v>
      </c>
      <c r="AF2873" s="4">
        <v>0</v>
      </c>
      <c r="AG2873" s="2">
        <v>5.84</v>
      </c>
      <c r="AH2873" s="2">
        <v>14656685.880000001</v>
      </c>
      <c r="AI2873" s="2">
        <v>0.03</v>
      </c>
      <c r="AJ2873" s="5">
        <v>44673</v>
      </c>
      <c r="AK2873" t="s">
        <v>12592</v>
      </c>
      <c r="AL2873" s="2">
        <v>0</v>
      </c>
      <c r="AM2873" s="2">
        <v>0</v>
      </c>
      <c r="AN2873" s="2">
        <v>0</v>
      </c>
      <c r="AO2873" t="s">
        <v>44</v>
      </c>
      <c r="AP2873" t="s">
        <v>12486</v>
      </c>
      <c r="AQ2873" t="s">
        <v>5741</v>
      </c>
    </row>
    <row r="2874" spans="1:43" x14ac:dyDescent="0.2">
      <c r="A2874" t="s">
        <v>12591</v>
      </c>
      <c r="B2874" t="s">
        <v>11037</v>
      </c>
      <c r="C2874" t="s">
        <v>11195</v>
      </c>
      <c r="D2874" t="s">
        <v>6419</v>
      </c>
      <c r="E2874" t="s">
        <v>5072</v>
      </c>
      <c r="F2874" t="s">
        <v>6419</v>
      </c>
      <c r="G2874" s="1">
        <v>475000</v>
      </c>
      <c r="H2874" s="2">
        <v>21782556.77</v>
      </c>
      <c r="I2874" s="2">
        <v>21782556.77</v>
      </c>
      <c r="J2874" s="2">
        <v>0</v>
      </c>
      <c r="K2874" s="2">
        <v>0</v>
      </c>
      <c r="L2874" s="2">
        <v>21782556.77</v>
      </c>
      <c r="M2874" s="3">
        <v>4196</v>
      </c>
      <c r="N2874" s="4">
        <v>4.9557660000000003E-2</v>
      </c>
      <c r="O2874" s="5" t="s">
        <v>44</v>
      </c>
      <c r="P2874" s="5" t="s">
        <v>44</v>
      </c>
      <c r="Q2874" s="1"/>
      <c r="R2874" s="2"/>
      <c r="S2874" s="6"/>
      <c r="T2874" t="s">
        <v>10902</v>
      </c>
      <c r="U2874" t="s">
        <v>10902</v>
      </c>
      <c r="V2874" t="s">
        <v>10902</v>
      </c>
      <c r="W2874" t="s">
        <v>43</v>
      </c>
      <c r="X2874" t="s">
        <v>11327</v>
      </c>
      <c r="Y2874" t="s">
        <v>11198</v>
      </c>
      <c r="Z2874" t="s">
        <v>11195</v>
      </c>
      <c r="AA2874" t="s">
        <v>44</v>
      </c>
      <c r="AB2874" t="s">
        <v>44</v>
      </c>
      <c r="AC2874" s="4"/>
      <c r="AD2874" s="4"/>
      <c r="AE2874" s="2">
        <v>0</v>
      </c>
      <c r="AF2874" s="4">
        <v>0</v>
      </c>
      <c r="AG2874" s="2">
        <v>8.68</v>
      </c>
      <c r="AH2874" s="2">
        <v>21782556.77</v>
      </c>
      <c r="AI2874" s="2">
        <v>0.05</v>
      </c>
      <c r="AJ2874" s="5">
        <v>44673</v>
      </c>
      <c r="AK2874" t="s">
        <v>12592</v>
      </c>
      <c r="AL2874" s="2">
        <v>0</v>
      </c>
      <c r="AM2874" s="2">
        <v>0</v>
      </c>
      <c r="AN2874" s="2">
        <v>0</v>
      </c>
      <c r="AO2874" t="s">
        <v>44</v>
      </c>
      <c r="AP2874" t="s">
        <v>11328</v>
      </c>
      <c r="AQ2874" t="s">
        <v>5072</v>
      </c>
    </row>
    <row r="2875" spans="1:43" x14ac:dyDescent="0.2">
      <c r="A2875" t="s">
        <v>12591</v>
      </c>
      <c r="B2875" t="s">
        <v>11037</v>
      </c>
      <c r="C2875" t="s">
        <v>11195</v>
      </c>
      <c r="D2875" t="s">
        <v>5917</v>
      </c>
      <c r="E2875" t="s">
        <v>4907</v>
      </c>
      <c r="F2875" t="s">
        <v>5917</v>
      </c>
      <c r="G2875" s="1">
        <v>120000</v>
      </c>
      <c r="H2875" s="2">
        <v>6623835.46</v>
      </c>
      <c r="I2875" s="2">
        <v>6623835.46</v>
      </c>
      <c r="J2875" s="2">
        <v>0</v>
      </c>
      <c r="K2875" s="2">
        <v>0</v>
      </c>
      <c r="L2875" s="2">
        <v>6623835.46</v>
      </c>
      <c r="M2875" s="3">
        <v>6926</v>
      </c>
      <c r="N2875" s="4">
        <v>1.506994E-2</v>
      </c>
      <c r="O2875" s="5" t="s">
        <v>44</v>
      </c>
      <c r="P2875" s="5" t="s">
        <v>44</v>
      </c>
      <c r="Q2875" s="1"/>
      <c r="R2875" s="2"/>
      <c r="S2875" s="6"/>
      <c r="T2875" t="s">
        <v>10902</v>
      </c>
      <c r="U2875" t="s">
        <v>10902</v>
      </c>
      <c r="V2875" t="s">
        <v>10902</v>
      </c>
      <c r="W2875" t="s">
        <v>43</v>
      </c>
      <c r="X2875" t="s">
        <v>11334</v>
      </c>
      <c r="Y2875" t="s">
        <v>11335</v>
      </c>
      <c r="Z2875" t="s">
        <v>11195</v>
      </c>
      <c r="AA2875" t="s">
        <v>44</v>
      </c>
      <c r="AB2875" t="s">
        <v>44</v>
      </c>
      <c r="AC2875" s="4"/>
      <c r="AD2875" s="4"/>
      <c r="AE2875" s="2">
        <v>0</v>
      </c>
      <c r="AF2875" s="4">
        <v>0</v>
      </c>
      <c r="AG2875" s="2">
        <v>2.64</v>
      </c>
      <c r="AH2875" s="2">
        <v>6623835.46</v>
      </c>
      <c r="AI2875" s="2">
        <v>0.02</v>
      </c>
      <c r="AJ2875" s="5">
        <v>44673</v>
      </c>
      <c r="AK2875" t="s">
        <v>12592</v>
      </c>
      <c r="AL2875" s="2">
        <v>0</v>
      </c>
      <c r="AM2875" s="2">
        <v>0</v>
      </c>
      <c r="AN2875" s="2">
        <v>0</v>
      </c>
      <c r="AO2875" t="s">
        <v>44</v>
      </c>
      <c r="AP2875" t="s">
        <v>11716</v>
      </c>
      <c r="AQ2875" t="s">
        <v>4907</v>
      </c>
    </row>
    <row r="2876" spans="1:43" x14ac:dyDescent="0.2">
      <c r="A2876" t="s">
        <v>12591</v>
      </c>
      <c r="B2876" t="s">
        <v>11037</v>
      </c>
      <c r="C2876" t="s">
        <v>11195</v>
      </c>
      <c r="D2876" t="s">
        <v>6843</v>
      </c>
      <c r="E2876" t="s">
        <v>5612</v>
      </c>
      <c r="F2876" t="s">
        <v>6843</v>
      </c>
      <c r="G2876" s="1">
        <v>1800000</v>
      </c>
      <c r="H2876" s="2">
        <v>5507377.0800000001</v>
      </c>
      <c r="I2876" s="2">
        <v>5507377.0800000001</v>
      </c>
      <c r="J2876" s="2">
        <v>0</v>
      </c>
      <c r="K2876" s="2">
        <v>0</v>
      </c>
      <c r="L2876" s="2">
        <v>5507377.0800000001</v>
      </c>
      <c r="M2876" s="3">
        <v>301</v>
      </c>
      <c r="N2876" s="4">
        <v>1.252988E-2</v>
      </c>
      <c r="O2876" s="5" t="s">
        <v>44</v>
      </c>
      <c r="P2876" s="5" t="s">
        <v>44</v>
      </c>
      <c r="Q2876" s="1"/>
      <c r="R2876" s="2"/>
      <c r="S2876" s="6"/>
      <c r="T2876" t="s">
        <v>10902</v>
      </c>
      <c r="U2876" t="s">
        <v>10902</v>
      </c>
      <c r="V2876" t="s">
        <v>10902</v>
      </c>
      <c r="W2876" t="s">
        <v>43</v>
      </c>
      <c r="X2876" t="s">
        <v>11327</v>
      </c>
      <c r="Y2876" t="s">
        <v>11198</v>
      </c>
      <c r="Z2876" t="s">
        <v>11195</v>
      </c>
      <c r="AA2876" t="s">
        <v>44</v>
      </c>
      <c r="AB2876" t="s">
        <v>44</v>
      </c>
      <c r="AC2876" s="4"/>
      <c r="AD2876" s="4"/>
      <c r="AE2876" s="2">
        <v>0</v>
      </c>
      <c r="AF2876" s="4">
        <v>0</v>
      </c>
      <c r="AG2876" s="2">
        <v>2.19</v>
      </c>
      <c r="AH2876" s="2">
        <v>5507377.0800000001</v>
      </c>
      <c r="AI2876" s="2">
        <v>0.01</v>
      </c>
      <c r="AJ2876" s="5">
        <v>44673</v>
      </c>
      <c r="AK2876" t="s">
        <v>12592</v>
      </c>
      <c r="AL2876" s="2">
        <v>0</v>
      </c>
      <c r="AM2876" s="2">
        <v>0</v>
      </c>
      <c r="AN2876" s="2">
        <v>0</v>
      </c>
      <c r="AO2876" t="s">
        <v>44</v>
      </c>
      <c r="AP2876" t="s">
        <v>12596</v>
      </c>
      <c r="AQ2876" t="s">
        <v>5612</v>
      </c>
    </row>
    <row r="2877" spans="1:43" x14ac:dyDescent="0.2">
      <c r="A2877" t="s">
        <v>12591</v>
      </c>
      <c r="B2877" t="s">
        <v>11037</v>
      </c>
      <c r="C2877" t="s">
        <v>11364</v>
      </c>
      <c r="D2877" t="s">
        <v>6240</v>
      </c>
      <c r="E2877" t="s">
        <v>5065</v>
      </c>
      <c r="F2877" t="s">
        <v>6240</v>
      </c>
      <c r="G2877" s="1">
        <v>114000</v>
      </c>
      <c r="H2877" s="2">
        <v>17194325.09</v>
      </c>
      <c r="I2877" s="2">
        <v>17194325.09</v>
      </c>
      <c r="J2877" s="2">
        <v>0</v>
      </c>
      <c r="K2877" s="2">
        <v>0</v>
      </c>
      <c r="L2877" s="2">
        <v>17194325.09</v>
      </c>
      <c r="M2877" s="3">
        <v>11565</v>
      </c>
      <c r="N2877" s="4">
        <v>3.9118939999999998E-2</v>
      </c>
      <c r="O2877" s="5" t="s">
        <v>44</v>
      </c>
      <c r="P2877" s="5" t="s">
        <v>44</v>
      </c>
      <c r="Q2877" s="1"/>
      <c r="R2877" s="2"/>
      <c r="S2877" s="6"/>
      <c r="T2877" t="s">
        <v>10902</v>
      </c>
      <c r="U2877" t="s">
        <v>10902</v>
      </c>
      <c r="V2877" t="s">
        <v>10902</v>
      </c>
      <c r="W2877" t="s">
        <v>43</v>
      </c>
      <c r="X2877" t="s">
        <v>11369</v>
      </c>
      <c r="Y2877" t="s">
        <v>11367</v>
      </c>
      <c r="Z2877" t="s">
        <v>11364</v>
      </c>
      <c r="AA2877" t="s">
        <v>44</v>
      </c>
      <c r="AB2877" t="s">
        <v>44</v>
      </c>
      <c r="AC2877" s="4"/>
      <c r="AD2877" s="4"/>
      <c r="AE2877" s="2">
        <v>0</v>
      </c>
      <c r="AF2877" s="4">
        <v>0</v>
      </c>
      <c r="AG2877" s="2">
        <v>6.85</v>
      </c>
      <c r="AH2877" s="2">
        <v>17194325.09</v>
      </c>
      <c r="AI2877" s="2">
        <v>0.04</v>
      </c>
      <c r="AJ2877" s="5">
        <v>44673</v>
      </c>
      <c r="AK2877" t="s">
        <v>12592</v>
      </c>
      <c r="AL2877" s="2">
        <v>0</v>
      </c>
      <c r="AM2877" s="2">
        <v>0</v>
      </c>
      <c r="AN2877" s="2">
        <v>0</v>
      </c>
      <c r="AO2877" t="s">
        <v>44</v>
      </c>
      <c r="AP2877" t="s">
        <v>11370</v>
      </c>
      <c r="AQ2877" t="s">
        <v>5065</v>
      </c>
    </row>
    <row r="2878" spans="1:43" x14ac:dyDescent="0.2">
      <c r="A2878" t="s">
        <v>12591</v>
      </c>
      <c r="B2878" t="s">
        <v>11037</v>
      </c>
      <c r="C2878" t="s">
        <v>11364</v>
      </c>
      <c r="D2878" t="s">
        <v>12597</v>
      </c>
      <c r="E2878" t="s">
        <v>7168</v>
      </c>
      <c r="F2878" t="s">
        <v>12597</v>
      </c>
      <c r="G2878" s="1">
        <v>1095000</v>
      </c>
      <c r="H2878" s="2">
        <v>8166752.8700000001</v>
      </c>
      <c r="I2878" s="2">
        <v>8166752.8700000001</v>
      </c>
      <c r="J2878" s="2">
        <v>0</v>
      </c>
      <c r="K2878" s="2">
        <v>0</v>
      </c>
      <c r="L2878" s="2">
        <v>8166752.8700000001</v>
      </c>
      <c r="M2878" s="3">
        <v>1079</v>
      </c>
      <c r="N2878" s="4">
        <v>1.8580240000000001E-2</v>
      </c>
      <c r="O2878" s="5" t="s">
        <v>44</v>
      </c>
      <c r="P2878" s="5" t="s">
        <v>44</v>
      </c>
      <c r="Q2878" s="1"/>
      <c r="R2878" s="2"/>
      <c r="S2878" s="6"/>
      <c r="T2878" t="s">
        <v>10902</v>
      </c>
      <c r="U2878" t="s">
        <v>10902</v>
      </c>
      <c r="V2878" t="s">
        <v>10902</v>
      </c>
      <c r="W2878" t="s">
        <v>43</v>
      </c>
      <c r="X2878" t="s">
        <v>11369</v>
      </c>
      <c r="Y2878" t="s">
        <v>11367</v>
      </c>
      <c r="Z2878" t="s">
        <v>11364</v>
      </c>
      <c r="AA2878" t="s">
        <v>44</v>
      </c>
      <c r="AB2878" t="s">
        <v>44</v>
      </c>
      <c r="AC2878" s="4"/>
      <c r="AD2878" s="4"/>
      <c r="AE2878" s="2">
        <v>0</v>
      </c>
      <c r="AF2878" s="4">
        <v>0</v>
      </c>
      <c r="AG2878" s="2">
        <v>3.25</v>
      </c>
      <c r="AH2878" s="2">
        <v>8166752.8700000001</v>
      </c>
      <c r="AI2878" s="2">
        <v>0.02</v>
      </c>
      <c r="AJ2878" s="5">
        <v>44673</v>
      </c>
      <c r="AK2878" t="s">
        <v>12592</v>
      </c>
      <c r="AL2878" s="2">
        <v>0</v>
      </c>
      <c r="AM2878" s="2">
        <v>0</v>
      </c>
      <c r="AN2878" s="2">
        <v>0</v>
      </c>
      <c r="AO2878" t="s">
        <v>44</v>
      </c>
      <c r="AP2878" t="s">
        <v>12598</v>
      </c>
      <c r="AQ2878" t="s">
        <v>7168</v>
      </c>
    </row>
    <row r="2879" spans="1:43" x14ac:dyDescent="0.2">
      <c r="A2879" t="s">
        <v>12591</v>
      </c>
      <c r="B2879" t="s">
        <v>11037</v>
      </c>
      <c r="C2879" t="s">
        <v>11364</v>
      </c>
      <c r="D2879" t="s">
        <v>6443</v>
      </c>
      <c r="E2879" t="s">
        <v>5186</v>
      </c>
      <c r="F2879" t="s">
        <v>6443</v>
      </c>
      <c r="G2879" s="1">
        <v>201000</v>
      </c>
      <c r="H2879" s="2">
        <v>14238840</v>
      </c>
      <c r="I2879" s="2">
        <v>14238840</v>
      </c>
      <c r="J2879" s="2">
        <v>0</v>
      </c>
      <c r="K2879" s="2">
        <v>0</v>
      </c>
      <c r="L2879" s="2">
        <v>14238840</v>
      </c>
      <c r="M2879" s="3">
        <v>4416</v>
      </c>
      <c r="N2879" s="4">
        <v>3.2394890000000003E-2</v>
      </c>
      <c r="O2879" s="5" t="s">
        <v>44</v>
      </c>
      <c r="P2879" s="5" t="s">
        <v>44</v>
      </c>
      <c r="Q2879" s="1"/>
      <c r="R2879" s="2"/>
      <c r="S2879" s="6"/>
      <c r="T2879" t="s">
        <v>10902</v>
      </c>
      <c r="U2879" t="s">
        <v>10902</v>
      </c>
      <c r="V2879" t="s">
        <v>10902</v>
      </c>
      <c r="W2879" t="s">
        <v>43</v>
      </c>
      <c r="X2879" t="s">
        <v>11366</v>
      </c>
      <c r="Y2879" t="s">
        <v>11367</v>
      </c>
      <c r="Z2879" t="s">
        <v>11364</v>
      </c>
      <c r="AA2879" t="s">
        <v>44</v>
      </c>
      <c r="AB2879" t="s">
        <v>44</v>
      </c>
      <c r="AC2879" s="4"/>
      <c r="AD2879" s="4"/>
      <c r="AE2879" s="2">
        <v>0</v>
      </c>
      <c r="AF2879" s="4">
        <v>0</v>
      </c>
      <c r="AG2879" s="2">
        <v>5.67</v>
      </c>
      <c r="AH2879" s="2">
        <v>14238840</v>
      </c>
      <c r="AI2879" s="2">
        <v>0.03</v>
      </c>
      <c r="AJ2879" s="5">
        <v>44673</v>
      </c>
      <c r="AK2879" t="s">
        <v>12592</v>
      </c>
      <c r="AL2879" s="2">
        <v>0</v>
      </c>
      <c r="AM2879" s="2">
        <v>0</v>
      </c>
      <c r="AN2879" s="2">
        <v>0</v>
      </c>
      <c r="AO2879" t="s">
        <v>44</v>
      </c>
      <c r="AP2879" t="s">
        <v>11373</v>
      </c>
      <c r="AQ2879" t="s">
        <v>5186</v>
      </c>
    </row>
    <row r="2880" spans="1:43" x14ac:dyDescent="0.2">
      <c r="A2880" t="s">
        <v>12591</v>
      </c>
      <c r="B2880" t="s">
        <v>11037</v>
      </c>
      <c r="C2880" t="s">
        <v>11727</v>
      </c>
      <c r="D2880" t="s">
        <v>12599</v>
      </c>
      <c r="E2880" t="s">
        <v>5470</v>
      </c>
      <c r="F2880" t="s">
        <v>12599</v>
      </c>
      <c r="G2880" s="1">
        <v>600000</v>
      </c>
      <c r="H2880" s="2">
        <v>25040609.84</v>
      </c>
      <c r="I2880" s="2">
        <v>25040609.84</v>
      </c>
      <c r="J2880" s="2">
        <v>0</v>
      </c>
      <c r="K2880" s="2">
        <v>0</v>
      </c>
      <c r="L2880" s="2">
        <v>25040609.84</v>
      </c>
      <c r="M2880" s="3">
        <v>3863</v>
      </c>
      <c r="N2880" s="4">
        <v>5.6970079999999999E-2</v>
      </c>
      <c r="O2880" s="5" t="s">
        <v>44</v>
      </c>
      <c r="P2880" s="5" t="s">
        <v>44</v>
      </c>
      <c r="Q2880" s="1"/>
      <c r="R2880" s="2"/>
      <c r="S2880" s="6"/>
      <c r="T2880" t="s">
        <v>10902</v>
      </c>
      <c r="U2880" t="s">
        <v>10902</v>
      </c>
      <c r="V2880" t="s">
        <v>10902</v>
      </c>
      <c r="W2880" t="s">
        <v>43</v>
      </c>
      <c r="X2880" t="s">
        <v>11729</v>
      </c>
      <c r="Y2880" t="s">
        <v>11727</v>
      </c>
      <c r="Z2880" t="s">
        <v>11727</v>
      </c>
      <c r="AA2880" t="s">
        <v>44</v>
      </c>
      <c r="AB2880" t="s">
        <v>44</v>
      </c>
      <c r="AC2880" s="4"/>
      <c r="AD2880" s="4"/>
      <c r="AE2880" s="2">
        <v>0</v>
      </c>
      <c r="AF2880" s="4">
        <v>0</v>
      </c>
      <c r="AG2880" s="2">
        <v>9.98</v>
      </c>
      <c r="AH2880" s="2">
        <v>25040609.84</v>
      </c>
      <c r="AI2880" s="2">
        <v>0.06</v>
      </c>
      <c r="AJ2880" s="5">
        <v>44673</v>
      </c>
      <c r="AK2880" t="s">
        <v>12592</v>
      </c>
      <c r="AL2880" s="2">
        <v>0</v>
      </c>
      <c r="AM2880" s="2">
        <v>0</v>
      </c>
      <c r="AN2880" s="2">
        <v>0</v>
      </c>
      <c r="AO2880" t="s">
        <v>44</v>
      </c>
      <c r="AP2880" t="s">
        <v>12600</v>
      </c>
      <c r="AQ2880" t="s">
        <v>5470</v>
      </c>
    </row>
    <row r="2881" spans="1:43" x14ac:dyDescent="0.2">
      <c r="A2881" t="s">
        <v>12591</v>
      </c>
      <c r="B2881" t="s">
        <v>11037</v>
      </c>
      <c r="C2881" t="s">
        <v>11380</v>
      </c>
      <c r="D2881" t="s">
        <v>11734</v>
      </c>
      <c r="E2881" t="s">
        <v>1469</v>
      </c>
      <c r="F2881" t="s">
        <v>11734</v>
      </c>
      <c r="G2881" s="1">
        <v>95800</v>
      </c>
      <c r="H2881" s="2">
        <v>12068548.199999999</v>
      </c>
      <c r="I2881" s="2">
        <v>12068548.199999999</v>
      </c>
      <c r="J2881" s="2">
        <v>0</v>
      </c>
      <c r="K2881" s="2">
        <v>0</v>
      </c>
      <c r="L2881" s="2">
        <v>12068548.199999999</v>
      </c>
      <c r="M2881" s="3">
        <v>15031</v>
      </c>
      <c r="N2881" s="4">
        <v>2.7457249999999999E-2</v>
      </c>
      <c r="O2881" s="5" t="s">
        <v>44</v>
      </c>
      <c r="P2881" s="5" t="s">
        <v>44</v>
      </c>
      <c r="Q2881" s="1"/>
      <c r="R2881" s="2"/>
      <c r="S2881" s="6"/>
      <c r="T2881" t="s">
        <v>10902</v>
      </c>
      <c r="U2881" t="s">
        <v>10902</v>
      </c>
      <c r="V2881" t="s">
        <v>10902</v>
      </c>
      <c r="W2881" t="s">
        <v>43</v>
      </c>
      <c r="X2881" t="s">
        <v>11732</v>
      </c>
      <c r="Y2881" t="s">
        <v>11380</v>
      </c>
      <c r="Z2881" t="s">
        <v>11380</v>
      </c>
      <c r="AA2881" t="s">
        <v>44</v>
      </c>
      <c r="AB2881" t="s">
        <v>44</v>
      </c>
      <c r="AC2881" s="4"/>
      <c r="AD2881" s="4"/>
      <c r="AE2881" s="2">
        <v>0</v>
      </c>
      <c r="AF2881" s="4">
        <v>0</v>
      </c>
      <c r="AG2881" s="2">
        <v>4.8099999999999996</v>
      </c>
      <c r="AH2881" s="2">
        <v>12068548.199999999</v>
      </c>
      <c r="AI2881" s="2">
        <v>0.03</v>
      </c>
      <c r="AJ2881" s="5">
        <v>44673</v>
      </c>
      <c r="AK2881" t="s">
        <v>12592</v>
      </c>
      <c r="AL2881" s="2">
        <v>0</v>
      </c>
      <c r="AM2881" s="2">
        <v>0</v>
      </c>
      <c r="AN2881" s="2">
        <v>0</v>
      </c>
      <c r="AO2881" t="s">
        <v>44</v>
      </c>
      <c r="AP2881" t="s">
        <v>11735</v>
      </c>
      <c r="AQ2881" t="s">
        <v>1469</v>
      </c>
    </row>
    <row r="2882" spans="1:43" x14ac:dyDescent="0.2">
      <c r="A2882" t="s">
        <v>12601</v>
      </c>
      <c r="B2882" t="s">
        <v>10900</v>
      </c>
      <c r="C2882" t="s">
        <v>11049</v>
      </c>
      <c r="D2882" t="s">
        <v>11956</v>
      </c>
      <c r="E2882" t="s">
        <v>11957</v>
      </c>
      <c r="F2882" t="s">
        <v>11956</v>
      </c>
      <c r="G2882" s="1">
        <v>2900000</v>
      </c>
      <c r="H2882" s="2">
        <v>2901723.27</v>
      </c>
      <c r="I2882" s="2">
        <v>2906698.8</v>
      </c>
      <c r="J2882" s="2">
        <v>30965.56</v>
      </c>
      <c r="K2882" s="2">
        <v>0</v>
      </c>
      <c r="L2882" s="2">
        <v>2937664.36</v>
      </c>
      <c r="M2882" s="3">
        <v>5.1338650000000001</v>
      </c>
      <c r="N2882" s="4">
        <v>6.6835000000000002E-3</v>
      </c>
      <c r="O2882" s="5">
        <v>44697</v>
      </c>
      <c r="P2882" s="5">
        <v>44788</v>
      </c>
      <c r="Q2882" s="1">
        <v>5.8170000000000002</v>
      </c>
      <c r="R2882" s="2">
        <v>0.06</v>
      </c>
      <c r="S2882" s="6">
        <v>5.3630172561E-2</v>
      </c>
      <c r="T2882" t="s">
        <v>111</v>
      </c>
      <c r="U2882" t="s">
        <v>111</v>
      </c>
      <c r="V2882" t="s">
        <v>11189</v>
      </c>
      <c r="W2882" t="s">
        <v>43</v>
      </c>
      <c r="X2882" t="s">
        <v>11034</v>
      </c>
      <c r="Y2882" t="s">
        <v>44</v>
      </c>
      <c r="Z2882" t="s">
        <v>44</v>
      </c>
      <c r="AA2882" t="s">
        <v>11225</v>
      </c>
      <c r="AB2882" t="s">
        <v>44</v>
      </c>
      <c r="AC2882" s="4">
        <v>5.1997564000000001</v>
      </c>
      <c r="AD2882" s="4">
        <v>5.0798014499999997</v>
      </c>
      <c r="AE2882" s="2">
        <v>5.2</v>
      </c>
      <c r="AF2882" s="4">
        <v>5.0798014499999997</v>
      </c>
      <c r="AG2882" s="2">
        <v>5.67</v>
      </c>
      <c r="AH2882" s="2">
        <v>2937664.36</v>
      </c>
      <c r="AI2882" s="2">
        <v>0.01</v>
      </c>
      <c r="AJ2882" s="5">
        <v>44673</v>
      </c>
      <c r="AK2882" t="s">
        <v>12602</v>
      </c>
      <c r="AL2882" s="2">
        <v>5.13</v>
      </c>
      <c r="AM2882" s="2">
        <v>5.82</v>
      </c>
      <c r="AN2882" s="2">
        <v>0.05</v>
      </c>
      <c r="AO2882" t="s">
        <v>11817</v>
      </c>
      <c r="AP2882" t="s">
        <v>11958</v>
      </c>
      <c r="AQ2882" t="s">
        <v>11957</v>
      </c>
    </row>
    <row r="2883" spans="1:43" x14ac:dyDescent="0.2">
      <c r="A2883" t="s">
        <v>12601</v>
      </c>
      <c r="B2883" t="s">
        <v>10900</v>
      </c>
      <c r="C2883" t="s">
        <v>11049</v>
      </c>
      <c r="D2883" t="s">
        <v>11959</v>
      </c>
      <c r="E2883" t="s">
        <v>11960</v>
      </c>
      <c r="F2883" t="s">
        <v>11959</v>
      </c>
      <c r="G2883" s="1">
        <v>300000</v>
      </c>
      <c r="H2883" s="2">
        <v>300317.65999999997</v>
      </c>
      <c r="I2883" s="2">
        <v>300278.21000000002</v>
      </c>
      <c r="J2883" s="2">
        <v>1791.78</v>
      </c>
      <c r="K2883" s="2">
        <v>0</v>
      </c>
      <c r="L2883" s="2">
        <v>302069.99</v>
      </c>
      <c r="M2883" s="3">
        <v>5.1678660000000001</v>
      </c>
      <c r="N2883" s="4">
        <v>6.8723999999999999E-4</v>
      </c>
      <c r="O2883" s="5">
        <v>44725</v>
      </c>
      <c r="P2883" s="5">
        <v>44816</v>
      </c>
      <c r="Q2883" s="1">
        <v>5.45</v>
      </c>
      <c r="R2883" s="2">
        <v>0.13</v>
      </c>
      <c r="S2883" s="6">
        <v>0.1261341168</v>
      </c>
      <c r="T2883" t="s">
        <v>111</v>
      </c>
      <c r="U2883" t="s">
        <v>111</v>
      </c>
      <c r="V2883" t="s">
        <v>11189</v>
      </c>
      <c r="W2883" t="s">
        <v>43</v>
      </c>
      <c r="X2883" t="s">
        <v>11034</v>
      </c>
      <c r="Y2883" t="s">
        <v>44</v>
      </c>
      <c r="Z2883" t="s">
        <v>44</v>
      </c>
      <c r="AA2883" t="s">
        <v>11035</v>
      </c>
      <c r="AB2883" t="s">
        <v>44</v>
      </c>
      <c r="AC2883" s="4">
        <v>5.2346334099999998</v>
      </c>
      <c r="AD2883" s="4">
        <v>5.1130898599999997</v>
      </c>
      <c r="AE2883" s="2">
        <v>5.23</v>
      </c>
      <c r="AF2883" s="4">
        <v>5.1130898599999997</v>
      </c>
      <c r="AG2883" s="2">
        <v>0.57999999999999996</v>
      </c>
      <c r="AH2883" s="2">
        <v>302069.99</v>
      </c>
      <c r="AI2883" s="2">
        <v>0</v>
      </c>
      <c r="AJ2883" s="5">
        <v>44673</v>
      </c>
      <c r="AK2883" t="s">
        <v>12602</v>
      </c>
      <c r="AL2883" s="2">
        <v>5.17</v>
      </c>
      <c r="AM2883" s="2">
        <v>5.45</v>
      </c>
      <c r="AN2883" s="2">
        <v>0.13</v>
      </c>
      <c r="AO2883" t="s">
        <v>11053</v>
      </c>
      <c r="AP2883" t="s">
        <v>11961</v>
      </c>
      <c r="AQ2883" t="s">
        <v>11960</v>
      </c>
    </row>
    <row r="2884" spans="1:43" x14ac:dyDescent="0.2">
      <c r="A2884" t="s">
        <v>12601</v>
      </c>
      <c r="B2884" t="s">
        <v>10900</v>
      </c>
      <c r="C2884" t="s">
        <v>11049</v>
      </c>
      <c r="D2884" t="s">
        <v>11794</v>
      </c>
      <c r="E2884" t="s">
        <v>11795</v>
      </c>
      <c r="F2884" t="s">
        <v>11794</v>
      </c>
      <c r="G2884" s="1">
        <v>1700000</v>
      </c>
      <c r="H2884" s="2">
        <v>1700171.91</v>
      </c>
      <c r="I2884" s="2">
        <v>1700190.7</v>
      </c>
      <c r="J2884" s="2">
        <v>21608.91</v>
      </c>
      <c r="K2884" s="2">
        <v>0</v>
      </c>
      <c r="L2884" s="2">
        <v>1721799.61</v>
      </c>
      <c r="M2884" s="3">
        <v>4.7002220000000001</v>
      </c>
      <c r="N2884" s="4">
        <v>3.9172800000000004E-3</v>
      </c>
      <c r="O2884" s="5">
        <v>44680</v>
      </c>
      <c r="P2884" s="5">
        <v>44680</v>
      </c>
      <c r="Q2884" s="1">
        <v>5.6580000000000004</v>
      </c>
      <c r="R2884" s="2">
        <v>0.01</v>
      </c>
      <c r="S2884" s="6">
        <v>1.0461427896999999E-2</v>
      </c>
      <c r="T2884" t="s">
        <v>111</v>
      </c>
      <c r="U2884" t="s">
        <v>111</v>
      </c>
      <c r="V2884" t="s">
        <v>11189</v>
      </c>
      <c r="W2884" t="s">
        <v>43</v>
      </c>
      <c r="X2884" t="s">
        <v>11034</v>
      </c>
      <c r="Y2884" t="s">
        <v>44</v>
      </c>
      <c r="Z2884" t="s">
        <v>44</v>
      </c>
      <c r="AA2884" t="s">
        <v>44</v>
      </c>
      <c r="AB2884" t="s">
        <v>11225</v>
      </c>
      <c r="AC2884" s="4">
        <v>4.7554521300000001</v>
      </c>
      <c r="AD2884" s="4">
        <v>4.6548469299999997</v>
      </c>
      <c r="AE2884" s="2">
        <v>4.76</v>
      </c>
      <c r="AF2884" s="4">
        <v>4.6548469299999997</v>
      </c>
      <c r="AG2884" s="2">
        <v>3.32</v>
      </c>
      <c r="AH2884" s="2">
        <v>1721799.61</v>
      </c>
      <c r="AI2884" s="2">
        <v>0</v>
      </c>
      <c r="AJ2884" s="5">
        <v>44673</v>
      </c>
      <c r="AK2884" t="s">
        <v>12602</v>
      </c>
      <c r="AL2884" s="2">
        <v>4.7</v>
      </c>
      <c r="AM2884" s="2">
        <v>5.66</v>
      </c>
      <c r="AN2884" s="2">
        <v>0.01</v>
      </c>
      <c r="AO2884" t="s">
        <v>11527</v>
      </c>
      <c r="AP2884" t="s">
        <v>11796</v>
      </c>
      <c r="AQ2884" t="s">
        <v>11795</v>
      </c>
    </row>
    <row r="2885" spans="1:43" x14ac:dyDescent="0.2">
      <c r="A2885" t="s">
        <v>12601</v>
      </c>
      <c r="B2885" t="s">
        <v>10900</v>
      </c>
      <c r="C2885" t="s">
        <v>11049</v>
      </c>
      <c r="D2885" t="s">
        <v>11265</v>
      </c>
      <c r="E2885" t="s">
        <v>11266</v>
      </c>
      <c r="F2885" t="s">
        <v>11265</v>
      </c>
      <c r="G2885" s="1">
        <v>500000</v>
      </c>
      <c r="H2885" s="2">
        <v>476129.61</v>
      </c>
      <c r="I2885" s="2">
        <v>476129.61</v>
      </c>
      <c r="J2885" s="2">
        <v>0</v>
      </c>
      <c r="K2885" s="2">
        <v>0</v>
      </c>
      <c r="L2885" s="2">
        <v>476129.61</v>
      </c>
      <c r="M2885" s="3">
        <v>6.3099970000000001</v>
      </c>
      <c r="N2885" s="4">
        <v>1.08325E-3</v>
      </c>
      <c r="O2885" s="5" t="s">
        <v>44</v>
      </c>
      <c r="P2885" s="5">
        <v>44964</v>
      </c>
      <c r="Q2885" s="1">
        <v>0</v>
      </c>
      <c r="R2885" s="2">
        <v>0.79</v>
      </c>
      <c r="S2885" s="6">
        <v>0.75161913127000002</v>
      </c>
      <c r="T2885" t="s">
        <v>112</v>
      </c>
      <c r="U2885" t="s">
        <v>111</v>
      </c>
      <c r="V2885" t="s">
        <v>11238</v>
      </c>
      <c r="W2885" t="s">
        <v>43</v>
      </c>
      <c r="X2885" t="s">
        <v>44</v>
      </c>
      <c r="Y2885" t="s">
        <v>44</v>
      </c>
      <c r="Z2885" t="s">
        <v>44</v>
      </c>
      <c r="AA2885" t="s">
        <v>10979</v>
      </c>
      <c r="AB2885" t="s">
        <v>44</v>
      </c>
      <c r="AC2885" s="4">
        <v>6.4095368800000001</v>
      </c>
      <c r="AD2885" s="4">
        <v>6.2286110399999997</v>
      </c>
      <c r="AE2885" s="2">
        <v>6.41</v>
      </c>
      <c r="AF2885" s="4">
        <v>6.2286110399999997</v>
      </c>
      <c r="AG2885" s="2">
        <v>0.92</v>
      </c>
      <c r="AH2885" s="2">
        <v>476129.61</v>
      </c>
      <c r="AI2885" s="2">
        <v>0</v>
      </c>
      <c r="AJ2885" s="5">
        <v>44673</v>
      </c>
      <c r="AK2885" t="s">
        <v>12602</v>
      </c>
      <c r="AL2885" s="2">
        <v>6.31</v>
      </c>
      <c r="AM2885" s="2">
        <v>0</v>
      </c>
      <c r="AN2885" s="2">
        <v>0.75</v>
      </c>
      <c r="AO2885" t="s">
        <v>10982</v>
      </c>
      <c r="AP2885" t="s">
        <v>11267</v>
      </c>
      <c r="AQ2885" t="s">
        <v>11266</v>
      </c>
    </row>
    <row r="2886" spans="1:43" x14ac:dyDescent="0.2">
      <c r="A2886" t="s">
        <v>12601</v>
      </c>
      <c r="B2886" t="s">
        <v>45</v>
      </c>
      <c r="C2886" t="s">
        <v>11000</v>
      </c>
      <c r="D2886" t="s">
        <v>11273</v>
      </c>
      <c r="E2886" t="s">
        <v>11274</v>
      </c>
      <c r="F2886" t="s">
        <v>11273</v>
      </c>
      <c r="G2886" s="1">
        <v>2575.2800000000002</v>
      </c>
      <c r="H2886" s="2">
        <v>2575.2800000000002</v>
      </c>
      <c r="I2886" s="2">
        <v>2575.2800000000002</v>
      </c>
      <c r="J2886" s="2">
        <v>7.81</v>
      </c>
      <c r="K2886" s="2">
        <v>0</v>
      </c>
      <c r="L2886" s="2">
        <v>2583.09</v>
      </c>
      <c r="M2886" s="3"/>
      <c r="N2886" s="4">
        <v>5.8799999999999996E-6</v>
      </c>
      <c r="O2886" s="5">
        <v>44378</v>
      </c>
      <c r="P2886" s="5">
        <v>55153</v>
      </c>
      <c r="Q2886" s="1">
        <v>0</v>
      </c>
      <c r="R2886" s="2"/>
      <c r="S2886" s="6"/>
      <c r="T2886" t="s">
        <v>111</v>
      </c>
      <c r="U2886" t="s">
        <v>11003</v>
      </c>
      <c r="V2886" t="s">
        <v>46</v>
      </c>
      <c r="W2886" t="s">
        <v>43</v>
      </c>
      <c r="X2886" t="s">
        <v>44</v>
      </c>
      <c r="Y2886" t="s">
        <v>44</v>
      </c>
      <c r="Z2886" t="s">
        <v>44</v>
      </c>
      <c r="AA2886" t="s">
        <v>44</v>
      </c>
      <c r="AB2886" t="s">
        <v>44</v>
      </c>
      <c r="AC2886" s="4"/>
      <c r="AD2886" s="4"/>
      <c r="AE2886" s="2">
        <v>0</v>
      </c>
      <c r="AF2886" s="4">
        <v>0</v>
      </c>
      <c r="AG2886" s="2">
        <v>0</v>
      </c>
      <c r="AH2886" s="2">
        <v>2583.09</v>
      </c>
      <c r="AI2886" s="2">
        <v>0</v>
      </c>
      <c r="AJ2886" s="5">
        <v>44673</v>
      </c>
      <c r="AK2886" t="s">
        <v>12602</v>
      </c>
      <c r="AL2886" s="2">
        <v>0</v>
      </c>
      <c r="AM2886" s="2">
        <v>0</v>
      </c>
      <c r="AN2886" s="2">
        <v>0</v>
      </c>
      <c r="AO2886" t="s">
        <v>44</v>
      </c>
      <c r="AP2886" t="s">
        <v>11275</v>
      </c>
      <c r="AQ2886" t="s">
        <v>11274</v>
      </c>
    </row>
    <row r="2887" spans="1:43" x14ac:dyDescent="0.2">
      <c r="A2887" t="s">
        <v>12601</v>
      </c>
      <c r="B2887" t="s">
        <v>45</v>
      </c>
      <c r="C2887" t="s">
        <v>11000</v>
      </c>
      <c r="D2887" t="s">
        <v>11001</v>
      </c>
      <c r="E2887" t="s">
        <v>11002</v>
      </c>
      <c r="F2887" t="s">
        <v>11001</v>
      </c>
      <c r="G2887" s="1">
        <v>2005662.09</v>
      </c>
      <c r="H2887" s="2">
        <v>2005662.09</v>
      </c>
      <c r="I2887" s="2">
        <v>2005662.09</v>
      </c>
      <c r="J2887" s="2">
        <v>4931.41</v>
      </c>
      <c r="K2887" s="2">
        <v>0</v>
      </c>
      <c r="L2887" s="2">
        <v>2010593.5</v>
      </c>
      <c r="M2887" s="3"/>
      <c r="N2887" s="4">
        <v>4.5743199999999998E-3</v>
      </c>
      <c r="O2887" s="5">
        <v>40756</v>
      </c>
      <c r="P2887" s="5">
        <v>73020</v>
      </c>
      <c r="Q2887" s="1">
        <v>0</v>
      </c>
      <c r="R2887" s="2"/>
      <c r="S2887" s="6"/>
      <c r="T2887" t="s">
        <v>111</v>
      </c>
      <c r="U2887" t="s">
        <v>11003</v>
      </c>
      <c r="V2887" t="s">
        <v>46</v>
      </c>
      <c r="W2887" t="s">
        <v>43</v>
      </c>
      <c r="X2887" t="s">
        <v>44</v>
      </c>
      <c r="Y2887" t="s">
        <v>44</v>
      </c>
      <c r="Z2887" t="s">
        <v>44</v>
      </c>
      <c r="AA2887" t="s">
        <v>44</v>
      </c>
      <c r="AB2887" t="s">
        <v>44</v>
      </c>
      <c r="AC2887" s="4"/>
      <c r="AD2887" s="4"/>
      <c r="AE2887" s="2">
        <v>0</v>
      </c>
      <c r="AF2887" s="4">
        <v>0</v>
      </c>
      <c r="AG2887" s="2">
        <v>3.88</v>
      </c>
      <c r="AH2887" s="2">
        <v>2010593.5</v>
      </c>
      <c r="AI2887" s="2">
        <v>0</v>
      </c>
      <c r="AJ2887" s="5">
        <v>44673</v>
      </c>
      <c r="AK2887" t="s">
        <v>12602</v>
      </c>
      <c r="AL2887" s="2">
        <v>0</v>
      </c>
      <c r="AM2887" s="2">
        <v>0</v>
      </c>
      <c r="AN2887" s="2">
        <v>0</v>
      </c>
      <c r="AO2887" t="s">
        <v>44</v>
      </c>
      <c r="AP2887" t="s">
        <v>11004</v>
      </c>
      <c r="AQ2887" t="s">
        <v>11002</v>
      </c>
    </row>
    <row r="2888" spans="1:43" x14ac:dyDescent="0.2">
      <c r="A2888" t="s">
        <v>12601</v>
      </c>
      <c r="B2888" t="s">
        <v>45</v>
      </c>
      <c r="C2888" t="s">
        <v>11144</v>
      </c>
      <c r="D2888" t="s">
        <v>11145</v>
      </c>
      <c r="E2888" t="s">
        <v>11146</v>
      </c>
      <c r="F2888" t="s">
        <v>11147</v>
      </c>
      <c r="G2888" s="1">
        <v>4681151</v>
      </c>
      <c r="H2888" s="2">
        <v>4681151</v>
      </c>
      <c r="I2888" s="2">
        <v>4681151</v>
      </c>
      <c r="J2888" s="2">
        <v>12293.56</v>
      </c>
      <c r="K2888" s="2">
        <v>0</v>
      </c>
      <c r="L2888" s="2">
        <v>4693444.5599999996</v>
      </c>
      <c r="M2888" s="3">
        <v>6.88</v>
      </c>
      <c r="N2888" s="4">
        <v>1.0678089999999999E-2</v>
      </c>
      <c r="O2888" s="5" t="s">
        <v>44</v>
      </c>
      <c r="P2888" s="5">
        <v>55153</v>
      </c>
      <c r="Q2888" s="1">
        <v>6.88</v>
      </c>
      <c r="R2888" s="2">
        <v>0.08</v>
      </c>
      <c r="S2888" s="6">
        <v>2.6006750000000002E-3</v>
      </c>
      <c r="T2888" t="s">
        <v>112</v>
      </c>
      <c r="U2888" t="s">
        <v>46</v>
      </c>
      <c r="V2888" t="s">
        <v>11148</v>
      </c>
      <c r="W2888" t="s">
        <v>43</v>
      </c>
      <c r="X2888" t="s">
        <v>44</v>
      </c>
      <c r="Y2888" t="s">
        <v>44</v>
      </c>
      <c r="Z2888" t="s">
        <v>44</v>
      </c>
      <c r="AA2888" t="s">
        <v>44</v>
      </c>
      <c r="AB2888" t="s">
        <v>44</v>
      </c>
      <c r="AC2888" s="4"/>
      <c r="AD2888" s="4"/>
      <c r="AE2888" s="2">
        <v>0</v>
      </c>
      <c r="AF2888" s="4">
        <v>0</v>
      </c>
      <c r="AG2888" s="2">
        <v>9.06</v>
      </c>
      <c r="AH2888" s="2">
        <v>4693444.5599999996</v>
      </c>
      <c r="AI2888" s="2">
        <v>0.01</v>
      </c>
      <c r="AJ2888" s="5">
        <v>44673</v>
      </c>
      <c r="AK2888" t="s">
        <v>12602</v>
      </c>
      <c r="AL2888" s="2">
        <v>0</v>
      </c>
      <c r="AM2888" s="2">
        <v>6.88</v>
      </c>
      <c r="AN2888" s="2">
        <v>0</v>
      </c>
      <c r="AO2888" t="s">
        <v>11146</v>
      </c>
      <c r="AP2888" t="s">
        <v>44</v>
      </c>
      <c r="AQ2888" t="s">
        <v>11146</v>
      </c>
    </row>
    <row r="2889" spans="1:43" x14ac:dyDescent="0.2">
      <c r="A2889" t="s">
        <v>12601</v>
      </c>
      <c r="B2889" t="s">
        <v>45</v>
      </c>
      <c r="C2889" t="s">
        <v>47</v>
      </c>
      <c r="D2889" t="s">
        <v>48</v>
      </c>
      <c r="E2889" t="s">
        <v>49</v>
      </c>
      <c r="F2889" t="s">
        <v>50</v>
      </c>
      <c r="G2889" s="1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585.9</v>
      </c>
      <c r="M2889" s="3"/>
      <c r="N2889" s="4">
        <v>1.33E-6</v>
      </c>
      <c r="O2889" s="5" t="s">
        <v>44</v>
      </c>
      <c r="P2889" s="5" t="s">
        <v>44</v>
      </c>
      <c r="Q2889" s="1"/>
      <c r="R2889" s="2">
        <v>0.08</v>
      </c>
      <c r="S2889" s="6"/>
      <c r="T2889" t="s">
        <v>45</v>
      </c>
      <c r="U2889" t="s">
        <v>46</v>
      </c>
      <c r="V2889" t="s">
        <v>44</v>
      </c>
      <c r="W2889" t="s">
        <v>43</v>
      </c>
      <c r="X2889" t="s">
        <v>44</v>
      </c>
      <c r="Y2889" t="s">
        <v>44</v>
      </c>
      <c r="Z2889" t="s">
        <v>44</v>
      </c>
      <c r="AA2889" t="s">
        <v>44</v>
      </c>
      <c r="AB2889" t="s">
        <v>44</v>
      </c>
      <c r="AC2889" s="4">
        <v>5.1163389600000002</v>
      </c>
      <c r="AD2889" s="4">
        <v>5.0001424999999999</v>
      </c>
      <c r="AE2889" s="2">
        <v>5.12</v>
      </c>
      <c r="AF2889" s="4">
        <v>5.0001424999999999</v>
      </c>
      <c r="AG2889" s="2">
        <v>0</v>
      </c>
      <c r="AH2889" s="2">
        <v>585.9</v>
      </c>
      <c r="AI2889" s="2">
        <v>0</v>
      </c>
      <c r="AJ2889" s="5">
        <v>44673</v>
      </c>
      <c r="AK2889" t="s">
        <v>12602</v>
      </c>
      <c r="AL2889" s="2">
        <v>5.05</v>
      </c>
      <c r="AM2889" s="2">
        <v>0</v>
      </c>
      <c r="AN2889" s="2">
        <v>0</v>
      </c>
      <c r="AO2889" t="s">
        <v>44</v>
      </c>
      <c r="AP2889" t="s">
        <v>44</v>
      </c>
      <c r="AQ2889" t="s">
        <v>44</v>
      </c>
    </row>
    <row r="2890" spans="1:43" x14ac:dyDescent="0.2">
      <c r="A2890" t="s">
        <v>12601</v>
      </c>
      <c r="B2890" t="s">
        <v>45</v>
      </c>
      <c r="C2890" t="s">
        <v>47</v>
      </c>
      <c r="D2890" t="s">
        <v>51</v>
      </c>
      <c r="E2890" t="s">
        <v>52</v>
      </c>
      <c r="F2890" t="s">
        <v>51</v>
      </c>
      <c r="G2890" s="1">
        <v>563846.32999999996</v>
      </c>
      <c r="H2890" s="2">
        <v>563846.32999999996</v>
      </c>
      <c r="I2890" s="2">
        <v>563846.32999999996</v>
      </c>
      <c r="J2890" s="2">
        <v>0</v>
      </c>
      <c r="K2890" s="2">
        <v>0</v>
      </c>
      <c r="L2890" s="2">
        <v>563846.32999999996</v>
      </c>
      <c r="M2890" s="3"/>
      <c r="N2890" s="4">
        <v>1.2828099999999999E-3</v>
      </c>
      <c r="O2890" s="5" t="s">
        <v>44</v>
      </c>
      <c r="P2890" s="5" t="s">
        <v>44</v>
      </c>
      <c r="Q2890" s="1"/>
      <c r="R2890" s="2">
        <v>0.08</v>
      </c>
      <c r="S2890" s="6"/>
      <c r="T2890" t="s">
        <v>45</v>
      </c>
      <c r="U2890" t="s">
        <v>53</v>
      </c>
      <c r="V2890" t="s">
        <v>44</v>
      </c>
      <c r="W2890" t="s">
        <v>43</v>
      </c>
      <c r="X2890" t="s">
        <v>44</v>
      </c>
      <c r="Y2890" t="s">
        <v>44</v>
      </c>
      <c r="Z2890" t="s">
        <v>44</v>
      </c>
      <c r="AA2890" t="s">
        <v>44</v>
      </c>
      <c r="AB2890" t="s">
        <v>44</v>
      </c>
      <c r="AC2890" s="4">
        <v>5.1163389600000002</v>
      </c>
      <c r="AD2890" s="4">
        <v>5.0001424999999999</v>
      </c>
      <c r="AE2890" s="2">
        <v>5.12</v>
      </c>
      <c r="AF2890" s="4">
        <v>5.0001424999999999</v>
      </c>
      <c r="AG2890" s="2">
        <v>1.0900000000000001</v>
      </c>
      <c r="AH2890" s="2">
        <v>563846.32999999996</v>
      </c>
      <c r="AI2890" s="2">
        <v>0</v>
      </c>
      <c r="AJ2890" s="5">
        <v>44673</v>
      </c>
      <c r="AK2890" t="s">
        <v>12602</v>
      </c>
      <c r="AL2890" s="2">
        <v>5.05</v>
      </c>
      <c r="AM2890" s="2">
        <v>0</v>
      </c>
      <c r="AN2890" s="2">
        <v>0</v>
      </c>
      <c r="AO2890" t="s">
        <v>44</v>
      </c>
      <c r="AP2890" t="s">
        <v>44</v>
      </c>
      <c r="AQ2890" t="s">
        <v>43</v>
      </c>
    </row>
    <row r="2891" spans="1:43" x14ac:dyDescent="0.2">
      <c r="A2891" t="s">
        <v>12601</v>
      </c>
      <c r="B2891" t="s">
        <v>45</v>
      </c>
      <c r="C2891" t="s">
        <v>11005</v>
      </c>
      <c r="D2891" t="s">
        <v>11149</v>
      </c>
      <c r="E2891" t="s">
        <v>11150</v>
      </c>
      <c r="F2891" t="s">
        <v>44</v>
      </c>
      <c r="G2891" s="1">
        <v>-426678.32</v>
      </c>
      <c r="H2891" s="2">
        <v>-426678.32</v>
      </c>
      <c r="I2891" s="2">
        <v>-426678.32</v>
      </c>
      <c r="J2891" s="2">
        <v>0</v>
      </c>
      <c r="K2891" s="2"/>
      <c r="L2891" s="2">
        <v>-426678.32</v>
      </c>
      <c r="M2891" s="3"/>
      <c r="N2891" s="4">
        <v>-9.7073999999999999E-4</v>
      </c>
      <c r="O2891" s="5" t="s">
        <v>44</v>
      </c>
      <c r="P2891" s="5">
        <v>73051</v>
      </c>
      <c r="Q2891" s="1">
        <v>0</v>
      </c>
      <c r="R2891" s="2">
        <v>0.08</v>
      </c>
      <c r="S2891" s="6"/>
      <c r="T2891" t="s">
        <v>45</v>
      </c>
      <c r="U2891" t="s">
        <v>44</v>
      </c>
      <c r="V2891" t="s">
        <v>44</v>
      </c>
      <c r="W2891" t="s">
        <v>43</v>
      </c>
      <c r="X2891" t="s">
        <v>44</v>
      </c>
      <c r="Y2891" t="s">
        <v>44</v>
      </c>
      <c r="Z2891" t="s">
        <v>44</v>
      </c>
      <c r="AA2891" t="s">
        <v>44</v>
      </c>
      <c r="AB2891" t="s">
        <v>44</v>
      </c>
      <c r="AC2891" s="4">
        <v>5.1163389600000002</v>
      </c>
      <c r="AD2891" s="4">
        <v>5.0001424999999999</v>
      </c>
      <c r="AE2891" s="2">
        <v>5.12</v>
      </c>
      <c r="AF2891" s="4">
        <v>5.0001424999999999</v>
      </c>
      <c r="AG2891" s="2">
        <v>-0.82</v>
      </c>
      <c r="AH2891" s="2">
        <v>-426678.32</v>
      </c>
      <c r="AI2891" s="2">
        <v>0</v>
      </c>
      <c r="AJ2891" s="5">
        <v>44673</v>
      </c>
      <c r="AK2891" t="s">
        <v>12602</v>
      </c>
      <c r="AL2891" s="2">
        <v>5.05</v>
      </c>
      <c r="AM2891" s="2">
        <v>0</v>
      </c>
      <c r="AN2891" s="2">
        <v>0</v>
      </c>
      <c r="AO2891" t="s">
        <v>44</v>
      </c>
      <c r="AP2891" t="s">
        <v>44</v>
      </c>
      <c r="AQ2891" t="s">
        <v>44</v>
      </c>
    </row>
    <row r="2892" spans="1:43" x14ac:dyDescent="0.2">
      <c r="A2892" t="s">
        <v>12601</v>
      </c>
      <c r="B2892" t="s">
        <v>11024</v>
      </c>
      <c r="C2892" t="s">
        <v>57</v>
      </c>
      <c r="D2892" t="s">
        <v>12603</v>
      </c>
      <c r="E2892" t="s">
        <v>12603</v>
      </c>
      <c r="F2892" t="s">
        <v>12603</v>
      </c>
      <c r="G2892" s="1">
        <v>112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3">
        <v>141129.57999999999</v>
      </c>
      <c r="N2892" s="4">
        <v>0</v>
      </c>
      <c r="O2892" s="5" t="s">
        <v>44</v>
      </c>
      <c r="P2892" s="5">
        <v>44725</v>
      </c>
      <c r="Q2892" s="1"/>
      <c r="R2892" s="2"/>
      <c r="S2892" s="6"/>
      <c r="T2892" t="s">
        <v>11026</v>
      </c>
      <c r="U2892" t="s">
        <v>11025</v>
      </c>
      <c r="V2892" t="s">
        <v>11027</v>
      </c>
      <c r="W2892" t="s">
        <v>43</v>
      </c>
      <c r="X2892" t="s">
        <v>44</v>
      </c>
      <c r="Y2892" t="s">
        <v>44</v>
      </c>
      <c r="Z2892" t="s">
        <v>44</v>
      </c>
      <c r="AA2892" t="s">
        <v>44</v>
      </c>
      <c r="AB2892" t="s">
        <v>44</v>
      </c>
      <c r="AC2892" s="4"/>
      <c r="AD2892" s="4"/>
      <c r="AE2892" s="2">
        <v>0</v>
      </c>
      <c r="AF2892" s="4">
        <v>0</v>
      </c>
      <c r="AG2892" s="2">
        <v>0</v>
      </c>
      <c r="AH2892" s="2">
        <v>15806512.960000001</v>
      </c>
      <c r="AI2892" s="2">
        <v>0.04</v>
      </c>
      <c r="AJ2892" s="5">
        <v>44673</v>
      </c>
      <c r="AK2892" t="s">
        <v>12602</v>
      </c>
      <c r="AL2892" s="2">
        <v>0</v>
      </c>
      <c r="AM2892" s="2">
        <v>0</v>
      </c>
      <c r="AN2892" s="2">
        <v>0</v>
      </c>
      <c r="AO2892" t="s">
        <v>44</v>
      </c>
      <c r="AP2892" t="s">
        <v>12604</v>
      </c>
      <c r="AQ2892" t="s">
        <v>12603</v>
      </c>
    </row>
    <row r="2893" spans="1:43" x14ac:dyDescent="0.2">
      <c r="A2893" t="s">
        <v>12601</v>
      </c>
      <c r="B2893" t="s">
        <v>11024</v>
      </c>
      <c r="C2893" t="s">
        <v>57</v>
      </c>
      <c r="D2893" t="s">
        <v>12605</v>
      </c>
      <c r="E2893" t="s">
        <v>12605</v>
      </c>
      <c r="F2893" t="s">
        <v>12605</v>
      </c>
      <c r="G2893" s="1">
        <v>866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3">
        <v>8480.36</v>
      </c>
      <c r="N2893" s="4">
        <v>0</v>
      </c>
      <c r="O2893" s="5" t="s">
        <v>44</v>
      </c>
      <c r="P2893" s="5">
        <v>44725</v>
      </c>
      <c r="Q2893" s="1"/>
      <c r="R2893" s="2"/>
      <c r="S2893" s="6"/>
      <c r="T2893" t="s">
        <v>11026</v>
      </c>
      <c r="U2893" t="s">
        <v>11025</v>
      </c>
      <c r="V2893" t="s">
        <v>11027</v>
      </c>
      <c r="W2893" t="s">
        <v>43</v>
      </c>
      <c r="X2893" t="s">
        <v>44</v>
      </c>
      <c r="Y2893" t="s">
        <v>44</v>
      </c>
      <c r="Z2893" t="s">
        <v>44</v>
      </c>
      <c r="AA2893" t="s">
        <v>44</v>
      </c>
      <c r="AB2893" t="s">
        <v>44</v>
      </c>
      <c r="AC2893" s="4"/>
      <c r="AD2893" s="4"/>
      <c r="AE2893" s="2">
        <v>0</v>
      </c>
      <c r="AF2893" s="4">
        <v>0</v>
      </c>
      <c r="AG2893" s="2">
        <v>0</v>
      </c>
      <c r="AH2893" s="2">
        <v>7343991.7599999998</v>
      </c>
      <c r="AI2893" s="2">
        <v>0.02</v>
      </c>
      <c r="AJ2893" s="5">
        <v>44673</v>
      </c>
      <c r="AK2893" t="s">
        <v>12602</v>
      </c>
      <c r="AL2893" s="2">
        <v>0</v>
      </c>
      <c r="AM2893" s="2">
        <v>0</v>
      </c>
      <c r="AN2893" s="2">
        <v>0</v>
      </c>
      <c r="AO2893" t="s">
        <v>44</v>
      </c>
      <c r="AP2893" t="s">
        <v>12606</v>
      </c>
      <c r="AQ2893" t="s">
        <v>12605</v>
      </c>
    </row>
    <row r="2894" spans="1:43" x14ac:dyDescent="0.2">
      <c r="A2894" t="s">
        <v>12601</v>
      </c>
      <c r="B2894" t="s">
        <v>11024</v>
      </c>
      <c r="C2894" t="s">
        <v>57</v>
      </c>
      <c r="D2894" t="s">
        <v>11151</v>
      </c>
      <c r="E2894" t="s">
        <v>11151</v>
      </c>
      <c r="F2894" t="s">
        <v>11151</v>
      </c>
      <c r="G2894" s="1">
        <v>43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3">
        <v>65704</v>
      </c>
      <c r="N2894" s="4">
        <v>0</v>
      </c>
      <c r="O2894" s="5" t="s">
        <v>44</v>
      </c>
      <c r="P2894" s="5">
        <v>44727</v>
      </c>
      <c r="Q2894" s="1"/>
      <c r="R2894" s="2"/>
      <c r="S2894" s="6"/>
      <c r="T2894" t="s">
        <v>11026</v>
      </c>
      <c r="U2894" t="s">
        <v>11025</v>
      </c>
      <c r="V2894" t="s">
        <v>11027</v>
      </c>
      <c r="W2894" t="s">
        <v>43</v>
      </c>
      <c r="X2894" t="s">
        <v>44</v>
      </c>
      <c r="Y2894" t="s">
        <v>44</v>
      </c>
      <c r="Z2894" t="s">
        <v>44</v>
      </c>
      <c r="AA2894" t="s">
        <v>44</v>
      </c>
      <c r="AB2894" t="s">
        <v>44</v>
      </c>
      <c r="AC2894" s="4"/>
      <c r="AD2894" s="4"/>
      <c r="AE2894" s="2">
        <v>0</v>
      </c>
      <c r="AF2894" s="4">
        <v>0</v>
      </c>
      <c r="AG2894" s="2">
        <v>0</v>
      </c>
      <c r="AH2894" s="2">
        <v>28252720</v>
      </c>
      <c r="AI2894" s="2">
        <v>0.06</v>
      </c>
      <c r="AJ2894" s="5">
        <v>44673</v>
      </c>
      <c r="AK2894" t="s">
        <v>12602</v>
      </c>
      <c r="AL2894" s="2">
        <v>0</v>
      </c>
      <c r="AM2894" s="2">
        <v>0</v>
      </c>
      <c r="AN2894" s="2">
        <v>0</v>
      </c>
      <c r="AO2894" t="s">
        <v>44</v>
      </c>
      <c r="AP2894" t="s">
        <v>11152</v>
      </c>
      <c r="AQ2894" t="s">
        <v>11151</v>
      </c>
    </row>
    <row r="2895" spans="1:43" x14ac:dyDescent="0.2">
      <c r="A2895" t="s">
        <v>12601</v>
      </c>
      <c r="B2895" t="s">
        <v>11038</v>
      </c>
      <c r="C2895" t="s">
        <v>11052</v>
      </c>
      <c r="D2895" t="s">
        <v>12189</v>
      </c>
      <c r="E2895" t="s">
        <v>12190</v>
      </c>
      <c r="F2895" t="s">
        <v>12189</v>
      </c>
      <c r="G2895" s="1">
        <v>6400000</v>
      </c>
      <c r="H2895" s="2">
        <v>6248154.5700000003</v>
      </c>
      <c r="I2895" s="2">
        <v>6248154.5700000003</v>
      </c>
      <c r="J2895" s="2">
        <v>0</v>
      </c>
      <c r="K2895" s="2">
        <v>0</v>
      </c>
      <c r="L2895" s="2">
        <v>6248154.5700000003</v>
      </c>
      <c r="M2895" s="3">
        <v>5.1450009999999997</v>
      </c>
      <c r="N2895" s="4">
        <v>1.4215220000000001E-2</v>
      </c>
      <c r="O2895" s="5" t="s">
        <v>44</v>
      </c>
      <c r="P2895" s="5">
        <v>44846</v>
      </c>
      <c r="Q2895" s="1">
        <v>0</v>
      </c>
      <c r="R2895" s="2">
        <v>0.47</v>
      </c>
      <c r="S2895" s="6">
        <v>0.45485375498000002</v>
      </c>
      <c r="T2895" t="s">
        <v>112</v>
      </c>
      <c r="U2895" t="s">
        <v>11040</v>
      </c>
      <c r="V2895" t="s">
        <v>11238</v>
      </c>
      <c r="W2895" t="s">
        <v>43</v>
      </c>
      <c r="X2895" t="s">
        <v>44</v>
      </c>
      <c r="Y2895" t="s">
        <v>44</v>
      </c>
      <c r="Z2895" t="s">
        <v>44</v>
      </c>
      <c r="AA2895" t="s">
        <v>10913</v>
      </c>
      <c r="AB2895" t="s">
        <v>44</v>
      </c>
      <c r="AC2895" s="4">
        <v>5.2157943299999996</v>
      </c>
      <c r="AD2895" s="4">
        <v>5.0951101300000001</v>
      </c>
      <c r="AE2895" s="2">
        <v>5.22</v>
      </c>
      <c r="AF2895" s="4">
        <v>5.0951101300000001</v>
      </c>
      <c r="AG2895" s="2">
        <v>12.06</v>
      </c>
      <c r="AH2895" s="2">
        <v>6248154.5700000003</v>
      </c>
      <c r="AI2895" s="2">
        <v>0.01</v>
      </c>
      <c r="AJ2895" s="5">
        <v>44673</v>
      </c>
      <c r="AK2895" t="s">
        <v>12602</v>
      </c>
      <c r="AL2895" s="2">
        <v>5.15</v>
      </c>
      <c r="AM2895" s="2">
        <v>0</v>
      </c>
      <c r="AN2895" s="2">
        <v>0.45</v>
      </c>
      <c r="AO2895" t="s">
        <v>10922</v>
      </c>
      <c r="AP2895" t="s">
        <v>12191</v>
      </c>
      <c r="AQ2895" t="s">
        <v>12190</v>
      </c>
    </row>
    <row r="2896" spans="1:43" x14ac:dyDescent="0.2">
      <c r="A2896" t="s">
        <v>12601</v>
      </c>
      <c r="B2896" t="s">
        <v>11038</v>
      </c>
      <c r="C2896" t="s">
        <v>11039</v>
      </c>
      <c r="D2896" t="s">
        <v>11971</v>
      </c>
      <c r="E2896" t="s">
        <v>11972</v>
      </c>
      <c r="F2896" t="s">
        <v>11971</v>
      </c>
      <c r="G2896" s="1">
        <v>1000000</v>
      </c>
      <c r="H2896" s="2">
        <v>1000000</v>
      </c>
      <c r="I2896" s="2">
        <v>998963.76</v>
      </c>
      <c r="J2896" s="2">
        <v>11860.27</v>
      </c>
      <c r="K2896" s="2">
        <v>0</v>
      </c>
      <c r="L2896" s="2">
        <v>1010824.03</v>
      </c>
      <c r="M2896" s="3">
        <v>5.914955</v>
      </c>
      <c r="N2896" s="4">
        <v>2.2997299999999998E-3</v>
      </c>
      <c r="O2896" s="5">
        <v>44965</v>
      </c>
      <c r="P2896" s="5">
        <v>44965</v>
      </c>
      <c r="Q2896" s="1">
        <v>5.85</v>
      </c>
      <c r="R2896" s="2">
        <v>0.79</v>
      </c>
      <c r="S2896" s="6">
        <v>0.75635794914999999</v>
      </c>
      <c r="T2896" t="s">
        <v>111</v>
      </c>
      <c r="U2896" t="s">
        <v>11040</v>
      </c>
      <c r="V2896" t="s">
        <v>11041</v>
      </c>
      <c r="W2896" t="s">
        <v>43</v>
      </c>
      <c r="X2896" t="s">
        <v>11034</v>
      </c>
      <c r="Y2896" t="s">
        <v>44</v>
      </c>
      <c r="Z2896" t="s">
        <v>44</v>
      </c>
      <c r="AA2896" t="s">
        <v>10979</v>
      </c>
      <c r="AB2896" t="s">
        <v>44</v>
      </c>
      <c r="AC2896" s="4">
        <v>5.9509684500000004</v>
      </c>
      <c r="AD2896" s="4">
        <v>5.7945694899999998</v>
      </c>
      <c r="AE2896" s="2">
        <v>5.95</v>
      </c>
      <c r="AF2896" s="4">
        <v>5.7945694899999998</v>
      </c>
      <c r="AG2896" s="2">
        <v>1.95</v>
      </c>
      <c r="AH2896" s="2">
        <v>1010824.03</v>
      </c>
      <c r="AI2896" s="2">
        <v>0</v>
      </c>
      <c r="AJ2896" s="5">
        <v>44673</v>
      </c>
      <c r="AK2896" t="s">
        <v>12602</v>
      </c>
      <c r="AL2896" s="2">
        <v>5.86</v>
      </c>
      <c r="AM2896" s="2">
        <v>5.85</v>
      </c>
      <c r="AN2896" s="2">
        <v>0.76</v>
      </c>
      <c r="AO2896" t="s">
        <v>11165</v>
      </c>
      <c r="AP2896" t="s">
        <v>11973</v>
      </c>
      <c r="AQ2896" t="s">
        <v>11972</v>
      </c>
    </row>
    <row r="2897" spans="1:43" x14ac:dyDescent="0.2">
      <c r="A2897" t="s">
        <v>12601</v>
      </c>
      <c r="B2897" t="s">
        <v>11038</v>
      </c>
      <c r="C2897" t="s">
        <v>11039</v>
      </c>
      <c r="D2897" t="s">
        <v>12858</v>
      </c>
      <c r="E2897" t="s">
        <v>12859</v>
      </c>
      <c r="F2897" t="s">
        <v>12858</v>
      </c>
      <c r="G2897" s="1">
        <v>8000000</v>
      </c>
      <c r="H2897" s="2">
        <v>8000000</v>
      </c>
      <c r="I2897" s="2">
        <v>8014910.3600000003</v>
      </c>
      <c r="J2897" s="2">
        <v>33876.160000000003</v>
      </c>
      <c r="K2897" s="2">
        <v>0</v>
      </c>
      <c r="L2897" s="2">
        <v>8048786.5199999996</v>
      </c>
      <c r="M2897" s="3">
        <v>6.1993330000000002</v>
      </c>
      <c r="N2897" s="4">
        <v>1.8311859999999999E-2</v>
      </c>
      <c r="O2897" s="5">
        <v>45015</v>
      </c>
      <c r="P2897" s="5">
        <v>45015</v>
      </c>
      <c r="Q2897" s="1">
        <v>6.44</v>
      </c>
      <c r="R2897" s="2">
        <v>0.93</v>
      </c>
      <c r="S2897" s="6">
        <v>0.87820253481999999</v>
      </c>
      <c r="T2897" t="s">
        <v>111</v>
      </c>
      <c r="U2897" t="s">
        <v>11040</v>
      </c>
      <c r="V2897" t="s">
        <v>11041</v>
      </c>
      <c r="W2897" t="s">
        <v>43</v>
      </c>
      <c r="X2897" t="s">
        <v>11034</v>
      </c>
      <c r="Y2897" t="s">
        <v>44</v>
      </c>
      <c r="Z2897" t="s">
        <v>44</v>
      </c>
      <c r="AA2897" t="s">
        <v>10979</v>
      </c>
      <c r="AB2897" t="s">
        <v>44</v>
      </c>
      <c r="AC2897" s="4">
        <v>6.2127848300000004</v>
      </c>
      <c r="AD2897" s="4">
        <v>6.0425928500000001</v>
      </c>
      <c r="AE2897" s="2">
        <v>6.21</v>
      </c>
      <c r="AF2897" s="4">
        <v>6.0425928500000001</v>
      </c>
      <c r="AG2897" s="2">
        <v>15.54</v>
      </c>
      <c r="AH2897" s="2">
        <v>8048786.5199999996</v>
      </c>
      <c r="AI2897" s="2">
        <v>0.02</v>
      </c>
      <c r="AJ2897" s="5">
        <v>44673</v>
      </c>
      <c r="AK2897" t="s">
        <v>12602</v>
      </c>
      <c r="AL2897" s="2">
        <v>6.12</v>
      </c>
      <c r="AM2897" s="2">
        <v>6.44</v>
      </c>
      <c r="AN2897" s="2">
        <v>0.88</v>
      </c>
      <c r="AO2897" t="s">
        <v>11165</v>
      </c>
      <c r="AP2897" t="s">
        <v>12860</v>
      </c>
      <c r="AQ2897" t="s">
        <v>12859</v>
      </c>
    </row>
    <row r="2898" spans="1:43" x14ac:dyDescent="0.2">
      <c r="A2898" t="s">
        <v>12601</v>
      </c>
      <c r="B2898" t="s">
        <v>11038</v>
      </c>
      <c r="C2898" t="s">
        <v>11039</v>
      </c>
      <c r="D2898" t="s">
        <v>12844</v>
      </c>
      <c r="E2898" t="s">
        <v>12845</v>
      </c>
      <c r="F2898" t="s">
        <v>12844</v>
      </c>
      <c r="G2898" s="1">
        <v>2000000</v>
      </c>
      <c r="H2898" s="2">
        <v>2000000</v>
      </c>
      <c r="I2898" s="2">
        <v>2002086.31</v>
      </c>
      <c r="J2898" s="2">
        <v>8002.74</v>
      </c>
      <c r="K2898" s="2">
        <v>0</v>
      </c>
      <c r="L2898" s="2">
        <v>2010089.05</v>
      </c>
      <c r="M2898" s="3">
        <v>6.2045560000000002</v>
      </c>
      <c r="N2898" s="4">
        <v>4.5731699999999997E-3</v>
      </c>
      <c r="O2898" s="5">
        <v>45016</v>
      </c>
      <c r="P2898" s="5">
        <v>45016</v>
      </c>
      <c r="Q2898" s="1">
        <v>6.35</v>
      </c>
      <c r="R2898" s="2">
        <v>0.93</v>
      </c>
      <c r="S2898" s="6">
        <v>0.88061116438999998</v>
      </c>
      <c r="T2898" t="s">
        <v>111</v>
      </c>
      <c r="U2898" t="s">
        <v>11040</v>
      </c>
      <c r="V2898" t="s">
        <v>11041</v>
      </c>
      <c r="W2898" t="s">
        <v>43</v>
      </c>
      <c r="X2898" t="s">
        <v>11034</v>
      </c>
      <c r="Y2898" t="s">
        <v>44</v>
      </c>
      <c r="Z2898" t="s">
        <v>44</v>
      </c>
      <c r="AA2898" t="s">
        <v>11035</v>
      </c>
      <c r="AB2898" t="s">
        <v>44</v>
      </c>
      <c r="AC2898" s="4">
        <v>6.2175109700000002</v>
      </c>
      <c r="AD2898" s="4">
        <v>6.0470648499999999</v>
      </c>
      <c r="AE2898" s="2">
        <v>6.22</v>
      </c>
      <c r="AF2898" s="4">
        <v>6.0470648499999999</v>
      </c>
      <c r="AG2898" s="2">
        <v>3.88</v>
      </c>
      <c r="AH2898" s="2">
        <v>2010089.05</v>
      </c>
      <c r="AI2898" s="2">
        <v>0</v>
      </c>
      <c r="AJ2898" s="5">
        <v>44673</v>
      </c>
      <c r="AK2898" t="s">
        <v>12602</v>
      </c>
      <c r="AL2898" s="2">
        <v>6.12</v>
      </c>
      <c r="AM2898" s="2">
        <v>6.35</v>
      </c>
      <c r="AN2898" s="2">
        <v>0.88</v>
      </c>
      <c r="AO2898" t="s">
        <v>11036</v>
      </c>
      <c r="AP2898" t="s">
        <v>12846</v>
      </c>
      <c r="AQ2898" t="s">
        <v>12845</v>
      </c>
    </row>
    <row r="2899" spans="1:43" x14ac:dyDescent="0.2">
      <c r="A2899" t="s">
        <v>12601</v>
      </c>
      <c r="B2899" t="s">
        <v>11038</v>
      </c>
      <c r="C2899" t="s">
        <v>11039</v>
      </c>
      <c r="D2899" t="s">
        <v>11390</v>
      </c>
      <c r="E2899" t="s">
        <v>11391</v>
      </c>
      <c r="F2899" t="s">
        <v>11390</v>
      </c>
      <c r="G2899" s="1">
        <v>1200000</v>
      </c>
      <c r="H2899" s="2">
        <v>1158462.9099999999</v>
      </c>
      <c r="I2899" s="2">
        <v>1158462.9099999999</v>
      </c>
      <c r="J2899" s="2">
        <v>0</v>
      </c>
      <c r="K2899" s="2">
        <v>0</v>
      </c>
      <c r="L2899" s="2">
        <v>1158462.9099999999</v>
      </c>
      <c r="M2899" s="3">
        <v>5.7867119999999996</v>
      </c>
      <c r="N2899" s="4">
        <v>2.6356299999999999E-3</v>
      </c>
      <c r="O2899" s="5" t="s">
        <v>44</v>
      </c>
      <c r="P2899" s="5">
        <v>44902</v>
      </c>
      <c r="Q2899" s="1">
        <v>0</v>
      </c>
      <c r="R2899" s="2">
        <v>0.62</v>
      </c>
      <c r="S2899" s="6">
        <v>0.59776029928999996</v>
      </c>
      <c r="T2899" t="s">
        <v>112</v>
      </c>
      <c r="U2899" t="s">
        <v>11040</v>
      </c>
      <c r="V2899" t="s">
        <v>11238</v>
      </c>
      <c r="W2899" t="s">
        <v>43</v>
      </c>
      <c r="X2899" t="s">
        <v>44</v>
      </c>
      <c r="Y2899" t="s">
        <v>44</v>
      </c>
      <c r="Z2899" t="s">
        <v>44</v>
      </c>
      <c r="AA2899" t="s">
        <v>10913</v>
      </c>
      <c r="AB2899" t="s">
        <v>44</v>
      </c>
      <c r="AC2899" s="4">
        <v>5.8501835199999999</v>
      </c>
      <c r="AD2899" s="4">
        <v>5.6989443299999998</v>
      </c>
      <c r="AE2899" s="2">
        <v>5.85</v>
      </c>
      <c r="AF2899" s="4">
        <v>5.6989443299999998</v>
      </c>
      <c r="AG2899" s="2">
        <v>2.2400000000000002</v>
      </c>
      <c r="AH2899" s="2">
        <v>1158462.9099999999</v>
      </c>
      <c r="AI2899" s="2">
        <v>0</v>
      </c>
      <c r="AJ2899" s="5">
        <v>44673</v>
      </c>
      <c r="AK2899" t="s">
        <v>12602</v>
      </c>
      <c r="AL2899" s="2">
        <v>5.77</v>
      </c>
      <c r="AM2899" s="2">
        <v>0</v>
      </c>
      <c r="AN2899" s="2">
        <v>0.6</v>
      </c>
      <c r="AO2899" t="s">
        <v>10922</v>
      </c>
      <c r="AP2899" t="s">
        <v>11392</v>
      </c>
      <c r="AQ2899" t="s">
        <v>11391</v>
      </c>
    </row>
    <row r="2900" spans="1:43" x14ac:dyDescent="0.2">
      <c r="A2900" t="s">
        <v>12601</v>
      </c>
      <c r="B2900" t="s">
        <v>11038</v>
      </c>
      <c r="C2900" t="s">
        <v>11039</v>
      </c>
      <c r="D2900" t="s">
        <v>12257</v>
      </c>
      <c r="E2900" t="s">
        <v>12258</v>
      </c>
      <c r="F2900" t="s">
        <v>12257</v>
      </c>
      <c r="G2900" s="1">
        <v>1200000</v>
      </c>
      <c r="H2900" s="2">
        <v>1158599.8899999999</v>
      </c>
      <c r="I2900" s="2">
        <v>1158599.8899999999</v>
      </c>
      <c r="J2900" s="2">
        <v>0</v>
      </c>
      <c r="K2900" s="2">
        <v>0</v>
      </c>
      <c r="L2900" s="2">
        <v>1158599.8899999999</v>
      </c>
      <c r="M2900" s="3">
        <v>5.7911989999999998</v>
      </c>
      <c r="N2900" s="4">
        <v>2.6359399999999998E-3</v>
      </c>
      <c r="O2900" s="5" t="s">
        <v>44</v>
      </c>
      <c r="P2900" s="5">
        <v>44909</v>
      </c>
      <c r="Q2900" s="1">
        <v>0</v>
      </c>
      <c r="R2900" s="2">
        <v>0.64</v>
      </c>
      <c r="S2900" s="6">
        <v>0.6155984269</v>
      </c>
      <c r="T2900" t="s">
        <v>112</v>
      </c>
      <c r="U2900" t="s">
        <v>11040</v>
      </c>
      <c r="V2900" t="s">
        <v>11238</v>
      </c>
      <c r="W2900" t="s">
        <v>43</v>
      </c>
      <c r="X2900" t="s">
        <v>44</v>
      </c>
      <c r="Y2900" t="s">
        <v>44</v>
      </c>
      <c r="Z2900" t="s">
        <v>44</v>
      </c>
      <c r="AA2900" t="s">
        <v>10913</v>
      </c>
      <c r="AB2900" t="s">
        <v>44</v>
      </c>
      <c r="AC2900" s="4">
        <v>5.8515238099999998</v>
      </c>
      <c r="AD2900" s="4">
        <v>5.7002165500000004</v>
      </c>
      <c r="AE2900" s="2">
        <v>5.85</v>
      </c>
      <c r="AF2900" s="4">
        <v>5.7002165500000004</v>
      </c>
      <c r="AG2900" s="2">
        <v>2.2400000000000002</v>
      </c>
      <c r="AH2900" s="2">
        <v>1158599.8899999999</v>
      </c>
      <c r="AI2900" s="2">
        <v>0</v>
      </c>
      <c r="AJ2900" s="5">
        <v>44673</v>
      </c>
      <c r="AK2900" t="s">
        <v>12602</v>
      </c>
      <c r="AL2900" s="2">
        <v>5.77</v>
      </c>
      <c r="AM2900" s="2">
        <v>0</v>
      </c>
      <c r="AN2900" s="2">
        <v>0.62</v>
      </c>
      <c r="AO2900" t="s">
        <v>10922</v>
      </c>
      <c r="AP2900" t="s">
        <v>12259</v>
      </c>
      <c r="AQ2900" t="s">
        <v>12258</v>
      </c>
    </row>
    <row r="2901" spans="1:43" x14ac:dyDescent="0.2">
      <c r="A2901" t="s">
        <v>12601</v>
      </c>
      <c r="B2901" t="s">
        <v>11038</v>
      </c>
      <c r="C2901" t="s">
        <v>11039</v>
      </c>
      <c r="D2901" t="s">
        <v>11399</v>
      </c>
      <c r="E2901" t="s">
        <v>11400</v>
      </c>
      <c r="F2901" t="s">
        <v>11399</v>
      </c>
      <c r="G2901" s="1">
        <v>1500000</v>
      </c>
      <c r="H2901" s="2">
        <v>1455274.39</v>
      </c>
      <c r="I2901" s="2">
        <v>1455274.39</v>
      </c>
      <c r="J2901" s="2">
        <v>0</v>
      </c>
      <c r="K2901" s="2">
        <v>0</v>
      </c>
      <c r="L2901" s="2">
        <v>1455274.39</v>
      </c>
      <c r="M2901" s="3">
        <v>5.4191849999999997</v>
      </c>
      <c r="N2901" s="4">
        <v>3.3109099999999998E-3</v>
      </c>
      <c r="O2901" s="5" t="s">
        <v>44</v>
      </c>
      <c r="P2901" s="5">
        <v>44881</v>
      </c>
      <c r="Q2901" s="1">
        <v>0</v>
      </c>
      <c r="R2901" s="2">
        <v>0.56000000000000005</v>
      </c>
      <c r="S2901" s="6">
        <v>0.54505428138000001</v>
      </c>
      <c r="T2901" t="s">
        <v>112</v>
      </c>
      <c r="U2901" t="s">
        <v>11040</v>
      </c>
      <c r="V2901" t="s">
        <v>11238</v>
      </c>
      <c r="W2901" t="s">
        <v>43</v>
      </c>
      <c r="X2901" t="s">
        <v>44</v>
      </c>
      <c r="Y2901" t="s">
        <v>44</v>
      </c>
      <c r="Z2901" t="s">
        <v>44</v>
      </c>
      <c r="AA2901" t="s">
        <v>10913</v>
      </c>
      <c r="AB2901" t="s">
        <v>44</v>
      </c>
      <c r="AC2901" s="4">
        <v>5.4834100699999997</v>
      </c>
      <c r="AD2901" s="4">
        <v>5.3502421900000003</v>
      </c>
      <c r="AE2901" s="2">
        <v>5.48</v>
      </c>
      <c r="AF2901" s="4">
        <v>5.3502421900000003</v>
      </c>
      <c r="AG2901" s="2">
        <v>2.81</v>
      </c>
      <c r="AH2901" s="2">
        <v>1455274.39</v>
      </c>
      <c r="AI2901" s="2">
        <v>0</v>
      </c>
      <c r="AJ2901" s="5">
        <v>44673</v>
      </c>
      <c r="AK2901" t="s">
        <v>12602</v>
      </c>
      <c r="AL2901" s="2">
        <v>5.41</v>
      </c>
      <c r="AM2901" s="2">
        <v>0</v>
      </c>
      <c r="AN2901" s="2">
        <v>0.55000000000000004</v>
      </c>
      <c r="AO2901" t="s">
        <v>10922</v>
      </c>
      <c r="AP2901" t="s">
        <v>11401</v>
      </c>
      <c r="AQ2901" t="s">
        <v>11400</v>
      </c>
    </row>
    <row r="2902" spans="1:43" x14ac:dyDescent="0.2">
      <c r="A2902" t="s">
        <v>12601</v>
      </c>
      <c r="B2902" t="s">
        <v>11038</v>
      </c>
      <c r="C2902" t="s">
        <v>11039</v>
      </c>
      <c r="D2902" t="s">
        <v>12408</v>
      </c>
      <c r="E2902" t="s">
        <v>12409</v>
      </c>
      <c r="F2902" t="s">
        <v>12408</v>
      </c>
      <c r="G2902" s="1">
        <v>5700000</v>
      </c>
      <c r="H2902" s="2">
        <v>5552994.7300000004</v>
      </c>
      <c r="I2902" s="2">
        <v>5552994.7300000004</v>
      </c>
      <c r="J2902" s="2">
        <v>0</v>
      </c>
      <c r="K2902" s="2">
        <v>0</v>
      </c>
      <c r="L2902" s="2">
        <v>5552994.7300000004</v>
      </c>
      <c r="M2902" s="3">
        <v>5.266508</v>
      </c>
      <c r="N2902" s="4">
        <v>1.263366E-2</v>
      </c>
      <c r="O2902" s="5" t="s">
        <v>44</v>
      </c>
      <c r="P2902" s="5">
        <v>44860</v>
      </c>
      <c r="Q2902" s="1">
        <v>0</v>
      </c>
      <c r="R2902" s="2">
        <v>0.5</v>
      </c>
      <c r="S2902" s="6">
        <v>0.49107213009</v>
      </c>
      <c r="T2902" t="s">
        <v>112</v>
      </c>
      <c r="U2902" t="s">
        <v>11040</v>
      </c>
      <c r="V2902" t="s">
        <v>11238</v>
      </c>
      <c r="W2902" t="s">
        <v>43</v>
      </c>
      <c r="X2902" t="s">
        <v>44</v>
      </c>
      <c r="Y2902" t="s">
        <v>44</v>
      </c>
      <c r="Z2902" t="s">
        <v>44</v>
      </c>
      <c r="AA2902" t="s">
        <v>10913</v>
      </c>
      <c r="AB2902" t="s">
        <v>44</v>
      </c>
      <c r="AC2902" s="4">
        <v>5.3352679900000002</v>
      </c>
      <c r="AD2902" s="4">
        <v>5.2090840299999996</v>
      </c>
      <c r="AE2902" s="2">
        <v>5.34</v>
      </c>
      <c r="AF2902" s="4">
        <v>5.2090840299999996</v>
      </c>
      <c r="AG2902" s="2">
        <v>10.72</v>
      </c>
      <c r="AH2902" s="2">
        <v>5552994.7300000004</v>
      </c>
      <c r="AI2902" s="2">
        <v>0.01</v>
      </c>
      <c r="AJ2902" s="5">
        <v>44673</v>
      </c>
      <c r="AK2902" t="s">
        <v>12602</v>
      </c>
      <c r="AL2902" s="2">
        <v>5.27</v>
      </c>
      <c r="AM2902" s="2">
        <v>0</v>
      </c>
      <c r="AN2902" s="2">
        <v>0.49</v>
      </c>
      <c r="AO2902" t="s">
        <v>10922</v>
      </c>
      <c r="AP2902" t="s">
        <v>12410</v>
      </c>
      <c r="AQ2902" t="s">
        <v>12409</v>
      </c>
    </row>
    <row r="2903" spans="1:43" x14ac:dyDescent="0.2">
      <c r="A2903" t="s">
        <v>12601</v>
      </c>
      <c r="B2903" t="s">
        <v>11038</v>
      </c>
      <c r="C2903" t="s">
        <v>11039</v>
      </c>
      <c r="D2903" t="s">
        <v>12727</v>
      </c>
      <c r="E2903" t="s">
        <v>12728</v>
      </c>
      <c r="F2903" t="s">
        <v>12727</v>
      </c>
      <c r="G2903" s="1">
        <v>5000000</v>
      </c>
      <c r="H2903" s="2">
        <v>5000000</v>
      </c>
      <c r="I2903" s="2">
        <v>5005357.6100000003</v>
      </c>
      <c r="J2903" s="2">
        <v>31068.49</v>
      </c>
      <c r="K2903" s="2">
        <v>0</v>
      </c>
      <c r="L2903" s="2">
        <v>5036426.0999999996</v>
      </c>
      <c r="M2903" s="3">
        <v>6.1328639999999996</v>
      </c>
      <c r="N2903" s="4">
        <v>1.145841E-2</v>
      </c>
      <c r="O2903" s="5">
        <v>45001</v>
      </c>
      <c r="P2903" s="5">
        <v>45001</v>
      </c>
      <c r="Q2903" s="1">
        <v>6.3</v>
      </c>
      <c r="R2903" s="2">
        <v>0.89</v>
      </c>
      <c r="S2903" s="6">
        <v>0.84430539241000002</v>
      </c>
      <c r="T2903" t="s">
        <v>111</v>
      </c>
      <c r="U2903" t="s">
        <v>11040</v>
      </c>
      <c r="V2903" t="s">
        <v>11041</v>
      </c>
      <c r="W2903" t="s">
        <v>43</v>
      </c>
      <c r="X2903" t="s">
        <v>11034</v>
      </c>
      <c r="Y2903" t="s">
        <v>44</v>
      </c>
      <c r="Z2903" t="s">
        <v>44</v>
      </c>
      <c r="AA2903" t="s">
        <v>10979</v>
      </c>
      <c r="AB2903" t="s">
        <v>44</v>
      </c>
      <c r="AC2903" s="4">
        <v>6.1531520899999999</v>
      </c>
      <c r="AD2903" s="4">
        <v>5.9861510000000004</v>
      </c>
      <c r="AE2903" s="2">
        <v>6.15</v>
      </c>
      <c r="AF2903" s="4">
        <v>5.9861510000000004</v>
      </c>
      <c r="AG2903" s="2">
        <v>9.7200000000000006</v>
      </c>
      <c r="AH2903" s="2">
        <v>5036426.0999999996</v>
      </c>
      <c r="AI2903" s="2">
        <v>0.01</v>
      </c>
      <c r="AJ2903" s="5">
        <v>44673</v>
      </c>
      <c r="AK2903" t="s">
        <v>12602</v>
      </c>
      <c r="AL2903" s="2">
        <v>6.06</v>
      </c>
      <c r="AM2903" s="2">
        <v>6.3</v>
      </c>
      <c r="AN2903" s="2">
        <v>0.84</v>
      </c>
      <c r="AO2903" t="s">
        <v>11179</v>
      </c>
      <c r="AP2903" t="s">
        <v>12729</v>
      </c>
      <c r="AQ2903" t="s">
        <v>12728</v>
      </c>
    </row>
    <row r="2904" spans="1:43" x14ac:dyDescent="0.2">
      <c r="A2904" t="s">
        <v>12601</v>
      </c>
      <c r="B2904" t="s">
        <v>11038</v>
      </c>
      <c r="C2904" t="s">
        <v>11222</v>
      </c>
      <c r="D2904" t="s">
        <v>12965</v>
      </c>
      <c r="E2904" t="s">
        <v>12966</v>
      </c>
      <c r="F2904" t="s">
        <v>12965</v>
      </c>
      <c r="G2904" s="1">
        <v>8000000</v>
      </c>
      <c r="H2904" s="2">
        <v>8000000</v>
      </c>
      <c r="I2904" s="2">
        <v>8001169.1399999997</v>
      </c>
      <c r="J2904" s="2">
        <v>15502.47</v>
      </c>
      <c r="K2904" s="2">
        <v>0</v>
      </c>
      <c r="L2904" s="2">
        <v>8016671.6100000003</v>
      </c>
      <c r="M2904" s="3">
        <v>6.4004060000000003</v>
      </c>
      <c r="N2904" s="4">
        <v>1.8238790000000001E-2</v>
      </c>
      <c r="O2904" s="5">
        <v>45057</v>
      </c>
      <c r="P2904" s="5">
        <v>45057</v>
      </c>
      <c r="Q2904" s="1">
        <v>6.43</v>
      </c>
      <c r="R2904" s="2">
        <v>1.04</v>
      </c>
      <c r="S2904" s="6">
        <v>0.97846466510999996</v>
      </c>
      <c r="T2904" t="s">
        <v>111</v>
      </c>
      <c r="U2904" t="s">
        <v>11040</v>
      </c>
      <c r="V2904" t="s">
        <v>11041</v>
      </c>
      <c r="W2904" t="s">
        <v>43</v>
      </c>
      <c r="X2904" t="s">
        <v>11034</v>
      </c>
      <c r="Y2904" t="s">
        <v>44</v>
      </c>
      <c r="Z2904" t="s">
        <v>44</v>
      </c>
      <c r="AA2904" t="s">
        <v>10979</v>
      </c>
      <c r="AB2904" t="s">
        <v>44</v>
      </c>
      <c r="AC2904" s="4">
        <v>6.3916291899999997</v>
      </c>
      <c r="AD2904" s="4">
        <v>6.2116933599999999</v>
      </c>
      <c r="AE2904" s="2">
        <v>6.39</v>
      </c>
      <c r="AF2904" s="4">
        <v>6.2116933599999999</v>
      </c>
      <c r="AG2904" s="2">
        <v>15.47</v>
      </c>
      <c r="AH2904" s="2">
        <v>8016671.6100000003</v>
      </c>
      <c r="AI2904" s="2">
        <v>0.02</v>
      </c>
      <c r="AJ2904" s="5">
        <v>44673</v>
      </c>
      <c r="AK2904" t="s">
        <v>12602</v>
      </c>
      <c r="AL2904" s="2">
        <v>6.29</v>
      </c>
      <c r="AM2904" s="2">
        <v>6.43</v>
      </c>
      <c r="AN2904" s="2">
        <v>0.98</v>
      </c>
      <c r="AO2904" t="s">
        <v>11054</v>
      </c>
      <c r="AP2904" t="s">
        <v>12967</v>
      </c>
      <c r="AQ2904" t="s">
        <v>12966</v>
      </c>
    </row>
    <row r="2905" spans="1:43" x14ac:dyDescent="0.2">
      <c r="A2905" t="s">
        <v>12601</v>
      </c>
      <c r="B2905" t="s">
        <v>11030</v>
      </c>
      <c r="C2905" t="s">
        <v>11030</v>
      </c>
      <c r="D2905" t="s">
        <v>12607</v>
      </c>
      <c r="E2905" t="s">
        <v>12603</v>
      </c>
      <c r="F2905" t="s">
        <v>12607</v>
      </c>
      <c r="G2905" s="1">
        <v>112</v>
      </c>
      <c r="H2905" s="2"/>
      <c r="I2905" s="2">
        <v>0</v>
      </c>
      <c r="J2905" s="2"/>
      <c r="K2905" s="2"/>
      <c r="L2905" s="2">
        <v>0</v>
      </c>
      <c r="M2905" s="3"/>
      <c r="N2905" s="4">
        <v>0</v>
      </c>
      <c r="O2905" s="5" t="s">
        <v>44</v>
      </c>
      <c r="P2905" s="5" t="s">
        <v>44</v>
      </c>
      <c r="Q2905" s="1"/>
      <c r="R2905" s="2"/>
      <c r="S2905" s="6"/>
      <c r="T2905" t="s">
        <v>11031</v>
      </c>
      <c r="U2905" t="s">
        <v>11032</v>
      </c>
      <c r="V2905" t="s">
        <v>45</v>
      </c>
      <c r="W2905" t="s">
        <v>43</v>
      </c>
      <c r="X2905" t="s">
        <v>44</v>
      </c>
      <c r="Y2905" t="s">
        <v>44</v>
      </c>
      <c r="Z2905" t="s">
        <v>44</v>
      </c>
      <c r="AA2905" t="s">
        <v>44</v>
      </c>
      <c r="AB2905" t="s">
        <v>44</v>
      </c>
      <c r="AC2905" s="4"/>
      <c r="AD2905" s="4"/>
      <c r="AE2905" s="2">
        <v>0</v>
      </c>
      <c r="AF2905" s="4">
        <v>0</v>
      </c>
      <c r="AG2905" s="2">
        <v>0</v>
      </c>
      <c r="AH2905" s="2">
        <v>-15806512.960000001</v>
      </c>
      <c r="AI2905" s="2">
        <v>-0.04</v>
      </c>
      <c r="AJ2905" s="5">
        <v>44673</v>
      </c>
      <c r="AK2905" t="s">
        <v>12602</v>
      </c>
      <c r="AL2905" s="2">
        <v>0</v>
      </c>
      <c r="AM2905" s="2">
        <v>0</v>
      </c>
      <c r="AN2905" s="2">
        <v>0</v>
      </c>
      <c r="AO2905" t="s">
        <v>44</v>
      </c>
      <c r="AP2905" t="s">
        <v>44</v>
      </c>
      <c r="AQ2905" t="s">
        <v>11182</v>
      </c>
    </row>
    <row r="2906" spans="1:43" x14ac:dyDescent="0.2">
      <c r="A2906" t="s">
        <v>12601</v>
      </c>
      <c r="B2906" t="s">
        <v>11030</v>
      </c>
      <c r="C2906" t="s">
        <v>11030</v>
      </c>
      <c r="D2906" t="s">
        <v>12608</v>
      </c>
      <c r="E2906" t="s">
        <v>12605</v>
      </c>
      <c r="F2906" t="s">
        <v>12608</v>
      </c>
      <c r="G2906" s="1">
        <v>866</v>
      </c>
      <c r="H2906" s="2"/>
      <c r="I2906" s="2">
        <v>0</v>
      </c>
      <c r="J2906" s="2"/>
      <c r="K2906" s="2"/>
      <c r="L2906" s="2">
        <v>0</v>
      </c>
      <c r="M2906" s="3"/>
      <c r="N2906" s="4">
        <v>0</v>
      </c>
      <c r="O2906" s="5" t="s">
        <v>44</v>
      </c>
      <c r="P2906" s="5" t="s">
        <v>44</v>
      </c>
      <c r="Q2906" s="1"/>
      <c r="R2906" s="2"/>
      <c r="S2906" s="6"/>
      <c r="T2906" t="s">
        <v>11031</v>
      </c>
      <c r="U2906" t="s">
        <v>11032</v>
      </c>
      <c r="V2906" t="s">
        <v>45</v>
      </c>
      <c r="W2906" t="s">
        <v>43</v>
      </c>
      <c r="X2906" t="s">
        <v>44</v>
      </c>
      <c r="Y2906" t="s">
        <v>44</v>
      </c>
      <c r="Z2906" t="s">
        <v>44</v>
      </c>
      <c r="AA2906" t="s">
        <v>44</v>
      </c>
      <c r="AB2906" t="s">
        <v>44</v>
      </c>
      <c r="AC2906" s="4"/>
      <c r="AD2906" s="4"/>
      <c r="AE2906" s="2">
        <v>0</v>
      </c>
      <c r="AF2906" s="4">
        <v>0</v>
      </c>
      <c r="AG2906" s="2">
        <v>0</v>
      </c>
      <c r="AH2906" s="2">
        <v>-7343991.7599999998</v>
      </c>
      <c r="AI2906" s="2">
        <v>-0.02</v>
      </c>
      <c r="AJ2906" s="5">
        <v>44673</v>
      </c>
      <c r="AK2906" t="s">
        <v>12602</v>
      </c>
      <c r="AL2906" s="2">
        <v>0</v>
      </c>
      <c r="AM2906" s="2">
        <v>0</v>
      </c>
      <c r="AN2906" s="2">
        <v>0</v>
      </c>
      <c r="AO2906" t="s">
        <v>44</v>
      </c>
      <c r="AP2906" t="s">
        <v>44</v>
      </c>
      <c r="AQ2906" t="s">
        <v>11182</v>
      </c>
    </row>
    <row r="2907" spans="1:43" x14ac:dyDescent="0.2">
      <c r="A2907" t="s">
        <v>12601</v>
      </c>
      <c r="B2907" t="s">
        <v>11030</v>
      </c>
      <c r="C2907" t="s">
        <v>11030</v>
      </c>
      <c r="D2907" t="s">
        <v>11181</v>
      </c>
      <c r="E2907" t="s">
        <v>11151</v>
      </c>
      <c r="F2907" t="s">
        <v>11181</v>
      </c>
      <c r="G2907" s="1">
        <v>43</v>
      </c>
      <c r="H2907" s="2"/>
      <c r="I2907" s="2">
        <v>0</v>
      </c>
      <c r="J2907" s="2"/>
      <c r="K2907" s="2"/>
      <c r="L2907" s="2">
        <v>0</v>
      </c>
      <c r="M2907" s="3"/>
      <c r="N2907" s="4">
        <v>0</v>
      </c>
      <c r="O2907" s="5" t="s">
        <v>44</v>
      </c>
      <c r="P2907" s="5" t="s">
        <v>44</v>
      </c>
      <c r="Q2907" s="1"/>
      <c r="R2907" s="2"/>
      <c r="S2907" s="6"/>
      <c r="T2907" t="s">
        <v>11031</v>
      </c>
      <c r="U2907" t="s">
        <v>11032</v>
      </c>
      <c r="V2907" t="s">
        <v>45</v>
      </c>
      <c r="W2907" t="s">
        <v>43</v>
      </c>
      <c r="X2907" t="s">
        <v>44</v>
      </c>
      <c r="Y2907" t="s">
        <v>44</v>
      </c>
      <c r="Z2907" t="s">
        <v>44</v>
      </c>
      <c r="AA2907" t="s">
        <v>44</v>
      </c>
      <c r="AB2907" t="s">
        <v>44</v>
      </c>
      <c r="AC2907" s="4"/>
      <c r="AD2907" s="4"/>
      <c r="AE2907" s="2">
        <v>0</v>
      </c>
      <c r="AF2907" s="4">
        <v>0</v>
      </c>
      <c r="AG2907" s="2">
        <v>0</v>
      </c>
      <c r="AH2907" s="2">
        <v>-28252720</v>
      </c>
      <c r="AI2907" s="2">
        <v>-0.06</v>
      </c>
      <c r="AJ2907" s="5">
        <v>44673</v>
      </c>
      <c r="AK2907" t="s">
        <v>12602</v>
      </c>
      <c r="AL2907" s="2">
        <v>0</v>
      </c>
      <c r="AM2907" s="2">
        <v>0</v>
      </c>
      <c r="AN2907" s="2">
        <v>0</v>
      </c>
      <c r="AO2907" t="s">
        <v>44</v>
      </c>
      <c r="AP2907" t="s">
        <v>44</v>
      </c>
      <c r="AQ2907" t="s">
        <v>11182</v>
      </c>
    </row>
    <row r="2908" spans="1:43" x14ac:dyDescent="0.2">
      <c r="A2908" t="s">
        <v>12609</v>
      </c>
      <c r="B2908" t="s">
        <v>10900</v>
      </c>
      <c r="C2908" t="s">
        <v>11049</v>
      </c>
      <c r="D2908" t="s">
        <v>11956</v>
      </c>
      <c r="E2908" t="s">
        <v>11957</v>
      </c>
      <c r="F2908" t="s">
        <v>11956</v>
      </c>
      <c r="G2908" s="1">
        <v>3900000</v>
      </c>
      <c r="H2908" s="2">
        <v>3902317.51</v>
      </c>
      <c r="I2908" s="2">
        <v>3909008.73</v>
      </c>
      <c r="J2908" s="2">
        <v>41643.35</v>
      </c>
      <c r="K2908" s="2">
        <v>0</v>
      </c>
      <c r="L2908" s="2">
        <v>3950652.08</v>
      </c>
      <c r="M2908" s="3">
        <v>5.1338650000000001</v>
      </c>
      <c r="N2908" s="4">
        <v>8.9881600000000002E-3</v>
      </c>
      <c r="O2908" s="5">
        <v>44697</v>
      </c>
      <c r="P2908" s="5">
        <v>44788</v>
      </c>
      <c r="Q2908" s="1">
        <v>5.8170000000000002</v>
      </c>
      <c r="R2908" s="2">
        <v>0.06</v>
      </c>
      <c r="S2908" s="6">
        <v>5.3630172561E-2</v>
      </c>
      <c r="T2908" t="s">
        <v>111</v>
      </c>
      <c r="U2908" t="s">
        <v>111</v>
      </c>
      <c r="V2908" t="s">
        <v>11189</v>
      </c>
      <c r="W2908" t="s">
        <v>43</v>
      </c>
      <c r="X2908" t="s">
        <v>11034</v>
      </c>
      <c r="Y2908" t="s">
        <v>44</v>
      </c>
      <c r="Z2908" t="s">
        <v>44</v>
      </c>
      <c r="AA2908" t="s">
        <v>11225</v>
      </c>
      <c r="AB2908" t="s">
        <v>44</v>
      </c>
      <c r="AC2908" s="4">
        <v>5.1997564000000001</v>
      </c>
      <c r="AD2908" s="4">
        <v>5.0798014499999997</v>
      </c>
      <c r="AE2908" s="2">
        <v>5.2</v>
      </c>
      <c r="AF2908" s="4">
        <v>5.0798014499999997</v>
      </c>
      <c r="AG2908" s="2">
        <v>5.35</v>
      </c>
      <c r="AH2908" s="2">
        <v>3950652.08</v>
      </c>
      <c r="AI2908" s="2">
        <v>0.01</v>
      </c>
      <c r="AJ2908" s="5">
        <v>44673</v>
      </c>
      <c r="AK2908" t="s">
        <v>12610</v>
      </c>
      <c r="AL2908" s="2">
        <v>5.13</v>
      </c>
      <c r="AM2908" s="2">
        <v>5.82</v>
      </c>
      <c r="AN2908" s="2">
        <v>0.05</v>
      </c>
      <c r="AO2908" t="s">
        <v>11817</v>
      </c>
      <c r="AP2908" t="s">
        <v>11958</v>
      </c>
      <c r="AQ2908" t="s">
        <v>11957</v>
      </c>
    </row>
    <row r="2909" spans="1:43" x14ac:dyDescent="0.2">
      <c r="A2909" t="s">
        <v>12609</v>
      </c>
      <c r="B2909" t="s">
        <v>10900</v>
      </c>
      <c r="C2909" t="s">
        <v>11049</v>
      </c>
      <c r="D2909" t="s">
        <v>11959</v>
      </c>
      <c r="E2909" t="s">
        <v>11960</v>
      </c>
      <c r="F2909" t="s">
        <v>11959</v>
      </c>
      <c r="G2909" s="1">
        <v>400000</v>
      </c>
      <c r="H2909" s="2">
        <v>400423.54</v>
      </c>
      <c r="I2909" s="2">
        <v>400370.94</v>
      </c>
      <c r="J2909" s="2">
        <v>2389.04</v>
      </c>
      <c r="K2909" s="2">
        <v>0</v>
      </c>
      <c r="L2909" s="2">
        <v>402759.98</v>
      </c>
      <c r="M2909" s="3">
        <v>5.1678660000000001</v>
      </c>
      <c r="N2909" s="4">
        <v>9.1631999999999998E-4</v>
      </c>
      <c r="O2909" s="5">
        <v>44725</v>
      </c>
      <c r="P2909" s="5">
        <v>44816</v>
      </c>
      <c r="Q2909" s="1">
        <v>5.45</v>
      </c>
      <c r="R2909" s="2">
        <v>0.13</v>
      </c>
      <c r="S2909" s="6">
        <v>0.1261341168</v>
      </c>
      <c r="T2909" t="s">
        <v>111</v>
      </c>
      <c r="U2909" t="s">
        <v>111</v>
      </c>
      <c r="V2909" t="s">
        <v>11189</v>
      </c>
      <c r="W2909" t="s">
        <v>43</v>
      </c>
      <c r="X2909" t="s">
        <v>11034</v>
      </c>
      <c r="Y2909" t="s">
        <v>44</v>
      </c>
      <c r="Z2909" t="s">
        <v>44</v>
      </c>
      <c r="AA2909" t="s">
        <v>11035</v>
      </c>
      <c r="AB2909" t="s">
        <v>44</v>
      </c>
      <c r="AC2909" s="4">
        <v>5.2346334099999998</v>
      </c>
      <c r="AD2909" s="4">
        <v>5.1130898599999997</v>
      </c>
      <c r="AE2909" s="2">
        <v>5.23</v>
      </c>
      <c r="AF2909" s="4">
        <v>5.1130898599999997</v>
      </c>
      <c r="AG2909" s="2">
        <v>0.55000000000000004</v>
      </c>
      <c r="AH2909" s="2">
        <v>402759.98</v>
      </c>
      <c r="AI2909" s="2">
        <v>0</v>
      </c>
      <c r="AJ2909" s="5">
        <v>44673</v>
      </c>
      <c r="AK2909" t="s">
        <v>12610</v>
      </c>
      <c r="AL2909" s="2">
        <v>5.17</v>
      </c>
      <c r="AM2909" s="2">
        <v>5.45</v>
      </c>
      <c r="AN2909" s="2">
        <v>0.13</v>
      </c>
      <c r="AO2909" t="s">
        <v>11053</v>
      </c>
      <c r="AP2909" t="s">
        <v>11961</v>
      </c>
      <c r="AQ2909" t="s">
        <v>11960</v>
      </c>
    </row>
    <row r="2910" spans="1:43" x14ac:dyDescent="0.2">
      <c r="A2910" t="s">
        <v>12609</v>
      </c>
      <c r="B2910" t="s">
        <v>10900</v>
      </c>
      <c r="C2910" t="s">
        <v>11049</v>
      </c>
      <c r="D2910" t="s">
        <v>11794</v>
      </c>
      <c r="E2910" t="s">
        <v>11795</v>
      </c>
      <c r="F2910" t="s">
        <v>11794</v>
      </c>
      <c r="G2910" s="1">
        <v>2300000</v>
      </c>
      <c r="H2910" s="2">
        <v>2300232.5699999998</v>
      </c>
      <c r="I2910" s="2">
        <v>2300258.0099999998</v>
      </c>
      <c r="J2910" s="2">
        <v>29235.58</v>
      </c>
      <c r="K2910" s="2">
        <v>0</v>
      </c>
      <c r="L2910" s="2">
        <v>2329493.59</v>
      </c>
      <c r="M2910" s="3">
        <v>4.7002220000000001</v>
      </c>
      <c r="N2910" s="4">
        <v>5.29985E-3</v>
      </c>
      <c r="O2910" s="5">
        <v>44680</v>
      </c>
      <c r="P2910" s="5">
        <v>44680</v>
      </c>
      <c r="Q2910" s="1">
        <v>5.6580000000000004</v>
      </c>
      <c r="R2910" s="2">
        <v>0.01</v>
      </c>
      <c r="S2910" s="6">
        <v>1.0461427896999999E-2</v>
      </c>
      <c r="T2910" t="s">
        <v>111</v>
      </c>
      <c r="U2910" t="s">
        <v>111</v>
      </c>
      <c r="V2910" t="s">
        <v>11189</v>
      </c>
      <c r="W2910" t="s">
        <v>43</v>
      </c>
      <c r="X2910" t="s">
        <v>11034</v>
      </c>
      <c r="Y2910" t="s">
        <v>44</v>
      </c>
      <c r="Z2910" t="s">
        <v>44</v>
      </c>
      <c r="AA2910" t="s">
        <v>44</v>
      </c>
      <c r="AB2910" t="s">
        <v>11225</v>
      </c>
      <c r="AC2910" s="4">
        <v>4.7554521300000001</v>
      </c>
      <c r="AD2910" s="4">
        <v>4.6548469299999997</v>
      </c>
      <c r="AE2910" s="2">
        <v>4.76</v>
      </c>
      <c r="AF2910" s="4">
        <v>4.6548469299999997</v>
      </c>
      <c r="AG2910" s="2">
        <v>3.16</v>
      </c>
      <c r="AH2910" s="2">
        <v>2329493.59</v>
      </c>
      <c r="AI2910" s="2">
        <v>0.01</v>
      </c>
      <c r="AJ2910" s="5">
        <v>44673</v>
      </c>
      <c r="AK2910" t="s">
        <v>12610</v>
      </c>
      <c r="AL2910" s="2">
        <v>4.7</v>
      </c>
      <c r="AM2910" s="2">
        <v>5.66</v>
      </c>
      <c r="AN2910" s="2">
        <v>0.01</v>
      </c>
      <c r="AO2910" t="s">
        <v>11527</v>
      </c>
      <c r="AP2910" t="s">
        <v>11796</v>
      </c>
      <c r="AQ2910" t="s">
        <v>11795</v>
      </c>
    </row>
    <row r="2911" spans="1:43" x14ac:dyDescent="0.2">
      <c r="A2911" t="s">
        <v>12609</v>
      </c>
      <c r="B2911" t="s">
        <v>10900</v>
      </c>
      <c r="C2911" t="s">
        <v>11049</v>
      </c>
      <c r="D2911" t="s">
        <v>11265</v>
      </c>
      <c r="E2911" t="s">
        <v>11266</v>
      </c>
      <c r="F2911" t="s">
        <v>11265</v>
      </c>
      <c r="G2911" s="1">
        <v>700000</v>
      </c>
      <c r="H2911" s="2">
        <v>666581.46</v>
      </c>
      <c r="I2911" s="2">
        <v>666581.46</v>
      </c>
      <c r="J2911" s="2">
        <v>0</v>
      </c>
      <c r="K2911" s="2">
        <v>0</v>
      </c>
      <c r="L2911" s="2">
        <v>666581.46</v>
      </c>
      <c r="M2911" s="3">
        <v>6.3099970000000001</v>
      </c>
      <c r="N2911" s="4">
        <v>1.51654E-3</v>
      </c>
      <c r="O2911" s="5" t="s">
        <v>44</v>
      </c>
      <c r="P2911" s="5">
        <v>44964</v>
      </c>
      <c r="Q2911" s="1">
        <v>0</v>
      </c>
      <c r="R2911" s="2">
        <v>0.79</v>
      </c>
      <c r="S2911" s="6">
        <v>0.75161913127000002</v>
      </c>
      <c r="T2911" t="s">
        <v>112</v>
      </c>
      <c r="U2911" t="s">
        <v>111</v>
      </c>
      <c r="V2911" t="s">
        <v>11238</v>
      </c>
      <c r="W2911" t="s">
        <v>43</v>
      </c>
      <c r="X2911" t="s">
        <v>44</v>
      </c>
      <c r="Y2911" t="s">
        <v>44</v>
      </c>
      <c r="Z2911" t="s">
        <v>44</v>
      </c>
      <c r="AA2911" t="s">
        <v>10979</v>
      </c>
      <c r="AB2911" t="s">
        <v>44</v>
      </c>
      <c r="AC2911" s="4">
        <v>6.4095368800000001</v>
      </c>
      <c r="AD2911" s="4">
        <v>6.2286110399999997</v>
      </c>
      <c r="AE2911" s="2">
        <v>6.41</v>
      </c>
      <c r="AF2911" s="4">
        <v>6.2286110399999997</v>
      </c>
      <c r="AG2911" s="2">
        <v>0.9</v>
      </c>
      <c r="AH2911" s="2">
        <v>666581.46</v>
      </c>
      <c r="AI2911" s="2">
        <v>0</v>
      </c>
      <c r="AJ2911" s="5">
        <v>44673</v>
      </c>
      <c r="AK2911" t="s">
        <v>12610</v>
      </c>
      <c r="AL2911" s="2">
        <v>6.31</v>
      </c>
      <c r="AM2911" s="2">
        <v>0</v>
      </c>
      <c r="AN2911" s="2">
        <v>0.75</v>
      </c>
      <c r="AO2911" t="s">
        <v>10982</v>
      </c>
      <c r="AP2911" t="s">
        <v>11267</v>
      </c>
      <c r="AQ2911" t="s">
        <v>11266</v>
      </c>
    </row>
    <row r="2912" spans="1:43" x14ac:dyDescent="0.2">
      <c r="A2912" t="s">
        <v>12609</v>
      </c>
      <c r="B2912" t="s">
        <v>45</v>
      </c>
      <c r="C2912" t="s">
        <v>11000</v>
      </c>
      <c r="D2912" t="s">
        <v>11273</v>
      </c>
      <c r="E2912" t="s">
        <v>11274</v>
      </c>
      <c r="F2912" t="s">
        <v>11273</v>
      </c>
      <c r="G2912" s="1">
        <v>3311.07</v>
      </c>
      <c r="H2912" s="2">
        <v>3311.07</v>
      </c>
      <c r="I2912" s="2">
        <v>3311.07</v>
      </c>
      <c r="J2912" s="2">
        <v>10.050000000000001</v>
      </c>
      <c r="K2912" s="2">
        <v>0</v>
      </c>
      <c r="L2912" s="2">
        <v>3321.12</v>
      </c>
      <c r="M2912" s="3"/>
      <c r="N2912" s="4">
        <v>7.5599999999999996E-6</v>
      </c>
      <c r="O2912" s="5">
        <v>44378</v>
      </c>
      <c r="P2912" s="5">
        <v>55153</v>
      </c>
      <c r="Q2912" s="1">
        <v>0</v>
      </c>
      <c r="R2912" s="2"/>
      <c r="S2912" s="6"/>
      <c r="T2912" t="s">
        <v>111</v>
      </c>
      <c r="U2912" t="s">
        <v>11003</v>
      </c>
      <c r="V2912" t="s">
        <v>46</v>
      </c>
      <c r="W2912" t="s">
        <v>43</v>
      </c>
      <c r="X2912" t="s">
        <v>44</v>
      </c>
      <c r="Y2912" t="s">
        <v>44</v>
      </c>
      <c r="Z2912" t="s">
        <v>44</v>
      </c>
      <c r="AA2912" t="s">
        <v>44</v>
      </c>
      <c r="AB2912" t="s">
        <v>44</v>
      </c>
      <c r="AC2912" s="4"/>
      <c r="AD2912" s="4"/>
      <c r="AE2912" s="2">
        <v>0</v>
      </c>
      <c r="AF2912" s="4">
        <v>0</v>
      </c>
      <c r="AG2912" s="2">
        <v>0</v>
      </c>
      <c r="AH2912" s="2">
        <v>3321.12</v>
      </c>
      <c r="AI2912" s="2">
        <v>0</v>
      </c>
      <c r="AJ2912" s="5">
        <v>44673</v>
      </c>
      <c r="AK2912" t="s">
        <v>12610</v>
      </c>
      <c r="AL2912" s="2">
        <v>0</v>
      </c>
      <c r="AM2912" s="2">
        <v>0</v>
      </c>
      <c r="AN2912" s="2">
        <v>0</v>
      </c>
      <c r="AO2912" t="s">
        <v>44</v>
      </c>
      <c r="AP2912" t="s">
        <v>11275</v>
      </c>
      <c r="AQ2912" t="s">
        <v>11274</v>
      </c>
    </row>
    <row r="2913" spans="1:43" x14ac:dyDescent="0.2">
      <c r="A2913" t="s">
        <v>12609</v>
      </c>
      <c r="B2913" t="s">
        <v>45</v>
      </c>
      <c r="C2913" t="s">
        <v>11000</v>
      </c>
      <c r="D2913" t="s">
        <v>11001</v>
      </c>
      <c r="E2913" t="s">
        <v>11002</v>
      </c>
      <c r="F2913" t="s">
        <v>11001</v>
      </c>
      <c r="G2913" s="1">
        <v>5555529.4299999997</v>
      </c>
      <c r="H2913" s="2">
        <v>5555529.4299999997</v>
      </c>
      <c r="I2913" s="2">
        <v>5555529.4299999997</v>
      </c>
      <c r="J2913" s="2">
        <v>15913.49</v>
      </c>
      <c r="K2913" s="2">
        <v>0</v>
      </c>
      <c r="L2913" s="2">
        <v>5571442.9199999999</v>
      </c>
      <c r="M2913" s="3"/>
      <c r="N2913" s="4">
        <v>1.267563E-2</v>
      </c>
      <c r="O2913" s="5">
        <v>40756</v>
      </c>
      <c r="P2913" s="5">
        <v>73020</v>
      </c>
      <c r="Q2913" s="1">
        <v>0</v>
      </c>
      <c r="R2913" s="2"/>
      <c r="S2913" s="6"/>
      <c r="T2913" t="s">
        <v>111</v>
      </c>
      <c r="U2913" t="s">
        <v>11003</v>
      </c>
      <c r="V2913" t="s">
        <v>46</v>
      </c>
      <c r="W2913" t="s">
        <v>43</v>
      </c>
      <c r="X2913" t="s">
        <v>44</v>
      </c>
      <c r="Y2913" t="s">
        <v>44</v>
      </c>
      <c r="Z2913" t="s">
        <v>44</v>
      </c>
      <c r="AA2913" t="s">
        <v>44</v>
      </c>
      <c r="AB2913" t="s">
        <v>44</v>
      </c>
      <c r="AC2913" s="4"/>
      <c r="AD2913" s="4"/>
      <c r="AE2913" s="2">
        <v>0</v>
      </c>
      <c r="AF2913" s="4">
        <v>0</v>
      </c>
      <c r="AG2913" s="2">
        <v>7.55</v>
      </c>
      <c r="AH2913" s="2">
        <v>5571442.9199999999</v>
      </c>
      <c r="AI2913" s="2">
        <v>0.01</v>
      </c>
      <c r="AJ2913" s="5">
        <v>44673</v>
      </c>
      <c r="AK2913" t="s">
        <v>12610</v>
      </c>
      <c r="AL2913" s="2">
        <v>0</v>
      </c>
      <c r="AM2913" s="2">
        <v>0</v>
      </c>
      <c r="AN2913" s="2">
        <v>0</v>
      </c>
      <c r="AO2913" t="s">
        <v>44</v>
      </c>
      <c r="AP2913" t="s">
        <v>11004</v>
      </c>
      <c r="AQ2913" t="s">
        <v>11002</v>
      </c>
    </row>
    <row r="2914" spans="1:43" x14ac:dyDescent="0.2">
      <c r="A2914" t="s">
        <v>12609</v>
      </c>
      <c r="B2914" t="s">
        <v>45</v>
      </c>
      <c r="C2914" t="s">
        <v>11144</v>
      </c>
      <c r="D2914" t="s">
        <v>11145</v>
      </c>
      <c r="E2914" t="s">
        <v>11146</v>
      </c>
      <c r="F2914" t="s">
        <v>11147</v>
      </c>
      <c r="G2914" s="1">
        <v>6738554</v>
      </c>
      <c r="H2914" s="2">
        <v>6738554</v>
      </c>
      <c r="I2914" s="2">
        <v>6738554</v>
      </c>
      <c r="J2914" s="2">
        <v>17723.14</v>
      </c>
      <c r="K2914" s="2">
        <v>0</v>
      </c>
      <c r="L2914" s="2">
        <v>6756277.1399999997</v>
      </c>
      <c r="M2914" s="3">
        <v>6.88</v>
      </c>
      <c r="N2914" s="4">
        <v>1.5371259999999999E-2</v>
      </c>
      <c r="O2914" s="5" t="s">
        <v>44</v>
      </c>
      <c r="P2914" s="5">
        <v>55153</v>
      </c>
      <c r="Q2914" s="1">
        <v>6.88</v>
      </c>
      <c r="R2914" s="2">
        <v>0.08</v>
      </c>
      <c r="S2914" s="6">
        <v>2.6006750000000002E-3</v>
      </c>
      <c r="T2914" t="s">
        <v>112</v>
      </c>
      <c r="U2914" t="s">
        <v>46</v>
      </c>
      <c r="V2914" t="s">
        <v>11148</v>
      </c>
      <c r="W2914" t="s">
        <v>43</v>
      </c>
      <c r="X2914" t="s">
        <v>44</v>
      </c>
      <c r="Y2914" t="s">
        <v>44</v>
      </c>
      <c r="Z2914" t="s">
        <v>44</v>
      </c>
      <c r="AA2914" t="s">
        <v>44</v>
      </c>
      <c r="AB2914" t="s">
        <v>44</v>
      </c>
      <c r="AC2914" s="4"/>
      <c r="AD2914" s="4"/>
      <c r="AE2914" s="2">
        <v>0</v>
      </c>
      <c r="AF2914" s="4">
        <v>0</v>
      </c>
      <c r="AG2914" s="2">
        <v>9.16</v>
      </c>
      <c r="AH2914" s="2">
        <v>6756277.1399999997</v>
      </c>
      <c r="AI2914" s="2">
        <v>0.02</v>
      </c>
      <c r="AJ2914" s="5">
        <v>44673</v>
      </c>
      <c r="AK2914" t="s">
        <v>12610</v>
      </c>
      <c r="AL2914" s="2">
        <v>0</v>
      </c>
      <c r="AM2914" s="2">
        <v>6.88</v>
      </c>
      <c r="AN2914" s="2">
        <v>0</v>
      </c>
      <c r="AO2914" t="s">
        <v>11146</v>
      </c>
      <c r="AP2914" t="s">
        <v>44</v>
      </c>
      <c r="AQ2914" t="s">
        <v>11146</v>
      </c>
    </row>
    <row r="2915" spans="1:43" x14ac:dyDescent="0.2">
      <c r="A2915" t="s">
        <v>12609</v>
      </c>
      <c r="B2915" t="s">
        <v>45</v>
      </c>
      <c r="C2915" t="s">
        <v>47</v>
      </c>
      <c r="D2915" t="s">
        <v>48</v>
      </c>
      <c r="E2915" t="s">
        <v>49</v>
      </c>
      <c r="F2915" t="s">
        <v>50</v>
      </c>
      <c r="G2915" s="1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636.38</v>
      </c>
      <c r="M2915" s="3"/>
      <c r="N2915" s="4">
        <v>1.4500000000000001E-6</v>
      </c>
      <c r="O2915" s="5" t="s">
        <v>44</v>
      </c>
      <c r="P2915" s="5" t="s">
        <v>44</v>
      </c>
      <c r="Q2915" s="1"/>
      <c r="R2915" s="2">
        <v>0.08</v>
      </c>
      <c r="S2915" s="6"/>
      <c r="T2915" t="s">
        <v>45</v>
      </c>
      <c r="U2915" t="s">
        <v>46</v>
      </c>
      <c r="V2915" t="s">
        <v>44</v>
      </c>
      <c r="W2915" t="s">
        <v>43</v>
      </c>
      <c r="X2915" t="s">
        <v>44</v>
      </c>
      <c r="Y2915" t="s">
        <v>44</v>
      </c>
      <c r="Z2915" t="s">
        <v>44</v>
      </c>
      <c r="AA2915" t="s">
        <v>44</v>
      </c>
      <c r="AB2915" t="s">
        <v>44</v>
      </c>
      <c r="AC2915" s="4">
        <v>5.1163389600000002</v>
      </c>
      <c r="AD2915" s="4">
        <v>5.0001424999999999</v>
      </c>
      <c r="AE2915" s="2">
        <v>5.12</v>
      </c>
      <c r="AF2915" s="4">
        <v>5.0001424999999999</v>
      </c>
      <c r="AG2915" s="2">
        <v>0</v>
      </c>
      <c r="AH2915" s="2">
        <v>636.38</v>
      </c>
      <c r="AI2915" s="2">
        <v>0</v>
      </c>
      <c r="AJ2915" s="5">
        <v>44673</v>
      </c>
      <c r="AK2915" t="s">
        <v>12610</v>
      </c>
      <c r="AL2915" s="2">
        <v>5.05</v>
      </c>
      <c r="AM2915" s="2">
        <v>0</v>
      </c>
      <c r="AN2915" s="2">
        <v>0</v>
      </c>
      <c r="AO2915" t="s">
        <v>44</v>
      </c>
      <c r="AP2915" t="s">
        <v>44</v>
      </c>
      <c r="AQ2915" t="s">
        <v>44</v>
      </c>
    </row>
    <row r="2916" spans="1:43" x14ac:dyDescent="0.2">
      <c r="A2916" t="s">
        <v>12609</v>
      </c>
      <c r="B2916" t="s">
        <v>45</v>
      </c>
      <c r="C2916" t="s">
        <v>47</v>
      </c>
      <c r="D2916" t="s">
        <v>51</v>
      </c>
      <c r="E2916" t="s">
        <v>52</v>
      </c>
      <c r="F2916" t="s">
        <v>51</v>
      </c>
      <c r="G2916" s="1">
        <v>527267.48</v>
      </c>
      <c r="H2916" s="2">
        <v>527267.48</v>
      </c>
      <c r="I2916" s="2">
        <v>527267.48</v>
      </c>
      <c r="J2916" s="2">
        <v>0</v>
      </c>
      <c r="K2916" s="2">
        <v>0</v>
      </c>
      <c r="L2916" s="2">
        <v>527267.48</v>
      </c>
      <c r="M2916" s="3"/>
      <c r="N2916" s="4">
        <v>1.1995899999999999E-3</v>
      </c>
      <c r="O2916" s="5" t="s">
        <v>44</v>
      </c>
      <c r="P2916" s="5" t="s">
        <v>44</v>
      </c>
      <c r="Q2916" s="1"/>
      <c r="R2916" s="2">
        <v>0.08</v>
      </c>
      <c r="S2916" s="6"/>
      <c r="T2916" t="s">
        <v>45</v>
      </c>
      <c r="U2916" t="s">
        <v>53</v>
      </c>
      <c r="V2916" t="s">
        <v>44</v>
      </c>
      <c r="W2916" t="s">
        <v>43</v>
      </c>
      <c r="X2916" t="s">
        <v>44</v>
      </c>
      <c r="Y2916" t="s">
        <v>44</v>
      </c>
      <c r="Z2916" t="s">
        <v>44</v>
      </c>
      <c r="AA2916" t="s">
        <v>44</v>
      </c>
      <c r="AB2916" t="s">
        <v>44</v>
      </c>
      <c r="AC2916" s="4">
        <v>5.1163389600000002</v>
      </c>
      <c r="AD2916" s="4">
        <v>5.0001424999999999</v>
      </c>
      <c r="AE2916" s="2">
        <v>5.12</v>
      </c>
      <c r="AF2916" s="4">
        <v>5.0001424999999999</v>
      </c>
      <c r="AG2916" s="2">
        <v>0.71</v>
      </c>
      <c r="AH2916" s="2">
        <v>527267.48</v>
      </c>
      <c r="AI2916" s="2">
        <v>0</v>
      </c>
      <c r="AJ2916" s="5">
        <v>44673</v>
      </c>
      <c r="AK2916" t="s">
        <v>12610</v>
      </c>
      <c r="AL2916" s="2">
        <v>5.05</v>
      </c>
      <c r="AM2916" s="2">
        <v>0</v>
      </c>
      <c r="AN2916" s="2">
        <v>0</v>
      </c>
      <c r="AO2916" t="s">
        <v>44</v>
      </c>
      <c r="AP2916" t="s">
        <v>44</v>
      </c>
      <c r="AQ2916" t="s">
        <v>43</v>
      </c>
    </row>
    <row r="2917" spans="1:43" x14ac:dyDescent="0.2">
      <c r="A2917" t="s">
        <v>12609</v>
      </c>
      <c r="B2917" t="s">
        <v>45</v>
      </c>
      <c r="C2917" t="s">
        <v>11005</v>
      </c>
      <c r="D2917" t="s">
        <v>11149</v>
      </c>
      <c r="E2917" t="s">
        <v>11150</v>
      </c>
      <c r="F2917" t="s">
        <v>44</v>
      </c>
      <c r="G2917" s="1">
        <v>-669524.79</v>
      </c>
      <c r="H2917" s="2">
        <v>-669524.79</v>
      </c>
      <c r="I2917" s="2">
        <v>-669524.79</v>
      </c>
      <c r="J2917" s="2">
        <v>0</v>
      </c>
      <c r="K2917" s="2"/>
      <c r="L2917" s="2">
        <v>-669524.79</v>
      </c>
      <c r="M2917" s="3"/>
      <c r="N2917" s="4">
        <v>-1.5232399999999999E-3</v>
      </c>
      <c r="O2917" s="5" t="s">
        <v>44</v>
      </c>
      <c r="P2917" s="5">
        <v>73051</v>
      </c>
      <c r="Q2917" s="1">
        <v>0</v>
      </c>
      <c r="R2917" s="2">
        <v>0.08</v>
      </c>
      <c r="S2917" s="6"/>
      <c r="T2917" t="s">
        <v>45</v>
      </c>
      <c r="U2917" t="s">
        <v>44</v>
      </c>
      <c r="V2917" t="s">
        <v>44</v>
      </c>
      <c r="W2917" t="s">
        <v>43</v>
      </c>
      <c r="X2917" t="s">
        <v>44</v>
      </c>
      <c r="Y2917" t="s">
        <v>44</v>
      </c>
      <c r="Z2917" t="s">
        <v>44</v>
      </c>
      <c r="AA2917" t="s">
        <v>44</v>
      </c>
      <c r="AB2917" t="s">
        <v>44</v>
      </c>
      <c r="AC2917" s="4">
        <v>5.1163389600000002</v>
      </c>
      <c r="AD2917" s="4">
        <v>5.0001424999999999</v>
      </c>
      <c r="AE2917" s="2">
        <v>5.12</v>
      </c>
      <c r="AF2917" s="4">
        <v>5.0001424999999999</v>
      </c>
      <c r="AG2917" s="2">
        <v>-0.91</v>
      </c>
      <c r="AH2917" s="2">
        <v>-669524.79</v>
      </c>
      <c r="AI2917" s="2">
        <v>0</v>
      </c>
      <c r="AJ2917" s="5">
        <v>44673</v>
      </c>
      <c r="AK2917" t="s">
        <v>12610</v>
      </c>
      <c r="AL2917" s="2">
        <v>5.05</v>
      </c>
      <c r="AM2917" s="2">
        <v>0</v>
      </c>
      <c r="AN2917" s="2">
        <v>0</v>
      </c>
      <c r="AO2917" t="s">
        <v>44</v>
      </c>
      <c r="AP2917" t="s">
        <v>44</v>
      </c>
      <c r="AQ2917" t="s">
        <v>44</v>
      </c>
    </row>
    <row r="2918" spans="1:43" x14ac:dyDescent="0.2">
      <c r="A2918" t="s">
        <v>12609</v>
      </c>
      <c r="B2918" t="s">
        <v>11024</v>
      </c>
      <c r="C2918" t="s">
        <v>57</v>
      </c>
      <c r="D2918" t="s">
        <v>12603</v>
      </c>
      <c r="E2918" t="s">
        <v>12603</v>
      </c>
      <c r="F2918" t="s">
        <v>12603</v>
      </c>
      <c r="G2918" s="1">
        <v>133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3">
        <v>141129.57999999999</v>
      </c>
      <c r="N2918" s="4">
        <v>0</v>
      </c>
      <c r="O2918" s="5" t="s">
        <v>44</v>
      </c>
      <c r="P2918" s="5">
        <v>44725</v>
      </c>
      <c r="Q2918" s="1"/>
      <c r="R2918" s="2"/>
      <c r="S2918" s="6"/>
      <c r="T2918" t="s">
        <v>11026</v>
      </c>
      <c r="U2918" t="s">
        <v>11025</v>
      </c>
      <c r="V2918" t="s">
        <v>11027</v>
      </c>
      <c r="W2918" t="s">
        <v>43</v>
      </c>
      <c r="X2918" t="s">
        <v>44</v>
      </c>
      <c r="Y2918" t="s">
        <v>44</v>
      </c>
      <c r="Z2918" t="s">
        <v>44</v>
      </c>
      <c r="AA2918" t="s">
        <v>44</v>
      </c>
      <c r="AB2918" t="s">
        <v>44</v>
      </c>
      <c r="AC2918" s="4"/>
      <c r="AD2918" s="4"/>
      <c r="AE2918" s="2">
        <v>0</v>
      </c>
      <c r="AF2918" s="4">
        <v>0</v>
      </c>
      <c r="AG2918" s="2">
        <v>0</v>
      </c>
      <c r="AH2918" s="2">
        <v>18770234.140000001</v>
      </c>
      <c r="AI2918" s="2">
        <v>0.04</v>
      </c>
      <c r="AJ2918" s="5">
        <v>44673</v>
      </c>
      <c r="AK2918" t="s">
        <v>12610</v>
      </c>
      <c r="AL2918" s="2">
        <v>0</v>
      </c>
      <c r="AM2918" s="2">
        <v>0</v>
      </c>
      <c r="AN2918" s="2">
        <v>0</v>
      </c>
      <c r="AO2918" t="s">
        <v>44</v>
      </c>
      <c r="AP2918" t="s">
        <v>12604</v>
      </c>
      <c r="AQ2918" t="s">
        <v>12603</v>
      </c>
    </row>
    <row r="2919" spans="1:43" x14ac:dyDescent="0.2">
      <c r="A2919" t="s">
        <v>12609</v>
      </c>
      <c r="B2919" t="s">
        <v>11024</v>
      </c>
      <c r="C2919" t="s">
        <v>57</v>
      </c>
      <c r="D2919" t="s">
        <v>12605</v>
      </c>
      <c r="E2919" t="s">
        <v>12605</v>
      </c>
      <c r="F2919" t="s">
        <v>12605</v>
      </c>
      <c r="G2919" s="1">
        <v>1328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3">
        <v>8480.36</v>
      </c>
      <c r="N2919" s="4">
        <v>0</v>
      </c>
      <c r="O2919" s="5" t="s">
        <v>44</v>
      </c>
      <c r="P2919" s="5">
        <v>44725</v>
      </c>
      <c r="Q2919" s="1"/>
      <c r="R2919" s="2"/>
      <c r="S2919" s="6"/>
      <c r="T2919" t="s">
        <v>11026</v>
      </c>
      <c r="U2919" t="s">
        <v>11025</v>
      </c>
      <c r="V2919" t="s">
        <v>11027</v>
      </c>
      <c r="W2919" t="s">
        <v>43</v>
      </c>
      <c r="X2919" t="s">
        <v>44</v>
      </c>
      <c r="Y2919" t="s">
        <v>44</v>
      </c>
      <c r="Z2919" t="s">
        <v>44</v>
      </c>
      <c r="AA2919" t="s">
        <v>44</v>
      </c>
      <c r="AB2919" t="s">
        <v>44</v>
      </c>
      <c r="AC2919" s="4"/>
      <c r="AD2919" s="4"/>
      <c r="AE2919" s="2">
        <v>0</v>
      </c>
      <c r="AF2919" s="4">
        <v>0</v>
      </c>
      <c r="AG2919" s="2">
        <v>0</v>
      </c>
      <c r="AH2919" s="2">
        <v>11261918.08</v>
      </c>
      <c r="AI2919" s="2">
        <v>0.03</v>
      </c>
      <c r="AJ2919" s="5">
        <v>44673</v>
      </c>
      <c r="AK2919" t="s">
        <v>12610</v>
      </c>
      <c r="AL2919" s="2">
        <v>0</v>
      </c>
      <c r="AM2919" s="2">
        <v>0</v>
      </c>
      <c r="AN2919" s="2">
        <v>0</v>
      </c>
      <c r="AO2919" t="s">
        <v>44</v>
      </c>
      <c r="AP2919" t="s">
        <v>12606</v>
      </c>
      <c r="AQ2919" t="s">
        <v>12605</v>
      </c>
    </row>
    <row r="2920" spans="1:43" x14ac:dyDescent="0.2">
      <c r="A2920" t="s">
        <v>12609</v>
      </c>
      <c r="B2920" t="s">
        <v>11024</v>
      </c>
      <c r="C2920" t="s">
        <v>57</v>
      </c>
      <c r="D2920" t="s">
        <v>11151</v>
      </c>
      <c r="E2920" t="s">
        <v>11151</v>
      </c>
      <c r="F2920" t="s">
        <v>11151</v>
      </c>
      <c r="G2920" s="1">
        <v>66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3">
        <v>65704</v>
      </c>
      <c r="N2920" s="4">
        <v>0</v>
      </c>
      <c r="O2920" s="5" t="s">
        <v>44</v>
      </c>
      <c r="P2920" s="5">
        <v>44727</v>
      </c>
      <c r="Q2920" s="1"/>
      <c r="R2920" s="2"/>
      <c r="S2920" s="6"/>
      <c r="T2920" t="s">
        <v>11026</v>
      </c>
      <c r="U2920" t="s">
        <v>11025</v>
      </c>
      <c r="V2920" t="s">
        <v>11027</v>
      </c>
      <c r="W2920" t="s">
        <v>43</v>
      </c>
      <c r="X2920" t="s">
        <v>44</v>
      </c>
      <c r="Y2920" t="s">
        <v>44</v>
      </c>
      <c r="Z2920" t="s">
        <v>44</v>
      </c>
      <c r="AA2920" t="s">
        <v>44</v>
      </c>
      <c r="AB2920" t="s">
        <v>44</v>
      </c>
      <c r="AC2920" s="4"/>
      <c r="AD2920" s="4"/>
      <c r="AE2920" s="2">
        <v>0</v>
      </c>
      <c r="AF2920" s="4">
        <v>0</v>
      </c>
      <c r="AG2920" s="2">
        <v>0</v>
      </c>
      <c r="AH2920" s="2">
        <v>43364640</v>
      </c>
      <c r="AI2920" s="2">
        <v>0.1</v>
      </c>
      <c r="AJ2920" s="5">
        <v>44673</v>
      </c>
      <c r="AK2920" t="s">
        <v>12610</v>
      </c>
      <c r="AL2920" s="2">
        <v>0</v>
      </c>
      <c r="AM2920" s="2">
        <v>0</v>
      </c>
      <c r="AN2920" s="2">
        <v>0</v>
      </c>
      <c r="AO2920" t="s">
        <v>44</v>
      </c>
      <c r="AP2920" t="s">
        <v>11152</v>
      </c>
      <c r="AQ2920" t="s">
        <v>11151</v>
      </c>
    </row>
    <row r="2921" spans="1:43" x14ac:dyDescent="0.2">
      <c r="A2921" t="s">
        <v>12609</v>
      </c>
      <c r="B2921" t="s">
        <v>11038</v>
      </c>
      <c r="C2921" t="s">
        <v>11052</v>
      </c>
      <c r="D2921" t="s">
        <v>12189</v>
      </c>
      <c r="E2921" t="s">
        <v>12190</v>
      </c>
      <c r="F2921" t="s">
        <v>12189</v>
      </c>
      <c r="G2921" s="1">
        <v>12700000</v>
      </c>
      <c r="H2921" s="2">
        <v>12398730.5</v>
      </c>
      <c r="I2921" s="2">
        <v>12398730.5</v>
      </c>
      <c r="J2921" s="2">
        <v>0</v>
      </c>
      <c r="K2921" s="2">
        <v>0</v>
      </c>
      <c r="L2921" s="2">
        <v>12398730.5</v>
      </c>
      <c r="M2921" s="3">
        <v>5.1450009999999997</v>
      </c>
      <c r="N2921" s="4">
        <v>2.8208449999999999E-2</v>
      </c>
      <c r="O2921" s="5" t="s">
        <v>44</v>
      </c>
      <c r="P2921" s="5">
        <v>44846</v>
      </c>
      <c r="Q2921" s="1">
        <v>0</v>
      </c>
      <c r="R2921" s="2">
        <v>0.47</v>
      </c>
      <c r="S2921" s="6">
        <v>0.45485375498000002</v>
      </c>
      <c r="T2921" t="s">
        <v>112</v>
      </c>
      <c r="U2921" t="s">
        <v>11040</v>
      </c>
      <c r="V2921" t="s">
        <v>11238</v>
      </c>
      <c r="W2921" t="s">
        <v>43</v>
      </c>
      <c r="X2921" t="s">
        <v>44</v>
      </c>
      <c r="Y2921" t="s">
        <v>44</v>
      </c>
      <c r="Z2921" t="s">
        <v>44</v>
      </c>
      <c r="AA2921" t="s">
        <v>10913</v>
      </c>
      <c r="AB2921" t="s">
        <v>44</v>
      </c>
      <c r="AC2921" s="4">
        <v>5.2157943299999996</v>
      </c>
      <c r="AD2921" s="4">
        <v>5.0951101300000001</v>
      </c>
      <c r="AE2921" s="2">
        <v>5.22</v>
      </c>
      <c r="AF2921" s="4">
        <v>5.0951101300000001</v>
      </c>
      <c r="AG2921" s="2">
        <v>16.8</v>
      </c>
      <c r="AH2921" s="2">
        <v>12398730.5</v>
      </c>
      <c r="AI2921" s="2">
        <v>0.03</v>
      </c>
      <c r="AJ2921" s="5">
        <v>44673</v>
      </c>
      <c r="AK2921" t="s">
        <v>12610</v>
      </c>
      <c r="AL2921" s="2">
        <v>5.15</v>
      </c>
      <c r="AM2921" s="2">
        <v>0</v>
      </c>
      <c r="AN2921" s="2">
        <v>0.45</v>
      </c>
      <c r="AO2921" t="s">
        <v>10922</v>
      </c>
      <c r="AP2921" t="s">
        <v>12191</v>
      </c>
      <c r="AQ2921" t="s">
        <v>12190</v>
      </c>
    </row>
    <row r="2922" spans="1:43" x14ac:dyDescent="0.2">
      <c r="A2922" t="s">
        <v>12609</v>
      </c>
      <c r="B2922" t="s">
        <v>11038</v>
      </c>
      <c r="C2922" t="s">
        <v>11039</v>
      </c>
      <c r="D2922" t="s">
        <v>11971</v>
      </c>
      <c r="E2922" t="s">
        <v>11972</v>
      </c>
      <c r="F2922" t="s">
        <v>11971</v>
      </c>
      <c r="G2922" s="1">
        <v>3000000</v>
      </c>
      <c r="H2922" s="2">
        <v>3000000</v>
      </c>
      <c r="I2922" s="2">
        <v>2996891.28</v>
      </c>
      <c r="J2922" s="2">
        <v>35580.82</v>
      </c>
      <c r="K2922" s="2">
        <v>0</v>
      </c>
      <c r="L2922" s="2">
        <v>3032472.1</v>
      </c>
      <c r="M2922" s="3">
        <v>5.914955</v>
      </c>
      <c r="N2922" s="4">
        <v>6.8992000000000003E-3</v>
      </c>
      <c r="O2922" s="5">
        <v>44965</v>
      </c>
      <c r="P2922" s="5">
        <v>44965</v>
      </c>
      <c r="Q2922" s="1">
        <v>5.85</v>
      </c>
      <c r="R2922" s="2">
        <v>0.79</v>
      </c>
      <c r="S2922" s="6">
        <v>0.75635794914999999</v>
      </c>
      <c r="T2922" t="s">
        <v>111</v>
      </c>
      <c r="U2922" t="s">
        <v>11040</v>
      </c>
      <c r="V2922" t="s">
        <v>11041</v>
      </c>
      <c r="W2922" t="s">
        <v>43</v>
      </c>
      <c r="X2922" t="s">
        <v>11034</v>
      </c>
      <c r="Y2922" t="s">
        <v>44</v>
      </c>
      <c r="Z2922" t="s">
        <v>44</v>
      </c>
      <c r="AA2922" t="s">
        <v>10979</v>
      </c>
      <c r="AB2922" t="s">
        <v>44</v>
      </c>
      <c r="AC2922" s="4">
        <v>5.9509684500000004</v>
      </c>
      <c r="AD2922" s="4">
        <v>5.7945694899999998</v>
      </c>
      <c r="AE2922" s="2">
        <v>5.95</v>
      </c>
      <c r="AF2922" s="4">
        <v>5.7945694899999998</v>
      </c>
      <c r="AG2922" s="2">
        <v>4.1100000000000003</v>
      </c>
      <c r="AH2922" s="2">
        <v>3032472.1</v>
      </c>
      <c r="AI2922" s="2">
        <v>0.01</v>
      </c>
      <c r="AJ2922" s="5">
        <v>44673</v>
      </c>
      <c r="AK2922" t="s">
        <v>12610</v>
      </c>
      <c r="AL2922" s="2">
        <v>5.86</v>
      </c>
      <c r="AM2922" s="2">
        <v>5.85</v>
      </c>
      <c r="AN2922" s="2">
        <v>0.76</v>
      </c>
      <c r="AO2922" t="s">
        <v>11165</v>
      </c>
      <c r="AP2922" t="s">
        <v>11973</v>
      </c>
      <c r="AQ2922" t="s">
        <v>11972</v>
      </c>
    </row>
    <row r="2923" spans="1:43" x14ac:dyDescent="0.2">
      <c r="A2923" t="s">
        <v>12609</v>
      </c>
      <c r="B2923" t="s">
        <v>11038</v>
      </c>
      <c r="C2923" t="s">
        <v>11039</v>
      </c>
      <c r="D2923" t="s">
        <v>12090</v>
      </c>
      <c r="E2923" t="s">
        <v>12091</v>
      </c>
      <c r="F2923" t="s">
        <v>12090</v>
      </c>
      <c r="G2923" s="1">
        <v>1000000</v>
      </c>
      <c r="H2923" s="2">
        <v>1000000</v>
      </c>
      <c r="I2923" s="2">
        <v>999695.88</v>
      </c>
      <c r="J2923" s="2">
        <v>8523.2900000000009</v>
      </c>
      <c r="K2923" s="2">
        <v>0</v>
      </c>
      <c r="L2923" s="2">
        <v>1008219.17</v>
      </c>
      <c r="M2923" s="3">
        <v>6.0835429999999997</v>
      </c>
      <c r="N2923" s="4">
        <v>2.2938099999999999E-3</v>
      </c>
      <c r="O2923" s="5">
        <v>44988</v>
      </c>
      <c r="P2923" s="5">
        <v>44988</v>
      </c>
      <c r="Q2923" s="1">
        <v>6.1</v>
      </c>
      <c r="R2923" s="2">
        <v>0.85</v>
      </c>
      <c r="S2923" s="6">
        <v>0.81254093581999998</v>
      </c>
      <c r="T2923" t="s">
        <v>111</v>
      </c>
      <c r="U2923" t="s">
        <v>11040</v>
      </c>
      <c r="V2923" t="s">
        <v>11041</v>
      </c>
      <c r="W2923" t="s">
        <v>43</v>
      </c>
      <c r="X2923" t="s">
        <v>11034</v>
      </c>
      <c r="Y2923" t="s">
        <v>44</v>
      </c>
      <c r="Z2923" t="s">
        <v>44</v>
      </c>
      <c r="AA2923" t="s">
        <v>10979</v>
      </c>
      <c r="AB2923" t="s">
        <v>44</v>
      </c>
      <c r="AC2923" s="4">
        <v>6.1100351799999997</v>
      </c>
      <c r="AD2923" s="4">
        <v>5.9453231400000002</v>
      </c>
      <c r="AE2923" s="2">
        <v>6.11</v>
      </c>
      <c r="AF2923" s="4">
        <v>5.9453231400000002</v>
      </c>
      <c r="AG2923" s="2">
        <v>1.37</v>
      </c>
      <c r="AH2923" s="2">
        <v>1008219.17</v>
      </c>
      <c r="AI2923" s="2">
        <v>0</v>
      </c>
      <c r="AJ2923" s="5">
        <v>44673</v>
      </c>
      <c r="AK2923" t="s">
        <v>12610</v>
      </c>
      <c r="AL2923" s="2">
        <v>6.02</v>
      </c>
      <c r="AM2923" s="2">
        <v>6.1</v>
      </c>
      <c r="AN2923" s="2">
        <v>0.81</v>
      </c>
      <c r="AO2923" t="s">
        <v>11165</v>
      </c>
      <c r="AP2923" t="s">
        <v>12092</v>
      </c>
      <c r="AQ2923" t="s">
        <v>12091</v>
      </c>
    </row>
    <row r="2924" spans="1:43" x14ac:dyDescent="0.2">
      <c r="A2924" t="s">
        <v>12609</v>
      </c>
      <c r="B2924" t="s">
        <v>11038</v>
      </c>
      <c r="C2924" t="s">
        <v>11039</v>
      </c>
      <c r="D2924" t="s">
        <v>12858</v>
      </c>
      <c r="E2924" t="s">
        <v>12859</v>
      </c>
      <c r="F2924" t="s">
        <v>12858</v>
      </c>
      <c r="G2924" s="1">
        <v>11000000</v>
      </c>
      <c r="H2924" s="2">
        <v>11000000</v>
      </c>
      <c r="I2924" s="2">
        <v>11020501.74</v>
      </c>
      <c r="J2924" s="2">
        <v>46579.73</v>
      </c>
      <c r="K2924" s="2">
        <v>0</v>
      </c>
      <c r="L2924" s="2">
        <v>11067081.470000001</v>
      </c>
      <c r="M2924" s="3">
        <v>6.1993330000000002</v>
      </c>
      <c r="N2924" s="4">
        <v>2.5178800000000001E-2</v>
      </c>
      <c r="O2924" s="5">
        <v>45015</v>
      </c>
      <c r="P2924" s="5">
        <v>45015</v>
      </c>
      <c r="Q2924" s="1">
        <v>6.44</v>
      </c>
      <c r="R2924" s="2">
        <v>0.93</v>
      </c>
      <c r="S2924" s="6">
        <v>0.87820253481999999</v>
      </c>
      <c r="T2924" t="s">
        <v>111</v>
      </c>
      <c r="U2924" t="s">
        <v>11040</v>
      </c>
      <c r="V2924" t="s">
        <v>11041</v>
      </c>
      <c r="W2924" t="s">
        <v>43</v>
      </c>
      <c r="X2924" t="s">
        <v>11034</v>
      </c>
      <c r="Y2924" t="s">
        <v>44</v>
      </c>
      <c r="Z2924" t="s">
        <v>44</v>
      </c>
      <c r="AA2924" t="s">
        <v>10979</v>
      </c>
      <c r="AB2924" t="s">
        <v>44</v>
      </c>
      <c r="AC2924" s="4">
        <v>6.2127848300000004</v>
      </c>
      <c r="AD2924" s="4">
        <v>6.0425928500000001</v>
      </c>
      <c r="AE2924" s="2">
        <v>6.21</v>
      </c>
      <c r="AF2924" s="4">
        <v>6.0425928500000001</v>
      </c>
      <c r="AG2924" s="2">
        <v>15</v>
      </c>
      <c r="AH2924" s="2">
        <v>11067081.470000001</v>
      </c>
      <c r="AI2924" s="2">
        <v>0.03</v>
      </c>
      <c r="AJ2924" s="5">
        <v>44673</v>
      </c>
      <c r="AK2924" t="s">
        <v>12610</v>
      </c>
      <c r="AL2924" s="2">
        <v>6.12</v>
      </c>
      <c r="AM2924" s="2">
        <v>6.44</v>
      </c>
      <c r="AN2924" s="2">
        <v>0.88</v>
      </c>
      <c r="AO2924" t="s">
        <v>11165</v>
      </c>
      <c r="AP2924" t="s">
        <v>12860</v>
      </c>
      <c r="AQ2924" t="s">
        <v>12859</v>
      </c>
    </row>
    <row r="2925" spans="1:43" x14ac:dyDescent="0.2">
      <c r="A2925" t="s">
        <v>12609</v>
      </c>
      <c r="B2925" t="s">
        <v>11038</v>
      </c>
      <c r="C2925" t="s">
        <v>11039</v>
      </c>
      <c r="D2925" t="s">
        <v>12844</v>
      </c>
      <c r="E2925" t="s">
        <v>12845</v>
      </c>
      <c r="F2925" t="s">
        <v>12844</v>
      </c>
      <c r="G2925" s="1">
        <v>1000000</v>
      </c>
      <c r="H2925" s="2">
        <v>1000000</v>
      </c>
      <c r="I2925" s="2">
        <v>1001043.16</v>
      </c>
      <c r="J2925" s="2">
        <v>4001.37</v>
      </c>
      <c r="K2925" s="2">
        <v>0</v>
      </c>
      <c r="L2925" s="2">
        <v>1005044.53</v>
      </c>
      <c r="M2925" s="3">
        <v>6.2045560000000002</v>
      </c>
      <c r="N2925" s="4">
        <v>2.2865799999999999E-3</v>
      </c>
      <c r="O2925" s="5">
        <v>45016</v>
      </c>
      <c r="P2925" s="5">
        <v>45016</v>
      </c>
      <c r="Q2925" s="1">
        <v>6.35</v>
      </c>
      <c r="R2925" s="2">
        <v>0.93</v>
      </c>
      <c r="S2925" s="6">
        <v>0.88061116438999998</v>
      </c>
      <c r="T2925" t="s">
        <v>111</v>
      </c>
      <c r="U2925" t="s">
        <v>11040</v>
      </c>
      <c r="V2925" t="s">
        <v>11041</v>
      </c>
      <c r="W2925" t="s">
        <v>43</v>
      </c>
      <c r="X2925" t="s">
        <v>11034</v>
      </c>
      <c r="Y2925" t="s">
        <v>44</v>
      </c>
      <c r="Z2925" t="s">
        <v>44</v>
      </c>
      <c r="AA2925" t="s">
        <v>11035</v>
      </c>
      <c r="AB2925" t="s">
        <v>44</v>
      </c>
      <c r="AC2925" s="4">
        <v>6.2175109700000002</v>
      </c>
      <c r="AD2925" s="4">
        <v>6.0470648499999999</v>
      </c>
      <c r="AE2925" s="2">
        <v>6.22</v>
      </c>
      <c r="AF2925" s="4">
        <v>6.0470648499999999</v>
      </c>
      <c r="AG2925" s="2">
        <v>1.36</v>
      </c>
      <c r="AH2925" s="2">
        <v>1005044.53</v>
      </c>
      <c r="AI2925" s="2">
        <v>0</v>
      </c>
      <c r="AJ2925" s="5">
        <v>44673</v>
      </c>
      <c r="AK2925" t="s">
        <v>12610</v>
      </c>
      <c r="AL2925" s="2">
        <v>6.12</v>
      </c>
      <c r="AM2925" s="2">
        <v>6.35</v>
      </c>
      <c r="AN2925" s="2">
        <v>0.88</v>
      </c>
      <c r="AO2925" t="s">
        <v>11036</v>
      </c>
      <c r="AP2925" t="s">
        <v>12846</v>
      </c>
      <c r="AQ2925" t="s">
        <v>12845</v>
      </c>
    </row>
    <row r="2926" spans="1:43" x14ac:dyDescent="0.2">
      <c r="A2926" t="s">
        <v>12609</v>
      </c>
      <c r="B2926" t="s">
        <v>11038</v>
      </c>
      <c r="C2926" t="s">
        <v>11039</v>
      </c>
      <c r="D2926" t="s">
        <v>11390</v>
      </c>
      <c r="E2926" t="s">
        <v>11391</v>
      </c>
      <c r="F2926" t="s">
        <v>11390</v>
      </c>
      <c r="G2926" s="1">
        <v>2000000</v>
      </c>
      <c r="H2926" s="2">
        <v>1930771.53</v>
      </c>
      <c r="I2926" s="2">
        <v>1930771.53</v>
      </c>
      <c r="J2926" s="2">
        <v>0</v>
      </c>
      <c r="K2926" s="2">
        <v>0</v>
      </c>
      <c r="L2926" s="2">
        <v>1930771.53</v>
      </c>
      <c r="M2926" s="3">
        <v>5.7867119999999996</v>
      </c>
      <c r="N2926" s="4">
        <v>4.3927100000000002E-3</v>
      </c>
      <c r="O2926" s="5" t="s">
        <v>44</v>
      </c>
      <c r="P2926" s="5">
        <v>44902</v>
      </c>
      <c r="Q2926" s="1">
        <v>0</v>
      </c>
      <c r="R2926" s="2">
        <v>0.62</v>
      </c>
      <c r="S2926" s="6">
        <v>0.59776029928999996</v>
      </c>
      <c r="T2926" t="s">
        <v>112</v>
      </c>
      <c r="U2926" t="s">
        <v>11040</v>
      </c>
      <c r="V2926" t="s">
        <v>11238</v>
      </c>
      <c r="W2926" t="s">
        <v>43</v>
      </c>
      <c r="X2926" t="s">
        <v>44</v>
      </c>
      <c r="Y2926" t="s">
        <v>44</v>
      </c>
      <c r="Z2926" t="s">
        <v>44</v>
      </c>
      <c r="AA2926" t="s">
        <v>10913</v>
      </c>
      <c r="AB2926" t="s">
        <v>44</v>
      </c>
      <c r="AC2926" s="4">
        <v>5.8501835199999999</v>
      </c>
      <c r="AD2926" s="4">
        <v>5.6989443299999998</v>
      </c>
      <c r="AE2926" s="2">
        <v>5.85</v>
      </c>
      <c r="AF2926" s="4">
        <v>5.6989443299999998</v>
      </c>
      <c r="AG2926" s="2">
        <v>2.62</v>
      </c>
      <c r="AH2926" s="2">
        <v>1930771.53</v>
      </c>
      <c r="AI2926" s="2">
        <v>0</v>
      </c>
      <c r="AJ2926" s="5">
        <v>44673</v>
      </c>
      <c r="AK2926" t="s">
        <v>12610</v>
      </c>
      <c r="AL2926" s="2">
        <v>5.77</v>
      </c>
      <c r="AM2926" s="2">
        <v>0</v>
      </c>
      <c r="AN2926" s="2">
        <v>0.6</v>
      </c>
      <c r="AO2926" t="s">
        <v>10922</v>
      </c>
      <c r="AP2926" t="s">
        <v>11392</v>
      </c>
      <c r="AQ2926" t="s">
        <v>11391</v>
      </c>
    </row>
    <row r="2927" spans="1:43" x14ac:dyDescent="0.2">
      <c r="A2927" t="s">
        <v>12609</v>
      </c>
      <c r="B2927" t="s">
        <v>11038</v>
      </c>
      <c r="C2927" t="s">
        <v>11039</v>
      </c>
      <c r="D2927" t="s">
        <v>12257</v>
      </c>
      <c r="E2927" t="s">
        <v>12258</v>
      </c>
      <c r="F2927" t="s">
        <v>12257</v>
      </c>
      <c r="G2927" s="1">
        <v>1500000</v>
      </c>
      <c r="H2927" s="2">
        <v>1448249.87</v>
      </c>
      <c r="I2927" s="2">
        <v>1448249.87</v>
      </c>
      <c r="J2927" s="2">
        <v>0</v>
      </c>
      <c r="K2927" s="2">
        <v>0</v>
      </c>
      <c r="L2927" s="2">
        <v>1448249.87</v>
      </c>
      <c r="M2927" s="3">
        <v>5.7911989999999998</v>
      </c>
      <c r="N2927" s="4">
        <v>3.2949199999999998E-3</v>
      </c>
      <c r="O2927" s="5" t="s">
        <v>44</v>
      </c>
      <c r="P2927" s="5">
        <v>44909</v>
      </c>
      <c r="Q2927" s="1">
        <v>0</v>
      </c>
      <c r="R2927" s="2">
        <v>0.64</v>
      </c>
      <c r="S2927" s="6">
        <v>0.6155984269</v>
      </c>
      <c r="T2927" t="s">
        <v>112</v>
      </c>
      <c r="U2927" t="s">
        <v>11040</v>
      </c>
      <c r="V2927" t="s">
        <v>11238</v>
      </c>
      <c r="W2927" t="s">
        <v>43</v>
      </c>
      <c r="X2927" t="s">
        <v>44</v>
      </c>
      <c r="Y2927" t="s">
        <v>44</v>
      </c>
      <c r="Z2927" t="s">
        <v>44</v>
      </c>
      <c r="AA2927" t="s">
        <v>10913</v>
      </c>
      <c r="AB2927" t="s">
        <v>44</v>
      </c>
      <c r="AC2927" s="4">
        <v>5.8515238099999998</v>
      </c>
      <c r="AD2927" s="4">
        <v>5.7002165500000004</v>
      </c>
      <c r="AE2927" s="2">
        <v>5.85</v>
      </c>
      <c r="AF2927" s="4">
        <v>5.7002165500000004</v>
      </c>
      <c r="AG2927" s="2">
        <v>1.96</v>
      </c>
      <c r="AH2927" s="2">
        <v>1448249.87</v>
      </c>
      <c r="AI2927" s="2">
        <v>0</v>
      </c>
      <c r="AJ2927" s="5">
        <v>44673</v>
      </c>
      <c r="AK2927" t="s">
        <v>12610</v>
      </c>
      <c r="AL2927" s="2">
        <v>5.77</v>
      </c>
      <c r="AM2927" s="2">
        <v>0</v>
      </c>
      <c r="AN2927" s="2">
        <v>0.62</v>
      </c>
      <c r="AO2927" t="s">
        <v>10922</v>
      </c>
      <c r="AP2927" t="s">
        <v>12259</v>
      </c>
      <c r="AQ2927" t="s">
        <v>12258</v>
      </c>
    </row>
    <row r="2928" spans="1:43" x14ac:dyDescent="0.2">
      <c r="A2928" t="s">
        <v>12609</v>
      </c>
      <c r="B2928" t="s">
        <v>11038</v>
      </c>
      <c r="C2928" t="s">
        <v>11039</v>
      </c>
      <c r="D2928" t="s">
        <v>11399</v>
      </c>
      <c r="E2928" t="s">
        <v>11400</v>
      </c>
      <c r="F2928" t="s">
        <v>11399</v>
      </c>
      <c r="G2928" s="1">
        <v>2700000</v>
      </c>
      <c r="H2928" s="2">
        <v>2619493.89</v>
      </c>
      <c r="I2928" s="2">
        <v>2619493.89</v>
      </c>
      <c r="J2928" s="2">
        <v>0</v>
      </c>
      <c r="K2928" s="2">
        <v>0</v>
      </c>
      <c r="L2928" s="2">
        <v>2619493.89</v>
      </c>
      <c r="M2928" s="3">
        <v>5.4191849999999997</v>
      </c>
      <c r="N2928" s="4">
        <v>5.9596299999999996E-3</v>
      </c>
      <c r="O2928" s="5" t="s">
        <v>44</v>
      </c>
      <c r="P2928" s="5">
        <v>44881</v>
      </c>
      <c r="Q2928" s="1">
        <v>0</v>
      </c>
      <c r="R2928" s="2">
        <v>0.56000000000000005</v>
      </c>
      <c r="S2928" s="6">
        <v>0.54505428138000001</v>
      </c>
      <c r="T2928" t="s">
        <v>112</v>
      </c>
      <c r="U2928" t="s">
        <v>11040</v>
      </c>
      <c r="V2928" t="s">
        <v>11238</v>
      </c>
      <c r="W2928" t="s">
        <v>43</v>
      </c>
      <c r="X2928" t="s">
        <v>44</v>
      </c>
      <c r="Y2928" t="s">
        <v>44</v>
      </c>
      <c r="Z2928" t="s">
        <v>44</v>
      </c>
      <c r="AA2928" t="s">
        <v>10913</v>
      </c>
      <c r="AB2928" t="s">
        <v>44</v>
      </c>
      <c r="AC2928" s="4">
        <v>5.4834100699999997</v>
      </c>
      <c r="AD2928" s="4">
        <v>5.3502421900000003</v>
      </c>
      <c r="AE2928" s="2">
        <v>5.48</v>
      </c>
      <c r="AF2928" s="4">
        <v>5.3502421900000003</v>
      </c>
      <c r="AG2928" s="2">
        <v>3.55</v>
      </c>
      <c r="AH2928" s="2">
        <v>2619493.89</v>
      </c>
      <c r="AI2928" s="2">
        <v>0.01</v>
      </c>
      <c r="AJ2928" s="5">
        <v>44673</v>
      </c>
      <c r="AK2928" t="s">
        <v>12610</v>
      </c>
      <c r="AL2928" s="2">
        <v>5.41</v>
      </c>
      <c r="AM2928" s="2">
        <v>0</v>
      </c>
      <c r="AN2928" s="2">
        <v>0.55000000000000004</v>
      </c>
      <c r="AO2928" t="s">
        <v>10922</v>
      </c>
      <c r="AP2928" t="s">
        <v>11401</v>
      </c>
      <c r="AQ2928" t="s">
        <v>11400</v>
      </c>
    </row>
    <row r="2929" spans="1:43" x14ac:dyDescent="0.2">
      <c r="A2929" t="s">
        <v>12609</v>
      </c>
      <c r="B2929" t="s">
        <v>11038</v>
      </c>
      <c r="C2929" t="s">
        <v>11039</v>
      </c>
      <c r="D2929" t="s">
        <v>11405</v>
      </c>
      <c r="E2929" t="s">
        <v>11406</v>
      </c>
      <c r="F2929" t="s">
        <v>11405</v>
      </c>
      <c r="G2929" s="1">
        <v>2000000</v>
      </c>
      <c r="H2929" s="2">
        <v>1937576.6</v>
      </c>
      <c r="I2929" s="2">
        <v>1937576.6</v>
      </c>
      <c r="J2929" s="2">
        <v>0</v>
      </c>
      <c r="K2929" s="2">
        <v>0</v>
      </c>
      <c r="L2929" s="2">
        <v>1937576.6</v>
      </c>
      <c r="M2929" s="3">
        <v>5.5672899999999998</v>
      </c>
      <c r="N2929" s="4">
        <v>4.4082000000000001E-3</v>
      </c>
      <c r="O2929" s="5" t="s">
        <v>44</v>
      </c>
      <c r="P2929" s="5">
        <v>44888</v>
      </c>
      <c r="Q2929" s="1">
        <v>0</v>
      </c>
      <c r="R2929" s="2">
        <v>0.57999999999999996</v>
      </c>
      <c r="S2929" s="6">
        <v>0.56262873229999999</v>
      </c>
      <c r="T2929" t="s">
        <v>112</v>
      </c>
      <c r="U2929" t="s">
        <v>11040</v>
      </c>
      <c r="V2929" t="s">
        <v>11238</v>
      </c>
      <c r="W2929" t="s">
        <v>43</v>
      </c>
      <c r="X2929" t="s">
        <v>44</v>
      </c>
      <c r="Y2929" t="s">
        <v>44</v>
      </c>
      <c r="Z2929" t="s">
        <v>44</v>
      </c>
      <c r="AA2929" t="s">
        <v>10913</v>
      </c>
      <c r="AB2929" t="s">
        <v>44</v>
      </c>
      <c r="AC2929" s="4">
        <v>5.6320586500000003</v>
      </c>
      <c r="AD2929" s="4">
        <v>5.4917004399999998</v>
      </c>
      <c r="AE2929" s="2">
        <v>5.63</v>
      </c>
      <c r="AF2929" s="4">
        <v>5.4917004399999998</v>
      </c>
      <c r="AG2929" s="2">
        <v>2.63</v>
      </c>
      <c r="AH2929" s="2">
        <v>1937576.6</v>
      </c>
      <c r="AI2929" s="2">
        <v>0</v>
      </c>
      <c r="AJ2929" s="5">
        <v>44673</v>
      </c>
      <c r="AK2929" t="s">
        <v>12610</v>
      </c>
      <c r="AL2929" s="2">
        <v>5.55</v>
      </c>
      <c r="AM2929" s="2">
        <v>0</v>
      </c>
      <c r="AN2929" s="2">
        <v>0.56000000000000005</v>
      </c>
      <c r="AO2929" t="s">
        <v>10922</v>
      </c>
      <c r="AP2929" t="s">
        <v>11407</v>
      </c>
      <c r="AQ2929" t="s">
        <v>11406</v>
      </c>
    </row>
    <row r="2930" spans="1:43" x14ac:dyDescent="0.2">
      <c r="A2930" t="s">
        <v>12609</v>
      </c>
      <c r="B2930" t="s">
        <v>11038</v>
      </c>
      <c r="C2930" t="s">
        <v>11039</v>
      </c>
      <c r="D2930" t="s">
        <v>12727</v>
      </c>
      <c r="E2930" t="s">
        <v>12728</v>
      </c>
      <c r="F2930" t="s">
        <v>12727</v>
      </c>
      <c r="G2930" s="1">
        <v>7000000</v>
      </c>
      <c r="H2930" s="2">
        <v>7000000</v>
      </c>
      <c r="I2930" s="2">
        <v>7007500.6500000004</v>
      </c>
      <c r="J2930" s="2">
        <v>43495.89</v>
      </c>
      <c r="K2930" s="2">
        <v>0</v>
      </c>
      <c r="L2930" s="2">
        <v>7050996.54</v>
      </c>
      <c r="M2930" s="3">
        <v>6.1328639999999996</v>
      </c>
      <c r="N2930" s="4">
        <v>1.6041779999999999E-2</v>
      </c>
      <c r="O2930" s="5">
        <v>45001</v>
      </c>
      <c r="P2930" s="5">
        <v>45001</v>
      </c>
      <c r="Q2930" s="1">
        <v>6.3</v>
      </c>
      <c r="R2930" s="2">
        <v>0.89</v>
      </c>
      <c r="S2930" s="6">
        <v>0.84430539241000002</v>
      </c>
      <c r="T2930" t="s">
        <v>111</v>
      </c>
      <c r="U2930" t="s">
        <v>11040</v>
      </c>
      <c r="V2930" t="s">
        <v>11041</v>
      </c>
      <c r="W2930" t="s">
        <v>43</v>
      </c>
      <c r="X2930" t="s">
        <v>11034</v>
      </c>
      <c r="Y2930" t="s">
        <v>44</v>
      </c>
      <c r="Z2930" t="s">
        <v>44</v>
      </c>
      <c r="AA2930" t="s">
        <v>10979</v>
      </c>
      <c r="AB2930" t="s">
        <v>44</v>
      </c>
      <c r="AC2930" s="4">
        <v>6.1531520899999999</v>
      </c>
      <c r="AD2930" s="4">
        <v>5.9861510000000004</v>
      </c>
      <c r="AE2930" s="2">
        <v>6.15</v>
      </c>
      <c r="AF2930" s="4">
        <v>5.9861510000000004</v>
      </c>
      <c r="AG2930" s="2">
        <v>9.56</v>
      </c>
      <c r="AH2930" s="2">
        <v>7050996.54</v>
      </c>
      <c r="AI2930" s="2">
        <v>0.02</v>
      </c>
      <c r="AJ2930" s="5">
        <v>44673</v>
      </c>
      <c r="AK2930" t="s">
        <v>12610</v>
      </c>
      <c r="AL2930" s="2">
        <v>6.06</v>
      </c>
      <c r="AM2930" s="2">
        <v>6.3</v>
      </c>
      <c r="AN2930" s="2">
        <v>0.84</v>
      </c>
      <c r="AO2930" t="s">
        <v>11179</v>
      </c>
      <c r="AP2930" t="s">
        <v>12729</v>
      </c>
      <c r="AQ2930" t="s">
        <v>12728</v>
      </c>
    </row>
    <row r="2931" spans="1:43" x14ac:dyDescent="0.2">
      <c r="A2931" t="s">
        <v>12609</v>
      </c>
      <c r="B2931" t="s">
        <v>11038</v>
      </c>
      <c r="C2931" t="s">
        <v>11222</v>
      </c>
      <c r="D2931" t="s">
        <v>12965</v>
      </c>
      <c r="E2931" t="s">
        <v>12966</v>
      </c>
      <c r="F2931" t="s">
        <v>12965</v>
      </c>
      <c r="G2931" s="1">
        <v>11000000</v>
      </c>
      <c r="H2931" s="2">
        <v>11000000</v>
      </c>
      <c r="I2931" s="2">
        <v>11001607.560000001</v>
      </c>
      <c r="J2931" s="2">
        <v>21315.89</v>
      </c>
      <c r="K2931" s="2">
        <v>0</v>
      </c>
      <c r="L2931" s="2">
        <v>11022923.449999999</v>
      </c>
      <c r="M2931" s="3">
        <v>6.4004060000000003</v>
      </c>
      <c r="N2931" s="4">
        <v>2.5078340000000001E-2</v>
      </c>
      <c r="O2931" s="5">
        <v>45057</v>
      </c>
      <c r="P2931" s="5">
        <v>45057</v>
      </c>
      <c r="Q2931" s="1">
        <v>6.43</v>
      </c>
      <c r="R2931" s="2">
        <v>1.04</v>
      </c>
      <c r="S2931" s="6">
        <v>0.97846466510999996</v>
      </c>
      <c r="T2931" t="s">
        <v>111</v>
      </c>
      <c r="U2931" t="s">
        <v>11040</v>
      </c>
      <c r="V2931" t="s">
        <v>11041</v>
      </c>
      <c r="W2931" t="s">
        <v>43</v>
      </c>
      <c r="X2931" t="s">
        <v>11034</v>
      </c>
      <c r="Y2931" t="s">
        <v>44</v>
      </c>
      <c r="Z2931" t="s">
        <v>44</v>
      </c>
      <c r="AA2931" t="s">
        <v>10979</v>
      </c>
      <c r="AB2931" t="s">
        <v>44</v>
      </c>
      <c r="AC2931" s="4">
        <v>6.3916291899999997</v>
      </c>
      <c r="AD2931" s="4">
        <v>6.2116933599999999</v>
      </c>
      <c r="AE2931" s="2">
        <v>6.39</v>
      </c>
      <c r="AF2931" s="4">
        <v>6.2116933599999999</v>
      </c>
      <c r="AG2931" s="2">
        <v>14.94</v>
      </c>
      <c r="AH2931" s="2">
        <v>11022923.449999999</v>
      </c>
      <c r="AI2931" s="2">
        <v>0.03</v>
      </c>
      <c r="AJ2931" s="5">
        <v>44673</v>
      </c>
      <c r="AK2931" t="s">
        <v>12610</v>
      </c>
      <c r="AL2931" s="2">
        <v>6.29</v>
      </c>
      <c r="AM2931" s="2">
        <v>6.43</v>
      </c>
      <c r="AN2931" s="2">
        <v>0.98</v>
      </c>
      <c r="AO2931" t="s">
        <v>11054</v>
      </c>
      <c r="AP2931" t="s">
        <v>12967</v>
      </c>
      <c r="AQ2931" t="s">
        <v>12966</v>
      </c>
    </row>
    <row r="2932" spans="1:43" x14ac:dyDescent="0.2">
      <c r="A2932" t="s">
        <v>12609</v>
      </c>
      <c r="B2932" t="s">
        <v>11030</v>
      </c>
      <c r="C2932" t="s">
        <v>11030</v>
      </c>
      <c r="D2932" t="s">
        <v>12607</v>
      </c>
      <c r="E2932" t="s">
        <v>12603</v>
      </c>
      <c r="F2932" t="s">
        <v>12607</v>
      </c>
      <c r="G2932" s="1">
        <v>133</v>
      </c>
      <c r="H2932" s="2"/>
      <c r="I2932" s="2">
        <v>0</v>
      </c>
      <c r="J2932" s="2"/>
      <c r="K2932" s="2"/>
      <c r="L2932" s="2">
        <v>0</v>
      </c>
      <c r="M2932" s="3"/>
      <c r="N2932" s="4">
        <v>0</v>
      </c>
      <c r="O2932" s="5" t="s">
        <v>44</v>
      </c>
      <c r="P2932" s="5" t="s">
        <v>44</v>
      </c>
      <c r="Q2932" s="1"/>
      <c r="R2932" s="2"/>
      <c r="S2932" s="6"/>
      <c r="T2932" t="s">
        <v>11031</v>
      </c>
      <c r="U2932" t="s">
        <v>11032</v>
      </c>
      <c r="V2932" t="s">
        <v>45</v>
      </c>
      <c r="W2932" t="s">
        <v>43</v>
      </c>
      <c r="X2932" t="s">
        <v>44</v>
      </c>
      <c r="Y2932" t="s">
        <v>44</v>
      </c>
      <c r="Z2932" t="s">
        <v>44</v>
      </c>
      <c r="AA2932" t="s">
        <v>44</v>
      </c>
      <c r="AB2932" t="s">
        <v>44</v>
      </c>
      <c r="AC2932" s="4"/>
      <c r="AD2932" s="4"/>
      <c r="AE2932" s="2">
        <v>0</v>
      </c>
      <c r="AF2932" s="4">
        <v>0</v>
      </c>
      <c r="AG2932" s="2">
        <v>0</v>
      </c>
      <c r="AH2932" s="2">
        <v>-18770234.140000001</v>
      </c>
      <c r="AI2932" s="2">
        <v>-0.04</v>
      </c>
      <c r="AJ2932" s="5">
        <v>44673</v>
      </c>
      <c r="AK2932" t="s">
        <v>12610</v>
      </c>
      <c r="AL2932" s="2">
        <v>0</v>
      </c>
      <c r="AM2932" s="2">
        <v>0</v>
      </c>
      <c r="AN2932" s="2">
        <v>0</v>
      </c>
      <c r="AO2932" t="s">
        <v>44</v>
      </c>
      <c r="AP2932" t="s">
        <v>44</v>
      </c>
      <c r="AQ2932" t="s">
        <v>11182</v>
      </c>
    </row>
    <row r="2933" spans="1:43" x14ac:dyDescent="0.2">
      <c r="A2933" t="s">
        <v>12609</v>
      </c>
      <c r="B2933" t="s">
        <v>11030</v>
      </c>
      <c r="C2933" t="s">
        <v>11030</v>
      </c>
      <c r="D2933" t="s">
        <v>12608</v>
      </c>
      <c r="E2933" t="s">
        <v>12605</v>
      </c>
      <c r="F2933" t="s">
        <v>12608</v>
      </c>
      <c r="G2933" s="1">
        <v>1328</v>
      </c>
      <c r="H2933" s="2"/>
      <c r="I2933" s="2">
        <v>0</v>
      </c>
      <c r="J2933" s="2"/>
      <c r="K2933" s="2"/>
      <c r="L2933" s="2">
        <v>0</v>
      </c>
      <c r="M2933" s="3"/>
      <c r="N2933" s="4">
        <v>0</v>
      </c>
      <c r="O2933" s="5" t="s">
        <v>44</v>
      </c>
      <c r="P2933" s="5" t="s">
        <v>44</v>
      </c>
      <c r="Q2933" s="1"/>
      <c r="R2933" s="2"/>
      <c r="S2933" s="6"/>
      <c r="T2933" t="s">
        <v>11031</v>
      </c>
      <c r="U2933" t="s">
        <v>11032</v>
      </c>
      <c r="V2933" t="s">
        <v>45</v>
      </c>
      <c r="W2933" t="s">
        <v>43</v>
      </c>
      <c r="X2933" t="s">
        <v>44</v>
      </c>
      <c r="Y2933" t="s">
        <v>44</v>
      </c>
      <c r="Z2933" t="s">
        <v>44</v>
      </c>
      <c r="AA2933" t="s">
        <v>44</v>
      </c>
      <c r="AB2933" t="s">
        <v>44</v>
      </c>
      <c r="AC2933" s="4"/>
      <c r="AD2933" s="4"/>
      <c r="AE2933" s="2">
        <v>0</v>
      </c>
      <c r="AF2933" s="4">
        <v>0</v>
      </c>
      <c r="AG2933" s="2">
        <v>0</v>
      </c>
      <c r="AH2933" s="2">
        <v>-11261918.08</v>
      </c>
      <c r="AI2933" s="2">
        <v>-0.03</v>
      </c>
      <c r="AJ2933" s="5">
        <v>44673</v>
      </c>
      <c r="AK2933" t="s">
        <v>12610</v>
      </c>
      <c r="AL2933" s="2">
        <v>0</v>
      </c>
      <c r="AM2933" s="2">
        <v>0</v>
      </c>
      <c r="AN2933" s="2">
        <v>0</v>
      </c>
      <c r="AO2933" t="s">
        <v>44</v>
      </c>
      <c r="AP2933" t="s">
        <v>44</v>
      </c>
      <c r="AQ2933" t="s">
        <v>11182</v>
      </c>
    </row>
    <row r="2934" spans="1:43" x14ac:dyDescent="0.2">
      <c r="A2934" t="s">
        <v>12609</v>
      </c>
      <c r="B2934" t="s">
        <v>11030</v>
      </c>
      <c r="C2934" t="s">
        <v>11030</v>
      </c>
      <c r="D2934" t="s">
        <v>11181</v>
      </c>
      <c r="E2934" t="s">
        <v>11151</v>
      </c>
      <c r="F2934" t="s">
        <v>11181</v>
      </c>
      <c r="G2934" s="1">
        <v>66</v>
      </c>
      <c r="H2934" s="2"/>
      <c r="I2934" s="2">
        <v>0</v>
      </c>
      <c r="J2934" s="2"/>
      <c r="K2934" s="2"/>
      <c r="L2934" s="2">
        <v>0</v>
      </c>
      <c r="M2934" s="3"/>
      <c r="N2934" s="4">
        <v>0</v>
      </c>
      <c r="O2934" s="5" t="s">
        <v>44</v>
      </c>
      <c r="P2934" s="5" t="s">
        <v>44</v>
      </c>
      <c r="Q2934" s="1"/>
      <c r="R2934" s="2"/>
      <c r="S2934" s="6"/>
      <c r="T2934" t="s">
        <v>11031</v>
      </c>
      <c r="U2934" t="s">
        <v>11032</v>
      </c>
      <c r="V2934" t="s">
        <v>45</v>
      </c>
      <c r="W2934" t="s">
        <v>43</v>
      </c>
      <c r="X2934" t="s">
        <v>44</v>
      </c>
      <c r="Y2934" t="s">
        <v>44</v>
      </c>
      <c r="Z2934" t="s">
        <v>44</v>
      </c>
      <c r="AA2934" t="s">
        <v>44</v>
      </c>
      <c r="AB2934" t="s">
        <v>44</v>
      </c>
      <c r="AC2934" s="4"/>
      <c r="AD2934" s="4"/>
      <c r="AE2934" s="2">
        <v>0</v>
      </c>
      <c r="AF2934" s="4">
        <v>0</v>
      </c>
      <c r="AG2934" s="2">
        <v>0</v>
      </c>
      <c r="AH2934" s="2">
        <v>-43364640</v>
      </c>
      <c r="AI2934" s="2">
        <v>-0.1</v>
      </c>
      <c r="AJ2934" s="5">
        <v>44673</v>
      </c>
      <c r="AK2934" t="s">
        <v>12610</v>
      </c>
      <c r="AL2934" s="2">
        <v>0</v>
      </c>
      <c r="AM2934" s="2">
        <v>0</v>
      </c>
      <c r="AN2934" s="2">
        <v>0</v>
      </c>
      <c r="AO2934" t="s">
        <v>44</v>
      </c>
      <c r="AP2934" t="s">
        <v>44</v>
      </c>
      <c r="AQ2934" t="s">
        <v>11182</v>
      </c>
    </row>
    <row r="2935" spans="1:43" x14ac:dyDescent="0.2">
      <c r="A2935" t="s">
        <v>12611</v>
      </c>
      <c r="B2935" t="s">
        <v>10900</v>
      </c>
      <c r="C2935" t="s">
        <v>11049</v>
      </c>
      <c r="D2935" t="s">
        <v>11956</v>
      </c>
      <c r="E2935" t="s">
        <v>11957</v>
      </c>
      <c r="F2935" t="s">
        <v>11956</v>
      </c>
      <c r="G2935" s="1">
        <v>3000000</v>
      </c>
      <c r="H2935" s="2">
        <v>3001782.7</v>
      </c>
      <c r="I2935" s="2">
        <v>3006929.79</v>
      </c>
      <c r="J2935" s="2">
        <v>32033.34</v>
      </c>
      <c r="K2935" s="2">
        <v>0</v>
      </c>
      <c r="L2935" s="2">
        <v>3038963.13</v>
      </c>
      <c r="M2935" s="3">
        <v>5.1338650000000001</v>
      </c>
      <c r="N2935" s="4">
        <v>6.9139700000000002E-3</v>
      </c>
      <c r="O2935" s="5">
        <v>44697</v>
      </c>
      <c r="P2935" s="5">
        <v>44788</v>
      </c>
      <c r="Q2935" s="1">
        <v>5.8170000000000002</v>
      </c>
      <c r="R2935" s="2">
        <v>0.06</v>
      </c>
      <c r="S2935" s="6">
        <v>5.3630172561E-2</v>
      </c>
      <c r="T2935" t="s">
        <v>111</v>
      </c>
      <c r="U2935" t="s">
        <v>111</v>
      </c>
      <c r="V2935" t="s">
        <v>11189</v>
      </c>
      <c r="W2935" t="s">
        <v>43</v>
      </c>
      <c r="X2935" t="s">
        <v>11034</v>
      </c>
      <c r="Y2935" t="s">
        <v>44</v>
      </c>
      <c r="Z2935" t="s">
        <v>44</v>
      </c>
      <c r="AA2935" t="s">
        <v>11225</v>
      </c>
      <c r="AB2935" t="s">
        <v>44</v>
      </c>
      <c r="AC2935" s="4">
        <v>5.1997564000000001</v>
      </c>
      <c r="AD2935" s="4">
        <v>5.0798014499999997</v>
      </c>
      <c r="AE2935" s="2">
        <v>5.2</v>
      </c>
      <c r="AF2935" s="4">
        <v>5.0798014499999997</v>
      </c>
      <c r="AG2935" s="2">
        <v>5.49</v>
      </c>
      <c r="AH2935" s="2">
        <v>3038963.13</v>
      </c>
      <c r="AI2935" s="2">
        <v>0.01</v>
      </c>
      <c r="AJ2935" s="5">
        <v>44673</v>
      </c>
      <c r="AK2935" t="s">
        <v>12612</v>
      </c>
      <c r="AL2935" s="2">
        <v>5.13</v>
      </c>
      <c r="AM2935" s="2">
        <v>5.82</v>
      </c>
      <c r="AN2935" s="2">
        <v>0.05</v>
      </c>
      <c r="AO2935" t="s">
        <v>11817</v>
      </c>
      <c r="AP2935" t="s">
        <v>11958</v>
      </c>
      <c r="AQ2935" t="s">
        <v>11957</v>
      </c>
    </row>
    <row r="2936" spans="1:43" x14ac:dyDescent="0.2">
      <c r="A2936" t="s">
        <v>12611</v>
      </c>
      <c r="B2936" t="s">
        <v>10900</v>
      </c>
      <c r="C2936" t="s">
        <v>11049</v>
      </c>
      <c r="D2936" t="s">
        <v>11959</v>
      </c>
      <c r="E2936" t="s">
        <v>11960</v>
      </c>
      <c r="F2936" t="s">
        <v>11959</v>
      </c>
      <c r="G2936" s="1">
        <v>300000</v>
      </c>
      <c r="H2936" s="2">
        <v>300317.65999999997</v>
      </c>
      <c r="I2936" s="2">
        <v>300278.21000000002</v>
      </c>
      <c r="J2936" s="2">
        <v>1791.78</v>
      </c>
      <c r="K2936" s="2">
        <v>0</v>
      </c>
      <c r="L2936" s="2">
        <v>302069.99</v>
      </c>
      <c r="M2936" s="3">
        <v>5.1678660000000001</v>
      </c>
      <c r="N2936" s="4">
        <v>6.8723999999999999E-4</v>
      </c>
      <c r="O2936" s="5">
        <v>44725</v>
      </c>
      <c r="P2936" s="5">
        <v>44816</v>
      </c>
      <c r="Q2936" s="1">
        <v>5.45</v>
      </c>
      <c r="R2936" s="2">
        <v>0.13</v>
      </c>
      <c r="S2936" s="6">
        <v>0.1261341168</v>
      </c>
      <c r="T2936" t="s">
        <v>111</v>
      </c>
      <c r="U2936" t="s">
        <v>111</v>
      </c>
      <c r="V2936" t="s">
        <v>11189</v>
      </c>
      <c r="W2936" t="s">
        <v>43</v>
      </c>
      <c r="X2936" t="s">
        <v>11034</v>
      </c>
      <c r="Y2936" t="s">
        <v>44</v>
      </c>
      <c r="Z2936" t="s">
        <v>44</v>
      </c>
      <c r="AA2936" t="s">
        <v>11035</v>
      </c>
      <c r="AB2936" t="s">
        <v>44</v>
      </c>
      <c r="AC2936" s="4">
        <v>5.2346334099999998</v>
      </c>
      <c r="AD2936" s="4">
        <v>5.1130898599999997</v>
      </c>
      <c r="AE2936" s="2">
        <v>5.23</v>
      </c>
      <c r="AF2936" s="4">
        <v>5.1130898599999997</v>
      </c>
      <c r="AG2936" s="2">
        <v>0.55000000000000004</v>
      </c>
      <c r="AH2936" s="2">
        <v>302069.99</v>
      </c>
      <c r="AI2936" s="2">
        <v>0</v>
      </c>
      <c r="AJ2936" s="5">
        <v>44673</v>
      </c>
      <c r="AK2936" t="s">
        <v>12612</v>
      </c>
      <c r="AL2936" s="2">
        <v>5.17</v>
      </c>
      <c r="AM2936" s="2">
        <v>5.45</v>
      </c>
      <c r="AN2936" s="2">
        <v>0.13</v>
      </c>
      <c r="AO2936" t="s">
        <v>11053</v>
      </c>
      <c r="AP2936" t="s">
        <v>11961</v>
      </c>
      <c r="AQ2936" t="s">
        <v>11960</v>
      </c>
    </row>
    <row r="2937" spans="1:43" x14ac:dyDescent="0.2">
      <c r="A2937" t="s">
        <v>12611</v>
      </c>
      <c r="B2937" t="s">
        <v>10900</v>
      </c>
      <c r="C2937" t="s">
        <v>11049</v>
      </c>
      <c r="D2937" t="s">
        <v>11794</v>
      </c>
      <c r="E2937" t="s">
        <v>11795</v>
      </c>
      <c r="F2937" t="s">
        <v>11794</v>
      </c>
      <c r="G2937" s="1">
        <v>1800000</v>
      </c>
      <c r="H2937" s="2">
        <v>1800182.01</v>
      </c>
      <c r="I2937" s="2">
        <v>1800201.92</v>
      </c>
      <c r="J2937" s="2">
        <v>22880.02</v>
      </c>
      <c r="K2937" s="2">
        <v>0</v>
      </c>
      <c r="L2937" s="2">
        <v>1823081.94</v>
      </c>
      <c r="M2937" s="3">
        <v>4.7002220000000001</v>
      </c>
      <c r="N2937" s="4">
        <v>4.1477099999999998E-3</v>
      </c>
      <c r="O2937" s="5">
        <v>44680</v>
      </c>
      <c r="P2937" s="5">
        <v>44680</v>
      </c>
      <c r="Q2937" s="1">
        <v>5.6580000000000004</v>
      </c>
      <c r="R2937" s="2">
        <v>0.01</v>
      </c>
      <c r="S2937" s="6">
        <v>1.0461427896999999E-2</v>
      </c>
      <c r="T2937" t="s">
        <v>111</v>
      </c>
      <c r="U2937" t="s">
        <v>111</v>
      </c>
      <c r="V2937" t="s">
        <v>11189</v>
      </c>
      <c r="W2937" t="s">
        <v>43</v>
      </c>
      <c r="X2937" t="s">
        <v>11034</v>
      </c>
      <c r="Y2937" t="s">
        <v>44</v>
      </c>
      <c r="Z2937" t="s">
        <v>44</v>
      </c>
      <c r="AA2937" t="s">
        <v>44</v>
      </c>
      <c r="AB2937" t="s">
        <v>11225</v>
      </c>
      <c r="AC2937" s="4">
        <v>4.7554521300000001</v>
      </c>
      <c r="AD2937" s="4">
        <v>4.6548469299999997</v>
      </c>
      <c r="AE2937" s="2">
        <v>4.76</v>
      </c>
      <c r="AF2937" s="4">
        <v>4.6548469299999997</v>
      </c>
      <c r="AG2937" s="2">
        <v>3.29</v>
      </c>
      <c r="AH2937" s="2">
        <v>1823081.94</v>
      </c>
      <c r="AI2937" s="2">
        <v>0</v>
      </c>
      <c r="AJ2937" s="5">
        <v>44673</v>
      </c>
      <c r="AK2937" t="s">
        <v>12612</v>
      </c>
      <c r="AL2937" s="2">
        <v>4.7</v>
      </c>
      <c r="AM2937" s="2">
        <v>5.66</v>
      </c>
      <c r="AN2937" s="2">
        <v>0.01</v>
      </c>
      <c r="AO2937" t="s">
        <v>11527</v>
      </c>
      <c r="AP2937" t="s">
        <v>11796</v>
      </c>
      <c r="AQ2937" t="s">
        <v>11795</v>
      </c>
    </row>
    <row r="2938" spans="1:43" x14ac:dyDescent="0.2">
      <c r="A2938" t="s">
        <v>12611</v>
      </c>
      <c r="B2938" t="s">
        <v>10900</v>
      </c>
      <c r="C2938" t="s">
        <v>11049</v>
      </c>
      <c r="D2938" t="s">
        <v>11265</v>
      </c>
      <c r="E2938" t="s">
        <v>11266</v>
      </c>
      <c r="F2938" t="s">
        <v>11265</v>
      </c>
      <c r="G2938" s="1">
        <v>520000</v>
      </c>
      <c r="H2938" s="2">
        <v>495174.8</v>
      </c>
      <c r="I2938" s="2">
        <v>495174.8</v>
      </c>
      <c r="J2938" s="2">
        <v>0</v>
      </c>
      <c r="K2938" s="2">
        <v>0</v>
      </c>
      <c r="L2938" s="2">
        <v>495174.8</v>
      </c>
      <c r="M2938" s="3">
        <v>6.3099970000000001</v>
      </c>
      <c r="N2938" s="4">
        <v>1.1265800000000001E-3</v>
      </c>
      <c r="O2938" s="5" t="s">
        <v>44</v>
      </c>
      <c r="P2938" s="5">
        <v>44964</v>
      </c>
      <c r="Q2938" s="1">
        <v>0</v>
      </c>
      <c r="R2938" s="2">
        <v>0.79</v>
      </c>
      <c r="S2938" s="6">
        <v>0.75161913127000002</v>
      </c>
      <c r="T2938" t="s">
        <v>112</v>
      </c>
      <c r="U2938" t="s">
        <v>111</v>
      </c>
      <c r="V2938" t="s">
        <v>11238</v>
      </c>
      <c r="W2938" t="s">
        <v>43</v>
      </c>
      <c r="X2938" t="s">
        <v>44</v>
      </c>
      <c r="Y2938" t="s">
        <v>44</v>
      </c>
      <c r="Z2938" t="s">
        <v>44</v>
      </c>
      <c r="AA2938" t="s">
        <v>10979</v>
      </c>
      <c r="AB2938" t="s">
        <v>44</v>
      </c>
      <c r="AC2938" s="4">
        <v>6.4095368800000001</v>
      </c>
      <c r="AD2938" s="4">
        <v>6.2286110399999997</v>
      </c>
      <c r="AE2938" s="2">
        <v>6.41</v>
      </c>
      <c r="AF2938" s="4">
        <v>6.2286110399999997</v>
      </c>
      <c r="AG2938" s="2">
        <v>0.89</v>
      </c>
      <c r="AH2938" s="2">
        <v>495174.8</v>
      </c>
      <c r="AI2938" s="2">
        <v>0</v>
      </c>
      <c r="AJ2938" s="5">
        <v>44673</v>
      </c>
      <c r="AK2938" t="s">
        <v>12612</v>
      </c>
      <c r="AL2938" s="2">
        <v>6.31</v>
      </c>
      <c r="AM2938" s="2">
        <v>0</v>
      </c>
      <c r="AN2938" s="2">
        <v>0.75</v>
      </c>
      <c r="AO2938" t="s">
        <v>10982</v>
      </c>
      <c r="AP2938" t="s">
        <v>11267</v>
      </c>
      <c r="AQ2938" t="s">
        <v>11266</v>
      </c>
    </row>
    <row r="2939" spans="1:43" x14ac:dyDescent="0.2">
      <c r="A2939" t="s">
        <v>12611</v>
      </c>
      <c r="B2939" t="s">
        <v>45</v>
      </c>
      <c r="C2939" t="s">
        <v>11000</v>
      </c>
      <c r="D2939" t="s">
        <v>11273</v>
      </c>
      <c r="E2939" t="s">
        <v>11274</v>
      </c>
      <c r="F2939" t="s">
        <v>11273</v>
      </c>
      <c r="G2939" s="1">
        <v>2624.33</v>
      </c>
      <c r="H2939" s="2">
        <v>2624.33</v>
      </c>
      <c r="I2939" s="2">
        <v>2624.33</v>
      </c>
      <c r="J2939" s="2">
        <v>7.96</v>
      </c>
      <c r="K2939" s="2">
        <v>0</v>
      </c>
      <c r="L2939" s="2">
        <v>2632.29</v>
      </c>
      <c r="M2939" s="3"/>
      <c r="N2939" s="4">
        <v>5.9900000000000002E-6</v>
      </c>
      <c r="O2939" s="5">
        <v>44378</v>
      </c>
      <c r="P2939" s="5">
        <v>55153</v>
      </c>
      <c r="Q2939" s="1">
        <v>0</v>
      </c>
      <c r="R2939" s="2"/>
      <c r="S2939" s="6"/>
      <c r="T2939" t="s">
        <v>111</v>
      </c>
      <c r="U2939" t="s">
        <v>11003</v>
      </c>
      <c r="V2939" t="s">
        <v>46</v>
      </c>
      <c r="W2939" t="s">
        <v>43</v>
      </c>
      <c r="X2939" t="s">
        <v>44</v>
      </c>
      <c r="Y2939" t="s">
        <v>44</v>
      </c>
      <c r="Z2939" t="s">
        <v>44</v>
      </c>
      <c r="AA2939" t="s">
        <v>44</v>
      </c>
      <c r="AB2939" t="s">
        <v>44</v>
      </c>
      <c r="AC2939" s="4"/>
      <c r="AD2939" s="4"/>
      <c r="AE2939" s="2">
        <v>0</v>
      </c>
      <c r="AF2939" s="4">
        <v>0</v>
      </c>
      <c r="AG2939" s="2">
        <v>0</v>
      </c>
      <c r="AH2939" s="2">
        <v>2632.29</v>
      </c>
      <c r="AI2939" s="2">
        <v>0</v>
      </c>
      <c r="AJ2939" s="5">
        <v>44673</v>
      </c>
      <c r="AK2939" t="s">
        <v>12612</v>
      </c>
      <c r="AL2939" s="2">
        <v>0</v>
      </c>
      <c r="AM2939" s="2">
        <v>0</v>
      </c>
      <c r="AN2939" s="2">
        <v>0</v>
      </c>
      <c r="AO2939" t="s">
        <v>44</v>
      </c>
      <c r="AP2939" t="s">
        <v>11275</v>
      </c>
      <c r="AQ2939" t="s">
        <v>11274</v>
      </c>
    </row>
    <row r="2940" spans="1:43" x14ac:dyDescent="0.2">
      <c r="A2940" t="s">
        <v>12611</v>
      </c>
      <c r="B2940" t="s">
        <v>45</v>
      </c>
      <c r="C2940" t="s">
        <v>11000</v>
      </c>
      <c r="D2940" t="s">
        <v>11001</v>
      </c>
      <c r="E2940" t="s">
        <v>11002</v>
      </c>
      <c r="F2940" t="s">
        <v>11001</v>
      </c>
      <c r="G2940" s="1">
        <v>3842597.44</v>
      </c>
      <c r="H2940" s="2">
        <v>3842597.44</v>
      </c>
      <c r="I2940" s="2">
        <v>3842597.44</v>
      </c>
      <c r="J2940" s="2">
        <v>10467.77</v>
      </c>
      <c r="K2940" s="2">
        <v>0</v>
      </c>
      <c r="L2940" s="2">
        <v>3853065.21</v>
      </c>
      <c r="M2940" s="3"/>
      <c r="N2940" s="4">
        <v>8.7661400000000004E-3</v>
      </c>
      <c r="O2940" s="5">
        <v>40756</v>
      </c>
      <c r="P2940" s="5">
        <v>73020</v>
      </c>
      <c r="Q2940" s="1">
        <v>0</v>
      </c>
      <c r="R2940" s="2"/>
      <c r="S2940" s="6"/>
      <c r="T2940" t="s">
        <v>111</v>
      </c>
      <c r="U2940" t="s">
        <v>11003</v>
      </c>
      <c r="V2940" t="s">
        <v>46</v>
      </c>
      <c r="W2940" t="s">
        <v>43</v>
      </c>
      <c r="X2940" t="s">
        <v>44</v>
      </c>
      <c r="Y2940" t="s">
        <v>44</v>
      </c>
      <c r="Z2940" t="s">
        <v>44</v>
      </c>
      <c r="AA2940" t="s">
        <v>44</v>
      </c>
      <c r="AB2940" t="s">
        <v>44</v>
      </c>
      <c r="AC2940" s="4"/>
      <c r="AD2940" s="4"/>
      <c r="AE2940" s="2">
        <v>0</v>
      </c>
      <c r="AF2940" s="4">
        <v>0</v>
      </c>
      <c r="AG2940" s="2">
        <v>6.96</v>
      </c>
      <c r="AH2940" s="2">
        <v>3853065.21</v>
      </c>
      <c r="AI2940" s="2">
        <v>0.01</v>
      </c>
      <c r="AJ2940" s="5">
        <v>44673</v>
      </c>
      <c r="AK2940" t="s">
        <v>12612</v>
      </c>
      <c r="AL2940" s="2">
        <v>0</v>
      </c>
      <c r="AM2940" s="2">
        <v>0</v>
      </c>
      <c r="AN2940" s="2">
        <v>0</v>
      </c>
      <c r="AO2940" t="s">
        <v>44</v>
      </c>
      <c r="AP2940" t="s">
        <v>11004</v>
      </c>
      <c r="AQ2940" t="s">
        <v>11002</v>
      </c>
    </row>
    <row r="2941" spans="1:43" x14ac:dyDescent="0.2">
      <c r="A2941" t="s">
        <v>12611</v>
      </c>
      <c r="B2941" t="s">
        <v>45</v>
      </c>
      <c r="C2941" t="s">
        <v>11144</v>
      </c>
      <c r="D2941" t="s">
        <v>11145</v>
      </c>
      <c r="E2941" t="s">
        <v>11146</v>
      </c>
      <c r="F2941" t="s">
        <v>11147</v>
      </c>
      <c r="G2941" s="1">
        <v>5024803</v>
      </c>
      <c r="H2941" s="2">
        <v>5024803</v>
      </c>
      <c r="I2941" s="2">
        <v>5024803</v>
      </c>
      <c r="J2941" s="2">
        <v>13214.82</v>
      </c>
      <c r="K2941" s="2">
        <v>0</v>
      </c>
      <c r="L2941" s="2">
        <v>5038017.82</v>
      </c>
      <c r="M2941" s="3">
        <v>6.88</v>
      </c>
      <c r="N2941" s="4">
        <v>1.146203E-2</v>
      </c>
      <c r="O2941" s="5" t="s">
        <v>44</v>
      </c>
      <c r="P2941" s="5">
        <v>55153</v>
      </c>
      <c r="Q2941" s="1">
        <v>6.88</v>
      </c>
      <c r="R2941" s="2">
        <v>0.08</v>
      </c>
      <c r="S2941" s="6">
        <v>2.6006750000000002E-3</v>
      </c>
      <c r="T2941" t="s">
        <v>112</v>
      </c>
      <c r="U2941" t="s">
        <v>46</v>
      </c>
      <c r="V2941" t="s">
        <v>11148</v>
      </c>
      <c r="W2941" t="s">
        <v>43</v>
      </c>
      <c r="X2941" t="s">
        <v>44</v>
      </c>
      <c r="Y2941" t="s">
        <v>44</v>
      </c>
      <c r="Z2941" t="s">
        <v>44</v>
      </c>
      <c r="AA2941" t="s">
        <v>44</v>
      </c>
      <c r="AB2941" t="s">
        <v>44</v>
      </c>
      <c r="AC2941" s="4"/>
      <c r="AD2941" s="4"/>
      <c r="AE2941" s="2">
        <v>0</v>
      </c>
      <c r="AF2941" s="4">
        <v>0</v>
      </c>
      <c r="AG2941" s="2">
        <v>9.1</v>
      </c>
      <c r="AH2941" s="2">
        <v>5038017.82</v>
      </c>
      <c r="AI2941" s="2">
        <v>0.01</v>
      </c>
      <c r="AJ2941" s="5">
        <v>44673</v>
      </c>
      <c r="AK2941" t="s">
        <v>12612</v>
      </c>
      <c r="AL2941" s="2">
        <v>0</v>
      </c>
      <c r="AM2941" s="2">
        <v>6.88</v>
      </c>
      <c r="AN2941" s="2">
        <v>0</v>
      </c>
      <c r="AO2941" t="s">
        <v>11146</v>
      </c>
      <c r="AP2941" t="s">
        <v>44</v>
      </c>
      <c r="AQ2941" t="s">
        <v>11146</v>
      </c>
    </row>
    <row r="2942" spans="1:43" x14ac:dyDescent="0.2">
      <c r="A2942" t="s">
        <v>12611</v>
      </c>
      <c r="B2942" t="s">
        <v>45</v>
      </c>
      <c r="C2942" t="s">
        <v>47</v>
      </c>
      <c r="D2942" t="s">
        <v>48</v>
      </c>
      <c r="E2942" t="s">
        <v>49</v>
      </c>
      <c r="F2942" t="s">
        <v>50</v>
      </c>
      <c r="G2942" s="1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556.86</v>
      </c>
      <c r="M2942" s="3"/>
      <c r="N2942" s="4">
        <v>1.2699999999999999E-6</v>
      </c>
      <c r="O2942" s="5" t="s">
        <v>44</v>
      </c>
      <c r="P2942" s="5" t="s">
        <v>44</v>
      </c>
      <c r="Q2942" s="1"/>
      <c r="R2942" s="2">
        <v>0.08</v>
      </c>
      <c r="S2942" s="6"/>
      <c r="T2942" t="s">
        <v>45</v>
      </c>
      <c r="U2942" t="s">
        <v>46</v>
      </c>
      <c r="V2942" t="s">
        <v>44</v>
      </c>
      <c r="W2942" t="s">
        <v>43</v>
      </c>
      <c r="X2942" t="s">
        <v>44</v>
      </c>
      <c r="Y2942" t="s">
        <v>44</v>
      </c>
      <c r="Z2942" t="s">
        <v>44</v>
      </c>
      <c r="AA2942" t="s">
        <v>44</v>
      </c>
      <c r="AB2942" t="s">
        <v>44</v>
      </c>
      <c r="AC2942" s="4">
        <v>5.1163389600000002</v>
      </c>
      <c r="AD2942" s="4">
        <v>5.0001424999999999</v>
      </c>
      <c r="AE2942" s="2">
        <v>5.12</v>
      </c>
      <c r="AF2942" s="4">
        <v>5.0001424999999999</v>
      </c>
      <c r="AG2942" s="2">
        <v>0</v>
      </c>
      <c r="AH2942" s="2">
        <v>556.86</v>
      </c>
      <c r="AI2942" s="2">
        <v>0</v>
      </c>
      <c r="AJ2942" s="5">
        <v>44673</v>
      </c>
      <c r="AK2942" t="s">
        <v>12612</v>
      </c>
      <c r="AL2942" s="2">
        <v>5.05</v>
      </c>
      <c r="AM2942" s="2">
        <v>0</v>
      </c>
      <c r="AN2942" s="2">
        <v>0</v>
      </c>
      <c r="AO2942" t="s">
        <v>44</v>
      </c>
      <c r="AP2942" t="s">
        <v>44</v>
      </c>
      <c r="AQ2942" t="s">
        <v>44</v>
      </c>
    </row>
    <row r="2943" spans="1:43" x14ac:dyDescent="0.2">
      <c r="A2943" t="s">
        <v>12611</v>
      </c>
      <c r="B2943" t="s">
        <v>45</v>
      </c>
      <c r="C2943" t="s">
        <v>47</v>
      </c>
      <c r="D2943" t="s">
        <v>51</v>
      </c>
      <c r="E2943" t="s">
        <v>52</v>
      </c>
      <c r="F2943" t="s">
        <v>51</v>
      </c>
      <c r="G2943" s="1">
        <v>339231.11</v>
      </c>
      <c r="H2943" s="2">
        <v>339231.11</v>
      </c>
      <c r="I2943" s="2">
        <v>339231.11</v>
      </c>
      <c r="J2943" s="2">
        <v>0</v>
      </c>
      <c r="K2943" s="2">
        <v>0</v>
      </c>
      <c r="L2943" s="2">
        <v>339231.11</v>
      </c>
      <c r="M2943" s="3"/>
      <c r="N2943" s="4">
        <v>7.7178999999999995E-4</v>
      </c>
      <c r="O2943" s="5" t="s">
        <v>44</v>
      </c>
      <c r="P2943" s="5" t="s">
        <v>44</v>
      </c>
      <c r="Q2943" s="1"/>
      <c r="R2943" s="2">
        <v>0.08</v>
      </c>
      <c r="S2943" s="6"/>
      <c r="T2943" t="s">
        <v>45</v>
      </c>
      <c r="U2943" t="s">
        <v>53</v>
      </c>
      <c r="V2943" t="s">
        <v>44</v>
      </c>
      <c r="W2943" t="s">
        <v>43</v>
      </c>
      <c r="X2943" t="s">
        <v>44</v>
      </c>
      <c r="Y2943" t="s">
        <v>44</v>
      </c>
      <c r="Z2943" t="s">
        <v>44</v>
      </c>
      <c r="AA2943" t="s">
        <v>44</v>
      </c>
      <c r="AB2943" t="s">
        <v>44</v>
      </c>
      <c r="AC2943" s="4">
        <v>5.1163389600000002</v>
      </c>
      <c r="AD2943" s="4">
        <v>5.0001424999999999</v>
      </c>
      <c r="AE2943" s="2">
        <v>5.12</v>
      </c>
      <c r="AF2943" s="4">
        <v>5.0001424999999999</v>
      </c>
      <c r="AG2943" s="2">
        <v>0.61</v>
      </c>
      <c r="AH2943" s="2">
        <v>339231.11</v>
      </c>
      <c r="AI2943" s="2">
        <v>0</v>
      </c>
      <c r="AJ2943" s="5">
        <v>44673</v>
      </c>
      <c r="AK2943" t="s">
        <v>12612</v>
      </c>
      <c r="AL2943" s="2">
        <v>5.05</v>
      </c>
      <c r="AM2943" s="2">
        <v>0</v>
      </c>
      <c r="AN2943" s="2">
        <v>0</v>
      </c>
      <c r="AO2943" t="s">
        <v>44</v>
      </c>
      <c r="AP2943" t="s">
        <v>44</v>
      </c>
      <c r="AQ2943" t="s">
        <v>43</v>
      </c>
    </row>
    <row r="2944" spans="1:43" x14ac:dyDescent="0.2">
      <c r="A2944" t="s">
        <v>12611</v>
      </c>
      <c r="B2944" t="s">
        <v>45</v>
      </c>
      <c r="C2944" t="s">
        <v>11005</v>
      </c>
      <c r="D2944" t="s">
        <v>11149</v>
      </c>
      <c r="E2944" t="s">
        <v>11150</v>
      </c>
      <c r="F2944" t="s">
        <v>44</v>
      </c>
      <c r="G2944" s="1">
        <v>-496070.04</v>
      </c>
      <c r="H2944" s="2">
        <v>-496070.04</v>
      </c>
      <c r="I2944" s="2">
        <v>-496070.04</v>
      </c>
      <c r="J2944" s="2">
        <v>0</v>
      </c>
      <c r="K2944" s="2"/>
      <c r="L2944" s="2">
        <v>-496070.04</v>
      </c>
      <c r="M2944" s="3"/>
      <c r="N2944" s="4">
        <v>-1.1286099999999999E-3</v>
      </c>
      <c r="O2944" s="5" t="s">
        <v>44</v>
      </c>
      <c r="P2944" s="5">
        <v>73051</v>
      </c>
      <c r="Q2944" s="1">
        <v>0</v>
      </c>
      <c r="R2944" s="2">
        <v>0.08</v>
      </c>
      <c r="S2944" s="6"/>
      <c r="T2944" t="s">
        <v>45</v>
      </c>
      <c r="U2944" t="s">
        <v>44</v>
      </c>
      <c r="V2944" t="s">
        <v>44</v>
      </c>
      <c r="W2944" t="s">
        <v>43</v>
      </c>
      <c r="X2944" t="s">
        <v>44</v>
      </c>
      <c r="Y2944" t="s">
        <v>44</v>
      </c>
      <c r="Z2944" t="s">
        <v>44</v>
      </c>
      <c r="AA2944" t="s">
        <v>44</v>
      </c>
      <c r="AB2944" t="s">
        <v>44</v>
      </c>
      <c r="AC2944" s="4">
        <v>5.1163389600000002</v>
      </c>
      <c r="AD2944" s="4">
        <v>5.0001424999999999</v>
      </c>
      <c r="AE2944" s="2">
        <v>5.12</v>
      </c>
      <c r="AF2944" s="4">
        <v>5.0001424999999999</v>
      </c>
      <c r="AG2944" s="2">
        <v>-0.9</v>
      </c>
      <c r="AH2944" s="2">
        <v>-496070.04</v>
      </c>
      <c r="AI2944" s="2">
        <v>0</v>
      </c>
      <c r="AJ2944" s="5">
        <v>44673</v>
      </c>
      <c r="AK2944" t="s">
        <v>12612</v>
      </c>
      <c r="AL2944" s="2">
        <v>5.05</v>
      </c>
      <c r="AM2944" s="2">
        <v>0</v>
      </c>
      <c r="AN2944" s="2">
        <v>0</v>
      </c>
      <c r="AO2944" t="s">
        <v>44</v>
      </c>
      <c r="AP2944" t="s">
        <v>44</v>
      </c>
      <c r="AQ2944" t="s">
        <v>44</v>
      </c>
    </row>
    <row r="2945" spans="1:43" x14ac:dyDescent="0.2">
      <c r="A2945" t="s">
        <v>12611</v>
      </c>
      <c r="B2945" t="s">
        <v>11024</v>
      </c>
      <c r="C2945" t="s">
        <v>57</v>
      </c>
      <c r="D2945" t="s">
        <v>12603</v>
      </c>
      <c r="E2945" t="s">
        <v>12603</v>
      </c>
      <c r="F2945" t="s">
        <v>12603</v>
      </c>
      <c r="G2945" s="1">
        <v>100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3">
        <v>141129.57999999999</v>
      </c>
      <c r="N2945" s="4">
        <v>0</v>
      </c>
      <c r="O2945" s="5" t="s">
        <v>44</v>
      </c>
      <c r="P2945" s="5">
        <v>44725</v>
      </c>
      <c r="Q2945" s="1"/>
      <c r="R2945" s="2"/>
      <c r="S2945" s="6"/>
      <c r="T2945" t="s">
        <v>11026</v>
      </c>
      <c r="U2945" t="s">
        <v>11025</v>
      </c>
      <c r="V2945" t="s">
        <v>11027</v>
      </c>
      <c r="W2945" t="s">
        <v>43</v>
      </c>
      <c r="X2945" t="s">
        <v>44</v>
      </c>
      <c r="Y2945" t="s">
        <v>44</v>
      </c>
      <c r="Z2945" t="s">
        <v>44</v>
      </c>
      <c r="AA2945" t="s">
        <v>44</v>
      </c>
      <c r="AB2945" t="s">
        <v>44</v>
      </c>
      <c r="AC2945" s="4"/>
      <c r="AD2945" s="4"/>
      <c r="AE2945" s="2">
        <v>0</v>
      </c>
      <c r="AF2945" s="4">
        <v>0</v>
      </c>
      <c r="AG2945" s="2">
        <v>0</v>
      </c>
      <c r="AH2945" s="2">
        <v>14112958</v>
      </c>
      <c r="AI2945" s="2">
        <v>0.03</v>
      </c>
      <c r="AJ2945" s="5">
        <v>44673</v>
      </c>
      <c r="AK2945" t="s">
        <v>12612</v>
      </c>
      <c r="AL2945" s="2">
        <v>0</v>
      </c>
      <c r="AM2945" s="2">
        <v>0</v>
      </c>
      <c r="AN2945" s="2">
        <v>0</v>
      </c>
      <c r="AO2945" t="s">
        <v>44</v>
      </c>
      <c r="AP2945" t="s">
        <v>12604</v>
      </c>
      <c r="AQ2945" t="s">
        <v>12603</v>
      </c>
    </row>
    <row r="2946" spans="1:43" x14ac:dyDescent="0.2">
      <c r="A2946" t="s">
        <v>12611</v>
      </c>
      <c r="B2946" t="s">
        <v>11024</v>
      </c>
      <c r="C2946" t="s">
        <v>57</v>
      </c>
      <c r="D2946" t="s">
        <v>12605</v>
      </c>
      <c r="E2946" t="s">
        <v>12605</v>
      </c>
      <c r="F2946" t="s">
        <v>12605</v>
      </c>
      <c r="G2946" s="1">
        <v>996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3">
        <v>8480.36</v>
      </c>
      <c r="N2946" s="4">
        <v>0</v>
      </c>
      <c r="O2946" s="5" t="s">
        <v>44</v>
      </c>
      <c r="P2946" s="5">
        <v>44725</v>
      </c>
      <c r="Q2946" s="1"/>
      <c r="R2946" s="2"/>
      <c r="S2946" s="6"/>
      <c r="T2946" t="s">
        <v>11026</v>
      </c>
      <c r="U2946" t="s">
        <v>11025</v>
      </c>
      <c r="V2946" t="s">
        <v>11027</v>
      </c>
      <c r="W2946" t="s">
        <v>43</v>
      </c>
      <c r="X2946" t="s">
        <v>44</v>
      </c>
      <c r="Y2946" t="s">
        <v>44</v>
      </c>
      <c r="Z2946" t="s">
        <v>44</v>
      </c>
      <c r="AA2946" t="s">
        <v>44</v>
      </c>
      <c r="AB2946" t="s">
        <v>44</v>
      </c>
      <c r="AC2946" s="4"/>
      <c r="AD2946" s="4"/>
      <c r="AE2946" s="2">
        <v>0</v>
      </c>
      <c r="AF2946" s="4">
        <v>0</v>
      </c>
      <c r="AG2946" s="2">
        <v>0</v>
      </c>
      <c r="AH2946" s="2">
        <v>8446438.5600000005</v>
      </c>
      <c r="AI2946" s="2">
        <v>0.02</v>
      </c>
      <c r="AJ2946" s="5">
        <v>44673</v>
      </c>
      <c r="AK2946" t="s">
        <v>12612</v>
      </c>
      <c r="AL2946" s="2">
        <v>0</v>
      </c>
      <c r="AM2946" s="2">
        <v>0</v>
      </c>
      <c r="AN2946" s="2">
        <v>0</v>
      </c>
      <c r="AO2946" t="s">
        <v>44</v>
      </c>
      <c r="AP2946" t="s">
        <v>12606</v>
      </c>
      <c r="AQ2946" t="s">
        <v>12605</v>
      </c>
    </row>
    <row r="2947" spans="1:43" x14ac:dyDescent="0.2">
      <c r="A2947" t="s">
        <v>12611</v>
      </c>
      <c r="B2947" t="s">
        <v>11024</v>
      </c>
      <c r="C2947" t="s">
        <v>57</v>
      </c>
      <c r="D2947" t="s">
        <v>11151</v>
      </c>
      <c r="E2947" t="s">
        <v>11151</v>
      </c>
      <c r="F2947" t="s">
        <v>11151</v>
      </c>
      <c r="G2947" s="1">
        <v>49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3">
        <v>65704</v>
      </c>
      <c r="N2947" s="4">
        <v>0</v>
      </c>
      <c r="O2947" s="5" t="s">
        <v>44</v>
      </c>
      <c r="P2947" s="5">
        <v>44727</v>
      </c>
      <c r="Q2947" s="1"/>
      <c r="R2947" s="2"/>
      <c r="S2947" s="6"/>
      <c r="T2947" t="s">
        <v>11026</v>
      </c>
      <c r="U2947" t="s">
        <v>11025</v>
      </c>
      <c r="V2947" t="s">
        <v>11027</v>
      </c>
      <c r="W2947" t="s">
        <v>43</v>
      </c>
      <c r="X2947" t="s">
        <v>44</v>
      </c>
      <c r="Y2947" t="s">
        <v>44</v>
      </c>
      <c r="Z2947" t="s">
        <v>44</v>
      </c>
      <c r="AA2947" t="s">
        <v>44</v>
      </c>
      <c r="AB2947" t="s">
        <v>44</v>
      </c>
      <c r="AC2947" s="4"/>
      <c r="AD2947" s="4"/>
      <c r="AE2947" s="2">
        <v>0</v>
      </c>
      <c r="AF2947" s="4">
        <v>0</v>
      </c>
      <c r="AG2947" s="2">
        <v>0</v>
      </c>
      <c r="AH2947" s="2">
        <v>32194960</v>
      </c>
      <c r="AI2947" s="2">
        <v>7.0000000000000007E-2</v>
      </c>
      <c r="AJ2947" s="5">
        <v>44673</v>
      </c>
      <c r="AK2947" t="s">
        <v>12612</v>
      </c>
      <c r="AL2947" s="2">
        <v>0</v>
      </c>
      <c r="AM2947" s="2">
        <v>0</v>
      </c>
      <c r="AN2947" s="2">
        <v>0</v>
      </c>
      <c r="AO2947" t="s">
        <v>44</v>
      </c>
      <c r="AP2947" t="s">
        <v>11152</v>
      </c>
      <c r="AQ2947" t="s">
        <v>11151</v>
      </c>
    </row>
    <row r="2948" spans="1:43" x14ac:dyDescent="0.2">
      <c r="A2948" t="s">
        <v>12611</v>
      </c>
      <c r="B2948" t="s">
        <v>11038</v>
      </c>
      <c r="C2948" t="s">
        <v>11052</v>
      </c>
      <c r="D2948" t="s">
        <v>11236</v>
      </c>
      <c r="E2948" t="s">
        <v>11237</v>
      </c>
      <c r="F2948" t="s">
        <v>11236</v>
      </c>
      <c r="G2948" s="1">
        <v>700000</v>
      </c>
      <c r="H2948" s="2">
        <v>684361.4</v>
      </c>
      <c r="I2948" s="2">
        <v>684361.4</v>
      </c>
      <c r="J2948" s="2">
        <v>0</v>
      </c>
      <c r="K2948" s="2">
        <v>0</v>
      </c>
      <c r="L2948" s="2">
        <v>684361.4</v>
      </c>
      <c r="M2948" s="3">
        <v>5.0890709999999997</v>
      </c>
      <c r="N2948" s="4">
        <v>1.557E-3</v>
      </c>
      <c r="O2948" s="5" t="s">
        <v>44</v>
      </c>
      <c r="P2948" s="5">
        <v>44839</v>
      </c>
      <c r="Q2948" s="1">
        <v>0</v>
      </c>
      <c r="R2948" s="2">
        <v>0.45</v>
      </c>
      <c r="S2948" s="6">
        <v>0.43665175967999997</v>
      </c>
      <c r="T2948" t="s">
        <v>112</v>
      </c>
      <c r="U2948" t="s">
        <v>11040</v>
      </c>
      <c r="V2948" t="s">
        <v>11238</v>
      </c>
      <c r="W2948" t="s">
        <v>43</v>
      </c>
      <c r="X2948" t="s">
        <v>44</v>
      </c>
      <c r="Y2948" t="s">
        <v>44</v>
      </c>
      <c r="Z2948" t="s">
        <v>44</v>
      </c>
      <c r="AA2948" t="s">
        <v>10913</v>
      </c>
      <c r="AB2948" t="s">
        <v>44</v>
      </c>
      <c r="AC2948" s="4">
        <v>5.1608654700000001</v>
      </c>
      <c r="AD2948" s="4">
        <v>5.0426700100000001</v>
      </c>
      <c r="AE2948" s="2">
        <v>5.16</v>
      </c>
      <c r="AF2948" s="4">
        <v>5.0426700100000001</v>
      </c>
      <c r="AG2948" s="2">
        <v>1.24</v>
      </c>
      <c r="AH2948" s="2">
        <v>684361.4</v>
      </c>
      <c r="AI2948" s="2">
        <v>0</v>
      </c>
      <c r="AJ2948" s="5">
        <v>44673</v>
      </c>
      <c r="AK2948" t="s">
        <v>12612</v>
      </c>
      <c r="AL2948" s="2">
        <v>5.0999999999999996</v>
      </c>
      <c r="AM2948" s="2">
        <v>0</v>
      </c>
      <c r="AN2948" s="2">
        <v>0.44</v>
      </c>
      <c r="AO2948" t="s">
        <v>10922</v>
      </c>
      <c r="AP2948" t="s">
        <v>11239</v>
      </c>
      <c r="AQ2948" t="s">
        <v>11237</v>
      </c>
    </row>
    <row r="2949" spans="1:43" x14ac:dyDescent="0.2">
      <c r="A2949" t="s">
        <v>12611</v>
      </c>
      <c r="B2949" t="s">
        <v>11038</v>
      </c>
      <c r="C2949" t="s">
        <v>11052</v>
      </c>
      <c r="D2949" t="s">
        <v>12189</v>
      </c>
      <c r="E2949" t="s">
        <v>12190</v>
      </c>
      <c r="F2949" t="s">
        <v>12189</v>
      </c>
      <c r="G2949" s="1">
        <v>11400000</v>
      </c>
      <c r="H2949" s="2">
        <v>11129530.199999999</v>
      </c>
      <c r="I2949" s="2">
        <v>11129530.199999999</v>
      </c>
      <c r="J2949" s="2">
        <v>0</v>
      </c>
      <c r="K2949" s="2">
        <v>0</v>
      </c>
      <c r="L2949" s="2">
        <v>11129530.199999999</v>
      </c>
      <c r="M2949" s="3">
        <v>5.1450009999999997</v>
      </c>
      <c r="N2949" s="4">
        <v>2.532088E-2</v>
      </c>
      <c r="O2949" s="5" t="s">
        <v>44</v>
      </c>
      <c r="P2949" s="5">
        <v>44846</v>
      </c>
      <c r="Q2949" s="1">
        <v>0</v>
      </c>
      <c r="R2949" s="2">
        <v>0.47</v>
      </c>
      <c r="S2949" s="6">
        <v>0.45485375498000002</v>
      </c>
      <c r="T2949" t="s">
        <v>112</v>
      </c>
      <c r="U2949" t="s">
        <v>11040</v>
      </c>
      <c r="V2949" t="s">
        <v>11238</v>
      </c>
      <c r="W2949" t="s">
        <v>43</v>
      </c>
      <c r="X2949" t="s">
        <v>44</v>
      </c>
      <c r="Y2949" t="s">
        <v>44</v>
      </c>
      <c r="Z2949" t="s">
        <v>44</v>
      </c>
      <c r="AA2949" t="s">
        <v>10913</v>
      </c>
      <c r="AB2949" t="s">
        <v>44</v>
      </c>
      <c r="AC2949" s="4">
        <v>5.2157943299999996</v>
      </c>
      <c r="AD2949" s="4">
        <v>5.0951101300000001</v>
      </c>
      <c r="AE2949" s="2">
        <v>5.22</v>
      </c>
      <c r="AF2949" s="4">
        <v>5.0951101300000001</v>
      </c>
      <c r="AG2949" s="2">
        <v>20.100000000000001</v>
      </c>
      <c r="AH2949" s="2">
        <v>11129530.199999999</v>
      </c>
      <c r="AI2949" s="2">
        <v>0.03</v>
      </c>
      <c r="AJ2949" s="5">
        <v>44673</v>
      </c>
      <c r="AK2949" t="s">
        <v>12612</v>
      </c>
      <c r="AL2949" s="2">
        <v>5.15</v>
      </c>
      <c r="AM2949" s="2">
        <v>0</v>
      </c>
      <c r="AN2949" s="2">
        <v>0.45</v>
      </c>
      <c r="AO2949" t="s">
        <v>10922</v>
      </c>
      <c r="AP2949" t="s">
        <v>12191</v>
      </c>
      <c r="AQ2949" t="s">
        <v>12190</v>
      </c>
    </row>
    <row r="2950" spans="1:43" x14ac:dyDescent="0.2">
      <c r="A2950" t="s">
        <v>12611</v>
      </c>
      <c r="B2950" t="s">
        <v>11038</v>
      </c>
      <c r="C2950" t="s">
        <v>11039</v>
      </c>
      <c r="D2950" t="s">
        <v>12090</v>
      </c>
      <c r="E2950" t="s">
        <v>12091</v>
      </c>
      <c r="F2950" t="s">
        <v>12090</v>
      </c>
      <c r="G2950" s="1">
        <v>1000000</v>
      </c>
      <c r="H2950" s="2">
        <v>1000000</v>
      </c>
      <c r="I2950" s="2">
        <v>999695.88</v>
      </c>
      <c r="J2950" s="2">
        <v>8523.2900000000009</v>
      </c>
      <c r="K2950" s="2">
        <v>0</v>
      </c>
      <c r="L2950" s="2">
        <v>1008219.17</v>
      </c>
      <c r="M2950" s="3">
        <v>6.0835429999999997</v>
      </c>
      <c r="N2950" s="4">
        <v>2.2938099999999999E-3</v>
      </c>
      <c r="O2950" s="5">
        <v>44988</v>
      </c>
      <c r="P2950" s="5">
        <v>44988</v>
      </c>
      <c r="Q2950" s="1">
        <v>6.1</v>
      </c>
      <c r="R2950" s="2">
        <v>0.85</v>
      </c>
      <c r="S2950" s="6">
        <v>0.81254093581999998</v>
      </c>
      <c r="T2950" t="s">
        <v>111</v>
      </c>
      <c r="U2950" t="s">
        <v>11040</v>
      </c>
      <c r="V2950" t="s">
        <v>11041</v>
      </c>
      <c r="W2950" t="s">
        <v>43</v>
      </c>
      <c r="X2950" t="s">
        <v>11034</v>
      </c>
      <c r="Y2950" t="s">
        <v>44</v>
      </c>
      <c r="Z2950" t="s">
        <v>44</v>
      </c>
      <c r="AA2950" t="s">
        <v>10979</v>
      </c>
      <c r="AB2950" t="s">
        <v>44</v>
      </c>
      <c r="AC2950" s="4">
        <v>6.1100351799999997</v>
      </c>
      <c r="AD2950" s="4">
        <v>5.9453231400000002</v>
      </c>
      <c r="AE2950" s="2">
        <v>6.11</v>
      </c>
      <c r="AF2950" s="4">
        <v>5.9453231400000002</v>
      </c>
      <c r="AG2950" s="2">
        <v>1.82</v>
      </c>
      <c r="AH2950" s="2">
        <v>1008219.17</v>
      </c>
      <c r="AI2950" s="2">
        <v>0</v>
      </c>
      <c r="AJ2950" s="5">
        <v>44673</v>
      </c>
      <c r="AK2950" t="s">
        <v>12612</v>
      </c>
      <c r="AL2950" s="2">
        <v>6.02</v>
      </c>
      <c r="AM2950" s="2">
        <v>6.1</v>
      </c>
      <c r="AN2950" s="2">
        <v>0.81</v>
      </c>
      <c r="AO2950" t="s">
        <v>11165</v>
      </c>
      <c r="AP2950" t="s">
        <v>12092</v>
      </c>
      <c r="AQ2950" t="s">
        <v>12091</v>
      </c>
    </row>
    <row r="2951" spans="1:43" x14ac:dyDescent="0.2">
      <c r="A2951" t="s">
        <v>12611</v>
      </c>
      <c r="B2951" t="s">
        <v>11038</v>
      </c>
      <c r="C2951" t="s">
        <v>11039</v>
      </c>
      <c r="D2951" t="s">
        <v>12858</v>
      </c>
      <c r="E2951" t="s">
        <v>12859</v>
      </c>
      <c r="F2951" t="s">
        <v>12858</v>
      </c>
      <c r="G2951" s="1">
        <v>8000000</v>
      </c>
      <c r="H2951" s="2">
        <v>8000000</v>
      </c>
      <c r="I2951" s="2">
        <v>8014910.3600000003</v>
      </c>
      <c r="J2951" s="2">
        <v>33876.160000000003</v>
      </c>
      <c r="K2951" s="2">
        <v>0</v>
      </c>
      <c r="L2951" s="2">
        <v>8048786.5199999996</v>
      </c>
      <c r="M2951" s="3">
        <v>6.1993330000000002</v>
      </c>
      <c r="N2951" s="4">
        <v>1.8311859999999999E-2</v>
      </c>
      <c r="O2951" s="5">
        <v>45015</v>
      </c>
      <c r="P2951" s="5">
        <v>45015</v>
      </c>
      <c r="Q2951" s="1">
        <v>6.44</v>
      </c>
      <c r="R2951" s="2">
        <v>0.93</v>
      </c>
      <c r="S2951" s="6">
        <v>0.87820253481999999</v>
      </c>
      <c r="T2951" t="s">
        <v>111</v>
      </c>
      <c r="U2951" t="s">
        <v>11040</v>
      </c>
      <c r="V2951" t="s">
        <v>11041</v>
      </c>
      <c r="W2951" t="s">
        <v>43</v>
      </c>
      <c r="X2951" t="s">
        <v>11034</v>
      </c>
      <c r="Y2951" t="s">
        <v>44</v>
      </c>
      <c r="Z2951" t="s">
        <v>44</v>
      </c>
      <c r="AA2951" t="s">
        <v>10979</v>
      </c>
      <c r="AB2951" t="s">
        <v>44</v>
      </c>
      <c r="AC2951" s="4">
        <v>6.2127848300000004</v>
      </c>
      <c r="AD2951" s="4">
        <v>6.0425928500000001</v>
      </c>
      <c r="AE2951" s="2">
        <v>6.21</v>
      </c>
      <c r="AF2951" s="4">
        <v>6.0425928500000001</v>
      </c>
      <c r="AG2951" s="2">
        <v>14.53</v>
      </c>
      <c r="AH2951" s="2">
        <v>8048786.5199999996</v>
      </c>
      <c r="AI2951" s="2">
        <v>0.02</v>
      </c>
      <c r="AJ2951" s="5">
        <v>44673</v>
      </c>
      <c r="AK2951" t="s">
        <v>12612</v>
      </c>
      <c r="AL2951" s="2">
        <v>6.12</v>
      </c>
      <c r="AM2951" s="2">
        <v>6.44</v>
      </c>
      <c r="AN2951" s="2">
        <v>0.88</v>
      </c>
      <c r="AO2951" t="s">
        <v>11165</v>
      </c>
      <c r="AP2951" t="s">
        <v>12860</v>
      </c>
      <c r="AQ2951" t="s">
        <v>12859</v>
      </c>
    </row>
    <row r="2952" spans="1:43" x14ac:dyDescent="0.2">
      <c r="A2952" t="s">
        <v>12611</v>
      </c>
      <c r="B2952" t="s">
        <v>11038</v>
      </c>
      <c r="C2952" t="s">
        <v>11039</v>
      </c>
      <c r="D2952" t="s">
        <v>12844</v>
      </c>
      <c r="E2952" t="s">
        <v>12845</v>
      </c>
      <c r="F2952" t="s">
        <v>12844</v>
      </c>
      <c r="G2952" s="1">
        <v>2000000</v>
      </c>
      <c r="H2952" s="2">
        <v>2000000</v>
      </c>
      <c r="I2952" s="2">
        <v>2002086.31</v>
      </c>
      <c r="J2952" s="2">
        <v>8002.74</v>
      </c>
      <c r="K2952" s="2">
        <v>0</v>
      </c>
      <c r="L2952" s="2">
        <v>2010089.05</v>
      </c>
      <c r="M2952" s="3">
        <v>6.2045560000000002</v>
      </c>
      <c r="N2952" s="4">
        <v>4.5731699999999997E-3</v>
      </c>
      <c r="O2952" s="5">
        <v>45016</v>
      </c>
      <c r="P2952" s="5">
        <v>45016</v>
      </c>
      <c r="Q2952" s="1">
        <v>6.35</v>
      </c>
      <c r="R2952" s="2">
        <v>0.93</v>
      </c>
      <c r="S2952" s="6">
        <v>0.88061116438999998</v>
      </c>
      <c r="T2952" t="s">
        <v>111</v>
      </c>
      <c r="U2952" t="s">
        <v>11040</v>
      </c>
      <c r="V2952" t="s">
        <v>11041</v>
      </c>
      <c r="W2952" t="s">
        <v>43</v>
      </c>
      <c r="X2952" t="s">
        <v>11034</v>
      </c>
      <c r="Y2952" t="s">
        <v>44</v>
      </c>
      <c r="Z2952" t="s">
        <v>44</v>
      </c>
      <c r="AA2952" t="s">
        <v>11035</v>
      </c>
      <c r="AB2952" t="s">
        <v>44</v>
      </c>
      <c r="AC2952" s="4">
        <v>6.2175109700000002</v>
      </c>
      <c r="AD2952" s="4">
        <v>6.0470648499999999</v>
      </c>
      <c r="AE2952" s="2">
        <v>6.22</v>
      </c>
      <c r="AF2952" s="4">
        <v>6.0470648499999999</v>
      </c>
      <c r="AG2952" s="2">
        <v>3.63</v>
      </c>
      <c r="AH2952" s="2">
        <v>2010089.05</v>
      </c>
      <c r="AI2952" s="2">
        <v>0</v>
      </c>
      <c r="AJ2952" s="5">
        <v>44673</v>
      </c>
      <c r="AK2952" t="s">
        <v>12612</v>
      </c>
      <c r="AL2952" s="2">
        <v>6.12</v>
      </c>
      <c r="AM2952" s="2">
        <v>6.35</v>
      </c>
      <c r="AN2952" s="2">
        <v>0.88</v>
      </c>
      <c r="AO2952" t="s">
        <v>11036</v>
      </c>
      <c r="AP2952" t="s">
        <v>12846</v>
      </c>
      <c r="AQ2952" t="s">
        <v>12845</v>
      </c>
    </row>
    <row r="2953" spans="1:43" x14ac:dyDescent="0.2">
      <c r="A2953" t="s">
        <v>12611</v>
      </c>
      <c r="B2953" t="s">
        <v>11038</v>
      </c>
      <c r="C2953" t="s">
        <v>11039</v>
      </c>
      <c r="D2953" t="s">
        <v>11390</v>
      </c>
      <c r="E2953" t="s">
        <v>11391</v>
      </c>
      <c r="F2953" t="s">
        <v>11390</v>
      </c>
      <c r="G2953" s="1">
        <v>1500000</v>
      </c>
      <c r="H2953" s="2">
        <v>1448078.65</v>
      </c>
      <c r="I2953" s="2">
        <v>1448078.65</v>
      </c>
      <c r="J2953" s="2">
        <v>0</v>
      </c>
      <c r="K2953" s="2">
        <v>0</v>
      </c>
      <c r="L2953" s="2">
        <v>1448078.65</v>
      </c>
      <c r="M2953" s="3">
        <v>5.7867119999999996</v>
      </c>
      <c r="N2953" s="4">
        <v>3.2945299999999999E-3</v>
      </c>
      <c r="O2953" s="5" t="s">
        <v>44</v>
      </c>
      <c r="P2953" s="5">
        <v>44902</v>
      </c>
      <c r="Q2953" s="1">
        <v>0</v>
      </c>
      <c r="R2953" s="2">
        <v>0.62</v>
      </c>
      <c r="S2953" s="6">
        <v>0.59776029928999996</v>
      </c>
      <c r="T2953" t="s">
        <v>112</v>
      </c>
      <c r="U2953" t="s">
        <v>11040</v>
      </c>
      <c r="V2953" t="s">
        <v>11238</v>
      </c>
      <c r="W2953" t="s">
        <v>43</v>
      </c>
      <c r="X2953" t="s">
        <v>44</v>
      </c>
      <c r="Y2953" t="s">
        <v>44</v>
      </c>
      <c r="Z2953" t="s">
        <v>44</v>
      </c>
      <c r="AA2953" t="s">
        <v>10913</v>
      </c>
      <c r="AB2953" t="s">
        <v>44</v>
      </c>
      <c r="AC2953" s="4">
        <v>5.8501835199999999</v>
      </c>
      <c r="AD2953" s="4">
        <v>5.6989443299999998</v>
      </c>
      <c r="AE2953" s="2">
        <v>5.85</v>
      </c>
      <c r="AF2953" s="4">
        <v>5.6989443299999998</v>
      </c>
      <c r="AG2953" s="2">
        <v>2.61</v>
      </c>
      <c r="AH2953" s="2">
        <v>1448078.65</v>
      </c>
      <c r="AI2953" s="2">
        <v>0</v>
      </c>
      <c r="AJ2953" s="5">
        <v>44673</v>
      </c>
      <c r="AK2953" t="s">
        <v>12612</v>
      </c>
      <c r="AL2953" s="2">
        <v>5.77</v>
      </c>
      <c r="AM2953" s="2">
        <v>0</v>
      </c>
      <c r="AN2953" s="2">
        <v>0.6</v>
      </c>
      <c r="AO2953" t="s">
        <v>10922</v>
      </c>
      <c r="AP2953" t="s">
        <v>11392</v>
      </c>
      <c r="AQ2953" t="s">
        <v>11391</v>
      </c>
    </row>
    <row r="2954" spans="1:43" x14ac:dyDescent="0.2">
      <c r="A2954" t="s">
        <v>12611</v>
      </c>
      <c r="B2954" t="s">
        <v>11038</v>
      </c>
      <c r="C2954" t="s">
        <v>11039</v>
      </c>
      <c r="D2954" t="s">
        <v>12257</v>
      </c>
      <c r="E2954" t="s">
        <v>12258</v>
      </c>
      <c r="F2954" t="s">
        <v>12257</v>
      </c>
      <c r="G2954" s="1">
        <v>1300000</v>
      </c>
      <c r="H2954" s="2">
        <v>1255149.8799999999</v>
      </c>
      <c r="I2954" s="2">
        <v>1255149.8799999999</v>
      </c>
      <c r="J2954" s="2">
        <v>0</v>
      </c>
      <c r="K2954" s="2">
        <v>0</v>
      </c>
      <c r="L2954" s="2">
        <v>1255149.8799999999</v>
      </c>
      <c r="M2954" s="3">
        <v>5.7911989999999998</v>
      </c>
      <c r="N2954" s="4">
        <v>2.8555999999999998E-3</v>
      </c>
      <c r="O2954" s="5" t="s">
        <v>44</v>
      </c>
      <c r="P2954" s="5">
        <v>44909</v>
      </c>
      <c r="Q2954" s="1">
        <v>0</v>
      </c>
      <c r="R2954" s="2">
        <v>0.64</v>
      </c>
      <c r="S2954" s="6">
        <v>0.6155984269</v>
      </c>
      <c r="T2954" t="s">
        <v>112</v>
      </c>
      <c r="U2954" t="s">
        <v>11040</v>
      </c>
      <c r="V2954" t="s">
        <v>11238</v>
      </c>
      <c r="W2954" t="s">
        <v>43</v>
      </c>
      <c r="X2954" t="s">
        <v>44</v>
      </c>
      <c r="Y2954" t="s">
        <v>44</v>
      </c>
      <c r="Z2954" t="s">
        <v>44</v>
      </c>
      <c r="AA2954" t="s">
        <v>10913</v>
      </c>
      <c r="AB2954" t="s">
        <v>44</v>
      </c>
      <c r="AC2954" s="4">
        <v>5.8515238099999998</v>
      </c>
      <c r="AD2954" s="4">
        <v>5.7002165500000004</v>
      </c>
      <c r="AE2954" s="2">
        <v>5.85</v>
      </c>
      <c r="AF2954" s="4">
        <v>5.7002165500000004</v>
      </c>
      <c r="AG2954" s="2">
        <v>2.27</v>
      </c>
      <c r="AH2954" s="2">
        <v>1255149.8799999999</v>
      </c>
      <c r="AI2954" s="2">
        <v>0</v>
      </c>
      <c r="AJ2954" s="5">
        <v>44673</v>
      </c>
      <c r="AK2954" t="s">
        <v>12612</v>
      </c>
      <c r="AL2954" s="2">
        <v>5.77</v>
      </c>
      <c r="AM2954" s="2">
        <v>0</v>
      </c>
      <c r="AN2954" s="2">
        <v>0.62</v>
      </c>
      <c r="AO2954" t="s">
        <v>10922</v>
      </c>
      <c r="AP2954" t="s">
        <v>12259</v>
      </c>
      <c r="AQ2954" t="s">
        <v>12258</v>
      </c>
    </row>
    <row r="2955" spans="1:43" x14ac:dyDescent="0.2">
      <c r="A2955" t="s">
        <v>12611</v>
      </c>
      <c r="B2955" t="s">
        <v>11038</v>
      </c>
      <c r="C2955" t="s">
        <v>11039</v>
      </c>
      <c r="D2955" t="s">
        <v>11399</v>
      </c>
      <c r="E2955" t="s">
        <v>11400</v>
      </c>
      <c r="F2955" t="s">
        <v>11399</v>
      </c>
      <c r="G2955" s="1">
        <v>1500000</v>
      </c>
      <c r="H2955" s="2">
        <v>1455274.39</v>
      </c>
      <c r="I2955" s="2">
        <v>1455274.39</v>
      </c>
      <c r="J2955" s="2">
        <v>0</v>
      </c>
      <c r="K2955" s="2">
        <v>0</v>
      </c>
      <c r="L2955" s="2">
        <v>1455274.39</v>
      </c>
      <c r="M2955" s="3">
        <v>5.4191849999999997</v>
      </c>
      <c r="N2955" s="4">
        <v>3.3109099999999998E-3</v>
      </c>
      <c r="O2955" s="5" t="s">
        <v>44</v>
      </c>
      <c r="P2955" s="5">
        <v>44881</v>
      </c>
      <c r="Q2955" s="1">
        <v>0</v>
      </c>
      <c r="R2955" s="2">
        <v>0.56000000000000005</v>
      </c>
      <c r="S2955" s="6">
        <v>0.54505428138000001</v>
      </c>
      <c r="T2955" t="s">
        <v>112</v>
      </c>
      <c r="U2955" t="s">
        <v>11040</v>
      </c>
      <c r="V2955" t="s">
        <v>11238</v>
      </c>
      <c r="W2955" t="s">
        <v>43</v>
      </c>
      <c r="X2955" t="s">
        <v>44</v>
      </c>
      <c r="Y2955" t="s">
        <v>44</v>
      </c>
      <c r="Z2955" t="s">
        <v>44</v>
      </c>
      <c r="AA2955" t="s">
        <v>10913</v>
      </c>
      <c r="AB2955" t="s">
        <v>44</v>
      </c>
      <c r="AC2955" s="4">
        <v>5.4834100699999997</v>
      </c>
      <c r="AD2955" s="4">
        <v>5.3502421900000003</v>
      </c>
      <c r="AE2955" s="2">
        <v>5.48</v>
      </c>
      <c r="AF2955" s="4">
        <v>5.3502421900000003</v>
      </c>
      <c r="AG2955" s="2">
        <v>2.63</v>
      </c>
      <c r="AH2955" s="2">
        <v>1455274.39</v>
      </c>
      <c r="AI2955" s="2">
        <v>0</v>
      </c>
      <c r="AJ2955" s="5">
        <v>44673</v>
      </c>
      <c r="AK2955" t="s">
        <v>12612</v>
      </c>
      <c r="AL2955" s="2">
        <v>5.41</v>
      </c>
      <c r="AM2955" s="2">
        <v>0</v>
      </c>
      <c r="AN2955" s="2">
        <v>0.55000000000000004</v>
      </c>
      <c r="AO2955" t="s">
        <v>10922</v>
      </c>
      <c r="AP2955" t="s">
        <v>11401</v>
      </c>
      <c r="AQ2955" t="s">
        <v>11400</v>
      </c>
    </row>
    <row r="2956" spans="1:43" x14ac:dyDescent="0.2">
      <c r="A2956" t="s">
        <v>12611</v>
      </c>
      <c r="B2956" t="s">
        <v>11038</v>
      </c>
      <c r="C2956" t="s">
        <v>11039</v>
      </c>
      <c r="D2956" t="s">
        <v>12408</v>
      </c>
      <c r="E2956" t="s">
        <v>12409</v>
      </c>
      <c r="F2956" t="s">
        <v>12408</v>
      </c>
      <c r="G2956" s="1">
        <v>1100000</v>
      </c>
      <c r="H2956" s="2">
        <v>1071630.56</v>
      </c>
      <c r="I2956" s="2">
        <v>1071630.56</v>
      </c>
      <c r="J2956" s="2">
        <v>0</v>
      </c>
      <c r="K2956" s="2">
        <v>0</v>
      </c>
      <c r="L2956" s="2">
        <v>1071630.56</v>
      </c>
      <c r="M2956" s="3">
        <v>5.266508</v>
      </c>
      <c r="N2956" s="4">
        <v>2.4380700000000001E-3</v>
      </c>
      <c r="O2956" s="5" t="s">
        <v>44</v>
      </c>
      <c r="P2956" s="5">
        <v>44860</v>
      </c>
      <c r="Q2956" s="1">
        <v>0</v>
      </c>
      <c r="R2956" s="2">
        <v>0.5</v>
      </c>
      <c r="S2956" s="6">
        <v>0.49107213009</v>
      </c>
      <c r="T2956" t="s">
        <v>112</v>
      </c>
      <c r="U2956" t="s">
        <v>11040</v>
      </c>
      <c r="V2956" t="s">
        <v>11238</v>
      </c>
      <c r="W2956" t="s">
        <v>43</v>
      </c>
      <c r="X2956" t="s">
        <v>44</v>
      </c>
      <c r="Y2956" t="s">
        <v>44</v>
      </c>
      <c r="Z2956" t="s">
        <v>44</v>
      </c>
      <c r="AA2956" t="s">
        <v>10913</v>
      </c>
      <c r="AB2956" t="s">
        <v>44</v>
      </c>
      <c r="AC2956" s="4">
        <v>5.3352679900000002</v>
      </c>
      <c r="AD2956" s="4">
        <v>5.2090840299999996</v>
      </c>
      <c r="AE2956" s="2">
        <v>5.34</v>
      </c>
      <c r="AF2956" s="4">
        <v>5.2090840299999996</v>
      </c>
      <c r="AG2956" s="2">
        <v>1.93</v>
      </c>
      <c r="AH2956" s="2">
        <v>1071630.56</v>
      </c>
      <c r="AI2956" s="2">
        <v>0</v>
      </c>
      <c r="AJ2956" s="5">
        <v>44673</v>
      </c>
      <c r="AK2956" t="s">
        <v>12612</v>
      </c>
      <c r="AL2956" s="2">
        <v>5.27</v>
      </c>
      <c r="AM2956" s="2">
        <v>0</v>
      </c>
      <c r="AN2956" s="2">
        <v>0.49</v>
      </c>
      <c r="AO2956" t="s">
        <v>10922</v>
      </c>
      <c r="AP2956" t="s">
        <v>12410</v>
      </c>
      <c r="AQ2956" t="s">
        <v>12409</v>
      </c>
    </row>
    <row r="2957" spans="1:43" x14ac:dyDescent="0.2">
      <c r="A2957" t="s">
        <v>12611</v>
      </c>
      <c r="B2957" t="s">
        <v>11038</v>
      </c>
      <c r="C2957" t="s">
        <v>11039</v>
      </c>
      <c r="D2957" t="s">
        <v>12727</v>
      </c>
      <c r="E2957" t="s">
        <v>12728</v>
      </c>
      <c r="F2957" t="s">
        <v>12727</v>
      </c>
      <c r="G2957" s="1">
        <v>5000000</v>
      </c>
      <c r="H2957" s="2">
        <v>5000000</v>
      </c>
      <c r="I2957" s="2">
        <v>5005357.6100000003</v>
      </c>
      <c r="J2957" s="2">
        <v>31068.49</v>
      </c>
      <c r="K2957" s="2">
        <v>0</v>
      </c>
      <c r="L2957" s="2">
        <v>5036426.0999999996</v>
      </c>
      <c r="M2957" s="3">
        <v>6.1328639999999996</v>
      </c>
      <c r="N2957" s="4">
        <v>1.145841E-2</v>
      </c>
      <c r="O2957" s="5">
        <v>45001</v>
      </c>
      <c r="P2957" s="5">
        <v>45001</v>
      </c>
      <c r="Q2957" s="1">
        <v>6.3</v>
      </c>
      <c r="R2957" s="2">
        <v>0.89</v>
      </c>
      <c r="S2957" s="6">
        <v>0.84430539241000002</v>
      </c>
      <c r="T2957" t="s">
        <v>111</v>
      </c>
      <c r="U2957" t="s">
        <v>11040</v>
      </c>
      <c r="V2957" t="s">
        <v>11041</v>
      </c>
      <c r="W2957" t="s">
        <v>43</v>
      </c>
      <c r="X2957" t="s">
        <v>11034</v>
      </c>
      <c r="Y2957" t="s">
        <v>44</v>
      </c>
      <c r="Z2957" t="s">
        <v>44</v>
      </c>
      <c r="AA2957" t="s">
        <v>10979</v>
      </c>
      <c r="AB2957" t="s">
        <v>44</v>
      </c>
      <c r="AC2957" s="4">
        <v>6.1531520899999999</v>
      </c>
      <c r="AD2957" s="4">
        <v>5.9861510000000004</v>
      </c>
      <c r="AE2957" s="2">
        <v>6.15</v>
      </c>
      <c r="AF2957" s="4">
        <v>5.9861510000000004</v>
      </c>
      <c r="AG2957" s="2">
        <v>9.09</v>
      </c>
      <c r="AH2957" s="2">
        <v>5036426.0999999996</v>
      </c>
      <c r="AI2957" s="2">
        <v>0.01</v>
      </c>
      <c r="AJ2957" s="5">
        <v>44673</v>
      </c>
      <c r="AK2957" t="s">
        <v>12612</v>
      </c>
      <c r="AL2957" s="2">
        <v>6.06</v>
      </c>
      <c r="AM2957" s="2">
        <v>6.3</v>
      </c>
      <c r="AN2957" s="2">
        <v>0.84</v>
      </c>
      <c r="AO2957" t="s">
        <v>11179</v>
      </c>
      <c r="AP2957" t="s">
        <v>12729</v>
      </c>
      <c r="AQ2957" t="s">
        <v>12728</v>
      </c>
    </row>
    <row r="2958" spans="1:43" x14ac:dyDescent="0.2">
      <c r="A2958" t="s">
        <v>12611</v>
      </c>
      <c r="B2958" t="s">
        <v>11038</v>
      </c>
      <c r="C2958" t="s">
        <v>11222</v>
      </c>
      <c r="D2958" t="s">
        <v>12965</v>
      </c>
      <c r="E2958" t="s">
        <v>12966</v>
      </c>
      <c r="F2958" t="s">
        <v>12965</v>
      </c>
      <c r="G2958" s="1">
        <v>8000000</v>
      </c>
      <c r="H2958" s="2">
        <v>8000000</v>
      </c>
      <c r="I2958" s="2">
        <v>8001169.1399999997</v>
      </c>
      <c r="J2958" s="2">
        <v>15502.47</v>
      </c>
      <c r="K2958" s="2">
        <v>0</v>
      </c>
      <c r="L2958" s="2">
        <v>8016671.6100000003</v>
      </c>
      <c r="M2958" s="3">
        <v>6.4004060000000003</v>
      </c>
      <c r="N2958" s="4">
        <v>1.8238790000000001E-2</v>
      </c>
      <c r="O2958" s="5">
        <v>45057</v>
      </c>
      <c r="P2958" s="5">
        <v>45057</v>
      </c>
      <c r="Q2958" s="1">
        <v>6.43</v>
      </c>
      <c r="R2958" s="2">
        <v>1.04</v>
      </c>
      <c r="S2958" s="6">
        <v>0.97846466510999996</v>
      </c>
      <c r="T2958" t="s">
        <v>111</v>
      </c>
      <c r="U2958" t="s">
        <v>11040</v>
      </c>
      <c r="V2958" t="s">
        <v>11041</v>
      </c>
      <c r="W2958" t="s">
        <v>43</v>
      </c>
      <c r="X2958" t="s">
        <v>11034</v>
      </c>
      <c r="Y2958" t="s">
        <v>44</v>
      </c>
      <c r="Z2958" t="s">
        <v>44</v>
      </c>
      <c r="AA2958" t="s">
        <v>10979</v>
      </c>
      <c r="AB2958" t="s">
        <v>44</v>
      </c>
      <c r="AC2958" s="4">
        <v>6.3916291899999997</v>
      </c>
      <c r="AD2958" s="4">
        <v>6.2116933599999999</v>
      </c>
      <c r="AE2958" s="2">
        <v>6.39</v>
      </c>
      <c r="AF2958" s="4">
        <v>6.2116933599999999</v>
      </c>
      <c r="AG2958" s="2">
        <v>14.47</v>
      </c>
      <c r="AH2958" s="2">
        <v>8016671.6100000003</v>
      </c>
      <c r="AI2958" s="2">
        <v>0.02</v>
      </c>
      <c r="AJ2958" s="5">
        <v>44673</v>
      </c>
      <c r="AK2958" t="s">
        <v>12612</v>
      </c>
      <c r="AL2958" s="2">
        <v>6.29</v>
      </c>
      <c r="AM2958" s="2">
        <v>6.43</v>
      </c>
      <c r="AN2958" s="2">
        <v>0.98</v>
      </c>
      <c r="AO2958" t="s">
        <v>11054</v>
      </c>
      <c r="AP2958" t="s">
        <v>12967</v>
      </c>
      <c r="AQ2958" t="s">
        <v>12966</v>
      </c>
    </row>
    <row r="2959" spans="1:43" x14ac:dyDescent="0.2">
      <c r="A2959" t="s">
        <v>12611</v>
      </c>
      <c r="B2959" t="s">
        <v>11030</v>
      </c>
      <c r="C2959" t="s">
        <v>11030</v>
      </c>
      <c r="D2959" t="s">
        <v>12607</v>
      </c>
      <c r="E2959" t="s">
        <v>12603</v>
      </c>
      <c r="F2959" t="s">
        <v>12607</v>
      </c>
      <c r="G2959" s="1">
        <v>100</v>
      </c>
      <c r="H2959" s="2"/>
      <c r="I2959" s="2">
        <v>0</v>
      </c>
      <c r="J2959" s="2"/>
      <c r="K2959" s="2"/>
      <c r="L2959" s="2">
        <v>0</v>
      </c>
      <c r="M2959" s="3"/>
      <c r="N2959" s="4">
        <v>0</v>
      </c>
      <c r="O2959" s="5" t="s">
        <v>44</v>
      </c>
      <c r="P2959" s="5" t="s">
        <v>44</v>
      </c>
      <c r="Q2959" s="1"/>
      <c r="R2959" s="2"/>
      <c r="S2959" s="6"/>
      <c r="T2959" t="s">
        <v>11031</v>
      </c>
      <c r="U2959" t="s">
        <v>11032</v>
      </c>
      <c r="V2959" t="s">
        <v>45</v>
      </c>
      <c r="W2959" t="s">
        <v>43</v>
      </c>
      <c r="X2959" t="s">
        <v>44</v>
      </c>
      <c r="Y2959" t="s">
        <v>44</v>
      </c>
      <c r="Z2959" t="s">
        <v>44</v>
      </c>
      <c r="AA2959" t="s">
        <v>44</v>
      </c>
      <c r="AB2959" t="s">
        <v>44</v>
      </c>
      <c r="AC2959" s="4"/>
      <c r="AD2959" s="4"/>
      <c r="AE2959" s="2">
        <v>0</v>
      </c>
      <c r="AF2959" s="4">
        <v>0</v>
      </c>
      <c r="AG2959" s="2">
        <v>0</v>
      </c>
      <c r="AH2959" s="2">
        <v>-14112958</v>
      </c>
      <c r="AI2959" s="2">
        <v>-0.03</v>
      </c>
      <c r="AJ2959" s="5">
        <v>44673</v>
      </c>
      <c r="AK2959" t="s">
        <v>12612</v>
      </c>
      <c r="AL2959" s="2">
        <v>0</v>
      </c>
      <c r="AM2959" s="2">
        <v>0</v>
      </c>
      <c r="AN2959" s="2">
        <v>0</v>
      </c>
      <c r="AO2959" t="s">
        <v>44</v>
      </c>
      <c r="AP2959" t="s">
        <v>44</v>
      </c>
      <c r="AQ2959" t="s">
        <v>11182</v>
      </c>
    </row>
    <row r="2960" spans="1:43" x14ac:dyDescent="0.2">
      <c r="A2960" t="s">
        <v>12611</v>
      </c>
      <c r="B2960" t="s">
        <v>11030</v>
      </c>
      <c r="C2960" t="s">
        <v>11030</v>
      </c>
      <c r="D2960" t="s">
        <v>12608</v>
      </c>
      <c r="E2960" t="s">
        <v>12605</v>
      </c>
      <c r="F2960" t="s">
        <v>12608</v>
      </c>
      <c r="G2960" s="1">
        <v>996</v>
      </c>
      <c r="H2960" s="2"/>
      <c r="I2960" s="2">
        <v>0</v>
      </c>
      <c r="J2960" s="2"/>
      <c r="K2960" s="2"/>
      <c r="L2960" s="2">
        <v>0</v>
      </c>
      <c r="M2960" s="3"/>
      <c r="N2960" s="4">
        <v>0</v>
      </c>
      <c r="O2960" s="5" t="s">
        <v>44</v>
      </c>
      <c r="P2960" s="5" t="s">
        <v>44</v>
      </c>
      <c r="Q2960" s="1"/>
      <c r="R2960" s="2"/>
      <c r="S2960" s="6"/>
      <c r="T2960" t="s">
        <v>11031</v>
      </c>
      <c r="U2960" t="s">
        <v>11032</v>
      </c>
      <c r="V2960" t="s">
        <v>45</v>
      </c>
      <c r="W2960" t="s">
        <v>43</v>
      </c>
      <c r="X2960" t="s">
        <v>44</v>
      </c>
      <c r="Y2960" t="s">
        <v>44</v>
      </c>
      <c r="Z2960" t="s">
        <v>44</v>
      </c>
      <c r="AA2960" t="s">
        <v>44</v>
      </c>
      <c r="AB2960" t="s">
        <v>44</v>
      </c>
      <c r="AC2960" s="4"/>
      <c r="AD2960" s="4"/>
      <c r="AE2960" s="2">
        <v>0</v>
      </c>
      <c r="AF2960" s="4">
        <v>0</v>
      </c>
      <c r="AG2960" s="2">
        <v>0</v>
      </c>
      <c r="AH2960" s="2">
        <v>-8446438.5600000005</v>
      </c>
      <c r="AI2960" s="2">
        <v>-0.02</v>
      </c>
      <c r="AJ2960" s="5">
        <v>44673</v>
      </c>
      <c r="AK2960" t="s">
        <v>12612</v>
      </c>
      <c r="AL2960" s="2">
        <v>0</v>
      </c>
      <c r="AM2960" s="2">
        <v>0</v>
      </c>
      <c r="AN2960" s="2">
        <v>0</v>
      </c>
      <c r="AO2960" t="s">
        <v>44</v>
      </c>
      <c r="AP2960" t="s">
        <v>44</v>
      </c>
      <c r="AQ2960" t="s">
        <v>11182</v>
      </c>
    </row>
    <row r="2961" spans="1:43" x14ac:dyDescent="0.2">
      <c r="A2961" t="s">
        <v>12611</v>
      </c>
      <c r="B2961" t="s">
        <v>11030</v>
      </c>
      <c r="C2961" t="s">
        <v>11030</v>
      </c>
      <c r="D2961" t="s">
        <v>11181</v>
      </c>
      <c r="E2961" t="s">
        <v>11151</v>
      </c>
      <c r="F2961" t="s">
        <v>11181</v>
      </c>
      <c r="G2961" s="1">
        <v>49</v>
      </c>
      <c r="H2961" s="2"/>
      <c r="I2961" s="2">
        <v>0</v>
      </c>
      <c r="J2961" s="2"/>
      <c r="K2961" s="2"/>
      <c r="L2961" s="2">
        <v>0</v>
      </c>
      <c r="M2961" s="3"/>
      <c r="N2961" s="4">
        <v>0</v>
      </c>
      <c r="O2961" s="5" t="s">
        <v>44</v>
      </c>
      <c r="P2961" s="5" t="s">
        <v>44</v>
      </c>
      <c r="Q2961" s="1"/>
      <c r="R2961" s="2"/>
      <c r="S2961" s="6"/>
      <c r="T2961" t="s">
        <v>11031</v>
      </c>
      <c r="U2961" t="s">
        <v>11032</v>
      </c>
      <c r="V2961" t="s">
        <v>45</v>
      </c>
      <c r="W2961" t="s">
        <v>43</v>
      </c>
      <c r="X2961" t="s">
        <v>44</v>
      </c>
      <c r="Y2961" t="s">
        <v>44</v>
      </c>
      <c r="Z2961" t="s">
        <v>44</v>
      </c>
      <c r="AA2961" t="s">
        <v>44</v>
      </c>
      <c r="AB2961" t="s">
        <v>44</v>
      </c>
      <c r="AC2961" s="4"/>
      <c r="AD2961" s="4"/>
      <c r="AE2961" s="2">
        <v>0</v>
      </c>
      <c r="AF2961" s="4">
        <v>0</v>
      </c>
      <c r="AG2961" s="2">
        <v>0</v>
      </c>
      <c r="AH2961" s="2">
        <v>-32194960</v>
      </c>
      <c r="AI2961" s="2">
        <v>-7.0000000000000007E-2</v>
      </c>
      <c r="AJ2961" s="5">
        <v>44673</v>
      </c>
      <c r="AK2961" t="s">
        <v>12612</v>
      </c>
      <c r="AL2961" s="2">
        <v>0</v>
      </c>
      <c r="AM2961" s="2">
        <v>0</v>
      </c>
      <c r="AN2961" s="2">
        <v>0</v>
      </c>
      <c r="AO2961" t="s">
        <v>44</v>
      </c>
      <c r="AP2961" t="s">
        <v>44</v>
      </c>
      <c r="AQ2961" t="s">
        <v>11182</v>
      </c>
    </row>
    <row r="2962" spans="1:43" x14ac:dyDescent="0.2">
      <c r="A2962" t="s">
        <v>12613</v>
      </c>
      <c r="B2962" t="s">
        <v>10900</v>
      </c>
      <c r="C2962" t="s">
        <v>11049</v>
      </c>
      <c r="D2962" t="s">
        <v>11785</v>
      </c>
      <c r="E2962" t="s">
        <v>11786</v>
      </c>
      <c r="F2962" t="s">
        <v>11785</v>
      </c>
      <c r="G2962" s="1">
        <v>2000000</v>
      </c>
      <c r="H2962" s="2">
        <v>2018594.18</v>
      </c>
      <c r="I2962" s="2">
        <v>2020427.18</v>
      </c>
      <c r="J2962" s="2">
        <v>13048.99</v>
      </c>
      <c r="K2962" s="2">
        <v>0</v>
      </c>
      <c r="L2962" s="2">
        <v>2033476.17</v>
      </c>
      <c r="M2962" s="3">
        <v>4.8216830000000002</v>
      </c>
      <c r="N2962" s="4">
        <v>4.6263800000000002E-3</v>
      </c>
      <c r="O2962" s="5">
        <v>44732</v>
      </c>
      <c r="P2962" s="5">
        <v>44824</v>
      </c>
      <c r="Q2962" s="1">
        <v>7.4420000000000002</v>
      </c>
      <c r="R2962" s="2">
        <v>0.15</v>
      </c>
      <c r="S2962" s="6">
        <v>0.146783072519</v>
      </c>
      <c r="T2962" t="s">
        <v>111</v>
      </c>
      <c r="U2962" t="s">
        <v>111</v>
      </c>
      <c r="V2962" t="s">
        <v>11189</v>
      </c>
      <c r="W2962" t="s">
        <v>43</v>
      </c>
      <c r="X2962" t="s">
        <v>11034</v>
      </c>
      <c r="Y2962" t="s">
        <v>44</v>
      </c>
      <c r="Z2962" t="s">
        <v>44</v>
      </c>
      <c r="AA2962" t="s">
        <v>10979</v>
      </c>
      <c r="AB2962" t="s">
        <v>11441</v>
      </c>
      <c r="AC2962" s="4">
        <v>4.87980444</v>
      </c>
      <c r="AD2962" s="4">
        <v>4.7739498600000001</v>
      </c>
      <c r="AE2962" s="2">
        <v>4.88</v>
      </c>
      <c r="AF2962" s="4">
        <v>4.7739498600000001</v>
      </c>
      <c r="AG2962" s="2">
        <v>2.0299999999999998</v>
      </c>
      <c r="AH2962" s="2">
        <v>2033476.17</v>
      </c>
      <c r="AI2962" s="2">
        <v>0</v>
      </c>
      <c r="AJ2962" s="5">
        <v>44673</v>
      </c>
      <c r="AK2962" t="s">
        <v>12614</v>
      </c>
      <c r="AL2962" s="2">
        <v>4.82</v>
      </c>
      <c r="AM2962" s="2">
        <v>7.44</v>
      </c>
      <c r="AN2962" s="2">
        <v>0.15</v>
      </c>
      <c r="AO2962" t="s">
        <v>11054</v>
      </c>
      <c r="AP2962" t="s">
        <v>11787</v>
      </c>
      <c r="AQ2962" t="s">
        <v>11786</v>
      </c>
    </row>
    <row r="2963" spans="1:43" x14ac:dyDescent="0.2">
      <c r="A2963" t="s">
        <v>12613</v>
      </c>
      <c r="B2963" t="s">
        <v>10900</v>
      </c>
      <c r="C2963" t="s">
        <v>11049</v>
      </c>
      <c r="D2963" t="s">
        <v>11916</v>
      </c>
      <c r="E2963" t="s">
        <v>11917</v>
      </c>
      <c r="F2963" t="s">
        <v>11916</v>
      </c>
      <c r="G2963" s="1">
        <v>712800</v>
      </c>
      <c r="H2963" s="2">
        <v>712800</v>
      </c>
      <c r="I2963" s="2">
        <v>711236.58</v>
      </c>
      <c r="J2963" s="2">
        <v>3525.8</v>
      </c>
      <c r="K2963" s="2">
        <v>0</v>
      </c>
      <c r="L2963" s="2">
        <v>714762.38</v>
      </c>
      <c r="M2963" s="3">
        <v>5.6016830000000004</v>
      </c>
      <c r="N2963" s="4">
        <v>1.62616E-3</v>
      </c>
      <c r="O2963" s="5">
        <v>44732</v>
      </c>
      <c r="P2963" s="5">
        <v>44824</v>
      </c>
      <c r="Q2963" s="1">
        <v>5.6420000000000003</v>
      </c>
      <c r="R2963" s="2">
        <v>0.15</v>
      </c>
      <c r="S2963" s="6">
        <v>0.14281421501899999</v>
      </c>
      <c r="T2963" t="s">
        <v>111</v>
      </c>
      <c r="U2963" t="s">
        <v>111</v>
      </c>
      <c r="V2963" t="s">
        <v>11189</v>
      </c>
      <c r="W2963" t="s">
        <v>43</v>
      </c>
      <c r="X2963" t="s">
        <v>11034</v>
      </c>
      <c r="Y2963" t="s">
        <v>44</v>
      </c>
      <c r="Z2963" t="s">
        <v>44</v>
      </c>
      <c r="AA2963" t="s">
        <v>10979</v>
      </c>
      <c r="AB2963" t="s">
        <v>44</v>
      </c>
      <c r="AC2963" s="4">
        <v>5.6801300100000001</v>
      </c>
      <c r="AD2963" s="4">
        <v>5.5374074699999998</v>
      </c>
      <c r="AE2963" s="2">
        <v>5.68</v>
      </c>
      <c r="AF2963" s="4">
        <v>5.5374074699999998</v>
      </c>
      <c r="AG2963" s="2">
        <v>0.71</v>
      </c>
      <c r="AH2963" s="2">
        <v>714762.38</v>
      </c>
      <c r="AI2963" s="2">
        <v>0</v>
      </c>
      <c r="AJ2963" s="5">
        <v>44673</v>
      </c>
      <c r="AK2963" t="s">
        <v>12614</v>
      </c>
      <c r="AL2963" s="2">
        <v>5.6</v>
      </c>
      <c r="AM2963" s="2">
        <v>5.64</v>
      </c>
      <c r="AN2963" s="2">
        <v>0.14000000000000001</v>
      </c>
      <c r="AO2963" t="s">
        <v>10980</v>
      </c>
      <c r="AP2963" t="s">
        <v>11918</v>
      </c>
      <c r="AQ2963" t="s">
        <v>11917</v>
      </c>
    </row>
    <row r="2964" spans="1:43" x14ac:dyDescent="0.2">
      <c r="A2964" t="s">
        <v>12613</v>
      </c>
      <c r="B2964" t="s">
        <v>10900</v>
      </c>
      <c r="C2964" t="s">
        <v>11049</v>
      </c>
      <c r="D2964" t="s">
        <v>11797</v>
      </c>
      <c r="E2964" t="s">
        <v>11798</v>
      </c>
      <c r="F2964" t="s">
        <v>11797</v>
      </c>
      <c r="G2964" s="1">
        <v>1500000</v>
      </c>
      <c r="H2964" s="2">
        <v>1500000</v>
      </c>
      <c r="I2964" s="2">
        <v>1525074.73</v>
      </c>
      <c r="J2964" s="2">
        <v>9279.08</v>
      </c>
      <c r="K2964" s="2">
        <v>0</v>
      </c>
      <c r="L2964" s="2">
        <v>1534353.81</v>
      </c>
      <c r="M2964" s="3">
        <v>5.7687520000000001</v>
      </c>
      <c r="N2964" s="4">
        <v>3.4908199999999999E-3</v>
      </c>
      <c r="O2964" s="5">
        <v>44742</v>
      </c>
      <c r="P2964" s="5">
        <v>44834</v>
      </c>
      <c r="Q2964" s="1">
        <v>9.8170000000000002</v>
      </c>
      <c r="R2964" s="2">
        <v>0.18</v>
      </c>
      <c r="S2964" s="6">
        <v>0.17046604942900001</v>
      </c>
      <c r="T2964" t="s">
        <v>111</v>
      </c>
      <c r="U2964" t="s">
        <v>111</v>
      </c>
      <c r="V2964" t="s">
        <v>11189</v>
      </c>
      <c r="W2964" t="s">
        <v>43</v>
      </c>
      <c r="X2964" t="s">
        <v>11034</v>
      </c>
      <c r="Y2964" t="s">
        <v>44</v>
      </c>
      <c r="Z2964" t="s">
        <v>44</v>
      </c>
      <c r="AA2964" t="s">
        <v>11035</v>
      </c>
      <c r="AB2964" t="s">
        <v>2680</v>
      </c>
      <c r="AC2964" s="4">
        <v>5.8519482600000003</v>
      </c>
      <c r="AD2964" s="4">
        <v>5.7006194399999996</v>
      </c>
      <c r="AE2964" s="2">
        <v>5.85</v>
      </c>
      <c r="AF2964" s="4">
        <v>5.7006194399999996</v>
      </c>
      <c r="AG2964" s="2">
        <v>1.53</v>
      </c>
      <c r="AH2964" s="2">
        <v>1534353.81</v>
      </c>
      <c r="AI2964" s="2">
        <v>0</v>
      </c>
      <c r="AJ2964" s="5">
        <v>44673</v>
      </c>
      <c r="AK2964" t="s">
        <v>12614</v>
      </c>
      <c r="AL2964" s="2">
        <v>5.77</v>
      </c>
      <c r="AM2964" s="2">
        <v>9.82</v>
      </c>
      <c r="AN2964" s="2">
        <v>0.17</v>
      </c>
      <c r="AO2964" t="s">
        <v>11496</v>
      </c>
      <c r="AP2964" t="s">
        <v>11799</v>
      </c>
      <c r="AQ2964" t="s">
        <v>11798</v>
      </c>
    </row>
    <row r="2965" spans="1:43" x14ac:dyDescent="0.2">
      <c r="A2965" t="s">
        <v>12613</v>
      </c>
      <c r="B2965" t="s">
        <v>10900</v>
      </c>
      <c r="C2965" t="s">
        <v>11049</v>
      </c>
      <c r="D2965" t="s">
        <v>11800</v>
      </c>
      <c r="E2965" t="s">
        <v>11801</v>
      </c>
      <c r="F2965" t="s">
        <v>11800</v>
      </c>
      <c r="G2965" s="1">
        <v>4050000</v>
      </c>
      <c r="H2965" s="2">
        <v>3946284.28</v>
      </c>
      <c r="I2965" s="2">
        <v>4049877.69</v>
      </c>
      <c r="J2965" s="2">
        <v>67329.86</v>
      </c>
      <c r="K2965" s="2">
        <v>0</v>
      </c>
      <c r="L2965" s="2">
        <v>4117207.55</v>
      </c>
      <c r="M2965" s="3">
        <v>7.4</v>
      </c>
      <c r="N2965" s="4">
        <v>9.3670899999999998E-3</v>
      </c>
      <c r="O2965" s="5">
        <v>44592</v>
      </c>
      <c r="P2965" s="5">
        <v>44773</v>
      </c>
      <c r="Q2965" s="1">
        <v>7.4</v>
      </c>
      <c r="R2965" s="2">
        <v>0.27</v>
      </c>
      <c r="S2965" s="6">
        <v>0.26062797900000001</v>
      </c>
      <c r="T2965" t="s">
        <v>111</v>
      </c>
      <c r="U2965" t="s">
        <v>111</v>
      </c>
      <c r="V2965" t="s">
        <v>114</v>
      </c>
      <c r="W2965" t="s">
        <v>43</v>
      </c>
      <c r="X2965" t="s">
        <v>10988</v>
      </c>
      <c r="Y2965" t="s">
        <v>44</v>
      </c>
      <c r="Z2965" t="s">
        <v>44</v>
      </c>
      <c r="AA2965" t="s">
        <v>10913</v>
      </c>
      <c r="AB2965" t="s">
        <v>44</v>
      </c>
      <c r="AC2965" s="4">
        <v>7.5369000000000002</v>
      </c>
      <c r="AD2965" s="4">
        <v>7.2884304699999998</v>
      </c>
      <c r="AE2965" s="2">
        <v>7.54</v>
      </c>
      <c r="AF2965" s="4">
        <v>7.2884304699999998</v>
      </c>
      <c r="AG2965" s="2">
        <v>4.0999999999999996</v>
      </c>
      <c r="AH2965" s="2">
        <v>4117207.55</v>
      </c>
      <c r="AI2965" s="2">
        <v>0.01</v>
      </c>
      <c r="AJ2965" s="5">
        <v>44673</v>
      </c>
      <c r="AK2965" t="s">
        <v>12614</v>
      </c>
      <c r="AL2965" s="2">
        <v>7.4</v>
      </c>
      <c r="AM2965" s="2">
        <v>7.4</v>
      </c>
      <c r="AN2965" s="2">
        <v>0.26</v>
      </c>
      <c r="AO2965" t="s">
        <v>10922</v>
      </c>
      <c r="AP2965" t="s">
        <v>11802</v>
      </c>
      <c r="AQ2965" t="s">
        <v>11801</v>
      </c>
    </row>
    <row r="2966" spans="1:43" x14ac:dyDescent="0.2">
      <c r="A2966" t="s">
        <v>12613</v>
      </c>
      <c r="B2966" t="s">
        <v>10900</v>
      </c>
      <c r="C2966" t="s">
        <v>11033</v>
      </c>
      <c r="D2966" t="s">
        <v>11803</v>
      </c>
      <c r="E2966" t="s">
        <v>11804</v>
      </c>
      <c r="F2966" t="s">
        <v>11803</v>
      </c>
      <c r="G2966" s="1">
        <v>1000000</v>
      </c>
      <c r="H2966" s="2">
        <v>1000000</v>
      </c>
      <c r="I2966" s="2">
        <v>1011893.95</v>
      </c>
      <c r="J2966" s="2">
        <v>9863.51</v>
      </c>
      <c r="K2966" s="2">
        <v>0</v>
      </c>
      <c r="L2966" s="2">
        <v>1021757.46</v>
      </c>
      <c r="M2966" s="3">
        <v>5.9316740000000001</v>
      </c>
      <c r="N2966" s="4">
        <v>2.32461E-3</v>
      </c>
      <c r="O2966" s="5">
        <v>44711</v>
      </c>
      <c r="P2966" s="5">
        <v>45259</v>
      </c>
      <c r="Q2966" s="1">
        <v>6.6669999999999998</v>
      </c>
      <c r="R2966" s="2">
        <v>0.1</v>
      </c>
      <c r="S2966" s="6">
        <v>8.3360787894999996E-2</v>
      </c>
      <c r="T2966" t="s">
        <v>111</v>
      </c>
      <c r="U2966" t="s">
        <v>111</v>
      </c>
      <c r="V2966" t="s">
        <v>11189</v>
      </c>
      <c r="W2966" t="s">
        <v>43</v>
      </c>
      <c r="X2966" t="s">
        <v>11034</v>
      </c>
      <c r="Y2966" t="s">
        <v>44</v>
      </c>
      <c r="Z2966" t="s">
        <v>44</v>
      </c>
      <c r="AA2966" t="s">
        <v>10979</v>
      </c>
      <c r="AB2966" t="s">
        <v>44</v>
      </c>
      <c r="AC2966" s="4">
        <v>6.0196354200000002</v>
      </c>
      <c r="AD2966" s="4">
        <v>5.8596732400000002</v>
      </c>
      <c r="AE2966" s="2">
        <v>6.02</v>
      </c>
      <c r="AF2966" s="4">
        <v>5.8596732400000002</v>
      </c>
      <c r="AG2966" s="2">
        <v>1.02</v>
      </c>
      <c r="AH2966" s="2">
        <v>1021757.46</v>
      </c>
      <c r="AI2966" s="2">
        <v>0</v>
      </c>
      <c r="AJ2966" s="5">
        <v>44673</v>
      </c>
      <c r="AK2966" t="s">
        <v>12614</v>
      </c>
      <c r="AL2966" s="2">
        <v>5.93</v>
      </c>
      <c r="AM2966" s="2">
        <v>6.67</v>
      </c>
      <c r="AN2966" s="2">
        <v>0.08</v>
      </c>
      <c r="AO2966" t="s">
        <v>11165</v>
      </c>
      <c r="AP2966" t="s">
        <v>11805</v>
      </c>
      <c r="AQ2966" t="s">
        <v>11804</v>
      </c>
    </row>
    <row r="2967" spans="1:43" x14ac:dyDescent="0.2">
      <c r="A2967" t="s">
        <v>12613</v>
      </c>
      <c r="B2967" t="s">
        <v>10900</v>
      </c>
      <c r="C2967" t="s">
        <v>11033</v>
      </c>
      <c r="D2967" t="s">
        <v>11806</v>
      </c>
      <c r="E2967" t="s">
        <v>11807</v>
      </c>
      <c r="F2967" t="s">
        <v>11806</v>
      </c>
      <c r="G2967" s="1">
        <v>3000000</v>
      </c>
      <c r="H2967" s="2">
        <v>3000000</v>
      </c>
      <c r="I2967" s="2">
        <v>3035451.54</v>
      </c>
      <c r="J2967" s="2">
        <v>6690.08</v>
      </c>
      <c r="K2967" s="2">
        <v>0</v>
      </c>
      <c r="L2967" s="2">
        <v>3042141.62</v>
      </c>
      <c r="M2967" s="3">
        <v>6.0434890000000001</v>
      </c>
      <c r="N2967" s="4">
        <v>6.9211999999999997E-3</v>
      </c>
      <c r="O2967" s="5">
        <v>44753</v>
      </c>
      <c r="P2967" s="5">
        <v>45393</v>
      </c>
      <c r="Q2967" s="1">
        <v>6.7830000000000004</v>
      </c>
      <c r="R2967" s="2">
        <v>0.21</v>
      </c>
      <c r="S2967" s="6">
        <v>0.19079709986500001</v>
      </c>
      <c r="T2967" t="s">
        <v>111</v>
      </c>
      <c r="U2967" t="s">
        <v>111</v>
      </c>
      <c r="V2967" t="s">
        <v>11189</v>
      </c>
      <c r="W2967" t="s">
        <v>43</v>
      </c>
      <c r="X2967" t="s">
        <v>11034</v>
      </c>
      <c r="Y2967" t="s">
        <v>44</v>
      </c>
      <c r="Z2967" t="s">
        <v>44</v>
      </c>
      <c r="AA2967" t="s">
        <v>10979</v>
      </c>
      <c r="AB2967" t="s">
        <v>44</v>
      </c>
      <c r="AC2967" s="4">
        <v>6.1347979300000004</v>
      </c>
      <c r="AD2967" s="4">
        <v>5.9687731099999999</v>
      </c>
      <c r="AE2967" s="2">
        <v>6.13</v>
      </c>
      <c r="AF2967" s="4">
        <v>5.9687731099999999</v>
      </c>
      <c r="AG2967" s="2">
        <v>3.03</v>
      </c>
      <c r="AH2967" s="2">
        <v>3042141.62</v>
      </c>
      <c r="AI2967" s="2">
        <v>0.01</v>
      </c>
      <c r="AJ2967" s="5">
        <v>44673</v>
      </c>
      <c r="AK2967" t="s">
        <v>12614</v>
      </c>
      <c r="AL2967" s="2">
        <v>6.04</v>
      </c>
      <c r="AM2967" s="2">
        <v>6.78</v>
      </c>
      <c r="AN2967" s="2">
        <v>0.19</v>
      </c>
      <c r="AO2967" t="s">
        <v>11165</v>
      </c>
      <c r="AP2967" t="s">
        <v>11808</v>
      </c>
      <c r="AQ2967" t="s">
        <v>11807</v>
      </c>
    </row>
    <row r="2968" spans="1:43" x14ac:dyDescent="0.2">
      <c r="A2968" t="s">
        <v>12613</v>
      </c>
      <c r="B2968" t="s">
        <v>10900</v>
      </c>
      <c r="C2968" t="s">
        <v>11033</v>
      </c>
      <c r="D2968" t="s">
        <v>11809</v>
      </c>
      <c r="E2968" t="s">
        <v>11810</v>
      </c>
      <c r="F2968" t="s">
        <v>11809</v>
      </c>
      <c r="G2968" s="1">
        <v>1000000</v>
      </c>
      <c r="H2968" s="2">
        <v>1007980.88</v>
      </c>
      <c r="I2968" s="2">
        <v>1014869.17</v>
      </c>
      <c r="J2968" s="2">
        <v>10197.86</v>
      </c>
      <c r="K2968" s="2">
        <v>0</v>
      </c>
      <c r="L2968" s="2">
        <v>1025067.03</v>
      </c>
      <c r="M2968" s="3">
        <v>5.5530569999999999</v>
      </c>
      <c r="N2968" s="4">
        <v>2.3321399999999999E-3</v>
      </c>
      <c r="O2968" s="5">
        <v>44704</v>
      </c>
      <c r="P2968" s="5">
        <v>45617</v>
      </c>
      <c r="Q2968" s="1">
        <v>6.1020000000000003</v>
      </c>
      <c r="R2968" s="2">
        <v>0.08</v>
      </c>
      <c r="S2968" s="6">
        <v>7.0564055134000006E-2</v>
      </c>
      <c r="T2968" t="s">
        <v>111</v>
      </c>
      <c r="U2968" t="s">
        <v>111</v>
      </c>
      <c r="V2968" t="s">
        <v>11189</v>
      </c>
      <c r="W2968" t="s">
        <v>43</v>
      </c>
      <c r="X2968" t="s">
        <v>11034</v>
      </c>
      <c r="Y2968" t="s">
        <v>44</v>
      </c>
      <c r="Z2968" t="s">
        <v>44</v>
      </c>
      <c r="AA2968" t="s">
        <v>11441</v>
      </c>
      <c r="AB2968" t="s">
        <v>44</v>
      </c>
      <c r="AC2968" s="4">
        <v>5.63014803</v>
      </c>
      <c r="AD2968" s="4">
        <v>5.4898834000000001</v>
      </c>
      <c r="AE2968" s="2">
        <v>5.63</v>
      </c>
      <c r="AF2968" s="4">
        <v>5.4898834000000001</v>
      </c>
      <c r="AG2968" s="2">
        <v>1.02</v>
      </c>
      <c r="AH2968" s="2">
        <v>1025067.03</v>
      </c>
      <c r="AI2968" s="2">
        <v>0</v>
      </c>
      <c r="AJ2968" s="5">
        <v>44673</v>
      </c>
      <c r="AK2968" t="s">
        <v>12614</v>
      </c>
      <c r="AL2968" s="2">
        <v>5.55</v>
      </c>
      <c r="AM2968" s="2">
        <v>6.1</v>
      </c>
      <c r="AN2968" s="2">
        <v>7.0000000000000007E-2</v>
      </c>
      <c r="AO2968" t="s">
        <v>11520</v>
      </c>
      <c r="AP2968" t="s">
        <v>11811</v>
      </c>
      <c r="AQ2968" t="s">
        <v>11810</v>
      </c>
    </row>
    <row r="2969" spans="1:43" x14ac:dyDescent="0.2">
      <c r="A2969" t="s">
        <v>12613</v>
      </c>
      <c r="B2969" t="s">
        <v>10900</v>
      </c>
      <c r="C2969" t="s">
        <v>11033</v>
      </c>
      <c r="D2969" t="s">
        <v>11518</v>
      </c>
      <c r="E2969" t="s">
        <v>11519</v>
      </c>
      <c r="F2969" t="s">
        <v>11518</v>
      </c>
      <c r="G2969" s="1">
        <v>1300000</v>
      </c>
      <c r="H2969" s="2">
        <v>1300000</v>
      </c>
      <c r="I2969" s="2">
        <v>1304124.76</v>
      </c>
      <c r="J2969" s="2">
        <v>13561.39</v>
      </c>
      <c r="K2969" s="2">
        <v>0</v>
      </c>
      <c r="L2969" s="2">
        <v>1317686.1499999999</v>
      </c>
      <c r="M2969" s="3">
        <v>6.0730570000000004</v>
      </c>
      <c r="N2969" s="4">
        <v>2.9978800000000001E-3</v>
      </c>
      <c r="O2969" s="5">
        <v>44704</v>
      </c>
      <c r="P2969" s="5">
        <v>45159</v>
      </c>
      <c r="Q2969" s="1">
        <v>6.242</v>
      </c>
      <c r="R2969" s="2">
        <v>0.08</v>
      </c>
      <c r="S2969" s="6">
        <v>5.9720457003999999E-2</v>
      </c>
      <c r="T2969" t="s">
        <v>111</v>
      </c>
      <c r="U2969" t="s">
        <v>111</v>
      </c>
      <c r="V2969" t="s">
        <v>11189</v>
      </c>
      <c r="W2969" t="s">
        <v>43</v>
      </c>
      <c r="X2969" t="s">
        <v>11034</v>
      </c>
      <c r="Y2969" t="s">
        <v>44</v>
      </c>
      <c r="Z2969" t="s">
        <v>44</v>
      </c>
      <c r="AA2969" t="s">
        <v>11441</v>
      </c>
      <c r="AB2969" t="s">
        <v>44</v>
      </c>
      <c r="AC2969" s="4">
        <v>6.1652619800000004</v>
      </c>
      <c r="AD2969" s="4">
        <v>5.9976152599999999</v>
      </c>
      <c r="AE2969" s="2">
        <v>6.17</v>
      </c>
      <c r="AF2969" s="4">
        <v>5.9976152599999999</v>
      </c>
      <c r="AG2969" s="2">
        <v>1.31</v>
      </c>
      <c r="AH2969" s="2">
        <v>1317686.1499999999</v>
      </c>
      <c r="AI2969" s="2">
        <v>0</v>
      </c>
      <c r="AJ2969" s="5">
        <v>44673</v>
      </c>
      <c r="AK2969" t="s">
        <v>12614</v>
      </c>
      <c r="AL2969" s="2">
        <v>6.07</v>
      </c>
      <c r="AM2969" s="2">
        <v>6.24</v>
      </c>
      <c r="AN2969" s="2">
        <v>0.06</v>
      </c>
      <c r="AO2969" t="s">
        <v>11520</v>
      </c>
      <c r="AP2969" t="s">
        <v>11521</v>
      </c>
      <c r="AQ2969" t="s">
        <v>11519</v>
      </c>
    </row>
    <row r="2970" spans="1:43" x14ac:dyDescent="0.2">
      <c r="A2970" t="s">
        <v>12613</v>
      </c>
      <c r="B2970" t="s">
        <v>10900</v>
      </c>
      <c r="C2970" t="s">
        <v>11033</v>
      </c>
      <c r="D2970" t="s">
        <v>11059</v>
      </c>
      <c r="E2970" t="s">
        <v>11060</v>
      </c>
      <c r="F2970" t="s">
        <v>11059</v>
      </c>
      <c r="G2970" s="1">
        <v>347000</v>
      </c>
      <c r="H2970" s="2">
        <v>375985.47</v>
      </c>
      <c r="I2970" s="2">
        <v>371795.13</v>
      </c>
      <c r="J2970" s="2">
        <v>13694.62</v>
      </c>
      <c r="K2970" s="2">
        <v>0</v>
      </c>
      <c r="L2970" s="2">
        <v>385489.75</v>
      </c>
      <c r="M2970" s="3">
        <v>7.69</v>
      </c>
      <c r="N2970" s="4">
        <v>8.7703E-4</v>
      </c>
      <c r="O2970" s="5">
        <v>44722</v>
      </c>
      <c r="P2970" s="5">
        <v>45636</v>
      </c>
      <c r="Q2970" s="1">
        <v>10.75</v>
      </c>
      <c r="R2970" s="2">
        <v>2.2799999999999998</v>
      </c>
      <c r="S2970" s="6">
        <v>2.1998010890000002</v>
      </c>
      <c r="T2970" t="s">
        <v>111</v>
      </c>
      <c r="U2970" t="s">
        <v>111</v>
      </c>
      <c r="V2970" t="s">
        <v>10944</v>
      </c>
      <c r="W2970" t="s">
        <v>43</v>
      </c>
      <c r="X2970" t="s">
        <v>10988</v>
      </c>
      <c r="Y2970" t="s">
        <v>44</v>
      </c>
      <c r="Z2970" t="s">
        <v>44</v>
      </c>
      <c r="AA2970" t="s">
        <v>10979</v>
      </c>
      <c r="AB2970" t="s">
        <v>44</v>
      </c>
      <c r="AC2970" s="4">
        <v>7.8378402500000002</v>
      </c>
      <c r="AD2970" s="4">
        <v>7.5696180699999998</v>
      </c>
      <c r="AE2970" s="2">
        <v>7.84</v>
      </c>
      <c r="AF2970" s="4">
        <v>7.5696180699999998</v>
      </c>
      <c r="AG2970" s="2">
        <v>0.38</v>
      </c>
      <c r="AH2970" s="2">
        <v>385489.75</v>
      </c>
      <c r="AI2970" s="2">
        <v>0</v>
      </c>
      <c r="AJ2970" s="5">
        <v>44673</v>
      </c>
      <c r="AK2970" t="s">
        <v>12614</v>
      </c>
      <c r="AL2970" s="2">
        <v>7.69</v>
      </c>
      <c r="AM2970" s="2">
        <v>10.75</v>
      </c>
      <c r="AN2970" s="2">
        <v>2.2000000000000002</v>
      </c>
      <c r="AO2970" t="s">
        <v>11054</v>
      </c>
      <c r="AP2970" t="s">
        <v>11061</v>
      </c>
      <c r="AQ2970" t="s">
        <v>11060</v>
      </c>
    </row>
    <row r="2971" spans="1:43" x14ac:dyDescent="0.2">
      <c r="A2971" t="s">
        <v>12613</v>
      </c>
      <c r="B2971" t="s">
        <v>10900</v>
      </c>
      <c r="C2971" t="s">
        <v>11033</v>
      </c>
      <c r="D2971" t="s">
        <v>11815</v>
      </c>
      <c r="E2971" t="s">
        <v>11816</v>
      </c>
      <c r="F2971" t="s">
        <v>11815</v>
      </c>
      <c r="G2971" s="1">
        <v>1000000</v>
      </c>
      <c r="H2971" s="2">
        <v>1000000</v>
      </c>
      <c r="I2971" s="2">
        <v>999946.81</v>
      </c>
      <c r="J2971" s="2">
        <v>11136.68</v>
      </c>
      <c r="K2971" s="2">
        <v>0</v>
      </c>
      <c r="L2971" s="2">
        <v>1011083.49</v>
      </c>
      <c r="M2971" s="3">
        <v>6.1638650000000004</v>
      </c>
      <c r="N2971" s="4">
        <v>2.3003199999999998E-3</v>
      </c>
      <c r="O2971" s="5">
        <v>44697</v>
      </c>
      <c r="P2971" s="5">
        <v>45519</v>
      </c>
      <c r="Q2971" s="1">
        <v>6.0670000000000002</v>
      </c>
      <c r="R2971" s="2">
        <v>0.06</v>
      </c>
      <c r="S2971" s="6">
        <v>2.7386669091000002E-2</v>
      </c>
      <c r="T2971" t="s">
        <v>111</v>
      </c>
      <c r="U2971" t="s">
        <v>111</v>
      </c>
      <c r="V2971" t="s">
        <v>11189</v>
      </c>
      <c r="W2971" t="s">
        <v>43</v>
      </c>
      <c r="X2971" t="s">
        <v>11034</v>
      </c>
      <c r="Y2971" t="s">
        <v>44</v>
      </c>
      <c r="Z2971" t="s">
        <v>44</v>
      </c>
      <c r="AA2971" t="s">
        <v>11225</v>
      </c>
      <c r="AB2971" t="s">
        <v>44</v>
      </c>
      <c r="AC2971" s="4">
        <v>6.2588480500000001</v>
      </c>
      <c r="AD2971" s="4">
        <v>6.0861713799999997</v>
      </c>
      <c r="AE2971" s="2">
        <v>6.26</v>
      </c>
      <c r="AF2971" s="4">
        <v>6.0861713799999997</v>
      </c>
      <c r="AG2971" s="2">
        <v>1.01</v>
      </c>
      <c r="AH2971" s="2">
        <v>1011083.49</v>
      </c>
      <c r="AI2971" s="2">
        <v>0</v>
      </c>
      <c r="AJ2971" s="5">
        <v>44673</v>
      </c>
      <c r="AK2971" t="s">
        <v>12614</v>
      </c>
      <c r="AL2971" s="2">
        <v>6.16</v>
      </c>
      <c r="AM2971" s="2">
        <v>6.07</v>
      </c>
      <c r="AN2971" s="2">
        <v>0.03</v>
      </c>
      <c r="AO2971" t="s">
        <v>11817</v>
      </c>
      <c r="AP2971" t="s">
        <v>11818</v>
      </c>
      <c r="AQ2971" t="s">
        <v>11816</v>
      </c>
    </row>
    <row r="2972" spans="1:43" x14ac:dyDescent="0.2">
      <c r="A2972" t="s">
        <v>12613</v>
      </c>
      <c r="B2972" t="s">
        <v>10900</v>
      </c>
      <c r="C2972" t="s">
        <v>11033</v>
      </c>
      <c r="D2972" t="s">
        <v>11819</v>
      </c>
      <c r="E2972" t="s">
        <v>11820</v>
      </c>
      <c r="F2972" t="s">
        <v>11819</v>
      </c>
      <c r="G2972" s="1">
        <v>2000000</v>
      </c>
      <c r="H2972" s="2">
        <v>2000000</v>
      </c>
      <c r="I2972" s="2">
        <v>2001253.68</v>
      </c>
      <c r="J2972" s="2">
        <v>8287.23</v>
      </c>
      <c r="K2972" s="2">
        <v>0</v>
      </c>
      <c r="L2972" s="2">
        <v>2009540.91</v>
      </c>
      <c r="M2972" s="3">
        <v>5.6743709999999998</v>
      </c>
      <c r="N2972" s="4">
        <v>4.5719200000000002E-3</v>
      </c>
      <c r="O2972" s="5">
        <v>44739</v>
      </c>
      <c r="P2972" s="5">
        <v>45470</v>
      </c>
      <c r="Q2972" s="1">
        <v>5.8170000000000002</v>
      </c>
      <c r="R2972" s="2">
        <v>0.17</v>
      </c>
      <c r="S2972" s="6">
        <v>0.145695338009</v>
      </c>
      <c r="T2972" t="s">
        <v>111</v>
      </c>
      <c r="U2972" t="s">
        <v>111</v>
      </c>
      <c r="V2972" t="s">
        <v>11189</v>
      </c>
      <c r="W2972" t="s">
        <v>43</v>
      </c>
      <c r="X2972" t="s">
        <v>11034</v>
      </c>
      <c r="Y2972" t="s">
        <v>44</v>
      </c>
      <c r="Z2972" t="s">
        <v>44</v>
      </c>
      <c r="AA2972" t="s">
        <v>10913</v>
      </c>
      <c r="AB2972" t="s">
        <v>44</v>
      </c>
      <c r="AC2972" s="4">
        <v>5.7548670399999997</v>
      </c>
      <c r="AD2972" s="4">
        <v>5.6084308399999996</v>
      </c>
      <c r="AE2972" s="2">
        <v>5.75</v>
      </c>
      <c r="AF2972" s="4">
        <v>5.6084308399999996</v>
      </c>
      <c r="AG2972" s="2">
        <v>2</v>
      </c>
      <c r="AH2972" s="2">
        <v>2009540.91</v>
      </c>
      <c r="AI2972" s="2">
        <v>0</v>
      </c>
      <c r="AJ2972" s="5">
        <v>44673</v>
      </c>
      <c r="AK2972" t="s">
        <v>12614</v>
      </c>
      <c r="AL2972" s="2">
        <v>5.67</v>
      </c>
      <c r="AM2972" s="2">
        <v>5.82</v>
      </c>
      <c r="AN2972" s="2">
        <v>0.15</v>
      </c>
      <c r="AO2972" t="s">
        <v>11563</v>
      </c>
      <c r="AP2972" t="s">
        <v>11821</v>
      </c>
      <c r="AQ2972" t="s">
        <v>11820</v>
      </c>
    </row>
    <row r="2973" spans="1:43" x14ac:dyDescent="0.2">
      <c r="A2973" t="s">
        <v>12613</v>
      </c>
      <c r="B2973" t="s">
        <v>10900</v>
      </c>
      <c r="C2973" t="s">
        <v>11033</v>
      </c>
      <c r="D2973" t="s">
        <v>11822</v>
      </c>
      <c r="E2973" t="s">
        <v>11823</v>
      </c>
      <c r="F2973" t="s">
        <v>11822</v>
      </c>
      <c r="G2973" s="1">
        <v>1000000</v>
      </c>
      <c r="H2973" s="2">
        <v>1000000</v>
      </c>
      <c r="I2973" s="2">
        <v>992268.95</v>
      </c>
      <c r="J2973" s="2">
        <v>10930.3</v>
      </c>
      <c r="K2973" s="2">
        <v>0</v>
      </c>
      <c r="L2973" s="2">
        <v>1003199.25</v>
      </c>
      <c r="M2973" s="3">
        <v>6.4745299999999997</v>
      </c>
      <c r="N2973" s="4">
        <v>2.28239E-3</v>
      </c>
      <c r="O2973" s="5">
        <v>44693</v>
      </c>
      <c r="P2973" s="5">
        <v>45242</v>
      </c>
      <c r="Q2973" s="1">
        <v>5.867</v>
      </c>
      <c r="R2973" s="2">
        <v>0.05</v>
      </c>
      <c r="S2973" s="6">
        <v>1.5942423563000001E-2</v>
      </c>
      <c r="T2973" t="s">
        <v>111</v>
      </c>
      <c r="U2973" t="s">
        <v>111</v>
      </c>
      <c r="V2973" t="s">
        <v>11189</v>
      </c>
      <c r="W2973" t="s">
        <v>43</v>
      </c>
      <c r="X2973" t="s">
        <v>11034</v>
      </c>
      <c r="Y2973" t="s">
        <v>44</v>
      </c>
      <c r="Z2973" t="s">
        <v>44</v>
      </c>
      <c r="AA2973" t="s">
        <v>10979</v>
      </c>
      <c r="AB2973" t="s">
        <v>44</v>
      </c>
      <c r="AC2973" s="4">
        <v>6.5793283799999998</v>
      </c>
      <c r="AD2973" s="4">
        <v>6.3888862499999997</v>
      </c>
      <c r="AE2973" s="2">
        <v>6.58</v>
      </c>
      <c r="AF2973" s="4">
        <v>6.3888862499999997</v>
      </c>
      <c r="AG2973" s="2">
        <v>1</v>
      </c>
      <c r="AH2973" s="2">
        <v>1003199.25</v>
      </c>
      <c r="AI2973" s="2">
        <v>0</v>
      </c>
      <c r="AJ2973" s="5">
        <v>44673</v>
      </c>
      <c r="AK2973" t="s">
        <v>12614</v>
      </c>
      <c r="AL2973" s="2">
        <v>6.47</v>
      </c>
      <c r="AM2973" s="2">
        <v>5.87</v>
      </c>
      <c r="AN2973" s="2">
        <v>0.02</v>
      </c>
      <c r="AO2973" t="s">
        <v>11824</v>
      </c>
      <c r="AP2973" t="s">
        <v>11825</v>
      </c>
      <c r="AQ2973" t="s">
        <v>11823</v>
      </c>
    </row>
    <row r="2974" spans="1:43" x14ac:dyDescent="0.2">
      <c r="A2974" t="s">
        <v>12613</v>
      </c>
      <c r="B2974" t="s">
        <v>10900</v>
      </c>
      <c r="C2974" t="s">
        <v>11033</v>
      </c>
      <c r="D2974" t="s">
        <v>11826</v>
      </c>
      <c r="E2974" t="s">
        <v>11827</v>
      </c>
      <c r="F2974" t="s">
        <v>11826</v>
      </c>
      <c r="G2974" s="1">
        <v>2000000</v>
      </c>
      <c r="H2974" s="2">
        <v>2000000</v>
      </c>
      <c r="I2974" s="2">
        <v>1986536.22</v>
      </c>
      <c r="J2974" s="2">
        <v>11721.21</v>
      </c>
      <c r="K2974" s="2">
        <v>0</v>
      </c>
      <c r="L2974" s="2">
        <v>1998257.43</v>
      </c>
      <c r="M2974" s="3">
        <v>6.1816829999999996</v>
      </c>
      <c r="N2974" s="4">
        <v>4.5462499999999999E-3</v>
      </c>
      <c r="O2974" s="5">
        <v>44732</v>
      </c>
      <c r="P2974" s="5">
        <v>45644</v>
      </c>
      <c r="Q2974" s="1">
        <v>5.9420000000000002</v>
      </c>
      <c r="R2974" s="2">
        <v>0.15</v>
      </c>
      <c r="S2974" s="6">
        <v>0.106811678077</v>
      </c>
      <c r="T2974" t="s">
        <v>111</v>
      </c>
      <c r="U2974" t="s">
        <v>111</v>
      </c>
      <c r="V2974" t="s">
        <v>11189</v>
      </c>
      <c r="W2974" t="s">
        <v>43</v>
      </c>
      <c r="X2974" t="s">
        <v>11034</v>
      </c>
      <c r="Y2974" t="s">
        <v>44</v>
      </c>
      <c r="Z2974" t="s">
        <v>44</v>
      </c>
      <c r="AA2974" t="s">
        <v>10979</v>
      </c>
      <c r="AB2974" t="s">
        <v>44</v>
      </c>
      <c r="AC2974" s="4">
        <v>6.2772158899999999</v>
      </c>
      <c r="AD2974" s="4">
        <v>6.10354361</v>
      </c>
      <c r="AE2974" s="2">
        <v>6.28</v>
      </c>
      <c r="AF2974" s="4">
        <v>6.10354361</v>
      </c>
      <c r="AG2974" s="2">
        <v>1.99</v>
      </c>
      <c r="AH2974" s="2">
        <v>1998257.43</v>
      </c>
      <c r="AI2974" s="2">
        <v>0</v>
      </c>
      <c r="AJ2974" s="5">
        <v>44673</v>
      </c>
      <c r="AK2974" t="s">
        <v>12614</v>
      </c>
      <c r="AL2974" s="2">
        <v>6.18</v>
      </c>
      <c r="AM2974" s="2">
        <v>5.94</v>
      </c>
      <c r="AN2974" s="2">
        <v>0.11</v>
      </c>
      <c r="AO2974" t="s">
        <v>11824</v>
      </c>
      <c r="AP2974" t="s">
        <v>11828</v>
      </c>
      <c r="AQ2974" t="s">
        <v>11827</v>
      </c>
    </row>
    <row r="2975" spans="1:43" x14ac:dyDescent="0.2">
      <c r="A2975" t="s">
        <v>12613</v>
      </c>
      <c r="B2975" t="s">
        <v>10900</v>
      </c>
      <c r="C2975" t="s">
        <v>11033</v>
      </c>
      <c r="D2975" t="s">
        <v>12982</v>
      </c>
      <c r="E2975" t="s">
        <v>12983</v>
      </c>
      <c r="F2975" t="s">
        <v>12982</v>
      </c>
      <c r="G2975" s="1">
        <v>1100000</v>
      </c>
      <c r="H2975" s="2">
        <v>1100000</v>
      </c>
      <c r="I2975" s="2">
        <v>1146580.3600000001</v>
      </c>
      <c r="J2975" s="2">
        <v>14115.23</v>
      </c>
      <c r="K2975" s="2">
        <v>0</v>
      </c>
      <c r="L2975" s="2">
        <v>1160695.5900000001</v>
      </c>
      <c r="M2975" s="3">
        <v>6.0747210000000003</v>
      </c>
      <c r="N2975" s="4">
        <v>2.6407100000000001E-3</v>
      </c>
      <c r="O2975" s="5">
        <v>44706</v>
      </c>
      <c r="P2975" s="5">
        <v>45439</v>
      </c>
      <c r="Q2975" s="1">
        <v>8.2170000000000005</v>
      </c>
      <c r="R2975" s="2">
        <v>0.08</v>
      </c>
      <c r="S2975" s="6">
        <v>9.4979191527000004E-2</v>
      </c>
      <c r="T2975" t="s">
        <v>111</v>
      </c>
      <c r="U2975" t="s">
        <v>111</v>
      </c>
      <c r="V2975" t="s">
        <v>11189</v>
      </c>
      <c r="W2975" t="s">
        <v>43</v>
      </c>
      <c r="X2975" t="s">
        <v>11034</v>
      </c>
      <c r="Y2975" t="s">
        <v>44</v>
      </c>
      <c r="Z2975" t="s">
        <v>44</v>
      </c>
      <c r="AA2975" t="s">
        <v>44</v>
      </c>
      <c r="AB2975" t="s">
        <v>44</v>
      </c>
      <c r="AC2975" s="4">
        <v>6.1669761000000003</v>
      </c>
      <c r="AD2975" s="4">
        <v>5.9992378899999999</v>
      </c>
      <c r="AE2975" s="2">
        <v>6.17</v>
      </c>
      <c r="AF2975" s="4">
        <v>5.9992378899999999</v>
      </c>
      <c r="AG2975" s="2">
        <v>1.1599999999999999</v>
      </c>
      <c r="AH2975" s="2">
        <v>1160695.5900000001</v>
      </c>
      <c r="AI2975" s="2">
        <v>0</v>
      </c>
      <c r="AJ2975" s="5">
        <v>44673</v>
      </c>
      <c r="AK2975" t="s">
        <v>12614</v>
      </c>
      <c r="AL2975" s="2">
        <v>6.07</v>
      </c>
      <c r="AM2975" s="2">
        <v>8.2200000000000006</v>
      </c>
      <c r="AN2975" s="2">
        <v>0.09</v>
      </c>
      <c r="AO2975" t="s">
        <v>12984</v>
      </c>
      <c r="AP2975" t="s">
        <v>12985</v>
      </c>
      <c r="AQ2975" t="s">
        <v>12983</v>
      </c>
    </row>
    <row r="2976" spans="1:43" x14ac:dyDescent="0.2">
      <c r="A2976" t="s">
        <v>12613</v>
      </c>
      <c r="B2976" t="s">
        <v>10900</v>
      </c>
      <c r="C2976" t="s">
        <v>11033</v>
      </c>
      <c r="D2976" t="s">
        <v>11843</v>
      </c>
      <c r="E2976" t="s">
        <v>11844</v>
      </c>
      <c r="F2976" t="s">
        <v>11843</v>
      </c>
      <c r="G2976" s="1">
        <v>3000000</v>
      </c>
      <c r="H2976" s="2">
        <v>3000000</v>
      </c>
      <c r="I2976" s="2">
        <v>2986465.88</v>
      </c>
      <c r="J2976" s="2">
        <v>2230.0300000000002</v>
      </c>
      <c r="K2976" s="2">
        <v>0</v>
      </c>
      <c r="L2976" s="2">
        <v>2988695.91</v>
      </c>
      <c r="M2976" s="3">
        <v>6.9820180000000001</v>
      </c>
      <c r="N2976" s="4">
        <v>6.7996000000000003E-3</v>
      </c>
      <c r="O2976" s="5">
        <v>44760</v>
      </c>
      <c r="P2976" s="5">
        <v>45398</v>
      </c>
      <c r="Q2976" s="1">
        <v>6.7830000000000004</v>
      </c>
      <c r="R2976" s="2">
        <v>0.23</v>
      </c>
      <c r="S2976" s="6">
        <v>0.182016060841</v>
      </c>
      <c r="T2976" t="s">
        <v>111</v>
      </c>
      <c r="U2976" t="s">
        <v>111</v>
      </c>
      <c r="V2976" t="s">
        <v>11189</v>
      </c>
      <c r="W2976" t="s">
        <v>43</v>
      </c>
      <c r="X2976" t="s">
        <v>11034</v>
      </c>
      <c r="Y2976" t="s">
        <v>44</v>
      </c>
      <c r="Z2976" t="s">
        <v>44</v>
      </c>
      <c r="AA2976" t="s">
        <v>10979</v>
      </c>
      <c r="AB2976" t="s">
        <v>44</v>
      </c>
      <c r="AC2976" s="4">
        <v>7.1038890300000004</v>
      </c>
      <c r="AD2976" s="4">
        <v>6.8825725699999998</v>
      </c>
      <c r="AE2976" s="2">
        <v>7.1</v>
      </c>
      <c r="AF2976" s="4">
        <v>6.8825725699999998</v>
      </c>
      <c r="AG2976" s="2">
        <v>2.98</v>
      </c>
      <c r="AH2976" s="2">
        <v>2988695.91</v>
      </c>
      <c r="AI2976" s="2">
        <v>0.01</v>
      </c>
      <c r="AJ2976" s="5">
        <v>44673</v>
      </c>
      <c r="AK2976" t="s">
        <v>12614</v>
      </c>
      <c r="AL2976" s="2">
        <v>6.98</v>
      </c>
      <c r="AM2976" s="2">
        <v>6.78</v>
      </c>
      <c r="AN2976" s="2">
        <v>0.18</v>
      </c>
      <c r="AO2976" t="s">
        <v>11179</v>
      </c>
      <c r="AP2976" t="s">
        <v>11845</v>
      </c>
      <c r="AQ2976" t="s">
        <v>11844</v>
      </c>
    </row>
    <row r="2977" spans="1:43" x14ac:dyDescent="0.2">
      <c r="A2977" t="s">
        <v>12613</v>
      </c>
      <c r="B2977" t="s">
        <v>10900</v>
      </c>
      <c r="C2977" t="s">
        <v>10943</v>
      </c>
      <c r="D2977" t="s">
        <v>11555</v>
      </c>
      <c r="E2977" t="s">
        <v>11556</v>
      </c>
      <c r="F2977" t="s">
        <v>11555</v>
      </c>
      <c r="G2977" s="1">
        <v>1100000</v>
      </c>
      <c r="H2977" s="2">
        <v>1100000</v>
      </c>
      <c r="I2977" s="2">
        <v>1078955.8999999999</v>
      </c>
      <c r="J2977" s="2">
        <v>22699.18</v>
      </c>
      <c r="K2977" s="2">
        <v>0</v>
      </c>
      <c r="L2977" s="2">
        <v>1101655.08</v>
      </c>
      <c r="M2977" s="3">
        <v>9.9250000000000007</v>
      </c>
      <c r="N2977" s="4">
        <v>2.5063799999999999E-3</v>
      </c>
      <c r="O2977" s="5">
        <v>44775</v>
      </c>
      <c r="P2977" s="5">
        <v>46420</v>
      </c>
      <c r="Q2977" s="1">
        <v>9.4149999999999991</v>
      </c>
      <c r="R2977" s="2">
        <v>3.86</v>
      </c>
      <c r="S2977" s="6">
        <v>3.6810259830000001</v>
      </c>
      <c r="T2977" t="s">
        <v>111</v>
      </c>
      <c r="U2977" t="s">
        <v>111</v>
      </c>
      <c r="V2977" t="s">
        <v>10944</v>
      </c>
      <c r="W2977" t="s">
        <v>43</v>
      </c>
      <c r="X2977" t="s">
        <v>44</v>
      </c>
      <c r="Y2977" t="s">
        <v>44</v>
      </c>
      <c r="Z2977" t="s">
        <v>44</v>
      </c>
      <c r="AA2977" t="s">
        <v>10979</v>
      </c>
      <c r="AB2977" t="s">
        <v>44</v>
      </c>
      <c r="AC2977" s="4">
        <v>10.17126406</v>
      </c>
      <c r="AD2977" s="4">
        <v>9.72579277</v>
      </c>
      <c r="AE2977" s="2">
        <v>10.17</v>
      </c>
      <c r="AF2977" s="4">
        <v>9.72579277</v>
      </c>
      <c r="AG2977" s="2">
        <v>1.1000000000000001</v>
      </c>
      <c r="AH2977" s="2">
        <v>1101655.08</v>
      </c>
      <c r="AI2977" s="2">
        <v>0</v>
      </c>
      <c r="AJ2977" s="5">
        <v>44673</v>
      </c>
      <c r="AK2977" t="s">
        <v>12614</v>
      </c>
      <c r="AL2977" s="2">
        <v>9.93</v>
      </c>
      <c r="AM2977" s="2">
        <v>9.41</v>
      </c>
      <c r="AN2977" s="2">
        <v>3.68</v>
      </c>
      <c r="AO2977" t="s">
        <v>11048</v>
      </c>
      <c r="AP2977" t="s">
        <v>11557</v>
      </c>
      <c r="AQ2977" t="s">
        <v>11556</v>
      </c>
    </row>
    <row r="2978" spans="1:43" x14ac:dyDescent="0.2">
      <c r="A2978" t="s">
        <v>12613</v>
      </c>
      <c r="B2978" t="s">
        <v>10900</v>
      </c>
      <c r="C2978" t="s">
        <v>10943</v>
      </c>
      <c r="D2978" t="s">
        <v>11846</v>
      </c>
      <c r="E2978" t="s">
        <v>11847</v>
      </c>
      <c r="F2978" t="s">
        <v>11846</v>
      </c>
      <c r="G2978" s="1">
        <v>311000</v>
      </c>
      <c r="H2978" s="2">
        <v>325565.8</v>
      </c>
      <c r="I2978" s="2">
        <v>326643.21000000002</v>
      </c>
      <c r="J2978" s="2">
        <v>12242.24</v>
      </c>
      <c r="K2978" s="2">
        <v>0</v>
      </c>
      <c r="L2978" s="2">
        <v>338885.45</v>
      </c>
      <c r="M2978" s="3">
        <v>8.7050000000000001</v>
      </c>
      <c r="N2978" s="4">
        <v>7.7099999999999998E-4</v>
      </c>
      <c r="O2978" s="5">
        <v>44715</v>
      </c>
      <c r="P2978" s="5">
        <v>46176</v>
      </c>
      <c r="Q2978" s="1">
        <v>10.19</v>
      </c>
      <c r="R2978" s="2">
        <v>3.35</v>
      </c>
      <c r="S2978" s="6">
        <v>3.210117125</v>
      </c>
      <c r="T2978" t="s">
        <v>111</v>
      </c>
      <c r="U2978" t="s">
        <v>111</v>
      </c>
      <c r="V2978" t="s">
        <v>10944</v>
      </c>
      <c r="W2978" t="s">
        <v>43</v>
      </c>
      <c r="X2978" t="s">
        <v>44</v>
      </c>
      <c r="Y2978" t="s">
        <v>44</v>
      </c>
      <c r="Z2978" t="s">
        <v>44</v>
      </c>
      <c r="AA2978" t="s">
        <v>10979</v>
      </c>
      <c r="AB2978" t="s">
        <v>44</v>
      </c>
      <c r="AC2978" s="4">
        <v>8.8944425599999999</v>
      </c>
      <c r="AD2978" s="4">
        <v>8.5512049999999995</v>
      </c>
      <c r="AE2978" s="2">
        <v>8.89</v>
      </c>
      <c r="AF2978" s="4">
        <v>8.5512049999999995</v>
      </c>
      <c r="AG2978" s="2">
        <v>0.34</v>
      </c>
      <c r="AH2978" s="2">
        <v>338885.45</v>
      </c>
      <c r="AI2978" s="2">
        <v>0</v>
      </c>
      <c r="AJ2978" s="5">
        <v>44673</v>
      </c>
      <c r="AK2978" t="s">
        <v>12614</v>
      </c>
      <c r="AL2978" s="2">
        <v>8.7100000000000009</v>
      </c>
      <c r="AM2978" s="2">
        <v>10.19</v>
      </c>
      <c r="AN2978" s="2">
        <v>3.21</v>
      </c>
      <c r="AO2978" t="s">
        <v>11054</v>
      </c>
      <c r="AP2978" t="s">
        <v>11848</v>
      </c>
      <c r="AQ2978" t="s">
        <v>11847</v>
      </c>
    </row>
    <row r="2979" spans="1:43" x14ac:dyDescent="0.2">
      <c r="A2979" t="s">
        <v>12613</v>
      </c>
      <c r="B2979" t="s">
        <v>10900</v>
      </c>
      <c r="C2979" t="s">
        <v>10943</v>
      </c>
      <c r="D2979" t="s">
        <v>11849</v>
      </c>
      <c r="E2979" t="s">
        <v>11850</v>
      </c>
      <c r="F2979" t="s">
        <v>11849</v>
      </c>
      <c r="G2979" s="1">
        <v>203000</v>
      </c>
      <c r="H2979" s="2">
        <v>217283.18</v>
      </c>
      <c r="I2979" s="2">
        <v>211442.26</v>
      </c>
      <c r="J2979" s="2">
        <v>1162.3800000000001</v>
      </c>
      <c r="K2979" s="2">
        <v>0</v>
      </c>
      <c r="L2979" s="2">
        <v>212604.64</v>
      </c>
      <c r="M2979" s="3">
        <v>8.3550000000000004</v>
      </c>
      <c r="N2979" s="4">
        <v>4.8369999999999999E-4</v>
      </c>
      <c r="O2979" s="5">
        <v>44837</v>
      </c>
      <c r="P2979" s="5">
        <v>46296</v>
      </c>
      <c r="Q2979" s="1">
        <v>9.5</v>
      </c>
      <c r="R2979" s="2">
        <v>3.72</v>
      </c>
      <c r="S2979" s="6">
        <v>3.5673572199999999</v>
      </c>
      <c r="T2979" t="s">
        <v>111</v>
      </c>
      <c r="U2979" t="s">
        <v>111</v>
      </c>
      <c r="V2979" t="s">
        <v>10944</v>
      </c>
      <c r="W2979" t="s">
        <v>43</v>
      </c>
      <c r="X2979" t="s">
        <v>10988</v>
      </c>
      <c r="Y2979" t="s">
        <v>44</v>
      </c>
      <c r="Z2979" t="s">
        <v>44</v>
      </c>
      <c r="AA2979" t="s">
        <v>10979</v>
      </c>
      <c r="AB2979" t="s">
        <v>44</v>
      </c>
      <c r="AC2979" s="4">
        <v>8.5295150599999996</v>
      </c>
      <c r="AD2979" s="4">
        <v>8.2131770100000008</v>
      </c>
      <c r="AE2979" s="2">
        <v>8.5299999999999994</v>
      </c>
      <c r="AF2979" s="4">
        <v>8.2131770100000008</v>
      </c>
      <c r="AG2979" s="2">
        <v>0.21</v>
      </c>
      <c r="AH2979" s="2">
        <v>212604.64</v>
      </c>
      <c r="AI2979" s="2">
        <v>0</v>
      </c>
      <c r="AJ2979" s="5">
        <v>44673</v>
      </c>
      <c r="AK2979" t="s">
        <v>12614</v>
      </c>
      <c r="AL2979" s="2">
        <v>8.35</v>
      </c>
      <c r="AM2979" s="2">
        <v>9.5</v>
      </c>
      <c r="AN2979" s="2">
        <v>3.57</v>
      </c>
      <c r="AO2979" t="s">
        <v>11054</v>
      </c>
      <c r="AP2979" t="s">
        <v>11851</v>
      </c>
      <c r="AQ2979" t="s">
        <v>11850</v>
      </c>
    </row>
    <row r="2980" spans="1:43" x14ac:dyDescent="0.2">
      <c r="A2980" t="s">
        <v>12613</v>
      </c>
      <c r="B2980" t="s">
        <v>10900</v>
      </c>
      <c r="C2980" t="s">
        <v>10943</v>
      </c>
      <c r="D2980" t="s">
        <v>11558</v>
      </c>
      <c r="E2980" t="s">
        <v>11559</v>
      </c>
      <c r="F2980" t="s">
        <v>11558</v>
      </c>
      <c r="G2980" s="1">
        <v>1100000</v>
      </c>
      <c r="H2980" s="2">
        <v>1100000</v>
      </c>
      <c r="I2980" s="2">
        <v>1082843.6299999999</v>
      </c>
      <c r="J2980" s="2">
        <v>983.07</v>
      </c>
      <c r="K2980" s="2">
        <v>0</v>
      </c>
      <c r="L2980" s="2">
        <v>1083826.7</v>
      </c>
      <c r="M2980" s="3">
        <v>8.625</v>
      </c>
      <c r="N2980" s="4">
        <v>2.4658200000000001E-3</v>
      </c>
      <c r="O2980" s="5">
        <v>44853</v>
      </c>
      <c r="P2980" s="5">
        <v>46131</v>
      </c>
      <c r="Q2980" s="1">
        <v>8.1549999999999994</v>
      </c>
      <c r="R2980" s="2">
        <v>3.47</v>
      </c>
      <c r="S2980" s="6">
        <v>3.327828963</v>
      </c>
      <c r="T2980" t="s">
        <v>111</v>
      </c>
      <c r="U2980" t="s">
        <v>111</v>
      </c>
      <c r="V2980" t="s">
        <v>10944</v>
      </c>
      <c r="W2980" t="s">
        <v>43</v>
      </c>
      <c r="X2980" t="s">
        <v>44</v>
      </c>
      <c r="Y2980" t="s">
        <v>44</v>
      </c>
      <c r="Z2980" t="s">
        <v>44</v>
      </c>
      <c r="AA2980" t="s">
        <v>10979</v>
      </c>
      <c r="AB2980" t="s">
        <v>44</v>
      </c>
      <c r="AC2980" s="4">
        <v>8.8109765600000003</v>
      </c>
      <c r="AD2980" s="4">
        <v>8.4739831300000006</v>
      </c>
      <c r="AE2980" s="2">
        <v>8.81</v>
      </c>
      <c r="AF2980" s="4">
        <v>8.4739831300000006</v>
      </c>
      <c r="AG2980" s="2">
        <v>1.08</v>
      </c>
      <c r="AH2980" s="2">
        <v>1083826.7</v>
      </c>
      <c r="AI2980" s="2">
        <v>0</v>
      </c>
      <c r="AJ2980" s="5">
        <v>44673</v>
      </c>
      <c r="AK2980" t="s">
        <v>12614</v>
      </c>
      <c r="AL2980" s="2">
        <v>8.6300000000000008</v>
      </c>
      <c r="AM2980" s="2">
        <v>8.15</v>
      </c>
      <c r="AN2980" s="2">
        <v>3.33</v>
      </c>
      <c r="AO2980" t="s">
        <v>11054</v>
      </c>
      <c r="AP2980" t="s">
        <v>11560</v>
      </c>
      <c r="AQ2980" t="s">
        <v>11559</v>
      </c>
    </row>
    <row r="2981" spans="1:43" x14ac:dyDescent="0.2">
      <c r="A2981" t="s">
        <v>12613</v>
      </c>
      <c r="B2981" t="s">
        <v>10900</v>
      </c>
      <c r="C2981" t="s">
        <v>10943</v>
      </c>
      <c r="D2981" t="s">
        <v>11569</v>
      </c>
      <c r="E2981" t="s">
        <v>11570</v>
      </c>
      <c r="F2981" t="s">
        <v>11569</v>
      </c>
      <c r="G2981" s="1">
        <v>1200000</v>
      </c>
      <c r="H2981" s="2">
        <v>1200000</v>
      </c>
      <c r="I2981" s="2">
        <v>1206484.71</v>
      </c>
      <c r="J2981" s="2">
        <v>16431.32</v>
      </c>
      <c r="K2981" s="2">
        <v>0</v>
      </c>
      <c r="L2981" s="2">
        <v>1222916.03</v>
      </c>
      <c r="M2981" s="3">
        <v>8.5241640000000007</v>
      </c>
      <c r="N2981" s="4">
        <v>2.7822699999999999E-3</v>
      </c>
      <c r="O2981" s="5">
        <v>44705</v>
      </c>
      <c r="P2981" s="5">
        <v>46166</v>
      </c>
      <c r="Q2981" s="1">
        <v>8.6170000000000009</v>
      </c>
      <c r="R2981" s="2">
        <v>0.08</v>
      </c>
      <c r="S2981" s="6">
        <v>-9.3404076700000001E-3</v>
      </c>
      <c r="T2981" t="s">
        <v>111</v>
      </c>
      <c r="U2981" t="s">
        <v>111</v>
      </c>
      <c r="V2981" t="s">
        <v>11189</v>
      </c>
      <c r="W2981" t="s">
        <v>43</v>
      </c>
      <c r="X2981" t="s">
        <v>11034</v>
      </c>
      <c r="Y2981" t="s">
        <v>44</v>
      </c>
      <c r="Z2981" t="s">
        <v>44</v>
      </c>
      <c r="AA2981" t="s">
        <v>11035</v>
      </c>
      <c r="AB2981" t="s">
        <v>44</v>
      </c>
      <c r="AC2981" s="4">
        <v>8.7058170199999996</v>
      </c>
      <c r="AD2981" s="4">
        <v>8.3766132899999999</v>
      </c>
      <c r="AE2981" s="2">
        <v>8.7100000000000009</v>
      </c>
      <c r="AF2981" s="4">
        <v>8.3766132899999999</v>
      </c>
      <c r="AG2981" s="2">
        <v>1.22</v>
      </c>
      <c r="AH2981" s="2">
        <v>1222916.03</v>
      </c>
      <c r="AI2981" s="2">
        <v>0</v>
      </c>
      <c r="AJ2981" s="5">
        <v>44673</v>
      </c>
      <c r="AK2981" t="s">
        <v>12614</v>
      </c>
      <c r="AL2981" s="2">
        <v>8.52</v>
      </c>
      <c r="AM2981" s="2">
        <v>8.6199999999999992</v>
      </c>
      <c r="AN2981" s="2">
        <v>-0.01</v>
      </c>
      <c r="AO2981" t="s">
        <v>11226</v>
      </c>
      <c r="AP2981" t="s">
        <v>11571</v>
      </c>
      <c r="AQ2981" t="s">
        <v>11570</v>
      </c>
    </row>
    <row r="2982" spans="1:43" x14ac:dyDescent="0.2">
      <c r="A2982" t="s">
        <v>12613</v>
      </c>
      <c r="B2982" t="s">
        <v>10900</v>
      </c>
      <c r="C2982" t="s">
        <v>10943</v>
      </c>
      <c r="D2982" t="s">
        <v>11575</v>
      </c>
      <c r="E2982" t="s">
        <v>11576</v>
      </c>
      <c r="F2982" t="s">
        <v>11575</v>
      </c>
      <c r="G2982" s="1">
        <v>700000</v>
      </c>
      <c r="H2982" s="2">
        <v>700000</v>
      </c>
      <c r="I2982" s="2">
        <v>682433.08</v>
      </c>
      <c r="J2982" s="2">
        <v>13005.42</v>
      </c>
      <c r="K2982" s="2">
        <v>0</v>
      </c>
      <c r="L2982" s="2">
        <v>695438.5</v>
      </c>
      <c r="M2982" s="3">
        <v>9.07</v>
      </c>
      <c r="N2982" s="4">
        <v>1.5822E-3</v>
      </c>
      <c r="O2982" s="5">
        <v>44771</v>
      </c>
      <c r="P2982" s="5">
        <v>46051</v>
      </c>
      <c r="Q2982" s="1">
        <v>8.27</v>
      </c>
      <c r="R2982" s="2">
        <v>3.24</v>
      </c>
      <c r="S2982" s="6">
        <v>3.0998465770000001</v>
      </c>
      <c r="T2982" t="s">
        <v>111</v>
      </c>
      <c r="U2982" t="s">
        <v>111</v>
      </c>
      <c r="V2982" t="s">
        <v>10944</v>
      </c>
      <c r="W2982" t="s">
        <v>43</v>
      </c>
      <c r="X2982" t="s">
        <v>44</v>
      </c>
      <c r="Y2982" t="s">
        <v>44</v>
      </c>
      <c r="Z2982" t="s">
        <v>44</v>
      </c>
      <c r="AA2982" t="s">
        <v>11035</v>
      </c>
      <c r="AB2982" t="s">
        <v>44</v>
      </c>
      <c r="AC2982" s="4">
        <v>9.2756622499999999</v>
      </c>
      <c r="AD2982" s="4">
        <v>8.9032170799999992</v>
      </c>
      <c r="AE2982" s="2">
        <v>9.2799999999999994</v>
      </c>
      <c r="AF2982" s="4">
        <v>8.9032170799999992</v>
      </c>
      <c r="AG2982" s="2">
        <v>0.69</v>
      </c>
      <c r="AH2982" s="2">
        <v>695438.5</v>
      </c>
      <c r="AI2982" s="2">
        <v>0</v>
      </c>
      <c r="AJ2982" s="5">
        <v>44673</v>
      </c>
      <c r="AK2982" t="s">
        <v>12614</v>
      </c>
      <c r="AL2982" s="2">
        <v>9.07</v>
      </c>
      <c r="AM2982" s="2">
        <v>8.27</v>
      </c>
      <c r="AN2982" s="2">
        <v>3.1</v>
      </c>
      <c r="AO2982" t="s">
        <v>11437</v>
      </c>
      <c r="AP2982" t="s">
        <v>11577</v>
      </c>
      <c r="AQ2982" t="s">
        <v>11576</v>
      </c>
    </row>
    <row r="2983" spans="1:43" x14ac:dyDescent="0.2">
      <c r="A2983" t="s">
        <v>12613</v>
      </c>
      <c r="B2983" t="s">
        <v>10900</v>
      </c>
      <c r="C2983" t="s">
        <v>10943</v>
      </c>
      <c r="D2983" t="s">
        <v>11578</v>
      </c>
      <c r="E2983" t="s">
        <v>11579</v>
      </c>
      <c r="F2983" t="s">
        <v>11578</v>
      </c>
      <c r="G2983" s="1">
        <v>500000</v>
      </c>
      <c r="H2983" s="2">
        <v>500000</v>
      </c>
      <c r="I2983" s="2">
        <v>466751.3</v>
      </c>
      <c r="J2983" s="2">
        <v>4161.53</v>
      </c>
      <c r="K2983" s="2">
        <v>0</v>
      </c>
      <c r="L2983" s="2">
        <v>470912.83</v>
      </c>
      <c r="M2983" s="3">
        <v>9.375</v>
      </c>
      <c r="N2983" s="4">
        <v>1.07138E-3</v>
      </c>
      <c r="O2983" s="5">
        <v>44819</v>
      </c>
      <c r="P2983" s="5">
        <v>46827</v>
      </c>
      <c r="Q2983" s="1">
        <v>7.8849999999999998</v>
      </c>
      <c r="R2983" s="2">
        <v>4.74</v>
      </c>
      <c r="S2983" s="6">
        <v>4.5243735450000004</v>
      </c>
      <c r="T2983" t="s">
        <v>111</v>
      </c>
      <c r="U2983" t="s">
        <v>111</v>
      </c>
      <c r="V2983" t="s">
        <v>10944</v>
      </c>
      <c r="W2983" t="s">
        <v>43</v>
      </c>
      <c r="X2983" t="s">
        <v>44</v>
      </c>
      <c r="Y2983" t="s">
        <v>44</v>
      </c>
      <c r="Z2983" t="s">
        <v>44</v>
      </c>
      <c r="AA2983" t="s">
        <v>11441</v>
      </c>
      <c r="AB2983" t="s">
        <v>44</v>
      </c>
      <c r="AC2983" s="4">
        <v>9.5947265599999998</v>
      </c>
      <c r="AD2983" s="4">
        <v>9.1969716100000003</v>
      </c>
      <c r="AE2983" s="2">
        <v>9.59</v>
      </c>
      <c r="AF2983" s="4">
        <v>9.1969716100000003</v>
      </c>
      <c r="AG2983" s="2">
        <v>0.47</v>
      </c>
      <c r="AH2983" s="2">
        <v>470912.83</v>
      </c>
      <c r="AI2983" s="2">
        <v>0</v>
      </c>
      <c r="AJ2983" s="5">
        <v>44673</v>
      </c>
      <c r="AK2983" t="s">
        <v>12614</v>
      </c>
      <c r="AL2983" s="2">
        <v>9.3800000000000008</v>
      </c>
      <c r="AM2983" s="2">
        <v>7.88</v>
      </c>
      <c r="AN2983" s="2">
        <v>4.5199999999999996</v>
      </c>
      <c r="AO2983" t="s">
        <v>11580</v>
      </c>
      <c r="AP2983" t="s">
        <v>11581</v>
      </c>
      <c r="AQ2983" t="s">
        <v>11579</v>
      </c>
    </row>
    <row r="2984" spans="1:43" x14ac:dyDescent="0.2">
      <c r="A2984" t="s">
        <v>12613</v>
      </c>
      <c r="B2984" t="s">
        <v>10900</v>
      </c>
      <c r="C2984" t="s">
        <v>10943</v>
      </c>
      <c r="D2984" t="s">
        <v>11962</v>
      </c>
      <c r="E2984" t="s">
        <v>11963</v>
      </c>
      <c r="F2984" t="s">
        <v>11962</v>
      </c>
      <c r="G2984" s="1">
        <v>100000</v>
      </c>
      <c r="H2984" s="2">
        <v>100000</v>
      </c>
      <c r="I2984" s="2">
        <v>102498.52</v>
      </c>
      <c r="J2984" s="2">
        <v>1871.51</v>
      </c>
      <c r="K2984" s="2">
        <v>0</v>
      </c>
      <c r="L2984" s="2">
        <v>104370.03</v>
      </c>
      <c r="M2984" s="3">
        <v>8.2411139999999996</v>
      </c>
      <c r="N2984" s="4">
        <v>2.3745E-4</v>
      </c>
      <c r="O2984" s="5">
        <v>44686</v>
      </c>
      <c r="P2984" s="5">
        <v>45874</v>
      </c>
      <c r="Q2984" s="1">
        <v>9.1080000000000005</v>
      </c>
      <c r="R2984" s="2">
        <v>0.03</v>
      </c>
      <c r="S2984" s="6">
        <v>-1.210173591E-2</v>
      </c>
      <c r="T2984" t="s">
        <v>111</v>
      </c>
      <c r="U2984" t="s">
        <v>111</v>
      </c>
      <c r="V2984" t="s">
        <v>11189</v>
      </c>
      <c r="W2984" t="s">
        <v>43</v>
      </c>
      <c r="X2984" t="s">
        <v>11034</v>
      </c>
      <c r="Y2984" t="s">
        <v>44</v>
      </c>
      <c r="Z2984" t="s">
        <v>44</v>
      </c>
      <c r="AA2984" t="s">
        <v>11035</v>
      </c>
      <c r="AB2984" t="s">
        <v>44</v>
      </c>
      <c r="AC2984" s="4">
        <v>8.4109039299999999</v>
      </c>
      <c r="AD2984" s="4">
        <v>8.1030845599999992</v>
      </c>
      <c r="AE2984" s="2">
        <v>8.41</v>
      </c>
      <c r="AF2984" s="4">
        <v>8.1030845599999992</v>
      </c>
      <c r="AG2984" s="2">
        <v>0.1</v>
      </c>
      <c r="AH2984" s="2">
        <v>104370.03</v>
      </c>
      <c r="AI2984" s="2">
        <v>0</v>
      </c>
      <c r="AJ2984" s="5">
        <v>44673</v>
      </c>
      <c r="AK2984" t="s">
        <v>12614</v>
      </c>
      <c r="AL2984" s="2">
        <v>8.24</v>
      </c>
      <c r="AM2984" s="2">
        <v>9.11</v>
      </c>
      <c r="AN2984" s="2">
        <v>-0.01</v>
      </c>
      <c r="AO2984" t="s">
        <v>11036</v>
      </c>
      <c r="AP2984" t="s">
        <v>11964</v>
      </c>
      <c r="AQ2984" t="s">
        <v>11963</v>
      </c>
    </row>
    <row r="2985" spans="1:43" x14ac:dyDescent="0.2">
      <c r="A2985" t="s">
        <v>12613</v>
      </c>
      <c r="B2985" t="s">
        <v>10900</v>
      </c>
      <c r="C2985" t="s">
        <v>10943</v>
      </c>
      <c r="D2985" t="s">
        <v>11585</v>
      </c>
      <c r="E2985" t="s">
        <v>11586</v>
      </c>
      <c r="F2985" t="s">
        <v>11585</v>
      </c>
      <c r="G2985" s="1">
        <v>2100000</v>
      </c>
      <c r="H2985" s="2">
        <v>2100000</v>
      </c>
      <c r="I2985" s="2">
        <v>2186146.0699999998</v>
      </c>
      <c r="J2985" s="2">
        <v>23607.45</v>
      </c>
      <c r="K2985" s="2">
        <v>0</v>
      </c>
      <c r="L2985" s="2">
        <v>2209753.52</v>
      </c>
      <c r="M2985" s="3">
        <v>7.7660200000000001</v>
      </c>
      <c r="N2985" s="4">
        <v>5.0274300000000003E-3</v>
      </c>
      <c r="O2985" s="5">
        <v>44720</v>
      </c>
      <c r="P2985" s="5">
        <v>46273</v>
      </c>
      <c r="Q2985" s="1">
        <v>8.92</v>
      </c>
      <c r="R2985" s="2">
        <v>0.12</v>
      </c>
      <c r="S2985" s="6">
        <v>0.10556959685300001</v>
      </c>
      <c r="T2985" t="s">
        <v>111</v>
      </c>
      <c r="U2985" t="s">
        <v>111</v>
      </c>
      <c r="V2985" t="s">
        <v>11189</v>
      </c>
      <c r="W2985" t="s">
        <v>43</v>
      </c>
      <c r="X2985" t="s">
        <v>11034</v>
      </c>
      <c r="Y2985" t="s">
        <v>44</v>
      </c>
      <c r="Z2985" t="s">
        <v>44</v>
      </c>
      <c r="AA2985" t="s">
        <v>11035</v>
      </c>
      <c r="AB2985" t="s">
        <v>44</v>
      </c>
      <c r="AC2985" s="4">
        <v>7.9167972899999999</v>
      </c>
      <c r="AD2985" s="4">
        <v>7.6432735200000002</v>
      </c>
      <c r="AE2985" s="2">
        <v>7.92</v>
      </c>
      <c r="AF2985" s="4">
        <v>7.6432735200000002</v>
      </c>
      <c r="AG2985" s="2">
        <v>2.2000000000000002</v>
      </c>
      <c r="AH2985" s="2">
        <v>2209753.52</v>
      </c>
      <c r="AI2985" s="2">
        <v>0.01</v>
      </c>
      <c r="AJ2985" s="5">
        <v>44673</v>
      </c>
      <c r="AK2985" t="s">
        <v>12614</v>
      </c>
      <c r="AL2985" s="2">
        <v>7.77</v>
      </c>
      <c r="AM2985" s="2">
        <v>8.92</v>
      </c>
      <c r="AN2985" s="2">
        <v>0.11</v>
      </c>
      <c r="AO2985" t="s">
        <v>11036</v>
      </c>
      <c r="AP2985" t="s">
        <v>11587</v>
      </c>
      <c r="AQ2985" t="s">
        <v>11586</v>
      </c>
    </row>
    <row r="2986" spans="1:43" x14ac:dyDescent="0.2">
      <c r="A2986" t="s">
        <v>12613</v>
      </c>
      <c r="B2986" t="s">
        <v>10900</v>
      </c>
      <c r="C2986" t="s">
        <v>10943</v>
      </c>
      <c r="D2986" t="s">
        <v>11135</v>
      </c>
      <c r="E2986" t="s">
        <v>10946</v>
      </c>
      <c r="F2986" t="s">
        <v>11135</v>
      </c>
      <c r="G2986" s="1">
        <v>5234000</v>
      </c>
      <c r="H2986" s="2">
        <v>5785384.8799999999</v>
      </c>
      <c r="I2986" s="2">
        <v>5686372</v>
      </c>
      <c r="J2986" s="2">
        <v>185197.56</v>
      </c>
      <c r="K2986" s="2">
        <v>0</v>
      </c>
      <c r="L2986" s="2">
        <v>5871569.5599999996</v>
      </c>
      <c r="M2986" s="3">
        <v>8.2249999999999996</v>
      </c>
      <c r="N2986" s="4">
        <v>1.3358449999999999E-2</v>
      </c>
      <c r="O2986" s="5">
        <v>44733</v>
      </c>
      <c r="P2986" s="5">
        <v>46377</v>
      </c>
      <c r="Q2986" s="1">
        <v>10.5</v>
      </c>
      <c r="R2986" s="2">
        <v>3.72</v>
      </c>
      <c r="S2986" s="6">
        <v>3.572672968</v>
      </c>
      <c r="T2986" t="s">
        <v>111</v>
      </c>
      <c r="U2986" t="s">
        <v>111</v>
      </c>
      <c r="V2986" t="s">
        <v>10944</v>
      </c>
      <c r="W2986" t="s">
        <v>43</v>
      </c>
      <c r="X2986" t="s">
        <v>10945</v>
      </c>
      <c r="Y2986" t="s">
        <v>44</v>
      </c>
      <c r="Z2986" t="s">
        <v>44</v>
      </c>
      <c r="AA2986" t="s">
        <v>10913</v>
      </c>
      <c r="AB2986" t="s">
        <v>44</v>
      </c>
      <c r="AC2986" s="4">
        <v>8.3941265600000001</v>
      </c>
      <c r="AD2986" s="4">
        <v>8.0875032299999994</v>
      </c>
      <c r="AE2986" s="2">
        <v>8.39</v>
      </c>
      <c r="AF2986" s="4">
        <v>8.0875032299999994</v>
      </c>
      <c r="AG2986" s="2">
        <v>5.85</v>
      </c>
      <c r="AH2986" s="2">
        <v>5871569.5599999996</v>
      </c>
      <c r="AI2986" s="2">
        <v>0.01</v>
      </c>
      <c r="AJ2986" s="5">
        <v>44673</v>
      </c>
      <c r="AK2986" t="s">
        <v>12614</v>
      </c>
      <c r="AL2986" s="2">
        <v>8.23</v>
      </c>
      <c r="AM2986" s="2">
        <v>10.5</v>
      </c>
      <c r="AN2986" s="2">
        <v>3.57</v>
      </c>
      <c r="AO2986" t="s">
        <v>10922</v>
      </c>
      <c r="AP2986" t="s">
        <v>11136</v>
      </c>
      <c r="AQ2986" t="s">
        <v>10946</v>
      </c>
    </row>
    <row r="2987" spans="1:43" x14ac:dyDescent="0.2">
      <c r="A2987" t="s">
        <v>12613</v>
      </c>
      <c r="B2987" t="s">
        <v>10900</v>
      </c>
      <c r="C2987" t="s">
        <v>10943</v>
      </c>
      <c r="D2987" t="s">
        <v>12863</v>
      </c>
      <c r="E2987" t="s">
        <v>12864</v>
      </c>
      <c r="F2987" t="s">
        <v>12863</v>
      </c>
      <c r="G2987" s="1">
        <v>600000</v>
      </c>
      <c r="H2987" s="2">
        <v>600000</v>
      </c>
      <c r="I2987" s="2">
        <v>600681.54</v>
      </c>
      <c r="J2987" s="2">
        <v>2145.4</v>
      </c>
      <c r="K2987" s="2">
        <v>0</v>
      </c>
      <c r="L2987" s="2">
        <v>602826.93999999994</v>
      </c>
      <c r="M2987" s="3">
        <v>8.0409749999999995</v>
      </c>
      <c r="N2987" s="4">
        <v>1.3715000000000001E-3</v>
      </c>
      <c r="O2987" s="5">
        <v>44750</v>
      </c>
      <c r="P2987" s="5">
        <v>46485</v>
      </c>
      <c r="Q2987" s="1">
        <v>8.157</v>
      </c>
      <c r="R2987" s="2">
        <v>0.2</v>
      </c>
      <c r="S2987" s="6">
        <v>9.4975697833E-2</v>
      </c>
      <c r="T2987" t="s">
        <v>111</v>
      </c>
      <c r="U2987" t="s">
        <v>111</v>
      </c>
      <c r="V2987" t="s">
        <v>11189</v>
      </c>
      <c r="W2987" t="s">
        <v>43</v>
      </c>
      <c r="X2987" t="s">
        <v>11034</v>
      </c>
      <c r="Y2987" t="s">
        <v>44</v>
      </c>
      <c r="Z2987" t="s">
        <v>44</v>
      </c>
      <c r="AA2987" t="s">
        <v>11035</v>
      </c>
      <c r="AB2987" t="s">
        <v>44</v>
      </c>
      <c r="AC2987" s="4">
        <v>8.2026182599999995</v>
      </c>
      <c r="AD2987" s="4">
        <v>7.9094905600000001</v>
      </c>
      <c r="AE2987" s="2">
        <v>8.1999999999999993</v>
      </c>
      <c r="AF2987" s="4">
        <v>7.9094905600000001</v>
      </c>
      <c r="AG2987" s="2">
        <v>0.6</v>
      </c>
      <c r="AH2987" s="2">
        <v>602826.93999999994</v>
      </c>
      <c r="AI2987" s="2">
        <v>0</v>
      </c>
      <c r="AJ2987" s="5">
        <v>44673</v>
      </c>
      <c r="AK2987" t="s">
        <v>12614</v>
      </c>
      <c r="AL2987" s="2">
        <v>8.0399999999999991</v>
      </c>
      <c r="AM2987" s="2">
        <v>8.16</v>
      </c>
      <c r="AN2987" s="2">
        <v>0.09</v>
      </c>
      <c r="AO2987" t="s">
        <v>11496</v>
      </c>
      <c r="AP2987" t="s">
        <v>12865</v>
      </c>
      <c r="AQ2987" t="s">
        <v>12864</v>
      </c>
    </row>
    <row r="2988" spans="1:43" x14ac:dyDescent="0.2">
      <c r="A2988" t="s">
        <v>12613</v>
      </c>
      <c r="B2988" t="s">
        <v>10900</v>
      </c>
      <c r="C2988" t="s">
        <v>10943</v>
      </c>
      <c r="D2988" t="s">
        <v>11855</v>
      </c>
      <c r="E2988" t="s">
        <v>11856</v>
      </c>
      <c r="F2988" t="s">
        <v>11855</v>
      </c>
      <c r="G2988" s="1">
        <v>139000</v>
      </c>
      <c r="H2988" s="2">
        <v>150461.87</v>
      </c>
      <c r="I2988" s="2">
        <v>144774.64000000001</v>
      </c>
      <c r="J2988" s="2">
        <v>4918.7700000000004</v>
      </c>
      <c r="K2988" s="2">
        <v>0</v>
      </c>
      <c r="L2988" s="2">
        <v>149693.41</v>
      </c>
      <c r="M2988" s="3">
        <v>8.76</v>
      </c>
      <c r="N2988" s="4">
        <v>3.4057E-4</v>
      </c>
      <c r="O2988" s="5">
        <v>44724</v>
      </c>
      <c r="P2988" s="5">
        <v>46550</v>
      </c>
      <c r="Q2988" s="1">
        <v>9.7850000000000001</v>
      </c>
      <c r="R2988" s="2">
        <v>4.04</v>
      </c>
      <c r="S2988" s="6">
        <v>3.8707805450000001</v>
      </c>
      <c r="T2988" t="s">
        <v>111</v>
      </c>
      <c r="U2988" t="s">
        <v>111</v>
      </c>
      <c r="V2988" t="s">
        <v>10944</v>
      </c>
      <c r="W2988" t="s">
        <v>43</v>
      </c>
      <c r="X2988" t="s">
        <v>10988</v>
      </c>
      <c r="Y2988" t="s">
        <v>44</v>
      </c>
      <c r="Z2988" t="s">
        <v>44</v>
      </c>
      <c r="AA2988" t="s">
        <v>10979</v>
      </c>
      <c r="AB2988" t="s">
        <v>44</v>
      </c>
      <c r="AC2988" s="4">
        <v>8.9518439999999995</v>
      </c>
      <c r="AD2988" s="4">
        <v>8.6042807299999993</v>
      </c>
      <c r="AE2988" s="2">
        <v>8.9499999999999993</v>
      </c>
      <c r="AF2988" s="4">
        <v>8.6042807299999993</v>
      </c>
      <c r="AG2988" s="2">
        <v>0.15</v>
      </c>
      <c r="AH2988" s="2">
        <v>149693.41</v>
      </c>
      <c r="AI2988" s="2">
        <v>0</v>
      </c>
      <c r="AJ2988" s="5">
        <v>44673</v>
      </c>
      <c r="AK2988" t="s">
        <v>12614</v>
      </c>
      <c r="AL2988" s="2">
        <v>8.76</v>
      </c>
      <c r="AM2988" s="2">
        <v>9.7899999999999991</v>
      </c>
      <c r="AN2988" s="2">
        <v>3.87</v>
      </c>
      <c r="AO2988" t="s">
        <v>11179</v>
      </c>
      <c r="AP2988" t="s">
        <v>11857</v>
      </c>
      <c r="AQ2988" t="s">
        <v>11856</v>
      </c>
    </row>
    <row r="2989" spans="1:43" x14ac:dyDescent="0.2">
      <c r="A2989" t="s">
        <v>12613</v>
      </c>
      <c r="B2989" t="s">
        <v>10900</v>
      </c>
      <c r="C2989" t="s">
        <v>10990</v>
      </c>
      <c r="D2989" t="s">
        <v>11603</v>
      </c>
      <c r="E2989" t="s">
        <v>11604</v>
      </c>
      <c r="F2989" t="s">
        <v>11603</v>
      </c>
      <c r="G2989" s="1">
        <v>410600</v>
      </c>
      <c r="H2989" s="2">
        <v>1283481.1299999999</v>
      </c>
      <c r="I2989" s="2">
        <v>1326425.3899999999</v>
      </c>
      <c r="J2989" s="2">
        <v>25607.11</v>
      </c>
      <c r="K2989" s="2">
        <v>0</v>
      </c>
      <c r="L2989" s="2">
        <v>1352032.5</v>
      </c>
      <c r="M2989" s="3">
        <v>1.165</v>
      </c>
      <c r="N2989" s="4">
        <v>3.0760200000000001E-3</v>
      </c>
      <c r="O2989" s="5">
        <v>44719</v>
      </c>
      <c r="P2989" s="5">
        <v>45267</v>
      </c>
      <c r="Q2989" s="1">
        <v>5.5</v>
      </c>
      <c r="R2989" s="2">
        <v>1.54</v>
      </c>
      <c r="S2989" s="6">
        <v>1.5339230509999999</v>
      </c>
      <c r="T2989" t="s">
        <v>111</v>
      </c>
      <c r="U2989" t="s">
        <v>111</v>
      </c>
      <c r="V2989" t="s">
        <v>10992</v>
      </c>
      <c r="W2989" t="s">
        <v>43</v>
      </c>
      <c r="X2989" t="s">
        <v>10945</v>
      </c>
      <c r="Y2989" t="s">
        <v>44</v>
      </c>
      <c r="Z2989" t="s">
        <v>44</v>
      </c>
      <c r="AA2989" t="s">
        <v>10913</v>
      </c>
      <c r="AB2989" t="s">
        <v>44</v>
      </c>
      <c r="AC2989" s="4">
        <v>1.1683930600000001</v>
      </c>
      <c r="AD2989" s="4">
        <v>1.1621824700000001</v>
      </c>
      <c r="AE2989" s="2">
        <v>1.17</v>
      </c>
      <c r="AF2989" s="4">
        <v>1.1621824700000001</v>
      </c>
      <c r="AG2989" s="2">
        <v>1.35</v>
      </c>
      <c r="AH2989" s="2">
        <v>1352032.5</v>
      </c>
      <c r="AI2989" s="2">
        <v>0</v>
      </c>
      <c r="AJ2989" s="5">
        <v>44673</v>
      </c>
      <c r="AK2989" t="s">
        <v>12614</v>
      </c>
      <c r="AL2989" s="2">
        <v>1.1599999999999999</v>
      </c>
      <c r="AM2989" s="2">
        <v>5.5</v>
      </c>
      <c r="AN2989" s="2">
        <v>1.53</v>
      </c>
      <c r="AO2989" t="s">
        <v>10922</v>
      </c>
      <c r="AP2989" t="s">
        <v>11605</v>
      </c>
      <c r="AQ2989" t="s">
        <v>11604</v>
      </c>
    </row>
    <row r="2990" spans="1:43" x14ac:dyDescent="0.2">
      <c r="A2990" t="s">
        <v>12613</v>
      </c>
      <c r="B2990" t="s">
        <v>45</v>
      </c>
      <c r="C2990" t="s">
        <v>11000</v>
      </c>
      <c r="D2990" t="s">
        <v>11421</v>
      </c>
      <c r="E2990" t="s">
        <v>11422</v>
      </c>
      <c r="F2990" t="s">
        <v>11421</v>
      </c>
      <c r="G2990" s="1">
        <v>1000000</v>
      </c>
      <c r="H2990" s="2">
        <v>1000000</v>
      </c>
      <c r="I2990" s="2">
        <v>1000000</v>
      </c>
      <c r="J2990" s="2">
        <v>2646.58</v>
      </c>
      <c r="K2990" s="2">
        <v>0</v>
      </c>
      <c r="L2990" s="2">
        <v>1002646.58</v>
      </c>
      <c r="M2990" s="3">
        <v>4.2</v>
      </c>
      <c r="N2990" s="4">
        <v>2.2811300000000001E-3</v>
      </c>
      <c r="O2990" s="5" t="s">
        <v>44</v>
      </c>
      <c r="P2990" s="5">
        <v>55153</v>
      </c>
      <c r="Q2990" s="1">
        <v>4.2</v>
      </c>
      <c r="R2990" s="2">
        <v>0.08</v>
      </c>
      <c r="S2990" s="6">
        <v>2.5947269999999998E-3</v>
      </c>
      <c r="T2990" t="s">
        <v>112</v>
      </c>
      <c r="U2990" t="s">
        <v>46</v>
      </c>
      <c r="V2990" t="s">
        <v>11270</v>
      </c>
      <c r="W2990" t="s">
        <v>43</v>
      </c>
      <c r="X2990" t="s">
        <v>44</v>
      </c>
      <c r="Y2990" t="s">
        <v>44</v>
      </c>
      <c r="Z2990" t="s">
        <v>44</v>
      </c>
      <c r="AA2990" t="s">
        <v>10913</v>
      </c>
      <c r="AB2990" t="s">
        <v>44</v>
      </c>
      <c r="AC2990" s="4">
        <v>4.2819052299999996</v>
      </c>
      <c r="AD2990" s="4">
        <v>4.20010057</v>
      </c>
      <c r="AE2990" s="2">
        <v>4.28</v>
      </c>
      <c r="AF2990" s="4">
        <v>4.20010057</v>
      </c>
      <c r="AG2990" s="2">
        <v>1</v>
      </c>
      <c r="AH2990" s="2">
        <v>1002646.58</v>
      </c>
      <c r="AI2990" s="2">
        <v>0</v>
      </c>
      <c r="AJ2990" s="5">
        <v>44673</v>
      </c>
      <c r="AK2990" t="s">
        <v>12614</v>
      </c>
      <c r="AL2990" s="2">
        <v>4.24</v>
      </c>
      <c r="AM2990" s="2">
        <v>4.2</v>
      </c>
      <c r="AN2990" s="2">
        <v>0</v>
      </c>
      <c r="AO2990" t="s">
        <v>11423</v>
      </c>
      <c r="AP2990" t="s">
        <v>44</v>
      </c>
      <c r="AQ2990" t="s">
        <v>11422</v>
      </c>
    </row>
    <row r="2991" spans="1:43" x14ac:dyDescent="0.2">
      <c r="A2991" t="s">
        <v>12613</v>
      </c>
      <c r="B2991" t="s">
        <v>45</v>
      </c>
      <c r="C2991" t="s">
        <v>11000</v>
      </c>
      <c r="D2991" t="s">
        <v>11424</v>
      </c>
      <c r="E2991" t="s">
        <v>11425</v>
      </c>
      <c r="F2991" t="s">
        <v>11424</v>
      </c>
      <c r="G2991" s="1">
        <v>0</v>
      </c>
      <c r="H2991" s="2">
        <v>0</v>
      </c>
      <c r="I2991" s="2">
        <v>0</v>
      </c>
      <c r="J2991" s="2">
        <v>2991.78</v>
      </c>
      <c r="K2991" s="2">
        <v>0</v>
      </c>
      <c r="L2991" s="2">
        <v>2991.78</v>
      </c>
      <c r="M2991" s="3">
        <v>4.2</v>
      </c>
      <c r="N2991" s="4">
        <v>6.81E-6</v>
      </c>
      <c r="O2991" s="5" t="s">
        <v>44</v>
      </c>
      <c r="P2991" s="5">
        <v>55153</v>
      </c>
      <c r="Q2991" s="1">
        <v>4.2</v>
      </c>
      <c r="R2991" s="2">
        <v>0.08</v>
      </c>
      <c r="S2991" s="6">
        <v>2.5986049999999999E-3</v>
      </c>
      <c r="T2991" t="s">
        <v>112</v>
      </c>
      <c r="U2991" t="s">
        <v>46</v>
      </c>
      <c r="V2991" t="s">
        <v>11270</v>
      </c>
      <c r="W2991" t="s">
        <v>43</v>
      </c>
      <c r="X2991" t="s">
        <v>44</v>
      </c>
      <c r="Y2991" t="s">
        <v>44</v>
      </c>
      <c r="Z2991" t="s">
        <v>44</v>
      </c>
      <c r="AA2991" t="s">
        <v>11035</v>
      </c>
      <c r="AB2991" t="s">
        <v>44</v>
      </c>
      <c r="AC2991" s="4">
        <v>4.2819052299999996</v>
      </c>
      <c r="AD2991" s="4">
        <v>4.20010057</v>
      </c>
      <c r="AE2991" s="2">
        <v>4.28</v>
      </c>
      <c r="AF2991" s="4">
        <v>4.20010057</v>
      </c>
      <c r="AG2991" s="2">
        <v>0</v>
      </c>
      <c r="AH2991" s="2">
        <v>2991.78</v>
      </c>
      <c r="AI2991" s="2">
        <v>0</v>
      </c>
      <c r="AJ2991" s="5">
        <v>44673</v>
      </c>
      <c r="AK2991" t="s">
        <v>12614</v>
      </c>
      <c r="AL2991" s="2">
        <v>4.24</v>
      </c>
      <c r="AM2991" s="2">
        <v>4.2</v>
      </c>
      <c r="AN2991" s="2">
        <v>0</v>
      </c>
      <c r="AO2991" t="s">
        <v>11053</v>
      </c>
      <c r="AP2991" t="s">
        <v>44</v>
      </c>
      <c r="AQ2991" t="s">
        <v>11425</v>
      </c>
    </row>
    <row r="2992" spans="1:43" x14ac:dyDescent="0.2">
      <c r="A2992" t="s">
        <v>12613</v>
      </c>
      <c r="B2992" t="s">
        <v>45</v>
      </c>
      <c r="C2992" t="s">
        <v>47</v>
      </c>
      <c r="D2992" t="s">
        <v>48</v>
      </c>
      <c r="E2992" t="s">
        <v>49</v>
      </c>
      <c r="F2992" t="s">
        <v>50</v>
      </c>
      <c r="G2992" s="1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3115.46</v>
      </c>
      <c r="M2992" s="3"/>
      <c r="N2992" s="4">
        <v>7.0899999999999999E-6</v>
      </c>
      <c r="O2992" s="5" t="s">
        <v>44</v>
      </c>
      <c r="P2992" s="5" t="s">
        <v>44</v>
      </c>
      <c r="Q2992" s="1"/>
      <c r="R2992" s="2">
        <v>0.08</v>
      </c>
      <c r="S2992" s="6"/>
      <c r="T2992" t="s">
        <v>45</v>
      </c>
      <c r="U2992" t="s">
        <v>46</v>
      </c>
      <c r="V2992" t="s">
        <v>44</v>
      </c>
      <c r="W2992" t="s">
        <v>43</v>
      </c>
      <c r="X2992" t="s">
        <v>44</v>
      </c>
      <c r="Y2992" t="s">
        <v>44</v>
      </c>
      <c r="Z2992" t="s">
        <v>44</v>
      </c>
      <c r="AA2992" t="s">
        <v>44</v>
      </c>
      <c r="AB2992" t="s">
        <v>44</v>
      </c>
      <c r="AC2992" s="4">
        <v>5.1163389600000002</v>
      </c>
      <c r="AD2992" s="4">
        <v>5.0001424999999999</v>
      </c>
      <c r="AE2992" s="2">
        <v>5.12</v>
      </c>
      <c r="AF2992" s="4">
        <v>5.0001424999999999</v>
      </c>
      <c r="AG2992" s="2">
        <v>0</v>
      </c>
      <c r="AH2992" s="2">
        <v>3115.46</v>
      </c>
      <c r="AI2992" s="2">
        <v>0</v>
      </c>
      <c r="AJ2992" s="5">
        <v>44673</v>
      </c>
      <c r="AK2992" t="s">
        <v>12614</v>
      </c>
      <c r="AL2992" s="2">
        <v>5.05</v>
      </c>
      <c r="AM2992" s="2">
        <v>0</v>
      </c>
      <c r="AN2992" s="2">
        <v>0</v>
      </c>
      <c r="AO2992" t="s">
        <v>44</v>
      </c>
      <c r="AP2992" t="s">
        <v>44</v>
      </c>
      <c r="AQ2992" t="s">
        <v>44</v>
      </c>
    </row>
    <row r="2993" spans="1:43" x14ac:dyDescent="0.2">
      <c r="A2993" t="s">
        <v>12613</v>
      </c>
      <c r="B2993" t="s">
        <v>45</v>
      </c>
      <c r="C2993" t="s">
        <v>47</v>
      </c>
      <c r="D2993" t="s">
        <v>51</v>
      </c>
      <c r="E2993" t="s">
        <v>52</v>
      </c>
      <c r="F2993" t="s">
        <v>51</v>
      </c>
      <c r="G2993" s="1">
        <v>1703733.83</v>
      </c>
      <c r="H2993" s="2">
        <v>1703733.83</v>
      </c>
      <c r="I2993" s="2">
        <v>1703733.83</v>
      </c>
      <c r="J2993" s="2">
        <v>0</v>
      </c>
      <c r="K2993" s="2">
        <v>0</v>
      </c>
      <c r="L2993" s="2">
        <v>1703733.83</v>
      </c>
      <c r="M2993" s="3"/>
      <c r="N2993" s="4">
        <v>3.8761799999999999E-3</v>
      </c>
      <c r="O2993" s="5" t="s">
        <v>44</v>
      </c>
      <c r="P2993" s="5" t="s">
        <v>44</v>
      </c>
      <c r="Q2993" s="1"/>
      <c r="R2993" s="2">
        <v>0.08</v>
      </c>
      <c r="S2993" s="6"/>
      <c r="T2993" t="s">
        <v>45</v>
      </c>
      <c r="U2993" t="s">
        <v>53</v>
      </c>
      <c r="V2993" t="s">
        <v>44</v>
      </c>
      <c r="W2993" t="s">
        <v>43</v>
      </c>
      <c r="X2993" t="s">
        <v>44</v>
      </c>
      <c r="Y2993" t="s">
        <v>44</v>
      </c>
      <c r="Z2993" t="s">
        <v>44</v>
      </c>
      <c r="AA2993" t="s">
        <v>44</v>
      </c>
      <c r="AB2993" t="s">
        <v>44</v>
      </c>
      <c r="AC2993" s="4">
        <v>5.1163389600000002</v>
      </c>
      <c r="AD2993" s="4">
        <v>5.0001424999999999</v>
      </c>
      <c r="AE2993" s="2">
        <v>5.12</v>
      </c>
      <c r="AF2993" s="4">
        <v>5.0001424999999999</v>
      </c>
      <c r="AG2993" s="2">
        <v>1.7</v>
      </c>
      <c r="AH2993" s="2">
        <v>1703733.83</v>
      </c>
      <c r="AI2993" s="2">
        <v>0</v>
      </c>
      <c r="AJ2993" s="5">
        <v>44673</v>
      </c>
      <c r="AK2993" t="s">
        <v>12614</v>
      </c>
      <c r="AL2993" s="2">
        <v>5.05</v>
      </c>
      <c r="AM2993" s="2">
        <v>0</v>
      </c>
      <c r="AN2993" s="2">
        <v>0</v>
      </c>
      <c r="AO2993" t="s">
        <v>44</v>
      </c>
      <c r="AP2993" t="s">
        <v>44</v>
      </c>
      <c r="AQ2993" t="s">
        <v>43</v>
      </c>
    </row>
    <row r="2994" spans="1:43" x14ac:dyDescent="0.2">
      <c r="A2994" t="s">
        <v>12613</v>
      </c>
      <c r="B2994" t="s">
        <v>45</v>
      </c>
      <c r="C2994" t="s">
        <v>47</v>
      </c>
      <c r="D2994" t="s">
        <v>11045</v>
      </c>
      <c r="E2994" t="s">
        <v>11046</v>
      </c>
      <c r="F2994" t="s">
        <v>11045</v>
      </c>
      <c r="G2994" s="1">
        <v>6292.56</v>
      </c>
      <c r="H2994" s="2">
        <v>96854.81</v>
      </c>
      <c r="I2994" s="2">
        <v>98252.17</v>
      </c>
      <c r="J2994" s="2">
        <v>0</v>
      </c>
      <c r="K2994" s="2">
        <v>0</v>
      </c>
      <c r="L2994" s="2">
        <v>98252.17</v>
      </c>
      <c r="M2994" s="3">
        <v>1</v>
      </c>
      <c r="N2994" s="4">
        <v>2.2353E-4</v>
      </c>
      <c r="O2994" s="5" t="s">
        <v>44</v>
      </c>
      <c r="P2994" s="5" t="s">
        <v>44</v>
      </c>
      <c r="Q2994" s="1"/>
      <c r="R2994" s="2">
        <v>0.08</v>
      </c>
      <c r="S2994" s="6"/>
      <c r="T2994" t="s">
        <v>45</v>
      </c>
      <c r="U2994" t="s">
        <v>53</v>
      </c>
      <c r="V2994" t="s">
        <v>44</v>
      </c>
      <c r="W2994" t="s">
        <v>113</v>
      </c>
      <c r="X2994" t="s">
        <v>44</v>
      </c>
      <c r="Y2994" t="s">
        <v>44</v>
      </c>
      <c r="Z2994" t="s">
        <v>44</v>
      </c>
      <c r="AA2994" t="s">
        <v>44</v>
      </c>
      <c r="AB2994" t="s">
        <v>44</v>
      </c>
      <c r="AC2994" s="4"/>
      <c r="AD2994" s="4"/>
      <c r="AE2994" s="2">
        <v>0</v>
      </c>
      <c r="AF2994" s="4">
        <v>0</v>
      </c>
      <c r="AG2994" s="2">
        <v>0.1</v>
      </c>
      <c r="AH2994" s="2">
        <v>98252.17</v>
      </c>
      <c r="AI2994" s="2">
        <v>0</v>
      </c>
      <c r="AJ2994" s="5">
        <v>44673</v>
      </c>
      <c r="AK2994" t="s">
        <v>12614</v>
      </c>
      <c r="AL2994" s="2">
        <v>0</v>
      </c>
      <c r="AM2994" s="2">
        <v>0</v>
      </c>
      <c r="AN2994" s="2">
        <v>0</v>
      </c>
      <c r="AO2994" t="s">
        <v>44</v>
      </c>
      <c r="AP2994" t="s">
        <v>44</v>
      </c>
      <c r="AQ2994" t="s">
        <v>113</v>
      </c>
    </row>
    <row r="2995" spans="1:43" x14ac:dyDescent="0.2">
      <c r="A2995" t="s">
        <v>12613</v>
      </c>
      <c r="B2995" t="s">
        <v>11013</v>
      </c>
      <c r="C2995" t="s">
        <v>11014</v>
      </c>
      <c r="D2995" t="s">
        <v>11965</v>
      </c>
      <c r="E2995" t="s">
        <v>11966</v>
      </c>
      <c r="F2995" t="s">
        <v>11965</v>
      </c>
      <c r="G2995" s="1">
        <v>18179265.5306</v>
      </c>
      <c r="H2995" s="2">
        <v>19963332.629999999</v>
      </c>
      <c r="I2995" s="2">
        <v>19100954.289999999</v>
      </c>
      <c r="J2995" s="2">
        <v>0</v>
      </c>
      <c r="K2995" s="2">
        <v>0</v>
      </c>
      <c r="L2995" s="2">
        <v>19100954.289999999</v>
      </c>
      <c r="M2995" s="3">
        <v>1.0507</v>
      </c>
      <c r="N2995" s="4">
        <v>4.3456729999999999E-2</v>
      </c>
      <c r="O2995" s="5" t="s">
        <v>44</v>
      </c>
      <c r="P2995" s="5" t="s">
        <v>44</v>
      </c>
      <c r="Q2995" s="1"/>
      <c r="R2995" s="2"/>
      <c r="S2995" s="6"/>
      <c r="T2995" t="s">
        <v>10902</v>
      </c>
      <c r="U2995" t="s">
        <v>11003</v>
      </c>
      <c r="V2995" t="s">
        <v>11003</v>
      </c>
      <c r="W2995" t="s">
        <v>43</v>
      </c>
      <c r="X2995" t="s">
        <v>44</v>
      </c>
      <c r="Y2995" t="s">
        <v>44</v>
      </c>
      <c r="Z2995" t="s">
        <v>44</v>
      </c>
      <c r="AA2995" t="s">
        <v>44</v>
      </c>
      <c r="AB2995" t="s">
        <v>44</v>
      </c>
      <c r="AC2995" s="4"/>
      <c r="AD2995" s="4"/>
      <c r="AE2995" s="2">
        <v>0</v>
      </c>
      <c r="AF2995" s="4">
        <v>0</v>
      </c>
      <c r="AG2995" s="2">
        <v>19.02</v>
      </c>
      <c r="AH2995" s="2">
        <v>19100954.289999999</v>
      </c>
      <c r="AI2995" s="2">
        <v>0.04</v>
      </c>
      <c r="AJ2995" s="5">
        <v>44673</v>
      </c>
      <c r="AK2995" t="s">
        <v>12614</v>
      </c>
      <c r="AL2995" s="2">
        <v>0</v>
      </c>
      <c r="AM2995" s="2">
        <v>0</v>
      </c>
      <c r="AN2995" s="2">
        <v>0</v>
      </c>
      <c r="AO2995" t="s">
        <v>44</v>
      </c>
      <c r="AP2995" t="s">
        <v>11967</v>
      </c>
      <c r="AQ2995" t="s">
        <v>11966</v>
      </c>
    </row>
    <row r="2996" spans="1:43" x14ac:dyDescent="0.2">
      <c r="A2996" t="s">
        <v>12613</v>
      </c>
      <c r="B2996" t="s">
        <v>11013</v>
      </c>
      <c r="C2996" t="s">
        <v>11047</v>
      </c>
      <c r="D2996" t="s">
        <v>11861</v>
      </c>
      <c r="E2996" t="s">
        <v>11862</v>
      </c>
      <c r="F2996" t="s">
        <v>11861</v>
      </c>
      <c r="G2996" s="1">
        <v>665178.27419999999</v>
      </c>
      <c r="H2996" s="2">
        <v>7864641.5499999998</v>
      </c>
      <c r="I2996" s="2">
        <v>10433986.41</v>
      </c>
      <c r="J2996" s="2">
        <v>0</v>
      </c>
      <c r="K2996" s="2">
        <v>0</v>
      </c>
      <c r="L2996" s="2">
        <v>10433986.41</v>
      </c>
      <c r="M2996" s="3">
        <v>15.686</v>
      </c>
      <c r="N2996" s="4">
        <v>2.373844E-2</v>
      </c>
      <c r="O2996" s="5" t="s">
        <v>44</v>
      </c>
      <c r="P2996" s="5" t="s">
        <v>44</v>
      </c>
      <c r="Q2996" s="1"/>
      <c r="R2996" s="2"/>
      <c r="S2996" s="6"/>
      <c r="T2996" t="s">
        <v>10902</v>
      </c>
      <c r="U2996" t="s">
        <v>11003</v>
      </c>
      <c r="V2996" t="s">
        <v>11003</v>
      </c>
      <c r="W2996" t="s">
        <v>43</v>
      </c>
      <c r="X2996" t="s">
        <v>44</v>
      </c>
      <c r="Y2996" t="s">
        <v>44</v>
      </c>
      <c r="Z2996" t="s">
        <v>44</v>
      </c>
      <c r="AA2996" t="s">
        <v>44</v>
      </c>
      <c r="AB2996" t="s">
        <v>44</v>
      </c>
      <c r="AC2996" s="4"/>
      <c r="AD2996" s="4"/>
      <c r="AE2996" s="2">
        <v>0</v>
      </c>
      <c r="AF2996" s="4">
        <v>0</v>
      </c>
      <c r="AG2996" s="2">
        <v>10.39</v>
      </c>
      <c r="AH2996" s="2">
        <v>10433986.41</v>
      </c>
      <c r="AI2996" s="2">
        <v>0.02</v>
      </c>
      <c r="AJ2996" s="5">
        <v>44673</v>
      </c>
      <c r="AK2996" t="s">
        <v>12614</v>
      </c>
      <c r="AL2996" s="2">
        <v>0</v>
      </c>
      <c r="AM2996" s="2">
        <v>0</v>
      </c>
      <c r="AN2996" s="2">
        <v>0</v>
      </c>
      <c r="AO2996" t="s">
        <v>44</v>
      </c>
      <c r="AP2996" t="s">
        <v>44</v>
      </c>
      <c r="AQ2996" t="s">
        <v>11862</v>
      </c>
    </row>
    <row r="2997" spans="1:43" x14ac:dyDescent="0.2">
      <c r="A2997" t="s">
        <v>12613</v>
      </c>
      <c r="B2997" t="s">
        <v>11013</v>
      </c>
      <c r="C2997" t="s">
        <v>11047</v>
      </c>
      <c r="D2997" t="s">
        <v>11062</v>
      </c>
      <c r="E2997" t="s">
        <v>11063</v>
      </c>
      <c r="F2997" t="s">
        <v>11062</v>
      </c>
      <c r="G2997" s="1">
        <v>71042.692999999999</v>
      </c>
      <c r="H2997" s="2">
        <v>1121912.1200000001</v>
      </c>
      <c r="I2997" s="2">
        <v>1711591.54</v>
      </c>
      <c r="J2997" s="2">
        <v>0</v>
      </c>
      <c r="K2997" s="2">
        <v>0</v>
      </c>
      <c r="L2997" s="2">
        <v>1711591.54</v>
      </c>
      <c r="M2997" s="3">
        <v>1.5429999999999999</v>
      </c>
      <c r="N2997" s="4">
        <v>3.89406E-3</v>
      </c>
      <c r="O2997" s="5" t="s">
        <v>44</v>
      </c>
      <c r="P2997" s="5" t="s">
        <v>44</v>
      </c>
      <c r="Q2997" s="1"/>
      <c r="R2997" s="2"/>
      <c r="S2997" s="6"/>
      <c r="T2997" t="s">
        <v>10902</v>
      </c>
      <c r="U2997" t="s">
        <v>11003</v>
      </c>
      <c r="V2997" t="s">
        <v>11003</v>
      </c>
      <c r="W2997" t="s">
        <v>113</v>
      </c>
      <c r="X2997" t="s">
        <v>44</v>
      </c>
      <c r="Y2997" t="s">
        <v>44</v>
      </c>
      <c r="Z2997" t="s">
        <v>44</v>
      </c>
      <c r="AA2997" t="s">
        <v>44</v>
      </c>
      <c r="AB2997" t="s">
        <v>44</v>
      </c>
      <c r="AC2997" s="4"/>
      <c r="AD2997" s="4"/>
      <c r="AE2997" s="2">
        <v>0</v>
      </c>
      <c r="AF2997" s="4">
        <v>0</v>
      </c>
      <c r="AG2997" s="2">
        <v>1.7</v>
      </c>
      <c r="AH2997" s="2">
        <v>1711591.54</v>
      </c>
      <c r="AI2997" s="2">
        <v>0</v>
      </c>
      <c r="AJ2997" s="5">
        <v>44673</v>
      </c>
      <c r="AK2997" t="s">
        <v>12614</v>
      </c>
      <c r="AL2997" s="2">
        <v>0</v>
      </c>
      <c r="AM2997" s="2">
        <v>0</v>
      </c>
      <c r="AN2997" s="2">
        <v>0</v>
      </c>
      <c r="AO2997" t="s">
        <v>44</v>
      </c>
      <c r="AP2997" t="s">
        <v>11064</v>
      </c>
      <c r="AQ2997" t="s">
        <v>11063</v>
      </c>
    </row>
    <row r="2998" spans="1:43" x14ac:dyDescent="0.2">
      <c r="A2998" t="s">
        <v>12613</v>
      </c>
      <c r="B2998" t="s">
        <v>11037</v>
      </c>
      <c r="C2998" t="s">
        <v>11195</v>
      </c>
      <c r="D2998" t="s">
        <v>11606</v>
      </c>
      <c r="E2998" t="s">
        <v>7660</v>
      </c>
      <c r="F2998" t="s">
        <v>11606</v>
      </c>
      <c r="G2998" s="1">
        <v>123253</v>
      </c>
      <c r="H2998" s="2">
        <v>1218039.31</v>
      </c>
      <c r="I2998" s="2">
        <v>1004511.95</v>
      </c>
      <c r="J2998" s="2">
        <v>0</v>
      </c>
      <c r="K2998" s="2">
        <v>0</v>
      </c>
      <c r="L2998" s="2">
        <v>1004511.95</v>
      </c>
      <c r="M2998" s="3">
        <v>815</v>
      </c>
      <c r="N2998" s="4">
        <v>2.2853700000000001E-3</v>
      </c>
      <c r="O2998" s="5" t="s">
        <v>44</v>
      </c>
      <c r="P2998" s="5" t="s">
        <v>44</v>
      </c>
      <c r="Q2998" s="1"/>
      <c r="R2998" s="2"/>
      <c r="S2998" s="6"/>
      <c r="T2998" t="s">
        <v>10902</v>
      </c>
      <c r="U2998" t="s">
        <v>10902</v>
      </c>
      <c r="V2998" t="s">
        <v>10902</v>
      </c>
      <c r="W2998" t="s">
        <v>43</v>
      </c>
      <c r="X2998" t="s">
        <v>11197</v>
      </c>
      <c r="Y2998" t="s">
        <v>11198</v>
      </c>
      <c r="Z2998" t="s">
        <v>11195</v>
      </c>
      <c r="AA2998" t="s">
        <v>44</v>
      </c>
      <c r="AB2998" t="s">
        <v>44</v>
      </c>
      <c r="AC2998" s="4"/>
      <c r="AD2998" s="4"/>
      <c r="AE2998" s="2">
        <v>0</v>
      </c>
      <c r="AF2998" s="4">
        <v>0</v>
      </c>
      <c r="AG2998" s="2">
        <v>1</v>
      </c>
      <c r="AH2998" s="2">
        <v>1004511.95</v>
      </c>
      <c r="AI2998" s="2">
        <v>0</v>
      </c>
      <c r="AJ2998" s="5">
        <v>44673</v>
      </c>
      <c r="AK2998" t="s">
        <v>12614</v>
      </c>
      <c r="AL2998" s="2">
        <v>0</v>
      </c>
      <c r="AM2998" s="2">
        <v>0</v>
      </c>
      <c r="AN2998" s="2">
        <v>0</v>
      </c>
      <c r="AO2998" t="s">
        <v>44</v>
      </c>
      <c r="AP2998" t="s">
        <v>11607</v>
      </c>
      <c r="AQ2998" t="s">
        <v>7660</v>
      </c>
    </row>
    <row r="2999" spans="1:43" x14ac:dyDescent="0.2">
      <c r="A2999" t="s">
        <v>12613</v>
      </c>
      <c r="B2999" t="s">
        <v>11865</v>
      </c>
      <c r="C2999" t="s">
        <v>11865</v>
      </c>
      <c r="D2999" t="s">
        <v>11866</v>
      </c>
      <c r="E2999" t="s">
        <v>11867</v>
      </c>
      <c r="F2999" t="s">
        <v>11866</v>
      </c>
      <c r="G2999" s="1">
        <v>-116600</v>
      </c>
      <c r="H2999" s="2">
        <v>-1815287.1</v>
      </c>
      <c r="I2999" s="2">
        <v>-1826007.09</v>
      </c>
      <c r="J2999" s="2">
        <v>0</v>
      </c>
      <c r="K2999" s="2">
        <v>0</v>
      </c>
      <c r="L2999" s="2">
        <v>-1826007.09</v>
      </c>
      <c r="M2999" s="3">
        <v>6.3854999999999995E-2</v>
      </c>
      <c r="N2999" s="4">
        <v>-4.1543600000000002E-3</v>
      </c>
      <c r="O2999" s="5" t="s">
        <v>44</v>
      </c>
      <c r="P2999" s="5">
        <v>44701</v>
      </c>
      <c r="Q2999" s="1"/>
      <c r="R2999" s="2"/>
      <c r="S2999" s="6"/>
      <c r="T2999" t="s">
        <v>11868</v>
      </c>
      <c r="U2999" t="s">
        <v>44</v>
      </c>
      <c r="V2999" t="s">
        <v>44</v>
      </c>
      <c r="W2999" t="s">
        <v>113</v>
      </c>
      <c r="X2999" t="s">
        <v>44</v>
      </c>
      <c r="Y2999" t="s">
        <v>44</v>
      </c>
      <c r="Z2999" t="s">
        <v>44</v>
      </c>
      <c r="AA2999" t="s">
        <v>44</v>
      </c>
      <c r="AB2999" t="s">
        <v>44</v>
      </c>
      <c r="AC2999" s="4"/>
      <c r="AD2999" s="4"/>
      <c r="AE2999" s="2">
        <v>0</v>
      </c>
      <c r="AF2999" s="4">
        <v>0</v>
      </c>
      <c r="AG2999" s="2">
        <v>-1.82</v>
      </c>
      <c r="AH2999" s="2">
        <v>-1826007.09</v>
      </c>
      <c r="AI2999" s="2">
        <v>0</v>
      </c>
      <c r="AJ2999" s="5">
        <v>44673</v>
      </c>
      <c r="AK2999" t="s">
        <v>12614</v>
      </c>
      <c r="AL2999" s="2">
        <v>0</v>
      </c>
      <c r="AM2999" s="2">
        <v>0</v>
      </c>
      <c r="AN2999" s="2">
        <v>0</v>
      </c>
      <c r="AO2999" t="s">
        <v>44</v>
      </c>
      <c r="AP2999" t="s">
        <v>44</v>
      </c>
      <c r="AQ2999" t="s">
        <v>113</v>
      </c>
    </row>
    <row r="3000" spans="1:43" x14ac:dyDescent="0.2">
      <c r="A3000" t="s">
        <v>12613</v>
      </c>
      <c r="B3000" t="s">
        <v>11865</v>
      </c>
      <c r="C3000" t="s">
        <v>11865</v>
      </c>
      <c r="D3000" t="s">
        <v>11869</v>
      </c>
      <c r="E3000" t="s">
        <v>11867</v>
      </c>
      <c r="F3000" t="s">
        <v>11869</v>
      </c>
      <c r="G3000" s="1">
        <v>1815287.1</v>
      </c>
      <c r="H3000" s="2">
        <v>1815287.1</v>
      </c>
      <c r="I3000" s="2">
        <v>1815287.1</v>
      </c>
      <c r="J3000" s="2">
        <v>0</v>
      </c>
      <c r="K3000" s="2">
        <v>0</v>
      </c>
      <c r="L3000" s="2">
        <v>1815287.1</v>
      </c>
      <c r="M3000" s="3">
        <v>1</v>
      </c>
      <c r="N3000" s="4">
        <v>4.1299700000000002E-3</v>
      </c>
      <c r="O3000" s="5" t="s">
        <v>44</v>
      </c>
      <c r="P3000" s="5">
        <v>44701</v>
      </c>
      <c r="Q3000" s="1"/>
      <c r="R3000" s="2"/>
      <c r="S3000" s="6"/>
      <c r="T3000" t="s">
        <v>11868</v>
      </c>
      <c r="U3000" t="s">
        <v>44</v>
      </c>
      <c r="V3000" t="s">
        <v>44</v>
      </c>
      <c r="W3000" t="s">
        <v>43</v>
      </c>
      <c r="X3000" t="s">
        <v>44</v>
      </c>
      <c r="Y3000" t="s">
        <v>44</v>
      </c>
      <c r="Z3000" t="s">
        <v>44</v>
      </c>
      <c r="AA3000" t="s">
        <v>44</v>
      </c>
      <c r="AB3000" t="s">
        <v>44</v>
      </c>
      <c r="AC3000" s="4"/>
      <c r="AD3000" s="4"/>
      <c r="AE3000" s="2">
        <v>0</v>
      </c>
      <c r="AF3000" s="4">
        <v>0</v>
      </c>
      <c r="AG3000" s="2">
        <v>1.81</v>
      </c>
      <c r="AH3000" s="2">
        <v>1815287.1</v>
      </c>
      <c r="AI3000" s="2">
        <v>0</v>
      </c>
      <c r="AJ3000" s="5">
        <v>44673</v>
      </c>
      <c r="AK3000" t="s">
        <v>12614</v>
      </c>
      <c r="AL3000" s="2">
        <v>0</v>
      </c>
      <c r="AM3000" s="2">
        <v>0</v>
      </c>
      <c r="AN3000" s="2">
        <v>0</v>
      </c>
      <c r="AO3000" t="s">
        <v>44</v>
      </c>
      <c r="AP3000" t="s">
        <v>44</v>
      </c>
      <c r="AQ3000" t="s">
        <v>43</v>
      </c>
    </row>
    <row r="3001" spans="1:43" x14ac:dyDescent="0.2">
      <c r="A3001" t="s">
        <v>12613</v>
      </c>
      <c r="B3001" t="s">
        <v>11038</v>
      </c>
      <c r="C3001" t="s">
        <v>11870</v>
      </c>
      <c r="D3001" t="s">
        <v>11056</v>
      </c>
      <c r="E3001" t="s">
        <v>11057</v>
      </c>
      <c r="F3001" t="s">
        <v>11056</v>
      </c>
      <c r="G3001" s="1">
        <v>3657154</v>
      </c>
      <c r="H3001" s="2">
        <v>3656280.62</v>
      </c>
      <c r="I3001" s="2">
        <v>3657154</v>
      </c>
      <c r="J3001" s="2">
        <v>94266.8</v>
      </c>
      <c r="K3001" s="2">
        <v>0</v>
      </c>
      <c r="L3001" s="2">
        <v>3751420.8</v>
      </c>
      <c r="M3001" s="3"/>
      <c r="N3001" s="4">
        <v>8.5348899999999998E-3</v>
      </c>
      <c r="O3001" s="5">
        <v>44692</v>
      </c>
      <c r="P3001" s="5">
        <v>44692</v>
      </c>
      <c r="Q3001" s="1">
        <v>13.067</v>
      </c>
      <c r="R3001" s="2"/>
      <c r="S3001" s="6"/>
      <c r="T3001" t="s">
        <v>111</v>
      </c>
      <c r="U3001" t="s">
        <v>11040</v>
      </c>
      <c r="V3001" t="s">
        <v>115</v>
      </c>
      <c r="W3001" t="s">
        <v>43</v>
      </c>
      <c r="X3001" t="s">
        <v>44</v>
      </c>
      <c r="Y3001" t="s">
        <v>44</v>
      </c>
      <c r="Z3001" t="s">
        <v>44</v>
      </c>
      <c r="AA3001" t="s">
        <v>10979</v>
      </c>
      <c r="AB3001" t="s">
        <v>44</v>
      </c>
      <c r="AC3001" s="4"/>
      <c r="AD3001" s="4"/>
      <c r="AE3001" s="2">
        <v>0</v>
      </c>
      <c r="AF3001" s="4">
        <v>0</v>
      </c>
      <c r="AG3001" s="2">
        <v>3.74</v>
      </c>
      <c r="AH3001" s="2">
        <v>3751420.8</v>
      </c>
      <c r="AI3001" s="2">
        <v>0.01</v>
      </c>
      <c r="AJ3001" s="5">
        <v>44673</v>
      </c>
      <c r="AK3001" t="s">
        <v>12614</v>
      </c>
      <c r="AL3001" s="2">
        <v>0</v>
      </c>
      <c r="AM3001" s="2">
        <v>13.07</v>
      </c>
      <c r="AN3001" s="2">
        <v>0</v>
      </c>
      <c r="AO3001" t="s">
        <v>10980</v>
      </c>
      <c r="AP3001" t="s">
        <v>11058</v>
      </c>
      <c r="AQ3001" t="s">
        <v>11057</v>
      </c>
    </row>
    <row r="3002" spans="1:43" x14ac:dyDescent="0.2">
      <c r="A3002" t="s">
        <v>12613</v>
      </c>
      <c r="B3002" t="s">
        <v>11038</v>
      </c>
      <c r="C3002" t="s">
        <v>11039</v>
      </c>
      <c r="D3002" t="s">
        <v>11216</v>
      </c>
      <c r="E3002" t="s">
        <v>11217</v>
      </c>
      <c r="F3002" t="s">
        <v>11216</v>
      </c>
      <c r="G3002" s="1">
        <v>1000000</v>
      </c>
      <c r="H3002" s="2">
        <v>1000000</v>
      </c>
      <c r="I3002" s="2">
        <v>998832.58</v>
      </c>
      <c r="J3002" s="2">
        <v>9780.82</v>
      </c>
      <c r="K3002" s="2">
        <v>0</v>
      </c>
      <c r="L3002" s="2">
        <v>1008613.4</v>
      </c>
      <c r="M3002" s="3">
        <v>6.0366650000000002</v>
      </c>
      <c r="N3002" s="4">
        <v>2.2947000000000002E-3</v>
      </c>
      <c r="O3002" s="5">
        <v>44979</v>
      </c>
      <c r="P3002" s="5">
        <v>44979</v>
      </c>
      <c r="Q3002" s="1">
        <v>5.95</v>
      </c>
      <c r="R3002" s="2">
        <v>0.83</v>
      </c>
      <c r="S3002" s="6">
        <v>0.79052188852000005</v>
      </c>
      <c r="T3002" t="s">
        <v>111</v>
      </c>
      <c r="U3002" t="s">
        <v>11040</v>
      </c>
      <c r="V3002" t="s">
        <v>11041</v>
      </c>
      <c r="W3002" t="s">
        <v>43</v>
      </c>
      <c r="X3002" t="s">
        <v>11034</v>
      </c>
      <c r="Y3002" t="s">
        <v>44</v>
      </c>
      <c r="Z3002" t="s">
        <v>44</v>
      </c>
      <c r="AA3002" t="s">
        <v>10979</v>
      </c>
      <c r="AB3002" t="s">
        <v>44</v>
      </c>
      <c r="AC3002" s="4">
        <v>6.0672128599999997</v>
      </c>
      <c r="AD3002" s="4">
        <v>5.9047591700000002</v>
      </c>
      <c r="AE3002" s="2">
        <v>6.07</v>
      </c>
      <c r="AF3002" s="4">
        <v>5.9047591700000002</v>
      </c>
      <c r="AG3002" s="2">
        <v>1</v>
      </c>
      <c r="AH3002" s="2">
        <v>1008613.4</v>
      </c>
      <c r="AI3002" s="2">
        <v>0</v>
      </c>
      <c r="AJ3002" s="5">
        <v>44673</v>
      </c>
      <c r="AK3002" t="s">
        <v>12614</v>
      </c>
      <c r="AL3002" s="2">
        <v>5.98</v>
      </c>
      <c r="AM3002" s="2">
        <v>5.95</v>
      </c>
      <c r="AN3002" s="2">
        <v>0.79</v>
      </c>
      <c r="AO3002" t="s">
        <v>11165</v>
      </c>
      <c r="AP3002" t="s">
        <v>11218</v>
      </c>
      <c r="AQ3002" t="s">
        <v>11217</v>
      </c>
    </row>
    <row r="3003" spans="1:43" x14ac:dyDescent="0.2">
      <c r="A3003" t="s">
        <v>12613</v>
      </c>
      <c r="B3003" t="s">
        <v>11038</v>
      </c>
      <c r="C3003" t="s">
        <v>11039</v>
      </c>
      <c r="D3003" t="s">
        <v>11042</v>
      </c>
      <c r="E3003" t="s">
        <v>11043</v>
      </c>
      <c r="F3003" t="s">
        <v>11042</v>
      </c>
      <c r="G3003" s="1">
        <v>4000000</v>
      </c>
      <c r="H3003" s="2">
        <v>4000000</v>
      </c>
      <c r="I3003" s="2">
        <v>3997186.51</v>
      </c>
      <c r="J3003" s="2">
        <v>44339.73</v>
      </c>
      <c r="K3003" s="2">
        <v>0</v>
      </c>
      <c r="L3003" s="2">
        <v>4041526.24</v>
      </c>
      <c r="M3003" s="3">
        <v>5.9730699999999999</v>
      </c>
      <c r="N3003" s="4">
        <v>9.1949100000000006E-3</v>
      </c>
      <c r="O3003" s="5">
        <v>44971</v>
      </c>
      <c r="P3003" s="5">
        <v>44971</v>
      </c>
      <c r="Q3003" s="1">
        <v>5.95</v>
      </c>
      <c r="R3003" s="2">
        <v>0.81</v>
      </c>
      <c r="S3003" s="6">
        <v>0.77099882388999996</v>
      </c>
      <c r="T3003" t="s">
        <v>111</v>
      </c>
      <c r="U3003" t="s">
        <v>11040</v>
      </c>
      <c r="V3003" t="s">
        <v>11041</v>
      </c>
      <c r="W3003" t="s">
        <v>43</v>
      </c>
      <c r="X3003" t="s">
        <v>11034</v>
      </c>
      <c r="Y3003" t="s">
        <v>44</v>
      </c>
      <c r="Z3003" t="s">
        <v>44</v>
      </c>
      <c r="AA3003" t="s">
        <v>11035</v>
      </c>
      <c r="AB3003" t="s">
        <v>44</v>
      </c>
      <c r="AC3003" s="4">
        <v>6.0068705900000001</v>
      </c>
      <c r="AD3003" s="4">
        <v>5.8475737299999997</v>
      </c>
      <c r="AE3003" s="2">
        <v>6.01</v>
      </c>
      <c r="AF3003" s="4">
        <v>5.8475737299999997</v>
      </c>
      <c r="AG3003" s="2">
        <v>4.03</v>
      </c>
      <c r="AH3003" s="2">
        <v>4041526.24</v>
      </c>
      <c r="AI3003" s="2">
        <v>0.01</v>
      </c>
      <c r="AJ3003" s="5">
        <v>44673</v>
      </c>
      <c r="AK3003" t="s">
        <v>12614</v>
      </c>
      <c r="AL3003" s="2">
        <v>5.92</v>
      </c>
      <c r="AM3003" s="2">
        <v>5.95</v>
      </c>
      <c r="AN3003" s="2">
        <v>0.77</v>
      </c>
      <c r="AO3003" t="s">
        <v>11036</v>
      </c>
      <c r="AP3003" t="s">
        <v>11044</v>
      </c>
      <c r="AQ3003" t="s">
        <v>11043</v>
      </c>
    </row>
    <row r="3004" spans="1:43" x14ac:dyDescent="0.2">
      <c r="A3004" t="s">
        <v>12613</v>
      </c>
      <c r="B3004" t="s">
        <v>11038</v>
      </c>
      <c r="C3004" t="s">
        <v>11039</v>
      </c>
      <c r="D3004" t="s">
        <v>12844</v>
      </c>
      <c r="E3004" t="s">
        <v>12845</v>
      </c>
      <c r="F3004" t="s">
        <v>12844</v>
      </c>
      <c r="G3004" s="1">
        <v>1000000</v>
      </c>
      <c r="H3004" s="2">
        <v>1000000</v>
      </c>
      <c r="I3004" s="2">
        <v>1001043.16</v>
      </c>
      <c r="J3004" s="2">
        <v>4001.37</v>
      </c>
      <c r="K3004" s="2">
        <v>0</v>
      </c>
      <c r="L3004" s="2">
        <v>1005044.53</v>
      </c>
      <c r="M3004" s="3">
        <v>6.2045560000000002</v>
      </c>
      <c r="N3004" s="4">
        <v>2.2865799999999999E-3</v>
      </c>
      <c r="O3004" s="5">
        <v>45016</v>
      </c>
      <c r="P3004" s="5">
        <v>45016</v>
      </c>
      <c r="Q3004" s="1">
        <v>6.35</v>
      </c>
      <c r="R3004" s="2">
        <v>0.93</v>
      </c>
      <c r="S3004" s="6">
        <v>0.88061116438999998</v>
      </c>
      <c r="T3004" t="s">
        <v>111</v>
      </c>
      <c r="U3004" t="s">
        <v>11040</v>
      </c>
      <c r="V3004" t="s">
        <v>11041</v>
      </c>
      <c r="W3004" t="s">
        <v>43</v>
      </c>
      <c r="X3004" t="s">
        <v>11034</v>
      </c>
      <c r="Y3004" t="s">
        <v>44</v>
      </c>
      <c r="Z3004" t="s">
        <v>44</v>
      </c>
      <c r="AA3004" t="s">
        <v>11035</v>
      </c>
      <c r="AB3004" t="s">
        <v>44</v>
      </c>
      <c r="AC3004" s="4">
        <v>6.2175109700000002</v>
      </c>
      <c r="AD3004" s="4">
        <v>6.0470648499999999</v>
      </c>
      <c r="AE3004" s="2">
        <v>6.22</v>
      </c>
      <c r="AF3004" s="4">
        <v>6.0470648499999999</v>
      </c>
      <c r="AG3004" s="2">
        <v>1</v>
      </c>
      <c r="AH3004" s="2">
        <v>1005044.53</v>
      </c>
      <c r="AI3004" s="2">
        <v>0</v>
      </c>
      <c r="AJ3004" s="5">
        <v>44673</v>
      </c>
      <c r="AK3004" t="s">
        <v>12614</v>
      </c>
      <c r="AL3004" s="2">
        <v>6.12</v>
      </c>
      <c r="AM3004" s="2">
        <v>6.35</v>
      </c>
      <c r="AN3004" s="2">
        <v>0.88</v>
      </c>
      <c r="AO3004" t="s">
        <v>11036</v>
      </c>
      <c r="AP3004" t="s">
        <v>12846</v>
      </c>
      <c r="AQ3004" t="s">
        <v>12845</v>
      </c>
    </row>
    <row r="3005" spans="1:43" x14ac:dyDescent="0.2">
      <c r="A3005" t="s">
        <v>12613</v>
      </c>
      <c r="B3005" t="s">
        <v>11038</v>
      </c>
      <c r="C3005" t="s">
        <v>11039</v>
      </c>
      <c r="D3005" t="s">
        <v>11930</v>
      </c>
      <c r="E3005" t="s">
        <v>11931</v>
      </c>
      <c r="F3005" t="s">
        <v>11930</v>
      </c>
      <c r="G3005" s="1">
        <v>700000</v>
      </c>
      <c r="H3005" s="2">
        <v>700000</v>
      </c>
      <c r="I3005" s="2">
        <v>701705.4</v>
      </c>
      <c r="J3005" s="2">
        <v>10398.129999999999</v>
      </c>
      <c r="K3005" s="2">
        <v>0</v>
      </c>
      <c r="L3005" s="2">
        <v>712103.53</v>
      </c>
      <c r="M3005" s="3">
        <v>6.0853989999999998</v>
      </c>
      <c r="N3005" s="4">
        <v>1.6201099999999999E-3</v>
      </c>
      <c r="O3005" s="5">
        <v>44676</v>
      </c>
      <c r="P3005" s="5">
        <v>44858</v>
      </c>
      <c r="Q3005" s="1">
        <v>6.0919999999999996</v>
      </c>
      <c r="R3005" s="2">
        <v>0.25</v>
      </c>
      <c r="S3005" s="6">
        <v>-5.0177142469999998E-3</v>
      </c>
      <c r="T3005" t="s">
        <v>111</v>
      </c>
      <c r="U3005" t="s">
        <v>11040</v>
      </c>
      <c r="V3005" t="s">
        <v>114</v>
      </c>
      <c r="W3005" t="s">
        <v>43</v>
      </c>
      <c r="X3005" t="s">
        <v>10988</v>
      </c>
      <c r="Y3005" t="s">
        <v>44</v>
      </c>
      <c r="Z3005" t="s">
        <v>44</v>
      </c>
      <c r="AA3005" t="s">
        <v>10979</v>
      </c>
      <c r="AB3005" t="s">
        <v>44</v>
      </c>
      <c r="AC3005" s="4">
        <v>6.2258147800000003</v>
      </c>
      <c r="AD3005" s="4">
        <v>6.0549217000000004</v>
      </c>
      <c r="AE3005" s="2">
        <v>6.23</v>
      </c>
      <c r="AF3005" s="4">
        <v>6.0549217000000004</v>
      </c>
      <c r="AG3005" s="2">
        <v>0.71</v>
      </c>
      <c r="AH3005" s="2">
        <v>712103.53</v>
      </c>
      <c r="AI3005" s="2">
        <v>0</v>
      </c>
      <c r="AJ3005" s="5">
        <v>44673</v>
      </c>
      <c r="AK3005" t="s">
        <v>12614</v>
      </c>
      <c r="AL3005" s="2">
        <v>6.13</v>
      </c>
      <c r="AM3005" s="2">
        <v>6.09</v>
      </c>
      <c r="AN3005" s="2">
        <v>-0.01</v>
      </c>
      <c r="AO3005" t="s">
        <v>11048</v>
      </c>
      <c r="AP3005" t="s">
        <v>11932</v>
      </c>
      <c r="AQ3005" t="s">
        <v>11931</v>
      </c>
    </row>
    <row r="3006" spans="1:43" x14ac:dyDescent="0.2">
      <c r="A3006" t="s">
        <v>12613</v>
      </c>
      <c r="B3006" t="s">
        <v>11038</v>
      </c>
      <c r="C3006" t="s">
        <v>11222</v>
      </c>
      <c r="D3006" t="s">
        <v>11891</v>
      </c>
      <c r="E3006" t="s">
        <v>11892</v>
      </c>
      <c r="F3006" t="s">
        <v>11891</v>
      </c>
      <c r="G3006" s="1">
        <v>3000000</v>
      </c>
      <c r="H3006" s="2">
        <v>3000000</v>
      </c>
      <c r="I3006" s="2">
        <v>3004522.04</v>
      </c>
      <c r="J3006" s="2">
        <v>25723.97</v>
      </c>
      <c r="K3006" s="2">
        <v>0</v>
      </c>
      <c r="L3006" s="2">
        <v>3030246.01</v>
      </c>
      <c r="M3006" s="3">
        <v>7.9353490000000004</v>
      </c>
      <c r="N3006" s="4">
        <v>6.89414E-3</v>
      </c>
      <c r="O3006" s="5">
        <v>44727</v>
      </c>
      <c r="P3006" s="5">
        <v>45642</v>
      </c>
      <c r="Q3006" s="1">
        <v>8.0250000000000004</v>
      </c>
      <c r="R3006" s="2">
        <v>0.14000000000000001</v>
      </c>
      <c r="S3006" s="6">
        <v>7.6335008319000003E-2</v>
      </c>
      <c r="T3006" t="s">
        <v>111</v>
      </c>
      <c r="U3006" t="s">
        <v>11040</v>
      </c>
      <c r="V3006" t="s">
        <v>114</v>
      </c>
      <c r="W3006" t="s">
        <v>43</v>
      </c>
      <c r="X3006" t="s">
        <v>10988</v>
      </c>
      <c r="Y3006" t="s">
        <v>44</v>
      </c>
      <c r="Z3006" t="s">
        <v>44</v>
      </c>
      <c r="AA3006" t="s">
        <v>44</v>
      </c>
      <c r="AB3006" t="s">
        <v>44</v>
      </c>
      <c r="AC3006" s="4">
        <v>8.2114278699999996</v>
      </c>
      <c r="AD3006" s="4">
        <v>7.9176856799999999</v>
      </c>
      <c r="AE3006" s="2">
        <v>8.2100000000000009</v>
      </c>
      <c r="AF3006" s="4">
        <v>7.9176856799999999</v>
      </c>
      <c r="AG3006" s="2">
        <v>3.02</v>
      </c>
      <c r="AH3006" s="2">
        <v>3030246.01</v>
      </c>
      <c r="AI3006" s="2">
        <v>0.01</v>
      </c>
      <c r="AJ3006" s="5">
        <v>44673</v>
      </c>
      <c r="AK3006" t="s">
        <v>12614</v>
      </c>
      <c r="AL3006" s="2">
        <v>8.0500000000000007</v>
      </c>
      <c r="AM3006" s="2">
        <v>8.0299999999999994</v>
      </c>
      <c r="AN3006" s="2">
        <v>0.08</v>
      </c>
      <c r="AO3006" t="s">
        <v>11871</v>
      </c>
      <c r="AP3006" t="s">
        <v>11893</v>
      </c>
      <c r="AQ3006" t="s">
        <v>11892</v>
      </c>
    </row>
    <row r="3007" spans="1:43" x14ac:dyDescent="0.2">
      <c r="A3007" t="s">
        <v>12613</v>
      </c>
      <c r="B3007" t="s">
        <v>11038</v>
      </c>
      <c r="C3007" t="s">
        <v>11222</v>
      </c>
      <c r="D3007" t="s">
        <v>11648</v>
      </c>
      <c r="E3007" t="s">
        <v>11649</v>
      </c>
      <c r="F3007" t="s">
        <v>11648</v>
      </c>
      <c r="G3007" s="1">
        <v>2000000</v>
      </c>
      <c r="H3007" s="2">
        <v>2000000</v>
      </c>
      <c r="I3007" s="2">
        <v>2005800.49</v>
      </c>
      <c r="J3007" s="2">
        <v>18247.560000000001</v>
      </c>
      <c r="K3007" s="2">
        <v>0</v>
      </c>
      <c r="L3007" s="2">
        <v>2024048.05</v>
      </c>
      <c r="M3007" s="3">
        <v>6.0302819999999997</v>
      </c>
      <c r="N3007" s="4">
        <v>4.6049300000000001E-3</v>
      </c>
      <c r="O3007" s="5">
        <v>44712</v>
      </c>
      <c r="P3007" s="5">
        <v>45260</v>
      </c>
      <c r="Q3007" s="1">
        <v>6.1669999999999998</v>
      </c>
      <c r="R3007" s="2">
        <v>0.1</v>
      </c>
      <c r="S3007" s="6">
        <v>7.8177650525999995E-2</v>
      </c>
      <c r="T3007" t="s">
        <v>111</v>
      </c>
      <c r="U3007" t="s">
        <v>11040</v>
      </c>
      <c r="V3007" t="s">
        <v>114</v>
      </c>
      <c r="W3007" t="s">
        <v>43</v>
      </c>
      <c r="X3007" t="s">
        <v>10988</v>
      </c>
      <c r="Y3007" t="s">
        <v>44</v>
      </c>
      <c r="Z3007" t="s">
        <v>44</v>
      </c>
      <c r="AA3007" t="s">
        <v>10979</v>
      </c>
      <c r="AB3007" t="s">
        <v>44</v>
      </c>
      <c r="AC3007" s="4">
        <v>6.1968427300000002</v>
      </c>
      <c r="AD3007" s="4">
        <v>6.0275066400000004</v>
      </c>
      <c r="AE3007" s="2">
        <v>6.2</v>
      </c>
      <c r="AF3007" s="4">
        <v>6.0275066400000004</v>
      </c>
      <c r="AG3007" s="2">
        <v>2.02</v>
      </c>
      <c r="AH3007" s="2">
        <v>2024048.05</v>
      </c>
      <c r="AI3007" s="2">
        <v>0</v>
      </c>
      <c r="AJ3007" s="5">
        <v>44673</v>
      </c>
      <c r="AK3007" t="s">
        <v>12614</v>
      </c>
      <c r="AL3007" s="2">
        <v>6.1</v>
      </c>
      <c r="AM3007" s="2">
        <v>6.17</v>
      </c>
      <c r="AN3007" s="2">
        <v>0.08</v>
      </c>
      <c r="AO3007" t="s">
        <v>11048</v>
      </c>
      <c r="AP3007" t="s">
        <v>11650</v>
      </c>
      <c r="AQ3007" t="s">
        <v>11649</v>
      </c>
    </row>
    <row r="3008" spans="1:43" x14ac:dyDescent="0.2">
      <c r="A3008" t="s">
        <v>12613</v>
      </c>
      <c r="B3008" t="s">
        <v>11038</v>
      </c>
      <c r="C3008" t="s">
        <v>11222</v>
      </c>
      <c r="D3008" t="s">
        <v>11897</v>
      </c>
      <c r="E3008" t="s">
        <v>11898</v>
      </c>
      <c r="F3008" t="s">
        <v>11897</v>
      </c>
      <c r="G3008" s="1">
        <v>600000</v>
      </c>
      <c r="H3008" s="2">
        <v>600000</v>
      </c>
      <c r="I3008" s="2">
        <v>599921.68000000005</v>
      </c>
      <c r="J3008" s="2">
        <v>4803.2700000000004</v>
      </c>
      <c r="K3008" s="2">
        <v>0</v>
      </c>
      <c r="L3008" s="2">
        <v>604724.94999999995</v>
      </c>
      <c r="M3008" s="3">
        <v>6.2678570000000002</v>
      </c>
      <c r="N3008" s="4">
        <v>1.3758100000000001E-3</v>
      </c>
      <c r="O3008" s="5">
        <v>44719</v>
      </c>
      <c r="P3008" s="5">
        <v>45723</v>
      </c>
      <c r="Q3008" s="1">
        <v>6.2169999999999996</v>
      </c>
      <c r="R3008" s="2">
        <v>0.12</v>
      </c>
      <c r="S3008" s="6">
        <v>7.7282729554999999E-2</v>
      </c>
      <c r="T3008" t="s">
        <v>111</v>
      </c>
      <c r="U3008" t="s">
        <v>11040</v>
      </c>
      <c r="V3008" t="s">
        <v>114</v>
      </c>
      <c r="W3008" t="s">
        <v>43</v>
      </c>
      <c r="X3008" t="s">
        <v>10988</v>
      </c>
      <c r="Y3008" t="s">
        <v>44</v>
      </c>
      <c r="Z3008" t="s">
        <v>44</v>
      </c>
      <c r="AA3008" t="s">
        <v>11035</v>
      </c>
      <c r="AB3008" t="s">
        <v>44</v>
      </c>
      <c r="AC3008" s="4">
        <v>6.4439416999999999</v>
      </c>
      <c r="AD3008" s="4">
        <v>6.2611065000000004</v>
      </c>
      <c r="AE3008" s="2">
        <v>6.44</v>
      </c>
      <c r="AF3008" s="4">
        <v>6.2611065000000004</v>
      </c>
      <c r="AG3008" s="2">
        <v>0.6</v>
      </c>
      <c r="AH3008" s="2">
        <v>604724.94999999995</v>
      </c>
      <c r="AI3008" s="2">
        <v>0</v>
      </c>
      <c r="AJ3008" s="5">
        <v>44673</v>
      </c>
      <c r="AK3008" t="s">
        <v>12614</v>
      </c>
      <c r="AL3008" s="2">
        <v>6.34</v>
      </c>
      <c r="AM3008" s="2">
        <v>6.22</v>
      </c>
      <c r="AN3008" s="2">
        <v>0.08</v>
      </c>
      <c r="AO3008" t="s">
        <v>11437</v>
      </c>
      <c r="AP3008" t="s">
        <v>11899</v>
      </c>
      <c r="AQ3008" t="s">
        <v>11898</v>
      </c>
    </row>
    <row r="3009" spans="1:43" x14ac:dyDescent="0.2">
      <c r="A3009" t="s">
        <v>12613</v>
      </c>
      <c r="B3009" t="s">
        <v>11038</v>
      </c>
      <c r="C3009" t="s">
        <v>11222</v>
      </c>
      <c r="D3009" t="s">
        <v>11900</v>
      </c>
      <c r="E3009" t="s">
        <v>11901</v>
      </c>
      <c r="F3009" t="s">
        <v>11900</v>
      </c>
      <c r="G3009" s="1">
        <v>2000000</v>
      </c>
      <c r="H3009" s="2">
        <v>2000000</v>
      </c>
      <c r="I3009" s="2">
        <v>2006612.55</v>
      </c>
      <c r="J3009" s="2">
        <v>25374.9</v>
      </c>
      <c r="K3009" s="2">
        <v>0</v>
      </c>
      <c r="L3009" s="2">
        <v>2031987.45</v>
      </c>
      <c r="M3009" s="3">
        <v>6.1260430000000001</v>
      </c>
      <c r="N3009" s="4">
        <v>4.6229900000000004E-3</v>
      </c>
      <c r="O3009" s="5">
        <v>44690</v>
      </c>
      <c r="P3009" s="5">
        <v>45330</v>
      </c>
      <c r="Q3009" s="1">
        <v>6.258</v>
      </c>
      <c r="R3009" s="2">
        <v>0.04</v>
      </c>
      <c r="S3009" s="6">
        <v>1.7773178866000001E-2</v>
      </c>
      <c r="T3009" t="s">
        <v>111</v>
      </c>
      <c r="U3009" t="s">
        <v>11040</v>
      </c>
      <c r="V3009" t="s">
        <v>114</v>
      </c>
      <c r="W3009" t="s">
        <v>43</v>
      </c>
      <c r="X3009" t="s">
        <v>10988</v>
      </c>
      <c r="Y3009" t="s">
        <v>44</v>
      </c>
      <c r="Z3009" t="s">
        <v>44</v>
      </c>
      <c r="AA3009" t="s">
        <v>10979</v>
      </c>
      <c r="AB3009" t="s">
        <v>44</v>
      </c>
      <c r="AC3009" s="4">
        <v>6.3099366400000001</v>
      </c>
      <c r="AD3009" s="4">
        <v>6.1344839599999998</v>
      </c>
      <c r="AE3009" s="2">
        <v>6.31</v>
      </c>
      <c r="AF3009" s="4">
        <v>6.1344839599999998</v>
      </c>
      <c r="AG3009" s="2">
        <v>2.02</v>
      </c>
      <c r="AH3009" s="2">
        <v>2031987.45</v>
      </c>
      <c r="AI3009" s="2">
        <v>0</v>
      </c>
      <c r="AJ3009" s="5">
        <v>44673</v>
      </c>
      <c r="AK3009" t="s">
        <v>12614</v>
      </c>
      <c r="AL3009" s="2">
        <v>6.21</v>
      </c>
      <c r="AM3009" s="2">
        <v>6.26</v>
      </c>
      <c r="AN3009" s="2">
        <v>0.02</v>
      </c>
      <c r="AO3009" t="s">
        <v>11824</v>
      </c>
      <c r="AP3009" t="s">
        <v>11902</v>
      </c>
      <c r="AQ3009" t="s">
        <v>11901</v>
      </c>
    </row>
    <row r="3010" spans="1:43" x14ac:dyDescent="0.2">
      <c r="A3010" t="s">
        <v>12613</v>
      </c>
      <c r="B3010" t="s">
        <v>11038</v>
      </c>
      <c r="C3010" t="s">
        <v>11222</v>
      </c>
      <c r="D3010" t="s">
        <v>11903</v>
      </c>
      <c r="E3010" t="s">
        <v>11904</v>
      </c>
      <c r="F3010" t="s">
        <v>11903</v>
      </c>
      <c r="G3010" s="1">
        <v>2400000</v>
      </c>
      <c r="H3010" s="2">
        <v>2400000</v>
      </c>
      <c r="I3010" s="2">
        <v>2399947.08</v>
      </c>
      <c r="J3010" s="2">
        <v>29196.1</v>
      </c>
      <c r="K3010" s="2">
        <v>0</v>
      </c>
      <c r="L3010" s="2">
        <v>2429143.1800000002</v>
      </c>
      <c r="M3010" s="3">
        <v>6.2325840000000001</v>
      </c>
      <c r="N3010" s="4">
        <v>5.5265599999999998E-3</v>
      </c>
      <c r="O3010" s="5">
        <v>44691</v>
      </c>
      <c r="P3010" s="5">
        <v>45422</v>
      </c>
      <c r="Q3010" s="1">
        <v>6.1669999999999998</v>
      </c>
      <c r="R3010" s="2">
        <v>0.04</v>
      </c>
      <c r="S3010" s="6">
        <v>1.3346666328999999E-2</v>
      </c>
      <c r="T3010" t="s">
        <v>111</v>
      </c>
      <c r="U3010" t="s">
        <v>11040</v>
      </c>
      <c r="V3010" t="s">
        <v>114</v>
      </c>
      <c r="W3010" t="s">
        <v>43</v>
      </c>
      <c r="X3010" t="s">
        <v>10988</v>
      </c>
      <c r="Y3010" t="s">
        <v>44</v>
      </c>
      <c r="Z3010" t="s">
        <v>44</v>
      </c>
      <c r="AA3010" t="s">
        <v>11035</v>
      </c>
      <c r="AB3010" t="s">
        <v>44</v>
      </c>
      <c r="AC3010" s="4">
        <v>6.4224278899999998</v>
      </c>
      <c r="AD3010" s="4">
        <v>6.2407877699999998</v>
      </c>
      <c r="AE3010" s="2">
        <v>6.42</v>
      </c>
      <c r="AF3010" s="4">
        <v>6.2407877699999998</v>
      </c>
      <c r="AG3010" s="2">
        <v>2.42</v>
      </c>
      <c r="AH3010" s="2">
        <v>2429143.1800000002</v>
      </c>
      <c r="AI3010" s="2">
        <v>0.01</v>
      </c>
      <c r="AJ3010" s="5">
        <v>44673</v>
      </c>
      <c r="AK3010" t="s">
        <v>12614</v>
      </c>
      <c r="AL3010" s="2">
        <v>6.32</v>
      </c>
      <c r="AM3010" s="2">
        <v>6.17</v>
      </c>
      <c r="AN3010" s="2">
        <v>0.01</v>
      </c>
      <c r="AO3010" t="s">
        <v>11437</v>
      </c>
      <c r="AP3010" t="s">
        <v>11905</v>
      </c>
      <c r="AQ3010" t="s">
        <v>11904</v>
      </c>
    </row>
    <row r="3011" spans="1:43" x14ac:dyDescent="0.2">
      <c r="A3011" t="s">
        <v>12613</v>
      </c>
      <c r="B3011" t="s">
        <v>11160</v>
      </c>
      <c r="C3011" t="s">
        <v>11161</v>
      </c>
      <c r="D3011" t="s">
        <v>11162</v>
      </c>
      <c r="E3011" t="s">
        <v>11163</v>
      </c>
      <c r="F3011" t="s">
        <v>11162</v>
      </c>
      <c r="G3011" s="1">
        <v>484</v>
      </c>
      <c r="H3011" s="2">
        <v>334725.63</v>
      </c>
      <c r="I3011" s="2">
        <v>435600</v>
      </c>
      <c r="J3011" s="2">
        <v>0</v>
      </c>
      <c r="K3011" s="2">
        <v>12071.49</v>
      </c>
      <c r="L3011" s="2">
        <v>447671.49</v>
      </c>
      <c r="M3011" s="3">
        <v>90000</v>
      </c>
      <c r="N3011" s="4">
        <v>1.0185000000000001E-3</v>
      </c>
      <c r="O3011" s="5" t="s">
        <v>44</v>
      </c>
      <c r="P3011" s="5" t="s">
        <v>44</v>
      </c>
      <c r="Q3011" s="1"/>
      <c r="R3011" s="2"/>
      <c r="S3011" s="6"/>
      <c r="T3011" t="s">
        <v>10902</v>
      </c>
      <c r="U3011" t="s">
        <v>10902</v>
      </c>
      <c r="V3011" t="s">
        <v>11164</v>
      </c>
      <c r="W3011" t="s">
        <v>43</v>
      </c>
      <c r="X3011" t="s">
        <v>44</v>
      </c>
      <c r="Y3011" t="s">
        <v>44</v>
      </c>
      <c r="Z3011" t="s">
        <v>44</v>
      </c>
      <c r="AA3011" t="s">
        <v>10979</v>
      </c>
      <c r="AB3011" t="s">
        <v>44</v>
      </c>
      <c r="AC3011" s="4"/>
      <c r="AD3011" s="4"/>
      <c r="AE3011" s="2">
        <v>0</v>
      </c>
      <c r="AF3011" s="4">
        <v>0</v>
      </c>
      <c r="AG3011" s="2">
        <v>0.45</v>
      </c>
      <c r="AH3011" s="2">
        <v>447671.49</v>
      </c>
      <c r="AI3011" s="2">
        <v>0</v>
      </c>
      <c r="AJ3011" s="5">
        <v>44673</v>
      </c>
      <c r="AK3011" t="s">
        <v>12614</v>
      </c>
      <c r="AL3011" s="2">
        <v>0</v>
      </c>
      <c r="AM3011" s="2">
        <v>0</v>
      </c>
      <c r="AN3011" s="2">
        <v>0</v>
      </c>
      <c r="AO3011" t="s">
        <v>11165</v>
      </c>
      <c r="AP3011" t="s">
        <v>11166</v>
      </c>
      <c r="AQ3011" t="s">
        <v>11163</v>
      </c>
    </row>
    <row r="3012" spans="1:43" x14ac:dyDescent="0.2">
      <c r="A3012" t="s">
        <v>12613</v>
      </c>
      <c r="B3012" t="s">
        <v>11160</v>
      </c>
      <c r="C3012" t="s">
        <v>11161</v>
      </c>
      <c r="D3012" t="s">
        <v>11176</v>
      </c>
      <c r="E3012" t="s">
        <v>11177</v>
      </c>
      <c r="F3012" t="s">
        <v>11178</v>
      </c>
      <c r="G3012" s="1">
        <v>46416</v>
      </c>
      <c r="H3012" s="2">
        <v>3778109.78</v>
      </c>
      <c r="I3012" s="2">
        <v>4288374.24</v>
      </c>
      <c r="J3012" s="2">
        <v>0</v>
      </c>
      <c r="K3012" s="2">
        <v>0</v>
      </c>
      <c r="L3012" s="2">
        <v>4288374.24</v>
      </c>
      <c r="M3012" s="3">
        <v>9239</v>
      </c>
      <c r="N3012" s="4">
        <v>9.7565099999999995E-3</v>
      </c>
      <c r="O3012" s="5" t="s">
        <v>44</v>
      </c>
      <c r="P3012" s="5" t="s">
        <v>44</v>
      </c>
      <c r="Q3012" s="1"/>
      <c r="R3012" s="2"/>
      <c r="S3012" s="6"/>
      <c r="T3012" t="s">
        <v>10902</v>
      </c>
      <c r="U3012" t="s">
        <v>10902</v>
      </c>
      <c r="V3012" t="s">
        <v>11164</v>
      </c>
      <c r="W3012" t="s">
        <v>43</v>
      </c>
      <c r="X3012" t="s">
        <v>44</v>
      </c>
      <c r="Y3012" t="s">
        <v>44</v>
      </c>
      <c r="Z3012" t="s">
        <v>44</v>
      </c>
      <c r="AA3012" t="s">
        <v>10979</v>
      </c>
      <c r="AB3012" t="s">
        <v>44</v>
      </c>
      <c r="AC3012" s="4"/>
      <c r="AD3012" s="4"/>
      <c r="AE3012" s="2">
        <v>0</v>
      </c>
      <c r="AF3012" s="4">
        <v>0</v>
      </c>
      <c r="AG3012" s="2">
        <v>4.2699999999999996</v>
      </c>
      <c r="AH3012" s="2">
        <v>4288374.24</v>
      </c>
      <c r="AI3012" s="2">
        <v>0.01</v>
      </c>
      <c r="AJ3012" s="5">
        <v>44673</v>
      </c>
      <c r="AK3012" t="s">
        <v>12614</v>
      </c>
      <c r="AL3012" s="2">
        <v>0</v>
      </c>
      <c r="AM3012" s="2">
        <v>0</v>
      </c>
      <c r="AN3012" s="2">
        <v>0</v>
      </c>
      <c r="AO3012" t="s">
        <v>11179</v>
      </c>
      <c r="AP3012" t="s">
        <v>11180</v>
      </c>
      <c r="AQ3012" t="s">
        <v>11177</v>
      </c>
    </row>
    <row r="3013" spans="1:43" x14ac:dyDescent="0.2">
      <c r="A3013" t="s">
        <v>12615</v>
      </c>
      <c r="B3013" t="s">
        <v>10900</v>
      </c>
      <c r="C3013" t="s">
        <v>11049</v>
      </c>
      <c r="D3013" t="s">
        <v>11435</v>
      </c>
      <c r="E3013" t="s">
        <v>11436</v>
      </c>
      <c r="F3013" t="s">
        <v>11435</v>
      </c>
      <c r="G3013" s="1">
        <v>12000000</v>
      </c>
      <c r="H3013" s="2">
        <v>12000000</v>
      </c>
      <c r="I3013" s="2">
        <v>11963864.619999999</v>
      </c>
      <c r="J3013" s="2">
        <v>79816.44</v>
      </c>
      <c r="K3013" s="2">
        <v>0</v>
      </c>
      <c r="L3013" s="2">
        <v>12043681.060000001</v>
      </c>
      <c r="M3013" s="3">
        <v>6.6753489999999998</v>
      </c>
      <c r="N3013" s="4">
        <v>2.7400669999999998E-2</v>
      </c>
      <c r="O3013" s="5">
        <v>44727</v>
      </c>
      <c r="P3013" s="5">
        <v>44970</v>
      </c>
      <c r="Q3013" s="1">
        <v>6.2249999999999996</v>
      </c>
      <c r="R3013" s="2">
        <v>0.14000000000000001</v>
      </c>
      <c r="S3013" s="6">
        <v>0.118472349487</v>
      </c>
      <c r="T3013" t="s">
        <v>111</v>
      </c>
      <c r="U3013" t="s">
        <v>111</v>
      </c>
      <c r="V3013" t="s">
        <v>114</v>
      </c>
      <c r="W3013" t="s">
        <v>43</v>
      </c>
      <c r="X3013" t="s">
        <v>10988</v>
      </c>
      <c r="Y3013" t="s">
        <v>44</v>
      </c>
      <c r="Z3013" t="s">
        <v>44</v>
      </c>
      <c r="AA3013" t="s">
        <v>11035</v>
      </c>
      <c r="AB3013" t="s">
        <v>44</v>
      </c>
      <c r="AC3013" s="4">
        <v>6.78675008</v>
      </c>
      <c r="AD3013" s="4">
        <v>6.5843653</v>
      </c>
      <c r="AE3013" s="2">
        <v>6.79</v>
      </c>
      <c r="AF3013" s="4">
        <v>6.5843653</v>
      </c>
      <c r="AG3013" s="2">
        <v>2.11</v>
      </c>
      <c r="AH3013" s="2">
        <v>12043681.060000001</v>
      </c>
      <c r="AI3013" s="2">
        <v>0.03</v>
      </c>
      <c r="AJ3013" s="5">
        <v>44673</v>
      </c>
      <c r="AK3013" t="s">
        <v>12616</v>
      </c>
      <c r="AL3013" s="2">
        <v>6.68</v>
      </c>
      <c r="AM3013" s="2">
        <v>6.22</v>
      </c>
      <c r="AN3013" s="2">
        <v>0.12</v>
      </c>
      <c r="AO3013" t="s">
        <v>11437</v>
      </c>
      <c r="AP3013" t="s">
        <v>11438</v>
      </c>
      <c r="AQ3013" t="s">
        <v>11436</v>
      </c>
    </row>
    <row r="3014" spans="1:43" x14ac:dyDescent="0.2">
      <c r="A3014" t="s">
        <v>12615</v>
      </c>
      <c r="B3014" t="s">
        <v>10900</v>
      </c>
      <c r="C3014" t="s">
        <v>11049</v>
      </c>
      <c r="D3014" t="s">
        <v>11453</v>
      </c>
      <c r="E3014" t="s">
        <v>11454</v>
      </c>
      <c r="F3014" t="s">
        <v>11453</v>
      </c>
      <c r="G3014" s="1">
        <v>2600000</v>
      </c>
      <c r="H3014" s="2">
        <v>2600000</v>
      </c>
      <c r="I3014" s="2">
        <v>2609821.21</v>
      </c>
      <c r="J3014" s="2">
        <v>20875.36</v>
      </c>
      <c r="K3014" s="2">
        <v>0</v>
      </c>
      <c r="L3014" s="2">
        <v>2630696.5699999998</v>
      </c>
      <c r="M3014" s="3">
        <v>5.0248049999999997</v>
      </c>
      <c r="N3014" s="4">
        <v>5.98512E-3</v>
      </c>
      <c r="O3014" s="5">
        <v>44707</v>
      </c>
      <c r="P3014" s="5">
        <v>44983</v>
      </c>
      <c r="Q3014" s="1">
        <v>5.4269999999999996</v>
      </c>
      <c r="R3014" s="2">
        <v>0.08</v>
      </c>
      <c r="S3014" s="6">
        <v>7.8644503066000002E-2</v>
      </c>
      <c r="T3014" t="s">
        <v>111</v>
      </c>
      <c r="U3014" t="s">
        <v>111</v>
      </c>
      <c r="V3014" t="s">
        <v>11189</v>
      </c>
      <c r="W3014" t="s">
        <v>43</v>
      </c>
      <c r="X3014" t="s">
        <v>11034</v>
      </c>
      <c r="Y3014" t="s">
        <v>44</v>
      </c>
      <c r="Z3014" t="s">
        <v>44</v>
      </c>
      <c r="AA3014" t="s">
        <v>11441</v>
      </c>
      <c r="AB3014" t="s">
        <v>44</v>
      </c>
      <c r="AC3014" s="4">
        <v>5.0879264600000003</v>
      </c>
      <c r="AD3014" s="4">
        <v>4.9729969399999998</v>
      </c>
      <c r="AE3014" s="2">
        <v>5.09</v>
      </c>
      <c r="AF3014" s="4">
        <v>4.9729969399999998</v>
      </c>
      <c r="AG3014" s="2">
        <v>0.46</v>
      </c>
      <c r="AH3014" s="2">
        <v>2630696.5699999998</v>
      </c>
      <c r="AI3014" s="2">
        <v>0.01</v>
      </c>
      <c r="AJ3014" s="5">
        <v>44673</v>
      </c>
      <c r="AK3014" t="s">
        <v>12616</v>
      </c>
      <c r="AL3014" s="2">
        <v>5.0199999999999996</v>
      </c>
      <c r="AM3014" s="2">
        <v>5.43</v>
      </c>
      <c r="AN3014" s="2">
        <v>0.08</v>
      </c>
      <c r="AO3014" t="s">
        <v>11455</v>
      </c>
      <c r="AP3014" t="s">
        <v>11456</v>
      </c>
      <c r="AQ3014" t="s">
        <v>11454</v>
      </c>
    </row>
    <row r="3015" spans="1:43" x14ac:dyDescent="0.2">
      <c r="A3015" t="s">
        <v>12615</v>
      </c>
      <c r="B3015" t="s">
        <v>10900</v>
      </c>
      <c r="C3015" t="s">
        <v>11049</v>
      </c>
      <c r="D3015" t="s">
        <v>11457</v>
      </c>
      <c r="E3015" t="s">
        <v>11458</v>
      </c>
      <c r="F3015" t="s">
        <v>11457</v>
      </c>
      <c r="G3015" s="1">
        <v>3000000</v>
      </c>
      <c r="H3015" s="2">
        <v>3000000</v>
      </c>
      <c r="I3015" s="2">
        <v>3000011.14</v>
      </c>
      <c r="J3015" s="2">
        <v>36111.449999999997</v>
      </c>
      <c r="K3015" s="2">
        <v>0</v>
      </c>
      <c r="L3015" s="2">
        <v>3036122.59</v>
      </c>
      <c r="M3015" s="3">
        <v>5.4289139999999998</v>
      </c>
      <c r="N3015" s="4">
        <v>6.9075100000000004E-3</v>
      </c>
      <c r="O3015" s="5">
        <v>44684</v>
      </c>
      <c r="P3015" s="5">
        <v>44957</v>
      </c>
      <c r="Q3015" s="1">
        <v>5.3579999999999997</v>
      </c>
      <c r="R3015" s="2">
        <v>0.02</v>
      </c>
      <c r="S3015" s="6">
        <v>1.4426938812E-2</v>
      </c>
      <c r="T3015" t="s">
        <v>111</v>
      </c>
      <c r="U3015" t="s">
        <v>111</v>
      </c>
      <c r="V3015" t="s">
        <v>11189</v>
      </c>
      <c r="W3015" t="s">
        <v>43</v>
      </c>
      <c r="X3015" t="s">
        <v>11034</v>
      </c>
      <c r="Y3015" t="s">
        <v>44</v>
      </c>
      <c r="Z3015" t="s">
        <v>44</v>
      </c>
      <c r="AA3015" t="s">
        <v>10979</v>
      </c>
      <c r="AB3015" t="s">
        <v>44</v>
      </c>
      <c r="AC3015" s="4">
        <v>5.5025962599999998</v>
      </c>
      <c r="AD3015" s="4">
        <v>5.3685105899999996</v>
      </c>
      <c r="AE3015" s="2">
        <v>5.5</v>
      </c>
      <c r="AF3015" s="4">
        <v>5.3685105899999996</v>
      </c>
      <c r="AG3015" s="2">
        <v>0.53</v>
      </c>
      <c r="AH3015" s="2">
        <v>3036122.59</v>
      </c>
      <c r="AI3015" s="2">
        <v>0.01</v>
      </c>
      <c r="AJ3015" s="5">
        <v>44673</v>
      </c>
      <c r="AK3015" t="s">
        <v>12616</v>
      </c>
      <c r="AL3015" s="2">
        <v>5.43</v>
      </c>
      <c r="AM3015" s="2">
        <v>5.36</v>
      </c>
      <c r="AN3015" s="2">
        <v>0.01</v>
      </c>
      <c r="AO3015" t="s">
        <v>11048</v>
      </c>
      <c r="AP3015" t="s">
        <v>11459</v>
      </c>
      <c r="AQ3015" t="s">
        <v>11458</v>
      </c>
    </row>
    <row r="3016" spans="1:43" x14ac:dyDescent="0.2">
      <c r="A3016" t="s">
        <v>12615</v>
      </c>
      <c r="B3016" t="s">
        <v>10900</v>
      </c>
      <c r="C3016" t="s">
        <v>11049</v>
      </c>
      <c r="D3016" t="s">
        <v>11785</v>
      </c>
      <c r="E3016" t="s">
        <v>11786</v>
      </c>
      <c r="F3016" t="s">
        <v>11785</v>
      </c>
      <c r="G3016" s="1">
        <v>21000000</v>
      </c>
      <c r="H3016" s="2">
        <v>21140488.609999999</v>
      </c>
      <c r="I3016" s="2">
        <v>21214485.390000001</v>
      </c>
      <c r="J3016" s="2">
        <v>137014.35999999999</v>
      </c>
      <c r="K3016" s="2">
        <v>0</v>
      </c>
      <c r="L3016" s="2">
        <v>21351499.75</v>
      </c>
      <c r="M3016" s="3">
        <v>4.8216830000000002</v>
      </c>
      <c r="N3016" s="4">
        <v>4.8576960000000002E-2</v>
      </c>
      <c r="O3016" s="5">
        <v>44732</v>
      </c>
      <c r="P3016" s="5">
        <v>44824</v>
      </c>
      <c r="Q3016" s="1">
        <v>7.4420000000000002</v>
      </c>
      <c r="R3016" s="2">
        <v>0.15</v>
      </c>
      <c r="S3016" s="6">
        <v>0.146783072519</v>
      </c>
      <c r="T3016" t="s">
        <v>111</v>
      </c>
      <c r="U3016" t="s">
        <v>111</v>
      </c>
      <c r="V3016" t="s">
        <v>11189</v>
      </c>
      <c r="W3016" t="s">
        <v>43</v>
      </c>
      <c r="X3016" t="s">
        <v>11034</v>
      </c>
      <c r="Y3016" t="s">
        <v>44</v>
      </c>
      <c r="Z3016" t="s">
        <v>44</v>
      </c>
      <c r="AA3016" t="s">
        <v>10979</v>
      </c>
      <c r="AB3016" t="s">
        <v>11441</v>
      </c>
      <c r="AC3016" s="4">
        <v>4.87980444</v>
      </c>
      <c r="AD3016" s="4">
        <v>4.7739498600000001</v>
      </c>
      <c r="AE3016" s="2">
        <v>4.88</v>
      </c>
      <c r="AF3016" s="4">
        <v>4.7739498600000001</v>
      </c>
      <c r="AG3016" s="2">
        <v>3.75</v>
      </c>
      <c r="AH3016" s="2">
        <v>21351499.75</v>
      </c>
      <c r="AI3016" s="2">
        <v>0.05</v>
      </c>
      <c r="AJ3016" s="5">
        <v>44673</v>
      </c>
      <c r="AK3016" t="s">
        <v>12616</v>
      </c>
      <c r="AL3016" s="2">
        <v>4.82</v>
      </c>
      <c r="AM3016" s="2">
        <v>7.44</v>
      </c>
      <c r="AN3016" s="2">
        <v>0.15</v>
      </c>
      <c r="AO3016" t="s">
        <v>11054</v>
      </c>
      <c r="AP3016" t="s">
        <v>11787</v>
      </c>
      <c r="AQ3016" t="s">
        <v>11786</v>
      </c>
    </row>
    <row r="3017" spans="1:43" x14ac:dyDescent="0.2">
      <c r="A3017" t="s">
        <v>12615</v>
      </c>
      <c r="B3017" t="s">
        <v>10900</v>
      </c>
      <c r="C3017" t="s">
        <v>11049</v>
      </c>
      <c r="D3017" t="s">
        <v>11463</v>
      </c>
      <c r="E3017" t="s">
        <v>11464</v>
      </c>
      <c r="F3017" t="s">
        <v>11463</v>
      </c>
      <c r="G3017" s="1">
        <v>6000000</v>
      </c>
      <c r="H3017" s="2">
        <v>6004372.4500000002</v>
      </c>
      <c r="I3017" s="2">
        <v>6023842.1500000004</v>
      </c>
      <c r="J3017" s="2">
        <v>43092.160000000003</v>
      </c>
      <c r="K3017" s="2">
        <v>0</v>
      </c>
      <c r="L3017" s="2">
        <v>6066934.3099999996</v>
      </c>
      <c r="M3017" s="3">
        <v>5.5214679999999996</v>
      </c>
      <c r="N3017" s="4">
        <v>1.380293E-2</v>
      </c>
      <c r="O3017" s="5">
        <v>44733</v>
      </c>
      <c r="P3017" s="5">
        <v>44733</v>
      </c>
      <c r="Q3017" s="1">
        <v>8.1920000000000002</v>
      </c>
      <c r="R3017" s="2">
        <v>0.16</v>
      </c>
      <c r="S3017" s="6">
        <v>0.14786153473499999</v>
      </c>
      <c r="T3017" t="s">
        <v>111</v>
      </c>
      <c r="U3017" t="s">
        <v>111</v>
      </c>
      <c r="V3017" t="s">
        <v>11189</v>
      </c>
      <c r="W3017" t="s">
        <v>43</v>
      </c>
      <c r="X3017" t="s">
        <v>11034</v>
      </c>
      <c r="Y3017" t="s">
        <v>44</v>
      </c>
      <c r="Z3017" t="s">
        <v>44</v>
      </c>
      <c r="AA3017" t="s">
        <v>11035</v>
      </c>
      <c r="AB3017" t="s">
        <v>11465</v>
      </c>
      <c r="AC3017" s="4">
        <v>5.5976845400000004</v>
      </c>
      <c r="AD3017" s="4">
        <v>5.4590052800000004</v>
      </c>
      <c r="AE3017" s="2">
        <v>5.6</v>
      </c>
      <c r="AF3017" s="4">
        <v>5.4590052800000004</v>
      </c>
      <c r="AG3017" s="2">
        <v>1.06</v>
      </c>
      <c r="AH3017" s="2">
        <v>6066934.3099999996</v>
      </c>
      <c r="AI3017" s="2">
        <v>0.01</v>
      </c>
      <c r="AJ3017" s="5">
        <v>44673</v>
      </c>
      <c r="AK3017" t="s">
        <v>12616</v>
      </c>
      <c r="AL3017" s="2">
        <v>5.52</v>
      </c>
      <c r="AM3017" s="2">
        <v>8.19</v>
      </c>
      <c r="AN3017" s="2">
        <v>0.15</v>
      </c>
      <c r="AO3017" t="s">
        <v>11053</v>
      </c>
      <c r="AP3017" t="s">
        <v>11466</v>
      </c>
      <c r="AQ3017" t="s">
        <v>11464</v>
      </c>
    </row>
    <row r="3018" spans="1:43" x14ac:dyDescent="0.2">
      <c r="A3018" t="s">
        <v>12615</v>
      </c>
      <c r="B3018" t="s">
        <v>10900</v>
      </c>
      <c r="C3018" t="s">
        <v>11049</v>
      </c>
      <c r="D3018" t="s">
        <v>11474</v>
      </c>
      <c r="E3018" t="s">
        <v>11475</v>
      </c>
      <c r="F3018" t="s">
        <v>11474</v>
      </c>
      <c r="G3018" s="1">
        <v>12100000</v>
      </c>
      <c r="H3018" s="2">
        <v>12100000</v>
      </c>
      <c r="I3018" s="2">
        <v>12099731.380000001</v>
      </c>
      <c r="J3018" s="2">
        <v>196537.15</v>
      </c>
      <c r="K3018" s="2">
        <v>0</v>
      </c>
      <c r="L3018" s="2">
        <v>12296268.529999999</v>
      </c>
      <c r="M3018" s="3">
        <v>7.23</v>
      </c>
      <c r="N3018" s="4">
        <v>2.797533E-2</v>
      </c>
      <c r="O3018" s="5">
        <v>44773</v>
      </c>
      <c r="P3018" s="5">
        <v>44773</v>
      </c>
      <c r="Q3018" s="1">
        <v>7.23</v>
      </c>
      <c r="R3018" s="2">
        <v>0.27</v>
      </c>
      <c r="S3018" s="6">
        <v>0.26074350600000001</v>
      </c>
      <c r="T3018" t="s">
        <v>111</v>
      </c>
      <c r="U3018" t="s">
        <v>111</v>
      </c>
      <c r="V3018" t="s">
        <v>10944</v>
      </c>
      <c r="W3018" t="s">
        <v>43</v>
      </c>
      <c r="X3018" t="s">
        <v>44</v>
      </c>
      <c r="Y3018" t="s">
        <v>44</v>
      </c>
      <c r="Z3018" t="s">
        <v>44</v>
      </c>
      <c r="AA3018" t="s">
        <v>10913</v>
      </c>
      <c r="AB3018" t="s">
        <v>44</v>
      </c>
      <c r="AC3018" s="4">
        <v>7.36068225</v>
      </c>
      <c r="AD3018" s="4">
        <v>7.1234440000000001</v>
      </c>
      <c r="AE3018" s="2">
        <v>7.36</v>
      </c>
      <c r="AF3018" s="4">
        <v>7.1234440000000001</v>
      </c>
      <c r="AG3018" s="2">
        <v>2.16</v>
      </c>
      <c r="AH3018" s="2">
        <v>12296268.529999999</v>
      </c>
      <c r="AI3018" s="2">
        <v>0.03</v>
      </c>
      <c r="AJ3018" s="5">
        <v>44673</v>
      </c>
      <c r="AK3018" t="s">
        <v>12616</v>
      </c>
      <c r="AL3018" s="2">
        <v>7.23</v>
      </c>
      <c r="AM3018" s="2">
        <v>7.23</v>
      </c>
      <c r="AN3018" s="2">
        <v>0.26</v>
      </c>
      <c r="AO3018" t="s">
        <v>10922</v>
      </c>
      <c r="AP3018" t="s">
        <v>11476</v>
      </c>
      <c r="AQ3018" t="s">
        <v>11475</v>
      </c>
    </row>
    <row r="3019" spans="1:43" x14ac:dyDescent="0.2">
      <c r="A3019" t="s">
        <v>12615</v>
      </c>
      <c r="B3019" t="s">
        <v>10900</v>
      </c>
      <c r="C3019" t="s">
        <v>11049</v>
      </c>
      <c r="D3019" t="s">
        <v>12269</v>
      </c>
      <c r="E3019" t="s">
        <v>12270</v>
      </c>
      <c r="F3019" t="s">
        <v>12269</v>
      </c>
      <c r="G3019" s="1">
        <v>200000</v>
      </c>
      <c r="H3019" s="2">
        <v>200000</v>
      </c>
      <c r="I3019" s="2">
        <v>200581.22</v>
      </c>
      <c r="J3019" s="2">
        <v>2384.66</v>
      </c>
      <c r="K3019" s="2">
        <v>0</v>
      </c>
      <c r="L3019" s="2">
        <v>202965.88</v>
      </c>
      <c r="M3019" s="3">
        <v>6.43</v>
      </c>
      <c r="N3019" s="4">
        <v>4.6177000000000002E-4</v>
      </c>
      <c r="O3019" s="5">
        <v>44795</v>
      </c>
      <c r="P3019" s="5">
        <v>44978</v>
      </c>
      <c r="Q3019" s="1">
        <v>6.8</v>
      </c>
      <c r="R3019" s="2">
        <v>0.81</v>
      </c>
      <c r="S3019" s="6">
        <v>0.78433783400000001</v>
      </c>
      <c r="T3019" t="s">
        <v>111</v>
      </c>
      <c r="U3019" t="s">
        <v>111</v>
      </c>
      <c r="V3019" t="s">
        <v>114</v>
      </c>
      <c r="W3019" t="s">
        <v>43</v>
      </c>
      <c r="X3019" t="s">
        <v>44</v>
      </c>
      <c r="Y3019" t="s">
        <v>44</v>
      </c>
      <c r="Z3019" t="s">
        <v>44</v>
      </c>
      <c r="AA3019" t="s">
        <v>10979</v>
      </c>
      <c r="AB3019" t="s">
        <v>44</v>
      </c>
      <c r="AC3019" s="4">
        <v>6.5333622499999997</v>
      </c>
      <c r="AD3019" s="4">
        <v>6.3455195</v>
      </c>
      <c r="AE3019" s="2">
        <v>6.53</v>
      </c>
      <c r="AF3019" s="4">
        <v>6.3455195</v>
      </c>
      <c r="AG3019" s="2">
        <v>0.04</v>
      </c>
      <c r="AH3019" s="2">
        <v>202965.88</v>
      </c>
      <c r="AI3019" s="2">
        <v>0</v>
      </c>
      <c r="AJ3019" s="5">
        <v>44673</v>
      </c>
      <c r="AK3019" t="s">
        <v>12616</v>
      </c>
      <c r="AL3019" s="2">
        <v>6.43</v>
      </c>
      <c r="AM3019" s="2">
        <v>6.8</v>
      </c>
      <c r="AN3019" s="2">
        <v>0.78</v>
      </c>
      <c r="AO3019" t="s">
        <v>10982</v>
      </c>
      <c r="AP3019" t="s">
        <v>12271</v>
      </c>
      <c r="AQ3019" t="s">
        <v>12270</v>
      </c>
    </row>
    <row r="3020" spans="1:43" x14ac:dyDescent="0.2">
      <c r="A3020" t="s">
        <v>12615</v>
      </c>
      <c r="B3020" t="s">
        <v>10900</v>
      </c>
      <c r="C3020" t="s">
        <v>11049</v>
      </c>
      <c r="D3020" t="s">
        <v>11794</v>
      </c>
      <c r="E3020" t="s">
        <v>11795</v>
      </c>
      <c r="F3020" t="s">
        <v>11794</v>
      </c>
      <c r="G3020" s="1">
        <v>2000000</v>
      </c>
      <c r="H3020" s="2">
        <v>2000000</v>
      </c>
      <c r="I3020" s="2">
        <v>2000224.36</v>
      </c>
      <c r="J3020" s="2">
        <v>25422.25</v>
      </c>
      <c r="K3020" s="2">
        <v>0</v>
      </c>
      <c r="L3020" s="2">
        <v>2025646.61</v>
      </c>
      <c r="M3020" s="3">
        <v>4.7002220000000001</v>
      </c>
      <c r="N3020" s="4">
        <v>4.6085600000000003E-3</v>
      </c>
      <c r="O3020" s="5">
        <v>44680</v>
      </c>
      <c r="P3020" s="5">
        <v>44680</v>
      </c>
      <c r="Q3020" s="1">
        <v>5.6580000000000004</v>
      </c>
      <c r="R3020" s="2">
        <v>0.01</v>
      </c>
      <c r="S3020" s="6">
        <v>1.0461427896999999E-2</v>
      </c>
      <c r="T3020" t="s">
        <v>111</v>
      </c>
      <c r="U3020" t="s">
        <v>111</v>
      </c>
      <c r="V3020" t="s">
        <v>11189</v>
      </c>
      <c r="W3020" t="s">
        <v>43</v>
      </c>
      <c r="X3020" t="s">
        <v>11034</v>
      </c>
      <c r="Y3020" t="s">
        <v>44</v>
      </c>
      <c r="Z3020" t="s">
        <v>44</v>
      </c>
      <c r="AA3020" t="s">
        <v>44</v>
      </c>
      <c r="AB3020" t="s">
        <v>11225</v>
      </c>
      <c r="AC3020" s="4">
        <v>4.7554521300000001</v>
      </c>
      <c r="AD3020" s="4">
        <v>4.6548469299999997</v>
      </c>
      <c r="AE3020" s="2">
        <v>4.76</v>
      </c>
      <c r="AF3020" s="4">
        <v>4.6548469299999997</v>
      </c>
      <c r="AG3020" s="2">
        <v>0.36</v>
      </c>
      <c r="AH3020" s="2">
        <v>2025646.61</v>
      </c>
      <c r="AI3020" s="2">
        <v>0</v>
      </c>
      <c r="AJ3020" s="5">
        <v>44673</v>
      </c>
      <c r="AK3020" t="s">
        <v>12616</v>
      </c>
      <c r="AL3020" s="2">
        <v>4.7</v>
      </c>
      <c r="AM3020" s="2">
        <v>5.66</v>
      </c>
      <c r="AN3020" s="2">
        <v>0.01</v>
      </c>
      <c r="AO3020" t="s">
        <v>11527</v>
      </c>
      <c r="AP3020" t="s">
        <v>11796</v>
      </c>
      <c r="AQ3020" t="s">
        <v>11795</v>
      </c>
    </row>
    <row r="3021" spans="1:43" x14ac:dyDescent="0.2">
      <c r="A3021" t="s">
        <v>12615</v>
      </c>
      <c r="B3021" t="s">
        <v>10900</v>
      </c>
      <c r="C3021" t="s">
        <v>11049</v>
      </c>
      <c r="D3021" t="s">
        <v>11797</v>
      </c>
      <c r="E3021" t="s">
        <v>11798</v>
      </c>
      <c r="F3021" t="s">
        <v>11797</v>
      </c>
      <c r="G3021" s="1">
        <v>13300000</v>
      </c>
      <c r="H3021" s="2">
        <v>13415319.029999999</v>
      </c>
      <c r="I3021" s="2">
        <v>13522329.300000001</v>
      </c>
      <c r="J3021" s="2">
        <v>82274.53</v>
      </c>
      <c r="K3021" s="2">
        <v>0</v>
      </c>
      <c r="L3021" s="2">
        <v>13604603.83</v>
      </c>
      <c r="M3021" s="3">
        <v>5.7687520000000001</v>
      </c>
      <c r="N3021" s="4">
        <v>3.0951940000000001E-2</v>
      </c>
      <c r="O3021" s="5">
        <v>44742</v>
      </c>
      <c r="P3021" s="5">
        <v>44834</v>
      </c>
      <c r="Q3021" s="1">
        <v>9.8170000000000002</v>
      </c>
      <c r="R3021" s="2">
        <v>0.18</v>
      </c>
      <c r="S3021" s="6">
        <v>0.17046604942900001</v>
      </c>
      <c r="T3021" t="s">
        <v>111</v>
      </c>
      <c r="U3021" t="s">
        <v>111</v>
      </c>
      <c r="V3021" t="s">
        <v>11189</v>
      </c>
      <c r="W3021" t="s">
        <v>43</v>
      </c>
      <c r="X3021" t="s">
        <v>11034</v>
      </c>
      <c r="Y3021" t="s">
        <v>44</v>
      </c>
      <c r="Z3021" t="s">
        <v>44</v>
      </c>
      <c r="AA3021" t="s">
        <v>11035</v>
      </c>
      <c r="AB3021" t="s">
        <v>2680</v>
      </c>
      <c r="AC3021" s="4">
        <v>5.8519482600000003</v>
      </c>
      <c r="AD3021" s="4">
        <v>5.7006194399999996</v>
      </c>
      <c r="AE3021" s="2">
        <v>5.85</v>
      </c>
      <c r="AF3021" s="4">
        <v>5.7006194399999996</v>
      </c>
      <c r="AG3021" s="2">
        <v>2.39</v>
      </c>
      <c r="AH3021" s="2">
        <v>13604603.83</v>
      </c>
      <c r="AI3021" s="2">
        <v>0.03</v>
      </c>
      <c r="AJ3021" s="5">
        <v>44673</v>
      </c>
      <c r="AK3021" t="s">
        <v>12616</v>
      </c>
      <c r="AL3021" s="2">
        <v>5.77</v>
      </c>
      <c r="AM3021" s="2">
        <v>9.82</v>
      </c>
      <c r="AN3021" s="2">
        <v>0.17</v>
      </c>
      <c r="AO3021" t="s">
        <v>11496</v>
      </c>
      <c r="AP3021" t="s">
        <v>11799</v>
      </c>
      <c r="AQ3021" t="s">
        <v>11798</v>
      </c>
    </row>
    <row r="3022" spans="1:43" x14ac:dyDescent="0.2">
      <c r="A3022" t="s">
        <v>12615</v>
      </c>
      <c r="B3022" t="s">
        <v>10900</v>
      </c>
      <c r="C3022" t="s">
        <v>11049</v>
      </c>
      <c r="D3022" t="s">
        <v>11494</v>
      </c>
      <c r="E3022" t="s">
        <v>11495</v>
      </c>
      <c r="F3022" t="s">
        <v>11494</v>
      </c>
      <c r="G3022" s="1">
        <v>1900000</v>
      </c>
      <c r="H3022" s="2">
        <v>1900000</v>
      </c>
      <c r="I3022" s="2">
        <v>1930204.13</v>
      </c>
      <c r="J3022" s="2">
        <v>25864.78</v>
      </c>
      <c r="K3022" s="2">
        <v>0</v>
      </c>
      <c r="L3022" s="2">
        <v>1956068.91</v>
      </c>
      <c r="M3022" s="3">
        <v>5.349933</v>
      </c>
      <c r="N3022" s="4">
        <v>4.4502700000000001E-3</v>
      </c>
      <c r="O3022" s="5">
        <v>44694</v>
      </c>
      <c r="P3022" s="5">
        <v>44970</v>
      </c>
      <c r="Q3022" s="1">
        <v>7.3070000000000004</v>
      </c>
      <c r="R3022" s="2">
        <v>0.05</v>
      </c>
      <c r="S3022" s="6">
        <v>4.8092249657999998E-2</v>
      </c>
      <c r="T3022" t="s">
        <v>111</v>
      </c>
      <c r="U3022" t="s">
        <v>111</v>
      </c>
      <c r="V3022" t="s">
        <v>11189</v>
      </c>
      <c r="W3022" t="s">
        <v>43</v>
      </c>
      <c r="X3022" t="s">
        <v>11034</v>
      </c>
      <c r="Y3022" t="s">
        <v>44</v>
      </c>
      <c r="Z3022" t="s">
        <v>44</v>
      </c>
      <c r="AA3022" t="s">
        <v>11035</v>
      </c>
      <c r="AB3022" t="s">
        <v>44</v>
      </c>
      <c r="AC3022" s="4">
        <v>5.4214878100000004</v>
      </c>
      <c r="AD3022" s="4">
        <v>5.2912612699999997</v>
      </c>
      <c r="AE3022" s="2">
        <v>5.42</v>
      </c>
      <c r="AF3022" s="4">
        <v>5.2912612699999997</v>
      </c>
      <c r="AG3022" s="2">
        <v>0.34</v>
      </c>
      <c r="AH3022" s="2">
        <v>1956068.91</v>
      </c>
      <c r="AI3022" s="2">
        <v>0</v>
      </c>
      <c r="AJ3022" s="5">
        <v>44673</v>
      </c>
      <c r="AK3022" t="s">
        <v>12616</v>
      </c>
      <c r="AL3022" s="2">
        <v>5.35</v>
      </c>
      <c r="AM3022" s="2">
        <v>7.31</v>
      </c>
      <c r="AN3022" s="2">
        <v>0.05</v>
      </c>
      <c r="AO3022" t="s">
        <v>11496</v>
      </c>
      <c r="AP3022" t="s">
        <v>11497</v>
      </c>
      <c r="AQ3022" t="s">
        <v>11495</v>
      </c>
    </row>
    <row r="3023" spans="1:43" x14ac:dyDescent="0.2">
      <c r="A3023" t="s">
        <v>12615</v>
      </c>
      <c r="B3023" t="s">
        <v>10900</v>
      </c>
      <c r="C3023" t="s">
        <v>11033</v>
      </c>
      <c r="D3023" t="s">
        <v>11803</v>
      </c>
      <c r="E3023" t="s">
        <v>11804</v>
      </c>
      <c r="F3023" t="s">
        <v>11803</v>
      </c>
      <c r="G3023" s="1">
        <v>7000000</v>
      </c>
      <c r="H3023" s="2">
        <v>7000000</v>
      </c>
      <c r="I3023" s="2">
        <v>7083257.6399999997</v>
      </c>
      <c r="J3023" s="2">
        <v>69044.55</v>
      </c>
      <c r="K3023" s="2">
        <v>0</v>
      </c>
      <c r="L3023" s="2">
        <v>7152302.1900000004</v>
      </c>
      <c r="M3023" s="3">
        <v>5.9316740000000001</v>
      </c>
      <c r="N3023" s="4">
        <v>1.627226E-2</v>
      </c>
      <c r="O3023" s="5">
        <v>44711</v>
      </c>
      <c r="P3023" s="5">
        <v>45259</v>
      </c>
      <c r="Q3023" s="1">
        <v>6.6669999999999998</v>
      </c>
      <c r="R3023" s="2">
        <v>0.1</v>
      </c>
      <c r="S3023" s="6">
        <v>8.3360787894999996E-2</v>
      </c>
      <c r="T3023" t="s">
        <v>111</v>
      </c>
      <c r="U3023" t="s">
        <v>111</v>
      </c>
      <c r="V3023" t="s">
        <v>11189</v>
      </c>
      <c r="W3023" t="s">
        <v>43</v>
      </c>
      <c r="X3023" t="s">
        <v>11034</v>
      </c>
      <c r="Y3023" t="s">
        <v>44</v>
      </c>
      <c r="Z3023" t="s">
        <v>44</v>
      </c>
      <c r="AA3023" t="s">
        <v>10979</v>
      </c>
      <c r="AB3023" t="s">
        <v>44</v>
      </c>
      <c r="AC3023" s="4">
        <v>6.0196354200000002</v>
      </c>
      <c r="AD3023" s="4">
        <v>5.8596732400000002</v>
      </c>
      <c r="AE3023" s="2">
        <v>6.02</v>
      </c>
      <c r="AF3023" s="4">
        <v>5.8596732400000002</v>
      </c>
      <c r="AG3023" s="2">
        <v>1.25</v>
      </c>
      <c r="AH3023" s="2">
        <v>7152302.1900000004</v>
      </c>
      <c r="AI3023" s="2">
        <v>0.02</v>
      </c>
      <c r="AJ3023" s="5">
        <v>44673</v>
      </c>
      <c r="AK3023" t="s">
        <v>12616</v>
      </c>
      <c r="AL3023" s="2">
        <v>5.93</v>
      </c>
      <c r="AM3023" s="2">
        <v>6.67</v>
      </c>
      <c r="AN3023" s="2">
        <v>0.08</v>
      </c>
      <c r="AO3023" t="s">
        <v>11165</v>
      </c>
      <c r="AP3023" t="s">
        <v>11805</v>
      </c>
      <c r="AQ3023" t="s">
        <v>11804</v>
      </c>
    </row>
    <row r="3024" spans="1:43" x14ac:dyDescent="0.2">
      <c r="A3024" t="s">
        <v>12615</v>
      </c>
      <c r="B3024" t="s">
        <v>10900</v>
      </c>
      <c r="C3024" t="s">
        <v>11033</v>
      </c>
      <c r="D3024" t="s">
        <v>11806</v>
      </c>
      <c r="E3024" t="s">
        <v>11807</v>
      </c>
      <c r="F3024" t="s">
        <v>11806</v>
      </c>
      <c r="G3024" s="1">
        <v>7000000</v>
      </c>
      <c r="H3024" s="2">
        <v>7000000</v>
      </c>
      <c r="I3024" s="2">
        <v>7082720.2699999996</v>
      </c>
      <c r="J3024" s="2">
        <v>15610.19</v>
      </c>
      <c r="K3024" s="2">
        <v>0</v>
      </c>
      <c r="L3024" s="2">
        <v>7098330.46</v>
      </c>
      <c r="M3024" s="3">
        <v>6.0434890000000001</v>
      </c>
      <c r="N3024" s="4">
        <v>1.6149469999999999E-2</v>
      </c>
      <c r="O3024" s="5">
        <v>44753</v>
      </c>
      <c r="P3024" s="5">
        <v>45393</v>
      </c>
      <c r="Q3024" s="1">
        <v>6.7830000000000004</v>
      </c>
      <c r="R3024" s="2">
        <v>0.21</v>
      </c>
      <c r="S3024" s="6">
        <v>0.19079709986500001</v>
      </c>
      <c r="T3024" t="s">
        <v>111</v>
      </c>
      <c r="U3024" t="s">
        <v>111</v>
      </c>
      <c r="V3024" t="s">
        <v>11189</v>
      </c>
      <c r="W3024" t="s">
        <v>43</v>
      </c>
      <c r="X3024" t="s">
        <v>11034</v>
      </c>
      <c r="Y3024" t="s">
        <v>44</v>
      </c>
      <c r="Z3024" t="s">
        <v>44</v>
      </c>
      <c r="AA3024" t="s">
        <v>10979</v>
      </c>
      <c r="AB3024" t="s">
        <v>44</v>
      </c>
      <c r="AC3024" s="4">
        <v>6.1347979300000004</v>
      </c>
      <c r="AD3024" s="4">
        <v>5.9687731099999999</v>
      </c>
      <c r="AE3024" s="2">
        <v>6.13</v>
      </c>
      <c r="AF3024" s="4">
        <v>5.9687731099999999</v>
      </c>
      <c r="AG3024" s="2">
        <v>1.25</v>
      </c>
      <c r="AH3024" s="2">
        <v>7098330.46</v>
      </c>
      <c r="AI3024" s="2">
        <v>0.02</v>
      </c>
      <c r="AJ3024" s="5">
        <v>44673</v>
      </c>
      <c r="AK3024" t="s">
        <v>12616</v>
      </c>
      <c r="AL3024" s="2">
        <v>6.04</v>
      </c>
      <c r="AM3024" s="2">
        <v>6.78</v>
      </c>
      <c r="AN3024" s="2">
        <v>0.19</v>
      </c>
      <c r="AO3024" t="s">
        <v>11165</v>
      </c>
      <c r="AP3024" t="s">
        <v>11808</v>
      </c>
      <c r="AQ3024" t="s">
        <v>11807</v>
      </c>
    </row>
    <row r="3025" spans="1:43" x14ac:dyDescent="0.2">
      <c r="A3025" t="s">
        <v>12615</v>
      </c>
      <c r="B3025" t="s">
        <v>10900</v>
      </c>
      <c r="C3025" t="s">
        <v>11033</v>
      </c>
      <c r="D3025" t="s">
        <v>11501</v>
      </c>
      <c r="E3025" t="s">
        <v>11502</v>
      </c>
      <c r="F3025" t="s">
        <v>11501</v>
      </c>
      <c r="G3025" s="1">
        <v>15000000</v>
      </c>
      <c r="H3025" s="2">
        <v>15000000</v>
      </c>
      <c r="I3025" s="2">
        <v>15030022.970000001</v>
      </c>
      <c r="J3025" s="2">
        <v>53921.1</v>
      </c>
      <c r="K3025" s="2">
        <v>0</v>
      </c>
      <c r="L3025" s="2">
        <v>15083944.07</v>
      </c>
      <c r="M3025" s="3">
        <v>5.2487519999999996</v>
      </c>
      <c r="N3025" s="4">
        <v>3.4317599999999997E-2</v>
      </c>
      <c r="O3025" s="5">
        <v>44742</v>
      </c>
      <c r="P3025" s="5">
        <v>45383</v>
      </c>
      <c r="Q3025" s="1">
        <v>5.4669999999999996</v>
      </c>
      <c r="R3025" s="2">
        <v>0.18</v>
      </c>
      <c r="S3025" s="6">
        <v>0.16209118744199999</v>
      </c>
      <c r="T3025" t="s">
        <v>111</v>
      </c>
      <c r="U3025" t="s">
        <v>111</v>
      </c>
      <c r="V3025" t="s">
        <v>11189</v>
      </c>
      <c r="W3025" t="s">
        <v>43</v>
      </c>
      <c r="X3025" t="s">
        <v>11034</v>
      </c>
      <c r="Y3025" t="s">
        <v>44</v>
      </c>
      <c r="Z3025" t="s">
        <v>44</v>
      </c>
      <c r="AA3025" t="s">
        <v>10979</v>
      </c>
      <c r="AB3025" t="s">
        <v>44</v>
      </c>
      <c r="AC3025" s="4">
        <v>5.3176255100000001</v>
      </c>
      <c r="AD3025" s="4">
        <v>5.1922611500000002</v>
      </c>
      <c r="AE3025" s="2">
        <v>5.32</v>
      </c>
      <c r="AF3025" s="4">
        <v>5.1922611500000002</v>
      </c>
      <c r="AG3025" s="2">
        <v>2.65</v>
      </c>
      <c r="AH3025" s="2">
        <v>15083944.07</v>
      </c>
      <c r="AI3025" s="2">
        <v>0.03</v>
      </c>
      <c r="AJ3025" s="5">
        <v>44673</v>
      </c>
      <c r="AK3025" t="s">
        <v>12616</v>
      </c>
      <c r="AL3025" s="2">
        <v>5.25</v>
      </c>
      <c r="AM3025" s="2">
        <v>5.47</v>
      </c>
      <c r="AN3025" s="2">
        <v>0.16</v>
      </c>
      <c r="AO3025" t="s">
        <v>11165</v>
      </c>
      <c r="AP3025" t="s">
        <v>11503</v>
      </c>
      <c r="AQ3025" t="s">
        <v>11502</v>
      </c>
    </row>
    <row r="3026" spans="1:43" x14ac:dyDescent="0.2">
      <c r="A3026" t="s">
        <v>12615</v>
      </c>
      <c r="B3026" t="s">
        <v>10900</v>
      </c>
      <c r="C3026" t="s">
        <v>11033</v>
      </c>
      <c r="D3026" t="s">
        <v>11809</v>
      </c>
      <c r="E3026" t="s">
        <v>11810</v>
      </c>
      <c r="F3026" t="s">
        <v>11809</v>
      </c>
      <c r="G3026" s="1">
        <v>3100000</v>
      </c>
      <c r="H3026" s="2">
        <v>3122843.93</v>
      </c>
      <c r="I3026" s="2">
        <v>3146094.44</v>
      </c>
      <c r="J3026" s="2">
        <v>31613.38</v>
      </c>
      <c r="K3026" s="2">
        <v>0</v>
      </c>
      <c r="L3026" s="2">
        <v>3177707.82</v>
      </c>
      <c r="M3026" s="3">
        <v>5.5530569999999999</v>
      </c>
      <c r="N3026" s="4">
        <v>7.2296299999999999E-3</v>
      </c>
      <c r="O3026" s="5">
        <v>44704</v>
      </c>
      <c r="P3026" s="5">
        <v>45617</v>
      </c>
      <c r="Q3026" s="1">
        <v>6.1020000000000003</v>
      </c>
      <c r="R3026" s="2">
        <v>0.08</v>
      </c>
      <c r="S3026" s="6">
        <v>7.0564055134000006E-2</v>
      </c>
      <c r="T3026" t="s">
        <v>111</v>
      </c>
      <c r="U3026" t="s">
        <v>111</v>
      </c>
      <c r="V3026" t="s">
        <v>11189</v>
      </c>
      <c r="W3026" t="s">
        <v>43</v>
      </c>
      <c r="X3026" t="s">
        <v>11034</v>
      </c>
      <c r="Y3026" t="s">
        <v>44</v>
      </c>
      <c r="Z3026" t="s">
        <v>44</v>
      </c>
      <c r="AA3026" t="s">
        <v>11441</v>
      </c>
      <c r="AB3026" t="s">
        <v>44</v>
      </c>
      <c r="AC3026" s="4">
        <v>5.63014803</v>
      </c>
      <c r="AD3026" s="4">
        <v>5.4898834000000001</v>
      </c>
      <c r="AE3026" s="2">
        <v>5.63</v>
      </c>
      <c r="AF3026" s="4">
        <v>5.4898834000000001</v>
      </c>
      <c r="AG3026" s="2">
        <v>0.56000000000000005</v>
      </c>
      <c r="AH3026" s="2">
        <v>3177707.82</v>
      </c>
      <c r="AI3026" s="2">
        <v>0.01</v>
      </c>
      <c r="AJ3026" s="5">
        <v>44673</v>
      </c>
      <c r="AK3026" t="s">
        <v>12616</v>
      </c>
      <c r="AL3026" s="2">
        <v>5.55</v>
      </c>
      <c r="AM3026" s="2">
        <v>6.1</v>
      </c>
      <c r="AN3026" s="2">
        <v>7.0000000000000007E-2</v>
      </c>
      <c r="AO3026" t="s">
        <v>11520</v>
      </c>
      <c r="AP3026" t="s">
        <v>11811</v>
      </c>
      <c r="AQ3026" t="s">
        <v>11810</v>
      </c>
    </row>
    <row r="3027" spans="1:43" x14ac:dyDescent="0.2">
      <c r="A3027" t="s">
        <v>12615</v>
      </c>
      <c r="B3027" t="s">
        <v>10900</v>
      </c>
      <c r="C3027" t="s">
        <v>11033</v>
      </c>
      <c r="D3027" t="s">
        <v>11518</v>
      </c>
      <c r="E3027" t="s">
        <v>11519</v>
      </c>
      <c r="F3027" t="s">
        <v>11518</v>
      </c>
      <c r="G3027" s="1">
        <v>10100000</v>
      </c>
      <c r="H3027" s="2">
        <v>10107280.23</v>
      </c>
      <c r="I3027" s="2">
        <v>10132046.189999999</v>
      </c>
      <c r="J3027" s="2">
        <v>105361.54</v>
      </c>
      <c r="K3027" s="2">
        <v>0</v>
      </c>
      <c r="L3027" s="2">
        <v>10237407.73</v>
      </c>
      <c r="M3027" s="3">
        <v>6.0730570000000004</v>
      </c>
      <c r="N3027" s="4">
        <v>2.3291200000000001E-2</v>
      </c>
      <c r="O3027" s="5">
        <v>44704</v>
      </c>
      <c r="P3027" s="5">
        <v>45159</v>
      </c>
      <c r="Q3027" s="1">
        <v>6.242</v>
      </c>
      <c r="R3027" s="2">
        <v>0.08</v>
      </c>
      <c r="S3027" s="6">
        <v>5.9720457003999999E-2</v>
      </c>
      <c r="T3027" t="s">
        <v>111</v>
      </c>
      <c r="U3027" t="s">
        <v>111</v>
      </c>
      <c r="V3027" t="s">
        <v>11189</v>
      </c>
      <c r="W3027" t="s">
        <v>43</v>
      </c>
      <c r="X3027" t="s">
        <v>11034</v>
      </c>
      <c r="Y3027" t="s">
        <v>44</v>
      </c>
      <c r="Z3027" t="s">
        <v>44</v>
      </c>
      <c r="AA3027" t="s">
        <v>11441</v>
      </c>
      <c r="AB3027" t="s">
        <v>44</v>
      </c>
      <c r="AC3027" s="4">
        <v>6.1652619800000004</v>
      </c>
      <c r="AD3027" s="4">
        <v>5.9976152599999999</v>
      </c>
      <c r="AE3027" s="2">
        <v>6.17</v>
      </c>
      <c r="AF3027" s="4">
        <v>5.9976152599999999</v>
      </c>
      <c r="AG3027" s="2">
        <v>1.8</v>
      </c>
      <c r="AH3027" s="2">
        <v>10237407.73</v>
      </c>
      <c r="AI3027" s="2">
        <v>0.02</v>
      </c>
      <c r="AJ3027" s="5">
        <v>44673</v>
      </c>
      <c r="AK3027" t="s">
        <v>12616</v>
      </c>
      <c r="AL3027" s="2">
        <v>6.07</v>
      </c>
      <c r="AM3027" s="2">
        <v>6.24</v>
      </c>
      <c r="AN3027" s="2">
        <v>0.06</v>
      </c>
      <c r="AO3027" t="s">
        <v>11520</v>
      </c>
      <c r="AP3027" t="s">
        <v>11521</v>
      </c>
      <c r="AQ3027" t="s">
        <v>11519</v>
      </c>
    </row>
    <row r="3028" spans="1:43" x14ac:dyDescent="0.2">
      <c r="A3028" t="s">
        <v>12615</v>
      </c>
      <c r="B3028" t="s">
        <v>10900</v>
      </c>
      <c r="C3028" t="s">
        <v>11033</v>
      </c>
      <c r="D3028" t="s">
        <v>11059</v>
      </c>
      <c r="E3028" t="s">
        <v>11060</v>
      </c>
      <c r="F3028" t="s">
        <v>11059</v>
      </c>
      <c r="G3028" s="1">
        <v>1042000</v>
      </c>
      <c r="H3028" s="2">
        <v>1129039.92</v>
      </c>
      <c r="I3028" s="2">
        <v>1116456.8400000001</v>
      </c>
      <c r="J3028" s="2">
        <v>41123.32</v>
      </c>
      <c r="K3028" s="2">
        <v>0</v>
      </c>
      <c r="L3028" s="2">
        <v>1157580.1599999999</v>
      </c>
      <c r="M3028" s="3">
        <v>7.69</v>
      </c>
      <c r="N3028" s="4">
        <v>2.6336200000000001E-3</v>
      </c>
      <c r="O3028" s="5">
        <v>44722</v>
      </c>
      <c r="P3028" s="5">
        <v>45636</v>
      </c>
      <c r="Q3028" s="1">
        <v>10.75</v>
      </c>
      <c r="R3028" s="2">
        <v>2.2799999999999998</v>
      </c>
      <c r="S3028" s="6">
        <v>2.1998010890000002</v>
      </c>
      <c r="T3028" t="s">
        <v>111</v>
      </c>
      <c r="U3028" t="s">
        <v>111</v>
      </c>
      <c r="V3028" t="s">
        <v>10944</v>
      </c>
      <c r="W3028" t="s">
        <v>43</v>
      </c>
      <c r="X3028" t="s">
        <v>10988</v>
      </c>
      <c r="Y3028" t="s">
        <v>44</v>
      </c>
      <c r="Z3028" t="s">
        <v>44</v>
      </c>
      <c r="AA3028" t="s">
        <v>10979</v>
      </c>
      <c r="AB3028" t="s">
        <v>44</v>
      </c>
      <c r="AC3028" s="4">
        <v>7.8378402500000002</v>
      </c>
      <c r="AD3028" s="4">
        <v>7.5696180699999998</v>
      </c>
      <c r="AE3028" s="2">
        <v>7.84</v>
      </c>
      <c r="AF3028" s="4">
        <v>7.5696180699999998</v>
      </c>
      <c r="AG3028" s="2">
        <v>0.2</v>
      </c>
      <c r="AH3028" s="2">
        <v>1157580.1599999999</v>
      </c>
      <c r="AI3028" s="2">
        <v>0</v>
      </c>
      <c r="AJ3028" s="5">
        <v>44673</v>
      </c>
      <c r="AK3028" t="s">
        <v>12616</v>
      </c>
      <c r="AL3028" s="2">
        <v>7.69</v>
      </c>
      <c r="AM3028" s="2">
        <v>10.75</v>
      </c>
      <c r="AN3028" s="2">
        <v>2.2000000000000002</v>
      </c>
      <c r="AO3028" t="s">
        <v>11054</v>
      </c>
      <c r="AP3028" t="s">
        <v>11061</v>
      </c>
      <c r="AQ3028" t="s">
        <v>11060</v>
      </c>
    </row>
    <row r="3029" spans="1:43" x14ac:dyDescent="0.2">
      <c r="A3029" t="s">
        <v>12615</v>
      </c>
      <c r="B3029" t="s">
        <v>10900</v>
      </c>
      <c r="C3029" t="s">
        <v>11033</v>
      </c>
      <c r="D3029" t="s">
        <v>11812</v>
      </c>
      <c r="E3029" t="s">
        <v>11813</v>
      </c>
      <c r="F3029" t="s">
        <v>11812</v>
      </c>
      <c r="G3029" s="1">
        <v>588000</v>
      </c>
      <c r="H3029" s="2">
        <v>7046179.0999999996</v>
      </c>
      <c r="I3029" s="2">
        <v>9318393</v>
      </c>
      <c r="J3029" s="2">
        <v>283719.73</v>
      </c>
      <c r="K3029" s="2">
        <v>0</v>
      </c>
      <c r="L3029" s="2">
        <v>9602112.7300000004</v>
      </c>
      <c r="M3029" s="3"/>
      <c r="N3029" s="4">
        <v>2.1845839999999998E-2</v>
      </c>
      <c r="O3029" s="5">
        <v>44676</v>
      </c>
      <c r="P3029" s="5">
        <v>45039</v>
      </c>
      <c r="Q3029" s="1">
        <v>6.25</v>
      </c>
      <c r="R3029" s="2">
        <v>2.71</v>
      </c>
      <c r="S3029" s="6">
        <v>2.63</v>
      </c>
      <c r="T3029" t="s">
        <v>111</v>
      </c>
      <c r="U3029" t="s">
        <v>111</v>
      </c>
      <c r="V3029" t="s">
        <v>10944</v>
      </c>
      <c r="W3029" t="s">
        <v>113</v>
      </c>
      <c r="X3029" t="s">
        <v>44</v>
      </c>
      <c r="Y3029" t="s">
        <v>44</v>
      </c>
      <c r="Z3029" t="s">
        <v>44</v>
      </c>
      <c r="AA3029" t="s">
        <v>10979</v>
      </c>
      <c r="AB3029" t="s">
        <v>11465</v>
      </c>
      <c r="AC3029" s="4"/>
      <c r="AD3029" s="4"/>
      <c r="AE3029" s="2">
        <v>0</v>
      </c>
      <c r="AF3029" s="4">
        <v>0</v>
      </c>
      <c r="AG3029" s="2">
        <v>1.68</v>
      </c>
      <c r="AH3029" s="2">
        <v>9602112.7300000004</v>
      </c>
      <c r="AI3029" s="2">
        <v>0.02</v>
      </c>
      <c r="AJ3029" s="5">
        <v>44673</v>
      </c>
      <c r="AK3029" t="s">
        <v>12616</v>
      </c>
      <c r="AL3029" s="2">
        <v>0</v>
      </c>
      <c r="AM3029" s="2">
        <v>6.25</v>
      </c>
      <c r="AN3029" s="2">
        <v>2.63</v>
      </c>
      <c r="AO3029" t="s">
        <v>11054</v>
      </c>
      <c r="AP3029" t="s">
        <v>11814</v>
      </c>
      <c r="AQ3029" t="s">
        <v>11813</v>
      </c>
    </row>
    <row r="3030" spans="1:43" x14ac:dyDescent="0.2">
      <c r="A3030" t="s">
        <v>12615</v>
      </c>
      <c r="B3030" t="s">
        <v>10900</v>
      </c>
      <c r="C3030" t="s">
        <v>11033</v>
      </c>
      <c r="D3030" t="s">
        <v>12617</v>
      </c>
      <c r="E3030" t="s">
        <v>12618</v>
      </c>
      <c r="F3030" t="s">
        <v>12617</v>
      </c>
      <c r="G3030" s="1">
        <v>700000</v>
      </c>
      <c r="H3030" s="2">
        <v>708887.6</v>
      </c>
      <c r="I3030" s="2">
        <v>729455.4</v>
      </c>
      <c r="J3030" s="2">
        <v>5334.27</v>
      </c>
      <c r="K3030" s="2">
        <v>0</v>
      </c>
      <c r="L3030" s="2">
        <v>734789.67</v>
      </c>
      <c r="M3030" s="3">
        <v>6.7016830000000001</v>
      </c>
      <c r="N3030" s="4">
        <v>1.67173E-3</v>
      </c>
      <c r="O3030" s="5">
        <v>44732</v>
      </c>
      <c r="P3030" s="5">
        <v>45554</v>
      </c>
      <c r="Q3030" s="1">
        <v>8.6920000000000002</v>
      </c>
      <c r="R3030" s="2">
        <v>0.15</v>
      </c>
      <c r="S3030" s="6">
        <v>0.15262713440699999</v>
      </c>
      <c r="T3030" t="s">
        <v>111</v>
      </c>
      <c r="U3030" t="s">
        <v>111</v>
      </c>
      <c r="V3030" t="s">
        <v>11189</v>
      </c>
      <c r="W3030" t="s">
        <v>43</v>
      </c>
      <c r="X3030" t="s">
        <v>11034</v>
      </c>
      <c r="Y3030" t="s">
        <v>44</v>
      </c>
      <c r="Z3030" t="s">
        <v>44</v>
      </c>
      <c r="AA3030" t="s">
        <v>10979</v>
      </c>
      <c r="AB3030" t="s">
        <v>44</v>
      </c>
      <c r="AC3030" s="4">
        <v>6.8139642599999997</v>
      </c>
      <c r="AD3030" s="4">
        <v>6.6099867400000001</v>
      </c>
      <c r="AE3030" s="2">
        <v>6.81</v>
      </c>
      <c r="AF3030" s="4">
        <v>6.6099867400000001</v>
      </c>
      <c r="AG3030" s="2">
        <v>0.13</v>
      </c>
      <c r="AH3030" s="2">
        <v>734789.67</v>
      </c>
      <c r="AI3030" s="2">
        <v>0</v>
      </c>
      <c r="AJ3030" s="5">
        <v>44673</v>
      </c>
      <c r="AK3030" t="s">
        <v>12616</v>
      </c>
      <c r="AL3030" s="2">
        <v>6.7</v>
      </c>
      <c r="AM3030" s="2">
        <v>8.69</v>
      </c>
      <c r="AN3030" s="2">
        <v>0.15</v>
      </c>
      <c r="AO3030" t="s">
        <v>11054</v>
      </c>
      <c r="AP3030" t="s">
        <v>12619</v>
      </c>
      <c r="AQ3030" t="s">
        <v>12618</v>
      </c>
    </row>
    <row r="3031" spans="1:43" x14ac:dyDescent="0.2">
      <c r="A3031" t="s">
        <v>12615</v>
      </c>
      <c r="B3031" t="s">
        <v>10900</v>
      </c>
      <c r="C3031" t="s">
        <v>11033</v>
      </c>
      <c r="D3031" t="s">
        <v>11815</v>
      </c>
      <c r="E3031" t="s">
        <v>11816</v>
      </c>
      <c r="F3031" t="s">
        <v>11815</v>
      </c>
      <c r="G3031" s="1">
        <v>3000000</v>
      </c>
      <c r="H3031" s="2">
        <v>3000000</v>
      </c>
      <c r="I3031" s="2">
        <v>2999840.43</v>
      </c>
      <c r="J3031" s="2">
        <v>33410.050000000003</v>
      </c>
      <c r="K3031" s="2">
        <v>0</v>
      </c>
      <c r="L3031" s="2">
        <v>3033250.48</v>
      </c>
      <c r="M3031" s="3">
        <v>6.1638650000000004</v>
      </c>
      <c r="N3031" s="4">
        <v>6.9009700000000002E-3</v>
      </c>
      <c r="O3031" s="5">
        <v>44697</v>
      </c>
      <c r="P3031" s="5">
        <v>45519</v>
      </c>
      <c r="Q3031" s="1">
        <v>6.0670000000000002</v>
      </c>
      <c r="R3031" s="2">
        <v>0.06</v>
      </c>
      <c r="S3031" s="6">
        <v>2.7386669091000002E-2</v>
      </c>
      <c r="T3031" t="s">
        <v>111</v>
      </c>
      <c r="U3031" t="s">
        <v>111</v>
      </c>
      <c r="V3031" t="s">
        <v>11189</v>
      </c>
      <c r="W3031" t="s">
        <v>43</v>
      </c>
      <c r="X3031" t="s">
        <v>11034</v>
      </c>
      <c r="Y3031" t="s">
        <v>44</v>
      </c>
      <c r="Z3031" t="s">
        <v>44</v>
      </c>
      <c r="AA3031" t="s">
        <v>11225</v>
      </c>
      <c r="AB3031" t="s">
        <v>44</v>
      </c>
      <c r="AC3031" s="4">
        <v>6.2588480500000001</v>
      </c>
      <c r="AD3031" s="4">
        <v>6.0861713799999997</v>
      </c>
      <c r="AE3031" s="2">
        <v>6.26</v>
      </c>
      <c r="AF3031" s="4">
        <v>6.0861713799999997</v>
      </c>
      <c r="AG3031" s="2">
        <v>0.53</v>
      </c>
      <c r="AH3031" s="2">
        <v>3033250.48</v>
      </c>
      <c r="AI3031" s="2">
        <v>0.01</v>
      </c>
      <c r="AJ3031" s="5">
        <v>44673</v>
      </c>
      <c r="AK3031" t="s">
        <v>12616</v>
      </c>
      <c r="AL3031" s="2">
        <v>6.16</v>
      </c>
      <c r="AM3031" s="2">
        <v>6.07</v>
      </c>
      <c r="AN3031" s="2">
        <v>0.03</v>
      </c>
      <c r="AO3031" t="s">
        <v>11817</v>
      </c>
      <c r="AP3031" t="s">
        <v>11818</v>
      </c>
      <c r="AQ3031" t="s">
        <v>11816</v>
      </c>
    </row>
    <row r="3032" spans="1:43" x14ac:dyDescent="0.2">
      <c r="A3032" t="s">
        <v>12615</v>
      </c>
      <c r="B3032" t="s">
        <v>10900</v>
      </c>
      <c r="C3032" t="s">
        <v>11033</v>
      </c>
      <c r="D3032" t="s">
        <v>11819</v>
      </c>
      <c r="E3032" t="s">
        <v>11820</v>
      </c>
      <c r="F3032" t="s">
        <v>11819</v>
      </c>
      <c r="G3032" s="1">
        <v>12000000</v>
      </c>
      <c r="H3032" s="2">
        <v>12000000</v>
      </c>
      <c r="I3032" s="2">
        <v>12007522.09</v>
      </c>
      <c r="J3032" s="2">
        <v>49723.4</v>
      </c>
      <c r="K3032" s="2">
        <v>0</v>
      </c>
      <c r="L3032" s="2">
        <v>12057245.49</v>
      </c>
      <c r="M3032" s="3">
        <v>5.6743709999999998</v>
      </c>
      <c r="N3032" s="4">
        <v>2.7431529999999999E-2</v>
      </c>
      <c r="O3032" s="5">
        <v>44739</v>
      </c>
      <c r="P3032" s="5">
        <v>45470</v>
      </c>
      <c r="Q3032" s="1">
        <v>5.8170000000000002</v>
      </c>
      <c r="R3032" s="2">
        <v>0.17</v>
      </c>
      <c r="S3032" s="6">
        <v>0.145695338009</v>
      </c>
      <c r="T3032" t="s">
        <v>111</v>
      </c>
      <c r="U3032" t="s">
        <v>111</v>
      </c>
      <c r="V3032" t="s">
        <v>11189</v>
      </c>
      <c r="W3032" t="s">
        <v>43</v>
      </c>
      <c r="X3032" t="s">
        <v>11034</v>
      </c>
      <c r="Y3032" t="s">
        <v>44</v>
      </c>
      <c r="Z3032" t="s">
        <v>44</v>
      </c>
      <c r="AA3032" t="s">
        <v>10913</v>
      </c>
      <c r="AB3032" t="s">
        <v>44</v>
      </c>
      <c r="AC3032" s="4">
        <v>5.7548670399999997</v>
      </c>
      <c r="AD3032" s="4">
        <v>5.6084308399999996</v>
      </c>
      <c r="AE3032" s="2">
        <v>5.75</v>
      </c>
      <c r="AF3032" s="4">
        <v>5.6084308399999996</v>
      </c>
      <c r="AG3032" s="2">
        <v>2.12</v>
      </c>
      <c r="AH3032" s="2">
        <v>12057245.49</v>
      </c>
      <c r="AI3032" s="2">
        <v>0.03</v>
      </c>
      <c r="AJ3032" s="5">
        <v>44673</v>
      </c>
      <c r="AK3032" t="s">
        <v>12616</v>
      </c>
      <c r="AL3032" s="2">
        <v>5.67</v>
      </c>
      <c r="AM3032" s="2">
        <v>5.82</v>
      </c>
      <c r="AN3032" s="2">
        <v>0.15</v>
      </c>
      <c r="AO3032" t="s">
        <v>11563</v>
      </c>
      <c r="AP3032" t="s">
        <v>11821</v>
      </c>
      <c r="AQ3032" t="s">
        <v>11820</v>
      </c>
    </row>
    <row r="3033" spans="1:43" x14ac:dyDescent="0.2">
      <c r="A3033" t="s">
        <v>12615</v>
      </c>
      <c r="B3033" t="s">
        <v>10900</v>
      </c>
      <c r="C3033" t="s">
        <v>11033</v>
      </c>
      <c r="D3033" t="s">
        <v>12620</v>
      </c>
      <c r="E3033" t="s">
        <v>12621</v>
      </c>
      <c r="F3033" t="s">
        <v>12620</v>
      </c>
      <c r="G3033" s="1">
        <v>4000000</v>
      </c>
      <c r="H3033" s="2">
        <v>4000895.22</v>
      </c>
      <c r="I3033" s="2">
        <v>4003163.79</v>
      </c>
      <c r="J3033" s="2">
        <v>25536.99</v>
      </c>
      <c r="K3033" s="2">
        <v>0</v>
      </c>
      <c r="L3033" s="2">
        <v>4028700.78</v>
      </c>
      <c r="M3033" s="3">
        <v>5.9053490000000002</v>
      </c>
      <c r="N3033" s="4">
        <v>9.1657300000000004E-3</v>
      </c>
      <c r="O3033" s="5">
        <v>44727</v>
      </c>
      <c r="P3033" s="5">
        <v>45366</v>
      </c>
      <c r="Q3033" s="1">
        <v>5.9749999999999996</v>
      </c>
      <c r="R3033" s="2">
        <v>0.14000000000000001</v>
      </c>
      <c r="S3033" s="6">
        <v>0.11404721546799999</v>
      </c>
      <c r="T3033" t="s">
        <v>111</v>
      </c>
      <c r="U3033" t="s">
        <v>111</v>
      </c>
      <c r="V3033" t="s">
        <v>11189</v>
      </c>
      <c r="W3033" t="s">
        <v>43</v>
      </c>
      <c r="X3033" t="s">
        <v>11034</v>
      </c>
      <c r="Y3033" t="s">
        <v>44</v>
      </c>
      <c r="Z3033" t="s">
        <v>44</v>
      </c>
      <c r="AA3033" t="s">
        <v>10979</v>
      </c>
      <c r="AB3033" t="s">
        <v>44</v>
      </c>
      <c r="AC3033" s="4">
        <v>5.9925322400000001</v>
      </c>
      <c r="AD3033" s="4">
        <v>5.8339810999999999</v>
      </c>
      <c r="AE3033" s="2">
        <v>5.99</v>
      </c>
      <c r="AF3033" s="4">
        <v>5.8339810999999999</v>
      </c>
      <c r="AG3033" s="2">
        <v>0.71</v>
      </c>
      <c r="AH3033" s="2">
        <v>4028700.78</v>
      </c>
      <c r="AI3033" s="2">
        <v>0.01</v>
      </c>
      <c r="AJ3033" s="5">
        <v>44673</v>
      </c>
      <c r="AK3033" t="s">
        <v>12616</v>
      </c>
      <c r="AL3033" s="2">
        <v>5.91</v>
      </c>
      <c r="AM3033" s="2">
        <v>5.97</v>
      </c>
      <c r="AN3033" s="2">
        <v>0.11</v>
      </c>
      <c r="AO3033" t="s">
        <v>11567</v>
      </c>
      <c r="AP3033" t="s">
        <v>12622</v>
      </c>
      <c r="AQ3033" t="s">
        <v>12621</v>
      </c>
    </row>
    <row r="3034" spans="1:43" x14ac:dyDescent="0.2">
      <c r="A3034" t="s">
        <v>12615</v>
      </c>
      <c r="B3034" t="s">
        <v>10900</v>
      </c>
      <c r="C3034" t="s">
        <v>11033</v>
      </c>
      <c r="D3034" t="s">
        <v>12623</v>
      </c>
      <c r="E3034" t="s">
        <v>12624</v>
      </c>
      <c r="F3034" t="s">
        <v>12623</v>
      </c>
      <c r="G3034" s="1">
        <v>1000000</v>
      </c>
      <c r="H3034" s="2">
        <v>1000000</v>
      </c>
      <c r="I3034" s="2">
        <v>1001667.3</v>
      </c>
      <c r="J3034" s="2">
        <v>6437.67</v>
      </c>
      <c r="K3034" s="2">
        <v>0</v>
      </c>
      <c r="L3034" s="2">
        <v>1008104.97</v>
      </c>
      <c r="M3034" s="3">
        <v>5.9053490000000002</v>
      </c>
      <c r="N3034" s="4">
        <v>2.2935500000000001E-3</v>
      </c>
      <c r="O3034" s="5">
        <v>44727</v>
      </c>
      <c r="P3034" s="5">
        <v>45366</v>
      </c>
      <c r="Q3034" s="1">
        <v>6.0250000000000004</v>
      </c>
      <c r="R3034" s="2">
        <v>0.14000000000000001</v>
      </c>
      <c r="S3034" s="6">
        <v>0.114791752894</v>
      </c>
      <c r="T3034" t="s">
        <v>111</v>
      </c>
      <c r="U3034" t="s">
        <v>111</v>
      </c>
      <c r="V3034" t="s">
        <v>11189</v>
      </c>
      <c r="W3034" t="s">
        <v>43</v>
      </c>
      <c r="X3034" t="s">
        <v>11034</v>
      </c>
      <c r="Y3034" t="s">
        <v>44</v>
      </c>
      <c r="Z3034" t="s">
        <v>44</v>
      </c>
      <c r="AA3034" t="s">
        <v>10979</v>
      </c>
      <c r="AB3034" t="s">
        <v>44</v>
      </c>
      <c r="AC3034" s="4">
        <v>5.9925322400000001</v>
      </c>
      <c r="AD3034" s="4">
        <v>5.8339810999999999</v>
      </c>
      <c r="AE3034" s="2">
        <v>5.99</v>
      </c>
      <c r="AF3034" s="4">
        <v>5.8339810999999999</v>
      </c>
      <c r="AG3034" s="2">
        <v>0.18</v>
      </c>
      <c r="AH3034" s="2">
        <v>1008104.97</v>
      </c>
      <c r="AI3034" s="2">
        <v>0</v>
      </c>
      <c r="AJ3034" s="5">
        <v>44673</v>
      </c>
      <c r="AK3034" t="s">
        <v>12616</v>
      </c>
      <c r="AL3034" s="2">
        <v>5.91</v>
      </c>
      <c r="AM3034" s="2">
        <v>6.03</v>
      </c>
      <c r="AN3034" s="2">
        <v>0.11</v>
      </c>
      <c r="AO3034" t="s">
        <v>11567</v>
      </c>
      <c r="AP3034" t="s">
        <v>12625</v>
      </c>
      <c r="AQ3034" t="s">
        <v>12624</v>
      </c>
    </row>
    <row r="3035" spans="1:43" x14ac:dyDescent="0.2">
      <c r="A3035" t="s">
        <v>12615</v>
      </c>
      <c r="B3035" t="s">
        <v>10900</v>
      </c>
      <c r="C3035" t="s">
        <v>11033</v>
      </c>
      <c r="D3035" t="s">
        <v>11822</v>
      </c>
      <c r="E3035" t="s">
        <v>11823</v>
      </c>
      <c r="F3035" t="s">
        <v>11822</v>
      </c>
      <c r="G3035" s="1">
        <v>3000000</v>
      </c>
      <c r="H3035" s="2">
        <v>3000000</v>
      </c>
      <c r="I3035" s="2">
        <v>2976806.84</v>
      </c>
      <c r="J3035" s="2">
        <v>32790.9</v>
      </c>
      <c r="K3035" s="2">
        <v>0</v>
      </c>
      <c r="L3035" s="2">
        <v>3009597.74</v>
      </c>
      <c r="M3035" s="3">
        <v>6.4745299999999997</v>
      </c>
      <c r="N3035" s="4">
        <v>6.8471599999999997E-3</v>
      </c>
      <c r="O3035" s="5">
        <v>44693</v>
      </c>
      <c r="P3035" s="5">
        <v>45242</v>
      </c>
      <c r="Q3035" s="1">
        <v>5.867</v>
      </c>
      <c r="R3035" s="2">
        <v>0.05</v>
      </c>
      <c r="S3035" s="6">
        <v>1.5942423563000001E-2</v>
      </c>
      <c r="T3035" t="s">
        <v>111</v>
      </c>
      <c r="U3035" t="s">
        <v>111</v>
      </c>
      <c r="V3035" t="s">
        <v>11189</v>
      </c>
      <c r="W3035" t="s">
        <v>43</v>
      </c>
      <c r="X3035" t="s">
        <v>11034</v>
      </c>
      <c r="Y3035" t="s">
        <v>44</v>
      </c>
      <c r="Z3035" t="s">
        <v>44</v>
      </c>
      <c r="AA3035" t="s">
        <v>10979</v>
      </c>
      <c r="AB3035" t="s">
        <v>44</v>
      </c>
      <c r="AC3035" s="4">
        <v>6.5793283799999998</v>
      </c>
      <c r="AD3035" s="4">
        <v>6.3888862499999997</v>
      </c>
      <c r="AE3035" s="2">
        <v>6.58</v>
      </c>
      <c r="AF3035" s="4">
        <v>6.3888862499999997</v>
      </c>
      <c r="AG3035" s="2">
        <v>0.53</v>
      </c>
      <c r="AH3035" s="2">
        <v>3009597.74</v>
      </c>
      <c r="AI3035" s="2">
        <v>0.01</v>
      </c>
      <c r="AJ3035" s="5">
        <v>44673</v>
      </c>
      <c r="AK3035" t="s">
        <v>12616</v>
      </c>
      <c r="AL3035" s="2">
        <v>6.47</v>
      </c>
      <c r="AM3035" s="2">
        <v>5.87</v>
      </c>
      <c r="AN3035" s="2">
        <v>0.02</v>
      </c>
      <c r="AO3035" t="s">
        <v>11824</v>
      </c>
      <c r="AP3035" t="s">
        <v>11825</v>
      </c>
      <c r="AQ3035" t="s">
        <v>11823</v>
      </c>
    </row>
    <row r="3036" spans="1:43" x14ac:dyDescent="0.2">
      <c r="A3036" t="s">
        <v>12615</v>
      </c>
      <c r="B3036" t="s">
        <v>10900</v>
      </c>
      <c r="C3036" t="s">
        <v>11033</v>
      </c>
      <c r="D3036" t="s">
        <v>11826</v>
      </c>
      <c r="E3036" t="s">
        <v>11827</v>
      </c>
      <c r="F3036" t="s">
        <v>11826</v>
      </c>
      <c r="G3036" s="1">
        <v>3000000</v>
      </c>
      <c r="H3036" s="2">
        <v>3000000</v>
      </c>
      <c r="I3036" s="2">
        <v>2979804.32</v>
      </c>
      <c r="J3036" s="2">
        <v>17581.810000000001</v>
      </c>
      <c r="K3036" s="2">
        <v>0</v>
      </c>
      <c r="L3036" s="2">
        <v>2997386.13</v>
      </c>
      <c r="M3036" s="3">
        <v>6.1816829999999996</v>
      </c>
      <c r="N3036" s="4">
        <v>6.8193799999999999E-3</v>
      </c>
      <c r="O3036" s="5">
        <v>44732</v>
      </c>
      <c r="P3036" s="5">
        <v>45644</v>
      </c>
      <c r="Q3036" s="1">
        <v>5.9420000000000002</v>
      </c>
      <c r="R3036" s="2">
        <v>0.15</v>
      </c>
      <c r="S3036" s="6">
        <v>0.106811678077</v>
      </c>
      <c r="T3036" t="s">
        <v>111</v>
      </c>
      <c r="U3036" t="s">
        <v>111</v>
      </c>
      <c r="V3036" t="s">
        <v>11189</v>
      </c>
      <c r="W3036" t="s">
        <v>43</v>
      </c>
      <c r="X3036" t="s">
        <v>11034</v>
      </c>
      <c r="Y3036" t="s">
        <v>44</v>
      </c>
      <c r="Z3036" t="s">
        <v>44</v>
      </c>
      <c r="AA3036" t="s">
        <v>10979</v>
      </c>
      <c r="AB3036" t="s">
        <v>44</v>
      </c>
      <c r="AC3036" s="4">
        <v>6.2772158899999999</v>
      </c>
      <c r="AD3036" s="4">
        <v>6.10354361</v>
      </c>
      <c r="AE3036" s="2">
        <v>6.28</v>
      </c>
      <c r="AF3036" s="4">
        <v>6.10354361</v>
      </c>
      <c r="AG3036" s="2">
        <v>0.53</v>
      </c>
      <c r="AH3036" s="2">
        <v>2997386.13</v>
      </c>
      <c r="AI3036" s="2">
        <v>0.01</v>
      </c>
      <c r="AJ3036" s="5">
        <v>44673</v>
      </c>
      <c r="AK3036" t="s">
        <v>12616</v>
      </c>
      <c r="AL3036" s="2">
        <v>6.18</v>
      </c>
      <c r="AM3036" s="2">
        <v>5.94</v>
      </c>
      <c r="AN3036" s="2">
        <v>0.11</v>
      </c>
      <c r="AO3036" t="s">
        <v>11824</v>
      </c>
      <c r="AP3036" t="s">
        <v>11828</v>
      </c>
      <c r="AQ3036" t="s">
        <v>11827</v>
      </c>
    </row>
    <row r="3037" spans="1:43" x14ac:dyDescent="0.2">
      <c r="A3037" t="s">
        <v>12615</v>
      </c>
      <c r="B3037" t="s">
        <v>10900</v>
      </c>
      <c r="C3037" t="s">
        <v>11033</v>
      </c>
      <c r="D3037" t="s">
        <v>12841</v>
      </c>
      <c r="E3037" t="s">
        <v>12842</v>
      </c>
      <c r="F3037" t="s">
        <v>12841</v>
      </c>
      <c r="G3037" s="1">
        <v>5800000</v>
      </c>
      <c r="H3037" s="2">
        <v>5800000</v>
      </c>
      <c r="I3037" s="2">
        <v>5800150.46</v>
      </c>
      <c r="J3037" s="2">
        <v>23233.05</v>
      </c>
      <c r="K3037" s="2">
        <v>0</v>
      </c>
      <c r="L3037" s="2">
        <v>5823383.5099999998</v>
      </c>
      <c r="M3037" s="3">
        <v>5.8547310000000001</v>
      </c>
      <c r="N3037" s="4">
        <v>1.324882E-2</v>
      </c>
      <c r="O3037" s="5">
        <v>44679</v>
      </c>
      <c r="P3037" s="5">
        <v>45044</v>
      </c>
      <c r="Q3037" s="1">
        <v>6.0919999999999996</v>
      </c>
      <c r="R3037" s="2">
        <v>0.01</v>
      </c>
      <c r="S3037" s="6">
        <v>-3.847892072E-3</v>
      </c>
      <c r="T3037" t="s">
        <v>111</v>
      </c>
      <c r="U3037" t="s">
        <v>111</v>
      </c>
      <c r="V3037" t="s">
        <v>114</v>
      </c>
      <c r="W3037" t="s">
        <v>43</v>
      </c>
      <c r="X3037" t="s">
        <v>44</v>
      </c>
      <c r="Y3037" t="s">
        <v>44</v>
      </c>
      <c r="Z3037" t="s">
        <v>44</v>
      </c>
      <c r="AA3037" t="s">
        <v>10979</v>
      </c>
      <c r="AB3037" t="s">
        <v>44</v>
      </c>
      <c r="AC3037" s="4">
        <v>5.9404258900000002</v>
      </c>
      <c r="AD3037" s="4">
        <v>5.7845705699999996</v>
      </c>
      <c r="AE3037" s="2">
        <v>5.94</v>
      </c>
      <c r="AF3037" s="4">
        <v>5.7845705699999996</v>
      </c>
      <c r="AG3037" s="2">
        <v>1.02</v>
      </c>
      <c r="AH3037" s="2">
        <v>5823383.5099999998</v>
      </c>
      <c r="AI3037" s="2">
        <v>0.01</v>
      </c>
      <c r="AJ3037" s="5">
        <v>44673</v>
      </c>
      <c r="AK3037" t="s">
        <v>12616</v>
      </c>
      <c r="AL3037" s="2">
        <v>5.85</v>
      </c>
      <c r="AM3037" s="2">
        <v>6.09</v>
      </c>
      <c r="AN3037" s="2">
        <v>0</v>
      </c>
      <c r="AO3037" t="s">
        <v>11165</v>
      </c>
      <c r="AP3037" t="s">
        <v>12843</v>
      </c>
      <c r="AQ3037" t="s">
        <v>12842</v>
      </c>
    </row>
    <row r="3038" spans="1:43" x14ac:dyDescent="0.2">
      <c r="A3038" t="s">
        <v>12615</v>
      </c>
      <c r="B3038" t="s">
        <v>10900</v>
      </c>
      <c r="C3038" t="s">
        <v>11033</v>
      </c>
      <c r="D3038" t="s">
        <v>11525</v>
      </c>
      <c r="E3038" t="s">
        <v>11526</v>
      </c>
      <c r="F3038" t="s">
        <v>11525</v>
      </c>
      <c r="G3038" s="1">
        <v>6000000</v>
      </c>
      <c r="H3038" s="2">
        <v>6000000</v>
      </c>
      <c r="I3038" s="2">
        <v>6011021.8399999999</v>
      </c>
      <c r="J3038" s="2">
        <v>9443.34</v>
      </c>
      <c r="K3038" s="2">
        <v>0</v>
      </c>
      <c r="L3038" s="2">
        <v>6020465.1799999997</v>
      </c>
      <c r="M3038" s="3">
        <v>6.20838</v>
      </c>
      <c r="N3038" s="4">
        <v>1.369721E-2</v>
      </c>
      <c r="O3038" s="5">
        <v>44756</v>
      </c>
      <c r="P3038" s="5">
        <v>45396</v>
      </c>
      <c r="Q3038" s="1">
        <v>6.383</v>
      </c>
      <c r="R3038" s="2">
        <v>0.22</v>
      </c>
      <c r="S3038" s="6">
        <v>0.18643150391999999</v>
      </c>
      <c r="T3038" t="s">
        <v>111</v>
      </c>
      <c r="U3038" t="s">
        <v>111</v>
      </c>
      <c r="V3038" t="s">
        <v>11189</v>
      </c>
      <c r="W3038" t="s">
        <v>43</v>
      </c>
      <c r="X3038" t="s">
        <v>11034</v>
      </c>
      <c r="Y3038" t="s">
        <v>44</v>
      </c>
      <c r="Z3038" t="s">
        <v>44</v>
      </c>
      <c r="AA3038" t="s">
        <v>44</v>
      </c>
      <c r="AB3038" t="s">
        <v>44</v>
      </c>
      <c r="AC3038" s="4">
        <v>6.30473952</v>
      </c>
      <c r="AD3038" s="4">
        <v>6.1295701999999999</v>
      </c>
      <c r="AE3038" s="2">
        <v>6.3</v>
      </c>
      <c r="AF3038" s="4">
        <v>6.1295701999999999</v>
      </c>
      <c r="AG3038" s="2">
        <v>1.06</v>
      </c>
      <c r="AH3038" s="2">
        <v>6020465.1799999997</v>
      </c>
      <c r="AI3038" s="2">
        <v>0.01</v>
      </c>
      <c r="AJ3038" s="5">
        <v>44673</v>
      </c>
      <c r="AK3038" t="s">
        <v>12616</v>
      </c>
      <c r="AL3038" s="2">
        <v>6.21</v>
      </c>
      <c r="AM3038" s="2">
        <v>6.38</v>
      </c>
      <c r="AN3038" s="2">
        <v>0.19</v>
      </c>
      <c r="AO3038" t="s">
        <v>11527</v>
      </c>
      <c r="AP3038" t="s">
        <v>11528</v>
      </c>
      <c r="AQ3038" t="s">
        <v>11526</v>
      </c>
    </row>
    <row r="3039" spans="1:43" x14ac:dyDescent="0.2">
      <c r="A3039" t="s">
        <v>12615</v>
      </c>
      <c r="B3039" t="s">
        <v>10900</v>
      </c>
      <c r="C3039" t="s">
        <v>11033</v>
      </c>
      <c r="D3039" t="s">
        <v>11829</v>
      </c>
      <c r="E3039" t="s">
        <v>11830</v>
      </c>
      <c r="F3039" t="s">
        <v>11829</v>
      </c>
      <c r="G3039" s="1">
        <v>5400000</v>
      </c>
      <c r="H3039" s="2">
        <v>5400429.7699999996</v>
      </c>
      <c r="I3039" s="2">
        <v>5399310.8099999996</v>
      </c>
      <c r="J3039" s="2">
        <v>41143.410000000003</v>
      </c>
      <c r="K3039" s="2">
        <v>0</v>
      </c>
      <c r="L3039" s="2">
        <v>5440454.2199999997</v>
      </c>
      <c r="M3039" s="3">
        <v>5.9678570000000004</v>
      </c>
      <c r="N3039" s="4">
        <v>1.2377620000000001E-2</v>
      </c>
      <c r="O3039" s="5">
        <v>44719</v>
      </c>
      <c r="P3039" s="5">
        <v>45723</v>
      </c>
      <c r="Q3039" s="1">
        <v>5.9169999999999998</v>
      </c>
      <c r="R3039" s="2">
        <v>0.12</v>
      </c>
      <c r="S3039" s="6">
        <v>8.2443218371999999E-2</v>
      </c>
      <c r="T3039" t="s">
        <v>111</v>
      </c>
      <c r="U3039" t="s">
        <v>111</v>
      </c>
      <c r="V3039" t="s">
        <v>11189</v>
      </c>
      <c r="W3039" t="s">
        <v>43</v>
      </c>
      <c r="X3039" t="s">
        <v>11034</v>
      </c>
      <c r="Y3039" t="s">
        <v>44</v>
      </c>
      <c r="Z3039" t="s">
        <v>44</v>
      </c>
      <c r="AA3039" t="s">
        <v>11035</v>
      </c>
      <c r="AB3039" t="s">
        <v>44</v>
      </c>
      <c r="AC3039" s="4">
        <v>6.0568952400000002</v>
      </c>
      <c r="AD3039" s="4">
        <v>5.8949834299999999</v>
      </c>
      <c r="AE3039" s="2">
        <v>6.06</v>
      </c>
      <c r="AF3039" s="4">
        <v>5.8949834299999999</v>
      </c>
      <c r="AG3039" s="2">
        <v>0.95</v>
      </c>
      <c r="AH3039" s="2">
        <v>5440454.2199999997</v>
      </c>
      <c r="AI3039" s="2">
        <v>0.01</v>
      </c>
      <c r="AJ3039" s="5">
        <v>44673</v>
      </c>
      <c r="AK3039" t="s">
        <v>12616</v>
      </c>
      <c r="AL3039" s="2">
        <v>5.97</v>
      </c>
      <c r="AM3039" s="2">
        <v>5.92</v>
      </c>
      <c r="AN3039" s="2">
        <v>0.08</v>
      </c>
      <c r="AO3039" t="s">
        <v>11437</v>
      </c>
      <c r="AP3039" t="s">
        <v>11831</v>
      </c>
      <c r="AQ3039" t="s">
        <v>11830</v>
      </c>
    </row>
    <row r="3040" spans="1:43" x14ac:dyDescent="0.2">
      <c r="A3040" t="s">
        <v>12615</v>
      </c>
      <c r="B3040" t="s">
        <v>10900</v>
      </c>
      <c r="C3040" t="s">
        <v>11033</v>
      </c>
      <c r="D3040" t="s">
        <v>12982</v>
      </c>
      <c r="E3040" t="s">
        <v>12983</v>
      </c>
      <c r="F3040" t="s">
        <v>12982</v>
      </c>
      <c r="G3040" s="1">
        <v>6300000</v>
      </c>
      <c r="H3040" s="2">
        <v>6300000</v>
      </c>
      <c r="I3040" s="2">
        <v>6566778.4000000004</v>
      </c>
      <c r="J3040" s="2">
        <v>80841.77</v>
      </c>
      <c r="K3040" s="2">
        <v>0</v>
      </c>
      <c r="L3040" s="2">
        <v>6647620.1699999999</v>
      </c>
      <c r="M3040" s="3">
        <v>6.0747210000000003</v>
      </c>
      <c r="N3040" s="4">
        <v>1.512405E-2</v>
      </c>
      <c r="O3040" s="5">
        <v>44706</v>
      </c>
      <c r="P3040" s="5">
        <v>45439</v>
      </c>
      <c r="Q3040" s="1">
        <v>8.2170000000000005</v>
      </c>
      <c r="R3040" s="2">
        <v>0.08</v>
      </c>
      <c r="S3040" s="6">
        <v>9.4979191527000004E-2</v>
      </c>
      <c r="T3040" t="s">
        <v>111</v>
      </c>
      <c r="U3040" t="s">
        <v>111</v>
      </c>
      <c r="V3040" t="s">
        <v>11189</v>
      </c>
      <c r="W3040" t="s">
        <v>43</v>
      </c>
      <c r="X3040" t="s">
        <v>11034</v>
      </c>
      <c r="Y3040" t="s">
        <v>44</v>
      </c>
      <c r="Z3040" t="s">
        <v>44</v>
      </c>
      <c r="AA3040" t="s">
        <v>44</v>
      </c>
      <c r="AB3040" t="s">
        <v>44</v>
      </c>
      <c r="AC3040" s="4">
        <v>6.1669761000000003</v>
      </c>
      <c r="AD3040" s="4">
        <v>5.9992378899999999</v>
      </c>
      <c r="AE3040" s="2">
        <v>6.17</v>
      </c>
      <c r="AF3040" s="4">
        <v>5.9992378899999999</v>
      </c>
      <c r="AG3040" s="2">
        <v>1.17</v>
      </c>
      <c r="AH3040" s="2">
        <v>6647620.1699999999</v>
      </c>
      <c r="AI3040" s="2">
        <v>0.02</v>
      </c>
      <c r="AJ3040" s="5">
        <v>44673</v>
      </c>
      <c r="AK3040" t="s">
        <v>12616</v>
      </c>
      <c r="AL3040" s="2">
        <v>6.07</v>
      </c>
      <c r="AM3040" s="2">
        <v>8.2200000000000006</v>
      </c>
      <c r="AN3040" s="2">
        <v>0.09</v>
      </c>
      <c r="AO3040" t="s">
        <v>12984</v>
      </c>
      <c r="AP3040" t="s">
        <v>12985</v>
      </c>
      <c r="AQ3040" t="s">
        <v>12983</v>
      </c>
    </row>
    <row r="3041" spans="1:43" x14ac:dyDescent="0.2">
      <c r="A3041" t="s">
        <v>12615</v>
      </c>
      <c r="B3041" t="s">
        <v>10900</v>
      </c>
      <c r="C3041" t="s">
        <v>11033</v>
      </c>
      <c r="D3041" t="s">
        <v>11838</v>
      </c>
      <c r="E3041" t="s">
        <v>11839</v>
      </c>
      <c r="F3041" t="s">
        <v>11838</v>
      </c>
      <c r="G3041" s="1">
        <v>3000000</v>
      </c>
      <c r="H3041" s="2">
        <v>3000000</v>
      </c>
      <c r="I3041" s="2">
        <v>3000060.27</v>
      </c>
      <c r="J3041" s="2">
        <v>12404.79</v>
      </c>
      <c r="K3041" s="2">
        <v>0</v>
      </c>
      <c r="L3041" s="2">
        <v>3012465.06</v>
      </c>
      <c r="M3041" s="3">
        <v>5.9270630000000004</v>
      </c>
      <c r="N3041" s="4">
        <v>6.85368E-3</v>
      </c>
      <c r="O3041" s="5">
        <v>44741</v>
      </c>
      <c r="P3041" s="5">
        <v>45380</v>
      </c>
      <c r="Q3041" s="1">
        <v>6.0369999999999999</v>
      </c>
      <c r="R3041" s="2">
        <v>0.18</v>
      </c>
      <c r="S3041" s="6">
        <v>0.14918711395799999</v>
      </c>
      <c r="T3041" t="s">
        <v>111</v>
      </c>
      <c r="U3041" t="s">
        <v>111</v>
      </c>
      <c r="V3041" t="s">
        <v>11189</v>
      </c>
      <c r="W3041" t="s">
        <v>43</v>
      </c>
      <c r="X3041" t="s">
        <v>11840</v>
      </c>
      <c r="Y3041" t="s">
        <v>44</v>
      </c>
      <c r="Z3041" t="s">
        <v>44</v>
      </c>
      <c r="AA3041" t="s">
        <v>10979</v>
      </c>
      <c r="AB3041" t="s">
        <v>44</v>
      </c>
      <c r="AC3041" s="4">
        <v>6.0148877399999998</v>
      </c>
      <c r="AD3041" s="4">
        <v>5.8551731699999996</v>
      </c>
      <c r="AE3041" s="2">
        <v>6.01</v>
      </c>
      <c r="AF3041" s="4">
        <v>5.8551731699999996</v>
      </c>
      <c r="AG3041" s="2">
        <v>0.53</v>
      </c>
      <c r="AH3041" s="2">
        <v>3012465.06</v>
      </c>
      <c r="AI3041" s="2">
        <v>0.01</v>
      </c>
      <c r="AJ3041" s="5">
        <v>44673</v>
      </c>
      <c r="AK3041" t="s">
        <v>12616</v>
      </c>
      <c r="AL3041" s="2">
        <v>5.93</v>
      </c>
      <c r="AM3041" s="2">
        <v>6.04</v>
      </c>
      <c r="AN3041" s="2">
        <v>0.15</v>
      </c>
      <c r="AO3041" t="s">
        <v>11841</v>
      </c>
      <c r="AP3041" t="s">
        <v>11842</v>
      </c>
      <c r="AQ3041" t="s">
        <v>11839</v>
      </c>
    </row>
    <row r="3042" spans="1:43" x14ac:dyDescent="0.2">
      <c r="A3042" t="s">
        <v>12615</v>
      </c>
      <c r="B3042" t="s">
        <v>10900</v>
      </c>
      <c r="C3042" t="s">
        <v>11033</v>
      </c>
      <c r="D3042" t="s">
        <v>11192</v>
      </c>
      <c r="E3042" t="s">
        <v>11193</v>
      </c>
      <c r="F3042" t="s">
        <v>11192</v>
      </c>
      <c r="G3042" s="1">
        <v>800000</v>
      </c>
      <c r="H3042" s="2">
        <v>815246.52</v>
      </c>
      <c r="I3042" s="2">
        <v>831405.25</v>
      </c>
      <c r="J3042" s="2">
        <v>4419.53</v>
      </c>
      <c r="K3042" s="2">
        <v>0</v>
      </c>
      <c r="L3042" s="2">
        <v>835824.78</v>
      </c>
      <c r="M3042" s="3">
        <v>6.4487519999999998</v>
      </c>
      <c r="N3042" s="4">
        <v>1.9015900000000001E-3</v>
      </c>
      <c r="O3042" s="5">
        <v>44742</v>
      </c>
      <c r="P3042" s="5">
        <v>45379</v>
      </c>
      <c r="Q3042" s="1">
        <v>8.7669999999999995</v>
      </c>
      <c r="R3042" s="2">
        <v>0.18</v>
      </c>
      <c r="S3042" s="6">
        <v>0.176703783398</v>
      </c>
      <c r="T3042" t="s">
        <v>111</v>
      </c>
      <c r="U3042" t="s">
        <v>111</v>
      </c>
      <c r="V3042" t="s">
        <v>11189</v>
      </c>
      <c r="W3042" t="s">
        <v>43</v>
      </c>
      <c r="X3042" t="s">
        <v>11034</v>
      </c>
      <c r="Y3042" t="s">
        <v>44</v>
      </c>
      <c r="Z3042" t="s">
        <v>44</v>
      </c>
      <c r="AA3042" t="s">
        <v>10979</v>
      </c>
      <c r="AB3042" t="s">
        <v>44</v>
      </c>
      <c r="AC3042" s="4">
        <v>6.5527180200000004</v>
      </c>
      <c r="AD3042" s="4">
        <v>6.3637827900000001</v>
      </c>
      <c r="AE3042" s="2">
        <v>6.55</v>
      </c>
      <c r="AF3042" s="4">
        <v>6.3637827900000001</v>
      </c>
      <c r="AG3042" s="2">
        <v>0.15</v>
      </c>
      <c r="AH3042" s="2">
        <v>835824.78</v>
      </c>
      <c r="AI3042" s="2">
        <v>0</v>
      </c>
      <c r="AJ3042" s="5">
        <v>44673</v>
      </c>
      <c r="AK3042" t="s">
        <v>12616</v>
      </c>
      <c r="AL3042" s="2">
        <v>6.45</v>
      </c>
      <c r="AM3042" s="2">
        <v>8.77</v>
      </c>
      <c r="AN3042" s="2">
        <v>0.18</v>
      </c>
      <c r="AO3042" t="s">
        <v>11179</v>
      </c>
      <c r="AP3042" t="s">
        <v>11194</v>
      </c>
      <c r="AQ3042" t="s">
        <v>11193</v>
      </c>
    </row>
    <row r="3043" spans="1:43" x14ac:dyDescent="0.2">
      <c r="A3043" t="s">
        <v>12615</v>
      </c>
      <c r="B3043" t="s">
        <v>10900</v>
      </c>
      <c r="C3043" t="s">
        <v>11033</v>
      </c>
      <c r="D3043" t="s">
        <v>11843</v>
      </c>
      <c r="E3043" t="s">
        <v>11844</v>
      </c>
      <c r="F3043" t="s">
        <v>11843</v>
      </c>
      <c r="G3043" s="1">
        <v>12000000</v>
      </c>
      <c r="H3043" s="2">
        <v>12000000</v>
      </c>
      <c r="I3043" s="2">
        <v>11945863.52</v>
      </c>
      <c r="J3043" s="2">
        <v>8920.11</v>
      </c>
      <c r="K3043" s="2">
        <v>0</v>
      </c>
      <c r="L3043" s="2">
        <v>11954783.630000001</v>
      </c>
      <c r="M3043" s="3">
        <v>6.9820180000000001</v>
      </c>
      <c r="N3043" s="4">
        <v>2.7198420000000001E-2</v>
      </c>
      <c r="O3043" s="5">
        <v>44760</v>
      </c>
      <c r="P3043" s="5">
        <v>45398</v>
      </c>
      <c r="Q3043" s="1">
        <v>6.7830000000000004</v>
      </c>
      <c r="R3043" s="2">
        <v>0.23</v>
      </c>
      <c r="S3043" s="6">
        <v>0.182016060841</v>
      </c>
      <c r="T3043" t="s">
        <v>111</v>
      </c>
      <c r="U3043" t="s">
        <v>111</v>
      </c>
      <c r="V3043" t="s">
        <v>11189</v>
      </c>
      <c r="W3043" t="s">
        <v>43</v>
      </c>
      <c r="X3043" t="s">
        <v>11034</v>
      </c>
      <c r="Y3043" t="s">
        <v>44</v>
      </c>
      <c r="Z3043" t="s">
        <v>44</v>
      </c>
      <c r="AA3043" t="s">
        <v>10979</v>
      </c>
      <c r="AB3043" t="s">
        <v>44</v>
      </c>
      <c r="AC3043" s="4">
        <v>7.1038890300000004</v>
      </c>
      <c r="AD3043" s="4">
        <v>6.8825725699999998</v>
      </c>
      <c r="AE3043" s="2">
        <v>7.1</v>
      </c>
      <c r="AF3043" s="4">
        <v>6.8825725699999998</v>
      </c>
      <c r="AG3043" s="2">
        <v>2.1</v>
      </c>
      <c r="AH3043" s="2">
        <v>11954783.630000001</v>
      </c>
      <c r="AI3043" s="2">
        <v>0.03</v>
      </c>
      <c r="AJ3043" s="5">
        <v>44673</v>
      </c>
      <c r="AK3043" t="s">
        <v>12616</v>
      </c>
      <c r="AL3043" s="2">
        <v>6.98</v>
      </c>
      <c r="AM3043" s="2">
        <v>6.78</v>
      </c>
      <c r="AN3043" s="2">
        <v>0.18</v>
      </c>
      <c r="AO3043" t="s">
        <v>11179</v>
      </c>
      <c r="AP3043" t="s">
        <v>11845</v>
      </c>
      <c r="AQ3043" t="s">
        <v>11844</v>
      </c>
    </row>
    <row r="3044" spans="1:43" x14ac:dyDescent="0.2">
      <c r="A3044" t="s">
        <v>12615</v>
      </c>
      <c r="B3044" t="s">
        <v>10900</v>
      </c>
      <c r="C3044" t="s">
        <v>10943</v>
      </c>
      <c r="D3044" t="s">
        <v>11552</v>
      </c>
      <c r="E3044" t="s">
        <v>11553</v>
      </c>
      <c r="F3044" t="s">
        <v>11552</v>
      </c>
      <c r="G3044" s="1">
        <v>1000000</v>
      </c>
      <c r="H3044" s="2">
        <v>1000000</v>
      </c>
      <c r="I3044" s="2">
        <v>1000003.44</v>
      </c>
      <c r="J3044" s="2">
        <v>12688.66</v>
      </c>
      <c r="K3044" s="2">
        <v>0</v>
      </c>
      <c r="L3044" s="2">
        <v>1012692.1</v>
      </c>
      <c r="M3044" s="3">
        <v>5.7189139999999998</v>
      </c>
      <c r="N3044" s="4">
        <v>2.3039800000000002E-3</v>
      </c>
      <c r="O3044" s="5">
        <v>44684</v>
      </c>
      <c r="P3044" s="5">
        <v>46418</v>
      </c>
      <c r="Q3044" s="1">
        <v>5.6479999999999997</v>
      </c>
      <c r="R3044" s="2">
        <v>0.02</v>
      </c>
      <c r="S3044" s="6">
        <v>-2.0490922419E-2</v>
      </c>
      <c r="T3044" t="s">
        <v>111</v>
      </c>
      <c r="U3044" t="s">
        <v>111</v>
      </c>
      <c r="V3044" t="s">
        <v>11189</v>
      </c>
      <c r="W3044" t="s">
        <v>43</v>
      </c>
      <c r="X3044" t="s">
        <v>11034</v>
      </c>
      <c r="Y3044" t="s">
        <v>44</v>
      </c>
      <c r="Z3044" t="s">
        <v>44</v>
      </c>
      <c r="AA3044" t="s">
        <v>10979</v>
      </c>
      <c r="AB3044" t="s">
        <v>44</v>
      </c>
      <c r="AC3044" s="4">
        <v>5.8006784400000004</v>
      </c>
      <c r="AD3044" s="4">
        <v>5.6519431300000003</v>
      </c>
      <c r="AE3044" s="2">
        <v>5.8</v>
      </c>
      <c r="AF3044" s="4">
        <v>5.6519431300000003</v>
      </c>
      <c r="AG3044" s="2">
        <v>0.18</v>
      </c>
      <c r="AH3044" s="2">
        <v>1012692.1</v>
      </c>
      <c r="AI3044" s="2">
        <v>0</v>
      </c>
      <c r="AJ3044" s="5">
        <v>44673</v>
      </c>
      <c r="AK3044" t="s">
        <v>12616</v>
      </c>
      <c r="AL3044" s="2">
        <v>5.72</v>
      </c>
      <c r="AM3044" s="2">
        <v>5.65</v>
      </c>
      <c r="AN3044" s="2">
        <v>-0.02</v>
      </c>
      <c r="AO3044" t="s">
        <v>11048</v>
      </c>
      <c r="AP3044" t="s">
        <v>11554</v>
      </c>
      <c r="AQ3044" t="s">
        <v>11553</v>
      </c>
    </row>
    <row r="3045" spans="1:43" x14ac:dyDescent="0.2">
      <c r="A3045" t="s">
        <v>12615</v>
      </c>
      <c r="B3045" t="s">
        <v>10900</v>
      </c>
      <c r="C3045" t="s">
        <v>10943</v>
      </c>
      <c r="D3045" t="s">
        <v>11555</v>
      </c>
      <c r="E3045" t="s">
        <v>11556</v>
      </c>
      <c r="F3045" t="s">
        <v>11555</v>
      </c>
      <c r="G3045" s="1">
        <v>6400000</v>
      </c>
      <c r="H3045" s="2">
        <v>6400000</v>
      </c>
      <c r="I3045" s="2">
        <v>6277561.5999999996</v>
      </c>
      <c r="J3045" s="2">
        <v>132067.95000000001</v>
      </c>
      <c r="K3045" s="2">
        <v>0</v>
      </c>
      <c r="L3045" s="2">
        <v>6409629.5499999998</v>
      </c>
      <c r="M3045" s="3">
        <v>9.9250000000000007</v>
      </c>
      <c r="N3045" s="4">
        <v>1.4582599999999999E-2</v>
      </c>
      <c r="O3045" s="5">
        <v>44775</v>
      </c>
      <c r="P3045" s="5">
        <v>46420</v>
      </c>
      <c r="Q3045" s="1">
        <v>9.4149999999999991</v>
      </c>
      <c r="R3045" s="2">
        <v>3.86</v>
      </c>
      <c r="S3045" s="6">
        <v>3.6810259830000001</v>
      </c>
      <c r="T3045" t="s">
        <v>111</v>
      </c>
      <c r="U3045" t="s">
        <v>111</v>
      </c>
      <c r="V3045" t="s">
        <v>10944</v>
      </c>
      <c r="W3045" t="s">
        <v>43</v>
      </c>
      <c r="X3045" t="s">
        <v>44</v>
      </c>
      <c r="Y3045" t="s">
        <v>44</v>
      </c>
      <c r="Z3045" t="s">
        <v>44</v>
      </c>
      <c r="AA3045" t="s">
        <v>10979</v>
      </c>
      <c r="AB3045" t="s">
        <v>44</v>
      </c>
      <c r="AC3045" s="4">
        <v>10.17126406</v>
      </c>
      <c r="AD3045" s="4">
        <v>9.72579277</v>
      </c>
      <c r="AE3045" s="2">
        <v>10.17</v>
      </c>
      <c r="AF3045" s="4">
        <v>9.72579277</v>
      </c>
      <c r="AG3045" s="2">
        <v>1.1200000000000001</v>
      </c>
      <c r="AH3045" s="2">
        <v>6409629.5499999998</v>
      </c>
      <c r="AI3045" s="2">
        <v>0.01</v>
      </c>
      <c r="AJ3045" s="5">
        <v>44673</v>
      </c>
      <c r="AK3045" t="s">
        <v>12616</v>
      </c>
      <c r="AL3045" s="2">
        <v>9.93</v>
      </c>
      <c r="AM3045" s="2">
        <v>9.41</v>
      </c>
      <c r="AN3045" s="2">
        <v>3.68</v>
      </c>
      <c r="AO3045" t="s">
        <v>11048</v>
      </c>
      <c r="AP3045" t="s">
        <v>11557</v>
      </c>
      <c r="AQ3045" t="s">
        <v>11556</v>
      </c>
    </row>
    <row r="3046" spans="1:43" x14ac:dyDescent="0.2">
      <c r="A3046" t="s">
        <v>12615</v>
      </c>
      <c r="B3046" t="s">
        <v>10900</v>
      </c>
      <c r="C3046" t="s">
        <v>10943</v>
      </c>
      <c r="D3046" t="s">
        <v>11846</v>
      </c>
      <c r="E3046" t="s">
        <v>11847</v>
      </c>
      <c r="F3046" t="s">
        <v>11846</v>
      </c>
      <c r="G3046" s="1">
        <v>934000</v>
      </c>
      <c r="H3046" s="2">
        <v>977744.22</v>
      </c>
      <c r="I3046" s="2">
        <v>980979.92</v>
      </c>
      <c r="J3046" s="2">
        <v>36766.080000000002</v>
      </c>
      <c r="K3046" s="2">
        <v>0</v>
      </c>
      <c r="L3046" s="2">
        <v>1017746</v>
      </c>
      <c r="M3046" s="3">
        <v>8.7050000000000001</v>
      </c>
      <c r="N3046" s="4">
        <v>2.31548E-3</v>
      </c>
      <c r="O3046" s="5">
        <v>44715</v>
      </c>
      <c r="P3046" s="5">
        <v>46176</v>
      </c>
      <c r="Q3046" s="1">
        <v>10.19</v>
      </c>
      <c r="R3046" s="2">
        <v>3.35</v>
      </c>
      <c r="S3046" s="6">
        <v>3.210117125</v>
      </c>
      <c r="T3046" t="s">
        <v>111</v>
      </c>
      <c r="U3046" t="s">
        <v>111</v>
      </c>
      <c r="V3046" t="s">
        <v>10944</v>
      </c>
      <c r="W3046" t="s">
        <v>43</v>
      </c>
      <c r="X3046" t="s">
        <v>44</v>
      </c>
      <c r="Y3046" t="s">
        <v>44</v>
      </c>
      <c r="Z3046" t="s">
        <v>44</v>
      </c>
      <c r="AA3046" t="s">
        <v>10979</v>
      </c>
      <c r="AB3046" t="s">
        <v>44</v>
      </c>
      <c r="AC3046" s="4">
        <v>8.8944425599999999</v>
      </c>
      <c r="AD3046" s="4">
        <v>8.5512049999999995</v>
      </c>
      <c r="AE3046" s="2">
        <v>8.89</v>
      </c>
      <c r="AF3046" s="4">
        <v>8.5512049999999995</v>
      </c>
      <c r="AG3046" s="2">
        <v>0.18</v>
      </c>
      <c r="AH3046" s="2">
        <v>1017746</v>
      </c>
      <c r="AI3046" s="2">
        <v>0</v>
      </c>
      <c r="AJ3046" s="5">
        <v>44673</v>
      </c>
      <c r="AK3046" t="s">
        <v>12616</v>
      </c>
      <c r="AL3046" s="2">
        <v>8.7100000000000009</v>
      </c>
      <c r="AM3046" s="2">
        <v>10.19</v>
      </c>
      <c r="AN3046" s="2">
        <v>3.21</v>
      </c>
      <c r="AO3046" t="s">
        <v>11054</v>
      </c>
      <c r="AP3046" t="s">
        <v>11848</v>
      </c>
      <c r="AQ3046" t="s">
        <v>11847</v>
      </c>
    </row>
    <row r="3047" spans="1:43" x14ac:dyDescent="0.2">
      <c r="A3047" t="s">
        <v>12615</v>
      </c>
      <c r="B3047" t="s">
        <v>10900</v>
      </c>
      <c r="C3047" t="s">
        <v>10943</v>
      </c>
      <c r="D3047" t="s">
        <v>11849</v>
      </c>
      <c r="E3047" t="s">
        <v>11850</v>
      </c>
      <c r="F3047" t="s">
        <v>11849</v>
      </c>
      <c r="G3047" s="1">
        <v>608000</v>
      </c>
      <c r="H3047" s="2">
        <v>650779.17000000004</v>
      </c>
      <c r="I3047" s="2">
        <v>633285.19999999995</v>
      </c>
      <c r="J3047" s="2">
        <v>3481.42</v>
      </c>
      <c r="K3047" s="2">
        <v>0</v>
      </c>
      <c r="L3047" s="2">
        <v>636766.62</v>
      </c>
      <c r="M3047" s="3">
        <v>8.3550000000000004</v>
      </c>
      <c r="N3047" s="4">
        <v>1.44871E-3</v>
      </c>
      <c r="O3047" s="5">
        <v>44837</v>
      </c>
      <c r="P3047" s="5">
        <v>46296</v>
      </c>
      <c r="Q3047" s="1">
        <v>9.5</v>
      </c>
      <c r="R3047" s="2">
        <v>3.72</v>
      </c>
      <c r="S3047" s="6">
        <v>3.5673572199999999</v>
      </c>
      <c r="T3047" t="s">
        <v>111</v>
      </c>
      <c r="U3047" t="s">
        <v>111</v>
      </c>
      <c r="V3047" t="s">
        <v>10944</v>
      </c>
      <c r="W3047" t="s">
        <v>43</v>
      </c>
      <c r="X3047" t="s">
        <v>10988</v>
      </c>
      <c r="Y3047" t="s">
        <v>44</v>
      </c>
      <c r="Z3047" t="s">
        <v>44</v>
      </c>
      <c r="AA3047" t="s">
        <v>10979</v>
      </c>
      <c r="AB3047" t="s">
        <v>44</v>
      </c>
      <c r="AC3047" s="4">
        <v>8.5295150599999996</v>
      </c>
      <c r="AD3047" s="4">
        <v>8.2131770100000008</v>
      </c>
      <c r="AE3047" s="2">
        <v>8.5299999999999994</v>
      </c>
      <c r="AF3047" s="4">
        <v>8.2131770100000008</v>
      </c>
      <c r="AG3047" s="2">
        <v>0.11</v>
      </c>
      <c r="AH3047" s="2">
        <v>636766.62</v>
      </c>
      <c r="AI3047" s="2">
        <v>0</v>
      </c>
      <c r="AJ3047" s="5">
        <v>44673</v>
      </c>
      <c r="AK3047" t="s">
        <v>12616</v>
      </c>
      <c r="AL3047" s="2">
        <v>8.35</v>
      </c>
      <c r="AM3047" s="2">
        <v>9.5</v>
      </c>
      <c r="AN3047" s="2">
        <v>3.57</v>
      </c>
      <c r="AO3047" t="s">
        <v>11054</v>
      </c>
      <c r="AP3047" t="s">
        <v>11851</v>
      </c>
      <c r="AQ3047" t="s">
        <v>11850</v>
      </c>
    </row>
    <row r="3048" spans="1:43" x14ac:dyDescent="0.2">
      <c r="A3048" t="s">
        <v>12615</v>
      </c>
      <c r="B3048" t="s">
        <v>10900</v>
      </c>
      <c r="C3048" t="s">
        <v>10943</v>
      </c>
      <c r="D3048" t="s">
        <v>11558</v>
      </c>
      <c r="E3048" t="s">
        <v>11559</v>
      </c>
      <c r="F3048" t="s">
        <v>11558</v>
      </c>
      <c r="G3048" s="1">
        <v>6200000</v>
      </c>
      <c r="H3048" s="2">
        <v>6200000</v>
      </c>
      <c r="I3048" s="2">
        <v>6103300.46</v>
      </c>
      <c r="J3048" s="2">
        <v>5540.93</v>
      </c>
      <c r="K3048" s="2">
        <v>0</v>
      </c>
      <c r="L3048" s="2">
        <v>6108841.3899999997</v>
      </c>
      <c r="M3048" s="3">
        <v>8.625</v>
      </c>
      <c r="N3048" s="4">
        <v>1.3898270000000001E-2</v>
      </c>
      <c r="O3048" s="5">
        <v>44853</v>
      </c>
      <c r="P3048" s="5">
        <v>46131</v>
      </c>
      <c r="Q3048" s="1">
        <v>8.1549999999999994</v>
      </c>
      <c r="R3048" s="2">
        <v>3.47</v>
      </c>
      <c r="S3048" s="6">
        <v>3.327828963</v>
      </c>
      <c r="T3048" t="s">
        <v>111</v>
      </c>
      <c r="U3048" t="s">
        <v>111</v>
      </c>
      <c r="V3048" t="s">
        <v>10944</v>
      </c>
      <c r="W3048" t="s">
        <v>43</v>
      </c>
      <c r="X3048" t="s">
        <v>44</v>
      </c>
      <c r="Y3048" t="s">
        <v>44</v>
      </c>
      <c r="Z3048" t="s">
        <v>44</v>
      </c>
      <c r="AA3048" t="s">
        <v>10979</v>
      </c>
      <c r="AB3048" t="s">
        <v>44</v>
      </c>
      <c r="AC3048" s="4">
        <v>8.8109765600000003</v>
      </c>
      <c r="AD3048" s="4">
        <v>8.4739831300000006</v>
      </c>
      <c r="AE3048" s="2">
        <v>8.81</v>
      </c>
      <c r="AF3048" s="4">
        <v>8.4739831300000006</v>
      </c>
      <c r="AG3048" s="2">
        <v>1.07</v>
      </c>
      <c r="AH3048" s="2">
        <v>6108841.3899999997</v>
      </c>
      <c r="AI3048" s="2">
        <v>0.01</v>
      </c>
      <c r="AJ3048" s="5">
        <v>44673</v>
      </c>
      <c r="AK3048" t="s">
        <v>12616</v>
      </c>
      <c r="AL3048" s="2">
        <v>8.6300000000000008</v>
      </c>
      <c r="AM3048" s="2">
        <v>8.15</v>
      </c>
      <c r="AN3048" s="2">
        <v>3.33</v>
      </c>
      <c r="AO3048" t="s">
        <v>11054</v>
      </c>
      <c r="AP3048" t="s">
        <v>11560</v>
      </c>
      <c r="AQ3048" t="s">
        <v>11559</v>
      </c>
    </row>
    <row r="3049" spans="1:43" x14ac:dyDescent="0.2">
      <c r="A3049" t="s">
        <v>12615</v>
      </c>
      <c r="B3049" t="s">
        <v>10900</v>
      </c>
      <c r="C3049" t="s">
        <v>10943</v>
      </c>
      <c r="D3049" t="s">
        <v>11569</v>
      </c>
      <c r="E3049" t="s">
        <v>11570</v>
      </c>
      <c r="F3049" t="s">
        <v>11569</v>
      </c>
      <c r="G3049" s="1">
        <v>5900000</v>
      </c>
      <c r="H3049" s="2">
        <v>5900000</v>
      </c>
      <c r="I3049" s="2">
        <v>5931883.1299999999</v>
      </c>
      <c r="J3049" s="2">
        <v>80787.33</v>
      </c>
      <c r="K3049" s="2">
        <v>0</v>
      </c>
      <c r="L3049" s="2">
        <v>6012670.46</v>
      </c>
      <c r="M3049" s="3">
        <v>8.5241640000000007</v>
      </c>
      <c r="N3049" s="4">
        <v>1.3679470000000001E-2</v>
      </c>
      <c r="O3049" s="5">
        <v>44705</v>
      </c>
      <c r="P3049" s="5">
        <v>46166</v>
      </c>
      <c r="Q3049" s="1">
        <v>8.6170000000000009</v>
      </c>
      <c r="R3049" s="2">
        <v>0.08</v>
      </c>
      <c r="S3049" s="6">
        <v>-9.3404076700000001E-3</v>
      </c>
      <c r="T3049" t="s">
        <v>111</v>
      </c>
      <c r="U3049" t="s">
        <v>111</v>
      </c>
      <c r="V3049" t="s">
        <v>11189</v>
      </c>
      <c r="W3049" t="s">
        <v>43</v>
      </c>
      <c r="X3049" t="s">
        <v>11034</v>
      </c>
      <c r="Y3049" t="s">
        <v>44</v>
      </c>
      <c r="Z3049" t="s">
        <v>44</v>
      </c>
      <c r="AA3049" t="s">
        <v>11035</v>
      </c>
      <c r="AB3049" t="s">
        <v>44</v>
      </c>
      <c r="AC3049" s="4">
        <v>8.7058170199999996</v>
      </c>
      <c r="AD3049" s="4">
        <v>8.3766132899999999</v>
      </c>
      <c r="AE3049" s="2">
        <v>8.7100000000000009</v>
      </c>
      <c r="AF3049" s="4">
        <v>8.3766132899999999</v>
      </c>
      <c r="AG3049" s="2">
        <v>1.06</v>
      </c>
      <c r="AH3049" s="2">
        <v>6012670.46</v>
      </c>
      <c r="AI3049" s="2">
        <v>0.01</v>
      </c>
      <c r="AJ3049" s="5">
        <v>44673</v>
      </c>
      <c r="AK3049" t="s">
        <v>12616</v>
      </c>
      <c r="AL3049" s="2">
        <v>8.52</v>
      </c>
      <c r="AM3049" s="2">
        <v>8.6199999999999992</v>
      </c>
      <c r="AN3049" s="2">
        <v>-0.01</v>
      </c>
      <c r="AO3049" t="s">
        <v>11226</v>
      </c>
      <c r="AP3049" t="s">
        <v>11571</v>
      </c>
      <c r="AQ3049" t="s">
        <v>11570</v>
      </c>
    </row>
    <row r="3050" spans="1:43" x14ac:dyDescent="0.2">
      <c r="A3050" t="s">
        <v>12615</v>
      </c>
      <c r="B3050" t="s">
        <v>10900</v>
      </c>
      <c r="C3050" t="s">
        <v>10943</v>
      </c>
      <c r="D3050" t="s">
        <v>11572</v>
      </c>
      <c r="E3050" t="s">
        <v>11573</v>
      </c>
      <c r="F3050" t="s">
        <v>11572</v>
      </c>
      <c r="G3050" s="1">
        <v>6400000</v>
      </c>
      <c r="H3050" s="2">
        <v>6400000</v>
      </c>
      <c r="I3050" s="2">
        <v>6399424.0999999996</v>
      </c>
      <c r="J3050" s="2">
        <v>35865.25</v>
      </c>
      <c r="K3050" s="2">
        <v>0</v>
      </c>
      <c r="L3050" s="2">
        <v>6435289.3499999996</v>
      </c>
      <c r="M3050" s="3">
        <v>6.3514429999999997</v>
      </c>
      <c r="N3050" s="4">
        <v>1.464098E-2</v>
      </c>
      <c r="O3050" s="5">
        <v>44734</v>
      </c>
      <c r="P3050" s="5">
        <v>46468</v>
      </c>
      <c r="Q3050" s="1">
        <v>6.3920000000000003</v>
      </c>
      <c r="R3050" s="2">
        <v>0.16</v>
      </c>
      <c r="S3050" s="6">
        <v>9.4330326845999998E-2</v>
      </c>
      <c r="T3050" t="s">
        <v>111</v>
      </c>
      <c r="U3050" t="s">
        <v>111</v>
      </c>
      <c r="V3050" t="s">
        <v>11189</v>
      </c>
      <c r="W3050" t="s">
        <v>43</v>
      </c>
      <c r="X3050" t="s">
        <v>11034</v>
      </c>
      <c r="Y3050" t="s">
        <v>44</v>
      </c>
      <c r="Z3050" t="s">
        <v>44</v>
      </c>
      <c r="AA3050" t="s">
        <v>11035</v>
      </c>
      <c r="AB3050" t="s">
        <v>44</v>
      </c>
      <c r="AC3050" s="4">
        <v>6.4522949799999996</v>
      </c>
      <c r="AD3050" s="4">
        <v>6.2689947500000001</v>
      </c>
      <c r="AE3050" s="2">
        <v>6.45</v>
      </c>
      <c r="AF3050" s="4">
        <v>6.2689947500000001</v>
      </c>
      <c r="AG3050" s="2">
        <v>1.1299999999999999</v>
      </c>
      <c r="AH3050" s="2">
        <v>6435289.3499999996</v>
      </c>
      <c r="AI3050" s="2">
        <v>0.01</v>
      </c>
      <c r="AJ3050" s="5">
        <v>44673</v>
      </c>
      <c r="AK3050" t="s">
        <v>12616</v>
      </c>
      <c r="AL3050" s="2">
        <v>6.35</v>
      </c>
      <c r="AM3050" s="2">
        <v>6.39</v>
      </c>
      <c r="AN3050" s="2">
        <v>0.09</v>
      </c>
      <c r="AO3050" t="s">
        <v>11226</v>
      </c>
      <c r="AP3050" t="s">
        <v>11574</v>
      </c>
      <c r="AQ3050" t="s">
        <v>11573</v>
      </c>
    </row>
    <row r="3051" spans="1:43" x14ac:dyDescent="0.2">
      <c r="A3051" t="s">
        <v>12615</v>
      </c>
      <c r="B3051" t="s">
        <v>10900</v>
      </c>
      <c r="C3051" t="s">
        <v>10943</v>
      </c>
      <c r="D3051" t="s">
        <v>11575</v>
      </c>
      <c r="E3051" t="s">
        <v>11576</v>
      </c>
      <c r="F3051" t="s">
        <v>11575</v>
      </c>
      <c r="G3051" s="1">
        <v>9200000</v>
      </c>
      <c r="H3051" s="2">
        <v>9200000</v>
      </c>
      <c r="I3051" s="2">
        <v>8969120.4800000004</v>
      </c>
      <c r="J3051" s="2">
        <v>170928.44</v>
      </c>
      <c r="K3051" s="2">
        <v>0</v>
      </c>
      <c r="L3051" s="2">
        <v>9140048.9199999999</v>
      </c>
      <c r="M3051" s="3">
        <v>9.07</v>
      </c>
      <c r="N3051" s="4">
        <v>2.07946E-2</v>
      </c>
      <c r="O3051" s="5">
        <v>44771</v>
      </c>
      <c r="P3051" s="5">
        <v>46051</v>
      </c>
      <c r="Q3051" s="1">
        <v>8.27</v>
      </c>
      <c r="R3051" s="2">
        <v>3.24</v>
      </c>
      <c r="S3051" s="6">
        <v>3.0998465770000001</v>
      </c>
      <c r="T3051" t="s">
        <v>111</v>
      </c>
      <c r="U3051" t="s">
        <v>111</v>
      </c>
      <c r="V3051" t="s">
        <v>10944</v>
      </c>
      <c r="W3051" t="s">
        <v>43</v>
      </c>
      <c r="X3051" t="s">
        <v>44</v>
      </c>
      <c r="Y3051" t="s">
        <v>44</v>
      </c>
      <c r="Z3051" t="s">
        <v>44</v>
      </c>
      <c r="AA3051" t="s">
        <v>11035</v>
      </c>
      <c r="AB3051" t="s">
        <v>44</v>
      </c>
      <c r="AC3051" s="4">
        <v>9.2756622499999999</v>
      </c>
      <c r="AD3051" s="4">
        <v>8.9032170799999992</v>
      </c>
      <c r="AE3051" s="2">
        <v>9.2799999999999994</v>
      </c>
      <c r="AF3051" s="4">
        <v>8.9032170799999992</v>
      </c>
      <c r="AG3051" s="2">
        <v>1.6</v>
      </c>
      <c r="AH3051" s="2">
        <v>9140048.9199999999</v>
      </c>
      <c r="AI3051" s="2">
        <v>0.02</v>
      </c>
      <c r="AJ3051" s="5">
        <v>44673</v>
      </c>
      <c r="AK3051" t="s">
        <v>12616</v>
      </c>
      <c r="AL3051" s="2">
        <v>9.07</v>
      </c>
      <c r="AM3051" s="2">
        <v>8.27</v>
      </c>
      <c r="AN3051" s="2">
        <v>3.1</v>
      </c>
      <c r="AO3051" t="s">
        <v>11437</v>
      </c>
      <c r="AP3051" t="s">
        <v>11577</v>
      </c>
      <c r="AQ3051" t="s">
        <v>11576</v>
      </c>
    </row>
    <row r="3052" spans="1:43" x14ac:dyDescent="0.2">
      <c r="A3052" t="s">
        <v>12615</v>
      </c>
      <c r="B3052" t="s">
        <v>10900</v>
      </c>
      <c r="C3052" t="s">
        <v>10943</v>
      </c>
      <c r="D3052" t="s">
        <v>11578</v>
      </c>
      <c r="E3052" t="s">
        <v>11579</v>
      </c>
      <c r="F3052" t="s">
        <v>11578</v>
      </c>
      <c r="G3052" s="1">
        <v>2500000</v>
      </c>
      <c r="H3052" s="2">
        <v>2500000</v>
      </c>
      <c r="I3052" s="2">
        <v>2333756.5</v>
      </c>
      <c r="J3052" s="2">
        <v>20807.64</v>
      </c>
      <c r="K3052" s="2">
        <v>0</v>
      </c>
      <c r="L3052" s="2">
        <v>2354564.14</v>
      </c>
      <c r="M3052" s="3">
        <v>9.375</v>
      </c>
      <c r="N3052" s="4">
        <v>5.3568899999999996E-3</v>
      </c>
      <c r="O3052" s="5">
        <v>44819</v>
      </c>
      <c r="P3052" s="5">
        <v>46827</v>
      </c>
      <c r="Q3052" s="1">
        <v>7.8849999999999998</v>
      </c>
      <c r="R3052" s="2">
        <v>4.74</v>
      </c>
      <c r="S3052" s="6">
        <v>4.5243735450000004</v>
      </c>
      <c r="T3052" t="s">
        <v>111</v>
      </c>
      <c r="U3052" t="s">
        <v>111</v>
      </c>
      <c r="V3052" t="s">
        <v>10944</v>
      </c>
      <c r="W3052" t="s">
        <v>43</v>
      </c>
      <c r="X3052" t="s">
        <v>44</v>
      </c>
      <c r="Y3052" t="s">
        <v>44</v>
      </c>
      <c r="Z3052" t="s">
        <v>44</v>
      </c>
      <c r="AA3052" t="s">
        <v>11441</v>
      </c>
      <c r="AB3052" t="s">
        <v>44</v>
      </c>
      <c r="AC3052" s="4">
        <v>9.5947265599999998</v>
      </c>
      <c r="AD3052" s="4">
        <v>9.1969716100000003</v>
      </c>
      <c r="AE3052" s="2">
        <v>9.59</v>
      </c>
      <c r="AF3052" s="4">
        <v>9.1969716100000003</v>
      </c>
      <c r="AG3052" s="2">
        <v>0.41</v>
      </c>
      <c r="AH3052" s="2">
        <v>2354564.14</v>
      </c>
      <c r="AI3052" s="2">
        <v>0.01</v>
      </c>
      <c r="AJ3052" s="5">
        <v>44673</v>
      </c>
      <c r="AK3052" t="s">
        <v>12616</v>
      </c>
      <c r="AL3052" s="2">
        <v>9.3800000000000008</v>
      </c>
      <c r="AM3052" s="2">
        <v>7.88</v>
      </c>
      <c r="AN3052" s="2">
        <v>4.5199999999999996</v>
      </c>
      <c r="AO3052" t="s">
        <v>11580</v>
      </c>
      <c r="AP3052" t="s">
        <v>11581</v>
      </c>
      <c r="AQ3052" t="s">
        <v>11579</v>
      </c>
    </row>
    <row r="3053" spans="1:43" x14ac:dyDescent="0.2">
      <c r="A3053" t="s">
        <v>12615</v>
      </c>
      <c r="B3053" t="s">
        <v>10900</v>
      </c>
      <c r="C3053" t="s">
        <v>10943</v>
      </c>
      <c r="D3053" t="s">
        <v>11919</v>
      </c>
      <c r="E3053" t="s">
        <v>11920</v>
      </c>
      <c r="F3053" t="s">
        <v>11919</v>
      </c>
      <c r="G3053" s="1">
        <v>5900000</v>
      </c>
      <c r="H3053" s="2">
        <v>5900000</v>
      </c>
      <c r="I3053" s="2">
        <v>6212769.7000000002</v>
      </c>
      <c r="J3053" s="2">
        <v>25236.32</v>
      </c>
      <c r="K3053" s="2">
        <v>0</v>
      </c>
      <c r="L3053" s="2">
        <v>6238006.0199999996</v>
      </c>
      <c r="M3053" s="3">
        <v>6.2178870000000002</v>
      </c>
      <c r="N3053" s="4">
        <v>1.4192140000000001E-2</v>
      </c>
      <c r="O3053" s="5">
        <v>44746</v>
      </c>
      <c r="P3053" s="5">
        <v>45840</v>
      </c>
      <c r="Q3053" s="1">
        <v>8.2170000000000005</v>
      </c>
      <c r="R3053" s="2">
        <v>0.19</v>
      </c>
      <c r="S3053" s="6">
        <v>0.21403134549399999</v>
      </c>
      <c r="T3053" t="s">
        <v>111</v>
      </c>
      <c r="U3053" t="s">
        <v>111</v>
      </c>
      <c r="V3053" t="s">
        <v>11189</v>
      </c>
      <c r="W3053" t="s">
        <v>43</v>
      </c>
      <c r="X3053" t="s">
        <v>11034</v>
      </c>
      <c r="Y3053" t="s">
        <v>44</v>
      </c>
      <c r="Z3053" t="s">
        <v>44</v>
      </c>
      <c r="AA3053" t="s">
        <v>11035</v>
      </c>
      <c r="AB3053" t="s">
        <v>44</v>
      </c>
      <c r="AC3053" s="4">
        <v>6.3145418700000002</v>
      </c>
      <c r="AD3053" s="4">
        <v>6.1388379000000004</v>
      </c>
      <c r="AE3053" s="2">
        <v>6.31</v>
      </c>
      <c r="AF3053" s="4">
        <v>6.1388379000000004</v>
      </c>
      <c r="AG3053" s="2">
        <v>1.0900000000000001</v>
      </c>
      <c r="AH3053" s="2">
        <v>6238006.0199999996</v>
      </c>
      <c r="AI3053" s="2">
        <v>0.01</v>
      </c>
      <c r="AJ3053" s="5">
        <v>44673</v>
      </c>
      <c r="AK3053" t="s">
        <v>12616</v>
      </c>
      <c r="AL3053" s="2">
        <v>6.22</v>
      </c>
      <c r="AM3053" s="2">
        <v>8.2200000000000006</v>
      </c>
      <c r="AN3053" s="2">
        <v>0.21</v>
      </c>
      <c r="AO3053" t="s">
        <v>11036</v>
      </c>
      <c r="AP3053" t="s">
        <v>11921</v>
      </c>
      <c r="AQ3053" t="s">
        <v>11920</v>
      </c>
    </row>
    <row r="3054" spans="1:43" x14ac:dyDescent="0.2">
      <c r="A3054" t="s">
        <v>12615</v>
      </c>
      <c r="B3054" t="s">
        <v>10900</v>
      </c>
      <c r="C3054" t="s">
        <v>10943</v>
      </c>
      <c r="D3054" t="s">
        <v>11962</v>
      </c>
      <c r="E3054" t="s">
        <v>11963</v>
      </c>
      <c r="F3054" t="s">
        <v>11962</v>
      </c>
      <c r="G3054" s="1">
        <v>6200000</v>
      </c>
      <c r="H3054" s="2">
        <v>6200000</v>
      </c>
      <c r="I3054" s="2">
        <v>6354908.0800000001</v>
      </c>
      <c r="J3054" s="2">
        <v>116033.42</v>
      </c>
      <c r="K3054" s="2">
        <v>0</v>
      </c>
      <c r="L3054" s="2">
        <v>6470941.5</v>
      </c>
      <c r="M3054" s="3">
        <v>8.2411139999999996</v>
      </c>
      <c r="N3054" s="4">
        <v>1.472209E-2</v>
      </c>
      <c r="O3054" s="5">
        <v>44686</v>
      </c>
      <c r="P3054" s="5">
        <v>45874</v>
      </c>
      <c r="Q3054" s="1">
        <v>9.1080000000000005</v>
      </c>
      <c r="R3054" s="2">
        <v>0.03</v>
      </c>
      <c r="S3054" s="6">
        <v>-1.210173591E-2</v>
      </c>
      <c r="T3054" t="s">
        <v>111</v>
      </c>
      <c r="U3054" t="s">
        <v>111</v>
      </c>
      <c r="V3054" t="s">
        <v>11189</v>
      </c>
      <c r="W3054" t="s">
        <v>43</v>
      </c>
      <c r="X3054" t="s">
        <v>11034</v>
      </c>
      <c r="Y3054" t="s">
        <v>44</v>
      </c>
      <c r="Z3054" t="s">
        <v>44</v>
      </c>
      <c r="AA3054" t="s">
        <v>11035</v>
      </c>
      <c r="AB3054" t="s">
        <v>44</v>
      </c>
      <c r="AC3054" s="4">
        <v>8.4109039299999999</v>
      </c>
      <c r="AD3054" s="4">
        <v>8.1030845599999992</v>
      </c>
      <c r="AE3054" s="2">
        <v>8.41</v>
      </c>
      <c r="AF3054" s="4">
        <v>8.1030845599999992</v>
      </c>
      <c r="AG3054" s="2">
        <v>1.1399999999999999</v>
      </c>
      <c r="AH3054" s="2">
        <v>6470941.5</v>
      </c>
      <c r="AI3054" s="2">
        <v>0.01</v>
      </c>
      <c r="AJ3054" s="5">
        <v>44673</v>
      </c>
      <c r="AK3054" t="s">
        <v>12616</v>
      </c>
      <c r="AL3054" s="2">
        <v>8.24</v>
      </c>
      <c r="AM3054" s="2">
        <v>9.11</v>
      </c>
      <c r="AN3054" s="2">
        <v>-0.01</v>
      </c>
      <c r="AO3054" t="s">
        <v>11036</v>
      </c>
      <c r="AP3054" t="s">
        <v>11964</v>
      </c>
      <c r="AQ3054" t="s">
        <v>11963</v>
      </c>
    </row>
    <row r="3055" spans="1:43" x14ac:dyDescent="0.2">
      <c r="A3055" t="s">
        <v>12615</v>
      </c>
      <c r="B3055" t="s">
        <v>10900</v>
      </c>
      <c r="C3055" t="s">
        <v>10943</v>
      </c>
      <c r="D3055" t="s">
        <v>11582</v>
      </c>
      <c r="E3055" t="s">
        <v>11583</v>
      </c>
      <c r="F3055" t="s">
        <v>11582</v>
      </c>
      <c r="G3055" s="1">
        <v>3400000</v>
      </c>
      <c r="H3055" s="2">
        <v>3400000</v>
      </c>
      <c r="I3055" s="2">
        <v>3400070.84</v>
      </c>
      <c r="J3055" s="2">
        <v>15420.35</v>
      </c>
      <c r="K3055" s="2">
        <v>0</v>
      </c>
      <c r="L3055" s="2">
        <v>3415491.19</v>
      </c>
      <c r="M3055" s="3">
        <v>6.2543709999999999</v>
      </c>
      <c r="N3055" s="4">
        <v>7.7706099999999998E-3</v>
      </c>
      <c r="O3055" s="5">
        <v>44739</v>
      </c>
      <c r="P3055" s="5">
        <v>46383</v>
      </c>
      <c r="Q3055" s="1">
        <v>6.367</v>
      </c>
      <c r="R3055" s="2">
        <v>0.17</v>
      </c>
      <c r="S3055" s="6">
        <v>0.11195984108699999</v>
      </c>
      <c r="T3055" t="s">
        <v>111</v>
      </c>
      <c r="U3055" t="s">
        <v>111</v>
      </c>
      <c r="V3055" t="s">
        <v>11189</v>
      </c>
      <c r="W3055" t="s">
        <v>43</v>
      </c>
      <c r="X3055" t="s">
        <v>11034</v>
      </c>
      <c r="Y3055" t="s">
        <v>44</v>
      </c>
      <c r="Z3055" t="s">
        <v>44</v>
      </c>
      <c r="AA3055" t="s">
        <v>11035</v>
      </c>
      <c r="AB3055" t="s">
        <v>44</v>
      </c>
      <c r="AC3055" s="4">
        <v>6.3521637200000001</v>
      </c>
      <c r="AD3055" s="4">
        <v>6.1744004700000001</v>
      </c>
      <c r="AE3055" s="2">
        <v>6.35</v>
      </c>
      <c r="AF3055" s="4">
        <v>6.1744004700000001</v>
      </c>
      <c r="AG3055" s="2">
        <v>0.6</v>
      </c>
      <c r="AH3055" s="2">
        <v>3415491.19</v>
      </c>
      <c r="AI3055" s="2">
        <v>0.01</v>
      </c>
      <c r="AJ3055" s="5">
        <v>44673</v>
      </c>
      <c r="AK3055" t="s">
        <v>12616</v>
      </c>
      <c r="AL3055" s="2">
        <v>6.25</v>
      </c>
      <c r="AM3055" s="2">
        <v>6.37</v>
      </c>
      <c r="AN3055" s="2">
        <v>0.11</v>
      </c>
      <c r="AO3055" t="s">
        <v>11036</v>
      </c>
      <c r="AP3055" t="s">
        <v>11584</v>
      </c>
      <c r="AQ3055" t="s">
        <v>11583</v>
      </c>
    </row>
    <row r="3056" spans="1:43" x14ac:dyDescent="0.2">
      <c r="A3056" t="s">
        <v>12615</v>
      </c>
      <c r="B3056" t="s">
        <v>10900</v>
      </c>
      <c r="C3056" t="s">
        <v>10943</v>
      </c>
      <c r="D3056" t="s">
        <v>11585</v>
      </c>
      <c r="E3056" t="s">
        <v>11586</v>
      </c>
      <c r="F3056" t="s">
        <v>11585</v>
      </c>
      <c r="G3056" s="1">
        <v>8000000</v>
      </c>
      <c r="H3056" s="2">
        <v>8000000</v>
      </c>
      <c r="I3056" s="2">
        <v>8328175.5199999996</v>
      </c>
      <c r="J3056" s="2">
        <v>89933.15</v>
      </c>
      <c r="K3056" s="2">
        <v>0</v>
      </c>
      <c r="L3056" s="2">
        <v>8418108.6699999999</v>
      </c>
      <c r="M3056" s="3">
        <v>7.7660200000000001</v>
      </c>
      <c r="N3056" s="4">
        <v>1.9152099999999998E-2</v>
      </c>
      <c r="O3056" s="5">
        <v>44720</v>
      </c>
      <c r="P3056" s="5">
        <v>46273</v>
      </c>
      <c r="Q3056" s="1">
        <v>8.92</v>
      </c>
      <c r="R3056" s="2">
        <v>0.12</v>
      </c>
      <c r="S3056" s="6">
        <v>0.10556959685300001</v>
      </c>
      <c r="T3056" t="s">
        <v>111</v>
      </c>
      <c r="U3056" t="s">
        <v>111</v>
      </c>
      <c r="V3056" t="s">
        <v>11189</v>
      </c>
      <c r="W3056" t="s">
        <v>43</v>
      </c>
      <c r="X3056" t="s">
        <v>11034</v>
      </c>
      <c r="Y3056" t="s">
        <v>44</v>
      </c>
      <c r="Z3056" t="s">
        <v>44</v>
      </c>
      <c r="AA3056" t="s">
        <v>11035</v>
      </c>
      <c r="AB3056" t="s">
        <v>44</v>
      </c>
      <c r="AC3056" s="4">
        <v>7.9167972899999999</v>
      </c>
      <c r="AD3056" s="4">
        <v>7.6432735200000002</v>
      </c>
      <c r="AE3056" s="2">
        <v>7.92</v>
      </c>
      <c r="AF3056" s="4">
        <v>7.6432735200000002</v>
      </c>
      <c r="AG3056" s="2">
        <v>1.48</v>
      </c>
      <c r="AH3056" s="2">
        <v>8418108.6699999999</v>
      </c>
      <c r="AI3056" s="2">
        <v>0.02</v>
      </c>
      <c r="AJ3056" s="5">
        <v>44673</v>
      </c>
      <c r="AK3056" t="s">
        <v>12616</v>
      </c>
      <c r="AL3056" s="2">
        <v>7.77</v>
      </c>
      <c r="AM3056" s="2">
        <v>8.92</v>
      </c>
      <c r="AN3056" s="2">
        <v>0.11</v>
      </c>
      <c r="AO3056" t="s">
        <v>11036</v>
      </c>
      <c r="AP3056" t="s">
        <v>11587</v>
      </c>
      <c r="AQ3056" t="s">
        <v>11586</v>
      </c>
    </row>
    <row r="3057" spans="1:43" x14ac:dyDescent="0.2">
      <c r="A3057" t="s">
        <v>12615</v>
      </c>
      <c r="B3057" t="s">
        <v>10900</v>
      </c>
      <c r="C3057" t="s">
        <v>10943</v>
      </c>
      <c r="D3057" t="s">
        <v>11588</v>
      </c>
      <c r="E3057" t="s">
        <v>11589</v>
      </c>
      <c r="F3057" t="s">
        <v>11588</v>
      </c>
      <c r="G3057" s="1">
        <v>3400000</v>
      </c>
      <c r="H3057" s="2">
        <v>3400000</v>
      </c>
      <c r="I3057" s="2">
        <v>3400000.56</v>
      </c>
      <c r="J3057" s="2">
        <v>20046.21</v>
      </c>
      <c r="K3057" s="2">
        <v>0</v>
      </c>
      <c r="L3057" s="2">
        <v>3420046.77</v>
      </c>
      <c r="M3057" s="3">
        <v>8.1643709999999992</v>
      </c>
      <c r="N3057" s="4">
        <v>7.7809699999999999E-3</v>
      </c>
      <c r="O3057" s="5">
        <v>44739</v>
      </c>
      <c r="P3057" s="5">
        <v>46383</v>
      </c>
      <c r="Q3057" s="1">
        <v>8.2769999999999992</v>
      </c>
      <c r="R3057" s="2">
        <v>0.17</v>
      </c>
      <c r="S3057" s="6">
        <v>6.6173810217000001E-2</v>
      </c>
      <c r="T3057" t="s">
        <v>111</v>
      </c>
      <c r="U3057" t="s">
        <v>111</v>
      </c>
      <c r="V3057" t="s">
        <v>11189</v>
      </c>
      <c r="W3057" t="s">
        <v>43</v>
      </c>
      <c r="X3057" t="s">
        <v>11034</v>
      </c>
      <c r="Y3057" t="s">
        <v>44</v>
      </c>
      <c r="Z3057" t="s">
        <v>44</v>
      </c>
      <c r="AA3057" t="s">
        <v>11035</v>
      </c>
      <c r="AB3057" t="s">
        <v>44</v>
      </c>
      <c r="AC3057" s="4">
        <v>8.3310132100000001</v>
      </c>
      <c r="AD3057" s="4">
        <v>8.0288693599999998</v>
      </c>
      <c r="AE3057" s="2">
        <v>8.33</v>
      </c>
      <c r="AF3057" s="4">
        <v>8.0288693599999998</v>
      </c>
      <c r="AG3057" s="2">
        <v>0.6</v>
      </c>
      <c r="AH3057" s="2">
        <v>3420046.77</v>
      </c>
      <c r="AI3057" s="2">
        <v>0.01</v>
      </c>
      <c r="AJ3057" s="5">
        <v>44673</v>
      </c>
      <c r="AK3057" t="s">
        <v>12616</v>
      </c>
      <c r="AL3057" s="2">
        <v>8.16</v>
      </c>
      <c r="AM3057" s="2">
        <v>8.2799999999999994</v>
      </c>
      <c r="AN3057" s="2">
        <v>7.0000000000000007E-2</v>
      </c>
      <c r="AO3057" t="s">
        <v>11036</v>
      </c>
      <c r="AP3057" t="s">
        <v>11590</v>
      </c>
      <c r="AQ3057" t="s">
        <v>11589</v>
      </c>
    </row>
    <row r="3058" spans="1:43" x14ac:dyDescent="0.2">
      <c r="A3058" t="s">
        <v>12615</v>
      </c>
      <c r="B3058" t="s">
        <v>10900</v>
      </c>
      <c r="C3058" t="s">
        <v>10943</v>
      </c>
      <c r="D3058" t="s">
        <v>11135</v>
      </c>
      <c r="E3058" t="s">
        <v>10946</v>
      </c>
      <c r="F3058" t="s">
        <v>11135</v>
      </c>
      <c r="G3058" s="1">
        <v>56971000</v>
      </c>
      <c r="H3058" s="2">
        <v>63657945.640000001</v>
      </c>
      <c r="I3058" s="2">
        <v>61894975.039999999</v>
      </c>
      <c r="J3058" s="2">
        <v>2015836.89</v>
      </c>
      <c r="K3058" s="2">
        <v>0</v>
      </c>
      <c r="L3058" s="2">
        <v>63910811.93</v>
      </c>
      <c r="M3058" s="3">
        <v>8.2249999999999996</v>
      </c>
      <c r="N3058" s="4">
        <v>0.14540397999999999</v>
      </c>
      <c r="O3058" s="5">
        <v>44733</v>
      </c>
      <c r="P3058" s="5">
        <v>46377</v>
      </c>
      <c r="Q3058" s="1">
        <v>10.5</v>
      </c>
      <c r="R3058" s="2">
        <v>3.72</v>
      </c>
      <c r="S3058" s="6">
        <v>3.572672968</v>
      </c>
      <c r="T3058" t="s">
        <v>111</v>
      </c>
      <c r="U3058" t="s">
        <v>111</v>
      </c>
      <c r="V3058" t="s">
        <v>10944</v>
      </c>
      <c r="W3058" t="s">
        <v>43</v>
      </c>
      <c r="X3058" t="s">
        <v>10945</v>
      </c>
      <c r="Y3058" t="s">
        <v>44</v>
      </c>
      <c r="Z3058" t="s">
        <v>44</v>
      </c>
      <c r="AA3058" t="s">
        <v>10913</v>
      </c>
      <c r="AB3058" t="s">
        <v>44</v>
      </c>
      <c r="AC3058" s="4">
        <v>8.3941265600000001</v>
      </c>
      <c r="AD3058" s="4">
        <v>8.0875032299999994</v>
      </c>
      <c r="AE3058" s="2">
        <v>8.39</v>
      </c>
      <c r="AF3058" s="4">
        <v>8.0875032299999994</v>
      </c>
      <c r="AG3058" s="2">
        <v>11.21</v>
      </c>
      <c r="AH3058" s="2">
        <v>63910811.93</v>
      </c>
      <c r="AI3058" s="2">
        <v>0.15</v>
      </c>
      <c r="AJ3058" s="5">
        <v>44673</v>
      </c>
      <c r="AK3058" t="s">
        <v>12616</v>
      </c>
      <c r="AL3058" s="2">
        <v>8.23</v>
      </c>
      <c r="AM3058" s="2">
        <v>10.5</v>
      </c>
      <c r="AN3058" s="2">
        <v>3.57</v>
      </c>
      <c r="AO3058" t="s">
        <v>10922</v>
      </c>
      <c r="AP3058" t="s">
        <v>11136</v>
      </c>
      <c r="AQ3058" t="s">
        <v>10946</v>
      </c>
    </row>
    <row r="3059" spans="1:43" x14ac:dyDescent="0.2">
      <c r="A3059" t="s">
        <v>12615</v>
      </c>
      <c r="B3059" t="s">
        <v>10900</v>
      </c>
      <c r="C3059" t="s">
        <v>10943</v>
      </c>
      <c r="D3059" t="s">
        <v>12863</v>
      </c>
      <c r="E3059" t="s">
        <v>12864</v>
      </c>
      <c r="F3059" t="s">
        <v>12863</v>
      </c>
      <c r="G3059" s="1">
        <v>3400000</v>
      </c>
      <c r="H3059" s="2">
        <v>3400000</v>
      </c>
      <c r="I3059" s="2">
        <v>3403862.05</v>
      </c>
      <c r="J3059" s="2">
        <v>12157.28</v>
      </c>
      <c r="K3059" s="2">
        <v>0</v>
      </c>
      <c r="L3059" s="2">
        <v>3416019.33</v>
      </c>
      <c r="M3059" s="3">
        <v>8.0409749999999995</v>
      </c>
      <c r="N3059" s="4">
        <v>7.7718099999999997E-3</v>
      </c>
      <c r="O3059" s="5">
        <v>44750</v>
      </c>
      <c r="P3059" s="5">
        <v>46485</v>
      </c>
      <c r="Q3059" s="1">
        <v>8.157</v>
      </c>
      <c r="R3059" s="2">
        <v>0.2</v>
      </c>
      <c r="S3059" s="6">
        <v>9.4975697833E-2</v>
      </c>
      <c r="T3059" t="s">
        <v>111</v>
      </c>
      <c r="U3059" t="s">
        <v>111</v>
      </c>
      <c r="V3059" t="s">
        <v>11189</v>
      </c>
      <c r="W3059" t="s">
        <v>43</v>
      </c>
      <c r="X3059" t="s">
        <v>11034</v>
      </c>
      <c r="Y3059" t="s">
        <v>44</v>
      </c>
      <c r="Z3059" t="s">
        <v>44</v>
      </c>
      <c r="AA3059" t="s">
        <v>11035</v>
      </c>
      <c r="AB3059" t="s">
        <v>44</v>
      </c>
      <c r="AC3059" s="4">
        <v>8.2026182599999995</v>
      </c>
      <c r="AD3059" s="4">
        <v>7.9094905600000001</v>
      </c>
      <c r="AE3059" s="2">
        <v>8.1999999999999993</v>
      </c>
      <c r="AF3059" s="4">
        <v>7.9094905600000001</v>
      </c>
      <c r="AG3059" s="2">
        <v>0.6</v>
      </c>
      <c r="AH3059" s="2">
        <v>3416019.33</v>
      </c>
      <c r="AI3059" s="2">
        <v>0.01</v>
      </c>
      <c r="AJ3059" s="5">
        <v>44673</v>
      </c>
      <c r="AK3059" t="s">
        <v>12616</v>
      </c>
      <c r="AL3059" s="2">
        <v>8.0399999999999991</v>
      </c>
      <c r="AM3059" s="2">
        <v>8.16</v>
      </c>
      <c r="AN3059" s="2">
        <v>0.09</v>
      </c>
      <c r="AO3059" t="s">
        <v>11496</v>
      </c>
      <c r="AP3059" t="s">
        <v>12865</v>
      </c>
      <c r="AQ3059" t="s">
        <v>12864</v>
      </c>
    </row>
    <row r="3060" spans="1:43" x14ac:dyDescent="0.2">
      <c r="A3060" t="s">
        <v>12615</v>
      </c>
      <c r="B3060" t="s">
        <v>10900</v>
      </c>
      <c r="C3060" t="s">
        <v>10943</v>
      </c>
      <c r="D3060" t="s">
        <v>11852</v>
      </c>
      <c r="E3060" t="s">
        <v>11853</v>
      </c>
      <c r="F3060" t="s">
        <v>11852</v>
      </c>
      <c r="G3060" s="1">
        <v>5900000</v>
      </c>
      <c r="H3060" s="2">
        <v>5900000</v>
      </c>
      <c r="I3060" s="2">
        <v>6242113.8799999999</v>
      </c>
      <c r="J3060" s="2">
        <v>38007.64</v>
      </c>
      <c r="K3060" s="2">
        <v>0</v>
      </c>
      <c r="L3060" s="2">
        <v>6280121.5199999996</v>
      </c>
      <c r="M3060" s="3">
        <v>5.9243709999999998</v>
      </c>
      <c r="N3060" s="4">
        <v>1.4287950000000001E-2</v>
      </c>
      <c r="O3060" s="5">
        <v>44739</v>
      </c>
      <c r="P3060" s="5">
        <v>45833</v>
      </c>
      <c r="Q3060" s="1">
        <v>8.1080000000000005</v>
      </c>
      <c r="R3060" s="2">
        <v>0.17</v>
      </c>
      <c r="S3060" s="6">
        <v>0.20785827684899999</v>
      </c>
      <c r="T3060" t="s">
        <v>111</v>
      </c>
      <c r="U3060" t="s">
        <v>111</v>
      </c>
      <c r="V3060" t="s">
        <v>11189</v>
      </c>
      <c r="W3060" t="s">
        <v>43</v>
      </c>
      <c r="X3060" t="s">
        <v>11034</v>
      </c>
      <c r="Y3060" t="s">
        <v>44</v>
      </c>
      <c r="Z3060" t="s">
        <v>44</v>
      </c>
      <c r="AA3060" t="s">
        <v>10979</v>
      </c>
      <c r="AB3060" t="s">
        <v>44</v>
      </c>
      <c r="AC3060" s="4">
        <v>6.0121162500000001</v>
      </c>
      <c r="AD3060" s="4">
        <v>5.8525461400000003</v>
      </c>
      <c r="AE3060" s="2">
        <v>6.01</v>
      </c>
      <c r="AF3060" s="4">
        <v>5.8525461400000003</v>
      </c>
      <c r="AG3060" s="2">
        <v>1.1000000000000001</v>
      </c>
      <c r="AH3060" s="2">
        <v>6280121.5199999996</v>
      </c>
      <c r="AI3060" s="2">
        <v>0.01</v>
      </c>
      <c r="AJ3060" s="5">
        <v>44673</v>
      </c>
      <c r="AK3060" t="s">
        <v>12616</v>
      </c>
      <c r="AL3060" s="2">
        <v>5.92</v>
      </c>
      <c r="AM3060" s="2">
        <v>8.11</v>
      </c>
      <c r="AN3060" s="2">
        <v>0.21</v>
      </c>
      <c r="AO3060" t="s">
        <v>11179</v>
      </c>
      <c r="AP3060" t="s">
        <v>11854</v>
      </c>
      <c r="AQ3060" t="s">
        <v>11853</v>
      </c>
    </row>
    <row r="3061" spans="1:43" x14ac:dyDescent="0.2">
      <c r="A3061" t="s">
        <v>12615</v>
      </c>
      <c r="B3061" t="s">
        <v>10900</v>
      </c>
      <c r="C3061" t="s">
        <v>10943</v>
      </c>
      <c r="D3061" t="s">
        <v>11855</v>
      </c>
      <c r="E3061" t="s">
        <v>11856</v>
      </c>
      <c r="F3061" t="s">
        <v>11855</v>
      </c>
      <c r="G3061" s="1">
        <v>416000</v>
      </c>
      <c r="H3061" s="2">
        <v>450303.12</v>
      </c>
      <c r="I3061" s="2">
        <v>433282.39</v>
      </c>
      <c r="J3061" s="2">
        <v>14720.93</v>
      </c>
      <c r="K3061" s="2">
        <v>0</v>
      </c>
      <c r="L3061" s="2">
        <v>448003.32</v>
      </c>
      <c r="M3061" s="3">
        <v>8.76</v>
      </c>
      <c r="N3061" s="4">
        <v>1.0192599999999999E-3</v>
      </c>
      <c r="O3061" s="5">
        <v>44724</v>
      </c>
      <c r="P3061" s="5">
        <v>46550</v>
      </c>
      <c r="Q3061" s="1">
        <v>9.7850000000000001</v>
      </c>
      <c r="R3061" s="2">
        <v>4.04</v>
      </c>
      <c r="S3061" s="6">
        <v>3.8707805450000001</v>
      </c>
      <c r="T3061" t="s">
        <v>111</v>
      </c>
      <c r="U3061" t="s">
        <v>111</v>
      </c>
      <c r="V3061" t="s">
        <v>10944</v>
      </c>
      <c r="W3061" t="s">
        <v>43</v>
      </c>
      <c r="X3061" t="s">
        <v>10988</v>
      </c>
      <c r="Y3061" t="s">
        <v>44</v>
      </c>
      <c r="Z3061" t="s">
        <v>44</v>
      </c>
      <c r="AA3061" t="s">
        <v>10979</v>
      </c>
      <c r="AB3061" t="s">
        <v>44</v>
      </c>
      <c r="AC3061" s="4">
        <v>8.9518439999999995</v>
      </c>
      <c r="AD3061" s="4">
        <v>8.6042807299999993</v>
      </c>
      <c r="AE3061" s="2">
        <v>8.9499999999999993</v>
      </c>
      <c r="AF3061" s="4">
        <v>8.6042807299999993</v>
      </c>
      <c r="AG3061" s="2">
        <v>0.08</v>
      </c>
      <c r="AH3061" s="2">
        <v>448003.32</v>
      </c>
      <c r="AI3061" s="2">
        <v>0</v>
      </c>
      <c r="AJ3061" s="5">
        <v>44673</v>
      </c>
      <c r="AK3061" t="s">
        <v>12616</v>
      </c>
      <c r="AL3061" s="2">
        <v>8.76</v>
      </c>
      <c r="AM3061" s="2">
        <v>9.7899999999999991</v>
      </c>
      <c r="AN3061" s="2">
        <v>3.87</v>
      </c>
      <c r="AO3061" t="s">
        <v>11179</v>
      </c>
      <c r="AP3061" t="s">
        <v>11857</v>
      </c>
      <c r="AQ3061" t="s">
        <v>11856</v>
      </c>
    </row>
    <row r="3062" spans="1:43" x14ac:dyDescent="0.2">
      <c r="A3062" t="s">
        <v>12615</v>
      </c>
      <c r="B3062" t="s">
        <v>10900</v>
      </c>
      <c r="C3062" t="s">
        <v>10943</v>
      </c>
      <c r="D3062" t="s">
        <v>11858</v>
      </c>
      <c r="E3062" t="s">
        <v>11859</v>
      </c>
      <c r="F3062" t="s">
        <v>11858</v>
      </c>
      <c r="G3062" s="1">
        <v>600000</v>
      </c>
      <c r="H3062" s="2">
        <v>600000</v>
      </c>
      <c r="I3062" s="2">
        <v>585439.31999999995</v>
      </c>
      <c r="J3062" s="2">
        <v>12480.66</v>
      </c>
      <c r="K3062" s="2">
        <v>0</v>
      </c>
      <c r="L3062" s="2">
        <v>597919.98</v>
      </c>
      <c r="M3062" s="3">
        <v>10.77</v>
      </c>
      <c r="N3062" s="4">
        <v>1.3603300000000001E-3</v>
      </c>
      <c r="O3062" s="5">
        <v>44780</v>
      </c>
      <c r="P3062" s="5">
        <v>47156</v>
      </c>
      <c r="Q3062" s="1">
        <v>10.26</v>
      </c>
      <c r="R3062" s="2">
        <v>4.92</v>
      </c>
      <c r="S3062" s="6">
        <v>4.6700968569999999</v>
      </c>
      <c r="T3062" t="s">
        <v>111</v>
      </c>
      <c r="U3062" t="s">
        <v>111</v>
      </c>
      <c r="V3062" t="s">
        <v>10944</v>
      </c>
      <c r="W3062" t="s">
        <v>43</v>
      </c>
      <c r="X3062" t="s">
        <v>44</v>
      </c>
      <c r="Y3062" t="s">
        <v>44</v>
      </c>
      <c r="Z3062" t="s">
        <v>44</v>
      </c>
      <c r="AA3062" t="s">
        <v>10979</v>
      </c>
      <c r="AB3062" t="s">
        <v>44</v>
      </c>
      <c r="AC3062" s="4">
        <v>11.059982249999999</v>
      </c>
      <c r="AD3062" s="4">
        <v>10.536009160000001</v>
      </c>
      <c r="AE3062" s="2">
        <v>11.06</v>
      </c>
      <c r="AF3062" s="4">
        <v>10.536009160000001</v>
      </c>
      <c r="AG3062" s="2">
        <v>0.1</v>
      </c>
      <c r="AH3062" s="2">
        <v>597919.98</v>
      </c>
      <c r="AI3062" s="2">
        <v>0</v>
      </c>
      <c r="AJ3062" s="5">
        <v>44673</v>
      </c>
      <c r="AK3062" t="s">
        <v>12616</v>
      </c>
      <c r="AL3062" s="2">
        <v>10.77</v>
      </c>
      <c r="AM3062" s="2">
        <v>10.26</v>
      </c>
      <c r="AN3062" s="2">
        <v>4.67</v>
      </c>
      <c r="AO3062" t="s">
        <v>10982</v>
      </c>
      <c r="AP3062" t="s">
        <v>11860</v>
      </c>
      <c r="AQ3062" t="s">
        <v>11859</v>
      </c>
    </row>
    <row r="3063" spans="1:43" x14ac:dyDescent="0.2">
      <c r="A3063" t="s">
        <v>12615</v>
      </c>
      <c r="B3063" t="s">
        <v>10900</v>
      </c>
      <c r="C3063" t="s">
        <v>11137</v>
      </c>
      <c r="D3063" t="s">
        <v>11594</v>
      </c>
      <c r="E3063" t="s">
        <v>11595</v>
      </c>
      <c r="F3063" t="s">
        <v>11594</v>
      </c>
      <c r="G3063" s="1">
        <v>34659000</v>
      </c>
      <c r="H3063" s="2">
        <v>32680534.399999999</v>
      </c>
      <c r="I3063" s="2">
        <v>31248228.609999999</v>
      </c>
      <c r="J3063" s="2">
        <v>622912.43000000005</v>
      </c>
      <c r="K3063" s="2">
        <v>0</v>
      </c>
      <c r="L3063" s="2">
        <v>31871141.039999999</v>
      </c>
      <c r="M3063" s="3">
        <v>9.84</v>
      </c>
      <c r="N3063" s="4">
        <v>7.2510279999999996E-2</v>
      </c>
      <c r="O3063" s="5">
        <v>44774</v>
      </c>
      <c r="P3063" s="5">
        <v>47514</v>
      </c>
      <c r="Q3063" s="1">
        <v>8</v>
      </c>
      <c r="R3063" s="2">
        <v>5.71</v>
      </c>
      <c r="S3063" s="6">
        <v>5.4383328750000004</v>
      </c>
      <c r="T3063" t="s">
        <v>111</v>
      </c>
      <c r="U3063" t="s">
        <v>111</v>
      </c>
      <c r="V3063" t="s">
        <v>10944</v>
      </c>
      <c r="W3063" t="s">
        <v>43</v>
      </c>
      <c r="X3063" t="s">
        <v>10945</v>
      </c>
      <c r="Y3063" t="s">
        <v>44</v>
      </c>
      <c r="Z3063" t="s">
        <v>44</v>
      </c>
      <c r="AA3063" t="s">
        <v>10913</v>
      </c>
      <c r="AB3063" t="s">
        <v>44</v>
      </c>
      <c r="AC3063" s="4">
        <v>10.082064000000001</v>
      </c>
      <c r="AD3063" s="4">
        <v>9.6441413499999999</v>
      </c>
      <c r="AE3063" s="2">
        <v>10.08</v>
      </c>
      <c r="AF3063" s="4">
        <v>9.6441413499999999</v>
      </c>
      <c r="AG3063" s="2">
        <v>5.59</v>
      </c>
      <c r="AH3063" s="2">
        <v>31871141.039999999</v>
      </c>
      <c r="AI3063" s="2">
        <v>7.0000000000000007E-2</v>
      </c>
      <c r="AJ3063" s="5">
        <v>44673</v>
      </c>
      <c r="AK3063" t="s">
        <v>12616</v>
      </c>
      <c r="AL3063" s="2">
        <v>9.84</v>
      </c>
      <c r="AM3063" s="2">
        <v>8</v>
      </c>
      <c r="AN3063" s="2">
        <v>5.44</v>
      </c>
      <c r="AO3063" t="s">
        <v>10922</v>
      </c>
      <c r="AP3063" t="s">
        <v>11596</v>
      </c>
      <c r="AQ3063" t="s">
        <v>11595</v>
      </c>
    </row>
    <row r="3064" spans="1:43" x14ac:dyDescent="0.2">
      <c r="A3064" t="s">
        <v>12615</v>
      </c>
      <c r="B3064" t="s">
        <v>10900</v>
      </c>
      <c r="C3064" t="s">
        <v>10950</v>
      </c>
      <c r="D3064" t="s">
        <v>10983</v>
      </c>
      <c r="E3064" t="s">
        <v>10984</v>
      </c>
      <c r="F3064" t="s">
        <v>10983</v>
      </c>
      <c r="G3064" s="1">
        <v>316000</v>
      </c>
      <c r="H3064" s="2">
        <v>271910.83</v>
      </c>
      <c r="I3064" s="2">
        <v>264217.87</v>
      </c>
      <c r="J3064" s="2">
        <v>6034.3</v>
      </c>
      <c r="K3064" s="2">
        <v>0</v>
      </c>
      <c r="L3064" s="2">
        <v>270252.17</v>
      </c>
      <c r="M3064" s="3">
        <v>10.734999999999999</v>
      </c>
      <c r="N3064" s="4">
        <v>6.1485000000000001E-4</v>
      </c>
      <c r="O3064" s="5">
        <v>44774</v>
      </c>
      <c r="P3064" s="5">
        <v>50071</v>
      </c>
      <c r="Q3064" s="1">
        <v>8.5</v>
      </c>
      <c r="R3064" s="2">
        <v>7.91</v>
      </c>
      <c r="S3064" s="6">
        <v>7.5106016819999999</v>
      </c>
      <c r="T3064" t="s">
        <v>111</v>
      </c>
      <c r="U3064" t="s">
        <v>111</v>
      </c>
      <c r="V3064" t="s">
        <v>10944</v>
      </c>
      <c r="W3064" t="s">
        <v>43</v>
      </c>
      <c r="X3064" t="s">
        <v>10945</v>
      </c>
      <c r="Y3064" t="s">
        <v>44</v>
      </c>
      <c r="Z3064" t="s">
        <v>44</v>
      </c>
      <c r="AA3064" t="s">
        <v>10913</v>
      </c>
      <c r="AB3064" t="s">
        <v>44</v>
      </c>
      <c r="AC3064" s="4">
        <v>11.02310056</v>
      </c>
      <c r="AD3064" s="4">
        <v>10.50250368</v>
      </c>
      <c r="AE3064" s="2">
        <v>11.02</v>
      </c>
      <c r="AF3064" s="4">
        <v>10.50250368</v>
      </c>
      <c r="AG3064" s="2">
        <v>0.05</v>
      </c>
      <c r="AH3064" s="2">
        <v>270252.17</v>
      </c>
      <c r="AI3064" s="2">
        <v>0</v>
      </c>
      <c r="AJ3064" s="5">
        <v>44673</v>
      </c>
      <c r="AK3064" t="s">
        <v>12616</v>
      </c>
      <c r="AL3064" s="2">
        <v>10.73</v>
      </c>
      <c r="AM3064" s="2">
        <v>8.5</v>
      </c>
      <c r="AN3064" s="2">
        <v>7.51</v>
      </c>
      <c r="AO3064" t="s">
        <v>10922</v>
      </c>
      <c r="AP3064" t="s">
        <v>10985</v>
      </c>
      <c r="AQ3064" t="s">
        <v>10984</v>
      </c>
    </row>
    <row r="3065" spans="1:43" x14ac:dyDescent="0.2">
      <c r="A3065" t="s">
        <v>12615</v>
      </c>
      <c r="B3065" t="s">
        <v>10900</v>
      </c>
      <c r="C3065" t="s">
        <v>10990</v>
      </c>
      <c r="D3065" t="s">
        <v>11603</v>
      </c>
      <c r="E3065" t="s">
        <v>11604</v>
      </c>
      <c r="F3065" t="s">
        <v>11603</v>
      </c>
      <c r="G3065" s="1">
        <v>2308700</v>
      </c>
      <c r="H3065" s="2">
        <v>7215371.1799999997</v>
      </c>
      <c r="I3065" s="2">
        <v>7458154.6600000001</v>
      </c>
      <c r="J3065" s="2">
        <v>143982.28</v>
      </c>
      <c r="K3065" s="2">
        <v>0</v>
      </c>
      <c r="L3065" s="2">
        <v>7602136.9400000004</v>
      </c>
      <c r="M3065" s="3">
        <v>1.165</v>
      </c>
      <c r="N3065" s="4">
        <v>1.7295680000000001E-2</v>
      </c>
      <c r="O3065" s="5">
        <v>44719</v>
      </c>
      <c r="P3065" s="5">
        <v>45267</v>
      </c>
      <c r="Q3065" s="1">
        <v>5.5</v>
      </c>
      <c r="R3065" s="2">
        <v>1.54</v>
      </c>
      <c r="S3065" s="6">
        <v>1.5339230509999999</v>
      </c>
      <c r="T3065" t="s">
        <v>111</v>
      </c>
      <c r="U3065" t="s">
        <v>111</v>
      </c>
      <c r="V3065" t="s">
        <v>10992</v>
      </c>
      <c r="W3065" t="s">
        <v>43</v>
      </c>
      <c r="X3065" t="s">
        <v>10945</v>
      </c>
      <c r="Y3065" t="s">
        <v>44</v>
      </c>
      <c r="Z3065" t="s">
        <v>44</v>
      </c>
      <c r="AA3065" t="s">
        <v>10913</v>
      </c>
      <c r="AB3065" t="s">
        <v>44</v>
      </c>
      <c r="AC3065" s="4">
        <v>1.1683930600000001</v>
      </c>
      <c r="AD3065" s="4">
        <v>1.1621824700000001</v>
      </c>
      <c r="AE3065" s="2">
        <v>1.17</v>
      </c>
      <c r="AF3065" s="4">
        <v>1.1621824700000001</v>
      </c>
      <c r="AG3065" s="2">
        <v>1.33</v>
      </c>
      <c r="AH3065" s="2">
        <v>7602136.9400000004</v>
      </c>
      <c r="AI3065" s="2">
        <v>0.02</v>
      </c>
      <c r="AJ3065" s="5">
        <v>44673</v>
      </c>
      <c r="AK3065" t="s">
        <v>12616</v>
      </c>
      <c r="AL3065" s="2">
        <v>1.1599999999999999</v>
      </c>
      <c r="AM3065" s="2">
        <v>5.5</v>
      </c>
      <c r="AN3065" s="2">
        <v>1.53</v>
      </c>
      <c r="AO3065" t="s">
        <v>10922</v>
      </c>
      <c r="AP3065" t="s">
        <v>11605</v>
      </c>
      <c r="AQ3065" t="s">
        <v>11604</v>
      </c>
    </row>
    <row r="3066" spans="1:43" x14ac:dyDescent="0.2">
      <c r="A3066" t="s">
        <v>12615</v>
      </c>
      <c r="B3066" t="s">
        <v>45</v>
      </c>
      <c r="C3066" t="s">
        <v>11000</v>
      </c>
      <c r="D3066" t="s">
        <v>11421</v>
      </c>
      <c r="E3066" t="s">
        <v>11422</v>
      </c>
      <c r="F3066" t="s">
        <v>11421</v>
      </c>
      <c r="G3066" s="1">
        <v>0</v>
      </c>
      <c r="H3066" s="2">
        <v>0</v>
      </c>
      <c r="I3066" s="2">
        <v>0</v>
      </c>
      <c r="J3066" s="2">
        <v>1150.68</v>
      </c>
      <c r="K3066" s="2">
        <v>0</v>
      </c>
      <c r="L3066" s="2">
        <v>1150.68</v>
      </c>
      <c r="M3066" s="3">
        <v>4.2</v>
      </c>
      <c r="N3066" s="4">
        <v>2.6199999999999999E-6</v>
      </c>
      <c r="O3066" s="5" t="s">
        <v>44</v>
      </c>
      <c r="P3066" s="5">
        <v>55153</v>
      </c>
      <c r="Q3066" s="1">
        <v>4.2</v>
      </c>
      <c r="R3066" s="2">
        <v>0.08</v>
      </c>
      <c r="S3066" s="6">
        <v>2.5947269999999998E-3</v>
      </c>
      <c r="T3066" t="s">
        <v>112</v>
      </c>
      <c r="U3066" t="s">
        <v>46</v>
      </c>
      <c r="V3066" t="s">
        <v>11270</v>
      </c>
      <c r="W3066" t="s">
        <v>43</v>
      </c>
      <c r="X3066" t="s">
        <v>44</v>
      </c>
      <c r="Y3066" t="s">
        <v>44</v>
      </c>
      <c r="Z3066" t="s">
        <v>44</v>
      </c>
      <c r="AA3066" t="s">
        <v>10913</v>
      </c>
      <c r="AB3066" t="s">
        <v>44</v>
      </c>
      <c r="AC3066" s="4">
        <v>4.2819052299999996</v>
      </c>
      <c r="AD3066" s="4">
        <v>4.20010057</v>
      </c>
      <c r="AE3066" s="2">
        <v>4.28</v>
      </c>
      <c r="AF3066" s="4">
        <v>4.20010057</v>
      </c>
      <c r="AG3066" s="2">
        <v>0</v>
      </c>
      <c r="AH3066" s="2">
        <v>1150.68</v>
      </c>
      <c r="AI3066" s="2">
        <v>0</v>
      </c>
      <c r="AJ3066" s="5">
        <v>44673</v>
      </c>
      <c r="AK3066" t="s">
        <v>12616</v>
      </c>
      <c r="AL3066" s="2">
        <v>4.24</v>
      </c>
      <c r="AM3066" s="2">
        <v>4.2</v>
      </c>
      <c r="AN3066" s="2">
        <v>0</v>
      </c>
      <c r="AO3066" t="s">
        <v>11423</v>
      </c>
      <c r="AP3066" t="s">
        <v>44</v>
      </c>
      <c r="AQ3066" t="s">
        <v>11422</v>
      </c>
    </row>
    <row r="3067" spans="1:43" x14ac:dyDescent="0.2">
      <c r="A3067" t="s">
        <v>12615</v>
      </c>
      <c r="B3067" t="s">
        <v>45</v>
      </c>
      <c r="C3067" t="s">
        <v>11000</v>
      </c>
      <c r="D3067" t="s">
        <v>11424</v>
      </c>
      <c r="E3067" t="s">
        <v>11425</v>
      </c>
      <c r="F3067" t="s">
        <v>11424</v>
      </c>
      <c r="G3067" s="1">
        <v>2000000</v>
      </c>
      <c r="H3067" s="2">
        <v>2000000</v>
      </c>
      <c r="I3067" s="2">
        <v>2000000</v>
      </c>
      <c r="J3067" s="2">
        <v>4372.6000000000004</v>
      </c>
      <c r="K3067" s="2">
        <v>0</v>
      </c>
      <c r="L3067" s="2">
        <v>2004372.6</v>
      </c>
      <c r="M3067" s="3">
        <v>4.2</v>
      </c>
      <c r="N3067" s="4">
        <v>4.5601599999999997E-3</v>
      </c>
      <c r="O3067" s="5" t="s">
        <v>44</v>
      </c>
      <c r="P3067" s="5">
        <v>55153</v>
      </c>
      <c r="Q3067" s="1">
        <v>4.2</v>
      </c>
      <c r="R3067" s="2">
        <v>0.08</v>
      </c>
      <c r="S3067" s="6">
        <v>2.5986049999999999E-3</v>
      </c>
      <c r="T3067" t="s">
        <v>112</v>
      </c>
      <c r="U3067" t="s">
        <v>46</v>
      </c>
      <c r="V3067" t="s">
        <v>11270</v>
      </c>
      <c r="W3067" t="s">
        <v>43</v>
      </c>
      <c r="X3067" t="s">
        <v>44</v>
      </c>
      <c r="Y3067" t="s">
        <v>44</v>
      </c>
      <c r="Z3067" t="s">
        <v>44</v>
      </c>
      <c r="AA3067" t="s">
        <v>11035</v>
      </c>
      <c r="AB3067" t="s">
        <v>44</v>
      </c>
      <c r="AC3067" s="4">
        <v>4.2819052299999996</v>
      </c>
      <c r="AD3067" s="4">
        <v>4.20010057</v>
      </c>
      <c r="AE3067" s="2">
        <v>4.28</v>
      </c>
      <c r="AF3067" s="4">
        <v>4.20010057</v>
      </c>
      <c r="AG3067" s="2">
        <v>0.35</v>
      </c>
      <c r="AH3067" s="2">
        <v>2004372.6</v>
      </c>
      <c r="AI3067" s="2">
        <v>0</v>
      </c>
      <c r="AJ3067" s="5">
        <v>44673</v>
      </c>
      <c r="AK3067" t="s">
        <v>12616</v>
      </c>
      <c r="AL3067" s="2">
        <v>4.24</v>
      </c>
      <c r="AM3067" s="2">
        <v>4.2</v>
      </c>
      <c r="AN3067" s="2">
        <v>0</v>
      </c>
      <c r="AO3067" t="s">
        <v>11053</v>
      </c>
      <c r="AP3067" t="s">
        <v>44</v>
      </c>
      <c r="AQ3067" t="s">
        <v>11425</v>
      </c>
    </row>
    <row r="3068" spans="1:43" x14ac:dyDescent="0.2">
      <c r="A3068" t="s">
        <v>12615</v>
      </c>
      <c r="B3068" t="s">
        <v>45</v>
      </c>
      <c r="C3068" t="s">
        <v>47</v>
      </c>
      <c r="D3068" t="s">
        <v>48</v>
      </c>
      <c r="E3068" t="s">
        <v>49</v>
      </c>
      <c r="F3068" t="s">
        <v>50</v>
      </c>
      <c r="G3068" s="1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1699.88</v>
      </c>
      <c r="M3068" s="3"/>
      <c r="N3068" s="4">
        <v>3.8700000000000002E-6</v>
      </c>
      <c r="O3068" s="5" t="s">
        <v>44</v>
      </c>
      <c r="P3068" s="5" t="s">
        <v>44</v>
      </c>
      <c r="Q3068" s="1"/>
      <c r="R3068" s="2">
        <v>0.08</v>
      </c>
      <c r="S3068" s="6"/>
      <c r="T3068" t="s">
        <v>45</v>
      </c>
      <c r="U3068" t="s">
        <v>46</v>
      </c>
      <c r="V3068" t="s">
        <v>44</v>
      </c>
      <c r="W3068" t="s">
        <v>43</v>
      </c>
      <c r="X3068" t="s">
        <v>44</v>
      </c>
      <c r="Y3068" t="s">
        <v>44</v>
      </c>
      <c r="Z3068" t="s">
        <v>44</v>
      </c>
      <c r="AA3068" t="s">
        <v>44</v>
      </c>
      <c r="AB3068" t="s">
        <v>44</v>
      </c>
      <c r="AC3068" s="4">
        <v>5.1163389600000002</v>
      </c>
      <c r="AD3068" s="4">
        <v>5.0001424999999999</v>
      </c>
      <c r="AE3068" s="2">
        <v>5.12</v>
      </c>
      <c r="AF3068" s="4">
        <v>5.0001424999999999</v>
      </c>
      <c r="AG3068" s="2">
        <v>0</v>
      </c>
      <c r="AH3068" s="2">
        <v>1699.88</v>
      </c>
      <c r="AI3068" s="2">
        <v>0</v>
      </c>
      <c r="AJ3068" s="5">
        <v>44673</v>
      </c>
      <c r="AK3068" t="s">
        <v>12616</v>
      </c>
      <c r="AL3068" s="2">
        <v>5.05</v>
      </c>
      <c r="AM3068" s="2">
        <v>0</v>
      </c>
      <c r="AN3068" s="2">
        <v>0</v>
      </c>
      <c r="AO3068" t="s">
        <v>44</v>
      </c>
      <c r="AP3068" t="s">
        <v>44</v>
      </c>
      <c r="AQ3068" t="s">
        <v>44</v>
      </c>
    </row>
    <row r="3069" spans="1:43" x14ac:dyDescent="0.2">
      <c r="A3069" t="s">
        <v>12615</v>
      </c>
      <c r="B3069" t="s">
        <v>45</v>
      </c>
      <c r="C3069" t="s">
        <v>47</v>
      </c>
      <c r="D3069" t="s">
        <v>51</v>
      </c>
      <c r="E3069" t="s">
        <v>52</v>
      </c>
      <c r="F3069" t="s">
        <v>51</v>
      </c>
      <c r="G3069" s="1">
        <v>988328.67</v>
      </c>
      <c r="H3069" s="2">
        <v>988328.67</v>
      </c>
      <c r="I3069" s="2">
        <v>988328.67</v>
      </c>
      <c r="J3069" s="2">
        <v>0</v>
      </c>
      <c r="K3069" s="2">
        <v>0</v>
      </c>
      <c r="L3069" s="2">
        <v>988328.67</v>
      </c>
      <c r="M3069" s="3"/>
      <c r="N3069" s="4">
        <v>2.2485500000000002E-3</v>
      </c>
      <c r="O3069" s="5" t="s">
        <v>44</v>
      </c>
      <c r="P3069" s="5" t="s">
        <v>44</v>
      </c>
      <c r="Q3069" s="1"/>
      <c r="R3069" s="2">
        <v>0.08</v>
      </c>
      <c r="S3069" s="6"/>
      <c r="T3069" t="s">
        <v>45</v>
      </c>
      <c r="U3069" t="s">
        <v>53</v>
      </c>
      <c r="V3069" t="s">
        <v>44</v>
      </c>
      <c r="W3069" t="s">
        <v>43</v>
      </c>
      <c r="X3069" t="s">
        <v>44</v>
      </c>
      <c r="Y3069" t="s">
        <v>44</v>
      </c>
      <c r="Z3069" t="s">
        <v>44</v>
      </c>
      <c r="AA3069" t="s">
        <v>44</v>
      </c>
      <c r="AB3069" t="s">
        <v>44</v>
      </c>
      <c r="AC3069" s="4">
        <v>5.1163389600000002</v>
      </c>
      <c r="AD3069" s="4">
        <v>5.0001424999999999</v>
      </c>
      <c r="AE3069" s="2">
        <v>5.12</v>
      </c>
      <c r="AF3069" s="4">
        <v>5.0001424999999999</v>
      </c>
      <c r="AG3069" s="2">
        <v>0.17</v>
      </c>
      <c r="AH3069" s="2">
        <v>988328.67</v>
      </c>
      <c r="AI3069" s="2">
        <v>0</v>
      </c>
      <c r="AJ3069" s="5">
        <v>44673</v>
      </c>
      <c r="AK3069" t="s">
        <v>12616</v>
      </c>
      <c r="AL3069" s="2">
        <v>5.05</v>
      </c>
      <c r="AM3069" s="2">
        <v>0</v>
      </c>
      <c r="AN3069" s="2">
        <v>0</v>
      </c>
      <c r="AO3069" t="s">
        <v>44</v>
      </c>
      <c r="AP3069" t="s">
        <v>44</v>
      </c>
      <c r="AQ3069" t="s">
        <v>43</v>
      </c>
    </row>
    <row r="3070" spans="1:43" x14ac:dyDescent="0.2">
      <c r="A3070" t="s">
        <v>12615</v>
      </c>
      <c r="B3070" t="s">
        <v>45</v>
      </c>
      <c r="C3070" t="s">
        <v>47</v>
      </c>
      <c r="D3070" t="s">
        <v>11045</v>
      </c>
      <c r="E3070" t="s">
        <v>11046</v>
      </c>
      <c r="F3070" t="s">
        <v>11045</v>
      </c>
      <c r="G3070" s="1">
        <v>89028.32</v>
      </c>
      <c r="H3070" s="2">
        <v>1361685.11</v>
      </c>
      <c r="I3070" s="2">
        <v>1390090.09</v>
      </c>
      <c r="J3070" s="2">
        <v>0</v>
      </c>
      <c r="K3070" s="2">
        <v>0</v>
      </c>
      <c r="L3070" s="2">
        <v>1390090.09</v>
      </c>
      <c r="M3070" s="3">
        <v>1</v>
      </c>
      <c r="N3070" s="4">
        <v>3.1625999999999998E-3</v>
      </c>
      <c r="O3070" s="5" t="s">
        <v>44</v>
      </c>
      <c r="P3070" s="5" t="s">
        <v>44</v>
      </c>
      <c r="Q3070" s="1"/>
      <c r="R3070" s="2">
        <v>0.08</v>
      </c>
      <c r="S3070" s="6"/>
      <c r="T3070" t="s">
        <v>45</v>
      </c>
      <c r="U3070" t="s">
        <v>53</v>
      </c>
      <c r="V3070" t="s">
        <v>44</v>
      </c>
      <c r="W3070" t="s">
        <v>113</v>
      </c>
      <c r="X3070" t="s">
        <v>44</v>
      </c>
      <c r="Y3070" t="s">
        <v>44</v>
      </c>
      <c r="Z3070" t="s">
        <v>44</v>
      </c>
      <c r="AA3070" t="s">
        <v>44</v>
      </c>
      <c r="AB3070" t="s">
        <v>44</v>
      </c>
      <c r="AC3070" s="4"/>
      <c r="AD3070" s="4"/>
      <c r="AE3070" s="2">
        <v>0</v>
      </c>
      <c r="AF3070" s="4">
        <v>0</v>
      </c>
      <c r="AG3070" s="2">
        <v>0.24</v>
      </c>
      <c r="AH3070" s="2">
        <v>1390090.09</v>
      </c>
      <c r="AI3070" s="2">
        <v>0</v>
      </c>
      <c r="AJ3070" s="5">
        <v>44673</v>
      </c>
      <c r="AK3070" t="s">
        <v>12616</v>
      </c>
      <c r="AL3070" s="2">
        <v>0</v>
      </c>
      <c r="AM3070" s="2">
        <v>0</v>
      </c>
      <c r="AN3070" s="2">
        <v>0</v>
      </c>
      <c r="AO3070" t="s">
        <v>44</v>
      </c>
      <c r="AP3070" t="s">
        <v>44</v>
      </c>
      <c r="AQ3070" t="s">
        <v>113</v>
      </c>
    </row>
    <row r="3071" spans="1:43" x14ac:dyDescent="0.2">
      <c r="A3071" t="s">
        <v>12615</v>
      </c>
      <c r="B3071" t="s">
        <v>11013</v>
      </c>
      <c r="C3071" t="s">
        <v>11047</v>
      </c>
      <c r="D3071" t="s">
        <v>11861</v>
      </c>
      <c r="E3071" t="s">
        <v>11862</v>
      </c>
      <c r="F3071" t="s">
        <v>11861</v>
      </c>
      <c r="G3071" s="1">
        <v>2962345.5151999998</v>
      </c>
      <c r="H3071" s="2">
        <v>35004125.93</v>
      </c>
      <c r="I3071" s="2">
        <v>46467351.75</v>
      </c>
      <c r="J3071" s="2">
        <v>0</v>
      </c>
      <c r="K3071" s="2">
        <v>0</v>
      </c>
      <c r="L3071" s="2">
        <v>46467351.75</v>
      </c>
      <c r="M3071" s="3">
        <v>15.686</v>
      </c>
      <c r="N3071" s="4">
        <v>0.10571823</v>
      </c>
      <c r="O3071" s="5" t="s">
        <v>44</v>
      </c>
      <c r="P3071" s="5" t="s">
        <v>44</v>
      </c>
      <c r="Q3071" s="1"/>
      <c r="R3071" s="2"/>
      <c r="S3071" s="6"/>
      <c r="T3071" t="s">
        <v>10902</v>
      </c>
      <c r="U3071" t="s">
        <v>11003</v>
      </c>
      <c r="V3071" t="s">
        <v>11003</v>
      </c>
      <c r="W3071" t="s">
        <v>43</v>
      </c>
      <c r="X3071" t="s">
        <v>44</v>
      </c>
      <c r="Y3071" t="s">
        <v>44</v>
      </c>
      <c r="Z3071" t="s">
        <v>44</v>
      </c>
      <c r="AA3071" t="s">
        <v>44</v>
      </c>
      <c r="AB3071" t="s">
        <v>44</v>
      </c>
      <c r="AC3071" s="4"/>
      <c r="AD3071" s="4"/>
      <c r="AE3071" s="2">
        <v>0</v>
      </c>
      <c r="AF3071" s="4">
        <v>0</v>
      </c>
      <c r="AG3071" s="2">
        <v>8.15</v>
      </c>
      <c r="AH3071" s="2">
        <v>46467351.75</v>
      </c>
      <c r="AI3071" s="2">
        <v>0.11</v>
      </c>
      <c r="AJ3071" s="5">
        <v>44673</v>
      </c>
      <c r="AK3071" t="s">
        <v>12616</v>
      </c>
      <c r="AL3071" s="2">
        <v>0</v>
      </c>
      <c r="AM3071" s="2">
        <v>0</v>
      </c>
      <c r="AN3071" s="2">
        <v>0</v>
      </c>
      <c r="AO3071" t="s">
        <v>44</v>
      </c>
      <c r="AP3071" t="s">
        <v>44</v>
      </c>
      <c r="AQ3071" t="s">
        <v>11862</v>
      </c>
    </row>
    <row r="3072" spans="1:43" x14ac:dyDescent="0.2">
      <c r="A3072" t="s">
        <v>12615</v>
      </c>
      <c r="B3072" t="s">
        <v>11013</v>
      </c>
      <c r="C3072" t="s">
        <v>11047</v>
      </c>
      <c r="D3072" t="s">
        <v>11062</v>
      </c>
      <c r="E3072" t="s">
        <v>11063</v>
      </c>
      <c r="F3072" t="s">
        <v>11062</v>
      </c>
      <c r="G3072" s="1">
        <v>95604.009000000005</v>
      </c>
      <c r="H3072" s="2">
        <v>1509786.47</v>
      </c>
      <c r="I3072" s="2">
        <v>2303333.44</v>
      </c>
      <c r="J3072" s="2">
        <v>0</v>
      </c>
      <c r="K3072" s="2">
        <v>0</v>
      </c>
      <c r="L3072" s="2">
        <v>2303333.44</v>
      </c>
      <c r="M3072" s="3">
        <v>1.5429999999999999</v>
      </c>
      <c r="N3072" s="4">
        <v>5.2403299999999996E-3</v>
      </c>
      <c r="O3072" s="5" t="s">
        <v>44</v>
      </c>
      <c r="P3072" s="5" t="s">
        <v>44</v>
      </c>
      <c r="Q3072" s="1"/>
      <c r="R3072" s="2"/>
      <c r="S3072" s="6"/>
      <c r="T3072" t="s">
        <v>10902</v>
      </c>
      <c r="U3072" t="s">
        <v>11003</v>
      </c>
      <c r="V3072" t="s">
        <v>11003</v>
      </c>
      <c r="W3072" t="s">
        <v>113</v>
      </c>
      <c r="X3072" t="s">
        <v>44</v>
      </c>
      <c r="Y3072" t="s">
        <v>44</v>
      </c>
      <c r="Z3072" t="s">
        <v>44</v>
      </c>
      <c r="AA3072" t="s">
        <v>44</v>
      </c>
      <c r="AB3072" t="s">
        <v>44</v>
      </c>
      <c r="AC3072" s="4"/>
      <c r="AD3072" s="4"/>
      <c r="AE3072" s="2">
        <v>0</v>
      </c>
      <c r="AF3072" s="4">
        <v>0</v>
      </c>
      <c r="AG3072" s="2">
        <v>0.4</v>
      </c>
      <c r="AH3072" s="2">
        <v>2303333.44</v>
      </c>
      <c r="AI3072" s="2">
        <v>0.01</v>
      </c>
      <c r="AJ3072" s="5">
        <v>44673</v>
      </c>
      <c r="AK3072" t="s">
        <v>12616</v>
      </c>
      <c r="AL3072" s="2">
        <v>0</v>
      </c>
      <c r="AM3072" s="2">
        <v>0</v>
      </c>
      <c r="AN3072" s="2">
        <v>0</v>
      </c>
      <c r="AO3072" t="s">
        <v>44</v>
      </c>
      <c r="AP3072" t="s">
        <v>11064</v>
      </c>
      <c r="AQ3072" t="s">
        <v>11063</v>
      </c>
    </row>
    <row r="3073" spans="1:43" x14ac:dyDescent="0.2">
      <c r="A3073" t="s">
        <v>12615</v>
      </c>
      <c r="B3073" t="s">
        <v>11037</v>
      </c>
      <c r="C3073" t="s">
        <v>11195</v>
      </c>
      <c r="D3073" t="s">
        <v>11606</v>
      </c>
      <c r="E3073" t="s">
        <v>7660</v>
      </c>
      <c r="F3073" t="s">
        <v>11606</v>
      </c>
      <c r="G3073" s="1">
        <v>525083</v>
      </c>
      <c r="H3073" s="2">
        <v>5187860.74</v>
      </c>
      <c r="I3073" s="2">
        <v>4279426.45</v>
      </c>
      <c r="J3073" s="2">
        <v>0</v>
      </c>
      <c r="K3073" s="2">
        <v>0</v>
      </c>
      <c r="L3073" s="2">
        <v>4279426.45</v>
      </c>
      <c r="M3073" s="3">
        <v>815</v>
      </c>
      <c r="N3073" s="4">
        <v>9.7361600000000006E-3</v>
      </c>
      <c r="O3073" s="5" t="s">
        <v>44</v>
      </c>
      <c r="P3073" s="5" t="s">
        <v>44</v>
      </c>
      <c r="Q3073" s="1"/>
      <c r="R3073" s="2"/>
      <c r="S3073" s="6"/>
      <c r="T3073" t="s">
        <v>10902</v>
      </c>
      <c r="U3073" t="s">
        <v>10902</v>
      </c>
      <c r="V3073" t="s">
        <v>10902</v>
      </c>
      <c r="W3073" t="s">
        <v>43</v>
      </c>
      <c r="X3073" t="s">
        <v>11197</v>
      </c>
      <c r="Y3073" t="s">
        <v>11198</v>
      </c>
      <c r="Z3073" t="s">
        <v>11195</v>
      </c>
      <c r="AA3073" t="s">
        <v>44</v>
      </c>
      <c r="AB3073" t="s">
        <v>44</v>
      </c>
      <c r="AC3073" s="4"/>
      <c r="AD3073" s="4"/>
      <c r="AE3073" s="2">
        <v>0</v>
      </c>
      <c r="AF3073" s="4">
        <v>0</v>
      </c>
      <c r="AG3073" s="2">
        <v>0.75</v>
      </c>
      <c r="AH3073" s="2">
        <v>4279426.45</v>
      </c>
      <c r="AI3073" s="2">
        <v>0.01</v>
      </c>
      <c r="AJ3073" s="5">
        <v>44673</v>
      </c>
      <c r="AK3073" t="s">
        <v>12616</v>
      </c>
      <c r="AL3073" s="2">
        <v>0</v>
      </c>
      <c r="AM3073" s="2">
        <v>0</v>
      </c>
      <c r="AN3073" s="2">
        <v>0</v>
      </c>
      <c r="AO3073" t="s">
        <v>44</v>
      </c>
      <c r="AP3073" t="s">
        <v>11607</v>
      </c>
      <c r="AQ3073" t="s">
        <v>7660</v>
      </c>
    </row>
    <row r="3074" spans="1:43" x14ac:dyDescent="0.2">
      <c r="A3074" t="s">
        <v>12615</v>
      </c>
      <c r="B3074" t="s">
        <v>11608</v>
      </c>
      <c r="C3074" t="s">
        <v>11608</v>
      </c>
      <c r="D3074" t="s">
        <v>12745</v>
      </c>
      <c r="E3074" t="s">
        <v>12746</v>
      </c>
      <c r="F3074" t="s">
        <v>12745</v>
      </c>
      <c r="G3074" s="1">
        <v>66000000</v>
      </c>
      <c r="H3074" s="2">
        <v>0</v>
      </c>
      <c r="I3074" s="2">
        <v>24566.19</v>
      </c>
      <c r="J3074" s="2">
        <v>0</v>
      </c>
      <c r="K3074" s="2">
        <v>0</v>
      </c>
      <c r="L3074" s="2">
        <v>24566.19</v>
      </c>
      <c r="M3074" s="3">
        <v>3.7221999999999998E-2</v>
      </c>
      <c r="N3074" s="4">
        <v>5.5890000000000002E-5</v>
      </c>
      <c r="O3074" s="5" t="s">
        <v>44</v>
      </c>
      <c r="P3074" s="5">
        <v>44890</v>
      </c>
      <c r="Q3074" s="1">
        <v>0</v>
      </c>
      <c r="R3074" s="2"/>
      <c r="S3074" s="6">
        <v>0.34246575342500002</v>
      </c>
      <c r="T3074" t="s">
        <v>11412</v>
      </c>
      <c r="U3074" t="s">
        <v>11413</v>
      </c>
      <c r="V3074" t="s">
        <v>9802</v>
      </c>
      <c r="W3074" t="s">
        <v>43</v>
      </c>
      <c r="X3074" t="s">
        <v>44</v>
      </c>
      <c r="Y3074" t="s">
        <v>44</v>
      </c>
      <c r="Z3074" t="s">
        <v>44</v>
      </c>
      <c r="AA3074" t="s">
        <v>44</v>
      </c>
      <c r="AB3074" t="s">
        <v>44</v>
      </c>
      <c r="AC3074" s="4"/>
      <c r="AD3074" s="4"/>
      <c r="AE3074" s="2">
        <v>0</v>
      </c>
      <c r="AF3074" s="4">
        <v>0</v>
      </c>
      <c r="AG3074" s="2">
        <v>0</v>
      </c>
      <c r="AH3074" s="2">
        <v>24566.19</v>
      </c>
      <c r="AI3074" s="2">
        <v>0</v>
      </c>
      <c r="AJ3074" s="5">
        <v>44673</v>
      </c>
      <c r="AK3074" t="s">
        <v>12616</v>
      </c>
      <c r="AL3074" s="2">
        <v>0</v>
      </c>
      <c r="AM3074" s="2">
        <v>0</v>
      </c>
      <c r="AN3074" s="2">
        <v>0.34</v>
      </c>
      <c r="AO3074" t="s">
        <v>44</v>
      </c>
      <c r="AP3074" t="s">
        <v>44</v>
      </c>
      <c r="AQ3074" t="s">
        <v>44</v>
      </c>
    </row>
    <row r="3075" spans="1:43" x14ac:dyDescent="0.2">
      <c r="A3075" t="s">
        <v>12615</v>
      </c>
      <c r="B3075" t="s">
        <v>11608</v>
      </c>
      <c r="C3075" t="s">
        <v>11608</v>
      </c>
      <c r="D3075" t="s">
        <v>12747</v>
      </c>
      <c r="E3075" t="s">
        <v>12746</v>
      </c>
      <c r="F3075" t="s">
        <v>12747</v>
      </c>
      <c r="G3075" s="1">
        <v>-66000000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3"/>
      <c r="N3075" s="4">
        <v>0</v>
      </c>
      <c r="O3075" s="5" t="s">
        <v>44</v>
      </c>
      <c r="P3075" s="5">
        <v>44890</v>
      </c>
      <c r="Q3075" s="1">
        <v>0</v>
      </c>
      <c r="R3075" s="2"/>
      <c r="S3075" s="6"/>
      <c r="T3075" t="s">
        <v>11412</v>
      </c>
      <c r="U3075" t="s">
        <v>11413</v>
      </c>
      <c r="V3075" t="s">
        <v>9802</v>
      </c>
      <c r="W3075" t="s">
        <v>43</v>
      </c>
      <c r="X3075" t="s">
        <v>44</v>
      </c>
      <c r="Y3075" t="s">
        <v>44</v>
      </c>
      <c r="Z3075" t="s">
        <v>44</v>
      </c>
      <c r="AA3075" t="s">
        <v>44</v>
      </c>
      <c r="AB3075" t="s">
        <v>44</v>
      </c>
      <c r="AC3075" s="4"/>
      <c r="AD3075" s="4"/>
      <c r="AE3075" s="2">
        <v>0</v>
      </c>
      <c r="AF3075" s="4">
        <v>0</v>
      </c>
      <c r="AG3075" s="2">
        <v>0</v>
      </c>
      <c r="AH3075" s="2">
        <v>0</v>
      </c>
      <c r="AI3075" s="2">
        <v>0</v>
      </c>
      <c r="AJ3075" s="5">
        <v>44673</v>
      </c>
      <c r="AK3075" t="s">
        <v>12616</v>
      </c>
      <c r="AL3075" s="2">
        <v>0</v>
      </c>
      <c r="AM3075" s="2">
        <v>0</v>
      </c>
      <c r="AN3075" s="2">
        <v>0</v>
      </c>
      <c r="AO3075" t="s">
        <v>44</v>
      </c>
      <c r="AP3075" t="s">
        <v>44</v>
      </c>
      <c r="AQ3075" t="s">
        <v>44</v>
      </c>
    </row>
    <row r="3076" spans="1:43" x14ac:dyDescent="0.2">
      <c r="A3076" t="s">
        <v>12615</v>
      </c>
      <c r="B3076" t="s">
        <v>11608</v>
      </c>
      <c r="C3076" t="s">
        <v>11608</v>
      </c>
      <c r="D3076" t="s">
        <v>12748</v>
      </c>
      <c r="E3076" t="s">
        <v>12746</v>
      </c>
      <c r="F3076" t="s">
        <v>12748</v>
      </c>
      <c r="G3076" s="1">
        <v>66000000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3"/>
      <c r="N3076" s="4">
        <v>0</v>
      </c>
      <c r="O3076" s="5" t="s">
        <v>44</v>
      </c>
      <c r="P3076" s="5">
        <v>44890</v>
      </c>
      <c r="Q3076" s="1">
        <v>5.49</v>
      </c>
      <c r="R3076" s="2"/>
      <c r="S3076" s="6"/>
      <c r="T3076" t="s">
        <v>11412</v>
      </c>
      <c r="U3076" t="s">
        <v>11413</v>
      </c>
      <c r="V3076" t="s">
        <v>9802</v>
      </c>
      <c r="W3076" t="s">
        <v>43</v>
      </c>
      <c r="X3076" t="s">
        <v>44</v>
      </c>
      <c r="Y3076" t="s">
        <v>44</v>
      </c>
      <c r="Z3076" t="s">
        <v>44</v>
      </c>
      <c r="AA3076" t="s">
        <v>44</v>
      </c>
      <c r="AB3076" t="s">
        <v>44</v>
      </c>
      <c r="AC3076" s="4"/>
      <c r="AD3076" s="4"/>
      <c r="AE3076" s="2">
        <v>0</v>
      </c>
      <c r="AF3076" s="4">
        <v>0</v>
      </c>
      <c r="AG3076" s="2">
        <v>0</v>
      </c>
      <c r="AH3076" s="2">
        <v>0</v>
      </c>
      <c r="AI3076" s="2">
        <v>0</v>
      </c>
      <c r="AJ3076" s="5">
        <v>44673</v>
      </c>
      <c r="AK3076" t="s">
        <v>12616</v>
      </c>
      <c r="AL3076" s="2">
        <v>0</v>
      </c>
      <c r="AM3076" s="2">
        <v>5.49</v>
      </c>
      <c r="AN3076" s="2">
        <v>0</v>
      </c>
      <c r="AO3076" t="s">
        <v>44</v>
      </c>
      <c r="AP3076" t="s">
        <v>44</v>
      </c>
      <c r="AQ3076" t="s">
        <v>44</v>
      </c>
    </row>
    <row r="3077" spans="1:43" x14ac:dyDescent="0.2">
      <c r="A3077" t="s">
        <v>12615</v>
      </c>
      <c r="B3077" t="s">
        <v>11608</v>
      </c>
      <c r="C3077" t="s">
        <v>11608</v>
      </c>
      <c r="D3077" t="s">
        <v>11609</v>
      </c>
      <c r="E3077" t="s">
        <v>11610</v>
      </c>
      <c r="F3077" t="s">
        <v>11611</v>
      </c>
      <c r="G3077" s="1">
        <v>153000000</v>
      </c>
      <c r="H3077" s="2">
        <v>0</v>
      </c>
      <c r="I3077" s="2">
        <v>100769.29</v>
      </c>
      <c r="J3077" s="2">
        <v>0</v>
      </c>
      <c r="K3077" s="2">
        <v>0</v>
      </c>
      <c r="L3077" s="2">
        <v>100769.29</v>
      </c>
      <c r="M3077" s="3">
        <v>6.5862000000000004E-2</v>
      </c>
      <c r="N3077" s="4">
        <v>2.2926000000000001E-4</v>
      </c>
      <c r="O3077" s="5" t="s">
        <v>44</v>
      </c>
      <c r="P3077" s="5">
        <v>44914</v>
      </c>
      <c r="Q3077" s="1">
        <v>0</v>
      </c>
      <c r="R3077" s="2"/>
      <c r="S3077" s="6">
        <v>0.40273972602699998</v>
      </c>
      <c r="T3077" t="s">
        <v>11412</v>
      </c>
      <c r="U3077" t="s">
        <v>11413</v>
      </c>
      <c r="V3077" t="s">
        <v>9802</v>
      </c>
      <c r="W3077" t="s">
        <v>43</v>
      </c>
      <c r="X3077" t="s">
        <v>44</v>
      </c>
      <c r="Y3077" t="s">
        <v>44</v>
      </c>
      <c r="Z3077" t="s">
        <v>44</v>
      </c>
      <c r="AA3077" t="s">
        <v>44</v>
      </c>
      <c r="AB3077" t="s">
        <v>44</v>
      </c>
      <c r="AC3077" s="4"/>
      <c r="AD3077" s="4"/>
      <c r="AE3077" s="2">
        <v>0</v>
      </c>
      <c r="AF3077" s="4">
        <v>0</v>
      </c>
      <c r="AG3077" s="2">
        <v>0.02</v>
      </c>
      <c r="AH3077" s="2">
        <v>100769.29</v>
      </c>
      <c r="AI3077" s="2">
        <v>0</v>
      </c>
      <c r="AJ3077" s="5">
        <v>44673</v>
      </c>
      <c r="AK3077" t="s">
        <v>12616</v>
      </c>
      <c r="AL3077" s="2">
        <v>0</v>
      </c>
      <c r="AM3077" s="2">
        <v>0</v>
      </c>
      <c r="AN3077" s="2">
        <v>0.4</v>
      </c>
      <c r="AO3077" t="s">
        <v>44</v>
      </c>
      <c r="AP3077" t="s">
        <v>44</v>
      </c>
      <c r="AQ3077" t="s">
        <v>44</v>
      </c>
    </row>
    <row r="3078" spans="1:43" x14ac:dyDescent="0.2">
      <c r="A3078" t="s">
        <v>12615</v>
      </c>
      <c r="B3078" t="s">
        <v>11608</v>
      </c>
      <c r="C3078" t="s">
        <v>11608</v>
      </c>
      <c r="D3078" t="s">
        <v>11612</v>
      </c>
      <c r="E3078" t="s">
        <v>11610</v>
      </c>
      <c r="F3078" t="s">
        <v>11613</v>
      </c>
      <c r="G3078" s="1">
        <v>-153000000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3"/>
      <c r="N3078" s="4">
        <v>0</v>
      </c>
      <c r="O3078" s="5" t="s">
        <v>44</v>
      </c>
      <c r="P3078" s="5">
        <v>44914</v>
      </c>
      <c r="Q3078" s="1">
        <v>0</v>
      </c>
      <c r="R3078" s="2"/>
      <c r="S3078" s="6"/>
      <c r="T3078" t="s">
        <v>11412</v>
      </c>
      <c r="U3078" t="s">
        <v>11413</v>
      </c>
      <c r="V3078" t="s">
        <v>9802</v>
      </c>
      <c r="W3078" t="s">
        <v>43</v>
      </c>
      <c r="X3078" t="s">
        <v>44</v>
      </c>
      <c r="Y3078" t="s">
        <v>44</v>
      </c>
      <c r="Z3078" t="s">
        <v>44</v>
      </c>
      <c r="AA3078" t="s">
        <v>44</v>
      </c>
      <c r="AB3078" t="s">
        <v>44</v>
      </c>
      <c r="AC3078" s="4"/>
      <c r="AD3078" s="4"/>
      <c r="AE3078" s="2">
        <v>0</v>
      </c>
      <c r="AF3078" s="4">
        <v>0</v>
      </c>
      <c r="AG3078" s="2">
        <v>0</v>
      </c>
      <c r="AH3078" s="2">
        <v>0</v>
      </c>
      <c r="AI3078" s="2">
        <v>0</v>
      </c>
      <c r="AJ3078" s="5">
        <v>44673</v>
      </c>
      <c r="AK3078" t="s">
        <v>12616</v>
      </c>
      <c r="AL3078" s="2">
        <v>0</v>
      </c>
      <c r="AM3078" s="2">
        <v>0</v>
      </c>
      <c r="AN3078" s="2">
        <v>0</v>
      </c>
      <c r="AO3078" t="s">
        <v>44</v>
      </c>
      <c r="AP3078" t="s">
        <v>44</v>
      </c>
      <c r="AQ3078" t="s">
        <v>44</v>
      </c>
    </row>
    <row r="3079" spans="1:43" x14ac:dyDescent="0.2">
      <c r="A3079" t="s">
        <v>12615</v>
      </c>
      <c r="B3079" t="s">
        <v>11608</v>
      </c>
      <c r="C3079" t="s">
        <v>11608</v>
      </c>
      <c r="D3079" t="s">
        <v>11614</v>
      </c>
      <c r="E3079" t="s">
        <v>11610</v>
      </c>
      <c r="F3079" t="s">
        <v>11615</v>
      </c>
      <c r="G3079" s="1">
        <v>153000000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3"/>
      <c r="N3079" s="4">
        <v>0</v>
      </c>
      <c r="O3079" s="5" t="s">
        <v>44</v>
      </c>
      <c r="P3079" s="5">
        <v>44914</v>
      </c>
      <c r="Q3079" s="1">
        <v>5.63</v>
      </c>
      <c r="R3079" s="2"/>
      <c r="S3079" s="6"/>
      <c r="T3079" t="s">
        <v>11412</v>
      </c>
      <c r="U3079" t="s">
        <v>11413</v>
      </c>
      <c r="V3079" t="s">
        <v>9802</v>
      </c>
      <c r="W3079" t="s">
        <v>43</v>
      </c>
      <c r="X3079" t="s">
        <v>44</v>
      </c>
      <c r="Y3079" t="s">
        <v>44</v>
      </c>
      <c r="Z3079" t="s">
        <v>44</v>
      </c>
      <c r="AA3079" t="s">
        <v>44</v>
      </c>
      <c r="AB3079" t="s">
        <v>44</v>
      </c>
      <c r="AC3079" s="4"/>
      <c r="AD3079" s="4"/>
      <c r="AE3079" s="2">
        <v>0</v>
      </c>
      <c r="AF3079" s="4">
        <v>0</v>
      </c>
      <c r="AG3079" s="2">
        <v>0</v>
      </c>
      <c r="AH3079" s="2">
        <v>0</v>
      </c>
      <c r="AI3079" s="2">
        <v>0</v>
      </c>
      <c r="AJ3079" s="5">
        <v>44673</v>
      </c>
      <c r="AK3079" t="s">
        <v>12616</v>
      </c>
      <c r="AL3079" s="2">
        <v>0</v>
      </c>
      <c r="AM3079" s="2">
        <v>5.63</v>
      </c>
      <c r="AN3079" s="2">
        <v>0</v>
      </c>
      <c r="AO3079" t="s">
        <v>44</v>
      </c>
      <c r="AP3079" t="s">
        <v>44</v>
      </c>
      <c r="AQ3079" t="s">
        <v>44</v>
      </c>
    </row>
    <row r="3080" spans="1:43" x14ac:dyDescent="0.2">
      <c r="A3080" t="s">
        <v>12615</v>
      </c>
      <c r="B3080" t="s">
        <v>11608</v>
      </c>
      <c r="C3080" t="s">
        <v>11608</v>
      </c>
      <c r="D3080" t="s">
        <v>12749</v>
      </c>
      <c r="E3080" t="s">
        <v>12750</v>
      </c>
      <c r="F3080" t="s">
        <v>12749</v>
      </c>
      <c r="G3080" s="1">
        <v>66000000</v>
      </c>
      <c r="H3080" s="2">
        <v>0</v>
      </c>
      <c r="I3080" s="2">
        <v>22950.6</v>
      </c>
      <c r="J3080" s="2">
        <v>0</v>
      </c>
      <c r="K3080" s="2">
        <v>0</v>
      </c>
      <c r="L3080" s="2">
        <v>22950.6</v>
      </c>
      <c r="M3080" s="3">
        <v>3.4773999999999999E-2</v>
      </c>
      <c r="N3080" s="4">
        <v>5.2219999999999998E-5</v>
      </c>
      <c r="O3080" s="5" t="s">
        <v>44</v>
      </c>
      <c r="P3080" s="5">
        <v>44890</v>
      </c>
      <c r="Q3080" s="1">
        <v>0</v>
      </c>
      <c r="R3080" s="2"/>
      <c r="S3080" s="6">
        <v>0.34246575342500002</v>
      </c>
      <c r="T3080" t="s">
        <v>11412</v>
      </c>
      <c r="U3080" t="s">
        <v>11413</v>
      </c>
      <c r="V3080" t="s">
        <v>9802</v>
      </c>
      <c r="W3080" t="s">
        <v>43</v>
      </c>
      <c r="X3080" t="s">
        <v>44</v>
      </c>
      <c r="Y3080" t="s">
        <v>44</v>
      </c>
      <c r="Z3080" t="s">
        <v>44</v>
      </c>
      <c r="AA3080" t="s">
        <v>44</v>
      </c>
      <c r="AB3080" t="s">
        <v>44</v>
      </c>
      <c r="AC3080" s="4"/>
      <c r="AD3080" s="4"/>
      <c r="AE3080" s="2">
        <v>0</v>
      </c>
      <c r="AF3080" s="4">
        <v>0</v>
      </c>
      <c r="AG3080" s="2">
        <v>0</v>
      </c>
      <c r="AH3080" s="2">
        <v>22950.6</v>
      </c>
      <c r="AI3080" s="2">
        <v>0</v>
      </c>
      <c r="AJ3080" s="5">
        <v>44673</v>
      </c>
      <c r="AK3080" t="s">
        <v>12616</v>
      </c>
      <c r="AL3080" s="2">
        <v>0</v>
      </c>
      <c r="AM3080" s="2">
        <v>0</v>
      </c>
      <c r="AN3080" s="2">
        <v>0.34</v>
      </c>
      <c r="AO3080" t="s">
        <v>44</v>
      </c>
      <c r="AP3080" t="s">
        <v>44</v>
      </c>
      <c r="AQ3080" t="s">
        <v>44</v>
      </c>
    </row>
    <row r="3081" spans="1:43" x14ac:dyDescent="0.2">
      <c r="A3081" t="s">
        <v>12615</v>
      </c>
      <c r="B3081" t="s">
        <v>11608</v>
      </c>
      <c r="C3081" t="s">
        <v>11608</v>
      </c>
      <c r="D3081" t="s">
        <v>12751</v>
      </c>
      <c r="E3081" t="s">
        <v>12750</v>
      </c>
      <c r="F3081" t="s">
        <v>12751</v>
      </c>
      <c r="G3081" s="1">
        <v>-66000000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3"/>
      <c r="N3081" s="4">
        <v>0</v>
      </c>
      <c r="O3081" s="5" t="s">
        <v>44</v>
      </c>
      <c r="P3081" s="5">
        <v>44890</v>
      </c>
      <c r="Q3081" s="1">
        <v>0</v>
      </c>
      <c r="R3081" s="2"/>
      <c r="S3081" s="6"/>
      <c r="T3081" t="s">
        <v>11412</v>
      </c>
      <c r="U3081" t="s">
        <v>11413</v>
      </c>
      <c r="V3081" t="s">
        <v>9802</v>
      </c>
      <c r="W3081" t="s">
        <v>43</v>
      </c>
      <c r="X3081" t="s">
        <v>44</v>
      </c>
      <c r="Y3081" t="s">
        <v>44</v>
      </c>
      <c r="Z3081" t="s">
        <v>44</v>
      </c>
      <c r="AA3081" t="s">
        <v>44</v>
      </c>
      <c r="AB3081" t="s">
        <v>44</v>
      </c>
      <c r="AC3081" s="4"/>
      <c r="AD3081" s="4"/>
      <c r="AE3081" s="2">
        <v>0</v>
      </c>
      <c r="AF3081" s="4">
        <v>0</v>
      </c>
      <c r="AG3081" s="2">
        <v>0</v>
      </c>
      <c r="AH3081" s="2">
        <v>0</v>
      </c>
      <c r="AI3081" s="2">
        <v>0</v>
      </c>
      <c r="AJ3081" s="5">
        <v>44673</v>
      </c>
      <c r="AK3081" t="s">
        <v>12616</v>
      </c>
      <c r="AL3081" s="2">
        <v>0</v>
      </c>
      <c r="AM3081" s="2">
        <v>0</v>
      </c>
      <c r="AN3081" s="2">
        <v>0</v>
      </c>
      <c r="AO3081" t="s">
        <v>44</v>
      </c>
      <c r="AP3081" t="s">
        <v>44</v>
      </c>
      <c r="AQ3081" t="s">
        <v>44</v>
      </c>
    </row>
    <row r="3082" spans="1:43" x14ac:dyDescent="0.2">
      <c r="A3082" t="s">
        <v>12615</v>
      </c>
      <c r="B3082" t="s">
        <v>11608</v>
      </c>
      <c r="C3082" t="s">
        <v>11608</v>
      </c>
      <c r="D3082" t="s">
        <v>12752</v>
      </c>
      <c r="E3082" t="s">
        <v>12750</v>
      </c>
      <c r="F3082" t="s">
        <v>12752</v>
      </c>
      <c r="G3082" s="1">
        <v>66000000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3"/>
      <c r="N3082" s="4">
        <v>0</v>
      </c>
      <c r="O3082" s="5" t="s">
        <v>44</v>
      </c>
      <c r="P3082" s="5">
        <v>44890</v>
      </c>
      <c r="Q3082" s="1">
        <v>5.48</v>
      </c>
      <c r="R3082" s="2"/>
      <c r="S3082" s="6"/>
      <c r="T3082" t="s">
        <v>11412</v>
      </c>
      <c r="U3082" t="s">
        <v>11413</v>
      </c>
      <c r="V3082" t="s">
        <v>9802</v>
      </c>
      <c r="W3082" t="s">
        <v>43</v>
      </c>
      <c r="X3082" t="s">
        <v>44</v>
      </c>
      <c r="Y3082" t="s">
        <v>44</v>
      </c>
      <c r="Z3082" t="s">
        <v>44</v>
      </c>
      <c r="AA3082" t="s">
        <v>44</v>
      </c>
      <c r="AB3082" t="s">
        <v>44</v>
      </c>
      <c r="AC3082" s="4"/>
      <c r="AD3082" s="4"/>
      <c r="AE3082" s="2">
        <v>0</v>
      </c>
      <c r="AF3082" s="4">
        <v>0</v>
      </c>
      <c r="AG3082" s="2">
        <v>0</v>
      </c>
      <c r="AH3082" s="2">
        <v>0</v>
      </c>
      <c r="AI3082" s="2">
        <v>0</v>
      </c>
      <c r="AJ3082" s="5">
        <v>44673</v>
      </c>
      <c r="AK3082" t="s">
        <v>12616</v>
      </c>
      <c r="AL3082" s="2">
        <v>0</v>
      </c>
      <c r="AM3082" s="2">
        <v>5.48</v>
      </c>
      <c r="AN3082" s="2">
        <v>0</v>
      </c>
      <c r="AO3082" t="s">
        <v>44</v>
      </c>
      <c r="AP3082" t="s">
        <v>44</v>
      </c>
      <c r="AQ3082" t="s">
        <v>44</v>
      </c>
    </row>
    <row r="3083" spans="1:43" x14ac:dyDescent="0.2">
      <c r="A3083" t="s">
        <v>12615</v>
      </c>
      <c r="B3083" t="s">
        <v>11865</v>
      </c>
      <c r="C3083" t="s">
        <v>11865</v>
      </c>
      <c r="D3083" t="s">
        <v>11866</v>
      </c>
      <c r="E3083" t="s">
        <v>11867</v>
      </c>
      <c r="F3083" t="s">
        <v>11866</v>
      </c>
      <c r="G3083" s="1">
        <v>-852400</v>
      </c>
      <c r="H3083" s="2">
        <v>-13270589.4</v>
      </c>
      <c r="I3083" s="2">
        <v>-13348957.460000001</v>
      </c>
      <c r="J3083" s="2">
        <v>0</v>
      </c>
      <c r="K3083" s="2">
        <v>0</v>
      </c>
      <c r="L3083" s="2">
        <v>-13348957.460000001</v>
      </c>
      <c r="M3083" s="3">
        <v>6.3854999999999995E-2</v>
      </c>
      <c r="N3083" s="4">
        <v>-3.0370319999999999E-2</v>
      </c>
      <c r="O3083" s="5" t="s">
        <v>44</v>
      </c>
      <c r="P3083" s="5">
        <v>44701</v>
      </c>
      <c r="Q3083" s="1"/>
      <c r="R3083" s="2"/>
      <c r="S3083" s="6"/>
      <c r="T3083" t="s">
        <v>11868</v>
      </c>
      <c r="U3083" t="s">
        <v>44</v>
      </c>
      <c r="V3083" t="s">
        <v>44</v>
      </c>
      <c r="W3083" t="s">
        <v>113</v>
      </c>
      <c r="X3083" t="s">
        <v>44</v>
      </c>
      <c r="Y3083" t="s">
        <v>44</v>
      </c>
      <c r="Z3083" t="s">
        <v>44</v>
      </c>
      <c r="AA3083" t="s">
        <v>44</v>
      </c>
      <c r="AB3083" t="s">
        <v>44</v>
      </c>
      <c r="AC3083" s="4"/>
      <c r="AD3083" s="4"/>
      <c r="AE3083" s="2">
        <v>0</v>
      </c>
      <c r="AF3083" s="4">
        <v>0</v>
      </c>
      <c r="AG3083" s="2">
        <v>-2.34</v>
      </c>
      <c r="AH3083" s="2">
        <v>-13348957.460000001</v>
      </c>
      <c r="AI3083" s="2">
        <v>-0.03</v>
      </c>
      <c r="AJ3083" s="5">
        <v>44673</v>
      </c>
      <c r="AK3083" t="s">
        <v>12616</v>
      </c>
      <c r="AL3083" s="2">
        <v>0</v>
      </c>
      <c r="AM3083" s="2">
        <v>0</v>
      </c>
      <c r="AN3083" s="2">
        <v>0</v>
      </c>
      <c r="AO3083" t="s">
        <v>44</v>
      </c>
      <c r="AP3083" t="s">
        <v>44</v>
      </c>
      <c r="AQ3083" t="s">
        <v>113</v>
      </c>
    </row>
    <row r="3084" spans="1:43" x14ac:dyDescent="0.2">
      <c r="A3084" t="s">
        <v>12615</v>
      </c>
      <c r="B3084" t="s">
        <v>11865</v>
      </c>
      <c r="C3084" t="s">
        <v>11865</v>
      </c>
      <c r="D3084" t="s">
        <v>11869</v>
      </c>
      <c r="E3084" t="s">
        <v>11867</v>
      </c>
      <c r="F3084" t="s">
        <v>11869</v>
      </c>
      <c r="G3084" s="1">
        <v>13270589.4</v>
      </c>
      <c r="H3084" s="2">
        <v>13270589.4</v>
      </c>
      <c r="I3084" s="2">
        <v>13270589.4</v>
      </c>
      <c r="J3084" s="2">
        <v>0</v>
      </c>
      <c r="K3084" s="2">
        <v>0</v>
      </c>
      <c r="L3084" s="2">
        <v>13270589.4</v>
      </c>
      <c r="M3084" s="3">
        <v>1</v>
      </c>
      <c r="N3084" s="4">
        <v>3.019202E-2</v>
      </c>
      <c r="O3084" s="5" t="s">
        <v>44</v>
      </c>
      <c r="P3084" s="5">
        <v>44701</v>
      </c>
      <c r="Q3084" s="1"/>
      <c r="R3084" s="2"/>
      <c r="S3084" s="6"/>
      <c r="T3084" t="s">
        <v>11868</v>
      </c>
      <c r="U3084" t="s">
        <v>44</v>
      </c>
      <c r="V3084" t="s">
        <v>44</v>
      </c>
      <c r="W3084" t="s">
        <v>43</v>
      </c>
      <c r="X3084" t="s">
        <v>44</v>
      </c>
      <c r="Y3084" t="s">
        <v>44</v>
      </c>
      <c r="Z3084" t="s">
        <v>44</v>
      </c>
      <c r="AA3084" t="s">
        <v>44</v>
      </c>
      <c r="AB3084" t="s">
        <v>44</v>
      </c>
      <c r="AC3084" s="4"/>
      <c r="AD3084" s="4"/>
      <c r="AE3084" s="2">
        <v>0</v>
      </c>
      <c r="AF3084" s="4">
        <v>0</v>
      </c>
      <c r="AG3084" s="2">
        <v>2.33</v>
      </c>
      <c r="AH3084" s="2">
        <v>13270589.4</v>
      </c>
      <c r="AI3084" s="2">
        <v>0.03</v>
      </c>
      <c r="AJ3084" s="5">
        <v>44673</v>
      </c>
      <c r="AK3084" t="s">
        <v>12616</v>
      </c>
      <c r="AL3084" s="2">
        <v>0</v>
      </c>
      <c r="AM3084" s="2">
        <v>0</v>
      </c>
      <c r="AN3084" s="2">
        <v>0</v>
      </c>
      <c r="AO3084" t="s">
        <v>44</v>
      </c>
      <c r="AP3084" t="s">
        <v>44</v>
      </c>
      <c r="AQ3084" t="s">
        <v>43</v>
      </c>
    </row>
    <row r="3085" spans="1:43" x14ac:dyDescent="0.2">
      <c r="A3085" t="s">
        <v>12615</v>
      </c>
      <c r="B3085" t="s">
        <v>11038</v>
      </c>
      <c r="C3085" t="s">
        <v>11870</v>
      </c>
      <c r="D3085" t="s">
        <v>11056</v>
      </c>
      <c r="E3085" t="s">
        <v>11057</v>
      </c>
      <c r="F3085" t="s">
        <v>11056</v>
      </c>
      <c r="G3085" s="1">
        <v>3655465</v>
      </c>
      <c r="H3085" s="2">
        <v>3654592.02</v>
      </c>
      <c r="I3085" s="2">
        <v>3655465</v>
      </c>
      <c r="J3085" s="2">
        <v>94223.27</v>
      </c>
      <c r="K3085" s="2">
        <v>0</v>
      </c>
      <c r="L3085" s="2">
        <v>3749688.27</v>
      </c>
      <c r="M3085" s="3"/>
      <c r="N3085" s="4">
        <v>8.5309400000000007E-3</v>
      </c>
      <c r="O3085" s="5">
        <v>44692</v>
      </c>
      <c r="P3085" s="5">
        <v>44692</v>
      </c>
      <c r="Q3085" s="1">
        <v>13.067</v>
      </c>
      <c r="R3085" s="2"/>
      <c r="S3085" s="6"/>
      <c r="T3085" t="s">
        <v>111</v>
      </c>
      <c r="U3085" t="s">
        <v>11040</v>
      </c>
      <c r="V3085" t="s">
        <v>115</v>
      </c>
      <c r="W3085" t="s">
        <v>43</v>
      </c>
      <c r="X3085" t="s">
        <v>44</v>
      </c>
      <c r="Y3085" t="s">
        <v>44</v>
      </c>
      <c r="Z3085" t="s">
        <v>44</v>
      </c>
      <c r="AA3085" t="s">
        <v>10979</v>
      </c>
      <c r="AB3085" t="s">
        <v>44</v>
      </c>
      <c r="AC3085" s="4"/>
      <c r="AD3085" s="4"/>
      <c r="AE3085" s="2">
        <v>0</v>
      </c>
      <c r="AF3085" s="4">
        <v>0</v>
      </c>
      <c r="AG3085" s="2">
        <v>0.66</v>
      </c>
      <c r="AH3085" s="2">
        <v>3749688.27</v>
      </c>
      <c r="AI3085" s="2">
        <v>0.01</v>
      </c>
      <c r="AJ3085" s="5">
        <v>44673</v>
      </c>
      <c r="AK3085" t="s">
        <v>12616</v>
      </c>
      <c r="AL3085" s="2">
        <v>0</v>
      </c>
      <c r="AM3085" s="2">
        <v>13.07</v>
      </c>
      <c r="AN3085" s="2">
        <v>0</v>
      </c>
      <c r="AO3085" t="s">
        <v>10980</v>
      </c>
      <c r="AP3085" t="s">
        <v>11058</v>
      </c>
      <c r="AQ3085" t="s">
        <v>11057</v>
      </c>
    </row>
    <row r="3086" spans="1:43" x14ac:dyDescent="0.2">
      <c r="A3086" t="s">
        <v>12615</v>
      </c>
      <c r="B3086" t="s">
        <v>11038</v>
      </c>
      <c r="C3086" t="s">
        <v>11052</v>
      </c>
      <c r="D3086" t="s">
        <v>11875</v>
      </c>
      <c r="E3086" t="s">
        <v>11876</v>
      </c>
      <c r="F3086" t="s">
        <v>11875</v>
      </c>
      <c r="G3086" s="1">
        <v>5000000</v>
      </c>
      <c r="H3086" s="2">
        <v>5000000</v>
      </c>
      <c r="I3086" s="2">
        <v>5002826.51</v>
      </c>
      <c r="J3086" s="2">
        <v>68054.52</v>
      </c>
      <c r="K3086" s="2">
        <v>0</v>
      </c>
      <c r="L3086" s="2">
        <v>5070881.03</v>
      </c>
      <c r="M3086" s="3">
        <v>5.8453989999999996</v>
      </c>
      <c r="N3086" s="4">
        <v>1.15368E-2</v>
      </c>
      <c r="O3086" s="5">
        <v>44676</v>
      </c>
      <c r="P3086" s="5">
        <v>44765</v>
      </c>
      <c r="Q3086" s="1">
        <v>5.5819999999999999</v>
      </c>
      <c r="R3086" s="2">
        <v>0.25</v>
      </c>
      <c r="S3086" s="6">
        <v>-2.4241619880000002E-3</v>
      </c>
      <c r="T3086" t="s">
        <v>111</v>
      </c>
      <c r="U3086" t="s">
        <v>11040</v>
      </c>
      <c r="V3086" t="s">
        <v>114</v>
      </c>
      <c r="W3086" t="s">
        <v>43</v>
      </c>
      <c r="X3086" t="s">
        <v>10988</v>
      </c>
      <c r="Y3086" t="s">
        <v>44</v>
      </c>
      <c r="Z3086" t="s">
        <v>44</v>
      </c>
      <c r="AA3086" t="s">
        <v>10979</v>
      </c>
      <c r="AB3086" t="s">
        <v>44</v>
      </c>
      <c r="AC3086" s="4">
        <v>5.9749057099999998</v>
      </c>
      <c r="AD3086" s="4">
        <v>5.8172689999999996</v>
      </c>
      <c r="AE3086" s="2">
        <v>5.97</v>
      </c>
      <c r="AF3086" s="4">
        <v>5.8172689999999996</v>
      </c>
      <c r="AG3086" s="2">
        <v>0.89</v>
      </c>
      <c r="AH3086" s="2">
        <v>5070881.03</v>
      </c>
      <c r="AI3086" s="2">
        <v>0.01</v>
      </c>
      <c r="AJ3086" s="5">
        <v>44673</v>
      </c>
      <c r="AK3086" t="s">
        <v>12616</v>
      </c>
      <c r="AL3086" s="2">
        <v>5.89</v>
      </c>
      <c r="AM3086" s="2">
        <v>5.58</v>
      </c>
      <c r="AN3086" s="2">
        <v>0</v>
      </c>
      <c r="AO3086" t="s">
        <v>11048</v>
      </c>
      <c r="AP3086" t="s">
        <v>11877</v>
      </c>
      <c r="AQ3086" t="s">
        <v>11876</v>
      </c>
    </row>
    <row r="3087" spans="1:43" x14ac:dyDescent="0.2">
      <c r="A3087" t="s">
        <v>12615</v>
      </c>
      <c r="B3087" t="s">
        <v>11038</v>
      </c>
      <c r="C3087" t="s">
        <v>11039</v>
      </c>
      <c r="D3087" t="s">
        <v>11971</v>
      </c>
      <c r="E3087" t="s">
        <v>11972</v>
      </c>
      <c r="F3087" t="s">
        <v>11971</v>
      </c>
      <c r="G3087" s="1">
        <v>2000000</v>
      </c>
      <c r="H3087" s="2">
        <v>2000000</v>
      </c>
      <c r="I3087" s="2">
        <v>1997927.52</v>
      </c>
      <c r="J3087" s="2">
        <v>23720.55</v>
      </c>
      <c r="K3087" s="2">
        <v>0</v>
      </c>
      <c r="L3087" s="2">
        <v>2021648.07</v>
      </c>
      <c r="M3087" s="3">
        <v>5.914955</v>
      </c>
      <c r="N3087" s="4">
        <v>4.5994699999999996E-3</v>
      </c>
      <c r="O3087" s="5">
        <v>44965</v>
      </c>
      <c r="P3087" s="5">
        <v>44965</v>
      </c>
      <c r="Q3087" s="1">
        <v>5.85</v>
      </c>
      <c r="R3087" s="2">
        <v>0.79</v>
      </c>
      <c r="S3087" s="6">
        <v>0.75635794914999999</v>
      </c>
      <c r="T3087" t="s">
        <v>111</v>
      </c>
      <c r="U3087" t="s">
        <v>11040</v>
      </c>
      <c r="V3087" t="s">
        <v>11041</v>
      </c>
      <c r="W3087" t="s">
        <v>43</v>
      </c>
      <c r="X3087" t="s">
        <v>11034</v>
      </c>
      <c r="Y3087" t="s">
        <v>44</v>
      </c>
      <c r="Z3087" t="s">
        <v>44</v>
      </c>
      <c r="AA3087" t="s">
        <v>10979</v>
      </c>
      <c r="AB3087" t="s">
        <v>44</v>
      </c>
      <c r="AC3087" s="4">
        <v>5.9509684500000004</v>
      </c>
      <c r="AD3087" s="4">
        <v>5.7945694899999998</v>
      </c>
      <c r="AE3087" s="2">
        <v>5.95</v>
      </c>
      <c r="AF3087" s="4">
        <v>5.7945694899999998</v>
      </c>
      <c r="AG3087" s="2">
        <v>0.35</v>
      </c>
      <c r="AH3087" s="2">
        <v>2021648.07</v>
      </c>
      <c r="AI3087" s="2">
        <v>0</v>
      </c>
      <c r="AJ3087" s="5">
        <v>44673</v>
      </c>
      <c r="AK3087" t="s">
        <v>12616</v>
      </c>
      <c r="AL3087" s="2">
        <v>5.86</v>
      </c>
      <c r="AM3087" s="2">
        <v>5.85</v>
      </c>
      <c r="AN3087" s="2">
        <v>0.76</v>
      </c>
      <c r="AO3087" t="s">
        <v>11165</v>
      </c>
      <c r="AP3087" t="s">
        <v>11973</v>
      </c>
      <c r="AQ3087" t="s">
        <v>11972</v>
      </c>
    </row>
    <row r="3088" spans="1:43" x14ac:dyDescent="0.2">
      <c r="A3088" t="s">
        <v>12615</v>
      </c>
      <c r="B3088" t="s">
        <v>11038</v>
      </c>
      <c r="C3088" t="s">
        <v>11039</v>
      </c>
      <c r="D3088" t="s">
        <v>11642</v>
      </c>
      <c r="E3088" t="s">
        <v>11643</v>
      </c>
      <c r="F3088" t="s">
        <v>11642</v>
      </c>
      <c r="G3088" s="1">
        <v>11000000</v>
      </c>
      <c r="H3088" s="2">
        <v>11000000</v>
      </c>
      <c r="I3088" s="2">
        <v>10918707.140000001</v>
      </c>
      <c r="J3088" s="2">
        <v>50292.6</v>
      </c>
      <c r="K3088" s="2">
        <v>0</v>
      </c>
      <c r="L3088" s="2">
        <v>10968999.74</v>
      </c>
      <c r="M3088" s="3">
        <v>6.063536</v>
      </c>
      <c r="N3088" s="4">
        <v>2.4955660000000001E-2</v>
      </c>
      <c r="O3088" s="5">
        <v>44823</v>
      </c>
      <c r="P3088" s="5">
        <v>45005</v>
      </c>
      <c r="Q3088" s="1">
        <v>5.2149999999999999</v>
      </c>
      <c r="R3088" s="2">
        <v>0.89</v>
      </c>
      <c r="S3088" s="6">
        <v>0.86259754570000002</v>
      </c>
      <c r="T3088" t="s">
        <v>111</v>
      </c>
      <c r="U3088" t="s">
        <v>11040</v>
      </c>
      <c r="V3088" t="s">
        <v>11041</v>
      </c>
      <c r="W3088" t="s">
        <v>43</v>
      </c>
      <c r="X3088" t="s">
        <v>44</v>
      </c>
      <c r="Y3088" t="s">
        <v>44</v>
      </c>
      <c r="Z3088" t="s">
        <v>44</v>
      </c>
      <c r="AA3088" t="s">
        <v>11035</v>
      </c>
      <c r="AB3088" t="s">
        <v>44</v>
      </c>
      <c r="AC3088" s="4">
        <v>6.1554521800000002</v>
      </c>
      <c r="AD3088" s="4">
        <v>5.9883285600000002</v>
      </c>
      <c r="AE3088" s="2">
        <v>6.16</v>
      </c>
      <c r="AF3088" s="4">
        <v>5.9883285600000002</v>
      </c>
      <c r="AG3088" s="2">
        <v>1.92</v>
      </c>
      <c r="AH3088" s="2">
        <v>10968999.74</v>
      </c>
      <c r="AI3088" s="2">
        <v>0.02</v>
      </c>
      <c r="AJ3088" s="5">
        <v>44673</v>
      </c>
      <c r="AK3088" t="s">
        <v>12616</v>
      </c>
      <c r="AL3088" s="2">
        <v>6.06</v>
      </c>
      <c r="AM3088" s="2">
        <v>5.21</v>
      </c>
      <c r="AN3088" s="2">
        <v>0.86</v>
      </c>
      <c r="AO3088" t="s">
        <v>11036</v>
      </c>
      <c r="AP3088" t="s">
        <v>11644</v>
      </c>
      <c r="AQ3088" t="s">
        <v>11643</v>
      </c>
    </row>
    <row r="3089" spans="1:43" x14ac:dyDescent="0.2">
      <c r="A3089" t="s">
        <v>12615</v>
      </c>
      <c r="B3089" t="s">
        <v>11038</v>
      </c>
      <c r="C3089" t="s">
        <v>11039</v>
      </c>
      <c r="D3089" t="s">
        <v>11626</v>
      </c>
      <c r="E3089" t="s">
        <v>11627</v>
      </c>
      <c r="F3089" t="s">
        <v>11626</v>
      </c>
      <c r="G3089" s="1">
        <v>8000000</v>
      </c>
      <c r="H3089" s="2">
        <v>8002688.7699999996</v>
      </c>
      <c r="I3089" s="2">
        <v>8012233.8300000001</v>
      </c>
      <c r="J3089" s="2">
        <v>81090.41</v>
      </c>
      <c r="K3089" s="2">
        <v>0</v>
      </c>
      <c r="L3089" s="2">
        <v>8093324.2400000002</v>
      </c>
      <c r="M3089" s="3">
        <v>4.7030979999999998</v>
      </c>
      <c r="N3089" s="4">
        <v>1.8413180000000001E-2</v>
      </c>
      <c r="O3089" s="5">
        <v>44690</v>
      </c>
      <c r="P3089" s="5">
        <v>44872</v>
      </c>
      <c r="Q3089" s="1">
        <v>4.9329999999999998</v>
      </c>
      <c r="R3089" s="2">
        <v>0.04</v>
      </c>
      <c r="S3089" s="6">
        <v>3.5480725949000001E-2</v>
      </c>
      <c r="T3089" t="s">
        <v>111</v>
      </c>
      <c r="U3089" t="s">
        <v>11040</v>
      </c>
      <c r="V3089" t="s">
        <v>11189</v>
      </c>
      <c r="W3089" t="s">
        <v>43</v>
      </c>
      <c r="X3089" t="s">
        <v>11034</v>
      </c>
      <c r="Y3089" t="s">
        <v>44</v>
      </c>
      <c r="Z3089" t="s">
        <v>44</v>
      </c>
      <c r="AA3089" t="s">
        <v>10979</v>
      </c>
      <c r="AB3089" t="s">
        <v>44</v>
      </c>
      <c r="AC3089" s="4">
        <v>4.8110071799999998</v>
      </c>
      <c r="AD3089" s="4">
        <v>4.7080728000000001</v>
      </c>
      <c r="AE3089" s="2">
        <v>4.8099999999999996</v>
      </c>
      <c r="AF3089" s="4">
        <v>4.7080728000000001</v>
      </c>
      <c r="AG3089" s="2">
        <v>1.42</v>
      </c>
      <c r="AH3089" s="2">
        <v>8093324.2400000002</v>
      </c>
      <c r="AI3089" s="2">
        <v>0.02</v>
      </c>
      <c r="AJ3089" s="5">
        <v>44673</v>
      </c>
      <c r="AK3089" t="s">
        <v>12616</v>
      </c>
      <c r="AL3089" s="2">
        <v>4.75</v>
      </c>
      <c r="AM3089" s="2">
        <v>4.93</v>
      </c>
      <c r="AN3089" s="2">
        <v>0.04</v>
      </c>
      <c r="AO3089" t="s">
        <v>11179</v>
      </c>
      <c r="AP3089" t="s">
        <v>11628</v>
      </c>
      <c r="AQ3089" t="s">
        <v>11627</v>
      </c>
    </row>
    <row r="3090" spans="1:43" x14ac:dyDescent="0.2">
      <c r="A3090" t="s">
        <v>12615</v>
      </c>
      <c r="B3090" t="s">
        <v>11038</v>
      </c>
      <c r="C3090" t="s">
        <v>11039</v>
      </c>
      <c r="D3090" t="s">
        <v>11884</v>
      </c>
      <c r="E3090" t="s">
        <v>11885</v>
      </c>
      <c r="F3090" t="s">
        <v>11884</v>
      </c>
      <c r="G3090" s="1">
        <v>5000000</v>
      </c>
      <c r="H3090" s="2">
        <v>5000000</v>
      </c>
      <c r="I3090" s="2">
        <v>5005002.8499999996</v>
      </c>
      <c r="J3090" s="2">
        <v>66463.009999999995</v>
      </c>
      <c r="K3090" s="2">
        <v>0</v>
      </c>
      <c r="L3090" s="2">
        <v>5071465.8600000003</v>
      </c>
      <c r="M3090" s="3">
        <v>5.529731</v>
      </c>
      <c r="N3090" s="4">
        <v>1.1538130000000001E-2</v>
      </c>
      <c r="O3090" s="5">
        <v>44679</v>
      </c>
      <c r="P3090" s="5">
        <v>44862</v>
      </c>
      <c r="Q3090" s="1">
        <v>5.7080000000000002</v>
      </c>
      <c r="R3090" s="2">
        <v>0.01</v>
      </c>
      <c r="S3090" s="6">
        <v>3.323205444E-3</v>
      </c>
      <c r="T3090" t="s">
        <v>111</v>
      </c>
      <c r="U3090" t="s">
        <v>11040</v>
      </c>
      <c r="V3090" t="s">
        <v>114</v>
      </c>
      <c r="W3090" t="s">
        <v>43</v>
      </c>
      <c r="X3090" t="s">
        <v>10988</v>
      </c>
      <c r="Y3090" t="s">
        <v>44</v>
      </c>
      <c r="Z3090" t="s">
        <v>44</v>
      </c>
      <c r="AA3090" t="s">
        <v>11465</v>
      </c>
      <c r="AB3090" t="s">
        <v>44</v>
      </c>
      <c r="AC3090" s="4">
        <v>5.6841506900000001</v>
      </c>
      <c r="AD3090" s="4">
        <v>5.5412295399999998</v>
      </c>
      <c r="AE3090" s="2">
        <v>5.68</v>
      </c>
      <c r="AF3090" s="4">
        <v>5.5412295399999998</v>
      </c>
      <c r="AG3090" s="2">
        <v>0.89</v>
      </c>
      <c r="AH3090" s="2">
        <v>5071465.8600000003</v>
      </c>
      <c r="AI3090" s="2">
        <v>0.01</v>
      </c>
      <c r="AJ3090" s="5">
        <v>44673</v>
      </c>
      <c r="AK3090" t="s">
        <v>12616</v>
      </c>
      <c r="AL3090" s="2">
        <v>5.61</v>
      </c>
      <c r="AM3090" s="2">
        <v>5.71</v>
      </c>
      <c r="AN3090" s="2">
        <v>0</v>
      </c>
      <c r="AO3090" t="s">
        <v>11886</v>
      </c>
      <c r="AP3090" t="s">
        <v>11887</v>
      </c>
      <c r="AQ3090" t="s">
        <v>11885</v>
      </c>
    </row>
    <row r="3091" spans="1:43" x14ac:dyDescent="0.2">
      <c r="A3091" t="s">
        <v>12615</v>
      </c>
      <c r="B3091" t="s">
        <v>11038</v>
      </c>
      <c r="C3091" t="s">
        <v>11222</v>
      </c>
      <c r="D3091" t="s">
        <v>12626</v>
      </c>
      <c r="E3091" t="s">
        <v>12627</v>
      </c>
      <c r="F3091" t="s">
        <v>12626</v>
      </c>
      <c r="G3091" s="1">
        <v>16000000</v>
      </c>
      <c r="H3091" s="2">
        <v>16000000</v>
      </c>
      <c r="I3091" s="2">
        <v>15712657.92</v>
      </c>
      <c r="J3091" s="2">
        <v>119145.21</v>
      </c>
      <c r="K3091" s="2">
        <v>0</v>
      </c>
      <c r="L3091" s="2">
        <v>15831803.130000001</v>
      </c>
      <c r="M3091" s="3">
        <v>7.0709489999999997</v>
      </c>
      <c r="N3091" s="4">
        <v>3.6019059999999999E-2</v>
      </c>
      <c r="O3091" s="5">
        <v>44813</v>
      </c>
      <c r="P3091" s="5">
        <v>45362</v>
      </c>
      <c r="Q3091" s="1">
        <v>6.04</v>
      </c>
      <c r="R3091" s="2">
        <v>1.79</v>
      </c>
      <c r="S3091" s="6">
        <v>1.7303939900900001</v>
      </c>
      <c r="T3091" t="s">
        <v>111</v>
      </c>
      <c r="U3091" t="s">
        <v>11040</v>
      </c>
      <c r="V3091" t="s">
        <v>11041</v>
      </c>
      <c r="W3091" t="s">
        <v>43</v>
      </c>
      <c r="X3091" t="s">
        <v>44</v>
      </c>
      <c r="Y3091" t="s">
        <v>44</v>
      </c>
      <c r="Z3091" t="s">
        <v>44</v>
      </c>
      <c r="AA3091" t="s">
        <v>10979</v>
      </c>
      <c r="AB3091" t="s">
        <v>44</v>
      </c>
      <c r="AC3091" s="4">
        <v>7.1959444499999998</v>
      </c>
      <c r="AD3091" s="4">
        <v>6.9689811400000004</v>
      </c>
      <c r="AE3091" s="2">
        <v>7.2</v>
      </c>
      <c r="AF3091" s="4">
        <v>6.9689811400000004</v>
      </c>
      <c r="AG3091" s="2">
        <v>2.78</v>
      </c>
      <c r="AH3091" s="2">
        <v>15831803.130000001</v>
      </c>
      <c r="AI3091" s="2">
        <v>0.04</v>
      </c>
      <c r="AJ3091" s="5">
        <v>44673</v>
      </c>
      <c r="AK3091" t="s">
        <v>12616</v>
      </c>
      <c r="AL3091" s="2">
        <v>7.07</v>
      </c>
      <c r="AM3091" s="2">
        <v>6.04</v>
      </c>
      <c r="AN3091" s="2">
        <v>1.73</v>
      </c>
      <c r="AO3091" t="s">
        <v>11165</v>
      </c>
      <c r="AP3091" t="s">
        <v>12628</v>
      </c>
      <c r="AQ3091" t="s">
        <v>12627</v>
      </c>
    </row>
    <row r="3092" spans="1:43" x14ac:dyDescent="0.2">
      <c r="A3092" t="s">
        <v>12615</v>
      </c>
      <c r="B3092" t="s">
        <v>11038</v>
      </c>
      <c r="C3092" t="s">
        <v>11222</v>
      </c>
      <c r="D3092" t="s">
        <v>12363</v>
      </c>
      <c r="E3092" t="s">
        <v>12364</v>
      </c>
      <c r="F3092" t="s">
        <v>12363</v>
      </c>
      <c r="G3092" s="1">
        <v>6000000</v>
      </c>
      <c r="H3092" s="2">
        <v>6000000</v>
      </c>
      <c r="I3092" s="2">
        <v>5829768.3700000001</v>
      </c>
      <c r="J3092" s="2">
        <v>53171.51</v>
      </c>
      <c r="K3092" s="2">
        <v>0</v>
      </c>
      <c r="L3092" s="2">
        <v>5882939.8799999999</v>
      </c>
      <c r="M3092" s="3">
        <v>7.3248699999999998</v>
      </c>
      <c r="N3092" s="4">
        <v>1.338432E-2</v>
      </c>
      <c r="O3092" s="5">
        <v>44802</v>
      </c>
      <c r="P3092" s="5">
        <v>45531</v>
      </c>
      <c r="Q3092" s="1">
        <v>5.99</v>
      </c>
      <c r="R3092" s="2">
        <v>2.2000000000000002</v>
      </c>
      <c r="S3092" s="6">
        <v>2.1214710781399999</v>
      </c>
      <c r="T3092" t="s">
        <v>111</v>
      </c>
      <c r="U3092" t="s">
        <v>11040</v>
      </c>
      <c r="V3092" t="s">
        <v>11041</v>
      </c>
      <c r="W3092" t="s">
        <v>43</v>
      </c>
      <c r="X3092" t="s">
        <v>44</v>
      </c>
      <c r="Y3092" t="s">
        <v>44</v>
      </c>
      <c r="Z3092" t="s">
        <v>44</v>
      </c>
      <c r="AA3092" t="s">
        <v>10979</v>
      </c>
      <c r="AB3092" t="s">
        <v>44</v>
      </c>
      <c r="AC3092" s="4">
        <v>7.4590046399999999</v>
      </c>
      <c r="AD3092" s="4">
        <v>7.2155303799999997</v>
      </c>
      <c r="AE3092" s="2">
        <v>7.46</v>
      </c>
      <c r="AF3092" s="4">
        <v>7.2155303799999997</v>
      </c>
      <c r="AG3092" s="2">
        <v>1.03</v>
      </c>
      <c r="AH3092" s="2">
        <v>5882939.8799999999</v>
      </c>
      <c r="AI3092" s="2">
        <v>0.01</v>
      </c>
      <c r="AJ3092" s="5">
        <v>44673</v>
      </c>
      <c r="AK3092" t="s">
        <v>12616</v>
      </c>
      <c r="AL3092" s="2">
        <v>7.32</v>
      </c>
      <c r="AM3092" s="2">
        <v>5.99</v>
      </c>
      <c r="AN3092" s="2">
        <v>2.12</v>
      </c>
      <c r="AO3092" t="s">
        <v>11054</v>
      </c>
      <c r="AP3092" t="s">
        <v>12365</v>
      </c>
      <c r="AQ3092" t="s">
        <v>12364</v>
      </c>
    </row>
    <row r="3093" spans="1:43" x14ac:dyDescent="0.2">
      <c r="A3093" t="s">
        <v>12615</v>
      </c>
      <c r="B3093" t="s">
        <v>11038</v>
      </c>
      <c r="C3093" t="s">
        <v>11222</v>
      </c>
      <c r="D3093" t="s">
        <v>11639</v>
      </c>
      <c r="E3093" t="s">
        <v>11640</v>
      </c>
      <c r="F3093" t="s">
        <v>11639</v>
      </c>
      <c r="G3093" s="1">
        <v>6000000</v>
      </c>
      <c r="H3093" s="2">
        <v>6000000</v>
      </c>
      <c r="I3093" s="2">
        <v>5854780.6399999997</v>
      </c>
      <c r="J3093" s="2">
        <v>24696.99</v>
      </c>
      <c r="K3093" s="2">
        <v>0</v>
      </c>
      <c r="L3093" s="2">
        <v>5879477.6299999999</v>
      </c>
      <c r="M3093" s="3">
        <v>7.3639539999999997</v>
      </c>
      <c r="N3093" s="4">
        <v>1.337644E-2</v>
      </c>
      <c r="O3093" s="5">
        <v>44834</v>
      </c>
      <c r="P3093" s="5">
        <v>45562</v>
      </c>
      <c r="Q3093" s="1">
        <v>6.26</v>
      </c>
      <c r="R3093" s="2">
        <v>2.2799999999999998</v>
      </c>
      <c r="S3093" s="6">
        <v>2.1972816670199999</v>
      </c>
      <c r="T3093" t="s">
        <v>111</v>
      </c>
      <c r="U3093" t="s">
        <v>11040</v>
      </c>
      <c r="V3093" t="s">
        <v>11041</v>
      </c>
      <c r="W3093" t="s">
        <v>43</v>
      </c>
      <c r="X3093" t="s">
        <v>44</v>
      </c>
      <c r="Y3093" t="s">
        <v>44</v>
      </c>
      <c r="Z3093" t="s">
        <v>44</v>
      </c>
      <c r="AA3093" t="s">
        <v>10979</v>
      </c>
      <c r="AB3093" t="s">
        <v>44</v>
      </c>
      <c r="AC3093" s="4">
        <v>7.4995232700000001</v>
      </c>
      <c r="AD3093" s="4">
        <v>7.2534566800000002</v>
      </c>
      <c r="AE3093" s="2">
        <v>7.5</v>
      </c>
      <c r="AF3093" s="4">
        <v>7.2534566800000002</v>
      </c>
      <c r="AG3093" s="2">
        <v>1.03</v>
      </c>
      <c r="AH3093" s="2">
        <v>5879477.6299999999</v>
      </c>
      <c r="AI3093" s="2">
        <v>0.01</v>
      </c>
      <c r="AJ3093" s="5">
        <v>44673</v>
      </c>
      <c r="AK3093" t="s">
        <v>12616</v>
      </c>
      <c r="AL3093" s="2">
        <v>7.36</v>
      </c>
      <c r="AM3093" s="2">
        <v>6.26</v>
      </c>
      <c r="AN3093" s="2">
        <v>2.2000000000000002</v>
      </c>
      <c r="AO3093" t="s">
        <v>11054</v>
      </c>
      <c r="AP3093" t="s">
        <v>11641</v>
      </c>
      <c r="AQ3093" t="s">
        <v>11640</v>
      </c>
    </row>
    <row r="3094" spans="1:43" x14ac:dyDescent="0.2">
      <c r="A3094" t="s">
        <v>12615</v>
      </c>
      <c r="B3094" t="s">
        <v>11038</v>
      </c>
      <c r="C3094" t="s">
        <v>11222</v>
      </c>
      <c r="D3094" t="s">
        <v>11888</v>
      </c>
      <c r="E3094" t="s">
        <v>11889</v>
      </c>
      <c r="F3094" t="s">
        <v>11888</v>
      </c>
      <c r="G3094" s="1">
        <v>4000000</v>
      </c>
      <c r="H3094" s="2">
        <v>4000000</v>
      </c>
      <c r="I3094" s="2">
        <v>4013616.13</v>
      </c>
      <c r="J3094" s="2">
        <v>30476.6</v>
      </c>
      <c r="K3094" s="2">
        <v>0</v>
      </c>
      <c r="L3094" s="2">
        <v>4044092.73</v>
      </c>
      <c r="M3094" s="3">
        <v>5.6397240000000002</v>
      </c>
      <c r="N3094" s="4">
        <v>9.2007500000000006E-3</v>
      </c>
      <c r="O3094" s="5">
        <v>44718</v>
      </c>
      <c r="P3094" s="5">
        <v>45083</v>
      </c>
      <c r="Q3094" s="1">
        <v>5.9169999999999998</v>
      </c>
      <c r="R3094" s="2">
        <v>0.12</v>
      </c>
      <c r="S3094" s="6">
        <v>0.10153073584699999</v>
      </c>
      <c r="T3094" t="s">
        <v>111</v>
      </c>
      <c r="U3094" t="s">
        <v>11040</v>
      </c>
      <c r="V3094" t="s">
        <v>114</v>
      </c>
      <c r="W3094" t="s">
        <v>43</v>
      </c>
      <c r="X3094" t="s">
        <v>10988</v>
      </c>
      <c r="Y3094" t="s">
        <v>44</v>
      </c>
      <c r="Z3094" t="s">
        <v>44</v>
      </c>
      <c r="AA3094" t="s">
        <v>10913</v>
      </c>
      <c r="AB3094" t="s">
        <v>44</v>
      </c>
      <c r="AC3094" s="4">
        <v>5.7825122599999998</v>
      </c>
      <c r="AD3094" s="4">
        <v>5.63469072</v>
      </c>
      <c r="AE3094" s="2">
        <v>5.78</v>
      </c>
      <c r="AF3094" s="4">
        <v>5.63469072</v>
      </c>
      <c r="AG3094" s="2">
        <v>0.71</v>
      </c>
      <c r="AH3094" s="2">
        <v>4044092.73</v>
      </c>
      <c r="AI3094" s="2">
        <v>0.01</v>
      </c>
      <c r="AJ3094" s="5">
        <v>44673</v>
      </c>
      <c r="AK3094" t="s">
        <v>12616</v>
      </c>
      <c r="AL3094" s="2">
        <v>5.7</v>
      </c>
      <c r="AM3094" s="2">
        <v>5.92</v>
      </c>
      <c r="AN3094" s="2">
        <v>0.1</v>
      </c>
      <c r="AO3094" t="s">
        <v>11563</v>
      </c>
      <c r="AP3094" t="s">
        <v>11890</v>
      </c>
      <c r="AQ3094" t="s">
        <v>11889</v>
      </c>
    </row>
    <row r="3095" spans="1:43" x14ac:dyDescent="0.2">
      <c r="A3095" t="s">
        <v>12615</v>
      </c>
      <c r="B3095" t="s">
        <v>11038</v>
      </c>
      <c r="C3095" t="s">
        <v>11222</v>
      </c>
      <c r="D3095" t="s">
        <v>12730</v>
      </c>
      <c r="E3095" t="s">
        <v>12731</v>
      </c>
      <c r="F3095" t="s">
        <v>12730</v>
      </c>
      <c r="G3095" s="1">
        <v>4000000</v>
      </c>
      <c r="H3095" s="2">
        <v>4000000</v>
      </c>
      <c r="I3095" s="2">
        <v>4000002.5</v>
      </c>
      <c r="J3095" s="2">
        <v>20841.86</v>
      </c>
      <c r="K3095" s="2">
        <v>0</v>
      </c>
      <c r="L3095" s="2">
        <v>4020844.36</v>
      </c>
      <c r="M3095" s="3">
        <v>6.4543710000000001</v>
      </c>
      <c r="N3095" s="4">
        <v>9.1478500000000008E-3</v>
      </c>
      <c r="O3095" s="5">
        <v>44739</v>
      </c>
      <c r="P3095" s="5">
        <v>46563</v>
      </c>
      <c r="Q3095" s="1">
        <v>6.5579999999999998</v>
      </c>
      <c r="R3095" s="2">
        <v>0.17</v>
      </c>
      <c r="S3095" s="6">
        <v>0.10239071847800001</v>
      </c>
      <c r="T3095" t="s">
        <v>111</v>
      </c>
      <c r="U3095" t="s">
        <v>11040</v>
      </c>
      <c r="V3095" t="s">
        <v>11189</v>
      </c>
      <c r="W3095" t="s">
        <v>43</v>
      </c>
      <c r="X3095" t="s">
        <v>11034</v>
      </c>
      <c r="Y3095" t="s">
        <v>44</v>
      </c>
      <c r="Z3095" t="s">
        <v>44</v>
      </c>
      <c r="AA3095" t="s">
        <v>11035</v>
      </c>
      <c r="AB3095" t="s">
        <v>44</v>
      </c>
      <c r="AC3095" s="4">
        <v>6.6291599999999997</v>
      </c>
      <c r="AD3095" s="4">
        <v>6.4358805400000003</v>
      </c>
      <c r="AE3095" s="2">
        <v>6.63</v>
      </c>
      <c r="AF3095" s="4">
        <v>6.4358805400000003</v>
      </c>
      <c r="AG3095" s="2">
        <v>0.71</v>
      </c>
      <c r="AH3095" s="2">
        <v>4020844.36</v>
      </c>
      <c r="AI3095" s="2">
        <v>0.01</v>
      </c>
      <c r="AJ3095" s="5">
        <v>44673</v>
      </c>
      <c r="AK3095" t="s">
        <v>12616</v>
      </c>
      <c r="AL3095" s="2">
        <v>6.52</v>
      </c>
      <c r="AM3095" s="2">
        <v>6.56</v>
      </c>
      <c r="AN3095" s="2">
        <v>0.1</v>
      </c>
      <c r="AO3095" t="s">
        <v>11226</v>
      </c>
      <c r="AP3095" t="s">
        <v>12732</v>
      </c>
      <c r="AQ3095" t="s">
        <v>12731</v>
      </c>
    </row>
    <row r="3096" spans="1:43" x14ac:dyDescent="0.2">
      <c r="A3096" t="s">
        <v>12615</v>
      </c>
      <c r="B3096" t="s">
        <v>11038</v>
      </c>
      <c r="C3096" t="s">
        <v>11222</v>
      </c>
      <c r="D3096" t="s">
        <v>11891</v>
      </c>
      <c r="E3096" t="s">
        <v>11892</v>
      </c>
      <c r="F3096" t="s">
        <v>11891</v>
      </c>
      <c r="G3096" s="1">
        <v>8000000</v>
      </c>
      <c r="H3096" s="2">
        <v>8000000</v>
      </c>
      <c r="I3096" s="2">
        <v>8012058.7699999996</v>
      </c>
      <c r="J3096" s="2">
        <v>68597.259999999995</v>
      </c>
      <c r="K3096" s="2">
        <v>0</v>
      </c>
      <c r="L3096" s="2">
        <v>8080656.0300000003</v>
      </c>
      <c r="M3096" s="3">
        <v>7.9353490000000004</v>
      </c>
      <c r="N3096" s="4">
        <v>1.8384359999999999E-2</v>
      </c>
      <c r="O3096" s="5">
        <v>44727</v>
      </c>
      <c r="P3096" s="5">
        <v>45642</v>
      </c>
      <c r="Q3096" s="1">
        <v>8.0250000000000004</v>
      </c>
      <c r="R3096" s="2">
        <v>0.14000000000000001</v>
      </c>
      <c r="S3096" s="6">
        <v>7.6335008319000003E-2</v>
      </c>
      <c r="T3096" t="s">
        <v>111</v>
      </c>
      <c r="U3096" t="s">
        <v>11040</v>
      </c>
      <c r="V3096" t="s">
        <v>114</v>
      </c>
      <c r="W3096" t="s">
        <v>43</v>
      </c>
      <c r="X3096" t="s">
        <v>10988</v>
      </c>
      <c r="Y3096" t="s">
        <v>44</v>
      </c>
      <c r="Z3096" t="s">
        <v>44</v>
      </c>
      <c r="AA3096" t="s">
        <v>44</v>
      </c>
      <c r="AB3096" t="s">
        <v>44</v>
      </c>
      <c r="AC3096" s="4">
        <v>8.2114278699999996</v>
      </c>
      <c r="AD3096" s="4">
        <v>7.9176856799999999</v>
      </c>
      <c r="AE3096" s="2">
        <v>8.2100000000000009</v>
      </c>
      <c r="AF3096" s="4">
        <v>7.9176856799999999</v>
      </c>
      <c r="AG3096" s="2">
        <v>1.42</v>
      </c>
      <c r="AH3096" s="2">
        <v>8080656.0300000003</v>
      </c>
      <c r="AI3096" s="2">
        <v>0.02</v>
      </c>
      <c r="AJ3096" s="5">
        <v>44673</v>
      </c>
      <c r="AK3096" t="s">
        <v>12616</v>
      </c>
      <c r="AL3096" s="2">
        <v>8.0500000000000007</v>
      </c>
      <c r="AM3096" s="2">
        <v>8.0299999999999994</v>
      </c>
      <c r="AN3096" s="2">
        <v>0.08</v>
      </c>
      <c r="AO3096" t="s">
        <v>11871</v>
      </c>
      <c r="AP3096" t="s">
        <v>11893</v>
      </c>
      <c r="AQ3096" t="s">
        <v>11892</v>
      </c>
    </row>
    <row r="3097" spans="1:43" x14ac:dyDescent="0.2">
      <c r="A3097" t="s">
        <v>12615</v>
      </c>
      <c r="B3097" t="s">
        <v>11038</v>
      </c>
      <c r="C3097" t="s">
        <v>11222</v>
      </c>
      <c r="D3097" t="s">
        <v>11894</v>
      </c>
      <c r="E3097" t="s">
        <v>11895</v>
      </c>
      <c r="F3097" t="s">
        <v>11894</v>
      </c>
      <c r="G3097" s="1">
        <v>3000000</v>
      </c>
      <c r="H3097" s="2">
        <v>3000000</v>
      </c>
      <c r="I3097" s="2">
        <v>2999732.17</v>
      </c>
      <c r="J3097" s="2">
        <v>20274.66</v>
      </c>
      <c r="K3097" s="2">
        <v>0</v>
      </c>
      <c r="L3097" s="2">
        <v>3020006.83</v>
      </c>
      <c r="M3097" s="3">
        <v>6.3053489999999996</v>
      </c>
      <c r="N3097" s="4">
        <v>6.8708399999999996E-3</v>
      </c>
      <c r="O3097" s="5">
        <v>44727</v>
      </c>
      <c r="P3097" s="5">
        <v>45366</v>
      </c>
      <c r="Q3097" s="1">
        <v>6.3250000000000002</v>
      </c>
      <c r="R3097" s="2">
        <v>0.14000000000000001</v>
      </c>
      <c r="S3097" s="6">
        <v>0.10845508335</v>
      </c>
      <c r="T3097" t="s">
        <v>111</v>
      </c>
      <c r="U3097" t="s">
        <v>11040</v>
      </c>
      <c r="V3097" t="s">
        <v>114</v>
      </c>
      <c r="W3097" t="s">
        <v>43</v>
      </c>
      <c r="X3097" t="s">
        <v>10988</v>
      </c>
      <c r="Y3097" t="s">
        <v>44</v>
      </c>
      <c r="Z3097" t="s">
        <v>44</v>
      </c>
      <c r="AA3097" t="s">
        <v>10979</v>
      </c>
      <c r="AB3097" t="s">
        <v>44</v>
      </c>
      <c r="AC3097" s="4">
        <v>6.4789744799999998</v>
      </c>
      <c r="AD3097" s="4">
        <v>6.2941851800000004</v>
      </c>
      <c r="AE3097" s="2">
        <v>6.48</v>
      </c>
      <c r="AF3097" s="4">
        <v>6.2941851800000004</v>
      </c>
      <c r="AG3097" s="2">
        <v>0.53</v>
      </c>
      <c r="AH3097" s="2">
        <v>3020006.83</v>
      </c>
      <c r="AI3097" s="2">
        <v>0.01</v>
      </c>
      <c r="AJ3097" s="5">
        <v>44673</v>
      </c>
      <c r="AK3097" t="s">
        <v>12616</v>
      </c>
      <c r="AL3097" s="2">
        <v>6.38</v>
      </c>
      <c r="AM3097" s="2">
        <v>6.33</v>
      </c>
      <c r="AN3097" s="2">
        <v>0.11</v>
      </c>
      <c r="AO3097" t="s">
        <v>11567</v>
      </c>
      <c r="AP3097" t="s">
        <v>11896</v>
      </c>
      <c r="AQ3097" t="s">
        <v>11895</v>
      </c>
    </row>
    <row r="3098" spans="1:43" x14ac:dyDescent="0.2">
      <c r="A3098" t="s">
        <v>12615</v>
      </c>
      <c r="B3098" t="s">
        <v>11038</v>
      </c>
      <c r="C3098" t="s">
        <v>11222</v>
      </c>
      <c r="D3098" t="s">
        <v>11897</v>
      </c>
      <c r="E3098" t="s">
        <v>11898</v>
      </c>
      <c r="F3098" t="s">
        <v>11897</v>
      </c>
      <c r="G3098" s="1">
        <v>1500000</v>
      </c>
      <c r="H3098" s="2">
        <v>1500000</v>
      </c>
      <c r="I3098" s="2">
        <v>1499804.19</v>
      </c>
      <c r="J3098" s="2">
        <v>12008.18</v>
      </c>
      <c r="K3098" s="2">
        <v>0</v>
      </c>
      <c r="L3098" s="2">
        <v>1511812.37</v>
      </c>
      <c r="M3098" s="3">
        <v>6.2678570000000002</v>
      </c>
      <c r="N3098" s="4">
        <v>3.43954E-3</v>
      </c>
      <c r="O3098" s="5">
        <v>44719</v>
      </c>
      <c r="P3098" s="5">
        <v>45723</v>
      </c>
      <c r="Q3098" s="1">
        <v>6.2169999999999996</v>
      </c>
      <c r="R3098" s="2">
        <v>0.12</v>
      </c>
      <c r="S3098" s="6">
        <v>7.7282729554999999E-2</v>
      </c>
      <c r="T3098" t="s">
        <v>111</v>
      </c>
      <c r="U3098" t="s">
        <v>11040</v>
      </c>
      <c r="V3098" t="s">
        <v>114</v>
      </c>
      <c r="W3098" t="s">
        <v>43</v>
      </c>
      <c r="X3098" t="s">
        <v>10988</v>
      </c>
      <c r="Y3098" t="s">
        <v>44</v>
      </c>
      <c r="Z3098" t="s">
        <v>44</v>
      </c>
      <c r="AA3098" t="s">
        <v>11035</v>
      </c>
      <c r="AB3098" t="s">
        <v>44</v>
      </c>
      <c r="AC3098" s="4">
        <v>6.4439416999999999</v>
      </c>
      <c r="AD3098" s="4">
        <v>6.2611065000000004</v>
      </c>
      <c r="AE3098" s="2">
        <v>6.44</v>
      </c>
      <c r="AF3098" s="4">
        <v>6.2611065000000004</v>
      </c>
      <c r="AG3098" s="2">
        <v>0.27</v>
      </c>
      <c r="AH3098" s="2">
        <v>1511812.37</v>
      </c>
      <c r="AI3098" s="2">
        <v>0</v>
      </c>
      <c r="AJ3098" s="5">
        <v>44673</v>
      </c>
      <c r="AK3098" t="s">
        <v>12616</v>
      </c>
      <c r="AL3098" s="2">
        <v>6.34</v>
      </c>
      <c r="AM3098" s="2">
        <v>6.22</v>
      </c>
      <c r="AN3098" s="2">
        <v>0.08</v>
      </c>
      <c r="AO3098" t="s">
        <v>11437</v>
      </c>
      <c r="AP3098" t="s">
        <v>11899</v>
      </c>
      <c r="AQ3098" t="s">
        <v>11898</v>
      </c>
    </row>
    <row r="3099" spans="1:43" x14ac:dyDescent="0.2">
      <c r="A3099" t="s">
        <v>12615</v>
      </c>
      <c r="B3099" t="s">
        <v>11038</v>
      </c>
      <c r="C3099" t="s">
        <v>11222</v>
      </c>
      <c r="D3099" t="s">
        <v>11900</v>
      </c>
      <c r="E3099" t="s">
        <v>11901</v>
      </c>
      <c r="F3099" t="s">
        <v>11900</v>
      </c>
      <c r="G3099" s="1">
        <v>17000000</v>
      </c>
      <c r="H3099" s="2">
        <v>17015853.5</v>
      </c>
      <c r="I3099" s="2">
        <v>17056206.640000001</v>
      </c>
      <c r="J3099" s="2">
        <v>215686.68</v>
      </c>
      <c r="K3099" s="2">
        <v>0</v>
      </c>
      <c r="L3099" s="2">
        <v>17271893.32</v>
      </c>
      <c r="M3099" s="3">
        <v>6.1260430000000001</v>
      </c>
      <c r="N3099" s="4">
        <v>3.9295419999999998E-2</v>
      </c>
      <c r="O3099" s="5">
        <v>44690</v>
      </c>
      <c r="P3099" s="5">
        <v>45330</v>
      </c>
      <c r="Q3099" s="1">
        <v>6.258</v>
      </c>
      <c r="R3099" s="2">
        <v>0.04</v>
      </c>
      <c r="S3099" s="6">
        <v>1.7773178866000001E-2</v>
      </c>
      <c r="T3099" t="s">
        <v>111</v>
      </c>
      <c r="U3099" t="s">
        <v>11040</v>
      </c>
      <c r="V3099" t="s">
        <v>114</v>
      </c>
      <c r="W3099" t="s">
        <v>43</v>
      </c>
      <c r="X3099" t="s">
        <v>10988</v>
      </c>
      <c r="Y3099" t="s">
        <v>44</v>
      </c>
      <c r="Z3099" t="s">
        <v>44</v>
      </c>
      <c r="AA3099" t="s">
        <v>10979</v>
      </c>
      <c r="AB3099" t="s">
        <v>44</v>
      </c>
      <c r="AC3099" s="4">
        <v>6.3099366400000001</v>
      </c>
      <c r="AD3099" s="4">
        <v>6.1344839599999998</v>
      </c>
      <c r="AE3099" s="2">
        <v>6.31</v>
      </c>
      <c r="AF3099" s="4">
        <v>6.1344839599999998</v>
      </c>
      <c r="AG3099" s="2">
        <v>3.03</v>
      </c>
      <c r="AH3099" s="2">
        <v>17271893.32</v>
      </c>
      <c r="AI3099" s="2">
        <v>0.04</v>
      </c>
      <c r="AJ3099" s="5">
        <v>44673</v>
      </c>
      <c r="AK3099" t="s">
        <v>12616</v>
      </c>
      <c r="AL3099" s="2">
        <v>6.21</v>
      </c>
      <c r="AM3099" s="2">
        <v>6.26</v>
      </c>
      <c r="AN3099" s="2">
        <v>0.02</v>
      </c>
      <c r="AO3099" t="s">
        <v>11824</v>
      </c>
      <c r="AP3099" t="s">
        <v>11902</v>
      </c>
      <c r="AQ3099" t="s">
        <v>11901</v>
      </c>
    </row>
    <row r="3100" spans="1:43" x14ac:dyDescent="0.2">
      <c r="A3100" t="s">
        <v>12615</v>
      </c>
      <c r="B3100" t="s">
        <v>11038</v>
      </c>
      <c r="C3100" t="s">
        <v>11222</v>
      </c>
      <c r="D3100" t="s">
        <v>11903</v>
      </c>
      <c r="E3100" t="s">
        <v>11904</v>
      </c>
      <c r="F3100" t="s">
        <v>11903</v>
      </c>
      <c r="G3100" s="1">
        <v>3000000</v>
      </c>
      <c r="H3100" s="2">
        <v>3000000</v>
      </c>
      <c r="I3100" s="2">
        <v>2999933.85</v>
      </c>
      <c r="J3100" s="2">
        <v>36495.120000000003</v>
      </c>
      <c r="K3100" s="2">
        <v>0</v>
      </c>
      <c r="L3100" s="2">
        <v>3036428.97</v>
      </c>
      <c r="M3100" s="3">
        <v>6.2325840000000001</v>
      </c>
      <c r="N3100" s="4">
        <v>6.9081999999999998E-3</v>
      </c>
      <c r="O3100" s="5">
        <v>44691</v>
      </c>
      <c r="P3100" s="5">
        <v>45422</v>
      </c>
      <c r="Q3100" s="1">
        <v>6.1669999999999998</v>
      </c>
      <c r="R3100" s="2">
        <v>0.04</v>
      </c>
      <c r="S3100" s="6">
        <v>1.3346666328999999E-2</v>
      </c>
      <c r="T3100" t="s">
        <v>111</v>
      </c>
      <c r="U3100" t="s">
        <v>11040</v>
      </c>
      <c r="V3100" t="s">
        <v>114</v>
      </c>
      <c r="W3100" t="s">
        <v>43</v>
      </c>
      <c r="X3100" t="s">
        <v>10988</v>
      </c>
      <c r="Y3100" t="s">
        <v>44</v>
      </c>
      <c r="Z3100" t="s">
        <v>44</v>
      </c>
      <c r="AA3100" t="s">
        <v>11035</v>
      </c>
      <c r="AB3100" t="s">
        <v>44</v>
      </c>
      <c r="AC3100" s="4">
        <v>6.4224278899999998</v>
      </c>
      <c r="AD3100" s="4">
        <v>6.2407877699999998</v>
      </c>
      <c r="AE3100" s="2">
        <v>6.42</v>
      </c>
      <c r="AF3100" s="4">
        <v>6.2407877699999998</v>
      </c>
      <c r="AG3100" s="2">
        <v>0.53</v>
      </c>
      <c r="AH3100" s="2">
        <v>3036428.97</v>
      </c>
      <c r="AI3100" s="2">
        <v>0.01</v>
      </c>
      <c r="AJ3100" s="5">
        <v>44673</v>
      </c>
      <c r="AK3100" t="s">
        <v>12616</v>
      </c>
      <c r="AL3100" s="2">
        <v>6.32</v>
      </c>
      <c r="AM3100" s="2">
        <v>6.17</v>
      </c>
      <c r="AN3100" s="2">
        <v>0.01</v>
      </c>
      <c r="AO3100" t="s">
        <v>11437</v>
      </c>
      <c r="AP3100" t="s">
        <v>11905</v>
      </c>
      <c r="AQ3100" t="s">
        <v>11904</v>
      </c>
    </row>
    <row r="3101" spans="1:43" x14ac:dyDescent="0.2">
      <c r="A3101" t="s">
        <v>12615</v>
      </c>
      <c r="B3101" t="s">
        <v>11038</v>
      </c>
      <c r="C3101" t="s">
        <v>11222</v>
      </c>
      <c r="D3101" t="s">
        <v>11906</v>
      </c>
      <c r="E3101" t="s">
        <v>11907</v>
      </c>
      <c r="F3101" t="s">
        <v>11906</v>
      </c>
      <c r="G3101" s="1">
        <v>10000000</v>
      </c>
      <c r="H3101" s="2">
        <v>10004244.76</v>
      </c>
      <c r="I3101" s="2">
        <v>10014471.689999999</v>
      </c>
      <c r="J3101" s="2">
        <v>95962.19</v>
      </c>
      <c r="K3101" s="2">
        <v>0</v>
      </c>
      <c r="L3101" s="2">
        <v>10110433.880000001</v>
      </c>
      <c r="M3101" s="3">
        <v>5.7430570000000003</v>
      </c>
      <c r="N3101" s="4">
        <v>2.3002330000000001E-2</v>
      </c>
      <c r="O3101" s="5">
        <v>44704</v>
      </c>
      <c r="P3101" s="5">
        <v>45343</v>
      </c>
      <c r="Q3101" s="1">
        <v>5.742</v>
      </c>
      <c r="R3101" s="2">
        <v>0.08</v>
      </c>
      <c r="S3101" s="6">
        <v>5.7362487435999997E-2</v>
      </c>
      <c r="T3101" t="s">
        <v>111</v>
      </c>
      <c r="U3101" t="s">
        <v>11040</v>
      </c>
      <c r="V3101" t="s">
        <v>114</v>
      </c>
      <c r="W3101" t="s">
        <v>43</v>
      </c>
      <c r="X3101" t="s">
        <v>10988</v>
      </c>
      <c r="Y3101" t="s">
        <v>44</v>
      </c>
      <c r="Z3101" t="s">
        <v>44</v>
      </c>
      <c r="AA3101" t="s">
        <v>11035</v>
      </c>
      <c r="AB3101" t="s">
        <v>44</v>
      </c>
      <c r="AC3101" s="4">
        <v>5.8978146699999998</v>
      </c>
      <c r="AD3101" s="4">
        <v>5.7441473600000004</v>
      </c>
      <c r="AE3101" s="2">
        <v>5.9</v>
      </c>
      <c r="AF3101" s="4">
        <v>5.7441473600000004</v>
      </c>
      <c r="AG3101" s="2">
        <v>1.77</v>
      </c>
      <c r="AH3101" s="2">
        <v>10110433.880000001</v>
      </c>
      <c r="AI3101" s="2">
        <v>0.02</v>
      </c>
      <c r="AJ3101" s="5">
        <v>44673</v>
      </c>
      <c r="AK3101" t="s">
        <v>12616</v>
      </c>
      <c r="AL3101" s="2">
        <v>5.81</v>
      </c>
      <c r="AM3101" s="2">
        <v>5.74</v>
      </c>
      <c r="AN3101" s="2">
        <v>0.06</v>
      </c>
      <c r="AO3101" t="s">
        <v>11036</v>
      </c>
      <c r="AP3101" t="s">
        <v>11908</v>
      </c>
      <c r="AQ3101" t="s">
        <v>11907</v>
      </c>
    </row>
    <row r="3102" spans="1:43" x14ac:dyDescent="0.2">
      <c r="A3102" t="s">
        <v>12615</v>
      </c>
      <c r="B3102" t="s">
        <v>11160</v>
      </c>
      <c r="C3102" t="s">
        <v>11161</v>
      </c>
      <c r="D3102" t="s">
        <v>11162</v>
      </c>
      <c r="E3102" t="s">
        <v>11163</v>
      </c>
      <c r="F3102" t="s">
        <v>11162</v>
      </c>
      <c r="G3102" s="1">
        <v>15909</v>
      </c>
      <c r="H3102" s="2">
        <v>10040513.189999999</v>
      </c>
      <c r="I3102" s="2">
        <v>14318100</v>
      </c>
      <c r="J3102" s="2">
        <v>0</v>
      </c>
      <c r="K3102" s="2">
        <v>396787.89</v>
      </c>
      <c r="L3102" s="2">
        <v>14714887.890000001</v>
      </c>
      <c r="M3102" s="3">
        <v>90000</v>
      </c>
      <c r="N3102" s="4">
        <v>3.3477949999999999E-2</v>
      </c>
      <c r="O3102" s="5" t="s">
        <v>44</v>
      </c>
      <c r="P3102" s="5" t="s">
        <v>44</v>
      </c>
      <c r="Q3102" s="1"/>
      <c r="R3102" s="2"/>
      <c r="S3102" s="6"/>
      <c r="T3102" t="s">
        <v>10902</v>
      </c>
      <c r="U3102" t="s">
        <v>10902</v>
      </c>
      <c r="V3102" t="s">
        <v>11164</v>
      </c>
      <c r="W3102" t="s">
        <v>43</v>
      </c>
      <c r="X3102" t="s">
        <v>44</v>
      </c>
      <c r="Y3102" t="s">
        <v>44</v>
      </c>
      <c r="Z3102" t="s">
        <v>44</v>
      </c>
      <c r="AA3102" t="s">
        <v>10979</v>
      </c>
      <c r="AB3102" t="s">
        <v>44</v>
      </c>
      <c r="AC3102" s="4"/>
      <c r="AD3102" s="4"/>
      <c r="AE3102" s="2">
        <v>0</v>
      </c>
      <c r="AF3102" s="4">
        <v>0</v>
      </c>
      <c r="AG3102" s="2">
        <v>2.58</v>
      </c>
      <c r="AH3102" s="2">
        <v>14714887.890000001</v>
      </c>
      <c r="AI3102" s="2">
        <v>0.03</v>
      </c>
      <c r="AJ3102" s="5">
        <v>44673</v>
      </c>
      <c r="AK3102" t="s">
        <v>12616</v>
      </c>
      <c r="AL3102" s="2">
        <v>0</v>
      </c>
      <c r="AM3102" s="2">
        <v>0</v>
      </c>
      <c r="AN3102" s="2">
        <v>0</v>
      </c>
      <c r="AO3102" t="s">
        <v>11165</v>
      </c>
      <c r="AP3102" t="s">
        <v>11166</v>
      </c>
      <c r="AQ3102" t="s">
        <v>11163</v>
      </c>
    </row>
    <row r="3103" spans="1:43" x14ac:dyDescent="0.2">
      <c r="A3103" t="s">
        <v>12615</v>
      </c>
      <c r="B3103" t="s">
        <v>11160</v>
      </c>
      <c r="C3103" t="s">
        <v>11161</v>
      </c>
      <c r="D3103" t="s">
        <v>11654</v>
      </c>
      <c r="E3103" t="s">
        <v>11655</v>
      </c>
      <c r="F3103" t="s">
        <v>11654</v>
      </c>
      <c r="G3103" s="1">
        <v>80901</v>
      </c>
      <c r="H3103" s="2">
        <v>6170289.5700000003</v>
      </c>
      <c r="I3103" s="2">
        <v>7757596.8899999997</v>
      </c>
      <c r="J3103" s="2">
        <v>0</v>
      </c>
      <c r="K3103" s="2">
        <v>0</v>
      </c>
      <c r="L3103" s="2">
        <v>7757596.8899999997</v>
      </c>
      <c r="M3103" s="3">
        <v>9589</v>
      </c>
      <c r="N3103" s="4">
        <v>1.7649370000000001E-2</v>
      </c>
      <c r="O3103" s="5" t="s">
        <v>44</v>
      </c>
      <c r="P3103" s="5" t="s">
        <v>44</v>
      </c>
      <c r="Q3103" s="1"/>
      <c r="R3103" s="2"/>
      <c r="S3103" s="6"/>
      <c r="T3103" t="s">
        <v>10902</v>
      </c>
      <c r="U3103" t="s">
        <v>10902</v>
      </c>
      <c r="V3103" t="s">
        <v>11164</v>
      </c>
      <c r="W3103" t="s">
        <v>43</v>
      </c>
      <c r="X3103" t="s">
        <v>44</v>
      </c>
      <c r="Y3103" t="s">
        <v>44</v>
      </c>
      <c r="Z3103" t="s">
        <v>44</v>
      </c>
      <c r="AA3103" t="s">
        <v>10979</v>
      </c>
      <c r="AB3103" t="s">
        <v>44</v>
      </c>
      <c r="AC3103" s="4"/>
      <c r="AD3103" s="4"/>
      <c r="AE3103" s="2">
        <v>0</v>
      </c>
      <c r="AF3103" s="4">
        <v>0</v>
      </c>
      <c r="AG3103" s="2">
        <v>1.36</v>
      </c>
      <c r="AH3103" s="2">
        <v>7757596.8899999997</v>
      </c>
      <c r="AI3103" s="2">
        <v>0.02</v>
      </c>
      <c r="AJ3103" s="5">
        <v>44673</v>
      </c>
      <c r="AK3103" t="s">
        <v>12616</v>
      </c>
      <c r="AL3103" s="2">
        <v>0</v>
      </c>
      <c r="AM3103" s="2">
        <v>0</v>
      </c>
      <c r="AN3103" s="2">
        <v>0</v>
      </c>
      <c r="AO3103" t="s">
        <v>11054</v>
      </c>
      <c r="AP3103" t="s">
        <v>11656</v>
      </c>
      <c r="AQ3103" t="s">
        <v>11655</v>
      </c>
    </row>
    <row r="3104" spans="1:43" x14ac:dyDescent="0.2">
      <c r="A3104" t="s">
        <v>12615</v>
      </c>
      <c r="B3104" t="s">
        <v>11160</v>
      </c>
      <c r="C3104" t="s">
        <v>11161</v>
      </c>
      <c r="D3104" t="s">
        <v>11176</v>
      </c>
      <c r="E3104" t="s">
        <v>11177</v>
      </c>
      <c r="F3104" t="s">
        <v>11178</v>
      </c>
      <c r="G3104" s="1">
        <v>66810</v>
      </c>
      <c r="H3104" s="2">
        <v>5340539.3099999996</v>
      </c>
      <c r="I3104" s="2">
        <v>6172575.9000000004</v>
      </c>
      <c r="J3104" s="2">
        <v>0</v>
      </c>
      <c r="K3104" s="2">
        <v>0</v>
      </c>
      <c r="L3104" s="2">
        <v>6172575.9000000004</v>
      </c>
      <c r="M3104" s="3">
        <v>9239</v>
      </c>
      <c r="N3104" s="4">
        <v>1.404327E-2</v>
      </c>
      <c r="O3104" s="5" t="s">
        <v>44</v>
      </c>
      <c r="P3104" s="5" t="s">
        <v>44</v>
      </c>
      <c r="Q3104" s="1"/>
      <c r="R3104" s="2"/>
      <c r="S3104" s="6"/>
      <c r="T3104" t="s">
        <v>10902</v>
      </c>
      <c r="U3104" t="s">
        <v>10902</v>
      </c>
      <c r="V3104" t="s">
        <v>11164</v>
      </c>
      <c r="W3104" t="s">
        <v>43</v>
      </c>
      <c r="X3104" t="s">
        <v>44</v>
      </c>
      <c r="Y3104" t="s">
        <v>44</v>
      </c>
      <c r="Z3104" t="s">
        <v>44</v>
      </c>
      <c r="AA3104" t="s">
        <v>10979</v>
      </c>
      <c r="AB3104" t="s">
        <v>44</v>
      </c>
      <c r="AC3104" s="4"/>
      <c r="AD3104" s="4"/>
      <c r="AE3104" s="2">
        <v>0</v>
      </c>
      <c r="AF3104" s="4">
        <v>0</v>
      </c>
      <c r="AG3104" s="2">
        <v>1.08</v>
      </c>
      <c r="AH3104" s="2">
        <v>6172575.9000000004</v>
      </c>
      <c r="AI3104" s="2">
        <v>0.01</v>
      </c>
      <c r="AJ3104" s="5">
        <v>44673</v>
      </c>
      <c r="AK3104" t="s">
        <v>12616</v>
      </c>
      <c r="AL3104" s="2">
        <v>0</v>
      </c>
      <c r="AM3104" s="2">
        <v>0</v>
      </c>
      <c r="AN3104" s="2">
        <v>0</v>
      </c>
      <c r="AO3104" t="s">
        <v>11179</v>
      </c>
      <c r="AP3104" t="s">
        <v>11180</v>
      </c>
      <c r="AQ3104" t="s">
        <v>11177</v>
      </c>
    </row>
    <row r="3105" spans="1:43" x14ac:dyDescent="0.2">
      <c r="A3105" t="s">
        <v>12629</v>
      </c>
      <c r="B3105" t="s">
        <v>10900</v>
      </c>
      <c r="C3105" t="s">
        <v>11033</v>
      </c>
      <c r="D3105" t="s">
        <v>12630</v>
      </c>
      <c r="E3105" t="s">
        <v>12631</v>
      </c>
      <c r="F3105" t="s">
        <v>12630</v>
      </c>
      <c r="G3105" s="1">
        <v>820000</v>
      </c>
      <c r="H3105" s="2">
        <v>848202.5</v>
      </c>
      <c r="I3105" s="2">
        <v>833604.78</v>
      </c>
      <c r="J3105" s="2">
        <v>35953.74</v>
      </c>
      <c r="K3105" s="2">
        <v>0</v>
      </c>
      <c r="L3105" s="2">
        <v>869558.52</v>
      </c>
      <c r="M3105" s="3">
        <v>9.7249999999999996</v>
      </c>
      <c r="N3105" s="4">
        <v>1.9783399999999999E-3</v>
      </c>
      <c r="O3105" s="5">
        <v>44704</v>
      </c>
      <c r="P3105" s="5">
        <v>45617</v>
      </c>
      <c r="Q3105" s="1">
        <v>10.46</v>
      </c>
      <c r="R3105" s="2">
        <v>2.23</v>
      </c>
      <c r="S3105" s="6">
        <v>2.1233215240000001</v>
      </c>
      <c r="T3105" t="s">
        <v>111</v>
      </c>
      <c r="U3105" t="s">
        <v>111</v>
      </c>
      <c r="V3105" t="s">
        <v>10944</v>
      </c>
      <c r="W3105" t="s">
        <v>43</v>
      </c>
      <c r="X3105" t="s">
        <v>44</v>
      </c>
      <c r="Y3105" t="s">
        <v>44</v>
      </c>
      <c r="Z3105" t="s">
        <v>44</v>
      </c>
      <c r="AA3105" t="s">
        <v>11441</v>
      </c>
      <c r="AB3105" t="s">
        <v>44</v>
      </c>
      <c r="AC3105" s="4">
        <v>9.96143906</v>
      </c>
      <c r="AD3105" s="4">
        <v>9.5336279000000008</v>
      </c>
      <c r="AE3105" s="2">
        <v>9.9600000000000009</v>
      </c>
      <c r="AF3105" s="4">
        <v>9.5336279000000008</v>
      </c>
      <c r="AG3105" s="2">
        <v>0.02</v>
      </c>
      <c r="AH3105" s="2">
        <v>869558.52</v>
      </c>
      <c r="AI3105" s="2">
        <v>0</v>
      </c>
      <c r="AJ3105" s="5">
        <v>44673</v>
      </c>
      <c r="AK3105" t="s">
        <v>12632</v>
      </c>
      <c r="AL3105" s="2">
        <v>9.7200000000000006</v>
      </c>
      <c r="AM3105" s="2">
        <v>10.46</v>
      </c>
      <c r="AN3105" s="2">
        <v>2.12</v>
      </c>
      <c r="AO3105" t="s">
        <v>11520</v>
      </c>
      <c r="AP3105" t="s">
        <v>12633</v>
      </c>
      <c r="AQ3105" t="s">
        <v>12631</v>
      </c>
    </row>
    <row r="3106" spans="1:43" x14ac:dyDescent="0.2">
      <c r="A3106" t="s">
        <v>12629</v>
      </c>
      <c r="B3106" t="s">
        <v>10900</v>
      </c>
      <c r="C3106" t="s">
        <v>11033</v>
      </c>
      <c r="D3106" t="s">
        <v>11187</v>
      </c>
      <c r="E3106" t="s">
        <v>11188</v>
      </c>
      <c r="F3106" t="s">
        <v>11187</v>
      </c>
      <c r="G3106" s="1">
        <v>1400000</v>
      </c>
      <c r="H3106" s="2">
        <v>1415512.28</v>
      </c>
      <c r="I3106" s="2">
        <v>1455570.62</v>
      </c>
      <c r="J3106" s="2">
        <v>1362.87</v>
      </c>
      <c r="K3106" s="2">
        <v>0</v>
      </c>
      <c r="L3106" s="2">
        <v>1456933.49</v>
      </c>
      <c r="M3106" s="3">
        <v>7.1638799999999998</v>
      </c>
      <c r="N3106" s="4">
        <v>3.31468E-3</v>
      </c>
      <c r="O3106" s="5">
        <v>44757</v>
      </c>
      <c r="P3106" s="5">
        <v>45672</v>
      </c>
      <c r="Q3106" s="1">
        <v>8.8829999999999991</v>
      </c>
      <c r="R3106" s="2">
        <v>0.22</v>
      </c>
      <c r="S3106" s="6">
        <v>0.20744314818000001</v>
      </c>
      <c r="T3106" t="s">
        <v>111</v>
      </c>
      <c r="U3106" t="s">
        <v>111</v>
      </c>
      <c r="V3106" t="s">
        <v>11189</v>
      </c>
      <c r="W3106" t="s">
        <v>43</v>
      </c>
      <c r="X3106" t="s">
        <v>11034</v>
      </c>
      <c r="Y3106" t="s">
        <v>44</v>
      </c>
      <c r="Z3106" t="s">
        <v>44</v>
      </c>
      <c r="AA3106" t="s">
        <v>11035</v>
      </c>
      <c r="AB3106" t="s">
        <v>44</v>
      </c>
      <c r="AC3106" s="4">
        <v>7.2921833700000001</v>
      </c>
      <c r="AD3106" s="4">
        <v>7.0592439100000002</v>
      </c>
      <c r="AE3106" s="2">
        <v>7.29</v>
      </c>
      <c r="AF3106" s="4">
        <v>7.0592439100000002</v>
      </c>
      <c r="AG3106" s="2">
        <v>0.04</v>
      </c>
      <c r="AH3106" s="2">
        <v>1456933.49</v>
      </c>
      <c r="AI3106" s="2">
        <v>0</v>
      </c>
      <c r="AJ3106" s="5">
        <v>44673</v>
      </c>
      <c r="AK3106" t="s">
        <v>12632</v>
      </c>
      <c r="AL3106" s="2">
        <v>7.16</v>
      </c>
      <c r="AM3106" s="2">
        <v>8.8800000000000008</v>
      </c>
      <c r="AN3106" s="2">
        <v>0.21</v>
      </c>
      <c r="AO3106" t="s">
        <v>11036</v>
      </c>
      <c r="AP3106" t="s">
        <v>11191</v>
      </c>
      <c r="AQ3106" t="s">
        <v>11188</v>
      </c>
    </row>
    <row r="3107" spans="1:43" x14ac:dyDescent="0.2">
      <c r="A3107" t="s">
        <v>12629</v>
      </c>
      <c r="B3107" t="s">
        <v>10900</v>
      </c>
      <c r="C3107" t="s">
        <v>11033</v>
      </c>
      <c r="D3107" t="s">
        <v>11192</v>
      </c>
      <c r="E3107" t="s">
        <v>11193</v>
      </c>
      <c r="F3107" t="s">
        <v>11192</v>
      </c>
      <c r="G3107" s="1">
        <v>2130000</v>
      </c>
      <c r="H3107" s="2">
        <v>2163240.35</v>
      </c>
      <c r="I3107" s="2">
        <v>2213616.4700000002</v>
      </c>
      <c r="J3107" s="2">
        <v>11767</v>
      </c>
      <c r="K3107" s="2">
        <v>0</v>
      </c>
      <c r="L3107" s="2">
        <v>2225383.4700000002</v>
      </c>
      <c r="M3107" s="3">
        <v>6.4487519999999998</v>
      </c>
      <c r="N3107" s="4">
        <v>5.0629899999999999E-3</v>
      </c>
      <c r="O3107" s="5">
        <v>44742</v>
      </c>
      <c r="P3107" s="5">
        <v>45379</v>
      </c>
      <c r="Q3107" s="1">
        <v>8.7669999999999995</v>
      </c>
      <c r="R3107" s="2">
        <v>0.18</v>
      </c>
      <c r="S3107" s="6">
        <v>0.176703783398</v>
      </c>
      <c r="T3107" t="s">
        <v>111</v>
      </c>
      <c r="U3107" t="s">
        <v>111</v>
      </c>
      <c r="V3107" t="s">
        <v>11189</v>
      </c>
      <c r="W3107" t="s">
        <v>43</v>
      </c>
      <c r="X3107" t="s">
        <v>11034</v>
      </c>
      <c r="Y3107" t="s">
        <v>44</v>
      </c>
      <c r="Z3107" t="s">
        <v>44</v>
      </c>
      <c r="AA3107" t="s">
        <v>10979</v>
      </c>
      <c r="AB3107" t="s">
        <v>44</v>
      </c>
      <c r="AC3107" s="4">
        <v>6.5527180200000004</v>
      </c>
      <c r="AD3107" s="4">
        <v>6.3637827900000001</v>
      </c>
      <c r="AE3107" s="2">
        <v>6.55</v>
      </c>
      <c r="AF3107" s="4">
        <v>6.3637827900000001</v>
      </c>
      <c r="AG3107" s="2">
        <v>0.06</v>
      </c>
      <c r="AH3107" s="2">
        <v>2225383.4700000002</v>
      </c>
      <c r="AI3107" s="2">
        <v>0.01</v>
      </c>
      <c r="AJ3107" s="5">
        <v>44673</v>
      </c>
      <c r="AK3107" t="s">
        <v>12632</v>
      </c>
      <c r="AL3107" s="2">
        <v>6.45</v>
      </c>
      <c r="AM3107" s="2">
        <v>8.77</v>
      </c>
      <c r="AN3107" s="2">
        <v>0.18</v>
      </c>
      <c r="AO3107" t="s">
        <v>11179</v>
      </c>
      <c r="AP3107" t="s">
        <v>11194</v>
      </c>
      <c r="AQ3107" t="s">
        <v>11193</v>
      </c>
    </row>
    <row r="3108" spans="1:43" x14ac:dyDescent="0.2">
      <c r="A3108" t="s">
        <v>12629</v>
      </c>
      <c r="B3108" t="s">
        <v>10900</v>
      </c>
      <c r="C3108" t="s">
        <v>11033</v>
      </c>
      <c r="D3108" t="s">
        <v>12634</v>
      </c>
      <c r="E3108" t="s">
        <v>12635</v>
      </c>
      <c r="F3108" t="s">
        <v>12634</v>
      </c>
      <c r="G3108" s="1">
        <v>800000</v>
      </c>
      <c r="H3108" s="2">
        <v>837344.83</v>
      </c>
      <c r="I3108" s="2">
        <v>840239.44</v>
      </c>
      <c r="J3108" s="2">
        <v>10487.67</v>
      </c>
      <c r="K3108" s="2">
        <v>0</v>
      </c>
      <c r="L3108" s="2">
        <v>850727.11</v>
      </c>
      <c r="M3108" s="3">
        <v>7.2</v>
      </c>
      <c r="N3108" s="4">
        <v>1.9354999999999999E-3</v>
      </c>
      <c r="O3108" s="5">
        <v>44809</v>
      </c>
      <c r="P3108" s="5">
        <v>45539</v>
      </c>
      <c r="Q3108" s="1">
        <v>9.57</v>
      </c>
      <c r="R3108" s="2">
        <v>2.15</v>
      </c>
      <c r="S3108" s="6">
        <v>2.0723389679999999</v>
      </c>
      <c r="T3108" t="s">
        <v>111</v>
      </c>
      <c r="U3108" t="s">
        <v>111</v>
      </c>
      <c r="V3108" t="s">
        <v>10944</v>
      </c>
      <c r="W3108" t="s">
        <v>43</v>
      </c>
      <c r="X3108" t="s">
        <v>44</v>
      </c>
      <c r="Y3108" t="s">
        <v>44</v>
      </c>
      <c r="Z3108" t="s">
        <v>44</v>
      </c>
      <c r="AA3108" t="s">
        <v>10979</v>
      </c>
      <c r="AB3108" t="s">
        <v>44</v>
      </c>
      <c r="AC3108" s="4">
        <v>7.3296000000000001</v>
      </c>
      <c r="AD3108" s="4">
        <v>7.09431704</v>
      </c>
      <c r="AE3108" s="2">
        <v>7.33</v>
      </c>
      <c r="AF3108" s="4">
        <v>7.09431704</v>
      </c>
      <c r="AG3108" s="2">
        <v>0.02</v>
      </c>
      <c r="AH3108" s="2">
        <v>850727.11</v>
      </c>
      <c r="AI3108" s="2">
        <v>0</v>
      </c>
      <c r="AJ3108" s="5">
        <v>44673</v>
      </c>
      <c r="AK3108" t="s">
        <v>12632</v>
      </c>
      <c r="AL3108" s="2">
        <v>7.2</v>
      </c>
      <c r="AM3108" s="2">
        <v>9.57</v>
      </c>
      <c r="AN3108" s="2">
        <v>2.0699999999999998</v>
      </c>
      <c r="AO3108" t="s">
        <v>11618</v>
      </c>
      <c r="AP3108" t="s">
        <v>12636</v>
      </c>
      <c r="AQ3108" t="s">
        <v>12635</v>
      </c>
    </row>
    <row r="3109" spans="1:43" x14ac:dyDescent="0.2">
      <c r="A3109" t="s">
        <v>12629</v>
      </c>
      <c r="B3109" t="s">
        <v>10900</v>
      </c>
      <c r="C3109" t="s">
        <v>10943</v>
      </c>
      <c r="D3109" t="s">
        <v>11251</v>
      </c>
      <c r="E3109" t="s">
        <v>11252</v>
      </c>
      <c r="F3109" t="s">
        <v>11251</v>
      </c>
      <c r="G3109" s="1">
        <v>172200000</v>
      </c>
      <c r="H3109" s="2">
        <v>168174950.88</v>
      </c>
      <c r="I3109" s="2">
        <v>163096629.78</v>
      </c>
      <c r="J3109" s="2">
        <v>6718158.9100000001</v>
      </c>
      <c r="K3109" s="2">
        <v>0</v>
      </c>
      <c r="L3109" s="2">
        <v>169814788.69</v>
      </c>
      <c r="M3109" s="3">
        <v>10.175000000000001</v>
      </c>
      <c r="N3109" s="4">
        <v>0.38634692999999998</v>
      </c>
      <c r="O3109" s="5">
        <v>44697</v>
      </c>
      <c r="P3109" s="5">
        <v>46705</v>
      </c>
      <c r="Q3109" s="1">
        <v>8.9</v>
      </c>
      <c r="R3109" s="2">
        <v>4.29</v>
      </c>
      <c r="S3109" s="6">
        <v>4.0791219989999998</v>
      </c>
      <c r="T3109" t="s">
        <v>111</v>
      </c>
      <c r="U3109" t="s">
        <v>111</v>
      </c>
      <c r="V3109" t="s">
        <v>10944</v>
      </c>
      <c r="W3109" t="s">
        <v>43</v>
      </c>
      <c r="X3109" t="s">
        <v>10988</v>
      </c>
      <c r="Y3109" t="s">
        <v>44</v>
      </c>
      <c r="Z3109" t="s">
        <v>44</v>
      </c>
      <c r="AA3109" t="s">
        <v>10979</v>
      </c>
      <c r="AB3109" t="s">
        <v>44</v>
      </c>
      <c r="AC3109" s="4">
        <v>10.43382656</v>
      </c>
      <c r="AD3109" s="4">
        <v>9.9657844200000003</v>
      </c>
      <c r="AE3109" s="2">
        <v>10.43</v>
      </c>
      <c r="AF3109" s="4">
        <v>9.9657844200000003</v>
      </c>
      <c r="AG3109" s="2">
        <v>4.34</v>
      </c>
      <c r="AH3109" s="2">
        <v>169814788.69</v>
      </c>
      <c r="AI3109" s="2">
        <v>0.39</v>
      </c>
      <c r="AJ3109" s="5">
        <v>44673</v>
      </c>
      <c r="AK3109" t="s">
        <v>12632</v>
      </c>
      <c r="AL3109" s="2">
        <v>10.18</v>
      </c>
      <c r="AM3109" s="2">
        <v>8.9</v>
      </c>
      <c r="AN3109" s="2">
        <v>4.08</v>
      </c>
      <c r="AO3109" t="s">
        <v>10982</v>
      </c>
      <c r="AP3109" t="s">
        <v>11253</v>
      </c>
      <c r="AQ3109" t="s">
        <v>11252</v>
      </c>
    </row>
    <row r="3110" spans="1:43" x14ac:dyDescent="0.2">
      <c r="A3110" t="s">
        <v>12629</v>
      </c>
      <c r="B3110" t="s">
        <v>10900</v>
      </c>
      <c r="C3110" t="s">
        <v>10943</v>
      </c>
      <c r="D3110" t="s">
        <v>11254</v>
      </c>
      <c r="E3110" t="s">
        <v>11255</v>
      </c>
      <c r="F3110" t="s">
        <v>11254</v>
      </c>
      <c r="G3110" s="1">
        <v>40680000</v>
      </c>
      <c r="H3110" s="2">
        <v>41867242.810000002</v>
      </c>
      <c r="I3110" s="2">
        <v>41266121.509999998</v>
      </c>
      <c r="J3110" s="2">
        <v>667040.55000000005</v>
      </c>
      <c r="K3110" s="2">
        <v>0</v>
      </c>
      <c r="L3110" s="2">
        <v>41933162.060000002</v>
      </c>
      <c r="M3110" s="3">
        <v>8.9849999999999994</v>
      </c>
      <c r="N3110" s="4">
        <v>9.5402459999999994E-2</v>
      </c>
      <c r="O3110" s="5">
        <v>44792</v>
      </c>
      <c r="P3110" s="5">
        <v>45888</v>
      </c>
      <c r="Q3110" s="1">
        <v>9.5</v>
      </c>
      <c r="R3110" s="2">
        <v>2.88</v>
      </c>
      <c r="S3110" s="6">
        <v>2.758619087</v>
      </c>
      <c r="T3110" t="s">
        <v>111</v>
      </c>
      <c r="U3110" t="s">
        <v>111</v>
      </c>
      <c r="V3110" t="s">
        <v>10944</v>
      </c>
      <c r="W3110" t="s">
        <v>43</v>
      </c>
      <c r="X3110" t="s">
        <v>10988</v>
      </c>
      <c r="Y3110" t="s">
        <v>44</v>
      </c>
      <c r="Z3110" t="s">
        <v>44</v>
      </c>
      <c r="AA3110" t="s">
        <v>10979</v>
      </c>
      <c r="AB3110" t="s">
        <v>44</v>
      </c>
      <c r="AC3110" s="4">
        <v>9.1868255600000008</v>
      </c>
      <c r="AD3110" s="4">
        <v>8.8212874400000008</v>
      </c>
      <c r="AE3110" s="2">
        <v>9.19</v>
      </c>
      <c r="AF3110" s="4">
        <v>8.8212874400000008</v>
      </c>
      <c r="AG3110" s="2">
        <v>1.07</v>
      </c>
      <c r="AH3110" s="2">
        <v>41933162.060000002</v>
      </c>
      <c r="AI3110" s="2">
        <v>0.1</v>
      </c>
      <c r="AJ3110" s="5">
        <v>44673</v>
      </c>
      <c r="AK3110" t="s">
        <v>12632</v>
      </c>
      <c r="AL3110" s="2">
        <v>8.99</v>
      </c>
      <c r="AM3110" s="2">
        <v>9.5</v>
      </c>
      <c r="AN3110" s="2">
        <v>2.76</v>
      </c>
      <c r="AO3110" t="s">
        <v>10982</v>
      </c>
      <c r="AP3110" t="s">
        <v>11256</v>
      </c>
      <c r="AQ3110" t="s">
        <v>11255</v>
      </c>
    </row>
    <row r="3111" spans="1:43" x14ac:dyDescent="0.2">
      <c r="A3111" t="s">
        <v>12629</v>
      </c>
      <c r="B3111" t="s">
        <v>10900</v>
      </c>
      <c r="C3111" t="s">
        <v>10950</v>
      </c>
      <c r="D3111" t="s">
        <v>11141</v>
      </c>
      <c r="E3111" t="s">
        <v>11142</v>
      </c>
      <c r="F3111" t="s">
        <v>11141</v>
      </c>
      <c r="G3111" s="1">
        <v>4479124000</v>
      </c>
      <c r="H3111" s="2">
        <v>3711148799.7199998</v>
      </c>
      <c r="I3111" s="2">
        <v>3681779011.9099998</v>
      </c>
      <c r="J3111" s="2">
        <v>57983180.539999999</v>
      </c>
      <c r="K3111" s="2">
        <v>0</v>
      </c>
      <c r="L3111" s="2">
        <v>3739762192.4499998</v>
      </c>
      <c r="M3111" s="3">
        <v>10.805</v>
      </c>
      <c r="N3111" s="4">
        <v>8.5083616299999996</v>
      </c>
      <c r="O3111" s="5">
        <v>44804</v>
      </c>
      <c r="P3111" s="5">
        <v>54116</v>
      </c>
      <c r="Q3111" s="1">
        <v>8.75</v>
      </c>
      <c r="R3111" s="2">
        <v>9.2200000000000006</v>
      </c>
      <c r="S3111" s="6">
        <v>8.7507641760000006</v>
      </c>
      <c r="T3111" t="s">
        <v>111</v>
      </c>
      <c r="U3111" t="s">
        <v>111</v>
      </c>
      <c r="V3111" t="s">
        <v>10944</v>
      </c>
      <c r="W3111" t="s">
        <v>43</v>
      </c>
      <c r="X3111" t="s">
        <v>10945</v>
      </c>
      <c r="Y3111" t="s">
        <v>44</v>
      </c>
      <c r="Z3111" t="s">
        <v>44</v>
      </c>
      <c r="AA3111" t="s">
        <v>10913</v>
      </c>
      <c r="AB3111" t="s">
        <v>44</v>
      </c>
      <c r="AC3111" s="4">
        <v>11.096870060000001</v>
      </c>
      <c r="AD3111" s="4">
        <v>10.56950999</v>
      </c>
      <c r="AE3111" s="2">
        <v>11.1</v>
      </c>
      <c r="AF3111" s="4">
        <v>10.56950999</v>
      </c>
      <c r="AG3111" s="2">
        <v>95.58</v>
      </c>
      <c r="AH3111" s="2">
        <v>3739762192.4499998</v>
      </c>
      <c r="AI3111" s="2">
        <v>8.51</v>
      </c>
      <c r="AJ3111" s="5">
        <v>44673</v>
      </c>
      <c r="AK3111" t="s">
        <v>12632</v>
      </c>
      <c r="AL3111" s="2">
        <v>10.8</v>
      </c>
      <c r="AM3111" s="2">
        <v>8.75</v>
      </c>
      <c r="AN3111" s="2">
        <v>8.75</v>
      </c>
      <c r="AO3111" t="s">
        <v>10922</v>
      </c>
      <c r="AP3111" t="s">
        <v>11143</v>
      </c>
      <c r="AQ3111" t="s">
        <v>11142</v>
      </c>
    </row>
    <row r="3112" spans="1:43" x14ac:dyDescent="0.2">
      <c r="A3112" t="s">
        <v>12629</v>
      </c>
      <c r="B3112" t="s">
        <v>10900</v>
      </c>
      <c r="C3112" t="s">
        <v>10950</v>
      </c>
      <c r="D3112" t="s">
        <v>10986</v>
      </c>
      <c r="E3112" t="s">
        <v>10987</v>
      </c>
      <c r="F3112" t="s">
        <v>10986</v>
      </c>
      <c r="G3112" s="1">
        <v>200000</v>
      </c>
      <c r="H3112" s="2">
        <v>182924.5</v>
      </c>
      <c r="I3112" s="2">
        <v>180885.22</v>
      </c>
      <c r="J3112" s="2">
        <v>824.66</v>
      </c>
      <c r="K3112" s="2">
        <v>0</v>
      </c>
      <c r="L3112" s="2">
        <v>181709.88</v>
      </c>
      <c r="M3112" s="3">
        <v>12.05</v>
      </c>
      <c r="N3112" s="4">
        <v>4.1341000000000001E-4</v>
      </c>
      <c r="O3112" s="5">
        <v>44844</v>
      </c>
      <c r="P3112" s="5">
        <v>51418</v>
      </c>
      <c r="Q3112" s="1">
        <v>10.75</v>
      </c>
      <c r="R3112" s="2">
        <v>7.89</v>
      </c>
      <c r="S3112" s="6">
        <v>7.4432483840000003</v>
      </c>
      <c r="T3112" t="s">
        <v>111</v>
      </c>
      <c r="U3112" t="s">
        <v>111</v>
      </c>
      <c r="V3112" t="s">
        <v>10944</v>
      </c>
      <c r="W3112" t="s">
        <v>43</v>
      </c>
      <c r="X3112" t="s">
        <v>10988</v>
      </c>
      <c r="Y3112" t="s">
        <v>44</v>
      </c>
      <c r="Z3112" t="s">
        <v>44</v>
      </c>
      <c r="AA3112" t="s">
        <v>10979</v>
      </c>
      <c r="AB3112" t="s">
        <v>44</v>
      </c>
      <c r="AC3112" s="4">
        <v>12.41300625</v>
      </c>
      <c r="AD3112" s="4">
        <v>11.758178470000001</v>
      </c>
      <c r="AE3112" s="2">
        <v>12.41</v>
      </c>
      <c r="AF3112" s="4">
        <v>11.758178470000001</v>
      </c>
      <c r="AG3112" s="2">
        <v>0</v>
      </c>
      <c r="AH3112" s="2">
        <v>181709.88</v>
      </c>
      <c r="AI3112" s="2">
        <v>0</v>
      </c>
      <c r="AJ3112" s="5">
        <v>44673</v>
      </c>
      <c r="AK3112" t="s">
        <v>12632</v>
      </c>
      <c r="AL3112" s="2">
        <v>12.05</v>
      </c>
      <c r="AM3112" s="2">
        <v>10.75</v>
      </c>
      <c r="AN3112" s="2">
        <v>7.44</v>
      </c>
      <c r="AO3112" t="s">
        <v>10982</v>
      </c>
      <c r="AP3112" t="s">
        <v>10989</v>
      </c>
      <c r="AQ3112" t="s">
        <v>10987</v>
      </c>
    </row>
    <row r="3113" spans="1:43" x14ac:dyDescent="0.2">
      <c r="A3113" t="s">
        <v>12629</v>
      </c>
      <c r="B3113" t="s">
        <v>10900</v>
      </c>
      <c r="C3113" t="s">
        <v>10990</v>
      </c>
      <c r="D3113" t="s">
        <v>12637</v>
      </c>
      <c r="E3113" t="s">
        <v>1176</v>
      </c>
      <c r="F3113" t="s">
        <v>12637</v>
      </c>
      <c r="G3113" s="1">
        <v>100000</v>
      </c>
      <c r="H3113" s="2">
        <v>310263.81</v>
      </c>
      <c r="I3113" s="2">
        <v>318545.82</v>
      </c>
      <c r="J3113" s="2">
        <v>6236.51</v>
      </c>
      <c r="K3113" s="2">
        <v>0</v>
      </c>
      <c r="L3113" s="2">
        <v>324782.33</v>
      </c>
      <c r="M3113" s="3">
        <v>2.0640000000000001</v>
      </c>
      <c r="N3113" s="4">
        <v>7.3890999999999996E-4</v>
      </c>
      <c r="O3113" s="5">
        <v>44719</v>
      </c>
      <c r="P3113" s="5">
        <v>45267</v>
      </c>
      <c r="Q3113" s="1">
        <v>5.5</v>
      </c>
      <c r="R3113" s="2">
        <v>1.54</v>
      </c>
      <c r="S3113" s="6">
        <v>1.5263685469999999</v>
      </c>
      <c r="T3113" t="s">
        <v>111</v>
      </c>
      <c r="U3113" t="s">
        <v>111</v>
      </c>
      <c r="V3113" t="s">
        <v>10992</v>
      </c>
      <c r="W3113" t="s">
        <v>43</v>
      </c>
      <c r="X3113" t="s">
        <v>10988</v>
      </c>
      <c r="Y3113" t="s">
        <v>44</v>
      </c>
      <c r="Z3113" t="s">
        <v>44</v>
      </c>
      <c r="AA3113" t="s">
        <v>10979</v>
      </c>
      <c r="AB3113" t="s">
        <v>44</v>
      </c>
      <c r="AC3113" s="4">
        <v>2.07465024</v>
      </c>
      <c r="AD3113" s="4">
        <v>2.05518037</v>
      </c>
      <c r="AE3113" s="2">
        <v>2.0699999999999998</v>
      </c>
      <c r="AF3113" s="4">
        <v>2.05518037</v>
      </c>
      <c r="AG3113" s="2">
        <v>0.01</v>
      </c>
      <c r="AH3113" s="2">
        <v>324782.33</v>
      </c>
      <c r="AI3113" s="2">
        <v>0</v>
      </c>
      <c r="AJ3113" s="5">
        <v>44673</v>
      </c>
      <c r="AK3113" t="s">
        <v>12632</v>
      </c>
      <c r="AL3113" s="2">
        <v>2.06</v>
      </c>
      <c r="AM3113" s="2">
        <v>5.5</v>
      </c>
      <c r="AN3113" s="2">
        <v>1.53</v>
      </c>
      <c r="AO3113" t="s">
        <v>11054</v>
      </c>
      <c r="AP3113" t="s">
        <v>12638</v>
      </c>
      <c r="AQ3113" t="s">
        <v>1176</v>
      </c>
    </row>
    <row r="3114" spans="1:43" x14ac:dyDescent="0.2">
      <c r="A3114" t="s">
        <v>12629</v>
      </c>
      <c r="B3114" t="s">
        <v>10900</v>
      </c>
      <c r="C3114" t="s">
        <v>10990</v>
      </c>
      <c r="D3114" t="s">
        <v>11065</v>
      </c>
      <c r="E3114" t="s">
        <v>11066</v>
      </c>
      <c r="F3114" t="s">
        <v>11065</v>
      </c>
      <c r="G3114" s="1">
        <v>9400000</v>
      </c>
      <c r="H3114" s="2">
        <v>13601278.960000001</v>
      </c>
      <c r="I3114" s="2">
        <v>13667335.300000001</v>
      </c>
      <c r="J3114" s="2">
        <v>67673.41</v>
      </c>
      <c r="K3114" s="2">
        <v>0</v>
      </c>
      <c r="L3114" s="2">
        <v>13735008.710000001</v>
      </c>
      <c r="M3114" s="3">
        <v>5.66</v>
      </c>
      <c r="N3114" s="4">
        <v>3.1248620000000001E-2</v>
      </c>
      <c r="O3114" s="5">
        <v>44774</v>
      </c>
      <c r="P3114" s="5">
        <v>45688</v>
      </c>
      <c r="Q3114" s="1">
        <v>2</v>
      </c>
      <c r="R3114" s="2">
        <v>2.69</v>
      </c>
      <c r="S3114" s="6">
        <v>2.6158274349999999</v>
      </c>
      <c r="T3114" t="s">
        <v>111</v>
      </c>
      <c r="U3114" t="s">
        <v>111</v>
      </c>
      <c r="V3114" t="s">
        <v>10992</v>
      </c>
      <c r="W3114" t="s">
        <v>43</v>
      </c>
      <c r="X3114" t="s">
        <v>10945</v>
      </c>
      <c r="Y3114" t="s">
        <v>44</v>
      </c>
      <c r="Z3114" t="s">
        <v>44</v>
      </c>
      <c r="AA3114" t="s">
        <v>11067</v>
      </c>
      <c r="AB3114" t="s">
        <v>44</v>
      </c>
      <c r="AC3114" s="4">
        <v>5.7400890000000002</v>
      </c>
      <c r="AD3114" s="4">
        <v>5.5943907700000004</v>
      </c>
      <c r="AE3114" s="2">
        <v>5.74</v>
      </c>
      <c r="AF3114" s="4">
        <v>5.5943907700000004</v>
      </c>
      <c r="AG3114" s="2">
        <v>0.35</v>
      </c>
      <c r="AH3114" s="2">
        <v>13735008.710000001</v>
      </c>
      <c r="AI3114" s="2">
        <v>0.03</v>
      </c>
      <c r="AJ3114" s="5">
        <v>44673</v>
      </c>
      <c r="AK3114" t="s">
        <v>12632</v>
      </c>
      <c r="AL3114" s="2">
        <v>5.66</v>
      </c>
      <c r="AM3114" s="2">
        <v>2</v>
      </c>
      <c r="AN3114" s="2">
        <v>2.62</v>
      </c>
      <c r="AO3114" t="s">
        <v>11068</v>
      </c>
      <c r="AP3114" t="s">
        <v>11069</v>
      </c>
      <c r="AQ3114" t="s">
        <v>11066</v>
      </c>
    </row>
    <row r="3115" spans="1:43" x14ac:dyDescent="0.2">
      <c r="A3115" t="s">
        <v>12629</v>
      </c>
      <c r="B3115" t="s">
        <v>45</v>
      </c>
      <c r="C3115" t="s">
        <v>11000</v>
      </c>
      <c r="D3115" t="s">
        <v>11421</v>
      </c>
      <c r="E3115" t="s">
        <v>11422</v>
      </c>
      <c r="F3115" t="s">
        <v>11421</v>
      </c>
      <c r="G3115" s="1">
        <v>0</v>
      </c>
      <c r="H3115" s="2">
        <v>0</v>
      </c>
      <c r="I3115" s="2">
        <v>0</v>
      </c>
      <c r="J3115" s="2">
        <v>18065.75</v>
      </c>
      <c r="K3115" s="2">
        <v>0</v>
      </c>
      <c r="L3115" s="2">
        <v>18065.75</v>
      </c>
      <c r="M3115" s="3">
        <v>4.2</v>
      </c>
      <c r="N3115" s="4">
        <v>4.1100000000000003E-5</v>
      </c>
      <c r="O3115" s="5" t="s">
        <v>44</v>
      </c>
      <c r="P3115" s="5">
        <v>55153</v>
      </c>
      <c r="Q3115" s="1">
        <v>4.2</v>
      </c>
      <c r="R3115" s="2">
        <v>0.08</v>
      </c>
      <c r="S3115" s="6">
        <v>2.5947269999999998E-3</v>
      </c>
      <c r="T3115" t="s">
        <v>112</v>
      </c>
      <c r="U3115" t="s">
        <v>46</v>
      </c>
      <c r="V3115" t="s">
        <v>11270</v>
      </c>
      <c r="W3115" t="s">
        <v>43</v>
      </c>
      <c r="X3115" t="s">
        <v>44</v>
      </c>
      <c r="Y3115" t="s">
        <v>44</v>
      </c>
      <c r="Z3115" t="s">
        <v>44</v>
      </c>
      <c r="AA3115" t="s">
        <v>10913</v>
      </c>
      <c r="AB3115" t="s">
        <v>44</v>
      </c>
      <c r="AC3115" s="4">
        <v>4.2819052299999996</v>
      </c>
      <c r="AD3115" s="4">
        <v>4.20010057</v>
      </c>
      <c r="AE3115" s="2">
        <v>4.28</v>
      </c>
      <c r="AF3115" s="4">
        <v>4.20010057</v>
      </c>
      <c r="AG3115" s="2">
        <v>0</v>
      </c>
      <c r="AH3115" s="2">
        <v>18065.75</v>
      </c>
      <c r="AI3115" s="2">
        <v>0</v>
      </c>
      <c r="AJ3115" s="5">
        <v>44673</v>
      </c>
      <c r="AK3115" t="s">
        <v>12632</v>
      </c>
      <c r="AL3115" s="2">
        <v>4.24</v>
      </c>
      <c r="AM3115" s="2">
        <v>4.2</v>
      </c>
      <c r="AN3115" s="2">
        <v>0</v>
      </c>
      <c r="AO3115" t="s">
        <v>11423</v>
      </c>
      <c r="AP3115" t="s">
        <v>44</v>
      </c>
      <c r="AQ3115" t="s">
        <v>11422</v>
      </c>
    </row>
    <row r="3116" spans="1:43" x14ac:dyDescent="0.2">
      <c r="A3116" t="s">
        <v>12629</v>
      </c>
      <c r="B3116" t="s">
        <v>45</v>
      </c>
      <c r="C3116" t="s">
        <v>11000</v>
      </c>
      <c r="D3116" t="s">
        <v>11424</v>
      </c>
      <c r="E3116" t="s">
        <v>11425</v>
      </c>
      <c r="F3116" t="s">
        <v>11424</v>
      </c>
      <c r="G3116" s="1">
        <v>5000000</v>
      </c>
      <c r="H3116" s="2">
        <v>5000000</v>
      </c>
      <c r="I3116" s="2">
        <v>5000000</v>
      </c>
      <c r="J3116" s="2">
        <v>12657.53</v>
      </c>
      <c r="K3116" s="2">
        <v>0</v>
      </c>
      <c r="L3116" s="2">
        <v>5012657.53</v>
      </c>
      <c r="M3116" s="3">
        <v>4.2</v>
      </c>
      <c r="N3116" s="4">
        <v>1.1404340000000001E-2</v>
      </c>
      <c r="O3116" s="5" t="s">
        <v>44</v>
      </c>
      <c r="P3116" s="5">
        <v>55153</v>
      </c>
      <c r="Q3116" s="1">
        <v>4.2</v>
      </c>
      <c r="R3116" s="2">
        <v>0.08</v>
      </c>
      <c r="S3116" s="6">
        <v>2.5986049999999999E-3</v>
      </c>
      <c r="T3116" t="s">
        <v>112</v>
      </c>
      <c r="U3116" t="s">
        <v>46</v>
      </c>
      <c r="V3116" t="s">
        <v>11270</v>
      </c>
      <c r="W3116" t="s">
        <v>43</v>
      </c>
      <c r="X3116" t="s">
        <v>44</v>
      </c>
      <c r="Y3116" t="s">
        <v>44</v>
      </c>
      <c r="Z3116" t="s">
        <v>44</v>
      </c>
      <c r="AA3116" t="s">
        <v>11035</v>
      </c>
      <c r="AB3116" t="s">
        <v>44</v>
      </c>
      <c r="AC3116" s="4">
        <v>4.2819052299999996</v>
      </c>
      <c r="AD3116" s="4">
        <v>4.20010057</v>
      </c>
      <c r="AE3116" s="2">
        <v>4.28</v>
      </c>
      <c r="AF3116" s="4">
        <v>4.20010057</v>
      </c>
      <c r="AG3116" s="2">
        <v>0.13</v>
      </c>
      <c r="AH3116" s="2">
        <v>5012657.53</v>
      </c>
      <c r="AI3116" s="2">
        <v>0.01</v>
      </c>
      <c r="AJ3116" s="5">
        <v>44673</v>
      </c>
      <c r="AK3116" t="s">
        <v>12632</v>
      </c>
      <c r="AL3116" s="2">
        <v>4.24</v>
      </c>
      <c r="AM3116" s="2">
        <v>4.2</v>
      </c>
      <c r="AN3116" s="2">
        <v>0</v>
      </c>
      <c r="AO3116" t="s">
        <v>11053</v>
      </c>
      <c r="AP3116" t="s">
        <v>44</v>
      </c>
      <c r="AQ3116" t="s">
        <v>11425</v>
      </c>
    </row>
    <row r="3117" spans="1:43" x14ac:dyDescent="0.2">
      <c r="A3117" t="s">
        <v>12629</v>
      </c>
      <c r="B3117" t="s">
        <v>45</v>
      </c>
      <c r="C3117" t="s">
        <v>47</v>
      </c>
      <c r="D3117" t="s">
        <v>48</v>
      </c>
      <c r="E3117" t="s">
        <v>49</v>
      </c>
      <c r="F3117" t="s">
        <v>50</v>
      </c>
      <c r="G3117" s="1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5484.39</v>
      </c>
      <c r="M3117" s="3"/>
      <c r="N3117" s="4">
        <v>1.2480000000000001E-5</v>
      </c>
      <c r="O3117" s="5" t="s">
        <v>44</v>
      </c>
      <c r="P3117" s="5" t="s">
        <v>44</v>
      </c>
      <c r="Q3117" s="1"/>
      <c r="R3117" s="2">
        <v>0.08</v>
      </c>
      <c r="S3117" s="6"/>
      <c r="T3117" t="s">
        <v>45</v>
      </c>
      <c r="U3117" t="s">
        <v>46</v>
      </c>
      <c r="V3117" t="s">
        <v>44</v>
      </c>
      <c r="W3117" t="s">
        <v>43</v>
      </c>
      <c r="X3117" t="s">
        <v>44</v>
      </c>
      <c r="Y3117" t="s">
        <v>44</v>
      </c>
      <c r="Z3117" t="s">
        <v>44</v>
      </c>
      <c r="AA3117" t="s">
        <v>44</v>
      </c>
      <c r="AB3117" t="s">
        <v>44</v>
      </c>
      <c r="AC3117" s="4">
        <v>5.1163389600000002</v>
      </c>
      <c r="AD3117" s="4">
        <v>5.0001424999999999</v>
      </c>
      <c r="AE3117" s="2">
        <v>5.12</v>
      </c>
      <c r="AF3117" s="4">
        <v>5.0001424999999999</v>
      </c>
      <c r="AG3117" s="2">
        <v>0</v>
      </c>
      <c r="AH3117" s="2">
        <v>5484.39</v>
      </c>
      <c r="AI3117" s="2">
        <v>0</v>
      </c>
      <c r="AJ3117" s="5">
        <v>44673</v>
      </c>
      <c r="AK3117" t="s">
        <v>12632</v>
      </c>
      <c r="AL3117" s="2">
        <v>5.05</v>
      </c>
      <c r="AM3117" s="2">
        <v>0</v>
      </c>
      <c r="AN3117" s="2">
        <v>0</v>
      </c>
      <c r="AO3117" t="s">
        <v>44</v>
      </c>
      <c r="AP3117" t="s">
        <v>44</v>
      </c>
      <c r="AQ3117" t="s">
        <v>44</v>
      </c>
    </row>
    <row r="3118" spans="1:43" x14ac:dyDescent="0.2">
      <c r="A3118" t="s">
        <v>12629</v>
      </c>
      <c r="B3118" t="s">
        <v>45</v>
      </c>
      <c r="C3118" t="s">
        <v>47</v>
      </c>
      <c r="D3118" t="s">
        <v>51</v>
      </c>
      <c r="E3118" t="s">
        <v>52</v>
      </c>
      <c r="F3118" t="s">
        <v>51</v>
      </c>
      <c r="G3118" s="1">
        <v>1954796.32</v>
      </c>
      <c r="H3118" s="2">
        <v>1954796.3</v>
      </c>
      <c r="I3118" s="2">
        <v>1954796.32</v>
      </c>
      <c r="J3118" s="2">
        <v>0</v>
      </c>
      <c r="K3118" s="2">
        <v>0</v>
      </c>
      <c r="L3118" s="2">
        <v>1954796.32</v>
      </c>
      <c r="M3118" s="3"/>
      <c r="N3118" s="4">
        <v>4.44737E-3</v>
      </c>
      <c r="O3118" s="5" t="s">
        <v>44</v>
      </c>
      <c r="P3118" s="5" t="s">
        <v>44</v>
      </c>
      <c r="Q3118" s="1"/>
      <c r="R3118" s="2">
        <v>0.08</v>
      </c>
      <c r="S3118" s="6"/>
      <c r="T3118" t="s">
        <v>45</v>
      </c>
      <c r="U3118" t="s">
        <v>53</v>
      </c>
      <c r="V3118" t="s">
        <v>44</v>
      </c>
      <c r="W3118" t="s">
        <v>43</v>
      </c>
      <c r="X3118" t="s">
        <v>44</v>
      </c>
      <c r="Y3118" t="s">
        <v>44</v>
      </c>
      <c r="Z3118" t="s">
        <v>44</v>
      </c>
      <c r="AA3118" t="s">
        <v>44</v>
      </c>
      <c r="AB3118" t="s">
        <v>44</v>
      </c>
      <c r="AC3118" s="4">
        <v>5.1163389600000002</v>
      </c>
      <c r="AD3118" s="4">
        <v>5.0001424999999999</v>
      </c>
      <c r="AE3118" s="2">
        <v>5.12</v>
      </c>
      <c r="AF3118" s="4">
        <v>5.0001424999999999</v>
      </c>
      <c r="AG3118" s="2">
        <v>0.05</v>
      </c>
      <c r="AH3118" s="2">
        <v>1954796.32</v>
      </c>
      <c r="AI3118" s="2">
        <v>0</v>
      </c>
      <c r="AJ3118" s="5">
        <v>44673</v>
      </c>
      <c r="AK3118" t="s">
        <v>12632</v>
      </c>
      <c r="AL3118" s="2">
        <v>5.05</v>
      </c>
      <c r="AM3118" s="2">
        <v>0</v>
      </c>
      <c r="AN3118" s="2">
        <v>0</v>
      </c>
      <c r="AO3118" t="s">
        <v>44</v>
      </c>
      <c r="AP3118" t="s">
        <v>44</v>
      </c>
      <c r="AQ3118" t="s">
        <v>43</v>
      </c>
    </row>
    <row r="3119" spans="1:43" x14ac:dyDescent="0.2">
      <c r="A3119" t="s">
        <v>12629</v>
      </c>
      <c r="B3119" t="s">
        <v>11038</v>
      </c>
      <c r="C3119" t="s">
        <v>11222</v>
      </c>
      <c r="D3119" t="s">
        <v>12639</v>
      </c>
      <c r="E3119" t="s">
        <v>12640</v>
      </c>
      <c r="F3119" t="s">
        <v>12639</v>
      </c>
      <c r="G3119" s="1">
        <v>300000</v>
      </c>
      <c r="H3119" s="2">
        <v>223444.21</v>
      </c>
      <c r="I3119" s="2">
        <v>244296.69</v>
      </c>
      <c r="J3119" s="2">
        <v>6234.25</v>
      </c>
      <c r="K3119" s="2">
        <v>0</v>
      </c>
      <c r="L3119" s="2">
        <v>250530.94</v>
      </c>
      <c r="M3119" s="3">
        <v>12.205</v>
      </c>
      <c r="N3119" s="4">
        <v>5.6997999999999999E-4</v>
      </c>
      <c r="O3119" s="5">
        <v>44774</v>
      </c>
      <c r="P3119" s="5">
        <v>49156</v>
      </c>
      <c r="Q3119" s="1">
        <v>9.25</v>
      </c>
      <c r="R3119" s="2">
        <v>6.88</v>
      </c>
      <c r="S3119" s="6">
        <v>6.4804337509999996</v>
      </c>
      <c r="T3119" t="s">
        <v>111</v>
      </c>
      <c r="U3119" t="s">
        <v>11040</v>
      </c>
      <c r="V3119" t="s">
        <v>114</v>
      </c>
      <c r="W3119" t="s">
        <v>43</v>
      </c>
      <c r="X3119" t="s">
        <v>10988</v>
      </c>
      <c r="Y3119" t="s">
        <v>44</v>
      </c>
      <c r="Z3119" t="s">
        <v>44</v>
      </c>
      <c r="AA3119" t="s">
        <v>11441</v>
      </c>
      <c r="AB3119" t="s">
        <v>44</v>
      </c>
      <c r="AC3119" s="4"/>
      <c r="AD3119" s="4"/>
      <c r="AE3119" s="2">
        <v>0</v>
      </c>
      <c r="AF3119" s="4">
        <v>0</v>
      </c>
      <c r="AG3119" s="2">
        <v>0.01</v>
      </c>
      <c r="AH3119" s="2">
        <v>250530.94</v>
      </c>
      <c r="AI3119" s="2">
        <v>0</v>
      </c>
      <c r="AJ3119" s="5">
        <v>44673</v>
      </c>
      <c r="AK3119" t="s">
        <v>12632</v>
      </c>
      <c r="AL3119" s="2">
        <v>0</v>
      </c>
      <c r="AM3119" s="2">
        <v>9.25</v>
      </c>
      <c r="AN3119" s="2">
        <v>6.48</v>
      </c>
      <c r="AO3119" t="s">
        <v>12641</v>
      </c>
      <c r="AP3119" t="s">
        <v>12642</v>
      </c>
      <c r="AQ3119" t="s">
        <v>12640</v>
      </c>
    </row>
    <row r="3120" spans="1:43" x14ac:dyDescent="0.2">
      <c r="A3120" t="s">
        <v>12643</v>
      </c>
      <c r="B3120" t="s">
        <v>10900</v>
      </c>
      <c r="C3120" t="s">
        <v>10943</v>
      </c>
      <c r="D3120" t="s">
        <v>10977</v>
      </c>
      <c r="E3120" t="s">
        <v>10978</v>
      </c>
      <c r="F3120" t="s">
        <v>10977</v>
      </c>
      <c r="G3120" s="1">
        <v>5987520</v>
      </c>
      <c r="H3120" s="2">
        <v>6075759.8300000001</v>
      </c>
      <c r="I3120" s="2">
        <v>5627503.5899999999</v>
      </c>
      <c r="J3120" s="2">
        <v>275562.89</v>
      </c>
      <c r="K3120" s="2">
        <v>0</v>
      </c>
      <c r="L3120" s="2">
        <v>5903066.4800000004</v>
      </c>
      <c r="M3120" s="3">
        <v>11.88</v>
      </c>
      <c r="N3120" s="4">
        <v>1.343011E-2</v>
      </c>
      <c r="O3120" s="5">
        <v>44697</v>
      </c>
      <c r="P3120" s="5">
        <v>46888</v>
      </c>
      <c r="Q3120" s="1">
        <v>10.565</v>
      </c>
      <c r="R3120" s="2">
        <v>4.7300000000000004</v>
      </c>
      <c r="S3120" s="6">
        <v>4.4668326030000003</v>
      </c>
      <c r="T3120" t="s">
        <v>111</v>
      </c>
      <c r="U3120" t="s">
        <v>111</v>
      </c>
      <c r="V3120" t="s">
        <v>10944</v>
      </c>
      <c r="W3120" t="s">
        <v>43</v>
      </c>
      <c r="X3120" t="s">
        <v>44</v>
      </c>
      <c r="Y3120" t="s">
        <v>44</v>
      </c>
      <c r="Z3120" t="s">
        <v>44</v>
      </c>
      <c r="AA3120" t="s">
        <v>10979</v>
      </c>
      <c r="AB3120" t="s">
        <v>44</v>
      </c>
      <c r="AC3120" s="4">
        <v>12.232836000000001</v>
      </c>
      <c r="AD3120" s="4">
        <v>11.596213730000001</v>
      </c>
      <c r="AE3120" s="2">
        <v>12.23</v>
      </c>
      <c r="AF3120" s="4">
        <v>11.596213730000001</v>
      </c>
      <c r="AG3120" s="2">
        <v>9.92</v>
      </c>
      <c r="AH3120" s="2">
        <v>5903066.4800000004</v>
      </c>
      <c r="AI3120" s="2">
        <v>0.01</v>
      </c>
      <c r="AJ3120" s="5">
        <v>44673</v>
      </c>
      <c r="AK3120" t="s">
        <v>12644</v>
      </c>
      <c r="AL3120" s="2">
        <v>11.88</v>
      </c>
      <c r="AM3120" s="2">
        <v>10.56</v>
      </c>
      <c r="AN3120" s="2">
        <v>4.47</v>
      </c>
      <c r="AO3120" t="s">
        <v>10980</v>
      </c>
      <c r="AP3120" t="s">
        <v>10981</v>
      </c>
      <c r="AQ3120" t="s">
        <v>10978</v>
      </c>
    </row>
    <row r="3121" spans="1:43" x14ac:dyDescent="0.2">
      <c r="A3121" t="s">
        <v>12643</v>
      </c>
      <c r="B3121" t="s">
        <v>10900</v>
      </c>
      <c r="C3121" t="s">
        <v>10950</v>
      </c>
      <c r="D3121" t="s">
        <v>11141</v>
      </c>
      <c r="E3121" t="s">
        <v>11142</v>
      </c>
      <c r="F3121" t="s">
        <v>11141</v>
      </c>
      <c r="G3121" s="1">
        <v>100000</v>
      </c>
      <c r="H3121" s="2">
        <v>81870.73</v>
      </c>
      <c r="I3121" s="2">
        <v>82198.64</v>
      </c>
      <c r="J3121" s="2">
        <v>1366.44</v>
      </c>
      <c r="K3121" s="2">
        <v>0</v>
      </c>
      <c r="L3121" s="2">
        <v>83565.08</v>
      </c>
      <c r="M3121" s="3">
        <v>10.805</v>
      </c>
      <c r="N3121" s="4">
        <v>1.9012E-4</v>
      </c>
      <c r="O3121" s="5">
        <v>44804</v>
      </c>
      <c r="P3121" s="5">
        <v>54116</v>
      </c>
      <c r="Q3121" s="1">
        <v>8.75</v>
      </c>
      <c r="R3121" s="2">
        <v>9.2200000000000006</v>
      </c>
      <c r="S3121" s="6">
        <v>8.7507641760000006</v>
      </c>
      <c r="T3121" t="s">
        <v>111</v>
      </c>
      <c r="U3121" t="s">
        <v>111</v>
      </c>
      <c r="V3121" t="s">
        <v>10944</v>
      </c>
      <c r="W3121" t="s">
        <v>43</v>
      </c>
      <c r="X3121" t="s">
        <v>10945</v>
      </c>
      <c r="Y3121" t="s">
        <v>44</v>
      </c>
      <c r="Z3121" t="s">
        <v>44</v>
      </c>
      <c r="AA3121" t="s">
        <v>10913</v>
      </c>
      <c r="AB3121" t="s">
        <v>44</v>
      </c>
      <c r="AC3121" s="4">
        <v>11.096870060000001</v>
      </c>
      <c r="AD3121" s="4">
        <v>10.56950999</v>
      </c>
      <c r="AE3121" s="2">
        <v>11.1</v>
      </c>
      <c r="AF3121" s="4">
        <v>10.56950999</v>
      </c>
      <c r="AG3121" s="2">
        <v>0.14000000000000001</v>
      </c>
      <c r="AH3121" s="2">
        <v>83565.08</v>
      </c>
      <c r="AI3121" s="2">
        <v>0</v>
      </c>
      <c r="AJ3121" s="5">
        <v>44673</v>
      </c>
      <c r="AK3121" t="s">
        <v>12644</v>
      </c>
      <c r="AL3121" s="2">
        <v>10.8</v>
      </c>
      <c r="AM3121" s="2">
        <v>8.75</v>
      </c>
      <c r="AN3121" s="2">
        <v>8.75</v>
      </c>
      <c r="AO3121" t="s">
        <v>10922</v>
      </c>
      <c r="AP3121" t="s">
        <v>11143</v>
      </c>
      <c r="AQ3121" t="s">
        <v>11142</v>
      </c>
    </row>
    <row r="3122" spans="1:43" x14ac:dyDescent="0.2">
      <c r="A3122" t="s">
        <v>12643</v>
      </c>
      <c r="B3122" t="s">
        <v>10900</v>
      </c>
      <c r="C3122" t="s">
        <v>10950</v>
      </c>
      <c r="D3122" t="s">
        <v>10983</v>
      </c>
      <c r="E3122" t="s">
        <v>10984</v>
      </c>
      <c r="F3122" t="s">
        <v>10983</v>
      </c>
      <c r="G3122" s="1">
        <v>100000</v>
      </c>
      <c r="H3122" s="2">
        <v>85128.26</v>
      </c>
      <c r="I3122" s="2">
        <v>83613.25</v>
      </c>
      <c r="J3122" s="2">
        <v>1839.73</v>
      </c>
      <c r="K3122" s="2">
        <v>0</v>
      </c>
      <c r="L3122" s="2">
        <v>85452.98</v>
      </c>
      <c r="M3122" s="3">
        <v>10.734999999999999</v>
      </c>
      <c r="N3122" s="4">
        <v>1.9441E-4</v>
      </c>
      <c r="O3122" s="5">
        <v>44774</v>
      </c>
      <c r="P3122" s="5">
        <v>50071</v>
      </c>
      <c r="Q3122" s="1">
        <v>8.5</v>
      </c>
      <c r="R3122" s="2">
        <v>7.91</v>
      </c>
      <c r="S3122" s="6">
        <v>7.5106016819999999</v>
      </c>
      <c r="T3122" t="s">
        <v>111</v>
      </c>
      <c r="U3122" t="s">
        <v>111</v>
      </c>
      <c r="V3122" t="s">
        <v>10944</v>
      </c>
      <c r="W3122" t="s">
        <v>43</v>
      </c>
      <c r="X3122" t="s">
        <v>10945</v>
      </c>
      <c r="Y3122" t="s">
        <v>44</v>
      </c>
      <c r="Z3122" t="s">
        <v>44</v>
      </c>
      <c r="AA3122" t="s">
        <v>10913</v>
      </c>
      <c r="AB3122" t="s">
        <v>44</v>
      </c>
      <c r="AC3122" s="4">
        <v>11.02310056</v>
      </c>
      <c r="AD3122" s="4">
        <v>10.50250368</v>
      </c>
      <c r="AE3122" s="2">
        <v>11.02</v>
      </c>
      <c r="AF3122" s="4">
        <v>10.50250368</v>
      </c>
      <c r="AG3122" s="2">
        <v>0.14000000000000001</v>
      </c>
      <c r="AH3122" s="2">
        <v>85452.98</v>
      </c>
      <c r="AI3122" s="2">
        <v>0</v>
      </c>
      <c r="AJ3122" s="5">
        <v>44673</v>
      </c>
      <c r="AK3122" t="s">
        <v>12644</v>
      </c>
      <c r="AL3122" s="2">
        <v>10.73</v>
      </c>
      <c r="AM3122" s="2">
        <v>8.5</v>
      </c>
      <c r="AN3122" s="2">
        <v>7.51</v>
      </c>
      <c r="AO3122" t="s">
        <v>10922</v>
      </c>
      <c r="AP3122" t="s">
        <v>10985</v>
      </c>
      <c r="AQ3122" t="s">
        <v>10984</v>
      </c>
    </row>
    <row r="3123" spans="1:43" x14ac:dyDescent="0.2">
      <c r="A3123" t="s">
        <v>12643</v>
      </c>
      <c r="B3123" t="s">
        <v>10900</v>
      </c>
      <c r="C3123" t="s">
        <v>10990</v>
      </c>
      <c r="D3123" t="s">
        <v>10991</v>
      </c>
      <c r="E3123" t="s">
        <v>1153</v>
      </c>
      <c r="F3123" t="s">
        <v>10991</v>
      </c>
      <c r="G3123" s="1">
        <v>1160000</v>
      </c>
      <c r="H3123" s="2">
        <v>1493598.16</v>
      </c>
      <c r="I3123" s="2">
        <v>1500005.37</v>
      </c>
      <c r="J3123" s="2">
        <v>9395.09</v>
      </c>
      <c r="K3123" s="2">
        <v>0</v>
      </c>
      <c r="L3123" s="2">
        <v>1509400.46</v>
      </c>
      <c r="M3123" s="3">
        <v>3.9</v>
      </c>
      <c r="N3123" s="4">
        <v>3.4340500000000001E-3</v>
      </c>
      <c r="O3123" s="5">
        <v>44774</v>
      </c>
      <c r="P3123" s="5">
        <v>50436</v>
      </c>
      <c r="Q3123" s="1">
        <v>2.25</v>
      </c>
      <c r="R3123" s="2">
        <v>12.94</v>
      </c>
      <c r="S3123" s="6">
        <v>12.689805079999999</v>
      </c>
      <c r="T3123" t="s">
        <v>111</v>
      </c>
      <c r="U3123" t="s">
        <v>111</v>
      </c>
      <c r="V3123" t="s">
        <v>10992</v>
      </c>
      <c r="W3123" t="s">
        <v>43</v>
      </c>
      <c r="X3123" t="s">
        <v>10945</v>
      </c>
      <c r="Y3123" t="s">
        <v>44</v>
      </c>
      <c r="Z3123" t="s">
        <v>44</v>
      </c>
      <c r="AA3123" t="s">
        <v>10913</v>
      </c>
      <c r="AB3123" t="s">
        <v>44</v>
      </c>
      <c r="AC3123" s="4">
        <v>3.9380250000000001</v>
      </c>
      <c r="AD3123" s="4">
        <v>3.8686849699999999</v>
      </c>
      <c r="AE3123" s="2">
        <v>3.94</v>
      </c>
      <c r="AF3123" s="4">
        <v>3.8686849699999999</v>
      </c>
      <c r="AG3123" s="2">
        <v>2.54</v>
      </c>
      <c r="AH3123" s="2">
        <v>1509400.46</v>
      </c>
      <c r="AI3123" s="2">
        <v>0</v>
      </c>
      <c r="AJ3123" s="5">
        <v>44673</v>
      </c>
      <c r="AK3123" t="s">
        <v>12644</v>
      </c>
      <c r="AL3123" s="2">
        <v>3.9</v>
      </c>
      <c r="AM3123" s="2">
        <v>2.25</v>
      </c>
      <c r="AN3123" s="2">
        <v>12.69</v>
      </c>
      <c r="AO3123" t="s">
        <v>10922</v>
      </c>
      <c r="AP3123" t="s">
        <v>10993</v>
      </c>
      <c r="AQ3123" t="s">
        <v>1153</v>
      </c>
    </row>
    <row r="3124" spans="1:43" x14ac:dyDescent="0.2">
      <c r="A3124" t="s">
        <v>12643</v>
      </c>
      <c r="B3124" t="s">
        <v>10900</v>
      </c>
      <c r="C3124" t="s">
        <v>10990</v>
      </c>
      <c r="D3124" t="s">
        <v>10994</v>
      </c>
      <c r="E3124" t="s">
        <v>1190</v>
      </c>
      <c r="F3124" t="s">
        <v>10994</v>
      </c>
      <c r="G3124" s="1">
        <v>1260000</v>
      </c>
      <c r="H3124" s="2">
        <v>1480822.56</v>
      </c>
      <c r="I3124" s="2">
        <v>1490750.38</v>
      </c>
      <c r="J3124" s="2">
        <v>2997.59</v>
      </c>
      <c r="K3124" s="2">
        <v>0</v>
      </c>
      <c r="L3124" s="2">
        <v>1493747.97</v>
      </c>
      <c r="M3124" s="3">
        <v>3.9</v>
      </c>
      <c r="N3124" s="4">
        <v>3.39844E-3</v>
      </c>
      <c r="O3124" s="5">
        <v>44834</v>
      </c>
      <c r="P3124" s="5">
        <v>53417</v>
      </c>
      <c r="Q3124" s="1">
        <v>2.5</v>
      </c>
      <c r="R3124" s="2">
        <v>17.22</v>
      </c>
      <c r="S3124" s="6">
        <v>16.886631569999999</v>
      </c>
      <c r="T3124" t="s">
        <v>111</v>
      </c>
      <c r="U3124" t="s">
        <v>111</v>
      </c>
      <c r="V3124" t="s">
        <v>10992</v>
      </c>
      <c r="W3124" t="s">
        <v>43</v>
      </c>
      <c r="X3124" t="s">
        <v>10945</v>
      </c>
      <c r="Y3124" t="s">
        <v>44</v>
      </c>
      <c r="Z3124" t="s">
        <v>44</v>
      </c>
      <c r="AA3124" t="s">
        <v>10913</v>
      </c>
      <c r="AB3124" t="s">
        <v>44</v>
      </c>
      <c r="AC3124" s="4">
        <v>3.9380250000000001</v>
      </c>
      <c r="AD3124" s="4">
        <v>3.8686849699999999</v>
      </c>
      <c r="AE3124" s="2">
        <v>3.94</v>
      </c>
      <c r="AF3124" s="4">
        <v>3.8686849699999999</v>
      </c>
      <c r="AG3124" s="2">
        <v>2.5099999999999998</v>
      </c>
      <c r="AH3124" s="2">
        <v>1493747.97</v>
      </c>
      <c r="AI3124" s="2">
        <v>0</v>
      </c>
      <c r="AJ3124" s="5">
        <v>44673</v>
      </c>
      <c r="AK3124" t="s">
        <v>12644</v>
      </c>
      <c r="AL3124" s="2">
        <v>3.9</v>
      </c>
      <c r="AM3124" s="2">
        <v>2.5</v>
      </c>
      <c r="AN3124" s="2">
        <v>16.89</v>
      </c>
      <c r="AO3124" t="s">
        <v>10922</v>
      </c>
      <c r="AP3124" t="s">
        <v>10995</v>
      </c>
      <c r="AQ3124" t="s">
        <v>1190</v>
      </c>
    </row>
    <row r="3125" spans="1:43" x14ac:dyDescent="0.2">
      <c r="A3125" t="s">
        <v>12643</v>
      </c>
      <c r="B3125" t="s">
        <v>10900</v>
      </c>
      <c r="C3125" t="s">
        <v>10990</v>
      </c>
      <c r="D3125" t="s">
        <v>10996</v>
      </c>
      <c r="E3125" t="s">
        <v>1160</v>
      </c>
      <c r="F3125" t="s">
        <v>10996</v>
      </c>
      <c r="G3125" s="1">
        <v>1330000</v>
      </c>
      <c r="H3125" s="2">
        <v>1616304.52</v>
      </c>
      <c r="I3125" s="2">
        <v>1617292.89</v>
      </c>
      <c r="J3125" s="2">
        <v>16478.47</v>
      </c>
      <c r="K3125" s="2">
        <v>0</v>
      </c>
      <c r="L3125" s="2">
        <v>1633771.36</v>
      </c>
      <c r="M3125" s="3">
        <v>3.9</v>
      </c>
      <c r="N3125" s="4">
        <v>3.7170100000000002E-3</v>
      </c>
      <c r="O3125" s="5">
        <v>44742</v>
      </c>
      <c r="P3125" s="5">
        <v>55153</v>
      </c>
      <c r="Q3125" s="1">
        <v>2.5</v>
      </c>
      <c r="R3125" s="2">
        <v>19.05</v>
      </c>
      <c r="S3125" s="6">
        <v>18.689623709999999</v>
      </c>
      <c r="T3125" t="s">
        <v>111</v>
      </c>
      <c r="U3125" t="s">
        <v>111</v>
      </c>
      <c r="V3125" t="s">
        <v>10992</v>
      </c>
      <c r="W3125" t="s">
        <v>43</v>
      </c>
      <c r="X3125" t="s">
        <v>10945</v>
      </c>
      <c r="Y3125" t="s">
        <v>44</v>
      </c>
      <c r="Z3125" t="s">
        <v>44</v>
      </c>
      <c r="AA3125" t="s">
        <v>10913</v>
      </c>
      <c r="AB3125" t="s">
        <v>44</v>
      </c>
      <c r="AC3125" s="4">
        <v>3.9380250000000001</v>
      </c>
      <c r="AD3125" s="4">
        <v>3.8686849699999999</v>
      </c>
      <c r="AE3125" s="2">
        <v>3.94</v>
      </c>
      <c r="AF3125" s="4">
        <v>3.8686849699999999</v>
      </c>
      <c r="AG3125" s="2">
        <v>2.74</v>
      </c>
      <c r="AH3125" s="2">
        <v>1633771.36</v>
      </c>
      <c r="AI3125" s="2">
        <v>0</v>
      </c>
      <c r="AJ3125" s="5">
        <v>44673</v>
      </c>
      <c r="AK3125" t="s">
        <v>12644</v>
      </c>
      <c r="AL3125" s="2">
        <v>3.9</v>
      </c>
      <c r="AM3125" s="2">
        <v>2.5</v>
      </c>
      <c r="AN3125" s="2">
        <v>18.690000000000001</v>
      </c>
      <c r="AO3125" t="s">
        <v>10922</v>
      </c>
      <c r="AP3125" t="s">
        <v>10997</v>
      </c>
      <c r="AQ3125" t="s">
        <v>1160</v>
      </c>
    </row>
    <row r="3126" spans="1:43" x14ac:dyDescent="0.2">
      <c r="A3126" t="s">
        <v>12643</v>
      </c>
      <c r="B3126" t="s">
        <v>10900</v>
      </c>
      <c r="C3126" t="s">
        <v>10990</v>
      </c>
      <c r="D3126" t="s">
        <v>10998</v>
      </c>
      <c r="E3126" t="s">
        <v>1197</v>
      </c>
      <c r="F3126" t="s">
        <v>10998</v>
      </c>
      <c r="G3126" s="1">
        <v>1260000</v>
      </c>
      <c r="H3126" s="2">
        <v>1430166.27</v>
      </c>
      <c r="I3126" s="2">
        <v>1425985.02</v>
      </c>
      <c r="J3126" s="2">
        <v>4774.24</v>
      </c>
      <c r="K3126" s="2">
        <v>0</v>
      </c>
      <c r="L3126" s="2">
        <v>1430759.26</v>
      </c>
      <c r="M3126" s="3">
        <v>3.82</v>
      </c>
      <c r="N3126" s="4">
        <v>3.2551300000000002E-3</v>
      </c>
      <c r="O3126" s="5">
        <v>44804</v>
      </c>
      <c r="P3126" s="5">
        <v>48638</v>
      </c>
      <c r="Q3126" s="1">
        <v>1.875</v>
      </c>
      <c r="R3126" s="2">
        <v>9.7100000000000009</v>
      </c>
      <c r="S3126" s="6">
        <v>9.5277218819999998</v>
      </c>
      <c r="T3126" t="s">
        <v>111</v>
      </c>
      <c r="U3126" t="s">
        <v>111</v>
      </c>
      <c r="V3126" t="s">
        <v>10992</v>
      </c>
      <c r="W3126" t="s">
        <v>43</v>
      </c>
      <c r="X3126" t="s">
        <v>10945</v>
      </c>
      <c r="Y3126" t="s">
        <v>44</v>
      </c>
      <c r="Z3126" t="s">
        <v>44</v>
      </c>
      <c r="AA3126" t="s">
        <v>10913</v>
      </c>
      <c r="AB3126" t="s">
        <v>44</v>
      </c>
      <c r="AC3126" s="4">
        <v>3.856481</v>
      </c>
      <c r="AD3126" s="4">
        <v>3.7899492800000001</v>
      </c>
      <c r="AE3126" s="2">
        <v>3.86</v>
      </c>
      <c r="AF3126" s="4">
        <v>3.7899492800000001</v>
      </c>
      <c r="AG3126" s="2">
        <v>2.4</v>
      </c>
      <c r="AH3126" s="2">
        <v>1430759.26</v>
      </c>
      <c r="AI3126" s="2">
        <v>0</v>
      </c>
      <c r="AJ3126" s="5">
        <v>44673</v>
      </c>
      <c r="AK3126" t="s">
        <v>12644</v>
      </c>
      <c r="AL3126" s="2">
        <v>3.82</v>
      </c>
      <c r="AM3126" s="2">
        <v>1.88</v>
      </c>
      <c r="AN3126" s="2">
        <v>9.5299999999999994</v>
      </c>
      <c r="AO3126" t="s">
        <v>10922</v>
      </c>
      <c r="AP3126" t="s">
        <v>10999</v>
      </c>
      <c r="AQ3126" t="s">
        <v>1197</v>
      </c>
    </row>
    <row r="3127" spans="1:43" x14ac:dyDescent="0.2">
      <c r="A3127" t="s">
        <v>12643</v>
      </c>
      <c r="B3127" t="s">
        <v>45</v>
      </c>
      <c r="C3127" t="s">
        <v>11000</v>
      </c>
      <c r="D3127" t="s">
        <v>11001</v>
      </c>
      <c r="E3127" t="s">
        <v>11002</v>
      </c>
      <c r="F3127" t="s">
        <v>11001</v>
      </c>
      <c r="G3127" s="1">
        <v>3559287.8522999999</v>
      </c>
      <c r="H3127" s="2">
        <v>3559287.85</v>
      </c>
      <c r="I3127" s="2">
        <v>3559287.85</v>
      </c>
      <c r="J3127" s="2">
        <v>7801.29</v>
      </c>
      <c r="K3127" s="2">
        <v>0</v>
      </c>
      <c r="L3127" s="2">
        <v>3567089.14</v>
      </c>
      <c r="M3127" s="3"/>
      <c r="N3127" s="4">
        <v>8.1155099999999994E-3</v>
      </c>
      <c r="O3127" s="5">
        <v>40756</v>
      </c>
      <c r="P3127" s="5">
        <v>73020</v>
      </c>
      <c r="Q3127" s="1">
        <v>0</v>
      </c>
      <c r="R3127" s="2"/>
      <c r="S3127" s="6"/>
      <c r="T3127" t="s">
        <v>111</v>
      </c>
      <c r="U3127" t="s">
        <v>11003</v>
      </c>
      <c r="V3127" t="s">
        <v>46</v>
      </c>
      <c r="W3127" t="s">
        <v>43</v>
      </c>
      <c r="X3127" t="s">
        <v>44</v>
      </c>
      <c r="Y3127" t="s">
        <v>44</v>
      </c>
      <c r="Z3127" t="s">
        <v>44</v>
      </c>
      <c r="AA3127" t="s">
        <v>44</v>
      </c>
      <c r="AB3127" t="s">
        <v>44</v>
      </c>
      <c r="AC3127" s="4"/>
      <c r="AD3127" s="4"/>
      <c r="AE3127" s="2">
        <v>0</v>
      </c>
      <c r="AF3127" s="4">
        <v>0</v>
      </c>
      <c r="AG3127" s="2">
        <v>5.99</v>
      </c>
      <c r="AH3127" s="2">
        <v>3567089.14</v>
      </c>
      <c r="AI3127" s="2">
        <v>0.01</v>
      </c>
      <c r="AJ3127" s="5">
        <v>44673</v>
      </c>
      <c r="AK3127" t="s">
        <v>12644</v>
      </c>
      <c r="AL3127" s="2">
        <v>0</v>
      </c>
      <c r="AM3127" s="2">
        <v>0</v>
      </c>
      <c r="AN3127" s="2">
        <v>0</v>
      </c>
      <c r="AO3127" t="s">
        <v>44</v>
      </c>
      <c r="AP3127" t="s">
        <v>11004</v>
      </c>
      <c r="AQ3127" t="s">
        <v>11002</v>
      </c>
    </row>
    <row r="3128" spans="1:43" x14ac:dyDescent="0.2">
      <c r="A3128" t="s">
        <v>12643</v>
      </c>
      <c r="B3128" t="s">
        <v>45</v>
      </c>
      <c r="C3128" t="s">
        <v>11144</v>
      </c>
      <c r="D3128" t="s">
        <v>11145</v>
      </c>
      <c r="E3128" t="s">
        <v>11146</v>
      </c>
      <c r="F3128" t="s">
        <v>11147</v>
      </c>
      <c r="G3128" s="1">
        <v>1874129</v>
      </c>
      <c r="H3128" s="2">
        <v>1874129</v>
      </c>
      <c r="I3128" s="2">
        <v>1874129</v>
      </c>
      <c r="J3128" s="2">
        <v>6296.39</v>
      </c>
      <c r="K3128" s="2">
        <v>0</v>
      </c>
      <c r="L3128" s="2">
        <v>1880425.39</v>
      </c>
      <c r="M3128" s="3">
        <v>6.88</v>
      </c>
      <c r="N3128" s="4">
        <v>4.2781700000000004E-3</v>
      </c>
      <c r="O3128" s="5" t="s">
        <v>44</v>
      </c>
      <c r="P3128" s="5">
        <v>55153</v>
      </c>
      <c r="Q3128" s="1">
        <v>6.88</v>
      </c>
      <c r="R3128" s="2">
        <v>0.08</v>
      </c>
      <c r="S3128" s="6">
        <v>2.6006750000000002E-3</v>
      </c>
      <c r="T3128" t="s">
        <v>112</v>
      </c>
      <c r="U3128" t="s">
        <v>46</v>
      </c>
      <c r="V3128" t="s">
        <v>11148</v>
      </c>
      <c r="W3128" t="s">
        <v>43</v>
      </c>
      <c r="X3128" t="s">
        <v>44</v>
      </c>
      <c r="Y3128" t="s">
        <v>44</v>
      </c>
      <c r="Z3128" t="s">
        <v>44</v>
      </c>
      <c r="AA3128" t="s">
        <v>44</v>
      </c>
      <c r="AB3128" t="s">
        <v>44</v>
      </c>
      <c r="AC3128" s="4"/>
      <c r="AD3128" s="4"/>
      <c r="AE3128" s="2">
        <v>0</v>
      </c>
      <c r="AF3128" s="4">
        <v>0</v>
      </c>
      <c r="AG3128" s="2">
        <v>3.16</v>
      </c>
      <c r="AH3128" s="2">
        <v>1880425.39</v>
      </c>
      <c r="AI3128" s="2">
        <v>0</v>
      </c>
      <c r="AJ3128" s="5">
        <v>44673</v>
      </c>
      <c r="AK3128" t="s">
        <v>12644</v>
      </c>
      <c r="AL3128" s="2">
        <v>0</v>
      </c>
      <c r="AM3128" s="2">
        <v>6.88</v>
      </c>
      <c r="AN3128" s="2">
        <v>0</v>
      </c>
      <c r="AO3128" t="s">
        <v>11146</v>
      </c>
      <c r="AP3128" t="s">
        <v>44</v>
      </c>
      <c r="AQ3128" t="s">
        <v>11146</v>
      </c>
    </row>
    <row r="3129" spans="1:43" x14ac:dyDescent="0.2">
      <c r="A3129" t="s">
        <v>12643</v>
      </c>
      <c r="B3129" t="s">
        <v>45</v>
      </c>
      <c r="C3129" t="s">
        <v>47</v>
      </c>
      <c r="D3129" t="s">
        <v>48</v>
      </c>
      <c r="E3129" t="s">
        <v>49</v>
      </c>
      <c r="F3129" t="s">
        <v>50</v>
      </c>
      <c r="G3129" s="1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420.98</v>
      </c>
      <c r="M3129" s="3"/>
      <c r="N3129" s="4">
        <v>9.5999999999999991E-7</v>
      </c>
      <c r="O3129" s="5" t="s">
        <v>44</v>
      </c>
      <c r="P3129" s="5" t="s">
        <v>44</v>
      </c>
      <c r="Q3129" s="1"/>
      <c r="R3129" s="2">
        <v>0.08</v>
      </c>
      <c r="S3129" s="6"/>
      <c r="T3129" t="s">
        <v>45</v>
      </c>
      <c r="U3129" t="s">
        <v>46</v>
      </c>
      <c r="V3129" t="s">
        <v>44</v>
      </c>
      <c r="W3129" t="s">
        <v>43</v>
      </c>
      <c r="X3129" t="s">
        <v>44</v>
      </c>
      <c r="Y3129" t="s">
        <v>44</v>
      </c>
      <c r="Z3129" t="s">
        <v>44</v>
      </c>
      <c r="AA3129" t="s">
        <v>44</v>
      </c>
      <c r="AB3129" t="s">
        <v>44</v>
      </c>
      <c r="AC3129" s="4">
        <v>5.1163389600000002</v>
      </c>
      <c r="AD3129" s="4">
        <v>5.0001424999999999</v>
      </c>
      <c r="AE3129" s="2">
        <v>5.12</v>
      </c>
      <c r="AF3129" s="4">
        <v>5.0001424999999999</v>
      </c>
      <c r="AG3129" s="2">
        <v>0</v>
      </c>
      <c r="AH3129" s="2">
        <v>420.98</v>
      </c>
      <c r="AI3129" s="2">
        <v>0</v>
      </c>
      <c r="AJ3129" s="5">
        <v>44673</v>
      </c>
      <c r="AK3129" t="s">
        <v>12644</v>
      </c>
      <c r="AL3129" s="2">
        <v>5.05</v>
      </c>
      <c r="AM3129" s="2">
        <v>0</v>
      </c>
      <c r="AN3129" s="2">
        <v>0</v>
      </c>
      <c r="AO3129" t="s">
        <v>44</v>
      </c>
      <c r="AP3129" t="s">
        <v>44</v>
      </c>
      <c r="AQ3129" t="s">
        <v>44</v>
      </c>
    </row>
    <row r="3130" spans="1:43" x14ac:dyDescent="0.2">
      <c r="A3130" t="s">
        <v>12643</v>
      </c>
      <c r="B3130" t="s">
        <v>45</v>
      </c>
      <c r="C3130" t="s">
        <v>47</v>
      </c>
      <c r="D3130" t="s">
        <v>51</v>
      </c>
      <c r="E3130" t="s">
        <v>52</v>
      </c>
      <c r="F3130" t="s">
        <v>51</v>
      </c>
      <c r="G3130" s="1">
        <v>798020.33</v>
      </c>
      <c r="H3130" s="2">
        <v>798020.33</v>
      </c>
      <c r="I3130" s="2">
        <v>798020.33</v>
      </c>
      <c r="J3130" s="2">
        <v>0</v>
      </c>
      <c r="K3130" s="2">
        <v>0</v>
      </c>
      <c r="L3130" s="2">
        <v>798020.33</v>
      </c>
      <c r="M3130" s="3"/>
      <c r="N3130" s="4">
        <v>1.81558E-3</v>
      </c>
      <c r="O3130" s="5" t="s">
        <v>44</v>
      </c>
      <c r="P3130" s="5" t="s">
        <v>44</v>
      </c>
      <c r="Q3130" s="1"/>
      <c r="R3130" s="2">
        <v>0.08</v>
      </c>
      <c r="S3130" s="6"/>
      <c r="T3130" t="s">
        <v>45</v>
      </c>
      <c r="U3130" t="s">
        <v>53</v>
      </c>
      <c r="V3130" t="s">
        <v>44</v>
      </c>
      <c r="W3130" t="s">
        <v>43</v>
      </c>
      <c r="X3130" t="s">
        <v>44</v>
      </c>
      <c r="Y3130" t="s">
        <v>44</v>
      </c>
      <c r="Z3130" t="s">
        <v>44</v>
      </c>
      <c r="AA3130" t="s">
        <v>44</v>
      </c>
      <c r="AB3130" t="s">
        <v>44</v>
      </c>
      <c r="AC3130" s="4">
        <v>5.1163389600000002</v>
      </c>
      <c r="AD3130" s="4">
        <v>5.0001424999999999</v>
      </c>
      <c r="AE3130" s="2">
        <v>5.12</v>
      </c>
      <c r="AF3130" s="4">
        <v>5.0001424999999999</v>
      </c>
      <c r="AG3130" s="2">
        <v>1.34</v>
      </c>
      <c r="AH3130" s="2">
        <v>798020.33</v>
      </c>
      <c r="AI3130" s="2">
        <v>0</v>
      </c>
      <c r="AJ3130" s="5">
        <v>44673</v>
      </c>
      <c r="AK3130" t="s">
        <v>12644</v>
      </c>
      <c r="AL3130" s="2">
        <v>5.05</v>
      </c>
      <c r="AM3130" s="2">
        <v>0</v>
      </c>
      <c r="AN3130" s="2">
        <v>0</v>
      </c>
      <c r="AO3130" t="s">
        <v>44</v>
      </c>
      <c r="AP3130" t="s">
        <v>44</v>
      </c>
      <c r="AQ3130" t="s">
        <v>43</v>
      </c>
    </row>
    <row r="3131" spans="1:43" x14ac:dyDescent="0.2">
      <c r="A3131" t="s">
        <v>12643</v>
      </c>
      <c r="B3131" t="s">
        <v>45</v>
      </c>
      <c r="C3131" t="s">
        <v>11005</v>
      </c>
      <c r="D3131" t="s">
        <v>11149</v>
      </c>
      <c r="E3131" t="s">
        <v>11150</v>
      </c>
      <c r="F3131" t="s">
        <v>44</v>
      </c>
      <c r="G3131" s="1">
        <v>-522349.16</v>
      </c>
      <c r="H3131" s="2">
        <v>-522349.16</v>
      </c>
      <c r="I3131" s="2">
        <v>-522349.16</v>
      </c>
      <c r="J3131" s="2">
        <v>0</v>
      </c>
      <c r="K3131" s="2"/>
      <c r="L3131" s="2">
        <v>-522349.16</v>
      </c>
      <c r="M3131" s="3"/>
      <c r="N3131" s="4">
        <v>-1.1884E-3</v>
      </c>
      <c r="O3131" s="5" t="s">
        <v>44</v>
      </c>
      <c r="P3131" s="5">
        <v>73051</v>
      </c>
      <c r="Q3131" s="1">
        <v>0</v>
      </c>
      <c r="R3131" s="2">
        <v>0.08</v>
      </c>
      <c r="S3131" s="6"/>
      <c r="T3131" t="s">
        <v>45</v>
      </c>
      <c r="U3131" t="s">
        <v>44</v>
      </c>
      <c r="V3131" t="s">
        <v>44</v>
      </c>
      <c r="W3131" t="s">
        <v>43</v>
      </c>
      <c r="X3131" t="s">
        <v>44</v>
      </c>
      <c r="Y3131" t="s">
        <v>44</v>
      </c>
      <c r="Z3131" t="s">
        <v>44</v>
      </c>
      <c r="AA3131" t="s">
        <v>44</v>
      </c>
      <c r="AB3131" t="s">
        <v>44</v>
      </c>
      <c r="AC3131" s="4">
        <v>5.1163389600000002</v>
      </c>
      <c r="AD3131" s="4">
        <v>5.0001424999999999</v>
      </c>
      <c r="AE3131" s="2">
        <v>5.12</v>
      </c>
      <c r="AF3131" s="4">
        <v>5.0001424999999999</v>
      </c>
      <c r="AG3131" s="2">
        <v>-0.88</v>
      </c>
      <c r="AH3131" s="2">
        <v>-522349.16</v>
      </c>
      <c r="AI3131" s="2">
        <v>0</v>
      </c>
      <c r="AJ3131" s="5">
        <v>44673</v>
      </c>
      <c r="AK3131" t="s">
        <v>12644</v>
      </c>
      <c r="AL3131" s="2">
        <v>5.05</v>
      </c>
      <c r="AM3131" s="2">
        <v>0</v>
      </c>
      <c r="AN3131" s="2">
        <v>0</v>
      </c>
      <c r="AO3131" t="s">
        <v>44</v>
      </c>
      <c r="AP3131" t="s">
        <v>44</v>
      </c>
      <c r="AQ3131" t="s">
        <v>44</v>
      </c>
    </row>
    <row r="3132" spans="1:43" x14ac:dyDescent="0.2">
      <c r="A3132" t="s">
        <v>12643</v>
      </c>
      <c r="B3132" t="s">
        <v>11013</v>
      </c>
      <c r="C3132" t="s">
        <v>11014</v>
      </c>
      <c r="D3132" t="s">
        <v>11015</v>
      </c>
      <c r="E3132" t="s">
        <v>11016</v>
      </c>
      <c r="F3132" t="s">
        <v>11015</v>
      </c>
      <c r="G3132" s="1">
        <v>4900757.7703</v>
      </c>
      <c r="H3132" s="2">
        <v>5202681.28</v>
      </c>
      <c r="I3132" s="2">
        <v>5090417.0999999996</v>
      </c>
      <c r="J3132" s="2">
        <v>0</v>
      </c>
      <c r="K3132" s="2">
        <v>0</v>
      </c>
      <c r="L3132" s="2">
        <v>5090417.0999999996</v>
      </c>
      <c r="M3132" s="3">
        <v>1.0387</v>
      </c>
      <c r="N3132" s="4">
        <v>1.158125E-2</v>
      </c>
      <c r="O3132" s="5" t="s">
        <v>44</v>
      </c>
      <c r="P3132" s="5" t="s">
        <v>44</v>
      </c>
      <c r="Q3132" s="1"/>
      <c r="R3132" s="2"/>
      <c r="S3132" s="6"/>
      <c r="T3132" t="s">
        <v>10902</v>
      </c>
      <c r="U3132" t="s">
        <v>11003</v>
      </c>
      <c r="V3132" t="s">
        <v>11003</v>
      </c>
      <c r="W3132" t="s">
        <v>43</v>
      </c>
      <c r="X3132" t="s">
        <v>44</v>
      </c>
      <c r="Y3132" t="s">
        <v>44</v>
      </c>
      <c r="Z3132" t="s">
        <v>44</v>
      </c>
      <c r="AA3132" t="s">
        <v>44</v>
      </c>
      <c r="AB3132" t="s">
        <v>44</v>
      </c>
      <c r="AC3132" s="4"/>
      <c r="AD3132" s="4"/>
      <c r="AE3132" s="2">
        <v>0</v>
      </c>
      <c r="AF3132" s="4">
        <v>0</v>
      </c>
      <c r="AG3132" s="2">
        <v>8.5500000000000007</v>
      </c>
      <c r="AH3132" s="2">
        <v>5090417.0999999996</v>
      </c>
      <c r="AI3132" s="2">
        <v>0.01</v>
      </c>
      <c r="AJ3132" s="5">
        <v>44673</v>
      </c>
      <c r="AK3132" t="s">
        <v>12644</v>
      </c>
      <c r="AL3132" s="2">
        <v>0</v>
      </c>
      <c r="AM3132" s="2">
        <v>0</v>
      </c>
      <c r="AN3132" s="2">
        <v>0</v>
      </c>
      <c r="AO3132" t="s">
        <v>44</v>
      </c>
      <c r="AP3132" t="s">
        <v>11017</v>
      </c>
      <c r="AQ3132" t="s">
        <v>11016</v>
      </c>
    </row>
    <row r="3133" spans="1:43" x14ac:dyDescent="0.2">
      <c r="A3133" t="s">
        <v>12643</v>
      </c>
      <c r="B3133" t="s">
        <v>11013</v>
      </c>
      <c r="C3133" t="s">
        <v>11014</v>
      </c>
      <c r="D3133" t="s">
        <v>11018</v>
      </c>
      <c r="E3133" t="s">
        <v>11019</v>
      </c>
      <c r="F3133" t="s">
        <v>11018</v>
      </c>
      <c r="G3133" s="1">
        <v>6078197.5691999998</v>
      </c>
      <c r="H3133" s="2">
        <v>6094115.3700000001</v>
      </c>
      <c r="I3133" s="2">
        <v>6112235.4800000004</v>
      </c>
      <c r="J3133" s="2">
        <v>0</v>
      </c>
      <c r="K3133" s="2">
        <v>0</v>
      </c>
      <c r="L3133" s="2">
        <v>6112235.4800000004</v>
      </c>
      <c r="M3133" s="3">
        <v>1.0056</v>
      </c>
      <c r="N3133" s="4">
        <v>1.390599E-2</v>
      </c>
      <c r="O3133" s="5" t="s">
        <v>44</v>
      </c>
      <c r="P3133" s="5" t="s">
        <v>44</v>
      </c>
      <c r="Q3133" s="1"/>
      <c r="R3133" s="2"/>
      <c r="S3133" s="6"/>
      <c r="T3133" t="s">
        <v>10902</v>
      </c>
      <c r="U3133" t="s">
        <v>11003</v>
      </c>
      <c r="V3133" t="s">
        <v>11003</v>
      </c>
      <c r="W3133" t="s">
        <v>43</v>
      </c>
      <c r="X3133" t="s">
        <v>44</v>
      </c>
      <c r="Y3133" t="s">
        <v>44</v>
      </c>
      <c r="Z3133" t="s">
        <v>44</v>
      </c>
      <c r="AA3133" t="s">
        <v>44</v>
      </c>
      <c r="AB3133" t="s">
        <v>44</v>
      </c>
      <c r="AC3133" s="4"/>
      <c r="AD3133" s="4"/>
      <c r="AE3133" s="2">
        <v>0</v>
      </c>
      <c r="AF3133" s="4">
        <v>0</v>
      </c>
      <c r="AG3133" s="2">
        <v>10.27</v>
      </c>
      <c r="AH3133" s="2">
        <v>6112235.4800000004</v>
      </c>
      <c r="AI3133" s="2">
        <v>0.01</v>
      </c>
      <c r="AJ3133" s="5">
        <v>44673</v>
      </c>
      <c r="AK3133" t="s">
        <v>12644</v>
      </c>
      <c r="AL3133" s="2">
        <v>0</v>
      </c>
      <c r="AM3133" s="2">
        <v>0</v>
      </c>
      <c r="AN3133" s="2">
        <v>0</v>
      </c>
      <c r="AO3133" t="s">
        <v>44</v>
      </c>
      <c r="AP3133" t="s">
        <v>11020</v>
      </c>
      <c r="AQ3133" t="s">
        <v>11019</v>
      </c>
    </row>
    <row r="3134" spans="1:43" x14ac:dyDescent="0.2">
      <c r="A3134" t="s">
        <v>12643</v>
      </c>
      <c r="B3134" t="s">
        <v>11013</v>
      </c>
      <c r="C3134" t="s">
        <v>11014</v>
      </c>
      <c r="D3134" t="s">
        <v>11021</v>
      </c>
      <c r="E3134" t="s">
        <v>11022</v>
      </c>
      <c r="F3134" t="s">
        <v>11021</v>
      </c>
      <c r="G3134" s="1">
        <v>4750004.2280000001</v>
      </c>
      <c r="H3134" s="2">
        <v>3778954.34</v>
      </c>
      <c r="I3134" s="2">
        <v>4769004.24</v>
      </c>
      <c r="J3134" s="2">
        <v>0</v>
      </c>
      <c r="K3134" s="2">
        <v>0</v>
      </c>
      <c r="L3134" s="2">
        <v>4769004.24</v>
      </c>
      <c r="M3134" s="3">
        <v>1.004</v>
      </c>
      <c r="N3134" s="4">
        <v>1.085E-2</v>
      </c>
      <c r="O3134" s="5" t="s">
        <v>44</v>
      </c>
      <c r="P3134" s="5" t="s">
        <v>44</v>
      </c>
      <c r="Q3134" s="1"/>
      <c r="R3134" s="2"/>
      <c r="S3134" s="6"/>
      <c r="T3134" t="s">
        <v>10902</v>
      </c>
      <c r="U3134" t="s">
        <v>11003</v>
      </c>
      <c r="V3134" t="s">
        <v>11003</v>
      </c>
      <c r="W3134" t="s">
        <v>43</v>
      </c>
      <c r="X3134" t="s">
        <v>44</v>
      </c>
      <c r="Y3134" t="s">
        <v>44</v>
      </c>
      <c r="Z3134" t="s">
        <v>44</v>
      </c>
      <c r="AA3134" t="s">
        <v>44</v>
      </c>
      <c r="AB3134" t="s">
        <v>44</v>
      </c>
      <c r="AC3134" s="4"/>
      <c r="AD3134" s="4"/>
      <c r="AE3134" s="2">
        <v>0</v>
      </c>
      <c r="AF3134" s="4">
        <v>0</v>
      </c>
      <c r="AG3134" s="2">
        <v>8.01</v>
      </c>
      <c r="AH3134" s="2">
        <v>4769004.24</v>
      </c>
      <c r="AI3134" s="2">
        <v>0.01</v>
      </c>
      <c r="AJ3134" s="5">
        <v>44673</v>
      </c>
      <c r="AK3134" t="s">
        <v>12644</v>
      </c>
      <c r="AL3134" s="2">
        <v>0</v>
      </c>
      <c r="AM3134" s="2">
        <v>0</v>
      </c>
      <c r="AN3134" s="2">
        <v>0</v>
      </c>
      <c r="AO3134" t="s">
        <v>44</v>
      </c>
      <c r="AP3134" t="s">
        <v>11023</v>
      </c>
      <c r="AQ3134" t="s">
        <v>11022</v>
      </c>
    </row>
    <row r="3135" spans="1:43" x14ac:dyDescent="0.2">
      <c r="A3135" t="s">
        <v>12643</v>
      </c>
      <c r="B3135" t="s">
        <v>11024</v>
      </c>
      <c r="C3135" t="s">
        <v>57</v>
      </c>
      <c r="D3135" t="s">
        <v>12717</v>
      </c>
      <c r="E3135" t="s">
        <v>12717</v>
      </c>
      <c r="F3135" t="s">
        <v>12717</v>
      </c>
      <c r="G3135" s="1">
        <v>-19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3">
        <v>65943</v>
      </c>
      <c r="N3135" s="4">
        <v>0</v>
      </c>
      <c r="O3135" s="5" t="s">
        <v>44</v>
      </c>
      <c r="P3135" s="5">
        <v>44910</v>
      </c>
      <c r="Q3135" s="1"/>
      <c r="R3135" s="2"/>
      <c r="S3135" s="6"/>
      <c r="T3135" t="s">
        <v>11026</v>
      </c>
      <c r="U3135" t="s">
        <v>11025</v>
      </c>
      <c r="V3135" t="s">
        <v>11027</v>
      </c>
      <c r="W3135" t="s">
        <v>43</v>
      </c>
      <c r="X3135" t="s">
        <v>44</v>
      </c>
      <c r="Y3135" t="s">
        <v>44</v>
      </c>
      <c r="Z3135" t="s">
        <v>44</v>
      </c>
      <c r="AA3135" t="s">
        <v>44</v>
      </c>
      <c r="AB3135" t="s">
        <v>44</v>
      </c>
      <c r="AC3135" s="4"/>
      <c r="AD3135" s="4"/>
      <c r="AE3135" s="2">
        <v>0</v>
      </c>
      <c r="AF3135" s="4">
        <v>0</v>
      </c>
      <c r="AG3135" s="2">
        <v>0</v>
      </c>
      <c r="AH3135" s="2">
        <v>-12529170</v>
      </c>
      <c r="AI3135" s="2">
        <v>-0.03</v>
      </c>
      <c r="AJ3135" s="5">
        <v>44673</v>
      </c>
      <c r="AK3135" t="s">
        <v>12644</v>
      </c>
      <c r="AL3135" s="2">
        <v>0</v>
      </c>
      <c r="AM3135" s="2">
        <v>0</v>
      </c>
      <c r="AN3135" s="2">
        <v>0</v>
      </c>
      <c r="AO3135" t="s">
        <v>44</v>
      </c>
      <c r="AP3135" t="s">
        <v>12718</v>
      </c>
      <c r="AQ3135" t="s">
        <v>12717</v>
      </c>
    </row>
    <row r="3136" spans="1:43" x14ac:dyDescent="0.2">
      <c r="A3136" t="s">
        <v>12643</v>
      </c>
      <c r="B3136" t="s">
        <v>11024</v>
      </c>
      <c r="C3136" t="s">
        <v>57</v>
      </c>
      <c r="D3136" t="s">
        <v>12719</v>
      </c>
      <c r="E3136" t="s">
        <v>12719</v>
      </c>
      <c r="F3136" t="s">
        <v>12719</v>
      </c>
      <c r="G3136" s="1">
        <v>34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3">
        <v>23175</v>
      </c>
      <c r="N3136" s="4">
        <v>0</v>
      </c>
      <c r="O3136" s="5" t="s">
        <v>44</v>
      </c>
      <c r="P3136" s="5">
        <v>44910</v>
      </c>
      <c r="Q3136" s="1"/>
      <c r="R3136" s="2"/>
      <c r="S3136" s="6"/>
      <c r="T3136" t="s">
        <v>11153</v>
      </c>
      <c r="U3136" t="s">
        <v>11025</v>
      </c>
      <c r="V3136" t="s">
        <v>11154</v>
      </c>
      <c r="W3136" t="s">
        <v>43</v>
      </c>
      <c r="X3136" t="s">
        <v>44</v>
      </c>
      <c r="Y3136" t="s">
        <v>44</v>
      </c>
      <c r="Z3136" t="s">
        <v>44</v>
      </c>
      <c r="AA3136" t="s">
        <v>44</v>
      </c>
      <c r="AB3136" t="s">
        <v>44</v>
      </c>
      <c r="AC3136" s="4"/>
      <c r="AD3136" s="4"/>
      <c r="AE3136" s="2">
        <v>0</v>
      </c>
      <c r="AF3136" s="4">
        <v>0</v>
      </c>
      <c r="AG3136" s="2">
        <v>0</v>
      </c>
      <c r="AH3136" s="2">
        <v>8332946.2699999996</v>
      </c>
      <c r="AI3136" s="2">
        <v>0.02</v>
      </c>
      <c r="AJ3136" s="5">
        <v>44673</v>
      </c>
      <c r="AK3136" t="s">
        <v>12644</v>
      </c>
      <c r="AL3136" s="2">
        <v>0</v>
      </c>
      <c r="AM3136" s="2">
        <v>0</v>
      </c>
      <c r="AN3136" s="2">
        <v>0</v>
      </c>
      <c r="AO3136" t="s">
        <v>44</v>
      </c>
      <c r="AP3136" t="s">
        <v>12720</v>
      </c>
      <c r="AQ3136" t="s">
        <v>12719</v>
      </c>
    </row>
    <row r="3137" spans="1:43" x14ac:dyDescent="0.2">
      <c r="A3137" t="s">
        <v>12643</v>
      </c>
      <c r="B3137" t="s">
        <v>11024</v>
      </c>
      <c r="C3137" t="s">
        <v>57</v>
      </c>
      <c r="D3137" t="s">
        <v>11151</v>
      </c>
      <c r="E3137" t="s">
        <v>11151</v>
      </c>
      <c r="F3137" t="s">
        <v>11151</v>
      </c>
      <c r="G3137" s="1">
        <v>26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3">
        <v>65704</v>
      </c>
      <c r="N3137" s="4">
        <v>0</v>
      </c>
      <c r="O3137" s="5" t="s">
        <v>44</v>
      </c>
      <c r="P3137" s="5">
        <v>44727</v>
      </c>
      <c r="Q3137" s="1"/>
      <c r="R3137" s="2"/>
      <c r="S3137" s="6"/>
      <c r="T3137" t="s">
        <v>11026</v>
      </c>
      <c r="U3137" t="s">
        <v>11025</v>
      </c>
      <c r="V3137" t="s">
        <v>11027</v>
      </c>
      <c r="W3137" t="s">
        <v>43</v>
      </c>
      <c r="X3137" t="s">
        <v>44</v>
      </c>
      <c r="Y3137" t="s">
        <v>44</v>
      </c>
      <c r="Z3137" t="s">
        <v>44</v>
      </c>
      <c r="AA3137" t="s">
        <v>44</v>
      </c>
      <c r="AB3137" t="s">
        <v>44</v>
      </c>
      <c r="AC3137" s="4"/>
      <c r="AD3137" s="4"/>
      <c r="AE3137" s="2">
        <v>0</v>
      </c>
      <c r="AF3137" s="4">
        <v>0</v>
      </c>
      <c r="AG3137" s="2">
        <v>0</v>
      </c>
      <c r="AH3137" s="2">
        <v>17083040</v>
      </c>
      <c r="AI3137" s="2">
        <v>0.04</v>
      </c>
      <c r="AJ3137" s="5">
        <v>44673</v>
      </c>
      <c r="AK3137" t="s">
        <v>12644</v>
      </c>
      <c r="AL3137" s="2">
        <v>0</v>
      </c>
      <c r="AM3137" s="2">
        <v>0</v>
      </c>
      <c r="AN3137" s="2">
        <v>0</v>
      </c>
      <c r="AO3137" t="s">
        <v>44</v>
      </c>
      <c r="AP3137" t="s">
        <v>11152</v>
      </c>
      <c r="AQ3137" t="s">
        <v>11151</v>
      </c>
    </row>
    <row r="3138" spans="1:43" x14ac:dyDescent="0.2">
      <c r="A3138" t="s">
        <v>12643</v>
      </c>
      <c r="B3138" t="s">
        <v>11024</v>
      </c>
      <c r="C3138" t="s">
        <v>57</v>
      </c>
      <c r="D3138" t="s">
        <v>12995</v>
      </c>
      <c r="E3138" t="s">
        <v>12995</v>
      </c>
      <c r="F3138" t="s">
        <v>12995</v>
      </c>
      <c r="G3138" s="1">
        <v>-9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3">
        <v>11809</v>
      </c>
      <c r="N3138" s="4">
        <v>0</v>
      </c>
      <c r="O3138" s="5" t="s">
        <v>44</v>
      </c>
      <c r="P3138" s="5">
        <v>44727</v>
      </c>
      <c r="Q3138" s="1"/>
      <c r="R3138" s="2"/>
      <c r="S3138" s="6"/>
      <c r="T3138" t="s">
        <v>11153</v>
      </c>
      <c r="U3138" t="s">
        <v>11025</v>
      </c>
      <c r="V3138" t="s">
        <v>11154</v>
      </c>
      <c r="W3138" t="s">
        <v>43</v>
      </c>
      <c r="X3138" t="s">
        <v>44</v>
      </c>
      <c r="Y3138" t="s">
        <v>44</v>
      </c>
      <c r="Z3138" t="s">
        <v>44</v>
      </c>
      <c r="AA3138" t="s">
        <v>44</v>
      </c>
      <c r="AB3138" t="s">
        <v>44</v>
      </c>
      <c r="AC3138" s="4"/>
      <c r="AD3138" s="4"/>
      <c r="AE3138" s="2">
        <v>0</v>
      </c>
      <c r="AF3138" s="4">
        <v>0</v>
      </c>
      <c r="AG3138" s="2">
        <v>0</v>
      </c>
      <c r="AH3138" s="2">
        <v>1789452.54</v>
      </c>
      <c r="AI3138" s="2">
        <v>0</v>
      </c>
      <c r="AJ3138" s="5">
        <v>44673</v>
      </c>
      <c r="AK3138" t="s">
        <v>12644</v>
      </c>
      <c r="AL3138" s="2">
        <v>0</v>
      </c>
      <c r="AM3138" s="2">
        <v>0</v>
      </c>
      <c r="AN3138" s="2">
        <v>0</v>
      </c>
      <c r="AO3138" t="s">
        <v>44</v>
      </c>
      <c r="AP3138" t="s">
        <v>12999</v>
      </c>
      <c r="AQ3138" t="s">
        <v>12995</v>
      </c>
    </row>
    <row r="3139" spans="1:43" x14ac:dyDescent="0.2">
      <c r="A3139" t="s">
        <v>12643</v>
      </c>
      <c r="B3139" t="s">
        <v>11024</v>
      </c>
      <c r="C3139" t="s">
        <v>57</v>
      </c>
      <c r="D3139" t="s">
        <v>11155</v>
      </c>
      <c r="E3139" t="s">
        <v>11155</v>
      </c>
      <c r="F3139" t="s">
        <v>11155</v>
      </c>
      <c r="G3139" s="1">
        <v>-20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3">
        <v>615</v>
      </c>
      <c r="N3139" s="4">
        <v>0</v>
      </c>
      <c r="O3139" s="5" t="s">
        <v>44</v>
      </c>
      <c r="P3139" s="5">
        <v>44727</v>
      </c>
      <c r="Q3139" s="1"/>
      <c r="R3139" s="2"/>
      <c r="S3139" s="6"/>
      <c r="T3139" t="s">
        <v>11153</v>
      </c>
      <c r="U3139" t="s">
        <v>11025</v>
      </c>
      <c r="V3139" t="s">
        <v>11154</v>
      </c>
      <c r="W3139" t="s">
        <v>43</v>
      </c>
      <c r="X3139" t="s">
        <v>44</v>
      </c>
      <c r="Y3139" t="s">
        <v>44</v>
      </c>
      <c r="Z3139" t="s">
        <v>44</v>
      </c>
      <c r="AA3139" t="s">
        <v>44</v>
      </c>
      <c r="AB3139" t="s">
        <v>44</v>
      </c>
      <c r="AC3139" s="4"/>
      <c r="AD3139" s="4"/>
      <c r="AE3139" s="2">
        <v>0</v>
      </c>
      <c r="AF3139" s="4">
        <v>0</v>
      </c>
      <c r="AG3139" s="2">
        <v>0</v>
      </c>
      <c r="AH3139" s="2">
        <v>-483761.87</v>
      </c>
      <c r="AI3139" s="2">
        <v>0</v>
      </c>
      <c r="AJ3139" s="5">
        <v>44673</v>
      </c>
      <c r="AK3139" t="s">
        <v>12644</v>
      </c>
      <c r="AL3139" s="2">
        <v>0</v>
      </c>
      <c r="AM3139" s="2">
        <v>0</v>
      </c>
      <c r="AN3139" s="2">
        <v>0</v>
      </c>
      <c r="AO3139" t="s">
        <v>44</v>
      </c>
      <c r="AP3139" t="s">
        <v>11156</v>
      </c>
      <c r="AQ3139" t="s">
        <v>11155</v>
      </c>
    </row>
    <row r="3140" spans="1:43" x14ac:dyDescent="0.2">
      <c r="A3140" t="s">
        <v>12643</v>
      </c>
      <c r="B3140" t="s">
        <v>11024</v>
      </c>
      <c r="C3140" t="s">
        <v>57</v>
      </c>
      <c r="D3140" t="s">
        <v>11157</v>
      </c>
      <c r="E3140" t="s">
        <v>11157</v>
      </c>
      <c r="F3140" t="s">
        <v>11157</v>
      </c>
      <c r="G3140" s="1">
        <v>-8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3">
        <v>65741</v>
      </c>
      <c r="N3140" s="4">
        <v>0</v>
      </c>
      <c r="O3140" s="5" t="s">
        <v>44</v>
      </c>
      <c r="P3140" s="5">
        <v>44819</v>
      </c>
      <c r="Q3140" s="1"/>
      <c r="R3140" s="2"/>
      <c r="S3140" s="6"/>
      <c r="T3140" t="s">
        <v>11026</v>
      </c>
      <c r="U3140" t="s">
        <v>11025</v>
      </c>
      <c r="V3140" t="s">
        <v>11027</v>
      </c>
      <c r="W3140" t="s">
        <v>43</v>
      </c>
      <c r="X3140" t="s">
        <v>44</v>
      </c>
      <c r="Y3140" t="s">
        <v>44</v>
      </c>
      <c r="Z3140" t="s">
        <v>44</v>
      </c>
      <c r="AA3140" t="s">
        <v>44</v>
      </c>
      <c r="AB3140" t="s">
        <v>44</v>
      </c>
      <c r="AC3140" s="4"/>
      <c r="AD3140" s="4"/>
      <c r="AE3140" s="2">
        <v>0</v>
      </c>
      <c r="AF3140" s="4">
        <v>0</v>
      </c>
      <c r="AG3140" s="2">
        <v>0</v>
      </c>
      <c r="AH3140" s="2">
        <v>-5259280</v>
      </c>
      <c r="AI3140" s="2">
        <v>-0.01</v>
      </c>
      <c r="AJ3140" s="5">
        <v>44673</v>
      </c>
      <c r="AK3140" t="s">
        <v>12644</v>
      </c>
      <c r="AL3140" s="2">
        <v>0</v>
      </c>
      <c r="AM3140" s="2">
        <v>0</v>
      </c>
      <c r="AN3140" s="2">
        <v>0</v>
      </c>
      <c r="AO3140" t="s">
        <v>44</v>
      </c>
      <c r="AP3140" t="s">
        <v>11158</v>
      </c>
      <c r="AQ3140" t="s">
        <v>11157</v>
      </c>
    </row>
    <row r="3141" spans="1:43" x14ac:dyDescent="0.2">
      <c r="A3141" t="s">
        <v>12643</v>
      </c>
      <c r="B3141" t="s">
        <v>11024</v>
      </c>
      <c r="C3141" t="s">
        <v>57</v>
      </c>
      <c r="D3141" t="s">
        <v>12738</v>
      </c>
      <c r="E3141" t="s">
        <v>12738</v>
      </c>
      <c r="F3141" t="s">
        <v>12738</v>
      </c>
      <c r="G3141" s="1">
        <v>27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3">
        <v>17668</v>
      </c>
      <c r="N3141" s="4">
        <v>0</v>
      </c>
      <c r="O3141" s="5" t="s">
        <v>44</v>
      </c>
      <c r="P3141" s="5">
        <v>44819</v>
      </c>
      <c r="Q3141" s="1"/>
      <c r="R3141" s="2"/>
      <c r="S3141" s="6"/>
      <c r="T3141" t="s">
        <v>11153</v>
      </c>
      <c r="U3141" t="s">
        <v>11025</v>
      </c>
      <c r="V3141" t="s">
        <v>11154</v>
      </c>
      <c r="W3141" t="s">
        <v>43</v>
      </c>
      <c r="X3141" t="s">
        <v>44</v>
      </c>
      <c r="Y3141" t="s">
        <v>44</v>
      </c>
      <c r="Z3141" t="s">
        <v>44</v>
      </c>
      <c r="AA3141" t="s">
        <v>44</v>
      </c>
      <c r="AB3141" t="s">
        <v>44</v>
      </c>
      <c r="AC3141" s="4"/>
      <c r="AD3141" s="4"/>
      <c r="AE3141" s="2">
        <v>0</v>
      </c>
      <c r="AF3141" s="4">
        <v>0</v>
      </c>
      <c r="AG3141" s="2">
        <v>0</v>
      </c>
      <c r="AH3141" s="2">
        <v>6400614.4299999997</v>
      </c>
      <c r="AI3141" s="2">
        <v>0.01</v>
      </c>
      <c r="AJ3141" s="5">
        <v>44673</v>
      </c>
      <c r="AK3141" t="s">
        <v>12644</v>
      </c>
      <c r="AL3141" s="2">
        <v>0</v>
      </c>
      <c r="AM3141" s="2">
        <v>0</v>
      </c>
      <c r="AN3141" s="2">
        <v>0</v>
      </c>
      <c r="AO3141" t="s">
        <v>44</v>
      </c>
      <c r="AP3141" t="s">
        <v>12741</v>
      </c>
      <c r="AQ3141" t="s">
        <v>12738</v>
      </c>
    </row>
    <row r="3142" spans="1:43" x14ac:dyDescent="0.2">
      <c r="A3142" t="s">
        <v>12643</v>
      </c>
      <c r="B3142" t="s">
        <v>11024</v>
      </c>
      <c r="C3142" t="s">
        <v>57</v>
      </c>
      <c r="D3142" t="s">
        <v>12722</v>
      </c>
      <c r="E3142" t="s">
        <v>12722</v>
      </c>
      <c r="F3142" t="s">
        <v>12722</v>
      </c>
      <c r="G3142" s="1">
        <v>27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3">
        <v>14076</v>
      </c>
      <c r="N3142" s="4">
        <v>0</v>
      </c>
      <c r="O3142" s="5" t="s">
        <v>44</v>
      </c>
      <c r="P3142" s="5">
        <v>44819</v>
      </c>
      <c r="Q3142" s="1"/>
      <c r="R3142" s="2"/>
      <c r="S3142" s="6"/>
      <c r="T3142" t="s">
        <v>11153</v>
      </c>
      <c r="U3142" t="s">
        <v>11025</v>
      </c>
      <c r="V3142" t="s">
        <v>11154</v>
      </c>
      <c r="W3142" t="s">
        <v>43</v>
      </c>
      <c r="X3142" t="s">
        <v>44</v>
      </c>
      <c r="Y3142" t="s">
        <v>44</v>
      </c>
      <c r="Z3142" t="s">
        <v>44</v>
      </c>
      <c r="AA3142" t="s">
        <v>44</v>
      </c>
      <c r="AB3142" t="s">
        <v>44</v>
      </c>
      <c r="AC3142" s="4"/>
      <c r="AD3142" s="4"/>
      <c r="AE3142" s="2">
        <v>0</v>
      </c>
      <c r="AF3142" s="4">
        <v>0</v>
      </c>
      <c r="AG3142" s="2">
        <v>0</v>
      </c>
      <c r="AH3142" s="2">
        <v>5511345.7800000003</v>
      </c>
      <c r="AI3142" s="2">
        <v>0.01</v>
      </c>
      <c r="AJ3142" s="5">
        <v>44673</v>
      </c>
      <c r="AK3142" t="s">
        <v>12644</v>
      </c>
      <c r="AL3142" s="2">
        <v>0</v>
      </c>
      <c r="AM3142" s="2">
        <v>0</v>
      </c>
      <c r="AN3142" s="2">
        <v>0</v>
      </c>
      <c r="AO3142" t="s">
        <v>44</v>
      </c>
      <c r="AP3142" t="s">
        <v>12723</v>
      </c>
      <c r="AQ3142" t="s">
        <v>12722</v>
      </c>
    </row>
    <row r="3143" spans="1:43" x14ac:dyDescent="0.2">
      <c r="A3143" t="s">
        <v>12643</v>
      </c>
      <c r="B3143" t="s">
        <v>11024</v>
      </c>
      <c r="C3143" t="s">
        <v>57</v>
      </c>
      <c r="D3143" t="s">
        <v>12996</v>
      </c>
      <c r="E3143" t="s">
        <v>12996</v>
      </c>
      <c r="F3143" t="s">
        <v>12996</v>
      </c>
      <c r="G3143" s="1">
        <v>-22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3">
        <v>5097</v>
      </c>
      <c r="N3143" s="4">
        <v>0</v>
      </c>
      <c r="O3143" s="5" t="s">
        <v>44</v>
      </c>
      <c r="P3143" s="5">
        <v>44819</v>
      </c>
      <c r="Q3143" s="1"/>
      <c r="R3143" s="2"/>
      <c r="S3143" s="6"/>
      <c r="T3143" t="s">
        <v>11153</v>
      </c>
      <c r="U3143" t="s">
        <v>11025</v>
      </c>
      <c r="V3143" t="s">
        <v>11154</v>
      </c>
      <c r="W3143" t="s">
        <v>43</v>
      </c>
      <c r="X3143" t="s">
        <v>44</v>
      </c>
      <c r="Y3143" t="s">
        <v>44</v>
      </c>
      <c r="Z3143" t="s">
        <v>44</v>
      </c>
      <c r="AA3143" t="s">
        <v>44</v>
      </c>
      <c r="AB3143" t="s">
        <v>44</v>
      </c>
      <c r="AC3143" s="4"/>
      <c r="AD3143" s="4"/>
      <c r="AE3143" s="2">
        <v>0</v>
      </c>
      <c r="AF3143" s="4">
        <v>0</v>
      </c>
      <c r="AG3143" s="2">
        <v>0</v>
      </c>
      <c r="AH3143" s="2">
        <v>-2125391.58</v>
      </c>
      <c r="AI3143" s="2">
        <v>0</v>
      </c>
      <c r="AJ3143" s="5">
        <v>44673</v>
      </c>
      <c r="AK3143" t="s">
        <v>12644</v>
      </c>
      <c r="AL3143" s="2">
        <v>0</v>
      </c>
      <c r="AM3143" s="2">
        <v>0</v>
      </c>
      <c r="AN3143" s="2">
        <v>0</v>
      </c>
      <c r="AO3143" t="s">
        <v>44</v>
      </c>
      <c r="AP3143" t="s">
        <v>13000</v>
      </c>
      <c r="AQ3143" t="s">
        <v>12996</v>
      </c>
    </row>
    <row r="3144" spans="1:43" x14ac:dyDescent="0.2">
      <c r="A3144" t="s">
        <v>12643</v>
      </c>
      <c r="B3144" t="s">
        <v>11024</v>
      </c>
      <c r="C3144" t="s">
        <v>57</v>
      </c>
      <c r="D3144" t="s">
        <v>12739</v>
      </c>
      <c r="E3144" t="s">
        <v>12739</v>
      </c>
      <c r="F3144" t="s">
        <v>12739</v>
      </c>
      <c r="G3144" s="1">
        <v>-22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3">
        <v>2268</v>
      </c>
      <c r="N3144" s="4">
        <v>0</v>
      </c>
      <c r="O3144" s="5" t="s">
        <v>44</v>
      </c>
      <c r="P3144" s="5">
        <v>44819</v>
      </c>
      <c r="Q3144" s="1"/>
      <c r="R3144" s="2"/>
      <c r="S3144" s="6"/>
      <c r="T3144" t="s">
        <v>11153</v>
      </c>
      <c r="U3144" t="s">
        <v>11025</v>
      </c>
      <c r="V3144" t="s">
        <v>11154</v>
      </c>
      <c r="W3144" t="s">
        <v>43</v>
      </c>
      <c r="X3144" t="s">
        <v>44</v>
      </c>
      <c r="Y3144" t="s">
        <v>44</v>
      </c>
      <c r="Z3144" t="s">
        <v>44</v>
      </c>
      <c r="AA3144" t="s">
        <v>44</v>
      </c>
      <c r="AB3144" t="s">
        <v>44</v>
      </c>
      <c r="AC3144" s="4"/>
      <c r="AD3144" s="4"/>
      <c r="AE3144" s="2">
        <v>0</v>
      </c>
      <c r="AF3144" s="4">
        <v>0</v>
      </c>
      <c r="AG3144" s="2">
        <v>0</v>
      </c>
      <c r="AH3144" s="2">
        <v>-1092454.73</v>
      </c>
      <c r="AI3144" s="2">
        <v>0</v>
      </c>
      <c r="AJ3144" s="5">
        <v>44673</v>
      </c>
      <c r="AK3144" t="s">
        <v>12644</v>
      </c>
      <c r="AL3144" s="2">
        <v>0</v>
      </c>
      <c r="AM3144" s="2">
        <v>0</v>
      </c>
      <c r="AN3144" s="2">
        <v>0</v>
      </c>
      <c r="AO3144" t="s">
        <v>44</v>
      </c>
      <c r="AP3144" t="s">
        <v>12742</v>
      </c>
      <c r="AQ3144" t="s">
        <v>12739</v>
      </c>
    </row>
    <row r="3145" spans="1:43" x14ac:dyDescent="0.2">
      <c r="A3145" t="s">
        <v>12643</v>
      </c>
      <c r="B3145" t="s">
        <v>11038</v>
      </c>
      <c r="C3145" t="s">
        <v>11039</v>
      </c>
      <c r="D3145" t="s">
        <v>11216</v>
      </c>
      <c r="E3145" t="s">
        <v>11217</v>
      </c>
      <c r="F3145" t="s">
        <v>11216</v>
      </c>
      <c r="G3145" s="1">
        <v>5000000</v>
      </c>
      <c r="H3145" s="2">
        <v>5000000</v>
      </c>
      <c r="I3145" s="2">
        <v>4994162.92</v>
      </c>
      <c r="J3145" s="2">
        <v>48904.11</v>
      </c>
      <c r="K3145" s="2">
        <v>0</v>
      </c>
      <c r="L3145" s="2">
        <v>5043067.03</v>
      </c>
      <c r="M3145" s="3">
        <v>6.0366650000000002</v>
      </c>
      <c r="N3145" s="4">
        <v>1.1473519999999999E-2</v>
      </c>
      <c r="O3145" s="5">
        <v>44979</v>
      </c>
      <c r="P3145" s="5">
        <v>44979</v>
      </c>
      <c r="Q3145" s="1">
        <v>5.95</v>
      </c>
      <c r="R3145" s="2">
        <v>0.83</v>
      </c>
      <c r="S3145" s="6">
        <v>0.79052188852000005</v>
      </c>
      <c r="T3145" t="s">
        <v>111</v>
      </c>
      <c r="U3145" t="s">
        <v>11040</v>
      </c>
      <c r="V3145" t="s">
        <v>11041</v>
      </c>
      <c r="W3145" t="s">
        <v>43</v>
      </c>
      <c r="X3145" t="s">
        <v>11034</v>
      </c>
      <c r="Y3145" t="s">
        <v>44</v>
      </c>
      <c r="Z3145" t="s">
        <v>44</v>
      </c>
      <c r="AA3145" t="s">
        <v>10979</v>
      </c>
      <c r="AB3145" t="s">
        <v>44</v>
      </c>
      <c r="AC3145" s="4">
        <v>6.0672128599999997</v>
      </c>
      <c r="AD3145" s="4">
        <v>5.9047591700000002</v>
      </c>
      <c r="AE3145" s="2">
        <v>6.07</v>
      </c>
      <c r="AF3145" s="4">
        <v>5.9047591700000002</v>
      </c>
      <c r="AG3145" s="2">
        <v>8.4700000000000006</v>
      </c>
      <c r="AH3145" s="2">
        <v>5043067.03</v>
      </c>
      <c r="AI3145" s="2">
        <v>0.01</v>
      </c>
      <c r="AJ3145" s="5">
        <v>44673</v>
      </c>
      <c r="AK3145" t="s">
        <v>12644</v>
      </c>
      <c r="AL3145" s="2">
        <v>5.98</v>
      </c>
      <c r="AM3145" s="2">
        <v>5.95</v>
      </c>
      <c r="AN3145" s="2">
        <v>0.79</v>
      </c>
      <c r="AO3145" t="s">
        <v>11165</v>
      </c>
      <c r="AP3145" t="s">
        <v>11218</v>
      </c>
      <c r="AQ3145" t="s">
        <v>11217</v>
      </c>
    </row>
    <row r="3146" spans="1:43" x14ac:dyDescent="0.2">
      <c r="A3146" t="s">
        <v>12643</v>
      </c>
      <c r="B3146" t="s">
        <v>11038</v>
      </c>
      <c r="C3146" t="s">
        <v>11039</v>
      </c>
      <c r="D3146" t="s">
        <v>12866</v>
      </c>
      <c r="E3146" t="s">
        <v>12867</v>
      </c>
      <c r="F3146" t="s">
        <v>12866</v>
      </c>
      <c r="G3146" s="1">
        <v>5000000</v>
      </c>
      <c r="H3146" s="2">
        <v>5000000</v>
      </c>
      <c r="I3146" s="2">
        <v>4998777.34</v>
      </c>
      <c r="J3146" s="2">
        <v>15349.32</v>
      </c>
      <c r="K3146" s="2">
        <v>0</v>
      </c>
      <c r="L3146" s="2">
        <v>5014126.66</v>
      </c>
      <c r="M3146" s="3">
        <v>6.2311399999999999</v>
      </c>
      <c r="N3146" s="4">
        <v>1.140768E-2</v>
      </c>
      <c r="O3146" s="5">
        <v>45021</v>
      </c>
      <c r="P3146" s="5">
        <v>45021</v>
      </c>
      <c r="Q3146" s="1">
        <v>6.2249999999999996</v>
      </c>
      <c r="R3146" s="2">
        <v>0.95</v>
      </c>
      <c r="S3146" s="6">
        <v>0.89263205706000004</v>
      </c>
      <c r="T3146" t="s">
        <v>111</v>
      </c>
      <c r="U3146" t="s">
        <v>11040</v>
      </c>
      <c r="V3146" t="s">
        <v>11041</v>
      </c>
      <c r="W3146" t="s">
        <v>43</v>
      </c>
      <c r="X3146" t="s">
        <v>11034</v>
      </c>
      <c r="Y3146" t="s">
        <v>44</v>
      </c>
      <c r="Z3146" t="s">
        <v>44</v>
      </c>
      <c r="AA3146" t="s">
        <v>10979</v>
      </c>
      <c r="AB3146" t="s">
        <v>44</v>
      </c>
      <c r="AC3146" s="4">
        <v>6.2415867</v>
      </c>
      <c r="AD3146" s="4">
        <v>6.0698431499999996</v>
      </c>
      <c r="AE3146" s="2">
        <v>6.24</v>
      </c>
      <c r="AF3146" s="4">
        <v>6.0698431499999996</v>
      </c>
      <c r="AG3146" s="2">
        <v>8.42</v>
      </c>
      <c r="AH3146" s="2">
        <v>5014126.66</v>
      </c>
      <c r="AI3146" s="2">
        <v>0.01</v>
      </c>
      <c r="AJ3146" s="5">
        <v>44673</v>
      </c>
      <c r="AK3146" t="s">
        <v>12644</v>
      </c>
      <c r="AL3146" s="2">
        <v>6.15</v>
      </c>
      <c r="AM3146" s="2">
        <v>6.22</v>
      </c>
      <c r="AN3146" s="2">
        <v>0.89</v>
      </c>
      <c r="AO3146" t="s">
        <v>11054</v>
      </c>
      <c r="AP3146" t="s">
        <v>12868</v>
      </c>
      <c r="AQ3146" t="s">
        <v>12867</v>
      </c>
    </row>
    <row r="3147" spans="1:43" x14ac:dyDescent="0.2">
      <c r="A3147" t="s">
        <v>12643</v>
      </c>
      <c r="B3147" t="s">
        <v>11038</v>
      </c>
      <c r="C3147" t="s">
        <v>11039</v>
      </c>
      <c r="D3147" t="s">
        <v>11042</v>
      </c>
      <c r="E3147" t="s">
        <v>11043</v>
      </c>
      <c r="F3147" t="s">
        <v>11042</v>
      </c>
      <c r="G3147" s="1">
        <v>5000000</v>
      </c>
      <c r="H3147" s="2">
        <v>5000000</v>
      </c>
      <c r="I3147" s="2">
        <v>4996483.13</v>
      </c>
      <c r="J3147" s="2">
        <v>55424.66</v>
      </c>
      <c r="K3147" s="2">
        <v>0</v>
      </c>
      <c r="L3147" s="2">
        <v>5051907.79</v>
      </c>
      <c r="M3147" s="3">
        <v>5.9730699999999999</v>
      </c>
      <c r="N3147" s="4">
        <v>1.1493629999999999E-2</v>
      </c>
      <c r="O3147" s="5">
        <v>44971</v>
      </c>
      <c r="P3147" s="5">
        <v>44971</v>
      </c>
      <c r="Q3147" s="1">
        <v>5.95</v>
      </c>
      <c r="R3147" s="2">
        <v>0.81</v>
      </c>
      <c r="S3147" s="6">
        <v>0.77099882388999996</v>
      </c>
      <c r="T3147" t="s">
        <v>111</v>
      </c>
      <c r="U3147" t="s">
        <v>11040</v>
      </c>
      <c r="V3147" t="s">
        <v>11041</v>
      </c>
      <c r="W3147" t="s">
        <v>43</v>
      </c>
      <c r="X3147" t="s">
        <v>11034</v>
      </c>
      <c r="Y3147" t="s">
        <v>44</v>
      </c>
      <c r="Z3147" t="s">
        <v>44</v>
      </c>
      <c r="AA3147" t="s">
        <v>11035</v>
      </c>
      <c r="AB3147" t="s">
        <v>44</v>
      </c>
      <c r="AC3147" s="4">
        <v>6.0068705900000001</v>
      </c>
      <c r="AD3147" s="4">
        <v>5.8475737299999997</v>
      </c>
      <c r="AE3147" s="2">
        <v>6.01</v>
      </c>
      <c r="AF3147" s="4">
        <v>5.8475737299999997</v>
      </c>
      <c r="AG3147" s="2">
        <v>8.49</v>
      </c>
      <c r="AH3147" s="2">
        <v>5051907.79</v>
      </c>
      <c r="AI3147" s="2">
        <v>0.01</v>
      </c>
      <c r="AJ3147" s="5">
        <v>44673</v>
      </c>
      <c r="AK3147" t="s">
        <v>12644</v>
      </c>
      <c r="AL3147" s="2">
        <v>5.92</v>
      </c>
      <c r="AM3147" s="2">
        <v>5.95</v>
      </c>
      <c r="AN3147" s="2">
        <v>0.77</v>
      </c>
      <c r="AO3147" t="s">
        <v>11036</v>
      </c>
      <c r="AP3147" t="s">
        <v>11044</v>
      </c>
      <c r="AQ3147" t="s">
        <v>11043</v>
      </c>
    </row>
    <row r="3148" spans="1:43" x14ac:dyDescent="0.2">
      <c r="A3148" t="s">
        <v>12643</v>
      </c>
      <c r="B3148" t="s">
        <v>11038</v>
      </c>
      <c r="C3148" t="s">
        <v>11039</v>
      </c>
      <c r="D3148" t="s">
        <v>12838</v>
      </c>
      <c r="E3148" t="s">
        <v>12839</v>
      </c>
      <c r="F3148" t="s">
        <v>12838</v>
      </c>
      <c r="G3148" s="1">
        <v>1000000</v>
      </c>
      <c r="H3148" s="2">
        <v>1000000</v>
      </c>
      <c r="I3148" s="2">
        <v>1001043.16</v>
      </c>
      <c r="J3148" s="2">
        <v>4001.37</v>
      </c>
      <c r="K3148" s="2">
        <v>0</v>
      </c>
      <c r="L3148" s="2">
        <v>1005044.53</v>
      </c>
      <c r="M3148" s="3">
        <v>6.2045560000000002</v>
      </c>
      <c r="N3148" s="4">
        <v>2.2865799999999999E-3</v>
      </c>
      <c r="O3148" s="5">
        <v>45016</v>
      </c>
      <c r="P3148" s="5">
        <v>45016</v>
      </c>
      <c r="Q3148" s="1">
        <v>6.35</v>
      </c>
      <c r="R3148" s="2">
        <v>0.93</v>
      </c>
      <c r="S3148" s="6">
        <v>0.88061116438999998</v>
      </c>
      <c r="T3148" t="s">
        <v>111</v>
      </c>
      <c r="U3148" t="s">
        <v>11040</v>
      </c>
      <c r="V3148" t="s">
        <v>11041</v>
      </c>
      <c r="W3148" t="s">
        <v>43</v>
      </c>
      <c r="X3148" t="s">
        <v>11034</v>
      </c>
      <c r="Y3148" t="s">
        <v>44</v>
      </c>
      <c r="Z3148" t="s">
        <v>44</v>
      </c>
      <c r="AA3148" t="s">
        <v>10979</v>
      </c>
      <c r="AB3148" t="s">
        <v>44</v>
      </c>
      <c r="AC3148" s="4">
        <v>6.2175109700000002</v>
      </c>
      <c r="AD3148" s="4">
        <v>6.0470648499999999</v>
      </c>
      <c r="AE3148" s="2">
        <v>6.22</v>
      </c>
      <c r="AF3148" s="4">
        <v>6.0470648499999999</v>
      </c>
      <c r="AG3148" s="2">
        <v>1.69</v>
      </c>
      <c r="AH3148" s="2">
        <v>1005044.53</v>
      </c>
      <c r="AI3148" s="2">
        <v>0</v>
      </c>
      <c r="AJ3148" s="5">
        <v>44673</v>
      </c>
      <c r="AK3148" t="s">
        <v>12644</v>
      </c>
      <c r="AL3148" s="2">
        <v>6.12</v>
      </c>
      <c r="AM3148" s="2">
        <v>6.35</v>
      </c>
      <c r="AN3148" s="2">
        <v>0.88</v>
      </c>
      <c r="AO3148" t="s">
        <v>11179</v>
      </c>
      <c r="AP3148" t="s">
        <v>12840</v>
      </c>
      <c r="AQ3148" t="s">
        <v>12839</v>
      </c>
    </row>
    <row r="3149" spans="1:43" x14ac:dyDescent="0.2">
      <c r="A3149" t="s">
        <v>12643</v>
      </c>
      <c r="B3149" t="s">
        <v>11160</v>
      </c>
      <c r="C3149" t="s">
        <v>11161</v>
      </c>
      <c r="D3149" t="s">
        <v>11162</v>
      </c>
      <c r="E3149" t="s">
        <v>11163</v>
      </c>
      <c r="F3149" t="s">
        <v>11162</v>
      </c>
      <c r="G3149" s="1">
        <v>2931</v>
      </c>
      <c r="H3149" s="2">
        <v>1977141.37</v>
      </c>
      <c r="I3149" s="2">
        <v>2637900</v>
      </c>
      <c r="J3149" s="2">
        <v>0</v>
      </c>
      <c r="K3149" s="2">
        <v>73102.350000000006</v>
      </c>
      <c r="L3149" s="2">
        <v>2711002.35</v>
      </c>
      <c r="M3149" s="3">
        <v>90000</v>
      </c>
      <c r="N3149" s="4">
        <v>6.1678200000000001E-3</v>
      </c>
      <c r="O3149" s="5" t="s">
        <v>44</v>
      </c>
      <c r="P3149" s="5" t="s">
        <v>44</v>
      </c>
      <c r="Q3149" s="1"/>
      <c r="R3149" s="2"/>
      <c r="S3149" s="6"/>
      <c r="T3149" t="s">
        <v>10902</v>
      </c>
      <c r="U3149" t="s">
        <v>10902</v>
      </c>
      <c r="V3149" t="s">
        <v>11164</v>
      </c>
      <c r="W3149" t="s">
        <v>43</v>
      </c>
      <c r="X3149" t="s">
        <v>44</v>
      </c>
      <c r="Y3149" t="s">
        <v>44</v>
      </c>
      <c r="Z3149" t="s">
        <v>44</v>
      </c>
      <c r="AA3149" t="s">
        <v>10979</v>
      </c>
      <c r="AB3149" t="s">
        <v>44</v>
      </c>
      <c r="AC3149" s="4"/>
      <c r="AD3149" s="4"/>
      <c r="AE3149" s="2">
        <v>0</v>
      </c>
      <c r="AF3149" s="4">
        <v>0</v>
      </c>
      <c r="AG3149" s="2">
        <v>4.55</v>
      </c>
      <c r="AH3149" s="2">
        <v>2711002.35</v>
      </c>
      <c r="AI3149" s="2">
        <v>0.01</v>
      </c>
      <c r="AJ3149" s="5">
        <v>44673</v>
      </c>
      <c r="AK3149" t="s">
        <v>12644</v>
      </c>
      <c r="AL3149" s="2">
        <v>0</v>
      </c>
      <c r="AM3149" s="2">
        <v>0</v>
      </c>
      <c r="AN3149" s="2">
        <v>0</v>
      </c>
      <c r="AO3149" t="s">
        <v>11165</v>
      </c>
      <c r="AP3149" t="s">
        <v>11166</v>
      </c>
      <c r="AQ3149" t="s">
        <v>11163</v>
      </c>
    </row>
    <row r="3150" spans="1:43" x14ac:dyDescent="0.2">
      <c r="A3150" t="s">
        <v>12643</v>
      </c>
      <c r="B3150" t="s">
        <v>11160</v>
      </c>
      <c r="C3150" t="s">
        <v>11161</v>
      </c>
      <c r="D3150" t="s">
        <v>11167</v>
      </c>
      <c r="E3150" t="s">
        <v>11168</v>
      </c>
      <c r="F3150" t="s">
        <v>11167</v>
      </c>
      <c r="G3150" s="1">
        <v>19408</v>
      </c>
      <c r="H3150" s="2">
        <v>1755197.27</v>
      </c>
      <c r="I3150" s="2">
        <v>1875783.2</v>
      </c>
      <c r="J3150" s="2">
        <v>0</v>
      </c>
      <c r="K3150" s="2">
        <v>0</v>
      </c>
      <c r="L3150" s="2">
        <v>1875783.2</v>
      </c>
      <c r="M3150" s="3">
        <v>9665</v>
      </c>
      <c r="N3150" s="4">
        <v>4.2676099999999998E-3</v>
      </c>
      <c r="O3150" s="5" t="s">
        <v>44</v>
      </c>
      <c r="P3150" s="5" t="s">
        <v>44</v>
      </c>
      <c r="Q3150" s="1"/>
      <c r="R3150" s="2"/>
      <c r="S3150" s="6"/>
      <c r="T3150" t="s">
        <v>10902</v>
      </c>
      <c r="U3150" t="s">
        <v>10902</v>
      </c>
      <c r="V3150" t="s">
        <v>11164</v>
      </c>
      <c r="W3150" t="s">
        <v>43</v>
      </c>
      <c r="X3150" t="s">
        <v>11164</v>
      </c>
      <c r="Y3150" t="s">
        <v>44</v>
      </c>
      <c r="Z3150" t="s">
        <v>44</v>
      </c>
      <c r="AA3150" t="s">
        <v>44</v>
      </c>
      <c r="AB3150" t="s">
        <v>44</v>
      </c>
      <c r="AC3150" s="4"/>
      <c r="AD3150" s="4"/>
      <c r="AE3150" s="2">
        <v>0</v>
      </c>
      <c r="AF3150" s="4">
        <v>0</v>
      </c>
      <c r="AG3150" s="2">
        <v>3.15</v>
      </c>
      <c r="AH3150" s="2">
        <v>1875783.2</v>
      </c>
      <c r="AI3150" s="2">
        <v>0</v>
      </c>
      <c r="AJ3150" s="5">
        <v>44673</v>
      </c>
      <c r="AK3150" t="s">
        <v>12644</v>
      </c>
      <c r="AL3150" s="2">
        <v>0</v>
      </c>
      <c r="AM3150" s="2">
        <v>0</v>
      </c>
      <c r="AN3150" s="2">
        <v>0</v>
      </c>
      <c r="AO3150" t="s">
        <v>44</v>
      </c>
      <c r="AP3150" t="s">
        <v>11169</v>
      </c>
      <c r="AQ3150" t="s">
        <v>11168</v>
      </c>
    </row>
    <row r="3151" spans="1:43" x14ac:dyDescent="0.2">
      <c r="A3151" t="s">
        <v>12643</v>
      </c>
      <c r="B3151" t="s">
        <v>11160</v>
      </c>
      <c r="C3151" t="s">
        <v>11161</v>
      </c>
      <c r="D3151" t="s">
        <v>11170</v>
      </c>
      <c r="E3151" t="s">
        <v>11171</v>
      </c>
      <c r="F3151" t="s">
        <v>11170</v>
      </c>
      <c r="G3151" s="1">
        <v>14672</v>
      </c>
      <c r="H3151" s="2">
        <v>1074808.8600000001</v>
      </c>
      <c r="I3151" s="2">
        <v>1413500.48</v>
      </c>
      <c r="J3151" s="2">
        <v>0</v>
      </c>
      <c r="K3151" s="2">
        <v>0</v>
      </c>
      <c r="L3151" s="2">
        <v>1413500.48</v>
      </c>
      <c r="M3151" s="3">
        <v>9634</v>
      </c>
      <c r="N3151" s="4">
        <v>3.21587E-3</v>
      </c>
      <c r="O3151" s="5" t="s">
        <v>44</v>
      </c>
      <c r="P3151" s="5" t="s">
        <v>44</v>
      </c>
      <c r="Q3151" s="1"/>
      <c r="R3151" s="2"/>
      <c r="S3151" s="6"/>
      <c r="T3151" t="s">
        <v>10902</v>
      </c>
      <c r="U3151" t="s">
        <v>10902</v>
      </c>
      <c r="V3151" t="s">
        <v>11164</v>
      </c>
      <c r="W3151" t="s">
        <v>43</v>
      </c>
      <c r="X3151" t="s">
        <v>44</v>
      </c>
      <c r="Y3151" t="s">
        <v>44</v>
      </c>
      <c r="Z3151" t="s">
        <v>44</v>
      </c>
      <c r="AA3151" t="s">
        <v>44</v>
      </c>
      <c r="AB3151" t="s">
        <v>44</v>
      </c>
      <c r="AC3151" s="4"/>
      <c r="AD3151" s="4"/>
      <c r="AE3151" s="2">
        <v>0</v>
      </c>
      <c r="AF3151" s="4">
        <v>0</v>
      </c>
      <c r="AG3151" s="2">
        <v>2.37</v>
      </c>
      <c r="AH3151" s="2">
        <v>1413500.48</v>
      </c>
      <c r="AI3151" s="2">
        <v>0</v>
      </c>
      <c r="AJ3151" s="5">
        <v>44673</v>
      </c>
      <c r="AK3151" t="s">
        <v>12644</v>
      </c>
      <c r="AL3151" s="2">
        <v>0</v>
      </c>
      <c r="AM3151" s="2">
        <v>0</v>
      </c>
      <c r="AN3151" s="2">
        <v>0</v>
      </c>
      <c r="AO3151" t="s">
        <v>44</v>
      </c>
      <c r="AP3151" t="s">
        <v>11172</v>
      </c>
      <c r="AQ3151" t="s">
        <v>11171</v>
      </c>
    </row>
    <row r="3152" spans="1:43" x14ac:dyDescent="0.2">
      <c r="A3152" t="s">
        <v>12643</v>
      </c>
      <c r="B3152" t="s">
        <v>11160</v>
      </c>
      <c r="C3152" t="s">
        <v>11161</v>
      </c>
      <c r="D3152" t="s">
        <v>11173</v>
      </c>
      <c r="E3152" t="s">
        <v>11174</v>
      </c>
      <c r="F3152" t="s">
        <v>11173</v>
      </c>
      <c r="G3152" s="1">
        <v>4442</v>
      </c>
      <c r="H3152" s="2">
        <v>356606.63</v>
      </c>
      <c r="I3152" s="2">
        <v>382012</v>
      </c>
      <c r="J3152" s="2">
        <v>0</v>
      </c>
      <c r="K3152" s="2">
        <v>0</v>
      </c>
      <c r="L3152" s="2">
        <v>382012</v>
      </c>
      <c r="M3152" s="3">
        <v>8600</v>
      </c>
      <c r="N3152" s="4">
        <v>8.6912000000000003E-4</v>
      </c>
      <c r="O3152" s="5" t="s">
        <v>44</v>
      </c>
      <c r="P3152" s="5" t="s">
        <v>44</v>
      </c>
      <c r="Q3152" s="1"/>
      <c r="R3152" s="2"/>
      <c r="S3152" s="6"/>
      <c r="T3152" t="s">
        <v>10902</v>
      </c>
      <c r="U3152" t="s">
        <v>10902</v>
      </c>
      <c r="V3152" t="s">
        <v>11164</v>
      </c>
      <c r="W3152" t="s">
        <v>43</v>
      </c>
      <c r="X3152" t="s">
        <v>44</v>
      </c>
      <c r="Y3152" t="s">
        <v>44</v>
      </c>
      <c r="Z3152" t="s">
        <v>44</v>
      </c>
      <c r="AA3152" t="s">
        <v>44</v>
      </c>
      <c r="AB3152" t="s">
        <v>44</v>
      </c>
      <c r="AC3152" s="4"/>
      <c r="AD3152" s="4"/>
      <c r="AE3152" s="2">
        <v>0</v>
      </c>
      <c r="AF3152" s="4">
        <v>0</v>
      </c>
      <c r="AG3152" s="2">
        <v>0.64</v>
      </c>
      <c r="AH3152" s="2">
        <v>382012</v>
      </c>
      <c r="AI3152" s="2">
        <v>0</v>
      </c>
      <c r="AJ3152" s="5">
        <v>44673</v>
      </c>
      <c r="AK3152" t="s">
        <v>12644</v>
      </c>
      <c r="AL3152" s="2">
        <v>0</v>
      </c>
      <c r="AM3152" s="2">
        <v>0</v>
      </c>
      <c r="AN3152" s="2">
        <v>0</v>
      </c>
      <c r="AO3152" t="s">
        <v>44</v>
      </c>
      <c r="AP3152" t="s">
        <v>11175</v>
      </c>
      <c r="AQ3152" t="s">
        <v>11174</v>
      </c>
    </row>
    <row r="3153" spans="1:43" x14ac:dyDescent="0.2">
      <c r="A3153" t="s">
        <v>12643</v>
      </c>
      <c r="B3153" t="s">
        <v>11160</v>
      </c>
      <c r="C3153" t="s">
        <v>11161</v>
      </c>
      <c r="D3153" t="s">
        <v>11176</v>
      </c>
      <c r="E3153" t="s">
        <v>11177</v>
      </c>
      <c r="F3153" t="s">
        <v>11178</v>
      </c>
      <c r="G3153" s="1">
        <v>8312</v>
      </c>
      <c r="H3153" s="2">
        <v>733885.28</v>
      </c>
      <c r="I3153" s="2">
        <v>767945.68</v>
      </c>
      <c r="J3153" s="2">
        <v>0</v>
      </c>
      <c r="K3153" s="2">
        <v>0</v>
      </c>
      <c r="L3153" s="2">
        <v>767945.68</v>
      </c>
      <c r="M3153" s="3">
        <v>9239</v>
      </c>
      <c r="N3153" s="4">
        <v>1.74716E-3</v>
      </c>
      <c r="O3153" s="5" t="s">
        <v>44</v>
      </c>
      <c r="P3153" s="5" t="s">
        <v>44</v>
      </c>
      <c r="Q3153" s="1"/>
      <c r="R3153" s="2"/>
      <c r="S3153" s="6"/>
      <c r="T3153" t="s">
        <v>10902</v>
      </c>
      <c r="U3153" t="s">
        <v>10902</v>
      </c>
      <c r="V3153" t="s">
        <v>11164</v>
      </c>
      <c r="W3153" t="s">
        <v>43</v>
      </c>
      <c r="X3153" t="s">
        <v>44</v>
      </c>
      <c r="Y3153" t="s">
        <v>44</v>
      </c>
      <c r="Z3153" t="s">
        <v>44</v>
      </c>
      <c r="AA3153" t="s">
        <v>10979</v>
      </c>
      <c r="AB3153" t="s">
        <v>44</v>
      </c>
      <c r="AC3153" s="4"/>
      <c r="AD3153" s="4"/>
      <c r="AE3153" s="2">
        <v>0</v>
      </c>
      <c r="AF3153" s="4">
        <v>0</v>
      </c>
      <c r="AG3153" s="2">
        <v>1.29</v>
      </c>
      <c r="AH3153" s="2">
        <v>767945.68</v>
      </c>
      <c r="AI3153" s="2">
        <v>0</v>
      </c>
      <c r="AJ3153" s="5">
        <v>44673</v>
      </c>
      <c r="AK3153" t="s">
        <v>12644</v>
      </c>
      <c r="AL3153" s="2">
        <v>0</v>
      </c>
      <c r="AM3153" s="2">
        <v>0</v>
      </c>
      <c r="AN3153" s="2">
        <v>0</v>
      </c>
      <c r="AO3153" t="s">
        <v>11179</v>
      </c>
      <c r="AP3153" t="s">
        <v>11180</v>
      </c>
      <c r="AQ3153" t="s">
        <v>11177</v>
      </c>
    </row>
    <row r="3154" spans="1:43" x14ac:dyDescent="0.2">
      <c r="A3154" t="s">
        <v>12643</v>
      </c>
      <c r="B3154" t="s">
        <v>10951</v>
      </c>
      <c r="C3154" t="s">
        <v>10952</v>
      </c>
      <c r="D3154" t="s">
        <v>11028</v>
      </c>
      <c r="E3154" t="s">
        <v>11029</v>
      </c>
      <c r="F3154" t="s">
        <v>11028</v>
      </c>
      <c r="G3154" s="1">
        <v>2941504.3509999998</v>
      </c>
      <c r="H3154" s="2">
        <v>2963187.89</v>
      </c>
      <c r="I3154" s="2">
        <v>2945328.31</v>
      </c>
      <c r="J3154" s="2">
        <v>0</v>
      </c>
      <c r="K3154" s="2">
        <v>0</v>
      </c>
      <c r="L3154" s="2">
        <v>2945328.31</v>
      </c>
      <c r="M3154" s="3">
        <v>1.0013000000000001</v>
      </c>
      <c r="N3154" s="4">
        <v>6.7009399999999998E-3</v>
      </c>
      <c r="O3154" s="5" t="s">
        <v>44</v>
      </c>
      <c r="P3154" s="5" t="s">
        <v>44</v>
      </c>
      <c r="Q3154" s="1"/>
      <c r="R3154" s="2"/>
      <c r="S3154" s="6"/>
      <c r="T3154" t="s">
        <v>10902</v>
      </c>
      <c r="U3154" t="s">
        <v>10953</v>
      </c>
      <c r="V3154" t="s">
        <v>10954</v>
      </c>
      <c r="W3154" t="s">
        <v>43</v>
      </c>
      <c r="X3154" t="s">
        <v>44</v>
      </c>
      <c r="Y3154" t="s">
        <v>44</v>
      </c>
      <c r="Z3154" t="s">
        <v>44</v>
      </c>
      <c r="AA3154" t="s">
        <v>44</v>
      </c>
      <c r="AB3154" t="s">
        <v>44</v>
      </c>
      <c r="AC3154" s="4"/>
      <c r="AD3154" s="4"/>
      <c r="AE3154" s="2">
        <v>0</v>
      </c>
      <c r="AF3154" s="4">
        <v>0</v>
      </c>
      <c r="AG3154" s="2">
        <v>4.95</v>
      </c>
      <c r="AH3154" s="2">
        <v>2945328.31</v>
      </c>
      <c r="AI3154" s="2">
        <v>0.01</v>
      </c>
      <c r="AJ3154" s="5">
        <v>44673</v>
      </c>
      <c r="AK3154" t="s">
        <v>12644</v>
      </c>
      <c r="AL3154" s="2">
        <v>0</v>
      </c>
      <c r="AM3154" s="2">
        <v>0</v>
      </c>
      <c r="AN3154" s="2">
        <v>0</v>
      </c>
      <c r="AO3154" t="s">
        <v>44</v>
      </c>
      <c r="AP3154" t="s">
        <v>44</v>
      </c>
      <c r="AQ3154" t="s">
        <v>11029</v>
      </c>
    </row>
    <row r="3155" spans="1:43" x14ac:dyDescent="0.2">
      <c r="A3155" t="s">
        <v>12643</v>
      </c>
      <c r="B3155" t="s">
        <v>11030</v>
      </c>
      <c r="C3155" t="s">
        <v>11030</v>
      </c>
      <c r="D3155" t="s">
        <v>12724</v>
      </c>
      <c r="E3155" t="s">
        <v>12717</v>
      </c>
      <c r="F3155" t="s">
        <v>12724</v>
      </c>
      <c r="G3155" s="1">
        <v>-19</v>
      </c>
      <c r="H3155" s="2"/>
      <c r="I3155" s="2">
        <v>0</v>
      </c>
      <c r="J3155" s="2"/>
      <c r="K3155" s="2"/>
      <c r="L3155" s="2">
        <v>0</v>
      </c>
      <c r="M3155" s="3"/>
      <c r="N3155" s="4">
        <v>0</v>
      </c>
      <c r="O3155" s="5" t="s">
        <v>44</v>
      </c>
      <c r="P3155" s="5" t="s">
        <v>44</v>
      </c>
      <c r="Q3155" s="1"/>
      <c r="R3155" s="2"/>
      <c r="S3155" s="6"/>
      <c r="T3155" t="s">
        <v>11031</v>
      </c>
      <c r="U3155" t="s">
        <v>11032</v>
      </c>
      <c r="V3155" t="s">
        <v>45</v>
      </c>
      <c r="W3155" t="s">
        <v>43</v>
      </c>
      <c r="X3155" t="s">
        <v>44</v>
      </c>
      <c r="Y3155" t="s">
        <v>44</v>
      </c>
      <c r="Z3155" t="s">
        <v>44</v>
      </c>
      <c r="AA3155" t="s">
        <v>44</v>
      </c>
      <c r="AB3155" t="s">
        <v>44</v>
      </c>
      <c r="AC3155" s="4"/>
      <c r="AD3155" s="4"/>
      <c r="AE3155" s="2">
        <v>0</v>
      </c>
      <c r="AF3155" s="4">
        <v>0</v>
      </c>
      <c r="AG3155" s="2">
        <v>0</v>
      </c>
      <c r="AH3155" s="2">
        <v>12529170</v>
      </c>
      <c r="AI3155" s="2">
        <v>0.03</v>
      </c>
      <c r="AJ3155" s="5">
        <v>44673</v>
      </c>
      <c r="AK3155" t="s">
        <v>12644</v>
      </c>
      <c r="AL3155" s="2">
        <v>0</v>
      </c>
      <c r="AM3155" s="2">
        <v>0</v>
      </c>
      <c r="AN3155" s="2">
        <v>0</v>
      </c>
      <c r="AO3155" t="s">
        <v>44</v>
      </c>
      <c r="AP3155" t="s">
        <v>44</v>
      </c>
      <c r="AQ3155" t="s">
        <v>11182</v>
      </c>
    </row>
    <row r="3156" spans="1:43" x14ac:dyDescent="0.2">
      <c r="A3156" t="s">
        <v>12643</v>
      </c>
      <c r="B3156" t="s">
        <v>11030</v>
      </c>
      <c r="C3156" t="s">
        <v>11030</v>
      </c>
      <c r="D3156" t="s">
        <v>12725</v>
      </c>
      <c r="E3156" t="s">
        <v>12719</v>
      </c>
      <c r="F3156" t="s">
        <v>12725</v>
      </c>
      <c r="G3156" s="1">
        <v>34</v>
      </c>
      <c r="H3156" s="2"/>
      <c r="I3156" s="2">
        <v>0</v>
      </c>
      <c r="J3156" s="2"/>
      <c r="K3156" s="2"/>
      <c r="L3156" s="2">
        <v>0</v>
      </c>
      <c r="M3156" s="3"/>
      <c r="N3156" s="4">
        <v>0</v>
      </c>
      <c r="O3156" s="5" t="s">
        <v>44</v>
      </c>
      <c r="P3156" s="5" t="s">
        <v>44</v>
      </c>
      <c r="Q3156" s="1"/>
      <c r="R3156" s="2"/>
      <c r="S3156" s="6"/>
      <c r="T3156" t="s">
        <v>11031</v>
      </c>
      <c r="U3156" t="s">
        <v>11183</v>
      </c>
      <c r="V3156" t="s">
        <v>45</v>
      </c>
      <c r="W3156" t="s">
        <v>43</v>
      </c>
      <c r="X3156" t="s">
        <v>44</v>
      </c>
      <c r="Y3156" t="s">
        <v>44</v>
      </c>
      <c r="Z3156" t="s">
        <v>44</v>
      </c>
      <c r="AA3156" t="s">
        <v>44</v>
      </c>
      <c r="AB3156" t="s">
        <v>44</v>
      </c>
      <c r="AC3156" s="4"/>
      <c r="AD3156" s="4"/>
      <c r="AE3156" s="2">
        <v>0</v>
      </c>
      <c r="AF3156" s="4">
        <v>0</v>
      </c>
      <c r="AG3156" s="2">
        <v>0</v>
      </c>
      <c r="AH3156" s="2">
        <v>-8332946.2699999996</v>
      </c>
      <c r="AI3156" s="2">
        <v>-0.02</v>
      </c>
      <c r="AJ3156" s="5">
        <v>44673</v>
      </c>
      <c r="AK3156" t="s">
        <v>12644</v>
      </c>
      <c r="AL3156" s="2">
        <v>0</v>
      </c>
      <c r="AM3156" s="2">
        <v>0</v>
      </c>
      <c r="AN3156" s="2">
        <v>0</v>
      </c>
      <c r="AO3156" t="s">
        <v>44</v>
      </c>
      <c r="AP3156" t="s">
        <v>44</v>
      </c>
      <c r="AQ3156" t="s">
        <v>11182</v>
      </c>
    </row>
    <row r="3157" spans="1:43" x14ac:dyDescent="0.2">
      <c r="A3157" t="s">
        <v>12643</v>
      </c>
      <c r="B3157" t="s">
        <v>11030</v>
      </c>
      <c r="C3157" t="s">
        <v>11030</v>
      </c>
      <c r="D3157" t="s">
        <v>11181</v>
      </c>
      <c r="E3157" t="s">
        <v>11151</v>
      </c>
      <c r="F3157" t="s">
        <v>11181</v>
      </c>
      <c r="G3157" s="1">
        <v>26</v>
      </c>
      <c r="H3157" s="2"/>
      <c r="I3157" s="2">
        <v>0</v>
      </c>
      <c r="J3157" s="2"/>
      <c r="K3157" s="2"/>
      <c r="L3157" s="2">
        <v>0</v>
      </c>
      <c r="M3157" s="3"/>
      <c r="N3157" s="4">
        <v>0</v>
      </c>
      <c r="O3157" s="5" t="s">
        <v>44</v>
      </c>
      <c r="P3157" s="5" t="s">
        <v>44</v>
      </c>
      <c r="Q3157" s="1"/>
      <c r="R3157" s="2"/>
      <c r="S3157" s="6"/>
      <c r="T3157" t="s">
        <v>11031</v>
      </c>
      <c r="U3157" t="s">
        <v>11032</v>
      </c>
      <c r="V3157" t="s">
        <v>45</v>
      </c>
      <c r="W3157" t="s">
        <v>43</v>
      </c>
      <c r="X3157" t="s">
        <v>44</v>
      </c>
      <c r="Y3157" t="s">
        <v>44</v>
      </c>
      <c r="Z3157" t="s">
        <v>44</v>
      </c>
      <c r="AA3157" t="s">
        <v>44</v>
      </c>
      <c r="AB3157" t="s">
        <v>44</v>
      </c>
      <c r="AC3157" s="4"/>
      <c r="AD3157" s="4"/>
      <c r="AE3157" s="2">
        <v>0</v>
      </c>
      <c r="AF3157" s="4">
        <v>0</v>
      </c>
      <c r="AG3157" s="2">
        <v>0</v>
      </c>
      <c r="AH3157" s="2">
        <v>-17083040</v>
      </c>
      <c r="AI3157" s="2">
        <v>-0.04</v>
      </c>
      <c r="AJ3157" s="5">
        <v>44673</v>
      </c>
      <c r="AK3157" t="s">
        <v>12644</v>
      </c>
      <c r="AL3157" s="2">
        <v>0</v>
      </c>
      <c r="AM3157" s="2">
        <v>0</v>
      </c>
      <c r="AN3157" s="2">
        <v>0</v>
      </c>
      <c r="AO3157" t="s">
        <v>44</v>
      </c>
      <c r="AP3157" t="s">
        <v>44</v>
      </c>
      <c r="AQ3157" t="s">
        <v>11182</v>
      </c>
    </row>
    <row r="3158" spans="1:43" x14ac:dyDescent="0.2">
      <c r="A3158" t="s">
        <v>12643</v>
      </c>
      <c r="B3158" t="s">
        <v>11030</v>
      </c>
      <c r="C3158" t="s">
        <v>11030</v>
      </c>
      <c r="D3158" t="s">
        <v>13001</v>
      </c>
      <c r="E3158" t="s">
        <v>12995</v>
      </c>
      <c r="F3158" t="s">
        <v>13001</v>
      </c>
      <c r="G3158" s="1">
        <v>-9</v>
      </c>
      <c r="H3158" s="2"/>
      <c r="I3158" s="2">
        <v>0</v>
      </c>
      <c r="J3158" s="2"/>
      <c r="K3158" s="2"/>
      <c r="L3158" s="2">
        <v>0</v>
      </c>
      <c r="M3158" s="3"/>
      <c r="N3158" s="4">
        <v>0</v>
      </c>
      <c r="O3158" s="5" t="s">
        <v>44</v>
      </c>
      <c r="P3158" s="5" t="s">
        <v>44</v>
      </c>
      <c r="Q3158" s="1"/>
      <c r="R3158" s="2"/>
      <c r="S3158" s="6"/>
      <c r="T3158" t="s">
        <v>11031</v>
      </c>
      <c r="U3158" t="s">
        <v>11183</v>
      </c>
      <c r="V3158" t="s">
        <v>45</v>
      </c>
      <c r="W3158" t="s">
        <v>43</v>
      </c>
      <c r="X3158" t="s">
        <v>44</v>
      </c>
      <c r="Y3158" t="s">
        <v>44</v>
      </c>
      <c r="Z3158" t="s">
        <v>44</v>
      </c>
      <c r="AA3158" t="s">
        <v>44</v>
      </c>
      <c r="AB3158" t="s">
        <v>44</v>
      </c>
      <c r="AC3158" s="4"/>
      <c r="AD3158" s="4"/>
      <c r="AE3158" s="2">
        <v>0</v>
      </c>
      <c r="AF3158" s="4">
        <v>0</v>
      </c>
      <c r="AG3158" s="2">
        <v>0</v>
      </c>
      <c r="AH3158" s="2">
        <v>-1789452.54</v>
      </c>
      <c r="AI3158" s="2">
        <v>0</v>
      </c>
      <c r="AJ3158" s="5">
        <v>44673</v>
      </c>
      <c r="AK3158" t="s">
        <v>12644</v>
      </c>
      <c r="AL3158" s="2">
        <v>0</v>
      </c>
      <c r="AM3158" s="2">
        <v>0</v>
      </c>
      <c r="AN3158" s="2">
        <v>0</v>
      </c>
      <c r="AO3158" t="s">
        <v>44</v>
      </c>
      <c r="AP3158" t="s">
        <v>44</v>
      </c>
      <c r="AQ3158" t="s">
        <v>11182</v>
      </c>
    </row>
    <row r="3159" spans="1:43" x14ac:dyDescent="0.2">
      <c r="A3159" t="s">
        <v>12643</v>
      </c>
      <c r="B3159" t="s">
        <v>11030</v>
      </c>
      <c r="C3159" t="s">
        <v>11030</v>
      </c>
      <c r="D3159" t="s">
        <v>11184</v>
      </c>
      <c r="E3159" t="s">
        <v>11155</v>
      </c>
      <c r="F3159" t="s">
        <v>11184</v>
      </c>
      <c r="G3159" s="1">
        <v>-20</v>
      </c>
      <c r="H3159" s="2"/>
      <c r="I3159" s="2">
        <v>0</v>
      </c>
      <c r="J3159" s="2"/>
      <c r="K3159" s="2"/>
      <c r="L3159" s="2">
        <v>0</v>
      </c>
      <c r="M3159" s="3"/>
      <c r="N3159" s="4">
        <v>0</v>
      </c>
      <c r="O3159" s="5" t="s">
        <v>44</v>
      </c>
      <c r="P3159" s="5" t="s">
        <v>44</v>
      </c>
      <c r="Q3159" s="1"/>
      <c r="R3159" s="2"/>
      <c r="S3159" s="6"/>
      <c r="T3159" t="s">
        <v>11031</v>
      </c>
      <c r="U3159" t="s">
        <v>11183</v>
      </c>
      <c r="V3159" t="s">
        <v>45</v>
      </c>
      <c r="W3159" t="s">
        <v>43</v>
      </c>
      <c r="X3159" t="s">
        <v>44</v>
      </c>
      <c r="Y3159" t="s">
        <v>44</v>
      </c>
      <c r="Z3159" t="s">
        <v>44</v>
      </c>
      <c r="AA3159" t="s">
        <v>44</v>
      </c>
      <c r="AB3159" t="s">
        <v>44</v>
      </c>
      <c r="AC3159" s="4"/>
      <c r="AD3159" s="4"/>
      <c r="AE3159" s="2">
        <v>0</v>
      </c>
      <c r="AF3159" s="4">
        <v>0</v>
      </c>
      <c r="AG3159" s="2">
        <v>0</v>
      </c>
      <c r="AH3159" s="2">
        <v>483761.87</v>
      </c>
      <c r="AI3159" s="2">
        <v>0</v>
      </c>
      <c r="AJ3159" s="5">
        <v>44673</v>
      </c>
      <c r="AK3159" t="s">
        <v>12644</v>
      </c>
      <c r="AL3159" s="2">
        <v>0</v>
      </c>
      <c r="AM3159" s="2">
        <v>0</v>
      </c>
      <c r="AN3159" s="2">
        <v>0</v>
      </c>
      <c r="AO3159" t="s">
        <v>44</v>
      </c>
      <c r="AP3159" t="s">
        <v>44</v>
      </c>
      <c r="AQ3159" t="s">
        <v>11182</v>
      </c>
    </row>
    <row r="3160" spans="1:43" x14ac:dyDescent="0.2">
      <c r="A3160" t="s">
        <v>12643</v>
      </c>
      <c r="B3160" t="s">
        <v>11030</v>
      </c>
      <c r="C3160" t="s">
        <v>11030</v>
      </c>
      <c r="D3160" t="s">
        <v>11185</v>
      </c>
      <c r="E3160" t="s">
        <v>11157</v>
      </c>
      <c r="F3160" t="s">
        <v>11185</v>
      </c>
      <c r="G3160" s="1">
        <v>-8</v>
      </c>
      <c r="H3160" s="2"/>
      <c r="I3160" s="2">
        <v>0</v>
      </c>
      <c r="J3160" s="2"/>
      <c r="K3160" s="2"/>
      <c r="L3160" s="2">
        <v>0</v>
      </c>
      <c r="M3160" s="3"/>
      <c r="N3160" s="4">
        <v>0</v>
      </c>
      <c r="O3160" s="5" t="s">
        <v>44</v>
      </c>
      <c r="P3160" s="5" t="s">
        <v>44</v>
      </c>
      <c r="Q3160" s="1"/>
      <c r="R3160" s="2"/>
      <c r="S3160" s="6"/>
      <c r="T3160" t="s">
        <v>11031</v>
      </c>
      <c r="U3160" t="s">
        <v>11032</v>
      </c>
      <c r="V3160" t="s">
        <v>45</v>
      </c>
      <c r="W3160" t="s">
        <v>43</v>
      </c>
      <c r="X3160" t="s">
        <v>44</v>
      </c>
      <c r="Y3160" t="s">
        <v>44</v>
      </c>
      <c r="Z3160" t="s">
        <v>44</v>
      </c>
      <c r="AA3160" t="s">
        <v>44</v>
      </c>
      <c r="AB3160" t="s">
        <v>44</v>
      </c>
      <c r="AC3160" s="4"/>
      <c r="AD3160" s="4"/>
      <c r="AE3160" s="2">
        <v>0</v>
      </c>
      <c r="AF3160" s="4">
        <v>0</v>
      </c>
      <c r="AG3160" s="2">
        <v>0</v>
      </c>
      <c r="AH3160" s="2">
        <v>5259280</v>
      </c>
      <c r="AI3160" s="2">
        <v>0.01</v>
      </c>
      <c r="AJ3160" s="5">
        <v>44673</v>
      </c>
      <c r="AK3160" t="s">
        <v>12644</v>
      </c>
      <c r="AL3160" s="2">
        <v>0</v>
      </c>
      <c r="AM3160" s="2">
        <v>0</v>
      </c>
      <c r="AN3160" s="2">
        <v>0</v>
      </c>
      <c r="AO3160" t="s">
        <v>44</v>
      </c>
      <c r="AP3160" t="s">
        <v>44</v>
      </c>
      <c r="AQ3160" t="s">
        <v>11182</v>
      </c>
    </row>
    <row r="3161" spans="1:43" x14ac:dyDescent="0.2">
      <c r="A3161" t="s">
        <v>12643</v>
      </c>
      <c r="B3161" t="s">
        <v>11030</v>
      </c>
      <c r="C3161" t="s">
        <v>11030</v>
      </c>
      <c r="D3161" t="s">
        <v>12743</v>
      </c>
      <c r="E3161" t="s">
        <v>12738</v>
      </c>
      <c r="F3161" t="s">
        <v>12743</v>
      </c>
      <c r="G3161" s="1">
        <v>27</v>
      </c>
      <c r="H3161" s="2"/>
      <c r="I3161" s="2">
        <v>0</v>
      </c>
      <c r="J3161" s="2"/>
      <c r="K3161" s="2"/>
      <c r="L3161" s="2">
        <v>0</v>
      </c>
      <c r="M3161" s="3"/>
      <c r="N3161" s="4">
        <v>0</v>
      </c>
      <c r="O3161" s="5" t="s">
        <v>44</v>
      </c>
      <c r="P3161" s="5" t="s">
        <v>44</v>
      </c>
      <c r="Q3161" s="1"/>
      <c r="R3161" s="2"/>
      <c r="S3161" s="6"/>
      <c r="T3161" t="s">
        <v>11031</v>
      </c>
      <c r="U3161" t="s">
        <v>11183</v>
      </c>
      <c r="V3161" t="s">
        <v>45</v>
      </c>
      <c r="W3161" t="s">
        <v>43</v>
      </c>
      <c r="X3161" t="s">
        <v>44</v>
      </c>
      <c r="Y3161" t="s">
        <v>44</v>
      </c>
      <c r="Z3161" t="s">
        <v>44</v>
      </c>
      <c r="AA3161" t="s">
        <v>44</v>
      </c>
      <c r="AB3161" t="s">
        <v>44</v>
      </c>
      <c r="AC3161" s="4"/>
      <c r="AD3161" s="4"/>
      <c r="AE3161" s="2">
        <v>0</v>
      </c>
      <c r="AF3161" s="4">
        <v>0</v>
      </c>
      <c r="AG3161" s="2">
        <v>0</v>
      </c>
      <c r="AH3161" s="2">
        <v>-6400614.4299999997</v>
      </c>
      <c r="AI3161" s="2">
        <v>-0.01</v>
      </c>
      <c r="AJ3161" s="5">
        <v>44673</v>
      </c>
      <c r="AK3161" t="s">
        <v>12644</v>
      </c>
      <c r="AL3161" s="2">
        <v>0</v>
      </c>
      <c r="AM3161" s="2">
        <v>0</v>
      </c>
      <c r="AN3161" s="2">
        <v>0</v>
      </c>
      <c r="AO3161" t="s">
        <v>44</v>
      </c>
      <c r="AP3161" t="s">
        <v>44</v>
      </c>
      <c r="AQ3161" t="s">
        <v>11182</v>
      </c>
    </row>
    <row r="3162" spans="1:43" x14ac:dyDescent="0.2">
      <c r="A3162" t="s">
        <v>12643</v>
      </c>
      <c r="B3162" t="s">
        <v>11030</v>
      </c>
      <c r="C3162" t="s">
        <v>11030</v>
      </c>
      <c r="D3162" t="s">
        <v>12726</v>
      </c>
      <c r="E3162" t="s">
        <v>12722</v>
      </c>
      <c r="F3162" t="s">
        <v>12726</v>
      </c>
      <c r="G3162" s="1">
        <v>27</v>
      </c>
      <c r="H3162" s="2"/>
      <c r="I3162" s="2">
        <v>0</v>
      </c>
      <c r="J3162" s="2"/>
      <c r="K3162" s="2"/>
      <c r="L3162" s="2">
        <v>0</v>
      </c>
      <c r="M3162" s="3"/>
      <c r="N3162" s="4">
        <v>0</v>
      </c>
      <c r="O3162" s="5" t="s">
        <v>44</v>
      </c>
      <c r="P3162" s="5" t="s">
        <v>44</v>
      </c>
      <c r="Q3162" s="1"/>
      <c r="R3162" s="2"/>
      <c r="S3162" s="6"/>
      <c r="T3162" t="s">
        <v>11031</v>
      </c>
      <c r="U3162" t="s">
        <v>11183</v>
      </c>
      <c r="V3162" t="s">
        <v>45</v>
      </c>
      <c r="W3162" t="s">
        <v>43</v>
      </c>
      <c r="X3162" t="s">
        <v>44</v>
      </c>
      <c r="Y3162" t="s">
        <v>44</v>
      </c>
      <c r="Z3162" t="s">
        <v>44</v>
      </c>
      <c r="AA3162" t="s">
        <v>44</v>
      </c>
      <c r="AB3162" t="s">
        <v>44</v>
      </c>
      <c r="AC3162" s="4"/>
      <c r="AD3162" s="4"/>
      <c r="AE3162" s="2">
        <v>0</v>
      </c>
      <c r="AF3162" s="4">
        <v>0</v>
      </c>
      <c r="AG3162" s="2">
        <v>0</v>
      </c>
      <c r="AH3162" s="2">
        <v>-5511345.7800000003</v>
      </c>
      <c r="AI3162" s="2">
        <v>-0.01</v>
      </c>
      <c r="AJ3162" s="5">
        <v>44673</v>
      </c>
      <c r="AK3162" t="s">
        <v>12644</v>
      </c>
      <c r="AL3162" s="2">
        <v>0</v>
      </c>
      <c r="AM3162" s="2">
        <v>0</v>
      </c>
      <c r="AN3162" s="2">
        <v>0</v>
      </c>
      <c r="AO3162" t="s">
        <v>44</v>
      </c>
      <c r="AP3162" t="s">
        <v>44</v>
      </c>
      <c r="AQ3162" t="s">
        <v>11182</v>
      </c>
    </row>
    <row r="3163" spans="1:43" x14ac:dyDescent="0.2">
      <c r="A3163" t="s">
        <v>12643</v>
      </c>
      <c r="B3163" t="s">
        <v>11030</v>
      </c>
      <c r="C3163" t="s">
        <v>11030</v>
      </c>
      <c r="D3163" t="s">
        <v>13002</v>
      </c>
      <c r="E3163" t="s">
        <v>12996</v>
      </c>
      <c r="F3163" t="s">
        <v>13002</v>
      </c>
      <c r="G3163" s="1">
        <v>-22</v>
      </c>
      <c r="H3163" s="2"/>
      <c r="I3163" s="2">
        <v>0</v>
      </c>
      <c r="J3163" s="2"/>
      <c r="K3163" s="2"/>
      <c r="L3163" s="2">
        <v>0</v>
      </c>
      <c r="M3163" s="3"/>
      <c r="N3163" s="4">
        <v>0</v>
      </c>
      <c r="O3163" s="5" t="s">
        <v>44</v>
      </c>
      <c r="P3163" s="5" t="s">
        <v>44</v>
      </c>
      <c r="Q3163" s="1"/>
      <c r="R3163" s="2"/>
      <c r="S3163" s="6"/>
      <c r="T3163" t="s">
        <v>11031</v>
      </c>
      <c r="U3163" t="s">
        <v>11183</v>
      </c>
      <c r="V3163" t="s">
        <v>45</v>
      </c>
      <c r="W3163" t="s">
        <v>43</v>
      </c>
      <c r="X3163" t="s">
        <v>44</v>
      </c>
      <c r="Y3163" t="s">
        <v>44</v>
      </c>
      <c r="Z3163" t="s">
        <v>44</v>
      </c>
      <c r="AA3163" t="s">
        <v>44</v>
      </c>
      <c r="AB3163" t="s">
        <v>44</v>
      </c>
      <c r="AC3163" s="4"/>
      <c r="AD3163" s="4"/>
      <c r="AE3163" s="2">
        <v>0</v>
      </c>
      <c r="AF3163" s="4">
        <v>0</v>
      </c>
      <c r="AG3163" s="2">
        <v>0</v>
      </c>
      <c r="AH3163" s="2">
        <v>2125391.58</v>
      </c>
      <c r="AI3163" s="2">
        <v>0</v>
      </c>
      <c r="AJ3163" s="5">
        <v>44673</v>
      </c>
      <c r="AK3163" t="s">
        <v>12644</v>
      </c>
      <c r="AL3163" s="2">
        <v>0</v>
      </c>
      <c r="AM3163" s="2">
        <v>0</v>
      </c>
      <c r="AN3163" s="2">
        <v>0</v>
      </c>
      <c r="AO3163" t="s">
        <v>44</v>
      </c>
      <c r="AP3163" t="s">
        <v>44</v>
      </c>
      <c r="AQ3163" t="s">
        <v>11182</v>
      </c>
    </row>
    <row r="3164" spans="1:43" x14ac:dyDescent="0.2">
      <c r="A3164" t="s">
        <v>12643</v>
      </c>
      <c r="B3164" t="s">
        <v>11030</v>
      </c>
      <c r="C3164" t="s">
        <v>11030</v>
      </c>
      <c r="D3164" t="s">
        <v>12744</v>
      </c>
      <c r="E3164" t="s">
        <v>12739</v>
      </c>
      <c r="F3164" t="s">
        <v>12744</v>
      </c>
      <c r="G3164" s="1">
        <v>-22</v>
      </c>
      <c r="H3164" s="2"/>
      <c r="I3164" s="2">
        <v>0</v>
      </c>
      <c r="J3164" s="2"/>
      <c r="K3164" s="2"/>
      <c r="L3164" s="2">
        <v>0</v>
      </c>
      <c r="M3164" s="3"/>
      <c r="N3164" s="4">
        <v>0</v>
      </c>
      <c r="O3164" s="5" t="s">
        <v>44</v>
      </c>
      <c r="P3164" s="5" t="s">
        <v>44</v>
      </c>
      <c r="Q3164" s="1"/>
      <c r="R3164" s="2"/>
      <c r="S3164" s="6"/>
      <c r="T3164" t="s">
        <v>11031</v>
      </c>
      <c r="U3164" t="s">
        <v>11183</v>
      </c>
      <c r="V3164" t="s">
        <v>45</v>
      </c>
      <c r="W3164" t="s">
        <v>43</v>
      </c>
      <c r="X3164" t="s">
        <v>44</v>
      </c>
      <c r="Y3164" t="s">
        <v>44</v>
      </c>
      <c r="Z3164" t="s">
        <v>44</v>
      </c>
      <c r="AA3164" t="s">
        <v>44</v>
      </c>
      <c r="AB3164" t="s">
        <v>44</v>
      </c>
      <c r="AC3164" s="4"/>
      <c r="AD3164" s="4"/>
      <c r="AE3164" s="2">
        <v>0</v>
      </c>
      <c r="AF3164" s="4">
        <v>0</v>
      </c>
      <c r="AG3164" s="2">
        <v>0</v>
      </c>
      <c r="AH3164" s="2">
        <v>1092454.73</v>
      </c>
      <c r="AI3164" s="2">
        <v>0</v>
      </c>
      <c r="AJ3164" s="5">
        <v>44673</v>
      </c>
      <c r="AK3164" t="s">
        <v>12644</v>
      </c>
      <c r="AL3164" s="2">
        <v>0</v>
      </c>
      <c r="AM3164" s="2">
        <v>0</v>
      </c>
      <c r="AN3164" s="2">
        <v>0</v>
      </c>
      <c r="AO3164" t="s">
        <v>44</v>
      </c>
      <c r="AP3164" t="s">
        <v>44</v>
      </c>
      <c r="AQ3164" t="s">
        <v>11182</v>
      </c>
    </row>
    <row r="3165" spans="1:43" x14ac:dyDescent="0.2">
      <c r="A3165" t="s">
        <v>12645</v>
      </c>
      <c r="B3165" t="s">
        <v>10900</v>
      </c>
      <c r="C3165" t="s">
        <v>11049</v>
      </c>
      <c r="D3165" t="s">
        <v>11453</v>
      </c>
      <c r="E3165" t="s">
        <v>11454</v>
      </c>
      <c r="F3165" t="s">
        <v>11453</v>
      </c>
      <c r="G3165" s="1">
        <v>8800000</v>
      </c>
      <c r="H3165" s="2">
        <v>8821063.9700000007</v>
      </c>
      <c r="I3165" s="2">
        <v>8833241.0099999998</v>
      </c>
      <c r="J3165" s="2">
        <v>73271.929999999993</v>
      </c>
      <c r="K3165" s="2">
        <v>0</v>
      </c>
      <c r="L3165" s="2">
        <v>8906512.9399999995</v>
      </c>
      <c r="M3165" s="3">
        <v>5.0248049999999997</v>
      </c>
      <c r="N3165" s="4">
        <v>2.0263280000000002E-2</v>
      </c>
      <c r="O3165" s="5">
        <v>44707</v>
      </c>
      <c r="P3165" s="5">
        <v>44983</v>
      </c>
      <c r="Q3165" s="1">
        <v>5.4269999999999996</v>
      </c>
      <c r="R3165" s="2">
        <v>0.08</v>
      </c>
      <c r="S3165" s="6">
        <v>7.8644503066000002E-2</v>
      </c>
      <c r="T3165" t="s">
        <v>111</v>
      </c>
      <c r="U3165" t="s">
        <v>111</v>
      </c>
      <c r="V3165" t="s">
        <v>11189</v>
      </c>
      <c r="W3165" t="s">
        <v>43</v>
      </c>
      <c r="X3165" t="s">
        <v>11034</v>
      </c>
      <c r="Y3165" t="s">
        <v>44</v>
      </c>
      <c r="Z3165" t="s">
        <v>44</v>
      </c>
      <c r="AA3165" t="s">
        <v>11441</v>
      </c>
      <c r="AB3165" t="s">
        <v>44</v>
      </c>
      <c r="AC3165" s="4">
        <v>5.0879264600000003</v>
      </c>
      <c r="AD3165" s="4">
        <v>4.9729969399999998</v>
      </c>
      <c r="AE3165" s="2">
        <v>5.09</v>
      </c>
      <c r="AF3165" s="4">
        <v>4.9729969399999998</v>
      </c>
      <c r="AG3165" s="2">
        <v>3.55</v>
      </c>
      <c r="AH3165" s="2">
        <v>8906512.9399999995</v>
      </c>
      <c r="AI3165" s="2">
        <v>0.02</v>
      </c>
      <c r="AJ3165" s="5">
        <v>44673</v>
      </c>
      <c r="AK3165" t="s">
        <v>12646</v>
      </c>
      <c r="AL3165" s="2">
        <v>5.0199999999999996</v>
      </c>
      <c r="AM3165" s="2">
        <v>5.43</v>
      </c>
      <c r="AN3165" s="2">
        <v>0.08</v>
      </c>
      <c r="AO3165" t="s">
        <v>11455</v>
      </c>
      <c r="AP3165" t="s">
        <v>11456</v>
      </c>
      <c r="AQ3165" t="s">
        <v>11454</v>
      </c>
    </row>
    <row r="3166" spans="1:43" x14ac:dyDescent="0.2">
      <c r="A3166" t="s">
        <v>12645</v>
      </c>
      <c r="B3166" t="s">
        <v>10900</v>
      </c>
      <c r="C3166" t="s">
        <v>11049</v>
      </c>
      <c r="D3166" t="s">
        <v>11457</v>
      </c>
      <c r="E3166" t="s">
        <v>11458</v>
      </c>
      <c r="F3166" t="s">
        <v>11457</v>
      </c>
      <c r="G3166" s="1">
        <v>800000</v>
      </c>
      <c r="H3166" s="2">
        <v>800000</v>
      </c>
      <c r="I3166" s="2">
        <v>800002.97</v>
      </c>
      <c r="J3166" s="2">
        <v>9864.59</v>
      </c>
      <c r="K3166" s="2">
        <v>0</v>
      </c>
      <c r="L3166" s="2">
        <v>809867.56</v>
      </c>
      <c r="M3166" s="3">
        <v>5.4289139999999998</v>
      </c>
      <c r="N3166" s="4">
        <v>1.8425399999999999E-3</v>
      </c>
      <c r="O3166" s="5">
        <v>44684</v>
      </c>
      <c r="P3166" s="5">
        <v>44957</v>
      </c>
      <c r="Q3166" s="1">
        <v>5.3579999999999997</v>
      </c>
      <c r="R3166" s="2">
        <v>0.02</v>
      </c>
      <c r="S3166" s="6">
        <v>1.4426938812E-2</v>
      </c>
      <c r="T3166" t="s">
        <v>111</v>
      </c>
      <c r="U3166" t="s">
        <v>111</v>
      </c>
      <c r="V3166" t="s">
        <v>11189</v>
      </c>
      <c r="W3166" t="s">
        <v>43</v>
      </c>
      <c r="X3166" t="s">
        <v>11034</v>
      </c>
      <c r="Y3166" t="s">
        <v>44</v>
      </c>
      <c r="Z3166" t="s">
        <v>44</v>
      </c>
      <c r="AA3166" t="s">
        <v>10979</v>
      </c>
      <c r="AB3166" t="s">
        <v>44</v>
      </c>
      <c r="AC3166" s="4">
        <v>5.5025962599999998</v>
      </c>
      <c r="AD3166" s="4">
        <v>5.3685105899999996</v>
      </c>
      <c r="AE3166" s="2">
        <v>5.5</v>
      </c>
      <c r="AF3166" s="4">
        <v>5.3685105899999996</v>
      </c>
      <c r="AG3166" s="2">
        <v>0.32</v>
      </c>
      <c r="AH3166" s="2">
        <v>809867.56</v>
      </c>
      <c r="AI3166" s="2">
        <v>0</v>
      </c>
      <c r="AJ3166" s="5">
        <v>44673</v>
      </c>
      <c r="AK3166" t="s">
        <v>12646</v>
      </c>
      <c r="AL3166" s="2">
        <v>5.43</v>
      </c>
      <c r="AM3166" s="2">
        <v>5.36</v>
      </c>
      <c r="AN3166" s="2">
        <v>0.01</v>
      </c>
      <c r="AO3166" t="s">
        <v>11048</v>
      </c>
      <c r="AP3166" t="s">
        <v>11459</v>
      </c>
      <c r="AQ3166" t="s">
        <v>11458</v>
      </c>
    </row>
    <row r="3167" spans="1:43" x14ac:dyDescent="0.2">
      <c r="A3167" t="s">
        <v>12645</v>
      </c>
      <c r="B3167" t="s">
        <v>10900</v>
      </c>
      <c r="C3167" t="s">
        <v>11049</v>
      </c>
      <c r="D3167" t="s">
        <v>11785</v>
      </c>
      <c r="E3167" t="s">
        <v>11786</v>
      </c>
      <c r="F3167" t="s">
        <v>11785</v>
      </c>
      <c r="G3167" s="1">
        <v>2400000</v>
      </c>
      <c r="H3167" s="2">
        <v>2410724.71</v>
      </c>
      <c r="I3167" s="2">
        <v>2424512.62</v>
      </c>
      <c r="J3167" s="2">
        <v>16637.46</v>
      </c>
      <c r="K3167" s="2">
        <v>0</v>
      </c>
      <c r="L3167" s="2">
        <v>2441150.08</v>
      </c>
      <c r="M3167" s="3">
        <v>4.8216830000000002</v>
      </c>
      <c r="N3167" s="4">
        <v>5.5538799999999998E-3</v>
      </c>
      <c r="O3167" s="5">
        <v>44732</v>
      </c>
      <c r="P3167" s="5">
        <v>44824</v>
      </c>
      <c r="Q3167" s="1">
        <v>7.4420000000000002</v>
      </c>
      <c r="R3167" s="2">
        <v>0.15</v>
      </c>
      <c r="S3167" s="6">
        <v>0.146783072519</v>
      </c>
      <c r="T3167" t="s">
        <v>111</v>
      </c>
      <c r="U3167" t="s">
        <v>111</v>
      </c>
      <c r="V3167" t="s">
        <v>11189</v>
      </c>
      <c r="W3167" t="s">
        <v>43</v>
      </c>
      <c r="X3167" t="s">
        <v>11034</v>
      </c>
      <c r="Y3167" t="s">
        <v>44</v>
      </c>
      <c r="Z3167" t="s">
        <v>44</v>
      </c>
      <c r="AA3167" t="s">
        <v>10979</v>
      </c>
      <c r="AB3167" t="s">
        <v>11441</v>
      </c>
      <c r="AC3167" s="4">
        <v>4.87980444</v>
      </c>
      <c r="AD3167" s="4">
        <v>4.7739498600000001</v>
      </c>
      <c r="AE3167" s="2">
        <v>4.88</v>
      </c>
      <c r="AF3167" s="4">
        <v>4.7739498600000001</v>
      </c>
      <c r="AG3167" s="2">
        <v>0.97</v>
      </c>
      <c r="AH3167" s="2">
        <v>2441150.08</v>
      </c>
      <c r="AI3167" s="2">
        <v>0.01</v>
      </c>
      <c r="AJ3167" s="5">
        <v>44673</v>
      </c>
      <c r="AK3167" t="s">
        <v>12646</v>
      </c>
      <c r="AL3167" s="2">
        <v>4.82</v>
      </c>
      <c r="AM3167" s="2">
        <v>7.44</v>
      </c>
      <c r="AN3167" s="2">
        <v>0.15</v>
      </c>
      <c r="AO3167" t="s">
        <v>11054</v>
      </c>
      <c r="AP3167" t="s">
        <v>11787</v>
      </c>
      <c r="AQ3167" t="s">
        <v>11786</v>
      </c>
    </row>
    <row r="3168" spans="1:43" x14ac:dyDescent="0.2">
      <c r="A3168" t="s">
        <v>12645</v>
      </c>
      <c r="B3168" t="s">
        <v>10900</v>
      </c>
      <c r="C3168" t="s">
        <v>11049</v>
      </c>
      <c r="D3168" t="s">
        <v>11956</v>
      </c>
      <c r="E3168" t="s">
        <v>11957</v>
      </c>
      <c r="F3168" t="s">
        <v>11956</v>
      </c>
      <c r="G3168" s="1">
        <v>1100000</v>
      </c>
      <c r="H3168" s="2">
        <v>1100000</v>
      </c>
      <c r="I3168" s="2">
        <v>1102540.92</v>
      </c>
      <c r="J3168" s="2">
        <v>12096.17</v>
      </c>
      <c r="K3168" s="2">
        <v>0</v>
      </c>
      <c r="L3168" s="2">
        <v>1114637.0900000001</v>
      </c>
      <c r="M3168" s="3">
        <v>5.1338650000000001</v>
      </c>
      <c r="N3168" s="4">
        <v>2.5359200000000001E-3</v>
      </c>
      <c r="O3168" s="5">
        <v>44697</v>
      </c>
      <c r="P3168" s="5">
        <v>44788</v>
      </c>
      <c r="Q3168" s="1">
        <v>5.8170000000000002</v>
      </c>
      <c r="R3168" s="2">
        <v>0.06</v>
      </c>
      <c r="S3168" s="6">
        <v>5.3630172561E-2</v>
      </c>
      <c r="T3168" t="s">
        <v>111</v>
      </c>
      <c r="U3168" t="s">
        <v>111</v>
      </c>
      <c r="V3168" t="s">
        <v>11189</v>
      </c>
      <c r="W3168" t="s">
        <v>43</v>
      </c>
      <c r="X3168" t="s">
        <v>11034</v>
      </c>
      <c r="Y3168" t="s">
        <v>44</v>
      </c>
      <c r="Z3168" t="s">
        <v>44</v>
      </c>
      <c r="AA3168" t="s">
        <v>11225</v>
      </c>
      <c r="AB3168" t="s">
        <v>44</v>
      </c>
      <c r="AC3168" s="4">
        <v>5.1997564000000001</v>
      </c>
      <c r="AD3168" s="4">
        <v>5.0798014499999997</v>
      </c>
      <c r="AE3168" s="2">
        <v>5.2</v>
      </c>
      <c r="AF3168" s="4">
        <v>5.0798014499999997</v>
      </c>
      <c r="AG3168" s="2">
        <v>0.44</v>
      </c>
      <c r="AH3168" s="2">
        <v>1114637.0900000001</v>
      </c>
      <c r="AI3168" s="2">
        <v>0</v>
      </c>
      <c r="AJ3168" s="5">
        <v>44673</v>
      </c>
      <c r="AK3168" t="s">
        <v>12646</v>
      </c>
      <c r="AL3168" s="2">
        <v>5.13</v>
      </c>
      <c r="AM3168" s="2">
        <v>5.82</v>
      </c>
      <c r="AN3168" s="2">
        <v>0.05</v>
      </c>
      <c r="AO3168" t="s">
        <v>11817</v>
      </c>
      <c r="AP3168" t="s">
        <v>11958</v>
      </c>
      <c r="AQ3168" t="s">
        <v>11957</v>
      </c>
    </row>
    <row r="3169" spans="1:43" x14ac:dyDescent="0.2">
      <c r="A3169" t="s">
        <v>12645</v>
      </c>
      <c r="B3169" t="s">
        <v>10900</v>
      </c>
      <c r="C3169" t="s">
        <v>11049</v>
      </c>
      <c r="D3169" t="s">
        <v>11463</v>
      </c>
      <c r="E3169" t="s">
        <v>11464</v>
      </c>
      <c r="F3169" t="s">
        <v>11463</v>
      </c>
      <c r="G3169" s="1">
        <v>2900000</v>
      </c>
      <c r="H3169" s="2">
        <v>2911487.99</v>
      </c>
      <c r="I3169" s="2">
        <v>2911523.71</v>
      </c>
      <c r="J3169" s="2">
        <v>22129.62</v>
      </c>
      <c r="K3169" s="2">
        <v>0</v>
      </c>
      <c r="L3169" s="2">
        <v>2933653.33</v>
      </c>
      <c r="M3169" s="3">
        <v>5.5214679999999996</v>
      </c>
      <c r="N3169" s="4">
        <v>6.6743799999999997E-3</v>
      </c>
      <c r="O3169" s="5">
        <v>44733</v>
      </c>
      <c r="P3169" s="5">
        <v>44733</v>
      </c>
      <c r="Q3169" s="1">
        <v>8.1920000000000002</v>
      </c>
      <c r="R3169" s="2">
        <v>0.16</v>
      </c>
      <c r="S3169" s="6">
        <v>0.14786153473499999</v>
      </c>
      <c r="T3169" t="s">
        <v>111</v>
      </c>
      <c r="U3169" t="s">
        <v>111</v>
      </c>
      <c r="V3169" t="s">
        <v>11189</v>
      </c>
      <c r="W3169" t="s">
        <v>43</v>
      </c>
      <c r="X3169" t="s">
        <v>11034</v>
      </c>
      <c r="Y3169" t="s">
        <v>44</v>
      </c>
      <c r="Z3169" t="s">
        <v>44</v>
      </c>
      <c r="AA3169" t="s">
        <v>11035</v>
      </c>
      <c r="AB3169" t="s">
        <v>11465</v>
      </c>
      <c r="AC3169" s="4">
        <v>5.5976845400000004</v>
      </c>
      <c r="AD3169" s="4">
        <v>5.4590052800000004</v>
      </c>
      <c r="AE3169" s="2">
        <v>5.6</v>
      </c>
      <c r="AF3169" s="4">
        <v>5.4590052800000004</v>
      </c>
      <c r="AG3169" s="2">
        <v>1.17</v>
      </c>
      <c r="AH3169" s="2">
        <v>2933653.33</v>
      </c>
      <c r="AI3169" s="2">
        <v>0.01</v>
      </c>
      <c r="AJ3169" s="5">
        <v>44673</v>
      </c>
      <c r="AK3169" t="s">
        <v>12646</v>
      </c>
      <c r="AL3169" s="2">
        <v>5.52</v>
      </c>
      <c r="AM3169" s="2">
        <v>8.19</v>
      </c>
      <c r="AN3169" s="2">
        <v>0.15</v>
      </c>
      <c r="AO3169" t="s">
        <v>11053</v>
      </c>
      <c r="AP3169" t="s">
        <v>11466</v>
      </c>
      <c r="AQ3169" t="s">
        <v>11464</v>
      </c>
    </row>
    <row r="3170" spans="1:43" x14ac:dyDescent="0.2">
      <c r="A3170" t="s">
        <v>12645</v>
      </c>
      <c r="B3170" t="s">
        <v>10900</v>
      </c>
      <c r="C3170" t="s">
        <v>11049</v>
      </c>
      <c r="D3170" t="s">
        <v>11467</v>
      </c>
      <c r="E3170" t="s">
        <v>11468</v>
      </c>
      <c r="F3170" t="s">
        <v>11467</v>
      </c>
      <c r="G3170" s="1">
        <v>1900000</v>
      </c>
      <c r="H3170" s="2">
        <v>1900000</v>
      </c>
      <c r="I3170" s="2">
        <v>1900253.65</v>
      </c>
      <c r="J3170" s="2">
        <v>46677.53</v>
      </c>
      <c r="K3170" s="2">
        <v>0</v>
      </c>
      <c r="L3170" s="2">
        <v>1946931.18</v>
      </c>
      <c r="M3170" s="3">
        <v>6.1</v>
      </c>
      <c r="N3170" s="4">
        <v>4.4294800000000004E-3</v>
      </c>
      <c r="O3170" s="5">
        <v>44710</v>
      </c>
      <c r="P3170" s="5">
        <v>44894</v>
      </c>
      <c r="Q3170" s="1">
        <v>6.1</v>
      </c>
      <c r="R3170" s="2">
        <v>0.57999999999999996</v>
      </c>
      <c r="S3170" s="6">
        <v>0.56198351300000005</v>
      </c>
      <c r="T3170" t="s">
        <v>111</v>
      </c>
      <c r="U3170" t="s">
        <v>111</v>
      </c>
      <c r="V3170" t="s">
        <v>114</v>
      </c>
      <c r="W3170" t="s">
        <v>43</v>
      </c>
      <c r="X3170" t="s">
        <v>44</v>
      </c>
      <c r="Y3170" t="s">
        <v>44</v>
      </c>
      <c r="Z3170" t="s">
        <v>44</v>
      </c>
      <c r="AA3170" t="s">
        <v>11465</v>
      </c>
      <c r="AB3170" t="s">
        <v>44</v>
      </c>
      <c r="AC3170" s="4">
        <v>6.1930249999999996</v>
      </c>
      <c r="AD3170" s="4">
        <v>6.0238935700000003</v>
      </c>
      <c r="AE3170" s="2">
        <v>6.19</v>
      </c>
      <c r="AF3170" s="4">
        <v>6.0238935700000003</v>
      </c>
      <c r="AG3170" s="2">
        <v>0.78</v>
      </c>
      <c r="AH3170" s="2">
        <v>1946931.18</v>
      </c>
      <c r="AI3170" s="2">
        <v>0</v>
      </c>
      <c r="AJ3170" s="5">
        <v>44673</v>
      </c>
      <c r="AK3170" t="s">
        <v>12646</v>
      </c>
      <c r="AL3170" s="2">
        <v>6.1</v>
      </c>
      <c r="AM3170" s="2">
        <v>6.1</v>
      </c>
      <c r="AN3170" s="2">
        <v>0.56000000000000005</v>
      </c>
      <c r="AO3170" t="s">
        <v>11469</v>
      </c>
      <c r="AP3170" t="s">
        <v>11470</v>
      </c>
      <c r="AQ3170" t="s">
        <v>11468</v>
      </c>
    </row>
    <row r="3171" spans="1:43" x14ac:dyDescent="0.2">
      <c r="A3171" t="s">
        <v>12645</v>
      </c>
      <c r="B3171" t="s">
        <v>10900</v>
      </c>
      <c r="C3171" t="s">
        <v>11049</v>
      </c>
      <c r="D3171" t="s">
        <v>11791</v>
      </c>
      <c r="E3171" t="s">
        <v>11792</v>
      </c>
      <c r="F3171" t="s">
        <v>11791</v>
      </c>
      <c r="G3171" s="1">
        <v>1000000</v>
      </c>
      <c r="H3171" s="2">
        <v>1000000</v>
      </c>
      <c r="I3171" s="2">
        <v>1011585.4</v>
      </c>
      <c r="J3171" s="2">
        <v>11338.08</v>
      </c>
      <c r="K3171" s="2">
        <v>0</v>
      </c>
      <c r="L3171" s="2">
        <v>1022923.48</v>
      </c>
      <c r="M3171" s="3">
        <v>3.91</v>
      </c>
      <c r="N3171" s="4">
        <v>2.3272599999999998E-3</v>
      </c>
      <c r="O3171" s="5">
        <v>44804</v>
      </c>
      <c r="P3171" s="5">
        <v>44804</v>
      </c>
      <c r="Q3171" s="1">
        <v>7.39</v>
      </c>
      <c r="R3171" s="2">
        <v>0.35</v>
      </c>
      <c r="S3171" s="6">
        <v>0.345941314</v>
      </c>
      <c r="T3171" t="s">
        <v>111</v>
      </c>
      <c r="U3171" t="s">
        <v>111</v>
      </c>
      <c r="V3171" t="s">
        <v>114</v>
      </c>
      <c r="W3171" t="s">
        <v>43</v>
      </c>
      <c r="X3171" t="s">
        <v>44</v>
      </c>
      <c r="Y3171" t="s">
        <v>44</v>
      </c>
      <c r="Z3171" t="s">
        <v>44</v>
      </c>
      <c r="AA3171" t="s">
        <v>10913</v>
      </c>
      <c r="AB3171" t="s">
        <v>44</v>
      </c>
      <c r="AC3171" s="4">
        <v>3.9482202499999999</v>
      </c>
      <c r="AD3171" s="4">
        <v>3.8785251199999999</v>
      </c>
      <c r="AE3171" s="2">
        <v>3.95</v>
      </c>
      <c r="AF3171" s="4">
        <v>3.8785251199999999</v>
      </c>
      <c r="AG3171" s="2">
        <v>0.41</v>
      </c>
      <c r="AH3171" s="2">
        <v>1022923.48</v>
      </c>
      <c r="AI3171" s="2">
        <v>0</v>
      </c>
      <c r="AJ3171" s="5">
        <v>44673</v>
      </c>
      <c r="AK3171" t="s">
        <v>12646</v>
      </c>
      <c r="AL3171" s="2">
        <v>3.91</v>
      </c>
      <c r="AM3171" s="2">
        <v>7.39</v>
      </c>
      <c r="AN3171" s="2">
        <v>0.35</v>
      </c>
      <c r="AO3171" t="s">
        <v>10922</v>
      </c>
      <c r="AP3171" t="s">
        <v>11793</v>
      </c>
      <c r="AQ3171" t="s">
        <v>11792</v>
      </c>
    </row>
    <row r="3172" spans="1:43" x14ac:dyDescent="0.2">
      <c r="A3172" t="s">
        <v>12645</v>
      </c>
      <c r="B3172" t="s">
        <v>10900</v>
      </c>
      <c r="C3172" t="s">
        <v>11049</v>
      </c>
      <c r="D3172" t="s">
        <v>11471</v>
      </c>
      <c r="E3172" t="s">
        <v>11472</v>
      </c>
      <c r="F3172" t="s">
        <v>11471</v>
      </c>
      <c r="G3172" s="1">
        <v>5200000</v>
      </c>
      <c r="H3172" s="2">
        <v>5200000</v>
      </c>
      <c r="I3172" s="2">
        <v>5199608.4400000004</v>
      </c>
      <c r="J3172" s="2">
        <v>131780.82</v>
      </c>
      <c r="K3172" s="2">
        <v>0</v>
      </c>
      <c r="L3172" s="2">
        <v>5331389.26</v>
      </c>
      <c r="M3172" s="3">
        <v>7.4</v>
      </c>
      <c r="N3172" s="4">
        <v>1.212948E-2</v>
      </c>
      <c r="O3172" s="5">
        <v>44733</v>
      </c>
      <c r="P3172" s="5">
        <v>44916</v>
      </c>
      <c r="Q3172" s="1">
        <v>7.4</v>
      </c>
      <c r="R3172" s="2">
        <v>0.64</v>
      </c>
      <c r="S3172" s="6">
        <v>0.61596285799999995</v>
      </c>
      <c r="T3172" t="s">
        <v>111</v>
      </c>
      <c r="U3172" t="s">
        <v>111</v>
      </c>
      <c r="V3172" t="s">
        <v>114</v>
      </c>
      <c r="W3172" t="s">
        <v>43</v>
      </c>
      <c r="X3172" t="s">
        <v>10988</v>
      </c>
      <c r="Y3172" t="s">
        <v>44</v>
      </c>
      <c r="Z3172" t="s">
        <v>44</v>
      </c>
      <c r="AA3172" t="s">
        <v>10913</v>
      </c>
      <c r="AB3172" t="s">
        <v>44</v>
      </c>
      <c r="AC3172" s="4">
        <v>7.5369000000000002</v>
      </c>
      <c r="AD3172" s="4">
        <v>7.2884304699999998</v>
      </c>
      <c r="AE3172" s="2">
        <v>7.54</v>
      </c>
      <c r="AF3172" s="4">
        <v>7.2884304699999998</v>
      </c>
      <c r="AG3172" s="2">
        <v>2.13</v>
      </c>
      <c r="AH3172" s="2">
        <v>5331389.26</v>
      </c>
      <c r="AI3172" s="2">
        <v>0.01</v>
      </c>
      <c r="AJ3172" s="5">
        <v>44673</v>
      </c>
      <c r="AK3172" t="s">
        <v>12646</v>
      </c>
      <c r="AL3172" s="2">
        <v>7.4</v>
      </c>
      <c r="AM3172" s="2">
        <v>7.4</v>
      </c>
      <c r="AN3172" s="2">
        <v>0.62</v>
      </c>
      <c r="AO3172" t="s">
        <v>10922</v>
      </c>
      <c r="AP3172" t="s">
        <v>11473</v>
      </c>
      <c r="AQ3172" t="s">
        <v>11472</v>
      </c>
    </row>
    <row r="3173" spans="1:43" x14ac:dyDescent="0.2">
      <c r="A3173" t="s">
        <v>12645</v>
      </c>
      <c r="B3173" t="s">
        <v>10900</v>
      </c>
      <c r="C3173" t="s">
        <v>11049</v>
      </c>
      <c r="D3173" t="s">
        <v>11474</v>
      </c>
      <c r="E3173" t="s">
        <v>11475</v>
      </c>
      <c r="F3173" t="s">
        <v>11474</v>
      </c>
      <c r="G3173" s="1">
        <v>5400000</v>
      </c>
      <c r="H3173" s="2">
        <v>5400000</v>
      </c>
      <c r="I3173" s="2">
        <v>5399880.1200000001</v>
      </c>
      <c r="J3173" s="2">
        <v>89850.08</v>
      </c>
      <c r="K3173" s="2">
        <v>0</v>
      </c>
      <c r="L3173" s="2">
        <v>5489730.2000000002</v>
      </c>
      <c r="M3173" s="3">
        <v>7.23</v>
      </c>
      <c r="N3173" s="4">
        <v>1.2489729999999999E-2</v>
      </c>
      <c r="O3173" s="5">
        <v>44773</v>
      </c>
      <c r="P3173" s="5">
        <v>44773</v>
      </c>
      <c r="Q3173" s="1">
        <v>7.23</v>
      </c>
      <c r="R3173" s="2">
        <v>0.27</v>
      </c>
      <c r="S3173" s="6">
        <v>0.26074350600000001</v>
      </c>
      <c r="T3173" t="s">
        <v>111</v>
      </c>
      <c r="U3173" t="s">
        <v>111</v>
      </c>
      <c r="V3173" t="s">
        <v>10944</v>
      </c>
      <c r="W3173" t="s">
        <v>43</v>
      </c>
      <c r="X3173" t="s">
        <v>44</v>
      </c>
      <c r="Y3173" t="s">
        <v>44</v>
      </c>
      <c r="Z3173" t="s">
        <v>44</v>
      </c>
      <c r="AA3173" t="s">
        <v>10913</v>
      </c>
      <c r="AB3173" t="s">
        <v>44</v>
      </c>
      <c r="AC3173" s="4">
        <v>7.36068225</v>
      </c>
      <c r="AD3173" s="4">
        <v>7.1234440000000001</v>
      </c>
      <c r="AE3173" s="2">
        <v>7.36</v>
      </c>
      <c r="AF3173" s="4">
        <v>7.1234440000000001</v>
      </c>
      <c r="AG3173" s="2">
        <v>2.19</v>
      </c>
      <c r="AH3173" s="2">
        <v>5489730.2000000002</v>
      </c>
      <c r="AI3173" s="2">
        <v>0.01</v>
      </c>
      <c r="AJ3173" s="5">
        <v>44673</v>
      </c>
      <c r="AK3173" t="s">
        <v>12646</v>
      </c>
      <c r="AL3173" s="2">
        <v>7.23</v>
      </c>
      <c r="AM3173" s="2">
        <v>7.23</v>
      </c>
      <c r="AN3173" s="2">
        <v>0.26</v>
      </c>
      <c r="AO3173" t="s">
        <v>10922</v>
      </c>
      <c r="AP3173" t="s">
        <v>11476</v>
      </c>
      <c r="AQ3173" t="s">
        <v>11475</v>
      </c>
    </row>
    <row r="3174" spans="1:43" x14ac:dyDescent="0.2">
      <c r="A3174" t="s">
        <v>12645</v>
      </c>
      <c r="B3174" t="s">
        <v>10900</v>
      </c>
      <c r="C3174" t="s">
        <v>11049</v>
      </c>
      <c r="D3174" t="s">
        <v>12269</v>
      </c>
      <c r="E3174" t="s">
        <v>12270</v>
      </c>
      <c r="F3174" t="s">
        <v>12269</v>
      </c>
      <c r="G3174" s="1">
        <v>3000000</v>
      </c>
      <c r="H3174" s="2">
        <v>3000000</v>
      </c>
      <c r="I3174" s="2">
        <v>3008718.3</v>
      </c>
      <c r="J3174" s="2">
        <v>36887.67</v>
      </c>
      <c r="K3174" s="2">
        <v>0</v>
      </c>
      <c r="L3174" s="2">
        <v>3045605.97</v>
      </c>
      <c r="M3174" s="3">
        <v>6.43</v>
      </c>
      <c r="N3174" s="4">
        <v>6.9290799999999998E-3</v>
      </c>
      <c r="O3174" s="5">
        <v>44795</v>
      </c>
      <c r="P3174" s="5">
        <v>44978</v>
      </c>
      <c r="Q3174" s="1">
        <v>6.8</v>
      </c>
      <c r="R3174" s="2">
        <v>0.81</v>
      </c>
      <c r="S3174" s="6">
        <v>0.78433783400000001</v>
      </c>
      <c r="T3174" t="s">
        <v>111</v>
      </c>
      <c r="U3174" t="s">
        <v>111</v>
      </c>
      <c r="V3174" t="s">
        <v>114</v>
      </c>
      <c r="W3174" t="s">
        <v>43</v>
      </c>
      <c r="X3174" t="s">
        <v>44</v>
      </c>
      <c r="Y3174" t="s">
        <v>44</v>
      </c>
      <c r="Z3174" t="s">
        <v>44</v>
      </c>
      <c r="AA3174" t="s">
        <v>10979</v>
      </c>
      <c r="AB3174" t="s">
        <v>44</v>
      </c>
      <c r="AC3174" s="4">
        <v>6.5333622499999997</v>
      </c>
      <c r="AD3174" s="4">
        <v>6.3455195</v>
      </c>
      <c r="AE3174" s="2">
        <v>6.53</v>
      </c>
      <c r="AF3174" s="4">
        <v>6.3455195</v>
      </c>
      <c r="AG3174" s="2">
        <v>1.22</v>
      </c>
      <c r="AH3174" s="2">
        <v>3045605.97</v>
      </c>
      <c r="AI3174" s="2">
        <v>0.01</v>
      </c>
      <c r="AJ3174" s="5">
        <v>44673</v>
      </c>
      <c r="AK3174" t="s">
        <v>12646</v>
      </c>
      <c r="AL3174" s="2">
        <v>6.43</v>
      </c>
      <c r="AM3174" s="2">
        <v>6.8</v>
      </c>
      <c r="AN3174" s="2">
        <v>0.78</v>
      </c>
      <c r="AO3174" t="s">
        <v>10982</v>
      </c>
      <c r="AP3174" t="s">
        <v>12271</v>
      </c>
      <c r="AQ3174" t="s">
        <v>12270</v>
      </c>
    </row>
    <row r="3175" spans="1:43" x14ac:dyDescent="0.2">
      <c r="A3175" t="s">
        <v>12645</v>
      </c>
      <c r="B3175" t="s">
        <v>10900</v>
      </c>
      <c r="C3175" t="s">
        <v>11049</v>
      </c>
      <c r="D3175" t="s">
        <v>11794</v>
      </c>
      <c r="E3175" t="s">
        <v>11795</v>
      </c>
      <c r="F3175" t="s">
        <v>11794</v>
      </c>
      <c r="G3175" s="1">
        <v>2000000</v>
      </c>
      <c r="H3175" s="2">
        <v>2000000</v>
      </c>
      <c r="I3175" s="2">
        <v>2000224.36</v>
      </c>
      <c r="J3175" s="2">
        <v>26042.3</v>
      </c>
      <c r="K3175" s="2">
        <v>0</v>
      </c>
      <c r="L3175" s="2">
        <v>2026266.66</v>
      </c>
      <c r="M3175" s="3">
        <v>4.7002220000000001</v>
      </c>
      <c r="N3175" s="4">
        <v>4.6099699999999997E-3</v>
      </c>
      <c r="O3175" s="5">
        <v>44680</v>
      </c>
      <c r="P3175" s="5">
        <v>44680</v>
      </c>
      <c r="Q3175" s="1">
        <v>5.6580000000000004</v>
      </c>
      <c r="R3175" s="2">
        <v>0.01</v>
      </c>
      <c r="S3175" s="6">
        <v>1.0461427896999999E-2</v>
      </c>
      <c r="T3175" t="s">
        <v>111</v>
      </c>
      <c r="U3175" t="s">
        <v>111</v>
      </c>
      <c r="V3175" t="s">
        <v>11189</v>
      </c>
      <c r="W3175" t="s">
        <v>43</v>
      </c>
      <c r="X3175" t="s">
        <v>11034</v>
      </c>
      <c r="Y3175" t="s">
        <v>44</v>
      </c>
      <c r="Z3175" t="s">
        <v>44</v>
      </c>
      <c r="AA3175" t="s">
        <v>44</v>
      </c>
      <c r="AB3175" t="s">
        <v>11225</v>
      </c>
      <c r="AC3175" s="4">
        <v>4.7554521300000001</v>
      </c>
      <c r="AD3175" s="4">
        <v>4.6548469299999997</v>
      </c>
      <c r="AE3175" s="2">
        <v>4.76</v>
      </c>
      <c r="AF3175" s="4">
        <v>4.6548469299999997</v>
      </c>
      <c r="AG3175" s="2">
        <v>0.81</v>
      </c>
      <c r="AH3175" s="2">
        <v>2026266.66</v>
      </c>
      <c r="AI3175" s="2">
        <v>0</v>
      </c>
      <c r="AJ3175" s="5">
        <v>44673</v>
      </c>
      <c r="AK3175" t="s">
        <v>12646</v>
      </c>
      <c r="AL3175" s="2">
        <v>4.7</v>
      </c>
      <c r="AM3175" s="2">
        <v>5.66</v>
      </c>
      <c r="AN3175" s="2">
        <v>0.01</v>
      </c>
      <c r="AO3175" t="s">
        <v>11527</v>
      </c>
      <c r="AP3175" t="s">
        <v>11796</v>
      </c>
      <c r="AQ3175" t="s">
        <v>11795</v>
      </c>
    </row>
    <row r="3176" spans="1:43" x14ac:dyDescent="0.2">
      <c r="A3176" t="s">
        <v>12645</v>
      </c>
      <c r="B3176" t="s">
        <v>10900</v>
      </c>
      <c r="C3176" t="s">
        <v>11049</v>
      </c>
      <c r="D3176" t="s">
        <v>11913</v>
      </c>
      <c r="E3176" t="s">
        <v>11914</v>
      </c>
      <c r="F3176" t="s">
        <v>11913</v>
      </c>
      <c r="G3176" s="1">
        <v>6000000</v>
      </c>
      <c r="H3176" s="2">
        <v>6023943.3899999997</v>
      </c>
      <c r="I3176" s="2">
        <v>6031367.5899999999</v>
      </c>
      <c r="J3176" s="2">
        <v>88137.86</v>
      </c>
      <c r="K3176" s="2">
        <v>0</v>
      </c>
      <c r="L3176" s="2">
        <v>6119505.4500000002</v>
      </c>
      <c r="M3176" s="3">
        <v>5.3153990000000002</v>
      </c>
      <c r="N3176" s="4">
        <v>1.3922530000000001E-2</v>
      </c>
      <c r="O3176" s="5">
        <v>44676</v>
      </c>
      <c r="P3176" s="5">
        <v>44858</v>
      </c>
      <c r="Q3176" s="1">
        <v>5.8920000000000003</v>
      </c>
      <c r="R3176" s="2">
        <v>0.25</v>
      </c>
      <c r="S3176" s="6">
        <v>-1.386882034E-3</v>
      </c>
      <c r="T3176" t="s">
        <v>111</v>
      </c>
      <c r="U3176" t="s">
        <v>111</v>
      </c>
      <c r="V3176" t="s">
        <v>11189</v>
      </c>
      <c r="W3176" t="s">
        <v>43</v>
      </c>
      <c r="X3176" t="s">
        <v>11034</v>
      </c>
      <c r="Y3176" t="s">
        <v>44</v>
      </c>
      <c r="Z3176" t="s">
        <v>44</v>
      </c>
      <c r="AA3176" t="s">
        <v>44</v>
      </c>
      <c r="AB3176" t="s">
        <v>44</v>
      </c>
      <c r="AC3176" s="4">
        <v>5.3860322900000002</v>
      </c>
      <c r="AD3176" s="4">
        <v>5.2574756100000002</v>
      </c>
      <c r="AE3176" s="2">
        <v>5.39</v>
      </c>
      <c r="AF3176" s="4">
        <v>5.2574756100000002</v>
      </c>
      <c r="AG3176" s="2">
        <v>2.44</v>
      </c>
      <c r="AH3176" s="2">
        <v>6119505.4500000002</v>
      </c>
      <c r="AI3176" s="2">
        <v>0.01</v>
      </c>
      <c r="AJ3176" s="5">
        <v>44673</v>
      </c>
      <c r="AK3176" t="s">
        <v>12646</v>
      </c>
      <c r="AL3176" s="2">
        <v>5.32</v>
      </c>
      <c r="AM3176" s="2">
        <v>5.89</v>
      </c>
      <c r="AN3176" s="2">
        <v>0</v>
      </c>
      <c r="AO3176" t="s">
        <v>11527</v>
      </c>
      <c r="AP3176" t="s">
        <v>11915</v>
      </c>
      <c r="AQ3176" t="s">
        <v>11914</v>
      </c>
    </row>
    <row r="3177" spans="1:43" x14ac:dyDescent="0.2">
      <c r="A3177" t="s">
        <v>12645</v>
      </c>
      <c r="B3177" t="s">
        <v>10900</v>
      </c>
      <c r="C3177" t="s">
        <v>11049</v>
      </c>
      <c r="D3177" t="s">
        <v>11797</v>
      </c>
      <c r="E3177" t="s">
        <v>11798</v>
      </c>
      <c r="F3177" t="s">
        <v>11797</v>
      </c>
      <c r="G3177" s="1">
        <v>5800000</v>
      </c>
      <c r="H3177" s="2">
        <v>5813965.1600000001</v>
      </c>
      <c r="I3177" s="2">
        <v>5896955.6399999997</v>
      </c>
      <c r="J3177" s="2">
        <v>38999.040000000001</v>
      </c>
      <c r="K3177" s="2">
        <v>0</v>
      </c>
      <c r="L3177" s="2">
        <v>5935954.6799999997</v>
      </c>
      <c r="M3177" s="3">
        <v>5.7687520000000001</v>
      </c>
      <c r="N3177" s="4">
        <v>1.350494E-2</v>
      </c>
      <c r="O3177" s="5">
        <v>44742</v>
      </c>
      <c r="P3177" s="5">
        <v>44834</v>
      </c>
      <c r="Q3177" s="1">
        <v>9.8170000000000002</v>
      </c>
      <c r="R3177" s="2">
        <v>0.18</v>
      </c>
      <c r="S3177" s="6">
        <v>0.17046604942900001</v>
      </c>
      <c r="T3177" t="s">
        <v>111</v>
      </c>
      <c r="U3177" t="s">
        <v>111</v>
      </c>
      <c r="V3177" t="s">
        <v>11189</v>
      </c>
      <c r="W3177" t="s">
        <v>43</v>
      </c>
      <c r="X3177" t="s">
        <v>11034</v>
      </c>
      <c r="Y3177" t="s">
        <v>44</v>
      </c>
      <c r="Z3177" t="s">
        <v>44</v>
      </c>
      <c r="AA3177" t="s">
        <v>11035</v>
      </c>
      <c r="AB3177" t="s">
        <v>2680</v>
      </c>
      <c r="AC3177" s="4">
        <v>5.8519482600000003</v>
      </c>
      <c r="AD3177" s="4">
        <v>5.7006194399999996</v>
      </c>
      <c r="AE3177" s="2">
        <v>5.85</v>
      </c>
      <c r="AF3177" s="4">
        <v>5.7006194399999996</v>
      </c>
      <c r="AG3177" s="2">
        <v>2.37</v>
      </c>
      <c r="AH3177" s="2">
        <v>5935954.6799999997</v>
      </c>
      <c r="AI3177" s="2">
        <v>0.01</v>
      </c>
      <c r="AJ3177" s="5">
        <v>44673</v>
      </c>
      <c r="AK3177" t="s">
        <v>12646</v>
      </c>
      <c r="AL3177" s="2">
        <v>5.77</v>
      </c>
      <c r="AM3177" s="2">
        <v>9.82</v>
      </c>
      <c r="AN3177" s="2">
        <v>0.17</v>
      </c>
      <c r="AO3177" t="s">
        <v>11496</v>
      </c>
      <c r="AP3177" t="s">
        <v>11799</v>
      </c>
      <c r="AQ3177" t="s">
        <v>11798</v>
      </c>
    </row>
    <row r="3178" spans="1:43" x14ac:dyDescent="0.2">
      <c r="A3178" t="s">
        <v>12645</v>
      </c>
      <c r="B3178" t="s">
        <v>10900</v>
      </c>
      <c r="C3178" t="s">
        <v>11049</v>
      </c>
      <c r="D3178" t="s">
        <v>11800</v>
      </c>
      <c r="E3178" t="s">
        <v>11801</v>
      </c>
      <c r="F3178" t="s">
        <v>11800</v>
      </c>
      <c r="G3178" s="1">
        <v>2000000</v>
      </c>
      <c r="H3178" s="2">
        <v>2000000</v>
      </c>
      <c r="I3178" s="2">
        <v>1999939.6</v>
      </c>
      <c r="J3178" s="2">
        <v>34060.269999999997</v>
      </c>
      <c r="K3178" s="2">
        <v>0</v>
      </c>
      <c r="L3178" s="2">
        <v>2033999.87</v>
      </c>
      <c r="M3178" s="3">
        <v>7.4</v>
      </c>
      <c r="N3178" s="4">
        <v>4.6275700000000001E-3</v>
      </c>
      <c r="O3178" s="5">
        <v>44592</v>
      </c>
      <c r="P3178" s="5">
        <v>44773</v>
      </c>
      <c r="Q3178" s="1">
        <v>7.4</v>
      </c>
      <c r="R3178" s="2">
        <v>0.27</v>
      </c>
      <c r="S3178" s="6">
        <v>0.26062797900000001</v>
      </c>
      <c r="T3178" t="s">
        <v>111</v>
      </c>
      <c r="U3178" t="s">
        <v>111</v>
      </c>
      <c r="V3178" t="s">
        <v>114</v>
      </c>
      <c r="W3178" t="s">
        <v>43</v>
      </c>
      <c r="X3178" t="s">
        <v>10988</v>
      </c>
      <c r="Y3178" t="s">
        <v>44</v>
      </c>
      <c r="Z3178" t="s">
        <v>44</v>
      </c>
      <c r="AA3178" t="s">
        <v>10913</v>
      </c>
      <c r="AB3178" t="s">
        <v>44</v>
      </c>
      <c r="AC3178" s="4">
        <v>7.5369000000000002</v>
      </c>
      <c r="AD3178" s="4">
        <v>7.2884304699999998</v>
      </c>
      <c r="AE3178" s="2">
        <v>7.54</v>
      </c>
      <c r="AF3178" s="4">
        <v>7.2884304699999998</v>
      </c>
      <c r="AG3178" s="2">
        <v>0.81</v>
      </c>
      <c r="AH3178" s="2">
        <v>2033999.87</v>
      </c>
      <c r="AI3178" s="2">
        <v>0</v>
      </c>
      <c r="AJ3178" s="5">
        <v>44673</v>
      </c>
      <c r="AK3178" t="s">
        <v>12646</v>
      </c>
      <c r="AL3178" s="2">
        <v>7.4</v>
      </c>
      <c r="AM3178" s="2">
        <v>7.4</v>
      </c>
      <c r="AN3178" s="2">
        <v>0.26</v>
      </c>
      <c r="AO3178" t="s">
        <v>10922</v>
      </c>
      <c r="AP3178" t="s">
        <v>11802</v>
      </c>
      <c r="AQ3178" t="s">
        <v>11801</v>
      </c>
    </row>
    <row r="3179" spans="1:43" x14ac:dyDescent="0.2">
      <c r="A3179" t="s">
        <v>12645</v>
      </c>
      <c r="B3179" t="s">
        <v>10900</v>
      </c>
      <c r="C3179" t="s">
        <v>11033</v>
      </c>
      <c r="D3179" t="s">
        <v>11806</v>
      </c>
      <c r="E3179" t="s">
        <v>11807</v>
      </c>
      <c r="F3179" t="s">
        <v>11806</v>
      </c>
      <c r="G3179" s="1">
        <v>500000</v>
      </c>
      <c r="H3179" s="2">
        <v>491002.29</v>
      </c>
      <c r="I3179" s="2">
        <v>505908.59</v>
      </c>
      <c r="J3179" s="2">
        <v>1300.8499999999999</v>
      </c>
      <c r="K3179" s="2">
        <v>0</v>
      </c>
      <c r="L3179" s="2">
        <v>507209.44</v>
      </c>
      <c r="M3179" s="3">
        <v>6.0434890000000001</v>
      </c>
      <c r="N3179" s="4">
        <v>1.1539600000000001E-3</v>
      </c>
      <c r="O3179" s="5">
        <v>44753</v>
      </c>
      <c r="P3179" s="5">
        <v>45393</v>
      </c>
      <c r="Q3179" s="1">
        <v>6.7830000000000004</v>
      </c>
      <c r="R3179" s="2">
        <v>0.21</v>
      </c>
      <c r="S3179" s="6">
        <v>0.19079709986500001</v>
      </c>
      <c r="T3179" t="s">
        <v>111</v>
      </c>
      <c r="U3179" t="s">
        <v>111</v>
      </c>
      <c r="V3179" t="s">
        <v>11189</v>
      </c>
      <c r="W3179" t="s">
        <v>43</v>
      </c>
      <c r="X3179" t="s">
        <v>11034</v>
      </c>
      <c r="Y3179" t="s">
        <v>44</v>
      </c>
      <c r="Z3179" t="s">
        <v>44</v>
      </c>
      <c r="AA3179" t="s">
        <v>10979</v>
      </c>
      <c r="AB3179" t="s">
        <v>44</v>
      </c>
      <c r="AC3179" s="4">
        <v>6.1347979300000004</v>
      </c>
      <c r="AD3179" s="4">
        <v>5.9687731099999999</v>
      </c>
      <c r="AE3179" s="2">
        <v>6.13</v>
      </c>
      <c r="AF3179" s="4">
        <v>5.9687731099999999</v>
      </c>
      <c r="AG3179" s="2">
        <v>0.2</v>
      </c>
      <c r="AH3179" s="2">
        <v>507209.44</v>
      </c>
      <c r="AI3179" s="2">
        <v>0</v>
      </c>
      <c r="AJ3179" s="5">
        <v>44673</v>
      </c>
      <c r="AK3179" t="s">
        <v>12646</v>
      </c>
      <c r="AL3179" s="2">
        <v>6.04</v>
      </c>
      <c r="AM3179" s="2">
        <v>6.78</v>
      </c>
      <c r="AN3179" s="2">
        <v>0.19</v>
      </c>
      <c r="AO3179" t="s">
        <v>11165</v>
      </c>
      <c r="AP3179" t="s">
        <v>11808</v>
      </c>
      <c r="AQ3179" t="s">
        <v>11807</v>
      </c>
    </row>
    <row r="3180" spans="1:43" x14ac:dyDescent="0.2">
      <c r="A3180" t="s">
        <v>12645</v>
      </c>
      <c r="B3180" t="s">
        <v>10900</v>
      </c>
      <c r="C3180" t="s">
        <v>11033</v>
      </c>
      <c r="D3180" t="s">
        <v>11501</v>
      </c>
      <c r="E3180" t="s">
        <v>11502</v>
      </c>
      <c r="F3180" t="s">
        <v>11501</v>
      </c>
      <c r="G3180" s="1">
        <v>5000000</v>
      </c>
      <c r="H3180" s="2">
        <v>5000000</v>
      </c>
      <c r="I3180" s="2">
        <v>5010007.66</v>
      </c>
      <c r="J3180" s="2">
        <v>19471.509999999998</v>
      </c>
      <c r="K3180" s="2">
        <v>0</v>
      </c>
      <c r="L3180" s="2">
        <v>5029479.17</v>
      </c>
      <c r="M3180" s="3">
        <v>5.2487519999999996</v>
      </c>
      <c r="N3180" s="4">
        <v>1.1442610000000001E-2</v>
      </c>
      <c r="O3180" s="5">
        <v>44742</v>
      </c>
      <c r="P3180" s="5">
        <v>45383</v>
      </c>
      <c r="Q3180" s="1">
        <v>5.4669999999999996</v>
      </c>
      <c r="R3180" s="2">
        <v>0.18</v>
      </c>
      <c r="S3180" s="6">
        <v>0.16209118744199999</v>
      </c>
      <c r="T3180" t="s">
        <v>111</v>
      </c>
      <c r="U3180" t="s">
        <v>111</v>
      </c>
      <c r="V3180" t="s">
        <v>11189</v>
      </c>
      <c r="W3180" t="s">
        <v>43</v>
      </c>
      <c r="X3180" t="s">
        <v>11034</v>
      </c>
      <c r="Y3180" t="s">
        <v>44</v>
      </c>
      <c r="Z3180" t="s">
        <v>44</v>
      </c>
      <c r="AA3180" t="s">
        <v>10979</v>
      </c>
      <c r="AB3180" t="s">
        <v>44</v>
      </c>
      <c r="AC3180" s="4">
        <v>5.3176255100000001</v>
      </c>
      <c r="AD3180" s="4">
        <v>5.1922611500000002</v>
      </c>
      <c r="AE3180" s="2">
        <v>5.32</v>
      </c>
      <c r="AF3180" s="4">
        <v>5.1922611500000002</v>
      </c>
      <c r="AG3180" s="2">
        <v>2.0099999999999998</v>
      </c>
      <c r="AH3180" s="2">
        <v>5029479.17</v>
      </c>
      <c r="AI3180" s="2">
        <v>0.01</v>
      </c>
      <c r="AJ3180" s="5">
        <v>44673</v>
      </c>
      <c r="AK3180" t="s">
        <v>12646</v>
      </c>
      <c r="AL3180" s="2">
        <v>5.25</v>
      </c>
      <c r="AM3180" s="2">
        <v>5.47</v>
      </c>
      <c r="AN3180" s="2">
        <v>0.16</v>
      </c>
      <c r="AO3180" t="s">
        <v>11165</v>
      </c>
      <c r="AP3180" t="s">
        <v>11503</v>
      </c>
      <c r="AQ3180" t="s">
        <v>11502</v>
      </c>
    </row>
    <row r="3181" spans="1:43" x14ac:dyDescent="0.2">
      <c r="A3181" t="s">
        <v>12645</v>
      </c>
      <c r="B3181" t="s">
        <v>10900</v>
      </c>
      <c r="C3181" t="s">
        <v>11033</v>
      </c>
      <c r="D3181" t="s">
        <v>11809</v>
      </c>
      <c r="E3181" t="s">
        <v>11810</v>
      </c>
      <c r="F3181" t="s">
        <v>11809</v>
      </c>
      <c r="G3181" s="1">
        <v>6200000</v>
      </c>
      <c r="H3181" s="2">
        <v>6263672.96</v>
      </c>
      <c r="I3181" s="2">
        <v>6292188.8700000001</v>
      </c>
      <c r="J3181" s="2">
        <v>65299.76</v>
      </c>
      <c r="K3181" s="2">
        <v>0</v>
      </c>
      <c r="L3181" s="2">
        <v>6357488.6299999999</v>
      </c>
      <c r="M3181" s="3">
        <v>5.5530569999999999</v>
      </c>
      <c r="N3181" s="4">
        <v>1.446397E-2</v>
      </c>
      <c r="O3181" s="5">
        <v>44704</v>
      </c>
      <c r="P3181" s="5">
        <v>45617</v>
      </c>
      <c r="Q3181" s="1">
        <v>6.1020000000000003</v>
      </c>
      <c r="R3181" s="2">
        <v>0.08</v>
      </c>
      <c r="S3181" s="6">
        <v>7.0564055134000006E-2</v>
      </c>
      <c r="T3181" t="s">
        <v>111</v>
      </c>
      <c r="U3181" t="s">
        <v>111</v>
      </c>
      <c r="V3181" t="s">
        <v>11189</v>
      </c>
      <c r="W3181" t="s">
        <v>43</v>
      </c>
      <c r="X3181" t="s">
        <v>11034</v>
      </c>
      <c r="Y3181" t="s">
        <v>44</v>
      </c>
      <c r="Z3181" t="s">
        <v>44</v>
      </c>
      <c r="AA3181" t="s">
        <v>11441</v>
      </c>
      <c r="AB3181" t="s">
        <v>44</v>
      </c>
      <c r="AC3181" s="4">
        <v>5.63014803</v>
      </c>
      <c r="AD3181" s="4">
        <v>5.4898834000000001</v>
      </c>
      <c r="AE3181" s="2">
        <v>5.63</v>
      </c>
      <c r="AF3181" s="4">
        <v>5.4898834000000001</v>
      </c>
      <c r="AG3181" s="2">
        <v>2.54</v>
      </c>
      <c r="AH3181" s="2">
        <v>6357488.6299999999</v>
      </c>
      <c r="AI3181" s="2">
        <v>0.01</v>
      </c>
      <c r="AJ3181" s="5">
        <v>44673</v>
      </c>
      <c r="AK3181" t="s">
        <v>12646</v>
      </c>
      <c r="AL3181" s="2">
        <v>5.55</v>
      </c>
      <c r="AM3181" s="2">
        <v>6.1</v>
      </c>
      <c r="AN3181" s="2">
        <v>7.0000000000000007E-2</v>
      </c>
      <c r="AO3181" t="s">
        <v>11520</v>
      </c>
      <c r="AP3181" t="s">
        <v>11811</v>
      </c>
      <c r="AQ3181" t="s">
        <v>11810</v>
      </c>
    </row>
    <row r="3182" spans="1:43" x14ac:dyDescent="0.2">
      <c r="A3182" t="s">
        <v>12645</v>
      </c>
      <c r="B3182" t="s">
        <v>10900</v>
      </c>
      <c r="C3182" t="s">
        <v>11033</v>
      </c>
      <c r="D3182" t="s">
        <v>11518</v>
      </c>
      <c r="E3182" t="s">
        <v>11519</v>
      </c>
      <c r="F3182" t="s">
        <v>11518</v>
      </c>
      <c r="G3182" s="1">
        <v>1600000</v>
      </c>
      <c r="H3182" s="2">
        <v>1600000</v>
      </c>
      <c r="I3182" s="2">
        <v>1605076.62</v>
      </c>
      <c r="J3182" s="2">
        <v>17238.18</v>
      </c>
      <c r="K3182" s="2">
        <v>0</v>
      </c>
      <c r="L3182" s="2">
        <v>1622314.8</v>
      </c>
      <c r="M3182" s="3">
        <v>6.0730570000000004</v>
      </c>
      <c r="N3182" s="4">
        <v>3.6909400000000002E-3</v>
      </c>
      <c r="O3182" s="5">
        <v>44704</v>
      </c>
      <c r="P3182" s="5">
        <v>45159</v>
      </c>
      <c r="Q3182" s="1">
        <v>6.242</v>
      </c>
      <c r="R3182" s="2">
        <v>0.08</v>
      </c>
      <c r="S3182" s="6">
        <v>5.9720457003999999E-2</v>
      </c>
      <c r="T3182" t="s">
        <v>111</v>
      </c>
      <c r="U3182" t="s">
        <v>111</v>
      </c>
      <c r="V3182" t="s">
        <v>11189</v>
      </c>
      <c r="W3182" t="s">
        <v>43</v>
      </c>
      <c r="X3182" t="s">
        <v>11034</v>
      </c>
      <c r="Y3182" t="s">
        <v>44</v>
      </c>
      <c r="Z3182" t="s">
        <v>44</v>
      </c>
      <c r="AA3182" t="s">
        <v>11441</v>
      </c>
      <c r="AB3182" t="s">
        <v>44</v>
      </c>
      <c r="AC3182" s="4">
        <v>6.1652619800000004</v>
      </c>
      <c r="AD3182" s="4">
        <v>5.9976152599999999</v>
      </c>
      <c r="AE3182" s="2">
        <v>6.17</v>
      </c>
      <c r="AF3182" s="4">
        <v>5.9976152599999999</v>
      </c>
      <c r="AG3182" s="2">
        <v>0.65</v>
      </c>
      <c r="AH3182" s="2">
        <v>1622314.8</v>
      </c>
      <c r="AI3182" s="2">
        <v>0</v>
      </c>
      <c r="AJ3182" s="5">
        <v>44673</v>
      </c>
      <c r="AK3182" t="s">
        <v>12646</v>
      </c>
      <c r="AL3182" s="2">
        <v>6.07</v>
      </c>
      <c r="AM3182" s="2">
        <v>6.24</v>
      </c>
      <c r="AN3182" s="2">
        <v>0.06</v>
      </c>
      <c r="AO3182" t="s">
        <v>11520</v>
      </c>
      <c r="AP3182" t="s">
        <v>11521</v>
      </c>
      <c r="AQ3182" t="s">
        <v>11519</v>
      </c>
    </row>
    <row r="3183" spans="1:43" x14ac:dyDescent="0.2">
      <c r="A3183" t="s">
        <v>12645</v>
      </c>
      <c r="B3183" t="s">
        <v>10900</v>
      </c>
      <c r="C3183" t="s">
        <v>11033</v>
      </c>
      <c r="D3183" t="s">
        <v>11812</v>
      </c>
      <c r="E3183" t="s">
        <v>11813</v>
      </c>
      <c r="F3183" t="s">
        <v>11812</v>
      </c>
      <c r="G3183" s="1">
        <v>389000</v>
      </c>
      <c r="H3183" s="2">
        <v>4661570.87</v>
      </c>
      <c r="I3183" s="2">
        <v>6164719.1799999997</v>
      </c>
      <c r="J3183" s="2">
        <v>189807.95</v>
      </c>
      <c r="K3183" s="2">
        <v>0</v>
      </c>
      <c r="L3183" s="2">
        <v>6354527.1299999999</v>
      </c>
      <c r="M3183" s="3"/>
      <c r="N3183" s="4">
        <v>1.445723E-2</v>
      </c>
      <c r="O3183" s="5">
        <v>44676</v>
      </c>
      <c r="P3183" s="5">
        <v>45039</v>
      </c>
      <c r="Q3183" s="1">
        <v>6.25</v>
      </c>
      <c r="R3183" s="2">
        <v>2.71</v>
      </c>
      <c r="S3183" s="6">
        <v>2.63</v>
      </c>
      <c r="T3183" t="s">
        <v>111</v>
      </c>
      <c r="U3183" t="s">
        <v>111</v>
      </c>
      <c r="V3183" t="s">
        <v>10944</v>
      </c>
      <c r="W3183" t="s">
        <v>113</v>
      </c>
      <c r="X3183" t="s">
        <v>44</v>
      </c>
      <c r="Y3183" t="s">
        <v>44</v>
      </c>
      <c r="Z3183" t="s">
        <v>44</v>
      </c>
      <c r="AA3183" t="s">
        <v>10979</v>
      </c>
      <c r="AB3183" t="s">
        <v>11465</v>
      </c>
      <c r="AC3183" s="4"/>
      <c r="AD3183" s="4"/>
      <c r="AE3183" s="2">
        <v>0</v>
      </c>
      <c r="AF3183" s="4">
        <v>0</v>
      </c>
      <c r="AG3183" s="2">
        <v>2.54</v>
      </c>
      <c r="AH3183" s="2">
        <v>6354527.1299999999</v>
      </c>
      <c r="AI3183" s="2">
        <v>0.01</v>
      </c>
      <c r="AJ3183" s="5">
        <v>44673</v>
      </c>
      <c r="AK3183" t="s">
        <v>12646</v>
      </c>
      <c r="AL3183" s="2">
        <v>0</v>
      </c>
      <c r="AM3183" s="2">
        <v>6.25</v>
      </c>
      <c r="AN3183" s="2">
        <v>2.63</v>
      </c>
      <c r="AO3183" t="s">
        <v>11054</v>
      </c>
      <c r="AP3183" t="s">
        <v>11814</v>
      </c>
      <c r="AQ3183" t="s">
        <v>11813</v>
      </c>
    </row>
    <row r="3184" spans="1:43" x14ac:dyDescent="0.2">
      <c r="A3184" t="s">
        <v>12645</v>
      </c>
      <c r="B3184" t="s">
        <v>10900</v>
      </c>
      <c r="C3184" t="s">
        <v>11033</v>
      </c>
      <c r="D3184" t="s">
        <v>11815</v>
      </c>
      <c r="E3184" t="s">
        <v>11816</v>
      </c>
      <c r="F3184" t="s">
        <v>11815</v>
      </c>
      <c r="G3184" s="1">
        <v>1000000</v>
      </c>
      <c r="H3184" s="2">
        <v>1000000</v>
      </c>
      <c r="I3184" s="2">
        <v>999946.81</v>
      </c>
      <c r="J3184" s="2">
        <v>11469.12</v>
      </c>
      <c r="K3184" s="2">
        <v>0</v>
      </c>
      <c r="L3184" s="2">
        <v>1011415.93</v>
      </c>
      <c r="M3184" s="3">
        <v>6.1638650000000004</v>
      </c>
      <c r="N3184" s="4">
        <v>2.3010800000000001E-3</v>
      </c>
      <c r="O3184" s="5">
        <v>44697</v>
      </c>
      <c r="P3184" s="5">
        <v>45519</v>
      </c>
      <c r="Q3184" s="1">
        <v>6.0670000000000002</v>
      </c>
      <c r="R3184" s="2">
        <v>0.06</v>
      </c>
      <c r="S3184" s="6">
        <v>2.7386669091000002E-2</v>
      </c>
      <c r="T3184" t="s">
        <v>111</v>
      </c>
      <c r="U3184" t="s">
        <v>111</v>
      </c>
      <c r="V3184" t="s">
        <v>11189</v>
      </c>
      <c r="W3184" t="s">
        <v>43</v>
      </c>
      <c r="X3184" t="s">
        <v>11034</v>
      </c>
      <c r="Y3184" t="s">
        <v>44</v>
      </c>
      <c r="Z3184" t="s">
        <v>44</v>
      </c>
      <c r="AA3184" t="s">
        <v>11225</v>
      </c>
      <c r="AB3184" t="s">
        <v>44</v>
      </c>
      <c r="AC3184" s="4">
        <v>6.2588480500000001</v>
      </c>
      <c r="AD3184" s="4">
        <v>6.0861713799999997</v>
      </c>
      <c r="AE3184" s="2">
        <v>6.26</v>
      </c>
      <c r="AF3184" s="4">
        <v>6.0861713799999997</v>
      </c>
      <c r="AG3184" s="2">
        <v>0.4</v>
      </c>
      <c r="AH3184" s="2">
        <v>1011415.93</v>
      </c>
      <c r="AI3184" s="2">
        <v>0</v>
      </c>
      <c r="AJ3184" s="5">
        <v>44673</v>
      </c>
      <c r="AK3184" t="s">
        <v>12646</v>
      </c>
      <c r="AL3184" s="2">
        <v>6.16</v>
      </c>
      <c r="AM3184" s="2">
        <v>6.07</v>
      </c>
      <c r="AN3184" s="2">
        <v>0.03</v>
      </c>
      <c r="AO3184" t="s">
        <v>11817</v>
      </c>
      <c r="AP3184" t="s">
        <v>11818</v>
      </c>
      <c r="AQ3184" t="s">
        <v>11816</v>
      </c>
    </row>
    <row r="3185" spans="1:43" x14ac:dyDescent="0.2">
      <c r="A3185" t="s">
        <v>12645</v>
      </c>
      <c r="B3185" t="s">
        <v>10900</v>
      </c>
      <c r="C3185" t="s">
        <v>11033</v>
      </c>
      <c r="D3185" t="s">
        <v>11822</v>
      </c>
      <c r="E3185" t="s">
        <v>11823</v>
      </c>
      <c r="F3185" t="s">
        <v>11822</v>
      </c>
      <c r="G3185" s="1">
        <v>1000000</v>
      </c>
      <c r="H3185" s="2">
        <v>1000000</v>
      </c>
      <c r="I3185" s="2">
        <v>992268.95</v>
      </c>
      <c r="J3185" s="2">
        <v>11251.78</v>
      </c>
      <c r="K3185" s="2">
        <v>0</v>
      </c>
      <c r="L3185" s="2">
        <v>1003520.73</v>
      </c>
      <c r="M3185" s="3">
        <v>6.4745299999999997</v>
      </c>
      <c r="N3185" s="4">
        <v>2.28312E-3</v>
      </c>
      <c r="O3185" s="5">
        <v>44693</v>
      </c>
      <c r="P3185" s="5">
        <v>45242</v>
      </c>
      <c r="Q3185" s="1">
        <v>5.867</v>
      </c>
      <c r="R3185" s="2">
        <v>0.05</v>
      </c>
      <c r="S3185" s="6">
        <v>1.5942423563000001E-2</v>
      </c>
      <c r="T3185" t="s">
        <v>111</v>
      </c>
      <c r="U3185" t="s">
        <v>111</v>
      </c>
      <c r="V3185" t="s">
        <v>11189</v>
      </c>
      <c r="W3185" t="s">
        <v>43</v>
      </c>
      <c r="X3185" t="s">
        <v>11034</v>
      </c>
      <c r="Y3185" t="s">
        <v>44</v>
      </c>
      <c r="Z3185" t="s">
        <v>44</v>
      </c>
      <c r="AA3185" t="s">
        <v>10979</v>
      </c>
      <c r="AB3185" t="s">
        <v>44</v>
      </c>
      <c r="AC3185" s="4">
        <v>6.5793283799999998</v>
      </c>
      <c r="AD3185" s="4">
        <v>6.3888862499999997</v>
      </c>
      <c r="AE3185" s="2">
        <v>6.58</v>
      </c>
      <c r="AF3185" s="4">
        <v>6.3888862499999997</v>
      </c>
      <c r="AG3185" s="2">
        <v>0.4</v>
      </c>
      <c r="AH3185" s="2">
        <v>1003520.73</v>
      </c>
      <c r="AI3185" s="2">
        <v>0</v>
      </c>
      <c r="AJ3185" s="5">
        <v>44673</v>
      </c>
      <c r="AK3185" t="s">
        <v>12646</v>
      </c>
      <c r="AL3185" s="2">
        <v>6.47</v>
      </c>
      <c r="AM3185" s="2">
        <v>5.87</v>
      </c>
      <c r="AN3185" s="2">
        <v>0.02</v>
      </c>
      <c r="AO3185" t="s">
        <v>11824</v>
      </c>
      <c r="AP3185" t="s">
        <v>11825</v>
      </c>
      <c r="AQ3185" t="s">
        <v>11823</v>
      </c>
    </row>
    <row r="3186" spans="1:43" x14ac:dyDescent="0.2">
      <c r="A3186" t="s">
        <v>12645</v>
      </c>
      <c r="B3186" t="s">
        <v>10900</v>
      </c>
      <c r="C3186" t="s">
        <v>11033</v>
      </c>
      <c r="D3186" t="s">
        <v>11826</v>
      </c>
      <c r="E3186" t="s">
        <v>11827</v>
      </c>
      <c r="F3186" t="s">
        <v>11826</v>
      </c>
      <c r="G3186" s="1">
        <v>4000000</v>
      </c>
      <c r="H3186" s="2">
        <v>4000000</v>
      </c>
      <c r="I3186" s="2">
        <v>3973072.43</v>
      </c>
      <c r="J3186" s="2">
        <v>24744.77</v>
      </c>
      <c r="K3186" s="2">
        <v>0</v>
      </c>
      <c r="L3186" s="2">
        <v>3997817.2</v>
      </c>
      <c r="M3186" s="3">
        <v>6.1816829999999996</v>
      </c>
      <c r="N3186" s="4">
        <v>9.0954599999999997E-3</v>
      </c>
      <c r="O3186" s="5">
        <v>44732</v>
      </c>
      <c r="P3186" s="5">
        <v>45644</v>
      </c>
      <c r="Q3186" s="1">
        <v>5.9420000000000002</v>
      </c>
      <c r="R3186" s="2">
        <v>0.15</v>
      </c>
      <c r="S3186" s="6">
        <v>0.106811678077</v>
      </c>
      <c r="T3186" t="s">
        <v>111</v>
      </c>
      <c r="U3186" t="s">
        <v>111</v>
      </c>
      <c r="V3186" t="s">
        <v>11189</v>
      </c>
      <c r="W3186" t="s">
        <v>43</v>
      </c>
      <c r="X3186" t="s">
        <v>11034</v>
      </c>
      <c r="Y3186" t="s">
        <v>44</v>
      </c>
      <c r="Z3186" t="s">
        <v>44</v>
      </c>
      <c r="AA3186" t="s">
        <v>10979</v>
      </c>
      <c r="AB3186" t="s">
        <v>44</v>
      </c>
      <c r="AC3186" s="4">
        <v>6.2772158899999999</v>
      </c>
      <c r="AD3186" s="4">
        <v>6.10354361</v>
      </c>
      <c r="AE3186" s="2">
        <v>6.28</v>
      </c>
      <c r="AF3186" s="4">
        <v>6.10354361</v>
      </c>
      <c r="AG3186" s="2">
        <v>1.6</v>
      </c>
      <c r="AH3186" s="2">
        <v>3997817.2</v>
      </c>
      <c r="AI3186" s="2">
        <v>0.01</v>
      </c>
      <c r="AJ3186" s="5">
        <v>44673</v>
      </c>
      <c r="AK3186" t="s">
        <v>12646</v>
      </c>
      <c r="AL3186" s="2">
        <v>6.18</v>
      </c>
      <c r="AM3186" s="2">
        <v>5.94</v>
      </c>
      <c r="AN3186" s="2">
        <v>0.11</v>
      </c>
      <c r="AO3186" t="s">
        <v>11824</v>
      </c>
      <c r="AP3186" t="s">
        <v>11828</v>
      </c>
      <c r="AQ3186" t="s">
        <v>11827</v>
      </c>
    </row>
    <row r="3187" spans="1:43" x14ac:dyDescent="0.2">
      <c r="A3187" t="s">
        <v>12645</v>
      </c>
      <c r="B3187" t="s">
        <v>10900</v>
      </c>
      <c r="C3187" t="s">
        <v>11033</v>
      </c>
      <c r="D3187" t="s">
        <v>12841</v>
      </c>
      <c r="E3187" t="s">
        <v>12842</v>
      </c>
      <c r="F3187" t="s">
        <v>12841</v>
      </c>
      <c r="G3187" s="1">
        <v>2700000</v>
      </c>
      <c r="H3187" s="2">
        <v>2700000</v>
      </c>
      <c r="I3187" s="2">
        <v>2700070.04</v>
      </c>
      <c r="J3187" s="2">
        <v>11716.67</v>
      </c>
      <c r="K3187" s="2">
        <v>0</v>
      </c>
      <c r="L3187" s="2">
        <v>2711786.71</v>
      </c>
      <c r="M3187" s="3">
        <v>5.8547310000000001</v>
      </c>
      <c r="N3187" s="4">
        <v>6.1696099999999999E-3</v>
      </c>
      <c r="O3187" s="5">
        <v>44679</v>
      </c>
      <c r="P3187" s="5">
        <v>45044</v>
      </c>
      <c r="Q3187" s="1">
        <v>6.0919999999999996</v>
      </c>
      <c r="R3187" s="2">
        <v>0.01</v>
      </c>
      <c r="S3187" s="6">
        <v>-3.847892072E-3</v>
      </c>
      <c r="T3187" t="s">
        <v>111</v>
      </c>
      <c r="U3187" t="s">
        <v>111</v>
      </c>
      <c r="V3187" t="s">
        <v>114</v>
      </c>
      <c r="W3187" t="s">
        <v>43</v>
      </c>
      <c r="X3187" t="s">
        <v>44</v>
      </c>
      <c r="Y3187" t="s">
        <v>44</v>
      </c>
      <c r="Z3187" t="s">
        <v>44</v>
      </c>
      <c r="AA3187" t="s">
        <v>10979</v>
      </c>
      <c r="AB3187" t="s">
        <v>44</v>
      </c>
      <c r="AC3187" s="4">
        <v>5.9404258900000002</v>
      </c>
      <c r="AD3187" s="4">
        <v>5.7845705699999996</v>
      </c>
      <c r="AE3187" s="2">
        <v>5.94</v>
      </c>
      <c r="AF3187" s="4">
        <v>5.7845705699999996</v>
      </c>
      <c r="AG3187" s="2">
        <v>1.08</v>
      </c>
      <c r="AH3187" s="2">
        <v>2711786.71</v>
      </c>
      <c r="AI3187" s="2">
        <v>0.01</v>
      </c>
      <c r="AJ3187" s="5">
        <v>44673</v>
      </c>
      <c r="AK3187" t="s">
        <v>12646</v>
      </c>
      <c r="AL3187" s="2">
        <v>5.85</v>
      </c>
      <c r="AM3187" s="2">
        <v>6.09</v>
      </c>
      <c r="AN3187" s="2">
        <v>0</v>
      </c>
      <c r="AO3187" t="s">
        <v>11165</v>
      </c>
      <c r="AP3187" t="s">
        <v>12843</v>
      </c>
      <c r="AQ3187" t="s">
        <v>12842</v>
      </c>
    </row>
    <row r="3188" spans="1:43" x14ac:dyDescent="0.2">
      <c r="A3188" t="s">
        <v>12645</v>
      </c>
      <c r="B3188" t="s">
        <v>10900</v>
      </c>
      <c r="C3188" t="s">
        <v>11033</v>
      </c>
      <c r="D3188" t="s">
        <v>11525</v>
      </c>
      <c r="E3188" t="s">
        <v>11526</v>
      </c>
      <c r="F3188" t="s">
        <v>11525</v>
      </c>
      <c r="G3188" s="1">
        <v>2000000</v>
      </c>
      <c r="H3188" s="2">
        <v>2000000</v>
      </c>
      <c r="I3188" s="2">
        <v>2003673.95</v>
      </c>
      <c r="J3188" s="2">
        <v>3847.29</v>
      </c>
      <c r="K3188" s="2">
        <v>0</v>
      </c>
      <c r="L3188" s="2">
        <v>2007521.24</v>
      </c>
      <c r="M3188" s="3">
        <v>6.20838</v>
      </c>
      <c r="N3188" s="4">
        <v>4.5673299999999997E-3</v>
      </c>
      <c r="O3188" s="5">
        <v>44756</v>
      </c>
      <c r="P3188" s="5">
        <v>45396</v>
      </c>
      <c r="Q3188" s="1">
        <v>6.383</v>
      </c>
      <c r="R3188" s="2">
        <v>0.22</v>
      </c>
      <c r="S3188" s="6">
        <v>0.18643150391999999</v>
      </c>
      <c r="T3188" t="s">
        <v>111</v>
      </c>
      <c r="U3188" t="s">
        <v>111</v>
      </c>
      <c r="V3188" t="s">
        <v>11189</v>
      </c>
      <c r="W3188" t="s">
        <v>43</v>
      </c>
      <c r="X3188" t="s">
        <v>11034</v>
      </c>
      <c r="Y3188" t="s">
        <v>44</v>
      </c>
      <c r="Z3188" t="s">
        <v>44</v>
      </c>
      <c r="AA3188" t="s">
        <v>44</v>
      </c>
      <c r="AB3188" t="s">
        <v>44</v>
      </c>
      <c r="AC3188" s="4">
        <v>6.30473952</v>
      </c>
      <c r="AD3188" s="4">
        <v>6.1295701999999999</v>
      </c>
      <c r="AE3188" s="2">
        <v>6.3</v>
      </c>
      <c r="AF3188" s="4">
        <v>6.1295701999999999</v>
      </c>
      <c r="AG3188" s="2">
        <v>0.8</v>
      </c>
      <c r="AH3188" s="2">
        <v>2007521.24</v>
      </c>
      <c r="AI3188" s="2">
        <v>0</v>
      </c>
      <c r="AJ3188" s="5">
        <v>44673</v>
      </c>
      <c r="AK3188" t="s">
        <v>12646</v>
      </c>
      <c r="AL3188" s="2">
        <v>6.21</v>
      </c>
      <c r="AM3188" s="2">
        <v>6.38</v>
      </c>
      <c r="AN3188" s="2">
        <v>0.19</v>
      </c>
      <c r="AO3188" t="s">
        <v>11527</v>
      </c>
      <c r="AP3188" t="s">
        <v>11528</v>
      </c>
      <c r="AQ3188" t="s">
        <v>11526</v>
      </c>
    </row>
    <row r="3189" spans="1:43" x14ac:dyDescent="0.2">
      <c r="A3189" t="s">
        <v>12645</v>
      </c>
      <c r="B3189" t="s">
        <v>10900</v>
      </c>
      <c r="C3189" t="s">
        <v>11033</v>
      </c>
      <c r="D3189" t="s">
        <v>11829</v>
      </c>
      <c r="E3189" t="s">
        <v>11830</v>
      </c>
      <c r="F3189" t="s">
        <v>11829</v>
      </c>
      <c r="G3189" s="1">
        <v>1400000</v>
      </c>
      <c r="H3189" s="2">
        <v>1400000</v>
      </c>
      <c r="I3189" s="2">
        <v>1399821.32</v>
      </c>
      <c r="J3189" s="2">
        <v>11120.72</v>
      </c>
      <c r="K3189" s="2">
        <v>0</v>
      </c>
      <c r="L3189" s="2">
        <v>1410942.04</v>
      </c>
      <c r="M3189" s="3">
        <v>5.9678570000000004</v>
      </c>
      <c r="N3189" s="4">
        <v>3.2100499999999999E-3</v>
      </c>
      <c r="O3189" s="5">
        <v>44719</v>
      </c>
      <c r="P3189" s="5">
        <v>45723</v>
      </c>
      <c r="Q3189" s="1">
        <v>5.9169999999999998</v>
      </c>
      <c r="R3189" s="2">
        <v>0.12</v>
      </c>
      <c r="S3189" s="6">
        <v>8.2443218371999999E-2</v>
      </c>
      <c r="T3189" t="s">
        <v>111</v>
      </c>
      <c r="U3189" t="s">
        <v>111</v>
      </c>
      <c r="V3189" t="s">
        <v>11189</v>
      </c>
      <c r="W3189" t="s">
        <v>43</v>
      </c>
      <c r="X3189" t="s">
        <v>11034</v>
      </c>
      <c r="Y3189" t="s">
        <v>44</v>
      </c>
      <c r="Z3189" t="s">
        <v>44</v>
      </c>
      <c r="AA3189" t="s">
        <v>11035</v>
      </c>
      <c r="AB3189" t="s">
        <v>44</v>
      </c>
      <c r="AC3189" s="4">
        <v>6.0568952400000002</v>
      </c>
      <c r="AD3189" s="4">
        <v>5.8949834299999999</v>
      </c>
      <c r="AE3189" s="2">
        <v>6.06</v>
      </c>
      <c r="AF3189" s="4">
        <v>5.8949834299999999</v>
      </c>
      <c r="AG3189" s="2">
        <v>0.56000000000000005</v>
      </c>
      <c r="AH3189" s="2">
        <v>1410942.04</v>
      </c>
      <c r="AI3189" s="2">
        <v>0</v>
      </c>
      <c r="AJ3189" s="5">
        <v>44673</v>
      </c>
      <c r="AK3189" t="s">
        <v>12646</v>
      </c>
      <c r="AL3189" s="2">
        <v>5.97</v>
      </c>
      <c r="AM3189" s="2">
        <v>5.92</v>
      </c>
      <c r="AN3189" s="2">
        <v>0.08</v>
      </c>
      <c r="AO3189" t="s">
        <v>11437</v>
      </c>
      <c r="AP3189" t="s">
        <v>11831</v>
      </c>
      <c r="AQ3189" t="s">
        <v>11830</v>
      </c>
    </row>
    <row r="3190" spans="1:43" x14ac:dyDescent="0.2">
      <c r="A3190" t="s">
        <v>12645</v>
      </c>
      <c r="B3190" t="s">
        <v>10900</v>
      </c>
      <c r="C3190" t="s">
        <v>11033</v>
      </c>
      <c r="D3190" t="s">
        <v>11832</v>
      </c>
      <c r="E3190" t="s">
        <v>11833</v>
      </c>
      <c r="F3190" t="s">
        <v>11832</v>
      </c>
      <c r="G3190" s="1">
        <v>7200000</v>
      </c>
      <c r="H3190" s="2">
        <v>7201259.8700000001</v>
      </c>
      <c r="I3190" s="2">
        <v>7202828.7599999998</v>
      </c>
      <c r="J3190" s="2">
        <v>6489.47</v>
      </c>
      <c r="K3190" s="2">
        <v>0</v>
      </c>
      <c r="L3190" s="2">
        <v>7209318.2300000004</v>
      </c>
      <c r="M3190" s="3">
        <v>5.3938800000000002</v>
      </c>
      <c r="N3190" s="4">
        <v>1.640198E-2</v>
      </c>
      <c r="O3190" s="5">
        <v>44757</v>
      </c>
      <c r="P3190" s="5">
        <v>45397</v>
      </c>
      <c r="Q3190" s="1">
        <v>5.4829999999999997</v>
      </c>
      <c r="R3190" s="2">
        <v>0.22</v>
      </c>
      <c r="S3190" s="6">
        <v>0.19846818724099999</v>
      </c>
      <c r="T3190" t="s">
        <v>111</v>
      </c>
      <c r="U3190" t="s">
        <v>111</v>
      </c>
      <c r="V3190" t="s">
        <v>11189</v>
      </c>
      <c r="W3190" t="s">
        <v>43</v>
      </c>
      <c r="X3190" t="s">
        <v>11034</v>
      </c>
      <c r="Y3190" t="s">
        <v>44</v>
      </c>
      <c r="Z3190" t="s">
        <v>44</v>
      </c>
      <c r="AA3190" t="s">
        <v>11035</v>
      </c>
      <c r="AB3190" t="s">
        <v>44</v>
      </c>
      <c r="AC3190" s="4">
        <v>5.4666152800000001</v>
      </c>
      <c r="AD3190" s="4">
        <v>5.3342482999999996</v>
      </c>
      <c r="AE3190" s="2">
        <v>5.47</v>
      </c>
      <c r="AF3190" s="4">
        <v>5.3342482999999996</v>
      </c>
      <c r="AG3190" s="2">
        <v>2.88</v>
      </c>
      <c r="AH3190" s="2">
        <v>7209318.2300000004</v>
      </c>
      <c r="AI3190" s="2">
        <v>0.02</v>
      </c>
      <c r="AJ3190" s="5">
        <v>44673</v>
      </c>
      <c r="AK3190" t="s">
        <v>12646</v>
      </c>
      <c r="AL3190" s="2">
        <v>5.39</v>
      </c>
      <c r="AM3190" s="2">
        <v>5.48</v>
      </c>
      <c r="AN3190" s="2">
        <v>0.2</v>
      </c>
      <c r="AO3190" t="s">
        <v>11036</v>
      </c>
      <c r="AP3190" t="s">
        <v>11834</v>
      </c>
      <c r="AQ3190" t="s">
        <v>11833</v>
      </c>
    </row>
    <row r="3191" spans="1:43" x14ac:dyDescent="0.2">
      <c r="A3191" t="s">
        <v>12645</v>
      </c>
      <c r="B3191" t="s">
        <v>10900</v>
      </c>
      <c r="C3191" t="s">
        <v>11033</v>
      </c>
      <c r="D3191" t="s">
        <v>12982</v>
      </c>
      <c r="E3191" t="s">
        <v>12983</v>
      </c>
      <c r="F3191" t="s">
        <v>12982</v>
      </c>
      <c r="G3191" s="1">
        <v>2200000</v>
      </c>
      <c r="H3191" s="2">
        <v>2200000</v>
      </c>
      <c r="I3191" s="2">
        <v>2293160.71</v>
      </c>
      <c r="J3191" s="2">
        <v>29221</v>
      </c>
      <c r="K3191" s="2">
        <v>0</v>
      </c>
      <c r="L3191" s="2">
        <v>2322381.71</v>
      </c>
      <c r="M3191" s="3">
        <v>6.0747210000000003</v>
      </c>
      <c r="N3191" s="4">
        <v>5.2836699999999999E-3</v>
      </c>
      <c r="O3191" s="5">
        <v>44706</v>
      </c>
      <c r="P3191" s="5">
        <v>45439</v>
      </c>
      <c r="Q3191" s="1">
        <v>8.2170000000000005</v>
      </c>
      <c r="R3191" s="2">
        <v>0.08</v>
      </c>
      <c r="S3191" s="6">
        <v>9.4979191527000004E-2</v>
      </c>
      <c r="T3191" t="s">
        <v>111</v>
      </c>
      <c r="U3191" t="s">
        <v>111</v>
      </c>
      <c r="V3191" t="s">
        <v>11189</v>
      </c>
      <c r="W3191" t="s">
        <v>43</v>
      </c>
      <c r="X3191" t="s">
        <v>11034</v>
      </c>
      <c r="Y3191" t="s">
        <v>44</v>
      </c>
      <c r="Z3191" t="s">
        <v>44</v>
      </c>
      <c r="AA3191" t="s">
        <v>44</v>
      </c>
      <c r="AB3191" t="s">
        <v>44</v>
      </c>
      <c r="AC3191" s="4">
        <v>6.1669761000000003</v>
      </c>
      <c r="AD3191" s="4">
        <v>5.9992378899999999</v>
      </c>
      <c r="AE3191" s="2">
        <v>6.17</v>
      </c>
      <c r="AF3191" s="4">
        <v>5.9992378899999999</v>
      </c>
      <c r="AG3191" s="2">
        <v>0.93</v>
      </c>
      <c r="AH3191" s="2">
        <v>2322381.71</v>
      </c>
      <c r="AI3191" s="2">
        <v>0.01</v>
      </c>
      <c r="AJ3191" s="5">
        <v>44673</v>
      </c>
      <c r="AK3191" t="s">
        <v>12646</v>
      </c>
      <c r="AL3191" s="2">
        <v>6.07</v>
      </c>
      <c r="AM3191" s="2">
        <v>8.2200000000000006</v>
      </c>
      <c r="AN3191" s="2">
        <v>0.09</v>
      </c>
      <c r="AO3191" t="s">
        <v>12984</v>
      </c>
      <c r="AP3191" t="s">
        <v>12985</v>
      </c>
      <c r="AQ3191" t="s">
        <v>12983</v>
      </c>
    </row>
    <row r="3192" spans="1:43" x14ac:dyDescent="0.2">
      <c r="A3192" t="s">
        <v>12645</v>
      </c>
      <c r="B3192" t="s">
        <v>10900</v>
      </c>
      <c r="C3192" t="s">
        <v>11033</v>
      </c>
      <c r="D3192" t="s">
        <v>11843</v>
      </c>
      <c r="E3192" t="s">
        <v>11844</v>
      </c>
      <c r="F3192" t="s">
        <v>11843</v>
      </c>
      <c r="G3192" s="1">
        <v>5400000</v>
      </c>
      <c r="H3192" s="2">
        <v>5422087.4400000004</v>
      </c>
      <c r="I3192" s="2">
        <v>5375638.5800000001</v>
      </c>
      <c r="J3192" s="2">
        <v>6021.07</v>
      </c>
      <c r="K3192" s="2">
        <v>0</v>
      </c>
      <c r="L3192" s="2">
        <v>5381659.6500000004</v>
      </c>
      <c r="M3192" s="3">
        <v>6.9820180000000001</v>
      </c>
      <c r="N3192" s="4">
        <v>1.2243860000000001E-2</v>
      </c>
      <c r="O3192" s="5">
        <v>44760</v>
      </c>
      <c r="P3192" s="5">
        <v>45398</v>
      </c>
      <c r="Q3192" s="1">
        <v>6.7830000000000004</v>
      </c>
      <c r="R3192" s="2">
        <v>0.23</v>
      </c>
      <c r="S3192" s="6">
        <v>0.182016060841</v>
      </c>
      <c r="T3192" t="s">
        <v>111</v>
      </c>
      <c r="U3192" t="s">
        <v>111</v>
      </c>
      <c r="V3192" t="s">
        <v>11189</v>
      </c>
      <c r="W3192" t="s">
        <v>43</v>
      </c>
      <c r="X3192" t="s">
        <v>11034</v>
      </c>
      <c r="Y3192" t="s">
        <v>44</v>
      </c>
      <c r="Z3192" t="s">
        <v>44</v>
      </c>
      <c r="AA3192" t="s">
        <v>10979</v>
      </c>
      <c r="AB3192" t="s">
        <v>44</v>
      </c>
      <c r="AC3192" s="4">
        <v>7.1038890300000004</v>
      </c>
      <c r="AD3192" s="4">
        <v>6.8825725699999998</v>
      </c>
      <c r="AE3192" s="2">
        <v>7.1</v>
      </c>
      <c r="AF3192" s="4">
        <v>6.8825725699999998</v>
      </c>
      <c r="AG3192" s="2">
        <v>2.15</v>
      </c>
      <c r="AH3192" s="2">
        <v>5381659.6500000004</v>
      </c>
      <c r="AI3192" s="2">
        <v>0.01</v>
      </c>
      <c r="AJ3192" s="5">
        <v>44673</v>
      </c>
      <c r="AK3192" t="s">
        <v>12646</v>
      </c>
      <c r="AL3192" s="2">
        <v>6.98</v>
      </c>
      <c r="AM3192" s="2">
        <v>6.78</v>
      </c>
      <c r="AN3192" s="2">
        <v>0.18</v>
      </c>
      <c r="AO3192" t="s">
        <v>11179</v>
      </c>
      <c r="AP3192" t="s">
        <v>11845</v>
      </c>
      <c r="AQ3192" t="s">
        <v>11844</v>
      </c>
    </row>
    <row r="3193" spans="1:43" x14ac:dyDescent="0.2">
      <c r="A3193" t="s">
        <v>12645</v>
      </c>
      <c r="B3193" t="s">
        <v>10900</v>
      </c>
      <c r="C3193" t="s">
        <v>10943</v>
      </c>
      <c r="D3193" t="s">
        <v>11552</v>
      </c>
      <c r="E3193" t="s">
        <v>11553</v>
      </c>
      <c r="F3193" t="s">
        <v>11552</v>
      </c>
      <c r="G3193" s="1">
        <v>200000</v>
      </c>
      <c r="H3193" s="2">
        <v>200000</v>
      </c>
      <c r="I3193" s="2">
        <v>200000.69</v>
      </c>
      <c r="J3193" s="2">
        <v>2599.63</v>
      </c>
      <c r="K3193" s="2">
        <v>0</v>
      </c>
      <c r="L3193" s="2">
        <v>202600.32000000001</v>
      </c>
      <c r="M3193" s="3">
        <v>5.7189139999999998</v>
      </c>
      <c r="N3193" s="4">
        <v>4.6094000000000002E-4</v>
      </c>
      <c r="O3193" s="5">
        <v>44684</v>
      </c>
      <c r="P3193" s="5">
        <v>46418</v>
      </c>
      <c r="Q3193" s="1">
        <v>5.6479999999999997</v>
      </c>
      <c r="R3193" s="2">
        <v>0.02</v>
      </c>
      <c r="S3193" s="6">
        <v>-2.0490922419E-2</v>
      </c>
      <c r="T3193" t="s">
        <v>111</v>
      </c>
      <c r="U3193" t="s">
        <v>111</v>
      </c>
      <c r="V3193" t="s">
        <v>11189</v>
      </c>
      <c r="W3193" t="s">
        <v>43</v>
      </c>
      <c r="X3193" t="s">
        <v>11034</v>
      </c>
      <c r="Y3193" t="s">
        <v>44</v>
      </c>
      <c r="Z3193" t="s">
        <v>44</v>
      </c>
      <c r="AA3193" t="s">
        <v>10979</v>
      </c>
      <c r="AB3193" t="s">
        <v>44</v>
      </c>
      <c r="AC3193" s="4">
        <v>5.8006784400000004</v>
      </c>
      <c r="AD3193" s="4">
        <v>5.6519431300000003</v>
      </c>
      <c r="AE3193" s="2">
        <v>5.8</v>
      </c>
      <c r="AF3193" s="4">
        <v>5.6519431300000003</v>
      </c>
      <c r="AG3193" s="2">
        <v>0.08</v>
      </c>
      <c r="AH3193" s="2">
        <v>202600.32000000001</v>
      </c>
      <c r="AI3193" s="2">
        <v>0</v>
      </c>
      <c r="AJ3193" s="5">
        <v>44673</v>
      </c>
      <c r="AK3193" t="s">
        <v>12646</v>
      </c>
      <c r="AL3193" s="2">
        <v>5.72</v>
      </c>
      <c r="AM3193" s="2">
        <v>5.65</v>
      </c>
      <c r="AN3193" s="2">
        <v>-0.02</v>
      </c>
      <c r="AO3193" t="s">
        <v>11048</v>
      </c>
      <c r="AP3193" t="s">
        <v>11554</v>
      </c>
      <c r="AQ3193" t="s">
        <v>11553</v>
      </c>
    </row>
    <row r="3194" spans="1:43" x14ac:dyDescent="0.2">
      <c r="A3194" t="s">
        <v>12645</v>
      </c>
      <c r="B3194" t="s">
        <v>10900</v>
      </c>
      <c r="C3194" t="s">
        <v>10943</v>
      </c>
      <c r="D3194" t="s">
        <v>11555</v>
      </c>
      <c r="E3194" t="s">
        <v>11556</v>
      </c>
      <c r="F3194" t="s">
        <v>11555</v>
      </c>
      <c r="G3194" s="1">
        <v>1900000</v>
      </c>
      <c r="H3194" s="2">
        <v>1900000</v>
      </c>
      <c r="I3194" s="2">
        <v>1863651.1</v>
      </c>
      <c r="J3194" s="2">
        <v>40187.86</v>
      </c>
      <c r="K3194" s="2">
        <v>0</v>
      </c>
      <c r="L3194" s="2">
        <v>1903838.96</v>
      </c>
      <c r="M3194" s="3">
        <v>9.9250000000000007</v>
      </c>
      <c r="N3194" s="4">
        <v>4.3314399999999998E-3</v>
      </c>
      <c r="O3194" s="5">
        <v>44775</v>
      </c>
      <c r="P3194" s="5">
        <v>46420</v>
      </c>
      <c r="Q3194" s="1">
        <v>9.4149999999999991</v>
      </c>
      <c r="R3194" s="2">
        <v>3.86</v>
      </c>
      <c r="S3194" s="6">
        <v>3.6810259830000001</v>
      </c>
      <c r="T3194" t="s">
        <v>111</v>
      </c>
      <c r="U3194" t="s">
        <v>111</v>
      </c>
      <c r="V3194" t="s">
        <v>10944</v>
      </c>
      <c r="W3194" t="s">
        <v>43</v>
      </c>
      <c r="X3194" t="s">
        <v>44</v>
      </c>
      <c r="Y3194" t="s">
        <v>44</v>
      </c>
      <c r="Z3194" t="s">
        <v>44</v>
      </c>
      <c r="AA3194" t="s">
        <v>10979</v>
      </c>
      <c r="AB3194" t="s">
        <v>44</v>
      </c>
      <c r="AC3194" s="4">
        <v>10.17126406</v>
      </c>
      <c r="AD3194" s="4">
        <v>9.72579277</v>
      </c>
      <c r="AE3194" s="2">
        <v>10.17</v>
      </c>
      <c r="AF3194" s="4">
        <v>9.72579277</v>
      </c>
      <c r="AG3194" s="2">
        <v>0.76</v>
      </c>
      <c r="AH3194" s="2">
        <v>1903838.96</v>
      </c>
      <c r="AI3194" s="2">
        <v>0</v>
      </c>
      <c r="AJ3194" s="5">
        <v>44673</v>
      </c>
      <c r="AK3194" t="s">
        <v>12646</v>
      </c>
      <c r="AL3194" s="2">
        <v>9.93</v>
      </c>
      <c r="AM3194" s="2">
        <v>9.41</v>
      </c>
      <c r="AN3194" s="2">
        <v>3.68</v>
      </c>
      <c r="AO3194" t="s">
        <v>11048</v>
      </c>
      <c r="AP3194" t="s">
        <v>11557</v>
      </c>
      <c r="AQ3194" t="s">
        <v>11556</v>
      </c>
    </row>
    <row r="3195" spans="1:43" x14ac:dyDescent="0.2">
      <c r="A3195" t="s">
        <v>12645</v>
      </c>
      <c r="B3195" t="s">
        <v>10900</v>
      </c>
      <c r="C3195" t="s">
        <v>10943</v>
      </c>
      <c r="D3195" t="s">
        <v>11558</v>
      </c>
      <c r="E3195" t="s">
        <v>11559</v>
      </c>
      <c r="F3195" t="s">
        <v>11558</v>
      </c>
      <c r="G3195" s="1">
        <v>1800000</v>
      </c>
      <c r="H3195" s="2">
        <v>1800000</v>
      </c>
      <c r="I3195" s="2">
        <v>1771925.94</v>
      </c>
      <c r="J3195" s="2">
        <v>2412.9899999999998</v>
      </c>
      <c r="K3195" s="2">
        <v>0</v>
      </c>
      <c r="L3195" s="2">
        <v>1774338.93</v>
      </c>
      <c r="M3195" s="3">
        <v>8.625</v>
      </c>
      <c r="N3195" s="4">
        <v>4.0368100000000001E-3</v>
      </c>
      <c r="O3195" s="5">
        <v>44853</v>
      </c>
      <c r="P3195" s="5">
        <v>46131</v>
      </c>
      <c r="Q3195" s="1">
        <v>8.1549999999999994</v>
      </c>
      <c r="R3195" s="2">
        <v>3.47</v>
      </c>
      <c r="S3195" s="6">
        <v>3.327828963</v>
      </c>
      <c r="T3195" t="s">
        <v>111</v>
      </c>
      <c r="U3195" t="s">
        <v>111</v>
      </c>
      <c r="V3195" t="s">
        <v>10944</v>
      </c>
      <c r="W3195" t="s">
        <v>43</v>
      </c>
      <c r="X3195" t="s">
        <v>44</v>
      </c>
      <c r="Y3195" t="s">
        <v>44</v>
      </c>
      <c r="Z3195" t="s">
        <v>44</v>
      </c>
      <c r="AA3195" t="s">
        <v>10979</v>
      </c>
      <c r="AB3195" t="s">
        <v>44</v>
      </c>
      <c r="AC3195" s="4">
        <v>8.8109765600000003</v>
      </c>
      <c r="AD3195" s="4">
        <v>8.4739831300000006</v>
      </c>
      <c r="AE3195" s="2">
        <v>8.81</v>
      </c>
      <c r="AF3195" s="4">
        <v>8.4739831300000006</v>
      </c>
      <c r="AG3195" s="2">
        <v>0.71</v>
      </c>
      <c r="AH3195" s="2">
        <v>1774338.93</v>
      </c>
      <c r="AI3195" s="2">
        <v>0</v>
      </c>
      <c r="AJ3195" s="5">
        <v>44673</v>
      </c>
      <c r="AK3195" t="s">
        <v>12646</v>
      </c>
      <c r="AL3195" s="2">
        <v>8.6300000000000008</v>
      </c>
      <c r="AM3195" s="2">
        <v>8.15</v>
      </c>
      <c r="AN3195" s="2">
        <v>3.33</v>
      </c>
      <c r="AO3195" t="s">
        <v>11054</v>
      </c>
      <c r="AP3195" t="s">
        <v>11560</v>
      </c>
      <c r="AQ3195" t="s">
        <v>11559</v>
      </c>
    </row>
    <row r="3196" spans="1:43" x14ac:dyDescent="0.2">
      <c r="A3196" t="s">
        <v>12645</v>
      </c>
      <c r="B3196" t="s">
        <v>10900</v>
      </c>
      <c r="C3196" t="s">
        <v>10943</v>
      </c>
      <c r="D3196" t="s">
        <v>11572</v>
      </c>
      <c r="E3196" t="s">
        <v>11573</v>
      </c>
      <c r="F3196" t="s">
        <v>11572</v>
      </c>
      <c r="G3196" s="1">
        <v>1900000</v>
      </c>
      <c r="H3196" s="2">
        <v>1900000</v>
      </c>
      <c r="I3196" s="2">
        <v>1899829.03</v>
      </c>
      <c r="J3196" s="2">
        <v>11312.96</v>
      </c>
      <c r="K3196" s="2">
        <v>0</v>
      </c>
      <c r="L3196" s="2">
        <v>1911141.99</v>
      </c>
      <c r="M3196" s="3">
        <v>6.3514429999999997</v>
      </c>
      <c r="N3196" s="4">
        <v>4.34805E-3</v>
      </c>
      <c r="O3196" s="5">
        <v>44734</v>
      </c>
      <c r="P3196" s="5">
        <v>46468</v>
      </c>
      <c r="Q3196" s="1">
        <v>6.3920000000000003</v>
      </c>
      <c r="R3196" s="2">
        <v>0.16</v>
      </c>
      <c r="S3196" s="6">
        <v>9.4330326845999998E-2</v>
      </c>
      <c r="T3196" t="s">
        <v>111</v>
      </c>
      <c r="U3196" t="s">
        <v>111</v>
      </c>
      <c r="V3196" t="s">
        <v>11189</v>
      </c>
      <c r="W3196" t="s">
        <v>43</v>
      </c>
      <c r="X3196" t="s">
        <v>11034</v>
      </c>
      <c r="Y3196" t="s">
        <v>44</v>
      </c>
      <c r="Z3196" t="s">
        <v>44</v>
      </c>
      <c r="AA3196" t="s">
        <v>11035</v>
      </c>
      <c r="AB3196" t="s">
        <v>44</v>
      </c>
      <c r="AC3196" s="4">
        <v>6.4522949799999996</v>
      </c>
      <c r="AD3196" s="4">
        <v>6.2689947500000001</v>
      </c>
      <c r="AE3196" s="2">
        <v>6.45</v>
      </c>
      <c r="AF3196" s="4">
        <v>6.2689947500000001</v>
      </c>
      <c r="AG3196" s="2">
        <v>0.76</v>
      </c>
      <c r="AH3196" s="2">
        <v>1911141.99</v>
      </c>
      <c r="AI3196" s="2">
        <v>0</v>
      </c>
      <c r="AJ3196" s="5">
        <v>44673</v>
      </c>
      <c r="AK3196" t="s">
        <v>12646</v>
      </c>
      <c r="AL3196" s="2">
        <v>6.35</v>
      </c>
      <c r="AM3196" s="2">
        <v>6.39</v>
      </c>
      <c r="AN3196" s="2">
        <v>0.09</v>
      </c>
      <c r="AO3196" t="s">
        <v>11226</v>
      </c>
      <c r="AP3196" t="s">
        <v>11574</v>
      </c>
      <c r="AQ3196" t="s">
        <v>11573</v>
      </c>
    </row>
    <row r="3197" spans="1:43" x14ac:dyDescent="0.2">
      <c r="A3197" t="s">
        <v>12645</v>
      </c>
      <c r="B3197" t="s">
        <v>10900</v>
      </c>
      <c r="C3197" t="s">
        <v>10943</v>
      </c>
      <c r="D3197" t="s">
        <v>11575</v>
      </c>
      <c r="E3197" t="s">
        <v>11576</v>
      </c>
      <c r="F3197" t="s">
        <v>11575</v>
      </c>
      <c r="G3197" s="1">
        <v>3000000</v>
      </c>
      <c r="H3197" s="2">
        <v>3000000</v>
      </c>
      <c r="I3197" s="2">
        <v>2924713.2</v>
      </c>
      <c r="J3197" s="2">
        <v>57096.99</v>
      </c>
      <c r="K3197" s="2">
        <v>0</v>
      </c>
      <c r="L3197" s="2">
        <v>2981810.19</v>
      </c>
      <c r="M3197" s="3">
        <v>9.07</v>
      </c>
      <c r="N3197" s="4">
        <v>6.7839399999999996E-3</v>
      </c>
      <c r="O3197" s="5">
        <v>44771</v>
      </c>
      <c r="P3197" s="5">
        <v>46051</v>
      </c>
      <c r="Q3197" s="1">
        <v>8.27</v>
      </c>
      <c r="R3197" s="2">
        <v>3.24</v>
      </c>
      <c r="S3197" s="6">
        <v>3.0998465770000001</v>
      </c>
      <c r="T3197" t="s">
        <v>111</v>
      </c>
      <c r="U3197" t="s">
        <v>111</v>
      </c>
      <c r="V3197" t="s">
        <v>10944</v>
      </c>
      <c r="W3197" t="s">
        <v>43</v>
      </c>
      <c r="X3197" t="s">
        <v>44</v>
      </c>
      <c r="Y3197" t="s">
        <v>44</v>
      </c>
      <c r="Z3197" t="s">
        <v>44</v>
      </c>
      <c r="AA3197" t="s">
        <v>11035</v>
      </c>
      <c r="AB3197" t="s">
        <v>44</v>
      </c>
      <c r="AC3197" s="4">
        <v>9.2756622499999999</v>
      </c>
      <c r="AD3197" s="4">
        <v>8.9032170799999992</v>
      </c>
      <c r="AE3197" s="2">
        <v>9.2799999999999994</v>
      </c>
      <c r="AF3197" s="4">
        <v>8.9032170799999992</v>
      </c>
      <c r="AG3197" s="2">
        <v>1.19</v>
      </c>
      <c r="AH3197" s="2">
        <v>2981810.19</v>
      </c>
      <c r="AI3197" s="2">
        <v>0.01</v>
      </c>
      <c r="AJ3197" s="5">
        <v>44673</v>
      </c>
      <c r="AK3197" t="s">
        <v>12646</v>
      </c>
      <c r="AL3197" s="2">
        <v>9.07</v>
      </c>
      <c r="AM3197" s="2">
        <v>8.27</v>
      </c>
      <c r="AN3197" s="2">
        <v>3.1</v>
      </c>
      <c r="AO3197" t="s">
        <v>11437</v>
      </c>
      <c r="AP3197" t="s">
        <v>11577</v>
      </c>
      <c r="AQ3197" t="s">
        <v>11576</v>
      </c>
    </row>
    <row r="3198" spans="1:43" x14ac:dyDescent="0.2">
      <c r="A3198" t="s">
        <v>12645</v>
      </c>
      <c r="B3198" t="s">
        <v>10900</v>
      </c>
      <c r="C3198" t="s">
        <v>10943</v>
      </c>
      <c r="D3198" t="s">
        <v>11578</v>
      </c>
      <c r="E3198" t="s">
        <v>11579</v>
      </c>
      <c r="F3198" t="s">
        <v>11578</v>
      </c>
      <c r="G3198" s="1">
        <v>800000</v>
      </c>
      <c r="H3198" s="2">
        <v>800000</v>
      </c>
      <c r="I3198" s="2">
        <v>746802.08</v>
      </c>
      <c r="J3198" s="2">
        <v>7008.89</v>
      </c>
      <c r="K3198" s="2">
        <v>0</v>
      </c>
      <c r="L3198" s="2">
        <v>753810.97</v>
      </c>
      <c r="M3198" s="3">
        <v>9.375</v>
      </c>
      <c r="N3198" s="4">
        <v>1.7149999999999999E-3</v>
      </c>
      <c r="O3198" s="5">
        <v>44819</v>
      </c>
      <c r="P3198" s="5">
        <v>46827</v>
      </c>
      <c r="Q3198" s="1">
        <v>7.8849999999999998</v>
      </c>
      <c r="R3198" s="2">
        <v>4.74</v>
      </c>
      <c r="S3198" s="6">
        <v>4.5243735450000004</v>
      </c>
      <c r="T3198" t="s">
        <v>111</v>
      </c>
      <c r="U3198" t="s">
        <v>111</v>
      </c>
      <c r="V3198" t="s">
        <v>10944</v>
      </c>
      <c r="W3198" t="s">
        <v>43</v>
      </c>
      <c r="X3198" t="s">
        <v>44</v>
      </c>
      <c r="Y3198" t="s">
        <v>44</v>
      </c>
      <c r="Z3198" t="s">
        <v>44</v>
      </c>
      <c r="AA3198" t="s">
        <v>11441</v>
      </c>
      <c r="AB3198" t="s">
        <v>44</v>
      </c>
      <c r="AC3198" s="4">
        <v>9.5947265599999998</v>
      </c>
      <c r="AD3198" s="4">
        <v>9.1969716100000003</v>
      </c>
      <c r="AE3198" s="2">
        <v>9.59</v>
      </c>
      <c r="AF3198" s="4">
        <v>9.1969716100000003</v>
      </c>
      <c r="AG3198" s="2">
        <v>0.3</v>
      </c>
      <c r="AH3198" s="2">
        <v>753810.97</v>
      </c>
      <c r="AI3198" s="2">
        <v>0</v>
      </c>
      <c r="AJ3198" s="5">
        <v>44673</v>
      </c>
      <c r="AK3198" t="s">
        <v>12646</v>
      </c>
      <c r="AL3198" s="2">
        <v>9.3800000000000008</v>
      </c>
      <c r="AM3198" s="2">
        <v>7.88</v>
      </c>
      <c r="AN3198" s="2">
        <v>4.5199999999999996</v>
      </c>
      <c r="AO3198" t="s">
        <v>11580</v>
      </c>
      <c r="AP3198" t="s">
        <v>11581</v>
      </c>
      <c r="AQ3198" t="s">
        <v>11579</v>
      </c>
    </row>
    <row r="3199" spans="1:43" x14ac:dyDescent="0.2">
      <c r="A3199" t="s">
        <v>12645</v>
      </c>
      <c r="B3199" t="s">
        <v>10900</v>
      </c>
      <c r="C3199" t="s">
        <v>10943</v>
      </c>
      <c r="D3199" t="s">
        <v>11919</v>
      </c>
      <c r="E3199" t="s">
        <v>11920</v>
      </c>
      <c r="F3199" t="s">
        <v>11919</v>
      </c>
      <c r="G3199" s="1">
        <v>1900000</v>
      </c>
      <c r="H3199" s="2">
        <v>1900000</v>
      </c>
      <c r="I3199" s="2">
        <v>2000722.45</v>
      </c>
      <c r="J3199" s="2">
        <v>8982.42</v>
      </c>
      <c r="K3199" s="2">
        <v>0</v>
      </c>
      <c r="L3199" s="2">
        <v>2009704.87</v>
      </c>
      <c r="M3199" s="3">
        <v>6.2178870000000002</v>
      </c>
      <c r="N3199" s="4">
        <v>4.5722899999999997E-3</v>
      </c>
      <c r="O3199" s="5">
        <v>44746</v>
      </c>
      <c r="P3199" s="5">
        <v>45840</v>
      </c>
      <c r="Q3199" s="1">
        <v>8.2170000000000005</v>
      </c>
      <c r="R3199" s="2">
        <v>0.19</v>
      </c>
      <c r="S3199" s="6">
        <v>0.21403134549399999</v>
      </c>
      <c r="T3199" t="s">
        <v>111</v>
      </c>
      <c r="U3199" t="s">
        <v>111</v>
      </c>
      <c r="V3199" t="s">
        <v>11189</v>
      </c>
      <c r="W3199" t="s">
        <v>43</v>
      </c>
      <c r="X3199" t="s">
        <v>11034</v>
      </c>
      <c r="Y3199" t="s">
        <v>44</v>
      </c>
      <c r="Z3199" t="s">
        <v>44</v>
      </c>
      <c r="AA3199" t="s">
        <v>11035</v>
      </c>
      <c r="AB3199" t="s">
        <v>44</v>
      </c>
      <c r="AC3199" s="4">
        <v>6.3145418700000002</v>
      </c>
      <c r="AD3199" s="4">
        <v>6.1388379000000004</v>
      </c>
      <c r="AE3199" s="2">
        <v>6.31</v>
      </c>
      <c r="AF3199" s="4">
        <v>6.1388379000000004</v>
      </c>
      <c r="AG3199" s="2">
        <v>0.8</v>
      </c>
      <c r="AH3199" s="2">
        <v>2009704.87</v>
      </c>
      <c r="AI3199" s="2">
        <v>0</v>
      </c>
      <c r="AJ3199" s="5">
        <v>44673</v>
      </c>
      <c r="AK3199" t="s">
        <v>12646</v>
      </c>
      <c r="AL3199" s="2">
        <v>6.22</v>
      </c>
      <c r="AM3199" s="2">
        <v>8.2200000000000006</v>
      </c>
      <c r="AN3199" s="2">
        <v>0.21</v>
      </c>
      <c r="AO3199" t="s">
        <v>11036</v>
      </c>
      <c r="AP3199" t="s">
        <v>11921</v>
      </c>
      <c r="AQ3199" t="s">
        <v>11920</v>
      </c>
    </row>
    <row r="3200" spans="1:43" x14ac:dyDescent="0.2">
      <c r="A3200" t="s">
        <v>12645</v>
      </c>
      <c r="B3200" t="s">
        <v>10900</v>
      </c>
      <c r="C3200" t="s">
        <v>10943</v>
      </c>
      <c r="D3200" t="s">
        <v>11962</v>
      </c>
      <c r="E3200" t="s">
        <v>11963</v>
      </c>
      <c r="F3200" t="s">
        <v>11962</v>
      </c>
      <c r="G3200" s="1">
        <v>2000000</v>
      </c>
      <c r="H3200" s="2">
        <v>2000000</v>
      </c>
      <c r="I3200" s="2">
        <v>2049970.35</v>
      </c>
      <c r="J3200" s="2">
        <v>38428.269999999997</v>
      </c>
      <c r="K3200" s="2">
        <v>0</v>
      </c>
      <c r="L3200" s="2">
        <v>2088398.62</v>
      </c>
      <c r="M3200" s="3">
        <v>8.2411139999999996</v>
      </c>
      <c r="N3200" s="4">
        <v>4.7513299999999998E-3</v>
      </c>
      <c r="O3200" s="5">
        <v>44686</v>
      </c>
      <c r="P3200" s="5">
        <v>45874</v>
      </c>
      <c r="Q3200" s="1">
        <v>9.1080000000000005</v>
      </c>
      <c r="R3200" s="2">
        <v>0.03</v>
      </c>
      <c r="S3200" s="6">
        <v>-1.210173591E-2</v>
      </c>
      <c r="T3200" t="s">
        <v>111</v>
      </c>
      <c r="U3200" t="s">
        <v>111</v>
      </c>
      <c r="V3200" t="s">
        <v>11189</v>
      </c>
      <c r="W3200" t="s">
        <v>43</v>
      </c>
      <c r="X3200" t="s">
        <v>11034</v>
      </c>
      <c r="Y3200" t="s">
        <v>44</v>
      </c>
      <c r="Z3200" t="s">
        <v>44</v>
      </c>
      <c r="AA3200" t="s">
        <v>11035</v>
      </c>
      <c r="AB3200" t="s">
        <v>44</v>
      </c>
      <c r="AC3200" s="4">
        <v>8.4109039299999999</v>
      </c>
      <c r="AD3200" s="4">
        <v>8.1030845599999992</v>
      </c>
      <c r="AE3200" s="2">
        <v>8.41</v>
      </c>
      <c r="AF3200" s="4">
        <v>8.1030845599999992</v>
      </c>
      <c r="AG3200" s="2">
        <v>0.83</v>
      </c>
      <c r="AH3200" s="2">
        <v>2088398.62</v>
      </c>
      <c r="AI3200" s="2">
        <v>0</v>
      </c>
      <c r="AJ3200" s="5">
        <v>44673</v>
      </c>
      <c r="AK3200" t="s">
        <v>12646</v>
      </c>
      <c r="AL3200" s="2">
        <v>8.24</v>
      </c>
      <c r="AM3200" s="2">
        <v>9.11</v>
      </c>
      <c r="AN3200" s="2">
        <v>-0.01</v>
      </c>
      <c r="AO3200" t="s">
        <v>11036</v>
      </c>
      <c r="AP3200" t="s">
        <v>11964</v>
      </c>
      <c r="AQ3200" t="s">
        <v>11963</v>
      </c>
    </row>
    <row r="3201" spans="1:43" x14ac:dyDescent="0.2">
      <c r="A3201" t="s">
        <v>12645</v>
      </c>
      <c r="B3201" t="s">
        <v>10900</v>
      </c>
      <c r="C3201" t="s">
        <v>10943</v>
      </c>
      <c r="D3201" t="s">
        <v>11582</v>
      </c>
      <c r="E3201" t="s">
        <v>11583</v>
      </c>
      <c r="F3201" t="s">
        <v>11582</v>
      </c>
      <c r="G3201" s="1">
        <v>1000000</v>
      </c>
      <c r="H3201" s="2">
        <v>1000000</v>
      </c>
      <c r="I3201" s="2">
        <v>1000020.84</v>
      </c>
      <c r="J3201" s="2">
        <v>4884.2700000000004</v>
      </c>
      <c r="K3201" s="2">
        <v>0</v>
      </c>
      <c r="L3201" s="2">
        <v>1004905.11</v>
      </c>
      <c r="M3201" s="3">
        <v>6.2543709999999999</v>
      </c>
      <c r="N3201" s="4">
        <v>2.28627E-3</v>
      </c>
      <c r="O3201" s="5">
        <v>44739</v>
      </c>
      <c r="P3201" s="5">
        <v>46383</v>
      </c>
      <c r="Q3201" s="1">
        <v>6.367</v>
      </c>
      <c r="R3201" s="2">
        <v>0.17</v>
      </c>
      <c r="S3201" s="6">
        <v>0.11195984108699999</v>
      </c>
      <c r="T3201" t="s">
        <v>111</v>
      </c>
      <c r="U3201" t="s">
        <v>111</v>
      </c>
      <c r="V3201" t="s">
        <v>11189</v>
      </c>
      <c r="W3201" t="s">
        <v>43</v>
      </c>
      <c r="X3201" t="s">
        <v>11034</v>
      </c>
      <c r="Y3201" t="s">
        <v>44</v>
      </c>
      <c r="Z3201" t="s">
        <v>44</v>
      </c>
      <c r="AA3201" t="s">
        <v>11035</v>
      </c>
      <c r="AB3201" t="s">
        <v>44</v>
      </c>
      <c r="AC3201" s="4">
        <v>6.3521637200000001</v>
      </c>
      <c r="AD3201" s="4">
        <v>6.1744004700000001</v>
      </c>
      <c r="AE3201" s="2">
        <v>6.35</v>
      </c>
      <c r="AF3201" s="4">
        <v>6.1744004700000001</v>
      </c>
      <c r="AG3201" s="2">
        <v>0.4</v>
      </c>
      <c r="AH3201" s="2">
        <v>1004905.11</v>
      </c>
      <c r="AI3201" s="2">
        <v>0</v>
      </c>
      <c r="AJ3201" s="5">
        <v>44673</v>
      </c>
      <c r="AK3201" t="s">
        <v>12646</v>
      </c>
      <c r="AL3201" s="2">
        <v>6.25</v>
      </c>
      <c r="AM3201" s="2">
        <v>6.37</v>
      </c>
      <c r="AN3201" s="2">
        <v>0.11</v>
      </c>
      <c r="AO3201" t="s">
        <v>11036</v>
      </c>
      <c r="AP3201" t="s">
        <v>11584</v>
      </c>
      <c r="AQ3201" t="s">
        <v>11583</v>
      </c>
    </row>
    <row r="3202" spans="1:43" x14ac:dyDescent="0.2">
      <c r="A3202" t="s">
        <v>12645</v>
      </c>
      <c r="B3202" t="s">
        <v>10900</v>
      </c>
      <c r="C3202" t="s">
        <v>10943</v>
      </c>
      <c r="D3202" t="s">
        <v>11588</v>
      </c>
      <c r="E3202" t="s">
        <v>11589</v>
      </c>
      <c r="F3202" t="s">
        <v>11588</v>
      </c>
      <c r="G3202" s="1">
        <v>1000000</v>
      </c>
      <c r="H3202" s="2">
        <v>1000000</v>
      </c>
      <c r="I3202" s="2">
        <v>1000000.16</v>
      </c>
      <c r="J3202" s="2">
        <v>6349.48</v>
      </c>
      <c r="K3202" s="2">
        <v>0</v>
      </c>
      <c r="L3202" s="2">
        <v>1006349.64</v>
      </c>
      <c r="M3202" s="3">
        <v>8.1643709999999992</v>
      </c>
      <c r="N3202" s="4">
        <v>2.28955E-3</v>
      </c>
      <c r="O3202" s="5">
        <v>44739</v>
      </c>
      <c r="P3202" s="5">
        <v>46383</v>
      </c>
      <c r="Q3202" s="1">
        <v>8.2769999999999992</v>
      </c>
      <c r="R3202" s="2">
        <v>0.17</v>
      </c>
      <c r="S3202" s="6">
        <v>6.6173810217000001E-2</v>
      </c>
      <c r="T3202" t="s">
        <v>111</v>
      </c>
      <c r="U3202" t="s">
        <v>111</v>
      </c>
      <c r="V3202" t="s">
        <v>11189</v>
      </c>
      <c r="W3202" t="s">
        <v>43</v>
      </c>
      <c r="X3202" t="s">
        <v>11034</v>
      </c>
      <c r="Y3202" t="s">
        <v>44</v>
      </c>
      <c r="Z3202" t="s">
        <v>44</v>
      </c>
      <c r="AA3202" t="s">
        <v>11035</v>
      </c>
      <c r="AB3202" t="s">
        <v>44</v>
      </c>
      <c r="AC3202" s="4">
        <v>8.3310132100000001</v>
      </c>
      <c r="AD3202" s="4">
        <v>8.0288693599999998</v>
      </c>
      <c r="AE3202" s="2">
        <v>8.33</v>
      </c>
      <c r="AF3202" s="4">
        <v>8.0288693599999998</v>
      </c>
      <c r="AG3202" s="2">
        <v>0.4</v>
      </c>
      <c r="AH3202" s="2">
        <v>1006349.64</v>
      </c>
      <c r="AI3202" s="2">
        <v>0</v>
      </c>
      <c r="AJ3202" s="5">
        <v>44673</v>
      </c>
      <c r="AK3202" t="s">
        <v>12646</v>
      </c>
      <c r="AL3202" s="2">
        <v>8.16</v>
      </c>
      <c r="AM3202" s="2">
        <v>8.2799999999999994</v>
      </c>
      <c r="AN3202" s="2">
        <v>7.0000000000000007E-2</v>
      </c>
      <c r="AO3202" t="s">
        <v>11036</v>
      </c>
      <c r="AP3202" t="s">
        <v>11590</v>
      </c>
      <c r="AQ3202" t="s">
        <v>11589</v>
      </c>
    </row>
    <row r="3203" spans="1:43" x14ac:dyDescent="0.2">
      <c r="A3203" t="s">
        <v>12645</v>
      </c>
      <c r="B3203" t="s">
        <v>10900</v>
      </c>
      <c r="C3203" t="s">
        <v>10943</v>
      </c>
      <c r="D3203" t="s">
        <v>11135</v>
      </c>
      <c r="E3203" t="s">
        <v>10946</v>
      </c>
      <c r="F3203" t="s">
        <v>11135</v>
      </c>
      <c r="G3203" s="1">
        <v>27965000</v>
      </c>
      <c r="H3203" s="2">
        <v>31149390.129999999</v>
      </c>
      <c r="I3203" s="2">
        <v>30382000.969999999</v>
      </c>
      <c r="J3203" s="2">
        <v>1005590.75</v>
      </c>
      <c r="K3203" s="2">
        <v>0</v>
      </c>
      <c r="L3203" s="2">
        <v>31387591.719999999</v>
      </c>
      <c r="M3203" s="3">
        <v>8.2249999999999996</v>
      </c>
      <c r="N3203" s="4">
        <v>7.1410150000000006E-2</v>
      </c>
      <c r="O3203" s="5">
        <v>44733</v>
      </c>
      <c r="P3203" s="5">
        <v>46377</v>
      </c>
      <c r="Q3203" s="1">
        <v>10.5</v>
      </c>
      <c r="R3203" s="2">
        <v>3.72</v>
      </c>
      <c r="S3203" s="6">
        <v>3.572672968</v>
      </c>
      <c r="T3203" t="s">
        <v>111</v>
      </c>
      <c r="U3203" t="s">
        <v>111</v>
      </c>
      <c r="V3203" t="s">
        <v>10944</v>
      </c>
      <c r="W3203" t="s">
        <v>43</v>
      </c>
      <c r="X3203" t="s">
        <v>10945</v>
      </c>
      <c r="Y3203" t="s">
        <v>44</v>
      </c>
      <c r="Z3203" t="s">
        <v>44</v>
      </c>
      <c r="AA3203" t="s">
        <v>10913</v>
      </c>
      <c r="AB3203" t="s">
        <v>44</v>
      </c>
      <c r="AC3203" s="4">
        <v>8.3941265600000001</v>
      </c>
      <c r="AD3203" s="4">
        <v>8.0875032299999994</v>
      </c>
      <c r="AE3203" s="2">
        <v>8.39</v>
      </c>
      <c r="AF3203" s="4">
        <v>8.0875032299999994</v>
      </c>
      <c r="AG3203" s="2">
        <v>12.53</v>
      </c>
      <c r="AH3203" s="2">
        <v>31387591.719999999</v>
      </c>
      <c r="AI3203" s="2">
        <v>7.0000000000000007E-2</v>
      </c>
      <c r="AJ3203" s="5">
        <v>44673</v>
      </c>
      <c r="AK3203" t="s">
        <v>12646</v>
      </c>
      <c r="AL3203" s="2">
        <v>8.23</v>
      </c>
      <c r="AM3203" s="2">
        <v>10.5</v>
      </c>
      <c r="AN3203" s="2">
        <v>3.57</v>
      </c>
      <c r="AO3203" t="s">
        <v>10922</v>
      </c>
      <c r="AP3203" t="s">
        <v>11136</v>
      </c>
      <c r="AQ3203" t="s">
        <v>10946</v>
      </c>
    </row>
    <row r="3204" spans="1:43" x14ac:dyDescent="0.2">
      <c r="A3204" t="s">
        <v>12645</v>
      </c>
      <c r="B3204" t="s">
        <v>10900</v>
      </c>
      <c r="C3204" t="s">
        <v>10943</v>
      </c>
      <c r="D3204" t="s">
        <v>12863</v>
      </c>
      <c r="E3204" t="s">
        <v>12864</v>
      </c>
      <c r="F3204" t="s">
        <v>12863</v>
      </c>
      <c r="G3204" s="1">
        <v>1600000</v>
      </c>
      <c r="H3204" s="2">
        <v>1600000</v>
      </c>
      <c r="I3204" s="2">
        <v>1601817.44</v>
      </c>
      <c r="J3204" s="2">
        <v>6436.21</v>
      </c>
      <c r="K3204" s="2">
        <v>0</v>
      </c>
      <c r="L3204" s="2">
        <v>1608253.65</v>
      </c>
      <c r="M3204" s="3">
        <v>8.0409749999999995</v>
      </c>
      <c r="N3204" s="4">
        <v>3.6589499999999998E-3</v>
      </c>
      <c r="O3204" s="5">
        <v>44750</v>
      </c>
      <c r="P3204" s="5">
        <v>46485</v>
      </c>
      <c r="Q3204" s="1">
        <v>8.157</v>
      </c>
      <c r="R3204" s="2">
        <v>0.2</v>
      </c>
      <c r="S3204" s="6">
        <v>9.4975697833E-2</v>
      </c>
      <c r="T3204" t="s">
        <v>111</v>
      </c>
      <c r="U3204" t="s">
        <v>111</v>
      </c>
      <c r="V3204" t="s">
        <v>11189</v>
      </c>
      <c r="W3204" t="s">
        <v>43</v>
      </c>
      <c r="X3204" t="s">
        <v>11034</v>
      </c>
      <c r="Y3204" t="s">
        <v>44</v>
      </c>
      <c r="Z3204" t="s">
        <v>44</v>
      </c>
      <c r="AA3204" t="s">
        <v>11035</v>
      </c>
      <c r="AB3204" t="s">
        <v>44</v>
      </c>
      <c r="AC3204" s="4">
        <v>8.2026182599999995</v>
      </c>
      <c r="AD3204" s="4">
        <v>7.9094905600000001</v>
      </c>
      <c r="AE3204" s="2">
        <v>8.1999999999999993</v>
      </c>
      <c r="AF3204" s="4">
        <v>7.9094905600000001</v>
      </c>
      <c r="AG3204" s="2">
        <v>0.64</v>
      </c>
      <c r="AH3204" s="2">
        <v>1608253.65</v>
      </c>
      <c r="AI3204" s="2">
        <v>0</v>
      </c>
      <c r="AJ3204" s="5">
        <v>44673</v>
      </c>
      <c r="AK3204" t="s">
        <v>12646</v>
      </c>
      <c r="AL3204" s="2">
        <v>8.0399999999999991</v>
      </c>
      <c r="AM3204" s="2">
        <v>8.16</v>
      </c>
      <c r="AN3204" s="2">
        <v>0.09</v>
      </c>
      <c r="AO3204" t="s">
        <v>11496</v>
      </c>
      <c r="AP3204" t="s">
        <v>12865</v>
      </c>
      <c r="AQ3204" t="s">
        <v>12864</v>
      </c>
    </row>
    <row r="3205" spans="1:43" x14ac:dyDescent="0.2">
      <c r="A3205" t="s">
        <v>12645</v>
      </c>
      <c r="B3205" t="s">
        <v>10900</v>
      </c>
      <c r="C3205" t="s">
        <v>10943</v>
      </c>
      <c r="D3205" t="s">
        <v>11852</v>
      </c>
      <c r="E3205" t="s">
        <v>11853</v>
      </c>
      <c r="F3205" t="s">
        <v>11852</v>
      </c>
      <c r="G3205" s="1">
        <v>1900000</v>
      </c>
      <c r="H3205" s="2">
        <v>1900000</v>
      </c>
      <c r="I3205" s="2">
        <v>2010172.27</v>
      </c>
      <c r="J3205" s="2">
        <v>13083.87</v>
      </c>
      <c r="K3205" s="2">
        <v>0</v>
      </c>
      <c r="L3205" s="2">
        <v>2023256.14</v>
      </c>
      <c r="M3205" s="3">
        <v>5.9243709999999998</v>
      </c>
      <c r="N3205" s="4">
        <v>4.6031300000000004E-3</v>
      </c>
      <c r="O3205" s="5">
        <v>44739</v>
      </c>
      <c r="P3205" s="5">
        <v>45833</v>
      </c>
      <c r="Q3205" s="1">
        <v>8.1080000000000005</v>
      </c>
      <c r="R3205" s="2">
        <v>0.17</v>
      </c>
      <c r="S3205" s="6">
        <v>0.20785827684899999</v>
      </c>
      <c r="T3205" t="s">
        <v>111</v>
      </c>
      <c r="U3205" t="s">
        <v>111</v>
      </c>
      <c r="V3205" t="s">
        <v>11189</v>
      </c>
      <c r="W3205" t="s">
        <v>43</v>
      </c>
      <c r="X3205" t="s">
        <v>11034</v>
      </c>
      <c r="Y3205" t="s">
        <v>44</v>
      </c>
      <c r="Z3205" t="s">
        <v>44</v>
      </c>
      <c r="AA3205" t="s">
        <v>10979</v>
      </c>
      <c r="AB3205" t="s">
        <v>44</v>
      </c>
      <c r="AC3205" s="4">
        <v>6.0121162500000001</v>
      </c>
      <c r="AD3205" s="4">
        <v>5.8525461400000003</v>
      </c>
      <c r="AE3205" s="2">
        <v>6.01</v>
      </c>
      <c r="AF3205" s="4">
        <v>5.8525461400000003</v>
      </c>
      <c r="AG3205" s="2">
        <v>0.81</v>
      </c>
      <c r="AH3205" s="2">
        <v>2023256.14</v>
      </c>
      <c r="AI3205" s="2">
        <v>0</v>
      </c>
      <c r="AJ3205" s="5">
        <v>44673</v>
      </c>
      <c r="AK3205" t="s">
        <v>12646</v>
      </c>
      <c r="AL3205" s="2">
        <v>5.92</v>
      </c>
      <c r="AM3205" s="2">
        <v>8.11</v>
      </c>
      <c r="AN3205" s="2">
        <v>0.21</v>
      </c>
      <c r="AO3205" t="s">
        <v>11179</v>
      </c>
      <c r="AP3205" t="s">
        <v>11854</v>
      </c>
      <c r="AQ3205" t="s">
        <v>11853</v>
      </c>
    </row>
    <row r="3206" spans="1:43" x14ac:dyDescent="0.2">
      <c r="A3206" t="s">
        <v>12645</v>
      </c>
      <c r="B3206" t="s">
        <v>10900</v>
      </c>
      <c r="C3206" t="s">
        <v>10943</v>
      </c>
      <c r="D3206" t="s">
        <v>11858</v>
      </c>
      <c r="E3206" t="s">
        <v>11859</v>
      </c>
      <c r="F3206" t="s">
        <v>11858</v>
      </c>
      <c r="G3206" s="1">
        <v>200000</v>
      </c>
      <c r="H3206" s="2">
        <v>200000</v>
      </c>
      <c r="I3206" s="2">
        <v>195146.44</v>
      </c>
      <c r="J3206" s="2">
        <v>4272.66</v>
      </c>
      <c r="K3206" s="2">
        <v>0</v>
      </c>
      <c r="L3206" s="2">
        <v>199419.1</v>
      </c>
      <c r="M3206" s="3">
        <v>10.77</v>
      </c>
      <c r="N3206" s="4">
        <v>4.5370000000000002E-4</v>
      </c>
      <c r="O3206" s="5">
        <v>44780</v>
      </c>
      <c r="P3206" s="5">
        <v>47156</v>
      </c>
      <c r="Q3206" s="1">
        <v>10.26</v>
      </c>
      <c r="R3206" s="2">
        <v>4.92</v>
      </c>
      <c r="S3206" s="6">
        <v>4.6700968569999999</v>
      </c>
      <c r="T3206" t="s">
        <v>111</v>
      </c>
      <c r="U3206" t="s">
        <v>111</v>
      </c>
      <c r="V3206" t="s">
        <v>10944</v>
      </c>
      <c r="W3206" t="s">
        <v>43</v>
      </c>
      <c r="X3206" t="s">
        <v>44</v>
      </c>
      <c r="Y3206" t="s">
        <v>44</v>
      </c>
      <c r="Z3206" t="s">
        <v>44</v>
      </c>
      <c r="AA3206" t="s">
        <v>10979</v>
      </c>
      <c r="AB3206" t="s">
        <v>44</v>
      </c>
      <c r="AC3206" s="4">
        <v>11.059982249999999</v>
      </c>
      <c r="AD3206" s="4">
        <v>10.536009160000001</v>
      </c>
      <c r="AE3206" s="2">
        <v>11.06</v>
      </c>
      <c r="AF3206" s="4">
        <v>10.536009160000001</v>
      </c>
      <c r="AG3206" s="2">
        <v>0.08</v>
      </c>
      <c r="AH3206" s="2">
        <v>199419.1</v>
      </c>
      <c r="AI3206" s="2">
        <v>0</v>
      </c>
      <c r="AJ3206" s="5">
        <v>44673</v>
      </c>
      <c r="AK3206" t="s">
        <v>12646</v>
      </c>
      <c r="AL3206" s="2">
        <v>10.77</v>
      </c>
      <c r="AM3206" s="2">
        <v>10.26</v>
      </c>
      <c r="AN3206" s="2">
        <v>4.67</v>
      </c>
      <c r="AO3206" t="s">
        <v>10982</v>
      </c>
      <c r="AP3206" t="s">
        <v>11860</v>
      </c>
      <c r="AQ3206" t="s">
        <v>11859</v>
      </c>
    </row>
    <row r="3207" spans="1:43" x14ac:dyDescent="0.2">
      <c r="A3207" t="s">
        <v>12645</v>
      </c>
      <c r="B3207" t="s">
        <v>10900</v>
      </c>
      <c r="C3207" t="s">
        <v>11137</v>
      </c>
      <c r="D3207" t="s">
        <v>11594</v>
      </c>
      <c r="E3207" t="s">
        <v>11595</v>
      </c>
      <c r="F3207" t="s">
        <v>11594</v>
      </c>
      <c r="G3207" s="1">
        <v>21251000</v>
      </c>
      <c r="H3207" s="2">
        <v>19959279.850000001</v>
      </c>
      <c r="I3207" s="2">
        <v>19159701.84</v>
      </c>
      <c r="J3207" s="2">
        <v>391251.28</v>
      </c>
      <c r="K3207" s="2">
        <v>0</v>
      </c>
      <c r="L3207" s="2">
        <v>19550953.120000001</v>
      </c>
      <c r="M3207" s="3">
        <v>9.84</v>
      </c>
      <c r="N3207" s="4">
        <v>4.4480520000000003E-2</v>
      </c>
      <c r="O3207" s="5">
        <v>44774</v>
      </c>
      <c r="P3207" s="5">
        <v>47514</v>
      </c>
      <c r="Q3207" s="1">
        <v>8</v>
      </c>
      <c r="R3207" s="2">
        <v>5.71</v>
      </c>
      <c r="S3207" s="6">
        <v>5.4383328750000004</v>
      </c>
      <c r="T3207" t="s">
        <v>111</v>
      </c>
      <c r="U3207" t="s">
        <v>111</v>
      </c>
      <c r="V3207" t="s">
        <v>10944</v>
      </c>
      <c r="W3207" t="s">
        <v>43</v>
      </c>
      <c r="X3207" t="s">
        <v>10945</v>
      </c>
      <c r="Y3207" t="s">
        <v>44</v>
      </c>
      <c r="Z3207" t="s">
        <v>44</v>
      </c>
      <c r="AA3207" t="s">
        <v>10913</v>
      </c>
      <c r="AB3207" t="s">
        <v>44</v>
      </c>
      <c r="AC3207" s="4">
        <v>10.082064000000001</v>
      </c>
      <c r="AD3207" s="4">
        <v>9.6441413499999999</v>
      </c>
      <c r="AE3207" s="2">
        <v>10.08</v>
      </c>
      <c r="AF3207" s="4">
        <v>9.6441413499999999</v>
      </c>
      <c r="AG3207" s="2">
        <v>7.8</v>
      </c>
      <c r="AH3207" s="2">
        <v>19550953.120000001</v>
      </c>
      <c r="AI3207" s="2">
        <v>0.04</v>
      </c>
      <c r="AJ3207" s="5">
        <v>44673</v>
      </c>
      <c r="AK3207" t="s">
        <v>12646</v>
      </c>
      <c r="AL3207" s="2">
        <v>9.84</v>
      </c>
      <c r="AM3207" s="2">
        <v>8</v>
      </c>
      <c r="AN3207" s="2">
        <v>5.44</v>
      </c>
      <c r="AO3207" t="s">
        <v>10922</v>
      </c>
      <c r="AP3207" t="s">
        <v>11596</v>
      </c>
      <c r="AQ3207" t="s">
        <v>11595</v>
      </c>
    </row>
    <row r="3208" spans="1:43" x14ac:dyDescent="0.2">
      <c r="A3208" t="s">
        <v>12645</v>
      </c>
      <c r="B3208" t="s">
        <v>10900</v>
      </c>
      <c r="C3208" t="s">
        <v>10950</v>
      </c>
      <c r="D3208" t="s">
        <v>10983</v>
      </c>
      <c r="E3208" t="s">
        <v>10984</v>
      </c>
      <c r="F3208" t="s">
        <v>10983</v>
      </c>
      <c r="G3208" s="1">
        <v>189000</v>
      </c>
      <c r="H3208" s="2">
        <v>163845.91</v>
      </c>
      <c r="I3208" s="2">
        <v>158029.04</v>
      </c>
      <c r="J3208" s="2">
        <v>3697.15</v>
      </c>
      <c r="K3208" s="2">
        <v>0</v>
      </c>
      <c r="L3208" s="2">
        <v>161726.19</v>
      </c>
      <c r="M3208" s="3">
        <v>10.734999999999999</v>
      </c>
      <c r="N3208" s="4">
        <v>3.6793999999999998E-4</v>
      </c>
      <c r="O3208" s="5">
        <v>44774</v>
      </c>
      <c r="P3208" s="5">
        <v>50071</v>
      </c>
      <c r="Q3208" s="1">
        <v>8.5</v>
      </c>
      <c r="R3208" s="2">
        <v>7.91</v>
      </c>
      <c r="S3208" s="6">
        <v>7.5106016819999999</v>
      </c>
      <c r="T3208" t="s">
        <v>111</v>
      </c>
      <c r="U3208" t="s">
        <v>111</v>
      </c>
      <c r="V3208" t="s">
        <v>10944</v>
      </c>
      <c r="W3208" t="s">
        <v>43</v>
      </c>
      <c r="X3208" t="s">
        <v>10945</v>
      </c>
      <c r="Y3208" t="s">
        <v>44</v>
      </c>
      <c r="Z3208" t="s">
        <v>44</v>
      </c>
      <c r="AA3208" t="s">
        <v>10913</v>
      </c>
      <c r="AB3208" t="s">
        <v>44</v>
      </c>
      <c r="AC3208" s="4">
        <v>11.02310056</v>
      </c>
      <c r="AD3208" s="4">
        <v>10.50250368</v>
      </c>
      <c r="AE3208" s="2">
        <v>11.02</v>
      </c>
      <c r="AF3208" s="4">
        <v>10.50250368</v>
      </c>
      <c r="AG3208" s="2">
        <v>0.06</v>
      </c>
      <c r="AH3208" s="2">
        <v>161726.19</v>
      </c>
      <c r="AI3208" s="2">
        <v>0</v>
      </c>
      <c r="AJ3208" s="5">
        <v>44673</v>
      </c>
      <c r="AK3208" t="s">
        <v>12646</v>
      </c>
      <c r="AL3208" s="2">
        <v>10.73</v>
      </c>
      <c r="AM3208" s="2">
        <v>8.5</v>
      </c>
      <c r="AN3208" s="2">
        <v>7.51</v>
      </c>
      <c r="AO3208" t="s">
        <v>10922</v>
      </c>
      <c r="AP3208" t="s">
        <v>10985</v>
      </c>
      <c r="AQ3208" t="s">
        <v>10984</v>
      </c>
    </row>
    <row r="3209" spans="1:43" x14ac:dyDescent="0.2">
      <c r="A3209" t="s">
        <v>12645</v>
      </c>
      <c r="B3209" t="s">
        <v>10900</v>
      </c>
      <c r="C3209" t="s">
        <v>10990</v>
      </c>
      <c r="D3209" t="s">
        <v>11603</v>
      </c>
      <c r="E3209" t="s">
        <v>11604</v>
      </c>
      <c r="F3209" t="s">
        <v>11603</v>
      </c>
      <c r="G3209" s="1">
        <v>691400</v>
      </c>
      <c r="H3209" s="2">
        <v>2161475.4500000002</v>
      </c>
      <c r="I3209" s="2">
        <v>2233834.7599999998</v>
      </c>
      <c r="J3209" s="2">
        <v>43754.52</v>
      </c>
      <c r="K3209" s="2">
        <v>0</v>
      </c>
      <c r="L3209" s="2">
        <v>2277589.2799999998</v>
      </c>
      <c r="M3209" s="3">
        <v>1.165</v>
      </c>
      <c r="N3209" s="4">
        <v>5.1817599999999997E-3</v>
      </c>
      <c r="O3209" s="5">
        <v>44719</v>
      </c>
      <c r="P3209" s="5">
        <v>45267</v>
      </c>
      <c r="Q3209" s="1">
        <v>5.5</v>
      </c>
      <c r="R3209" s="2">
        <v>1.54</v>
      </c>
      <c r="S3209" s="6">
        <v>1.5339230509999999</v>
      </c>
      <c r="T3209" t="s">
        <v>111</v>
      </c>
      <c r="U3209" t="s">
        <v>111</v>
      </c>
      <c r="V3209" t="s">
        <v>10992</v>
      </c>
      <c r="W3209" t="s">
        <v>43</v>
      </c>
      <c r="X3209" t="s">
        <v>10945</v>
      </c>
      <c r="Y3209" t="s">
        <v>44</v>
      </c>
      <c r="Z3209" t="s">
        <v>44</v>
      </c>
      <c r="AA3209" t="s">
        <v>10913</v>
      </c>
      <c r="AB3209" t="s">
        <v>44</v>
      </c>
      <c r="AC3209" s="4">
        <v>1.1683930600000001</v>
      </c>
      <c r="AD3209" s="4">
        <v>1.1621824700000001</v>
      </c>
      <c r="AE3209" s="2">
        <v>1.17</v>
      </c>
      <c r="AF3209" s="4">
        <v>1.1621824700000001</v>
      </c>
      <c r="AG3209" s="2">
        <v>0.91</v>
      </c>
      <c r="AH3209" s="2">
        <v>2277589.2799999998</v>
      </c>
      <c r="AI3209" s="2">
        <v>0.01</v>
      </c>
      <c r="AJ3209" s="5">
        <v>44673</v>
      </c>
      <c r="AK3209" t="s">
        <v>12646</v>
      </c>
      <c r="AL3209" s="2">
        <v>1.1599999999999999</v>
      </c>
      <c r="AM3209" s="2">
        <v>5.5</v>
      </c>
      <c r="AN3209" s="2">
        <v>1.53</v>
      </c>
      <c r="AO3209" t="s">
        <v>10922</v>
      </c>
      <c r="AP3209" t="s">
        <v>11605</v>
      </c>
      <c r="AQ3209" t="s">
        <v>11604</v>
      </c>
    </row>
    <row r="3210" spans="1:43" x14ac:dyDescent="0.2">
      <c r="A3210" t="s">
        <v>12645</v>
      </c>
      <c r="B3210" t="s">
        <v>45</v>
      </c>
      <c r="C3210" t="s">
        <v>11000</v>
      </c>
      <c r="D3210" t="s">
        <v>11421</v>
      </c>
      <c r="E3210" t="s">
        <v>11422</v>
      </c>
      <c r="F3210" t="s">
        <v>11421</v>
      </c>
      <c r="G3210" s="1">
        <v>0</v>
      </c>
      <c r="H3210" s="2">
        <v>0</v>
      </c>
      <c r="I3210" s="2">
        <v>0</v>
      </c>
      <c r="J3210" s="2">
        <v>2991.78</v>
      </c>
      <c r="K3210" s="2">
        <v>0</v>
      </c>
      <c r="L3210" s="2">
        <v>2991.78</v>
      </c>
      <c r="M3210" s="3">
        <v>4.2</v>
      </c>
      <c r="N3210" s="4">
        <v>6.81E-6</v>
      </c>
      <c r="O3210" s="5" t="s">
        <v>44</v>
      </c>
      <c r="P3210" s="5">
        <v>55153</v>
      </c>
      <c r="Q3210" s="1">
        <v>4.2</v>
      </c>
      <c r="R3210" s="2">
        <v>0.08</v>
      </c>
      <c r="S3210" s="6">
        <v>2.5947269999999998E-3</v>
      </c>
      <c r="T3210" t="s">
        <v>112</v>
      </c>
      <c r="U3210" t="s">
        <v>46</v>
      </c>
      <c r="V3210" t="s">
        <v>11270</v>
      </c>
      <c r="W3210" t="s">
        <v>43</v>
      </c>
      <c r="X3210" t="s">
        <v>44</v>
      </c>
      <c r="Y3210" t="s">
        <v>44</v>
      </c>
      <c r="Z3210" t="s">
        <v>44</v>
      </c>
      <c r="AA3210" t="s">
        <v>10913</v>
      </c>
      <c r="AB3210" t="s">
        <v>44</v>
      </c>
      <c r="AC3210" s="4">
        <v>4.2819052299999996</v>
      </c>
      <c r="AD3210" s="4">
        <v>4.20010057</v>
      </c>
      <c r="AE3210" s="2">
        <v>4.28</v>
      </c>
      <c r="AF3210" s="4">
        <v>4.20010057</v>
      </c>
      <c r="AG3210" s="2">
        <v>0</v>
      </c>
      <c r="AH3210" s="2">
        <v>2991.78</v>
      </c>
      <c r="AI3210" s="2">
        <v>0</v>
      </c>
      <c r="AJ3210" s="5">
        <v>44673</v>
      </c>
      <c r="AK3210" t="s">
        <v>12646</v>
      </c>
      <c r="AL3210" s="2">
        <v>4.24</v>
      </c>
      <c r="AM3210" s="2">
        <v>4.2</v>
      </c>
      <c r="AN3210" s="2">
        <v>0</v>
      </c>
      <c r="AO3210" t="s">
        <v>11423</v>
      </c>
      <c r="AP3210" t="s">
        <v>44</v>
      </c>
      <c r="AQ3210" t="s">
        <v>11422</v>
      </c>
    </row>
    <row r="3211" spans="1:43" x14ac:dyDescent="0.2">
      <c r="A3211" t="s">
        <v>12645</v>
      </c>
      <c r="B3211" t="s">
        <v>45</v>
      </c>
      <c r="C3211" t="s">
        <v>11000</v>
      </c>
      <c r="D3211" t="s">
        <v>11424</v>
      </c>
      <c r="E3211" t="s">
        <v>11425</v>
      </c>
      <c r="F3211" t="s">
        <v>11424</v>
      </c>
      <c r="G3211" s="1">
        <v>0</v>
      </c>
      <c r="H3211" s="2">
        <v>0</v>
      </c>
      <c r="I3211" s="2">
        <v>0</v>
      </c>
      <c r="J3211" s="2">
        <v>2761.65</v>
      </c>
      <c r="K3211" s="2">
        <v>0</v>
      </c>
      <c r="L3211" s="2">
        <v>2761.65</v>
      </c>
      <c r="M3211" s="3">
        <v>4.2</v>
      </c>
      <c r="N3211" s="4">
        <v>6.28E-6</v>
      </c>
      <c r="O3211" s="5" t="s">
        <v>44</v>
      </c>
      <c r="P3211" s="5">
        <v>55153</v>
      </c>
      <c r="Q3211" s="1">
        <v>4.2</v>
      </c>
      <c r="R3211" s="2">
        <v>0.08</v>
      </c>
      <c r="S3211" s="6">
        <v>2.5986049999999999E-3</v>
      </c>
      <c r="T3211" t="s">
        <v>112</v>
      </c>
      <c r="U3211" t="s">
        <v>46</v>
      </c>
      <c r="V3211" t="s">
        <v>11270</v>
      </c>
      <c r="W3211" t="s">
        <v>43</v>
      </c>
      <c r="X3211" t="s">
        <v>44</v>
      </c>
      <c r="Y3211" t="s">
        <v>44</v>
      </c>
      <c r="Z3211" t="s">
        <v>44</v>
      </c>
      <c r="AA3211" t="s">
        <v>11035</v>
      </c>
      <c r="AB3211" t="s">
        <v>44</v>
      </c>
      <c r="AC3211" s="4">
        <v>4.2819052299999996</v>
      </c>
      <c r="AD3211" s="4">
        <v>4.20010057</v>
      </c>
      <c r="AE3211" s="2">
        <v>4.28</v>
      </c>
      <c r="AF3211" s="4">
        <v>4.20010057</v>
      </c>
      <c r="AG3211" s="2">
        <v>0</v>
      </c>
      <c r="AH3211" s="2">
        <v>2761.65</v>
      </c>
      <c r="AI3211" s="2">
        <v>0</v>
      </c>
      <c r="AJ3211" s="5">
        <v>44673</v>
      </c>
      <c r="AK3211" t="s">
        <v>12646</v>
      </c>
      <c r="AL3211" s="2">
        <v>4.24</v>
      </c>
      <c r="AM3211" s="2">
        <v>4.2</v>
      </c>
      <c r="AN3211" s="2">
        <v>0</v>
      </c>
      <c r="AO3211" t="s">
        <v>11053</v>
      </c>
      <c r="AP3211" t="s">
        <v>44</v>
      </c>
      <c r="AQ3211" t="s">
        <v>11425</v>
      </c>
    </row>
    <row r="3212" spans="1:43" x14ac:dyDescent="0.2">
      <c r="A3212" t="s">
        <v>12645</v>
      </c>
      <c r="B3212" t="s">
        <v>45</v>
      </c>
      <c r="C3212" t="s">
        <v>47</v>
      </c>
      <c r="D3212" t="s">
        <v>48</v>
      </c>
      <c r="E3212" t="s">
        <v>49</v>
      </c>
      <c r="F3212" t="s">
        <v>50</v>
      </c>
      <c r="G3212" s="1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1611.21</v>
      </c>
      <c r="M3212" s="3"/>
      <c r="N3212" s="4">
        <v>3.67E-6</v>
      </c>
      <c r="O3212" s="5" t="s">
        <v>44</v>
      </c>
      <c r="P3212" s="5" t="s">
        <v>44</v>
      </c>
      <c r="Q3212" s="1"/>
      <c r="R3212" s="2">
        <v>0.08</v>
      </c>
      <c r="S3212" s="6"/>
      <c r="T3212" t="s">
        <v>45</v>
      </c>
      <c r="U3212" t="s">
        <v>46</v>
      </c>
      <c r="V3212" t="s">
        <v>44</v>
      </c>
      <c r="W3212" t="s">
        <v>43</v>
      </c>
      <c r="X3212" t="s">
        <v>44</v>
      </c>
      <c r="Y3212" t="s">
        <v>44</v>
      </c>
      <c r="Z3212" t="s">
        <v>44</v>
      </c>
      <c r="AA3212" t="s">
        <v>44</v>
      </c>
      <c r="AB3212" t="s">
        <v>44</v>
      </c>
      <c r="AC3212" s="4">
        <v>5.1163389600000002</v>
      </c>
      <c r="AD3212" s="4">
        <v>5.0001424999999999</v>
      </c>
      <c r="AE3212" s="2">
        <v>5.12</v>
      </c>
      <c r="AF3212" s="4">
        <v>5.0001424999999999</v>
      </c>
      <c r="AG3212" s="2">
        <v>0</v>
      </c>
      <c r="AH3212" s="2">
        <v>1611.21</v>
      </c>
      <c r="AI3212" s="2">
        <v>0</v>
      </c>
      <c r="AJ3212" s="5">
        <v>44673</v>
      </c>
      <c r="AK3212" t="s">
        <v>12646</v>
      </c>
      <c r="AL3212" s="2">
        <v>5.05</v>
      </c>
      <c r="AM3212" s="2">
        <v>0</v>
      </c>
      <c r="AN3212" s="2">
        <v>0</v>
      </c>
      <c r="AO3212" t="s">
        <v>44</v>
      </c>
      <c r="AP3212" t="s">
        <v>44</v>
      </c>
      <c r="AQ3212" t="s">
        <v>44</v>
      </c>
    </row>
    <row r="3213" spans="1:43" x14ac:dyDescent="0.2">
      <c r="A3213" t="s">
        <v>12645</v>
      </c>
      <c r="B3213" t="s">
        <v>45</v>
      </c>
      <c r="C3213" t="s">
        <v>47</v>
      </c>
      <c r="D3213" t="s">
        <v>51</v>
      </c>
      <c r="E3213" t="s">
        <v>52</v>
      </c>
      <c r="F3213" t="s">
        <v>51</v>
      </c>
      <c r="G3213" s="1">
        <v>1053483.6499999999</v>
      </c>
      <c r="H3213" s="2">
        <v>1053483.6399999999</v>
      </c>
      <c r="I3213" s="2">
        <v>1053483.6499999999</v>
      </c>
      <c r="J3213" s="2">
        <v>0</v>
      </c>
      <c r="K3213" s="2">
        <v>0</v>
      </c>
      <c r="L3213" s="2">
        <v>1053483.6499999999</v>
      </c>
      <c r="M3213" s="3"/>
      <c r="N3213" s="4">
        <v>2.3967900000000002E-3</v>
      </c>
      <c r="O3213" s="5" t="s">
        <v>44</v>
      </c>
      <c r="P3213" s="5" t="s">
        <v>44</v>
      </c>
      <c r="Q3213" s="1"/>
      <c r="R3213" s="2">
        <v>0.08</v>
      </c>
      <c r="S3213" s="6"/>
      <c r="T3213" t="s">
        <v>45</v>
      </c>
      <c r="U3213" t="s">
        <v>53</v>
      </c>
      <c r="V3213" t="s">
        <v>44</v>
      </c>
      <c r="W3213" t="s">
        <v>43</v>
      </c>
      <c r="X3213" t="s">
        <v>44</v>
      </c>
      <c r="Y3213" t="s">
        <v>44</v>
      </c>
      <c r="Z3213" t="s">
        <v>44</v>
      </c>
      <c r="AA3213" t="s">
        <v>44</v>
      </c>
      <c r="AB3213" t="s">
        <v>44</v>
      </c>
      <c r="AC3213" s="4">
        <v>5.1163389600000002</v>
      </c>
      <c r="AD3213" s="4">
        <v>5.0001424999999999</v>
      </c>
      <c r="AE3213" s="2">
        <v>5.12</v>
      </c>
      <c r="AF3213" s="4">
        <v>5.0001424999999999</v>
      </c>
      <c r="AG3213" s="2">
        <v>0.42</v>
      </c>
      <c r="AH3213" s="2">
        <v>1053483.6499999999</v>
      </c>
      <c r="AI3213" s="2">
        <v>0</v>
      </c>
      <c r="AJ3213" s="5">
        <v>44673</v>
      </c>
      <c r="AK3213" t="s">
        <v>12646</v>
      </c>
      <c r="AL3213" s="2">
        <v>5.05</v>
      </c>
      <c r="AM3213" s="2">
        <v>0</v>
      </c>
      <c r="AN3213" s="2">
        <v>0</v>
      </c>
      <c r="AO3213" t="s">
        <v>44</v>
      </c>
      <c r="AP3213" t="s">
        <v>44</v>
      </c>
      <c r="AQ3213" t="s">
        <v>43</v>
      </c>
    </row>
    <row r="3214" spans="1:43" x14ac:dyDescent="0.2">
      <c r="A3214" t="s">
        <v>12645</v>
      </c>
      <c r="B3214" t="s">
        <v>45</v>
      </c>
      <c r="C3214" t="s">
        <v>47</v>
      </c>
      <c r="D3214" t="s">
        <v>11045</v>
      </c>
      <c r="E3214" t="s">
        <v>11046</v>
      </c>
      <c r="F3214" t="s">
        <v>11045</v>
      </c>
      <c r="G3214" s="1">
        <v>53438.74</v>
      </c>
      <c r="H3214" s="2">
        <v>822526.74</v>
      </c>
      <c r="I3214" s="2">
        <v>834393.63</v>
      </c>
      <c r="J3214" s="2">
        <v>0</v>
      </c>
      <c r="K3214" s="2">
        <v>0</v>
      </c>
      <c r="L3214" s="2">
        <v>834393.63</v>
      </c>
      <c r="M3214" s="3">
        <v>1</v>
      </c>
      <c r="N3214" s="4">
        <v>1.8983400000000001E-3</v>
      </c>
      <c r="O3214" s="5" t="s">
        <v>44</v>
      </c>
      <c r="P3214" s="5" t="s">
        <v>44</v>
      </c>
      <c r="Q3214" s="1"/>
      <c r="R3214" s="2">
        <v>0.08</v>
      </c>
      <c r="S3214" s="6"/>
      <c r="T3214" t="s">
        <v>45</v>
      </c>
      <c r="U3214" t="s">
        <v>53</v>
      </c>
      <c r="V3214" t="s">
        <v>44</v>
      </c>
      <c r="W3214" t="s">
        <v>113</v>
      </c>
      <c r="X3214" t="s">
        <v>44</v>
      </c>
      <c r="Y3214" t="s">
        <v>44</v>
      </c>
      <c r="Z3214" t="s">
        <v>44</v>
      </c>
      <c r="AA3214" t="s">
        <v>44</v>
      </c>
      <c r="AB3214" t="s">
        <v>44</v>
      </c>
      <c r="AC3214" s="4"/>
      <c r="AD3214" s="4"/>
      <c r="AE3214" s="2">
        <v>0</v>
      </c>
      <c r="AF3214" s="4">
        <v>0</v>
      </c>
      <c r="AG3214" s="2">
        <v>0.33</v>
      </c>
      <c r="AH3214" s="2">
        <v>834393.63</v>
      </c>
      <c r="AI3214" s="2">
        <v>0</v>
      </c>
      <c r="AJ3214" s="5">
        <v>44673</v>
      </c>
      <c r="AK3214" t="s">
        <v>12646</v>
      </c>
      <c r="AL3214" s="2">
        <v>0</v>
      </c>
      <c r="AM3214" s="2">
        <v>0</v>
      </c>
      <c r="AN3214" s="2">
        <v>0</v>
      </c>
      <c r="AO3214" t="s">
        <v>44</v>
      </c>
      <c r="AP3214" t="s">
        <v>44</v>
      </c>
      <c r="AQ3214" t="s">
        <v>113</v>
      </c>
    </row>
    <row r="3215" spans="1:43" x14ac:dyDescent="0.2">
      <c r="A3215" t="s">
        <v>12645</v>
      </c>
      <c r="B3215" t="s">
        <v>11013</v>
      </c>
      <c r="C3215" t="s">
        <v>11047</v>
      </c>
      <c r="D3215" t="s">
        <v>11861</v>
      </c>
      <c r="E3215" t="s">
        <v>11862</v>
      </c>
      <c r="F3215" t="s">
        <v>11861</v>
      </c>
      <c r="G3215" s="1">
        <v>829764.36270000006</v>
      </c>
      <c r="H3215" s="2">
        <v>10055112.279999999</v>
      </c>
      <c r="I3215" s="2">
        <v>13015683.789999999</v>
      </c>
      <c r="J3215" s="2">
        <v>0</v>
      </c>
      <c r="K3215" s="2">
        <v>0</v>
      </c>
      <c r="L3215" s="2">
        <v>13015683.789999999</v>
      </c>
      <c r="M3215" s="3">
        <v>15.686</v>
      </c>
      <c r="N3215" s="4">
        <v>2.9612079999999999E-2</v>
      </c>
      <c r="O3215" s="5" t="s">
        <v>44</v>
      </c>
      <c r="P3215" s="5" t="s">
        <v>44</v>
      </c>
      <c r="Q3215" s="1"/>
      <c r="R3215" s="2"/>
      <c r="S3215" s="6"/>
      <c r="T3215" t="s">
        <v>10902</v>
      </c>
      <c r="U3215" t="s">
        <v>11003</v>
      </c>
      <c r="V3215" t="s">
        <v>11003</v>
      </c>
      <c r="W3215" t="s">
        <v>43</v>
      </c>
      <c r="X3215" t="s">
        <v>44</v>
      </c>
      <c r="Y3215" t="s">
        <v>44</v>
      </c>
      <c r="Z3215" t="s">
        <v>44</v>
      </c>
      <c r="AA3215" t="s">
        <v>44</v>
      </c>
      <c r="AB3215" t="s">
        <v>44</v>
      </c>
      <c r="AC3215" s="4"/>
      <c r="AD3215" s="4"/>
      <c r="AE3215" s="2">
        <v>0</v>
      </c>
      <c r="AF3215" s="4">
        <v>0</v>
      </c>
      <c r="AG3215" s="2">
        <v>5.19</v>
      </c>
      <c r="AH3215" s="2">
        <v>13015683.789999999</v>
      </c>
      <c r="AI3215" s="2">
        <v>0.03</v>
      </c>
      <c r="AJ3215" s="5">
        <v>44673</v>
      </c>
      <c r="AK3215" t="s">
        <v>12646</v>
      </c>
      <c r="AL3215" s="2">
        <v>0</v>
      </c>
      <c r="AM3215" s="2">
        <v>0</v>
      </c>
      <c r="AN3215" s="2">
        <v>0</v>
      </c>
      <c r="AO3215" t="s">
        <v>44</v>
      </c>
      <c r="AP3215" t="s">
        <v>44</v>
      </c>
      <c r="AQ3215" t="s">
        <v>11862</v>
      </c>
    </row>
    <row r="3216" spans="1:43" x14ac:dyDescent="0.2">
      <c r="A3216" t="s">
        <v>12645</v>
      </c>
      <c r="B3216" t="s">
        <v>11037</v>
      </c>
      <c r="C3216" t="s">
        <v>11195</v>
      </c>
      <c r="D3216" t="s">
        <v>11606</v>
      </c>
      <c r="E3216" t="s">
        <v>7660</v>
      </c>
      <c r="F3216" t="s">
        <v>11606</v>
      </c>
      <c r="G3216" s="1">
        <v>201214</v>
      </c>
      <c r="H3216" s="2">
        <v>1964805.25</v>
      </c>
      <c r="I3216" s="2">
        <v>1639894.1</v>
      </c>
      <c r="J3216" s="2">
        <v>0</v>
      </c>
      <c r="K3216" s="2">
        <v>0</v>
      </c>
      <c r="L3216" s="2">
        <v>1639894.1</v>
      </c>
      <c r="M3216" s="3">
        <v>815</v>
      </c>
      <c r="N3216" s="4">
        <v>3.7309399999999999E-3</v>
      </c>
      <c r="O3216" s="5" t="s">
        <v>44</v>
      </c>
      <c r="P3216" s="5" t="s">
        <v>44</v>
      </c>
      <c r="Q3216" s="1"/>
      <c r="R3216" s="2"/>
      <c r="S3216" s="6"/>
      <c r="T3216" t="s">
        <v>10902</v>
      </c>
      <c r="U3216" t="s">
        <v>10902</v>
      </c>
      <c r="V3216" t="s">
        <v>10902</v>
      </c>
      <c r="W3216" t="s">
        <v>43</v>
      </c>
      <c r="X3216" t="s">
        <v>11197</v>
      </c>
      <c r="Y3216" t="s">
        <v>11198</v>
      </c>
      <c r="Z3216" t="s">
        <v>11195</v>
      </c>
      <c r="AA3216" t="s">
        <v>44</v>
      </c>
      <c r="AB3216" t="s">
        <v>44</v>
      </c>
      <c r="AC3216" s="4"/>
      <c r="AD3216" s="4"/>
      <c r="AE3216" s="2">
        <v>0</v>
      </c>
      <c r="AF3216" s="4">
        <v>0</v>
      </c>
      <c r="AG3216" s="2">
        <v>0.65</v>
      </c>
      <c r="AH3216" s="2">
        <v>1639894.1</v>
      </c>
      <c r="AI3216" s="2">
        <v>0</v>
      </c>
      <c r="AJ3216" s="5">
        <v>44673</v>
      </c>
      <c r="AK3216" t="s">
        <v>12646</v>
      </c>
      <c r="AL3216" s="2">
        <v>0</v>
      </c>
      <c r="AM3216" s="2">
        <v>0</v>
      </c>
      <c r="AN3216" s="2">
        <v>0</v>
      </c>
      <c r="AO3216" t="s">
        <v>44</v>
      </c>
      <c r="AP3216" t="s">
        <v>11607</v>
      </c>
      <c r="AQ3216" t="s">
        <v>7660</v>
      </c>
    </row>
    <row r="3217" spans="1:43" x14ac:dyDescent="0.2">
      <c r="A3217" t="s">
        <v>12645</v>
      </c>
      <c r="B3217" t="s">
        <v>11608</v>
      </c>
      <c r="C3217" t="s">
        <v>11608</v>
      </c>
      <c r="D3217" t="s">
        <v>12745</v>
      </c>
      <c r="E3217" t="s">
        <v>12746</v>
      </c>
      <c r="F3217" t="s">
        <v>12745</v>
      </c>
      <c r="G3217" s="1">
        <v>31000000</v>
      </c>
      <c r="H3217" s="2">
        <v>0</v>
      </c>
      <c r="I3217" s="2">
        <v>11538.67</v>
      </c>
      <c r="J3217" s="2">
        <v>0</v>
      </c>
      <c r="K3217" s="2">
        <v>0</v>
      </c>
      <c r="L3217" s="2">
        <v>11538.67</v>
      </c>
      <c r="M3217" s="3">
        <v>3.7221999999999998E-2</v>
      </c>
      <c r="N3217" s="4">
        <v>2.6250000000000001E-5</v>
      </c>
      <c r="O3217" s="5" t="s">
        <v>44</v>
      </c>
      <c r="P3217" s="5">
        <v>44890</v>
      </c>
      <c r="Q3217" s="1">
        <v>0</v>
      </c>
      <c r="R3217" s="2"/>
      <c r="S3217" s="6">
        <v>0.34246575342500002</v>
      </c>
      <c r="T3217" t="s">
        <v>11412</v>
      </c>
      <c r="U3217" t="s">
        <v>11413</v>
      </c>
      <c r="V3217" t="s">
        <v>9802</v>
      </c>
      <c r="W3217" t="s">
        <v>43</v>
      </c>
      <c r="X3217" t="s">
        <v>44</v>
      </c>
      <c r="Y3217" t="s">
        <v>44</v>
      </c>
      <c r="Z3217" t="s">
        <v>44</v>
      </c>
      <c r="AA3217" t="s">
        <v>44</v>
      </c>
      <c r="AB3217" t="s">
        <v>44</v>
      </c>
      <c r="AC3217" s="4"/>
      <c r="AD3217" s="4"/>
      <c r="AE3217" s="2">
        <v>0</v>
      </c>
      <c r="AF3217" s="4">
        <v>0</v>
      </c>
      <c r="AG3217" s="2">
        <v>0</v>
      </c>
      <c r="AH3217" s="2">
        <v>11538.67</v>
      </c>
      <c r="AI3217" s="2">
        <v>0</v>
      </c>
      <c r="AJ3217" s="5">
        <v>44673</v>
      </c>
      <c r="AK3217" t="s">
        <v>12646</v>
      </c>
      <c r="AL3217" s="2">
        <v>0</v>
      </c>
      <c r="AM3217" s="2">
        <v>0</v>
      </c>
      <c r="AN3217" s="2">
        <v>0.34</v>
      </c>
      <c r="AO3217" t="s">
        <v>44</v>
      </c>
      <c r="AP3217" t="s">
        <v>44</v>
      </c>
      <c r="AQ3217" t="s">
        <v>44</v>
      </c>
    </row>
    <row r="3218" spans="1:43" x14ac:dyDescent="0.2">
      <c r="A3218" t="s">
        <v>12645</v>
      </c>
      <c r="B3218" t="s">
        <v>11608</v>
      </c>
      <c r="C3218" t="s">
        <v>11608</v>
      </c>
      <c r="D3218" t="s">
        <v>12747</v>
      </c>
      <c r="E3218" t="s">
        <v>12746</v>
      </c>
      <c r="F3218" t="s">
        <v>12747</v>
      </c>
      <c r="G3218" s="1">
        <v>-31000000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3"/>
      <c r="N3218" s="4">
        <v>0</v>
      </c>
      <c r="O3218" s="5" t="s">
        <v>44</v>
      </c>
      <c r="P3218" s="5">
        <v>44890</v>
      </c>
      <c r="Q3218" s="1">
        <v>0</v>
      </c>
      <c r="R3218" s="2"/>
      <c r="S3218" s="6"/>
      <c r="T3218" t="s">
        <v>11412</v>
      </c>
      <c r="U3218" t="s">
        <v>11413</v>
      </c>
      <c r="V3218" t="s">
        <v>9802</v>
      </c>
      <c r="W3218" t="s">
        <v>43</v>
      </c>
      <c r="X3218" t="s">
        <v>44</v>
      </c>
      <c r="Y3218" t="s">
        <v>44</v>
      </c>
      <c r="Z3218" t="s">
        <v>44</v>
      </c>
      <c r="AA3218" t="s">
        <v>44</v>
      </c>
      <c r="AB3218" t="s">
        <v>44</v>
      </c>
      <c r="AC3218" s="4"/>
      <c r="AD3218" s="4"/>
      <c r="AE3218" s="2">
        <v>0</v>
      </c>
      <c r="AF3218" s="4">
        <v>0</v>
      </c>
      <c r="AG3218" s="2">
        <v>0</v>
      </c>
      <c r="AH3218" s="2">
        <v>0</v>
      </c>
      <c r="AI3218" s="2">
        <v>0</v>
      </c>
      <c r="AJ3218" s="5">
        <v>44673</v>
      </c>
      <c r="AK3218" t="s">
        <v>12646</v>
      </c>
      <c r="AL3218" s="2">
        <v>0</v>
      </c>
      <c r="AM3218" s="2">
        <v>0</v>
      </c>
      <c r="AN3218" s="2">
        <v>0</v>
      </c>
      <c r="AO3218" t="s">
        <v>44</v>
      </c>
      <c r="AP3218" t="s">
        <v>44</v>
      </c>
      <c r="AQ3218" t="s">
        <v>44</v>
      </c>
    </row>
    <row r="3219" spans="1:43" x14ac:dyDescent="0.2">
      <c r="A3219" t="s">
        <v>12645</v>
      </c>
      <c r="B3219" t="s">
        <v>11608</v>
      </c>
      <c r="C3219" t="s">
        <v>11608</v>
      </c>
      <c r="D3219" t="s">
        <v>12748</v>
      </c>
      <c r="E3219" t="s">
        <v>12746</v>
      </c>
      <c r="F3219" t="s">
        <v>12748</v>
      </c>
      <c r="G3219" s="1">
        <v>31000000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3"/>
      <c r="N3219" s="4">
        <v>0</v>
      </c>
      <c r="O3219" s="5" t="s">
        <v>44</v>
      </c>
      <c r="P3219" s="5">
        <v>44890</v>
      </c>
      <c r="Q3219" s="1">
        <v>5.49</v>
      </c>
      <c r="R3219" s="2"/>
      <c r="S3219" s="6"/>
      <c r="T3219" t="s">
        <v>11412</v>
      </c>
      <c r="U3219" t="s">
        <v>11413</v>
      </c>
      <c r="V3219" t="s">
        <v>9802</v>
      </c>
      <c r="W3219" t="s">
        <v>43</v>
      </c>
      <c r="X3219" t="s">
        <v>44</v>
      </c>
      <c r="Y3219" t="s">
        <v>44</v>
      </c>
      <c r="Z3219" t="s">
        <v>44</v>
      </c>
      <c r="AA3219" t="s">
        <v>44</v>
      </c>
      <c r="AB3219" t="s">
        <v>44</v>
      </c>
      <c r="AC3219" s="4"/>
      <c r="AD3219" s="4"/>
      <c r="AE3219" s="2">
        <v>0</v>
      </c>
      <c r="AF3219" s="4">
        <v>0</v>
      </c>
      <c r="AG3219" s="2">
        <v>0</v>
      </c>
      <c r="AH3219" s="2">
        <v>0</v>
      </c>
      <c r="AI3219" s="2">
        <v>0</v>
      </c>
      <c r="AJ3219" s="5">
        <v>44673</v>
      </c>
      <c r="AK3219" t="s">
        <v>12646</v>
      </c>
      <c r="AL3219" s="2">
        <v>0</v>
      </c>
      <c r="AM3219" s="2">
        <v>5.49</v>
      </c>
      <c r="AN3219" s="2">
        <v>0</v>
      </c>
      <c r="AO3219" t="s">
        <v>44</v>
      </c>
      <c r="AP3219" t="s">
        <v>44</v>
      </c>
      <c r="AQ3219" t="s">
        <v>44</v>
      </c>
    </row>
    <row r="3220" spans="1:43" x14ac:dyDescent="0.2">
      <c r="A3220" t="s">
        <v>12645</v>
      </c>
      <c r="B3220" t="s">
        <v>11608</v>
      </c>
      <c r="C3220" t="s">
        <v>11608</v>
      </c>
      <c r="D3220" t="s">
        <v>11609</v>
      </c>
      <c r="E3220" t="s">
        <v>11610</v>
      </c>
      <c r="F3220" t="s">
        <v>11611</v>
      </c>
      <c r="G3220" s="1">
        <v>41000000</v>
      </c>
      <c r="H3220" s="2">
        <v>0</v>
      </c>
      <c r="I3220" s="2">
        <v>27003.54</v>
      </c>
      <c r="J3220" s="2">
        <v>0</v>
      </c>
      <c r="K3220" s="2">
        <v>0</v>
      </c>
      <c r="L3220" s="2">
        <v>27003.54</v>
      </c>
      <c r="M3220" s="3">
        <v>6.5862000000000004E-2</v>
      </c>
      <c r="N3220" s="4">
        <v>6.1439999999999995E-5</v>
      </c>
      <c r="O3220" s="5" t="s">
        <v>44</v>
      </c>
      <c r="P3220" s="5">
        <v>44914</v>
      </c>
      <c r="Q3220" s="1">
        <v>0</v>
      </c>
      <c r="R3220" s="2"/>
      <c r="S3220" s="6">
        <v>0.40273972602699998</v>
      </c>
      <c r="T3220" t="s">
        <v>11412</v>
      </c>
      <c r="U3220" t="s">
        <v>11413</v>
      </c>
      <c r="V3220" t="s">
        <v>9802</v>
      </c>
      <c r="W3220" t="s">
        <v>43</v>
      </c>
      <c r="X3220" t="s">
        <v>44</v>
      </c>
      <c r="Y3220" t="s">
        <v>44</v>
      </c>
      <c r="Z3220" t="s">
        <v>44</v>
      </c>
      <c r="AA3220" t="s">
        <v>44</v>
      </c>
      <c r="AB3220" t="s">
        <v>44</v>
      </c>
      <c r="AC3220" s="4"/>
      <c r="AD3220" s="4"/>
      <c r="AE3220" s="2">
        <v>0</v>
      </c>
      <c r="AF3220" s="4">
        <v>0</v>
      </c>
      <c r="AG3220" s="2">
        <v>0.01</v>
      </c>
      <c r="AH3220" s="2">
        <v>27003.54</v>
      </c>
      <c r="AI3220" s="2">
        <v>0</v>
      </c>
      <c r="AJ3220" s="5">
        <v>44673</v>
      </c>
      <c r="AK3220" t="s">
        <v>12646</v>
      </c>
      <c r="AL3220" s="2">
        <v>0</v>
      </c>
      <c r="AM3220" s="2">
        <v>0</v>
      </c>
      <c r="AN3220" s="2">
        <v>0.4</v>
      </c>
      <c r="AO3220" t="s">
        <v>44</v>
      </c>
      <c r="AP3220" t="s">
        <v>44</v>
      </c>
      <c r="AQ3220" t="s">
        <v>44</v>
      </c>
    </row>
    <row r="3221" spans="1:43" x14ac:dyDescent="0.2">
      <c r="A3221" t="s">
        <v>12645</v>
      </c>
      <c r="B3221" t="s">
        <v>11608</v>
      </c>
      <c r="C3221" t="s">
        <v>11608</v>
      </c>
      <c r="D3221" t="s">
        <v>11612</v>
      </c>
      <c r="E3221" t="s">
        <v>11610</v>
      </c>
      <c r="F3221" t="s">
        <v>11613</v>
      </c>
      <c r="G3221" s="1">
        <v>-41000000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3"/>
      <c r="N3221" s="4">
        <v>0</v>
      </c>
      <c r="O3221" s="5" t="s">
        <v>44</v>
      </c>
      <c r="P3221" s="5">
        <v>44914</v>
      </c>
      <c r="Q3221" s="1">
        <v>0</v>
      </c>
      <c r="R3221" s="2"/>
      <c r="S3221" s="6"/>
      <c r="T3221" t="s">
        <v>11412</v>
      </c>
      <c r="U3221" t="s">
        <v>11413</v>
      </c>
      <c r="V3221" t="s">
        <v>9802</v>
      </c>
      <c r="W3221" t="s">
        <v>43</v>
      </c>
      <c r="X3221" t="s">
        <v>44</v>
      </c>
      <c r="Y3221" t="s">
        <v>44</v>
      </c>
      <c r="Z3221" t="s">
        <v>44</v>
      </c>
      <c r="AA3221" t="s">
        <v>44</v>
      </c>
      <c r="AB3221" t="s">
        <v>44</v>
      </c>
      <c r="AC3221" s="4"/>
      <c r="AD3221" s="4"/>
      <c r="AE3221" s="2">
        <v>0</v>
      </c>
      <c r="AF3221" s="4">
        <v>0</v>
      </c>
      <c r="AG3221" s="2">
        <v>0</v>
      </c>
      <c r="AH3221" s="2">
        <v>0</v>
      </c>
      <c r="AI3221" s="2">
        <v>0</v>
      </c>
      <c r="AJ3221" s="5">
        <v>44673</v>
      </c>
      <c r="AK3221" t="s">
        <v>12646</v>
      </c>
      <c r="AL3221" s="2">
        <v>0</v>
      </c>
      <c r="AM3221" s="2">
        <v>0</v>
      </c>
      <c r="AN3221" s="2">
        <v>0</v>
      </c>
      <c r="AO3221" t="s">
        <v>44</v>
      </c>
      <c r="AP3221" t="s">
        <v>44</v>
      </c>
      <c r="AQ3221" t="s">
        <v>44</v>
      </c>
    </row>
    <row r="3222" spans="1:43" x14ac:dyDescent="0.2">
      <c r="A3222" t="s">
        <v>12645</v>
      </c>
      <c r="B3222" t="s">
        <v>11608</v>
      </c>
      <c r="C3222" t="s">
        <v>11608</v>
      </c>
      <c r="D3222" t="s">
        <v>11614</v>
      </c>
      <c r="E3222" t="s">
        <v>11610</v>
      </c>
      <c r="F3222" t="s">
        <v>11615</v>
      </c>
      <c r="G3222" s="1">
        <v>41000000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3"/>
      <c r="N3222" s="4">
        <v>0</v>
      </c>
      <c r="O3222" s="5" t="s">
        <v>44</v>
      </c>
      <c r="P3222" s="5">
        <v>44914</v>
      </c>
      <c r="Q3222" s="1">
        <v>5.63</v>
      </c>
      <c r="R3222" s="2"/>
      <c r="S3222" s="6"/>
      <c r="T3222" t="s">
        <v>11412</v>
      </c>
      <c r="U3222" t="s">
        <v>11413</v>
      </c>
      <c r="V3222" t="s">
        <v>9802</v>
      </c>
      <c r="W3222" t="s">
        <v>43</v>
      </c>
      <c r="X3222" t="s">
        <v>44</v>
      </c>
      <c r="Y3222" t="s">
        <v>44</v>
      </c>
      <c r="Z3222" t="s">
        <v>44</v>
      </c>
      <c r="AA3222" t="s">
        <v>44</v>
      </c>
      <c r="AB3222" t="s">
        <v>44</v>
      </c>
      <c r="AC3222" s="4"/>
      <c r="AD3222" s="4"/>
      <c r="AE3222" s="2">
        <v>0</v>
      </c>
      <c r="AF3222" s="4">
        <v>0</v>
      </c>
      <c r="AG3222" s="2">
        <v>0</v>
      </c>
      <c r="AH3222" s="2">
        <v>0</v>
      </c>
      <c r="AI3222" s="2">
        <v>0</v>
      </c>
      <c r="AJ3222" s="5">
        <v>44673</v>
      </c>
      <c r="AK3222" t="s">
        <v>12646</v>
      </c>
      <c r="AL3222" s="2">
        <v>0</v>
      </c>
      <c r="AM3222" s="2">
        <v>5.63</v>
      </c>
      <c r="AN3222" s="2">
        <v>0</v>
      </c>
      <c r="AO3222" t="s">
        <v>44</v>
      </c>
      <c r="AP3222" t="s">
        <v>44</v>
      </c>
      <c r="AQ3222" t="s">
        <v>44</v>
      </c>
    </row>
    <row r="3223" spans="1:43" x14ac:dyDescent="0.2">
      <c r="A3223" t="s">
        <v>12645</v>
      </c>
      <c r="B3223" t="s">
        <v>11608</v>
      </c>
      <c r="C3223" t="s">
        <v>11608</v>
      </c>
      <c r="D3223" t="s">
        <v>12749</v>
      </c>
      <c r="E3223" t="s">
        <v>12750</v>
      </c>
      <c r="F3223" t="s">
        <v>12749</v>
      </c>
      <c r="G3223" s="1">
        <v>31000000</v>
      </c>
      <c r="H3223" s="2">
        <v>0</v>
      </c>
      <c r="I3223" s="2">
        <v>10779.83</v>
      </c>
      <c r="J3223" s="2">
        <v>0</v>
      </c>
      <c r="K3223" s="2">
        <v>0</v>
      </c>
      <c r="L3223" s="2">
        <v>10779.83</v>
      </c>
      <c r="M3223" s="3">
        <v>3.4773999999999999E-2</v>
      </c>
      <c r="N3223" s="4">
        <v>2.4530000000000001E-5</v>
      </c>
      <c r="O3223" s="5" t="s">
        <v>44</v>
      </c>
      <c r="P3223" s="5">
        <v>44890</v>
      </c>
      <c r="Q3223" s="1">
        <v>0</v>
      </c>
      <c r="R3223" s="2"/>
      <c r="S3223" s="6">
        <v>0.34246575342500002</v>
      </c>
      <c r="T3223" t="s">
        <v>11412</v>
      </c>
      <c r="U3223" t="s">
        <v>11413</v>
      </c>
      <c r="V3223" t="s">
        <v>9802</v>
      </c>
      <c r="W3223" t="s">
        <v>43</v>
      </c>
      <c r="X3223" t="s">
        <v>44</v>
      </c>
      <c r="Y3223" t="s">
        <v>44</v>
      </c>
      <c r="Z3223" t="s">
        <v>44</v>
      </c>
      <c r="AA3223" t="s">
        <v>44</v>
      </c>
      <c r="AB3223" t="s">
        <v>44</v>
      </c>
      <c r="AC3223" s="4"/>
      <c r="AD3223" s="4"/>
      <c r="AE3223" s="2">
        <v>0</v>
      </c>
      <c r="AF3223" s="4">
        <v>0</v>
      </c>
      <c r="AG3223" s="2">
        <v>0</v>
      </c>
      <c r="AH3223" s="2">
        <v>10779.83</v>
      </c>
      <c r="AI3223" s="2">
        <v>0</v>
      </c>
      <c r="AJ3223" s="5">
        <v>44673</v>
      </c>
      <c r="AK3223" t="s">
        <v>12646</v>
      </c>
      <c r="AL3223" s="2">
        <v>0</v>
      </c>
      <c r="AM3223" s="2">
        <v>0</v>
      </c>
      <c r="AN3223" s="2">
        <v>0.34</v>
      </c>
      <c r="AO3223" t="s">
        <v>44</v>
      </c>
      <c r="AP3223" t="s">
        <v>44</v>
      </c>
      <c r="AQ3223" t="s">
        <v>44</v>
      </c>
    </row>
    <row r="3224" spans="1:43" x14ac:dyDescent="0.2">
      <c r="A3224" t="s">
        <v>12645</v>
      </c>
      <c r="B3224" t="s">
        <v>11608</v>
      </c>
      <c r="C3224" t="s">
        <v>11608</v>
      </c>
      <c r="D3224" t="s">
        <v>12751</v>
      </c>
      <c r="E3224" t="s">
        <v>12750</v>
      </c>
      <c r="F3224" t="s">
        <v>12751</v>
      </c>
      <c r="G3224" s="1">
        <v>-31000000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3"/>
      <c r="N3224" s="4">
        <v>0</v>
      </c>
      <c r="O3224" s="5" t="s">
        <v>44</v>
      </c>
      <c r="P3224" s="5">
        <v>44890</v>
      </c>
      <c r="Q3224" s="1">
        <v>0</v>
      </c>
      <c r="R3224" s="2"/>
      <c r="S3224" s="6"/>
      <c r="T3224" t="s">
        <v>11412</v>
      </c>
      <c r="U3224" t="s">
        <v>11413</v>
      </c>
      <c r="V3224" t="s">
        <v>9802</v>
      </c>
      <c r="W3224" t="s">
        <v>43</v>
      </c>
      <c r="X3224" t="s">
        <v>44</v>
      </c>
      <c r="Y3224" t="s">
        <v>44</v>
      </c>
      <c r="Z3224" t="s">
        <v>44</v>
      </c>
      <c r="AA3224" t="s">
        <v>44</v>
      </c>
      <c r="AB3224" t="s">
        <v>44</v>
      </c>
      <c r="AC3224" s="4"/>
      <c r="AD3224" s="4"/>
      <c r="AE3224" s="2">
        <v>0</v>
      </c>
      <c r="AF3224" s="4">
        <v>0</v>
      </c>
      <c r="AG3224" s="2">
        <v>0</v>
      </c>
      <c r="AH3224" s="2">
        <v>0</v>
      </c>
      <c r="AI3224" s="2">
        <v>0</v>
      </c>
      <c r="AJ3224" s="5">
        <v>44673</v>
      </c>
      <c r="AK3224" t="s">
        <v>12646</v>
      </c>
      <c r="AL3224" s="2">
        <v>0</v>
      </c>
      <c r="AM3224" s="2">
        <v>0</v>
      </c>
      <c r="AN3224" s="2">
        <v>0</v>
      </c>
      <c r="AO3224" t="s">
        <v>44</v>
      </c>
      <c r="AP3224" t="s">
        <v>44</v>
      </c>
      <c r="AQ3224" t="s">
        <v>44</v>
      </c>
    </row>
    <row r="3225" spans="1:43" x14ac:dyDescent="0.2">
      <c r="A3225" t="s">
        <v>12645</v>
      </c>
      <c r="B3225" t="s">
        <v>11608</v>
      </c>
      <c r="C3225" t="s">
        <v>11608</v>
      </c>
      <c r="D3225" t="s">
        <v>12752</v>
      </c>
      <c r="E3225" t="s">
        <v>12750</v>
      </c>
      <c r="F3225" t="s">
        <v>12752</v>
      </c>
      <c r="G3225" s="1">
        <v>31000000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3"/>
      <c r="N3225" s="4">
        <v>0</v>
      </c>
      <c r="O3225" s="5" t="s">
        <v>44</v>
      </c>
      <c r="P3225" s="5">
        <v>44890</v>
      </c>
      <c r="Q3225" s="1">
        <v>5.48</v>
      </c>
      <c r="R3225" s="2"/>
      <c r="S3225" s="6"/>
      <c r="T3225" t="s">
        <v>11412</v>
      </c>
      <c r="U3225" t="s">
        <v>11413</v>
      </c>
      <c r="V3225" t="s">
        <v>9802</v>
      </c>
      <c r="W3225" t="s">
        <v>43</v>
      </c>
      <c r="X3225" t="s">
        <v>44</v>
      </c>
      <c r="Y3225" t="s">
        <v>44</v>
      </c>
      <c r="Z3225" t="s">
        <v>44</v>
      </c>
      <c r="AA3225" t="s">
        <v>44</v>
      </c>
      <c r="AB3225" t="s">
        <v>44</v>
      </c>
      <c r="AC3225" s="4"/>
      <c r="AD3225" s="4"/>
      <c r="AE3225" s="2">
        <v>0</v>
      </c>
      <c r="AF3225" s="4">
        <v>0</v>
      </c>
      <c r="AG3225" s="2">
        <v>0</v>
      </c>
      <c r="AH3225" s="2">
        <v>0</v>
      </c>
      <c r="AI3225" s="2">
        <v>0</v>
      </c>
      <c r="AJ3225" s="5">
        <v>44673</v>
      </c>
      <c r="AK3225" t="s">
        <v>12646</v>
      </c>
      <c r="AL3225" s="2">
        <v>0</v>
      </c>
      <c r="AM3225" s="2">
        <v>5.48</v>
      </c>
      <c r="AN3225" s="2">
        <v>0</v>
      </c>
      <c r="AO3225" t="s">
        <v>44</v>
      </c>
      <c r="AP3225" t="s">
        <v>44</v>
      </c>
      <c r="AQ3225" t="s">
        <v>44</v>
      </c>
    </row>
    <row r="3226" spans="1:43" x14ac:dyDescent="0.2">
      <c r="A3226" t="s">
        <v>12645</v>
      </c>
      <c r="B3226" t="s">
        <v>11865</v>
      </c>
      <c r="C3226" t="s">
        <v>11865</v>
      </c>
      <c r="D3226" t="s">
        <v>11866</v>
      </c>
      <c r="E3226" t="s">
        <v>11867</v>
      </c>
      <c r="F3226" t="s">
        <v>11866</v>
      </c>
      <c r="G3226" s="1">
        <v>-460300</v>
      </c>
      <c r="H3226" s="2">
        <v>-7166180.5499999998</v>
      </c>
      <c r="I3226" s="2">
        <v>-7208499.6699999999</v>
      </c>
      <c r="J3226" s="2">
        <v>0</v>
      </c>
      <c r="K3226" s="2">
        <v>0</v>
      </c>
      <c r="L3226" s="2">
        <v>-7208499.6699999999</v>
      </c>
      <c r="M3226" s="3">
        <v>6.3854999999999995E-2</v>
      </c>
      <c r="N3226" s="4">
        <v>-1.6400109999999999E-2</v>
      </c>
      <c r="O3226" s="5" t="s">
        <v>44</v>
      </c>
      <c r="P3226" s="5">
        <v>44701</v>
      </c>
      <c r="Q3226" s="1"/>
      <c r="R3226" s="2"/>
      <c r="S3226" s="6"/>
      <c r="T3226" t="s">
        <v>11868</v>
      </c>
      <c r="U3226" t="s">
        <v>44</v>
      </c>
      <c r="V3226" t="s">
        <v>44</v>
      </c>
      <c r="W3226" t="s">
        <v>113</v>
      </c>
      <c r="X3226" t="s">
        <v>44</v>
      </c>
      <c r="Y3226" t="s">
        <v>44</v>
      </c>
      <c r="Z3226" t="s">
        <v>44</v>
      </c>
      <c r="AA3226" t="s">
        <v>44</v>
      </c>
      <c r="AB3226" t="s">
        <v>44</v>
      </c>
      <c r="AC3226" s="4"/>
      <c r="AD3226" s="4"/>
      <c r="AE3226" s="2">
        <v>0</v>
      </c>
      <c r="AF3226" s="4">
        <v>0</v>
      </c>
      <c r="AG3226" s="2">
        <v>-2.88</v>
      </c>
      <c r="AH3226" s="2">
        <v>-7208499.6699999999</v>
      </c>
      <c r="AI3226" s="2">
        <v>-0.02</v>
      </c>
      <c r="AJ3226" s="5">
        <v>44673</v>
      </c>
      <c r="AK3226" t="s">
        <v>12646</v>
      </c>
      <c r="AL3226" s="2">
        <v>0</v>
      </c>
      <c r="AM3226" s="2">
        <v>0</v>
      </c>
      <c r="AN3226" s="2">
        <v>0</v>
      </c>
      <c r="AO3226" t="s">
        <v>44</v>
      </c>
      <c r="AP3226" t="s">
        <v>44</v>
      </c>
      <c r="AQ3226" t="s">
        <v>113</v>
      </c>
    </row>
    <row r="3227" spans="1:43" x14ac:dyDescent="0.2">
      <c r="A3227" t="s">
        <v>12645</v>
      </c>
      <c r="B3227" t="s">
        <v>11865</v>
      </c>
      <c r="C3227" t="s">
        <v>11865</v>
      </c>
      <c r="D3227" t="s">
        <v>11869</v>
      </c>
      <c r="E3227" t="s">
        <v>11867</v>
      </c>
      <c r="F3227" t="s">
        <v>11869</v>
      </c>
      <c r="G3227" s="1">
        <v>7166180.5499999998</v>
      </c>
      <c r="H3227" s="2">
        <v>7166180.5499999998</v>
      </c>
      <c r="I3227" s="2">
        <v>7166180.5499999998</v>
      </c>
      <c r="J3227" s="2">
        <v>0</v>
      </c>
      <c r="K3227" s="2">
        <v>0</v>
      </c>
      <c r="L3227" s="2">
        <v>7166180.5499999998</v>
      </c>
      <c r="M3227" s="3">
        <v>1</v>
      </c>
      <c r="N3227" s="4">
        <v>1.6303829999999998E-2</v>
      </c>
      <c r="O3227" s="5" t="s">
        <v>44</v>
      </c>
      <c r="P3227" s="5">
        <v>44701</v>
      </c>
      <c r="Q3227" s="1"/>
      <c r="R3227" s="2"/>
      <c r="S3227" s="6"/>
      <c r="T3227" t="s">
        <v>11868</v>
      </c>
      <c r="U3227" t="s">
        <v>44</v>
      </c>
      <c r="V3227" t="s">
        <v>44</v>
      </c>
      <c r="W3227" t="s">
        <v>43</v>
      </c>
      <c r="X3227" t="s">
        <v>44</v>
      </c>
      <c r="Y3227" t="s">
        <v>44</v>
      </c>
      <c r="Z3227" t="s">
        <v>44</v>
      </c>
      <c r="AA3227" t="s">
        <v>44</v>
      </c>
      <c r="AB3227" t="s">
        <v>44</v>
      </c>
      <c r="AC3227" s="4"/>
      <c r="AD3227" s="4"/>
      <c r="AE3227" s="2">
        <v>0</v>
      </c>
      <c r="AF3227" s="4">
        <v>0</v>
      </c>
      <c r="AG3227" s="2">
        <v>2.86</v>
      </c>
      <c r="AH3227" s="2">
        <v>7166180.5499999998</v>
      </c>
      <c r="AI3227" s="2">
        <v>0.02</v>
      </c>
      <c r="AJ3227" s="5">
        <v>44673</v>
      </c>
      <c r="AK3227" t="s">
        <v>12646</v>
      </c>
      <c r="AL3227" s="2">
        <v>0</v>
      </c>
      <c r="AM3227" s="2">
        <v>0</v>
      </c>
      <c r="AN3227" s="2">
        <v>0</v>
      </c>
      <c r="AO3227" t="s">
        <v>44</v>
      </c>
      <c r="AP3227" t="s">
        <v>44</v>
      </c>
      <c r="AQ3227" t="s">
        <v>43</v>
      </c>
    </row>
    <row r="3228" spans="1:43" x14ac:dyDescent="0.2">
      <c r="A3228" t="s">
        <v>12645</v>
      </c>
      <c r="B3228" t="s">
        <v>11038</v>
      </c>
      <c r="C3228" t="s">
        <v>11870</v>
      </c>
      <c r="D3228" t="s">
        <v>11056</v>
      </c>
      <c r="E3228" t="s">
        <v>11057</v>
      </c>
      <c r="F3228" t="s">
        <v>11056</v>
      </c>
      <c r="G3228" s="1">
        <v>4386558</v>
      </c>
      <c r="H3228" s="2">
        <v>4385608.0599999996</v>
      </c>
      <c r="I3228" s="2">
        <v>4386558</v>
      </c>
      <c r="J3228" s="2">
        <v>116208.69</v>
      </c>
      <c r="K3228" s="2">
        <v>0</v>
      </c>
      <c r="L3228" s="2">
        <v>4502766.6900000004</v>
      </c>
      <c r="M3228" s="3"/>
      <c r="N3228" s="4">
        <v>1.024428E-2</v>
      </c>
      <c r="O3228" s="5">
        <v>44692</v>
      </c>
      <c r="P3228" s="5">
        <v>44692</v>
      </c>
      <c r="Q3228" s="1">
        <v>13.067</v>
      </c>
      <c r="R3228" s="2"/>
      <c r="S3228" s="6"/>
      <c r="T3228" t="s">
        <v>111</v>
      </c>
      <c r="U3228" t="s">
        <v>11040</v>
      </c>
      <c r="V3228" t="s">
        <v>115</v>
      </c>
      <c r="W3228" t="s">
        <v>43</v>
      </c>
      <c r="X3228" t="s">
        <v>44</v>
      </c>
      <c r="Y3228" t="s">
        <v>44</v>
      </c>
      <c r="Z3228" t="s">
        <v>44</v>
      </c>
      <c r="AA3228" t="s">
        <v>10979</v>
      </c>
      <c r="AB3228" t="s">
        <v>44</v>
      </c>
      <c r="AC3228" s="4"/>
      <c r="AD3228" s="4"/>
      <c r="AE3228" s="2">
        <v>0</v>
      </c>
      <c r="AF3228" s="4">
        <v>0</v>
      </c>
      <c r="AG3228" s="2">
        <v>1.8</v>
      </c>
      <c r="AH3228" s="2">
        <v>4502766.6900000004</v>
      </c>
      <c r="AI3228" s="2">
        <v>0.01</v>
      </c>
      <c r="AJ3228" s="5">
        <v>44673</v>
      </c>
      <c r="AK3228" t="s">
        <v>12646</v>
      </c>
      <c r="AL3228" s="2">
        <v>0</v>
      </c>
      <c r="AM3228" s="2">
        <v>13.07</v>
      </c>
      <c r="AN3228" s="2">
        <v>0</v>
      </c>
      <c r="AO3228" t="s">
        <v>10980</v>
      </c>
      <c r="AP3228" t="s">
        <v>11058</v>
      </c>
      <c r="AQ3228" t="s">
        <v>11057</v>
      </c>
    </row>
    <row r="3229" spans="1:43" x14ac:dyDescent="0.2">
      <c r="A3229" t="s">
        <v>12645</v>
      </c>
      <c r="B3229" t="s">
        <v>11038</v>
      </c>
      <c r="C3229" t="s">
        <v>11870</v>
      </c>
      <c r="D3229" t="s">
        <v>11616</v>
      </c>
      <c r="E3229" t="s">
        <v>11617</v>
      </c>
      <c r="F3229" t="s">
        <v>11616</v>
      </c>
      <c r="G3229" s="1">
        <v>3000000</v>
      </c>
      <c r="H3229" s="2">
        <v>3000000</v>
      </c>
      <c r="I3229" s="2">
        <v>3001261.17</v>
      </c>
      <c r="J3229" s="2">
        <v>37343.839999999997</v>
      </c>
      <c r="K3229" s="2">
        <v>0</v>
      </c>
      <c r="L3229" s="2">
        <v>3038605.01</v>
      </c>
      <c r="M3229" s="3">
        <v>4.9760429999999998</v>
      </c>
      <c r="N3229" s="4">
        <v>6.9131499999999999E-3</v>
      </c>
      <c r="O3229" s="5">
        <v>44690</v>
      </c>
      <c r="P3229" s="5">
        <v>44690</v>
      </c>
      <c r="Q3229" s="1">
        <v>6.0579999999999998</v>
      </c>
      <c r="R3229" s="2">
        <v>0.04</v>
      </c>
      <c r="S3229" s="6">
        <v>3.6514757501999999E-2</v>
      </c>
      <c r="T3229" t="s">
        <v>111</v>
      </c>
      <c r="U3229" t="s">
        <v>11040</v>
      </c>
      <c r="V3229" t="s">
        <v>114</v>
      </c>
      <c r="W3229" t="s">
        <v>43</v>
      </c>
      <c r="X3229" t="s">
        <v>10988</v>
      </c>
      <c r="Y3229" t="s">
        <v>44</v>
      </c>
      <c r="Z3229" t="s">
        <v>44</v>
      </c>
      <c r="AA3229" t="s">
        <v>10979</v>
      </c>
      <c r="AB3229" t="s">
        <v>44</v>
      </c>
      <c r="AC3229" s="4">
        <v>5.09694307</v>
      </c>
      <c r="AD3229" s="4">
        <v>4.9816122199999997</v>
      </c>
      <c r="AE3229" s="2">
        <v>5.0999999999999996</v>
      </c>
      <c r="AF3229" s="4">
        <v>4.9816122199999997</v>
      </c>
      <c r="AG3229" s="2">
        <v>1.21</v>
      </c>
      <c r="AH3229" s="2">
        <v>3038605.01</v>
      </c>
      <c r="AI3229" s="2">
        <v>0.01</v>
      </c>
      <c r="AJ3229" s="5">
        <v>44673</v>
      </c>
      <c r="AK3229" t="s">
        <v>12646</v>
      </c>
      <c r="AL3229" s="2">
        <v>5.03</v>
      </c>
      <c r="AM3229" s="2">
        <v>6.06</v>
      </c>
      <c r="AN3229" s="2">
        <v>0.04</v>
      </c>
      <c r="AO3229" t="s">
        <v>11618</v>
      </c>
      <c r="AP3229" t="s">
        <v>11619</v>
      </c>
      <c r="AQ3229" t="s">
        <v>11617</v>
      </c>
    </row>
    <row r="3230" spans="1:43" x14ac:dyDescent="0.2">
      <c r="A3230" t="s">
        <v>12645</v>
      </c>
      <c r="B3230" t="s">
        <v>11038</v>
      </c>
      <c r="C3230" t="s">
        <v>11039</v>
      </c>
      <c r="D3230" t="s">
        <v>11878</v>
      </c>
      <c r="E3230" t="s">
        <v>11879</v>
      </c>
      <c r="F3230" t="s">
        <v>11878</v>
      </c>
      <c r="G3230" s="1">
        <v>1000000</v>
      </c>
      <c r="H3230" s="2">
        <v>1000000</v>
      </c>
      <c r="I3230" s="2">
        <v>999913.02</v>
      </c>
      <c r="J3230" s="2">
        <v>6936.3</v>
      </c>
      <c r="K3230" s="2">
        <v>0</v>
      </c>
      <c r="L3230" s="2">
        <v>1006849.32</v>
      </c>
      <c r="M3230" s="3">
        <v>6.1553490000000002</v>
      </c>
      <c r="N3230" s="4">
        <v>2.2906900000000002E-3</v>
      </c>
      <c r="O3230" s="5">
        <v>44727</v>
      </c>
      <c r="P3230" s="5">
        <v>45000</v>
      </c>
      <c r="Q3230" s="1">
        <v>6.1749999999999998</v>
      </c>
      <c r="R3230" s="2">
        <v>0.14000000000000001</v>
      </c>
      <c r="S3230" s="6">
        <v>0.121958312463</v>
      </c>
      <c r="T3230" t="s">
        <v>111</v>
      </c>
      <c r="U3230" t="s">
        <v>11040</v>
      </c>
      <c r="V3230" t="s">
        <v>114</v>
      </c>
      <c r="W3230" t="s">
        <v>43</v>
      </c>
      <c r="X3230" t="s">
        <v>10988</v>
      </c>
      <c r="Y3230" t="s">
        <v>44</v>
      </c>
      <c r="Z3230" t="s">
        <v>44</v>
      </c>
      <c r="AA3230" t="s">
        <v>10979</v>
      </c>
      <c r="AB3230" t="s">
        <v>44</v>
      </c>
      <c r="AC3230" s="4">
        <v>6.3207521</v>
      </c>
      <c r="AD3230" s="4">
        <v>6.1447089999999998</v>
      </c>
      <c r="AE3230" s="2">
        <v>6.32</v>
      </c>
      <c r="AF3230" s="4">
        <v>6.1447089999999998</v>
      </c>
      <c r="AG3230" s="2">
        <v>0.4</v>
      </c>
      <c r="AH3230" s="2">
        <v>1006849.32</v>
      </c>
      <c r="AI3230" s="2">
        <v>0</v>
      </c>
      <c r="AJ3230" s="5">
        <v>44673</v>
      </c>
      <c r="AK3230" t="s">
        <v>12646</v>
      </c>
      <c r="AL3230" s="2">
        <v>6.22</v>
      </c>
      <c r="AM3230" s="2">
        <v>6.17</v>
      </c>
      <c r="AN3230" s="2">
        <v>0.12</v>
      </c>
      <c r="AO3230" t="s">
        <v>11567</v>
      </c>
      <c r="AP3230" t="s">
        <v>11880</v>
      </c>
      <c r="AQ3230" t="s">
        <v>11879</v>
      </c>
    </row>
    <row r="3231" spans="1:43" x14ac:dyDescent="0.2">
      <c r="A3231" t="s">
        <v>12645</v>
      </c>
      <c r="B3231" t="s">
        <v>11038</v>
      </c>
      <c r="C3231" t="s">
        <v>11039</v>
      </c>
      <c r="D3231" t="s">
        <v>11971</v>
      </c>
      <c r="E3231" t="s">
        <v>11972</v>
      </c>
      <c r="F3231" t="s">
        <v>11971</v>
      </c>
      <c r="G3231" s="1">
        <v>1000000</v>
      </c>
      <c r="H3231" s="2">
        <v>1000000</v>
      </c>
      <c r="I3231" s="2">
        <v>998963.76</v>
      </c>
      <c r="J3231" s="2">
        <v>12180.82</v>
      </c>
      <c r="K3231" s="2">
        <v>0</v>
      </c>
      <c r="L3231" s="2">
        <v>1011144.58</v>
      </c>
      <c r="M3231" s="3">
        <v>5.914955</v>
      </c>
      <c r="N3231" s="4">
        <v>2.3004599999999998E-3</v>
      </c>
      <c r="O3231" s="5">
        <v>44965</v>
      </c>
      <c r="P3231" s="5">
        <v>44965</v>
      </c>
      <c r="Q3231" s="1">
        <v>5.85</v>
      </c>
      <c r="R3231" s="2">
        <v>0.79</v>
      </c>
      <c r="S3231" s="6">
        <v>0.75635794914999999</v>
      </c>
      <c r="T3231" t="s">
        <v>111</v>
      </c>
      <c r="U3231" t="s">
        <v>11040</v>
      </c>
      <c r="V3231" t="s">
        <v>11041</v>
      </c>
      <c r="W3231" t="s">
        <v>43</v>
      </c>
      <c r="X3231" t="s">
        <v>11034</v>
      </c>
      <c r="Y3231" t="s">
        <v>44</v>
      </c>
      <c r="Z3231" t="s">
        <v>44</v>
      </c>
      <c r="AA3231" t="s">
        <v>10979</v>
      </c>
      <c r="AB3231" t="s">
        <v>44</v>
      </c>
      <c r="AC3231" s="4">
        <v>5.9509684500000004</v>
      </c>
      <c r="AD3231" s="4">
        <v>5.7945694899999998</v>
      </c>
      <c r="AE3231" s="2">
        <v>5.95</v>
      </c>
      <c r="AF3231" s="4">
        <v>5.7945694899999998</v>
      </c>
      <c r="AG3231" s="2">
        <v>0.4</v>
      </c>
      <c r="AH3231" s="2">
        <v>1011144.58</v>
      </c>
      <c r="AI3231" s="2">
        <v>0</v>
      </c>
      <c r="AJ3231" s="5">
        <v>44673</v>
      </c>
      <c r="AK3231" t="s">
        <v>12646</v>
      </c>
      <c r="AL3231" s="2">
        <v>5.86</v>
      </c>
      <c r="AM3231" s="2">
        <v>5.85</v>
      </c>
      <c r="AN3231" s="2">
        <v>0.76</v>
      </c>
      <c r="AO3231" t="s">
        <v>11165</v>
      </c>
      <c r="AP3231" t="s">
        <v>11973</v>
      </c>
      <c r="AQ3231" t="s">
        <v>11972</v>
      </c>
    </row>
    <row r="3232" spans="1:43" x14ac:dyDescent="0.2">
      <c r="A3232" t="s">
        <v>12645</v>
      </c>
      <c r="B3232" t="s">
        <v>11038</v>
      </c>
      <c r="C3232" t="s">
        <v>11039</v>
      </c>
      <c r="D3232" t="s">
        <v>11927</v>
      </c>
      <c r="E3232" t="s">
        <v>11928</v>
      </c>
      <c r="F3232" t="s">
        <v>11927</v>
      </c>
      <c r="G3232" s="1">
        <v>9000000</v>
      </c>
      <c r="H3232" s="2">
        <v>9000000</v>
      </c>
      <c r="I3232" s="2">
        <v>8994460.2599999998</v>
      </c>
      <c r="J3232" s="2">
        <v>83539.73</v>
      </c>
      <c r="K3232" s="2">
        <v>0</v>
      </c>
      <c r="L3232" s="2">
        <v>9077999.9900000002</v>
      </c>
      <c r="M3232" s="3">
        <v>6.0701000000000001</v>
      </c>
      <c r="N3232" s="4">
        <v>2.065343E-2</v>
      </c>
      <c r="O3232" s="5">
        <v>44985</v>
      </c>
      <c r="P3232" s="5">
        <v>44985</v>
      </c>
      <c r="Q3232" s="1">
        <v>6.05</v>
      </c>
      <c r="R3232" s="2">
        <v>0.85</v>
      </c>
      <c r="S3232" s="6">
        <v>0.80519785741000005</v>
      </c>
      <c r="T3232" t="s">
        <v>111</v>
      </c>
      <c r="U3232" t="s">
        <v>11040</v>
      </c>
      <c r="V3232" t="s">
        <v>11041</v>
      </c>
      <c r="W3232" t="s">
        <v>43</v>
      </c>
      <c r="X3232" t="s">
        <v>11034</v>
      </c>
      <c r="Y3232" t="s">
        <v>44</v>
      </c>
      <c r="Z3232" t="s">
        <v>44</v>
      </c>
      <c r="AA3232" t="s">
        <v>10979</v>
      </c>
      <c r="AB3232" t="s">
        <v>44</v>
      </c>
      <c r="AC3232" s="4">
        <v>6.0979783599999999</v>
      </c>
      <c r="AD3232" s="4">
        <v>5.9339036900000002</v>
      </c>
      <c r="AE3232" s="2">
        <v>6.1</v>
      </c>
      <c r="AF3232" s="4">
        <v>5.9339036900000002</v>
      </c>
      <c r="AG3232" s="2">
        <v>3.62</v>
      </c>
      <c r="AH3232" s="2">
        <v>9077999.9900000002</v>
      </c>
      <c r="AI3232" s="2">
        <v>0.02</v>
      </c>
      <c r="AJ3232" s="5">
        <v>44673</v>
      </c>
      <c r="AK3232" t="s">
        <v>12646</v>
      </c>
      <c r="AL3232" s="2">
        <v>6.01</v>
      </c>
      <c r="AM3232" s="2">
        <v>6.05</v>
      </c>
      <c r="AN3232" s="2">
        <v>0.81</v>
      </c>
      <c r="AO3232" t="s">
        <v>11165</v>
      </c>
      <c r="AP3232" t="s">
        <v>11929</v>
      </c>
      <c r="AQ3232" t="s">
        <v>11928</v>
      </c>
    </row>
    <row r="3233" spans="1:43" x14ac:dyDescent="0.2">
      <c r="A3233" t="s">
        <v>12645</v>
      </c>
      <c r="B3233" t="s">
        <v>11038</v>
      </c>
      <c r="C3233" t="s">
        <v>11039</v>
      </c>
      <c r="D3233" t="s">
        <v>11042</v>
      </c>
      <c r="E3233" t="s">
        <v>11043</v>
      </c>
      <c r="F3233" t="s">
        <v>11042</v>
      </c>
      <c r="G3233" s="1">
        <v>8000000</v>
      </c>
      <c r="H3233" s="2">
        <v>8000000</v>
      </c>
      <c r="I3233" s="2">
        <v>7994373.0099999998</v>
      </c>
      <c r="J3233" s="2">
        <v>91287.67</v>
      </c>
      <c r="K3233" s="2">
        <v>0</v>
      </c>
      <c r="L3233" s="2">
        <v>8085660.6799999997</v>
      </c>
      <c r="M3233" s="3">
        <v>5.9730699999999999</v>
      </c>
      <c r="N3233" s="4">
        <v>1.8395749999999999E-2</v>
      </c>
      <c r="O3233" s="5">
        <v>44971</v>
      </c>
      <c r="P3233" s="5">
        <v>44971</v>
      </c>
      <c r="Q3233" s="1">
        <v>5.95</v>
      </c>
      <c r="R3233" s="2">
        <v>0.81</v>
      </c>
      <c r="S3233" s="6">
        <v>0.77099882388999996</v>
      </c>
      <c r="T3233" t="s">
        <v>111</v>
      </c>
      <c r="U3233" t="s">
        <v>11040</v>
      </c>
      <c r="V3233" t="s">
        <v>11041</v>
      </c>
      <c r="W3233" t="s">
        <v>43</v>
      </c>
      <c r="X3233" t="s">
        <v>11034</v>
      </c>
      <c r="Y3233" t="s">
        <v>44</v>
      </c>
      <c r="Z3233" t="s">
        <v>44</v>
      </c>
      <c r="AA3233" t="s">
        <v>11035</v>
      </c>
      <c r="AB3233" t="s">
        <v>44</v>
      </c>
      <c r="AC3233" s="4">
        <v>6.0068705900000001</v>
      </c>
      <c r="AD3233" s="4">
        <v>5.8475737299999997</v>
      </c>
      <c r="AE3233" s="2">
        <v>6.01</v>
      </c>
      <c r="AF3233" s="4">
        <v>5.8475737299999997</v>
      </c>
      <c r="AG3233" s="2">
        <v>3.23</v>
      </c>
      <c r="AH3233" s="2">
        <v>8085660.6799999997</v>
      </c>
      <c r="AI3233" s="2">
        <v>0.02</v>
      </c>
      <c r="AJ3233" s="5">
        <v>44673</v>
      </c>
      <c r="AK3233" t="s">
        <v>12646</v>
      </c>
      <c r="AL3233" s="2">
        <v>5.92</v>
      </c>
      <c r="AM3233" s="2">
        <v>5.95</v>
      </c>
      <c r="AN3233" s="2">
        <v>0.77</v>
      </c>
      <c r="AO3233" t="s">
        <v>11036</v>
      </c>
      <c r="AP3233" t="s">
        <v>11044</v>
      </c>
      <c r="AQ3233" t="s">
        <v>11043</v>
      </c>
    </row>
    <row r="3234" spans="1:43" x14ac:dyDescent="0.2">
      <c r="A3234" t="s">
        <v>12645</v>
      </c>
      <c r="B3234" t="s">
        <v>11038</v>
      </c>
      <c r="C3234" t="s">
        <v>11039</v>
      </c>
      <c r="D3234" t="s">
        <v>12844</v>
      </c>
      <c r="E3234" t="s">
        <v>12845</v>
      </c>
      <c r="F3234" t="s">
        <v>12844</v>
      </c>
      <c r="G3234" s="1">
        <v>4000000</v>
      </c>
      <c r="H3234" s="2">
        <v>4000000</v>
      </c>
      <c r="I3234" s="2">
        <v>4004172.63</v>
      </c>
      <c r="J3234" s="2">
        <v>17397.259999999998</v>
      </c>
      <c r="K3234" s="2">
        <v>0</v>
      </c>
      <c r="L3234" s="2">
        <v>4021569.89</v>
      </c>
      <c r="M3234" s="3">
        <v>6.2045560000000002</v>
      </c>
      <c r="N3234" s="4">
        <v>9.1494999999999996E-3</v>
      </c>
      <c r="O3234" s="5">
        <v>45016</v>
      </c>
      <c r="P3234" s="5">
        <v>45016</v>
      </c>
      <c r="Q3234" s="1">
        <v>6.35</v>
      </c>
      <c r="R3234" s="2">
        <v>0.93</v>
      </c>
      <c r="S3234" s="6">
        <v>0.88061116438999998</v>
      </c>
      <c r="T3234" t="s">
        <v>111</v>
      </c>
      <c r="U3234" t="s">
        <v>11040</v>
      </c>
      <c r="V3234" t="s">
        <v>11041</v>
      </c>
      <c r="W3234" t="s">
        <v>43</v>
      </c>
      <c r="X3234" t="s">
        <v>11034</v>
      </c>
      <c r="Y3234" t="s">
        <v>44</v>
      </c>
      <c r="Z3234" t="s">
        <v>44</v>
      </c>
      <c r="AA3234" t="s">
        <v>11035</v>
      </c>
      <c r="AB3234" t="s">
        <v>44</v>
      </c>
      <c r="AC3234" s="4">
        <v>6.2175109700000002</v>
      </c>
      <c r="AD3234" s="4">
        <v>6.0470648499999999</v>
      </c>
      <c r="AE3234" s="2">
        <v>6.22</v>
      </c>
      <c r="AF3234" s="4">
        <v>6.0470648499999999</v>
      </c>
      <c r="AG3234" s="2">
        <v>1.61</v>
      </c>
      <c r="AH3234" s="2">
        <v>4021569.89</v>
      </c>
      <c r="AI3234" s="2">
        <v>0.01</v>
      </c>
      <c r="AJ3234" s="5">
        <v>44673</v>
      </c>
      <c r="AK3234" t="s">
        <v>12646</v>
      </c>
      <c r="AL3234" s="2">
        <v>6.12</v>
      </c>
      <c r="AM3234" s="2">
        <v>6.35</v>
      </c>
      <c r="AN3234" s="2">
        <v>0.88</v>
      </c>
      <c r="AO3234" t="s">
        <v>11036</v>
      </c>
      <c r="AP3234" t="s">
        <v>12846</v>
      </c>
      <c r="AQ3234" t="s">
        <v>12845</v>
      </c>
    </row>
    <row r="3235" spans="1:43" x14ac:dyDescent="0.2">
      <c r="A3235" t="s">
        <v>12645</v>
      </c>
      <c r="B3235" t="s">
        <v>11038</v>
      </c>
      <c r="C3235" t="s">
        <v>11039</v>
      </c>
      <c r="D3235" t="s">
        <v>11626</v>
      </c>
      <c r="E3235" t="s">
        <v>11627</v>
      </c>
      <c r="F3235" t="s">
        <v>11626</v>
      </c>
      <c r="G3235" s="1">
        <v>7000000</v>
      </c>
      <c r="H3235" s="2">
        <v>7000000</v>
      </c>
      <c r="I3235" s="2">
        <v>7010704.5999999996</v>
      </c>
      <c r="J3235" s="2">
        <v>72846.22</v>
      </c>
      <c r="K3235" s="2">
        <v>0</v>
      </c>
      <c r="L3235" s="2">
        <v>7083550.8200000003</v>
      </c>
      <c r="M3235" s="3">
        <v>4.7030979999999998</v>
      </c>
      <c r="N3235" s="4">
        <v>1.6115839999999999E-2</v>
      </c>
      <c r="O3235" s="5">
        <v>44690</v>
      </c>
      <c r="P3235" s="5">
        <v>44872</v>
      </c>
      <c r="Q3235" s="1">
        <v>4.9329999999999998</v>
      </c>
      <c r="R3235" s="2">
        <v>0.04</v>
      </c>
      <c r="S3235" s="6">
        <v>3.5480725949000001E-2</v>
      </c>
      <c r="T3235" t="s">
        <v>111</v>
      </c>
      <c r="U3235" t="s">
        <v>11040</v>
      </c>
      <c r="V3235" t="s">
        <v>11189</v>
      </c>
      <c r="W3235" t="s">
        <v>43</v>
      </c>
      <c r="X3235" t="s">
        <v>11034</v>
      </c>
      <c r="Y3235" t="s">
        <v>44</v>
      </c>
      <c r="Z3235" t="s">
        <v>44</v>
      </c>
      <c r="AA3235" t="s">
        <v>10979</v>
      </c>
      <c r="AB3235" t="s">
        <v>44</v>
      </c>
      <c r="AC3235" s="4">
        <v>4.8110071799999998</v>
      </c>
      <c r="AD3235" s="4">
        <v>4.7080728000000001</v>
      </c>
      <c r="AE3235" s="2">
        <v>4.8099999999999996</v>
      </c>
      <c r="AF3235" s="4">
        <v>4.7080728000000001</v>
      </c>
      <c r="AG3235" s="2">
        <v>2.83</v>
      </c>
      <c r="AH3235" s="2">
        <v>7083550.8200000003</v>
      </c>
      <c r="AI3235" s="2">
        <v>0.02</v>
      </c>
      <c r="AJ3235" s="5">
        <v>44673</v>
      </c>
      <c r="AK3235" t="s">
        <v>12646</v>
      </c>
      <c r="AL3235" s="2">
        <v>4.75</v>
      </c>
      <c r="AM3235" s="2">
        <v>4.93</v>
      </c>
      <c r="AN3235" s="2">
        <v>0.04</v>
      </c>
      <c r="AO3235" t="s">
        <v>11179</v>
      </c>
      <c r="AP3235" t="s">
        <v>11628</v>
      </c>
      <c r="AQ3235" t="s">
        <v>11627</v>
      </c>
    </row>
    <row r="3236" spans="1:43" x14ac:dyDescent="0.2">
      <c r="A3236" t="s">
        <v>12645</v>
      </c>
      <c r="B3236" t="s">
        <v>11038</v>
      </c>
      <c r="C3236" t="s">
        <v>11222</v>
      </c>
      <c r="D3236" t="s">
        <v>11639</v>
      </c>
      <c r="E3236" t="s">
        <v>11640</v>
      </c>
      <c r="F3236" t="s">
        <v>11639</v>
      </c>
      <c r="G3236" s="1">
        <v>1000000</v>
      </c>
      <c r="H3236" s="2">
        <v>1000000</v>
      </c>
      <c r="I3236" s="2">
        <v>975796.77</v>
      </c>
      <c r="J3236" s="2">
        <v>4459.18</v>
      </c>
      <c r="K3236" s="2">
        <v>0</v>
      </c>
      <c r="L3236" s="2">
        <v>980255.95</v>
      </c>
      <c r="M3236" s="3">
        <v>7.3639539999999997</v>
      </c>
      <c r="N3236" s="4">
        <v>2.23019E-3</v>
      </c>
      <c r="O3236" s="5">
        <v>44834</v>
      </c>
      <c r="P3236" s="5">
        <v>45562</v>
      </c>
      <c r="Q3236" s="1">
        <v>6.26</v>
      </c>
      <c r="R3236" s="2">
        <v>2.2799999999999998</v>
      </c>
      <c r="S3236" s="6">
        <v>2.1972816670199999</v>
      </c>
      <c r="T3236" t="s">
        <v>111</v>
      </c>
      <c r="U3236" t="s">
        <v>11040</v>
      </c>
      <c r="V3236" t="s">
        <v>11041</v>
      </c>
      <c r="W3236" t="s">
        <v>43</v>
      </c>
      <c r="X3236" t="s">
        <v>44</v>
      </c>
      <c r="Y3236" t="s">
        <v>44</v>
      </c>
      <c r="Z3236" t="s">
        <v>44</v>
      </c>
      <c r="AA3236" t="s">
        <v>10979</v>
      </c>
      <c r="AB3236" t="s">
        <v>44</v>
      </c>
      <c r="AC3236" s="4">
        <v>7.4995232700000001</v>
      </c>
      <c r="AD3236" s="4">
        <v>7.2534566800000002</v>
      </c>
      <c r="AE3236" s="2">
        <v>7.5</v>
      </c>
      <c r="AF3236" s="4">
        <v>7.2534566800000002</v>
      </c>
      <c r="AG3236" s="2">
        <v>0.39</v>
      </c>
      <c r="AH3236" s="2">
        <v>980255.95</v>
      </c>
      <c r="AI3236" s="2">
        <v>0</v>
      </c>
      <c r="AJ3236" s="5">
        <v>44673</v>
      </c>
      <c r="AK3236" t="s">
        <v>12646</v>
      </c>
      <c r="AL3236" s="2">
        <v>7.36</v>
      </c>
      <c r="AM3236" s="2">
        <v>6.26</v>
      </c>
      <c r="AN3236" s="2">
        <v>2.2000000000000002</v>
      </c>
      <c r="AO3236" t="s">
        <v>11054</v>
      </c>
      <c r="AP3236" t="s">
        <v>11641</v>
      </c>
      <c r="AQ3236" t="s">
        <v>11640</v>
      </c>
    </row>
    <row r="3237" spans="1:43" x14ac:dyDescent="0.2">
      <c r="A3237" t="s">
        <v>12645</v>
      </c>
      <c r="B3237" t="s">
        <v>11038</v>
      </c>
      <c r="C3237" t="s">
        <v>11222</v>
      </c>
      <c r="D3237" t="s">
        <v>11888</v>
      </c>
      <c r="E3237" t="s">
        <v>11889</v>
      </c>
      <c r="F3237" t="s">
        <v>11888</v>
      </c>
      <c r="G3237" s="1">
        <v>6500000</v>
      </c>
      <c r="H3237" s="2">
        <v>6520992.0099999998</v>
      </c>
      <c r="I3237" s="2">
        <v>6522126.21</v>
      </c>
      <c r="J3237" s="2">
        <v>51631.9</v>
      </c>
      <c r="K3237" s="2">
        <v>0</v>
      </c>
      <c r="L3237" s="2">
        <v>6573758.1100000003</v>
      </c>
      <c r="M3237" s="3">
        <v>5.6397240000000002</v>
      </c>
      <c r="N3237" s="4">
        <v>1.495601E-2</v>
      </c>
      <c r="O3237" s="5">
        <v>44718</v>
      </c>
      <c r="P3237" s="5">
        <v>45083</v>
      </c>
      <c r="Q3237" s="1">
        <v>5.9169999999999998</v>
      </c>
      <c r="R3237" s="2">
        <v>0.12</v>
      </c>
      <c r="S3237" s="6">
        <v>0.10153073584699999</v>
      </c>
      <c r="T3237" t="s">
        <v>111</v>
      </c>
      <c r="U3237" t="s">
        <v>11040</v>
      </c>
      <c r="V3237" t="s">
        <v>114</v>
      </c>
      <c r="W3237" t="s">
        <v>43</v>
      </c>
      <c r="X3237" t="s">
        <v>10988</v>
      </c>
      <c r="Y3237" t="s">
        <v>44</v>
      </c>
      <c r="Z3237" t="s">
        <v>44</v>
      </c>
      <c r="AA3237" t="s">
        <v>10913</v>
      </c>
      <c r="AB3237" t="s">
        <v>44</v>
      </c>
      <c r="AC3237" s="4">
        <v>5.7825122599999998</v>
      </c>
      <c r="AD3237" s="4">
        <v>5.63469072</v>
      </c>
      <c r="AE3237" s="2">
        <v>5.78</v>
      </c>
      <c r="AF3237" s="4">
        <v>5.63469072</v>
      </c>
      <c r="AG3237" s="2">
        <v>2.62</v>
      </c>
      <c r="AH3237" s="2">
        <v>6573758.1100000003</v>
      </c>
      <c r="AI3237" s="2">
        <v>0.01</v>
      </c>
      <c r="AJ3237" s="5">
        <v>44673</v>
      </c>
      <c r="AK3237" t="s">
        <v>12646</v>
      </c>
      <c r="AL3237" s="2">
        <v>5.7</v>
      </c>
      <c r="AM3237" s="2">
        <v>5.92</v>
      </c>
      <c r="AN3237" s="2">
        <v>0.1</v>
      </c>
      <c r="AO3237" t="s">
        <v>11563</v>
      </c>
      <c r="AP3237" t="s">
        <v>11890</v>
      </c>
      <c r="AQ3237" t="s">
        <v>11889</v>
      </c>
    </row>
    <row r="3238" spans="1:43" x14ac:dyDescent="0.2">
      <c r="A3238" t="s">
        <v>12645</v>
      </c>
      <c r="B3238" t="s">
        <v>11038</v>
      </c>
      <c r="C3238" t="s">
        <v>11222</v>
      </c>
      <c r="D3238" t="s">
        <v>12730</v>
      </c>
      <c r="E3238" t="s">
        <v>12731</v>
      </c>
      <c r="F3238" t="s">
        <v>12730</v>
      </c>
      <c r="G3238" s="1">
        <v>1800000</v>
      </c>
      <c r="H3238" s="2">
        <v>1800000</v>
      </c>
      <c r="I3238" s="2">
        <v>1800001.13</v>
      </c>
      <c r="J3238" s="2">
        <v>10025.65</v>
      </c>
      <c r="K3238" s="2">
        <v>0</v>
      </c>
      <c r="L3238" s="2">
        <v>1810026.78</v>
      </c>
      <c r="M3238" s="3">
        <v>6.4543710000000001</v>
      </c>
      <c r="N3238" s="4">
        <v>4.1180100000000001E-3</v>
      </c>
      <c r="O3238" s="5">
        <v>44739</v>
      </c>
      <c r="P3238" s="5">
        <v>46563</v>
      </c>
      <c r="Q3238" s="1">
        <v>6.5579999999999998</v>
      </c>
      <c r="R3238" s="2">
        <v>0.17</v>
      </c>
      <c r="S3238" s="6">
        <v>0.10239071847800001</v>
      </c>
      <c r="T3238" t="s">
        <v>111</v>
      </c>
      <c r="U3238" t="s">
        <v>11040</v>
      </c>
      <c r="V3238" t="s">
        <v>11189</v>
      </c>
      <c r="W3238" t="s">
        <v>43</v>
      </c>
      <c r="X3238" t="s">
        <v>11034</v>
      </c>
      <c r="Y3238" t="s">
        <v>44</v>
      </c>
      <c r="Z3238" t="s">
        <v>44</v>
      </c>
      <c r="AA3238" t="s">
        <v>11035</v>
      </c>
      <c r="AB3238" t="s">
        <v>44</v>
      </c>
      <c r="AC3238" s="4">
        <v>6.6291599999999997</v>
      </c>
      <c r="AD3238" s="4">
        <v>6.4358805400000003</v>
      </c>
      <c r="AE3238" s="2">
        <v>6.63</v>
      </c>
      <c r="AF3238" s="4">
        <v>6.4358805400000003</v>
      </c>
      <c r="AG3238" s="2">
        <v>0.72</v>
      </c>
      <c r="AH3238" s="2">
        <v>1810026.78</v>
      </c>
      <c r="AI3238" s="2">
        <v>0</v>
      </c>
      <c r="AJ3238" s="5">
        <v>44673</v>
      </c>
      <c r="AK3238" t="s">
        <v>12646</v>
      </c>
      <c r="AL3238" s="2">
        <v>6.52</v>
      </c>
      <c r="AM3238" s="2">
        <v>6.56</v>
      </c>
      <c r="AN3238" s="2">
        <v>0.1</v>
      </c>
      <c r="AO3238" t="s">
        <v>11226</v>
      </c>
      <c r="AP3238" t="s">
        <v>12732</v>
      </c>
      <c r="AQ3238" t="s">
        <v>12731</v>
      </c>
    </row>
    <row r="3239" spans="1:43" x14ac:dyDescent="0.2">
      <c r="A3239" t="s">
        <v>12645</v>
      </c>
      <c r="B3239" t="s">
        <v>11038</v>
      </c>
      <c r="C3239" t="s">
        <v>11222</v>
      </c>
      <c r="D3239" t="s">
        <v>11891</v>
      </c>
      <c r="E3239" t="s">
        <v>11892</v>
      </c>
      <c r="F3239" t="s">
        <v>11891</v>
      </c>
      <c r="G3239" s="1">
        <v>3000000</v>
      </c>
      <c r="H3239" s="2">
        <v>3000000</v>
      </c>
      <c r="I3239" s="2">
        <v>3004522.04</v>
      </c>
      <c r="J3239" s="2">
        <v>27043.15</v>
      </c>
      <c r="K3239" s="2">
        <v>0</v>
      </c>
      <c r="L3239" s="2">
        <v>3031565.19</v>
      </c>
      <c r="M3239" s="3">
        <v>7.9353490000000004</v>
      </c>
      <c r="N3239" s="4">
        <v>6.8971400000000004E-3</v>
      </c>
      <c r="O3239" s="5">
        <v>44727</v>
      </c>
      <c r="P3239" s="5">
        <v>45642</v>
      </c>
      <c r="Q3239" s="1">
        <v>8.0250000000000004</v>
      </c>
      <c r="R3239" s="2">
        <v>0.14000000000000001</v>
      </c>
      <c r="S3239" s="6">
        <v>7.6335008319000003E-2</v>
      </c>
      <c r="T3239" t="s">
        <v>111</v>
      </c>
      <c r="U3239" t="s">
        <v>11040</v>
      </c>
      <c r="V3239" t="s">
        <v>114</v>
      </c>
      <c r="W3239" t="s">
        <v>43</v>
      </c>
      <c r="X3239" t="s">
        <v>10988</v>
      </c>
      <c r="Y3239" t="s">
        <v>44</v>
      </c>
      <c r="Z3239" t="s">
        <v>44</v>
      </c>
      <c r="AA3239" t="s">
        <v>44</v>
      </c>
      <c r="AB3239" t="s">
        <v>44</v>
      </c>
      <c r="AC3239" s="4">
        <v>8.2114278699999996</v>
      </c>
      <c r="AD3239" s="4">
        <v>7.9176856799999999</v>
      </c>
      <c r="AE3239" s="2">
        <v>8.2100000000000009</v>
      </c>
      <c r="AF3239" s="4">
        <v>7.9176856799999999</v>
      </c>
      <c r="AG3239" s="2">
        <v>1.21</v>
      </c>
      <c r="AH3239" s="2">
        <v>3031565.19</v>
      </c>
      <c r="AI3239" s="2">
        <v>0.01</v>
      </c>
      <c r="AJ3239" s="5">
        <v>44673</v>
      </c>
      <c r="AK3239" t="s">
        <v>12646</v>
      </c>
      <c r="AL3239" s="2">
        <v>8.0500000000000007</v>
      </c>
      <c r="AM3239" s="2">
        <v>8.0299999999999994</v>
      </c>
      <c r="AN3239" s="2">
        <v>0.08</v>
      </c>
      <c r="AO3239" t="s">
        <v>11871</v>
      </c>
      <c r="AP3239" t="s">
        <v>11893</v>
      </c>
      <c r="AQ3239" t="s">
        <v>11892</v>
      </c>
    </row>
    <row r="3240" spans="1:43" x14ac:dyDescent="0.2">
      <c r="A3240" t="s">
        <v>12645</v>
      </c>
      <c r="B3240" t="s">
        <v>11038</v>
      </c>
      <c r="C3240" t="s">
        <v>11222</v>
      </c>
      <c r="D3240" t="s">
        <v>11648</v>
      </c>
      <c r="E3240" t="s">
        <v>11649</v>
      </c>
      <c r="F3240" t="s">
        <v>11648</v>
      </c>
      <c r="G3240" s="1">
        <v>2000000</v>
      </c>
      <c r="H3240" s="2">
        <v>2000000</v>
      </c>
      <c r="I3240" s="2">
        <v>2005800.49</v>
      </c>
      <c r="J3240" s="2">
        <v>18923.400000000001</v>
      </c>
      <c r="K3240" s="2">
        <v>0</v>
      </c>
      <c r="L3240" s="2">
        <v>2024723.89</v>
      </c>
      <c r="M3240" s="3">
        <v>6.0302819999999997</v>
      </c>
      <c r="N3240" s="4">
        <v>4.6064599999999997E-3</v>
      </c>
      <c r="O3240" s="5">
        <v>44712</v>
      </c>
      <c r="P3240" s="5">
        <v>45260</v>
      </c>
      <c r="Q3240" s="1">
        <v>6.1669999999999998</v>
      </c>
      <c r="R3240" s="2">
        <v>0.1</v>
      </c>
      <c r="S3240" s="6">
        <v>7.8177650525999995E-2</v>
      </c>
      <c r="T3240" t="s">
        <v>111</v>
      </c>
      <c r="U3240" t="s">
        <v>11040</v>
      </c>
      <c r="V3240" t="s">
        <v>114</v>
      </c>
      <c r="W3240" t="s">
        <v>43</v>
      </c>
      <c r="X3240" t="s">
        <v>10988</v>
      </c>
      <c r="Y3240" t="s">
        <v>44</v>
      </c>
      <c r="Z3240" t="s">
        <v>44</v>
      </c>
      <c r="AA3240" t="s">
        <v>10979</v>
      </c>
      <c r="AB3240" t="s">
        <v>44</v>
      </c>
      <c r="AC3240" s="4">
        <v>6.1968427300000002</v>
      </c>
      <c r="AD3240" s="4">
        <v>6.0275066400000004</v>
      </c>
      <c r="AE3240" s="2">
        <v>6.2</v>
      </c>
      <c r="AF3240" s="4">
        <v>6.0275066400000004</v>
      </c>
      <c r="AG3240" s="2">
        <v>0.81</v>
      </c>
      <c r="AH3240" s="2">
        <v>2024723.89</v>
      </c>
      <c r="AI3240" s="2">
        <v>0</v>
      </c>
      <c r="AJ3240" s="5">
        <v>44673</v>
      </c>
      <c r="AK3240" t="s">
        <v>12646</v>
      </c>
      <c r="AL3240" s="2">
        <v>6.1</v>
      </c>
      <c r="AM3240" s="2">
        <v>6.17</v>
      </c>
      <c r="AN3240" s="2">
        <v>0.08</v>
      </c>
      <c r="AO3240" t="s">
        <v>11048</v>
      </c>
      <c r="AP3240" t="s">
        <v>11650</v>
      </c>
      <c r="AQ3240" t="s">
        <v>11649</v>
      </c>
    </row>
    <row r="3241" spans="1:43" x14ac:dyDescent="0.2">
      <c r="A3241" t="s">
        <v>12645</v>
      </c>
      <c r="B3241" t="s">
        <v>11038</v>
      </c>
      <c r="C3241" t="s">
        <v>11222</v>
      </c>
      <c r="D3241" t="s">
        <v>11894</v>
      </c>
      <c r="E3241" t="s">
        <v>11895</v>
      </c>
      <c r="F3241" t="s">
        <v>11894</v>
      </c>
      <c r="G3241" s="1">
        <v>1800000</v>
      </c>
      <c r="H3241" s="2">
        <v>1800000</v>
      </c>
      <c r="I3241" s="2">
        <v>1799839.3</v>
      </c>
      <c r="J3241" s="2">
        <v>12788.63</v>
      </c>
      <c r="K3241" s="2">
        <v>0</v>
      </c>
      <c r="L3241" s="2">
        <v>1812627.93</v>
      </c>
      <c r="M3241" s="3">
        <v>6.3053489999999996</v>
      </c>
      <c r="N3241" s="4">
        <v>4.1239199999999997E-3</v>
      </c>
      <c r="O3241" s="5">
        <v>44727</v>
      </c>
      <c r="P3241" s="5">
        <v>45366</v>
      </c>
      <c r="Q3241" s="1">
        <v>6.3250000000000002</v>
      </c>
      <c r="R3241" s="2">
        <v>0.14000000000000001</v>
      </c>
      <c r="S3241" s="6">
        <v>0.10845508335</v>
      </c>
      <c r="T3241" t="s">
        <v>111</v>
      </c>
      <c r="U3241" t="s">
        <v>11040</v>
      </c>
      <c r="V3241" t="s">
        <v>114</v>
      </c>
      <c r="W3241" t="s">
        <v>43</v>
      </c>
      <c r="X3241" t="s">
        <v>10988</v>
      </c>
      <c r="Y3241" t="s">
        <v>44</v>
      </c>
      <c r="Z3241" t="s">
        <v>44</v>
      </c>
      <c r="AA3241" t="s">
        <v>10979</v>
      </c>
      <c r="AB3241" t="s">
        <v>44</v>
      </c>
      <c r="AC3241" s="4">
        <v>6.4789744799999998</v>
      </c>
      <c r="AD3241" s="4">
        <v>6.2941851800000004</v>
      </c>
      <c r="AE3241" s="2">
        <v>6.48</v>
      </c>
      <c r="AF3241" s="4">
        <v>6.2941851800000004</v>
      </c>
      <c r="AG3241" s="2">
        <v>0.72</v>
      </c>
      <c r="AH3241" s="2">
        <v>1812627.93</v>
      </c>
      <c r="AI3241" s="2">
        <v>0</v>
      </c>
      <c r="AJ3241" s="5">
        <v>44673</v>
      </c>
      <c r="AK3241" t="s">
        <v>12646</v>
      </c>
      <c r="AL3241" s="2">
        <v>6.38</v>
      </c>
      <c r="AM3241" s="2">
        <v>6.33</v>
      </c>
      <c r="AN3241" s="2">
        <v>0.11</v>
      </c>
      <c r="AO3241" t="s">
        <v>11567</v>
      </c>
      <c r="AP3241" t="s">
        <v>11896</v>
      </c>
      <c r="AQ3241" t="s">
        <v>11895</v>
      </c>
    </row>
    <row r="3242" spans="1:43" x14ac:dyDescent="0.2">
      <c r="A3242" t="s">
        <v>12645</v>
      </c>
      <c r="B3242" t="s">
        <v>11038</v>
      </c>
      <c r="C3242" t="s">
        <v>11222</v>
      </c>
      <c r="D3242" t="s">
        <v>11897</v>
      </c>
      <c r="E3242" t="s">
        <v>11898</v>
      </c>
      <c r="F3242" t="s">
        <v>11897</v>
      </c>
      <c r="G3242" s="1">
        <v>600000</v>
      </c>
      <c r="H3242" s="2">
        <v>600000</v>
      </c>
      <c r="I3242" s="2">
        <v>599921.68000000005</v>
      </c>
      <c r="J3242" s="2">
        <v>5007.67</v>
      </c>
      <c r="K3242" s="2">
        <v>0</v>
      </c>
      <c r="L3242" s="2">
        <v>604929.35</v>
      </c>
      <c r="M3242" s="3">
        <v>6.2678570000000002</v>
      </c>
      <c r="N3242" s="4">
        <v>1.3762799999999999E-3</v>
      </c>
      <c r="O3242" s="5">
        <v>44719</v>
      </c>
      <c r="P3242" s="5">
        <v>45723</v>
      </c>
      <c r="Q3242" s="1">
        <v>6.2169999999999996</v>
      </c>
      <c r="R3242" s="2">
        <v>0.12</v>
      </c>
      <c r="S3242" s="6">
        <v>7.7282729554999999E-2</v>
      </c>
      <c r="T3242" t="s">
        <v>111</v>
      </c>
      <c r="U3242" t="s">
        <v>11040</v>
      </c>
      <c r="V3242" t="s">
        <v>114</v>
      </c>
      <c r="W3242" t="s">
        <v>43</v>
      </c>
      <c r="X3242" t="s">
        <v>10988</v>
      </c>
      <c r="Y3242" t="s">
        <v>44</v>
      </c>
      <c r="Z3242" t="s">
        <v>44</v>
      </c>
      <c r="AA3242" t="s">
        <v>11035</v>
      </c>
      <c r="AB3242" t="s">
        <v>44</v>
      </c>
      <c r="AC3242" s="4">
        <v>6.4439416999999999</v>
      </c>
      <c r="AD3242" s="4">
        <v>6.2611065000000004</v>
      </c>
      <c r="AE3242" s="2">
        <v>6.44</v>
      </c>
      <c r="AF3242" s="4">
        <v>6.2611065000000004</v>
      </c>
      <c r="AG3242" s="2">
        <v>0.24</v>
      </c>
      <c r="AH3242" s="2">
        <v>604929.35</v>
      </c>
      <c r="AI3242" s="2">
        <v>0</v>
      </c>
      <c r="AJ3242" s="5">
        <v>44673</v>
      </c>
      <c r="AK3242" t="s">
        <v>12646</v>
      </c>
      <c r="AL3242" s="2">
        <v>6.34</v>
      </c>
      <c r="AM3242" s="2">
        <v>6.22</v>
      </c>
      <c r="AN3242" s="2">
        <v>0.08</v>
      </c>
      <c r="AO3242" t="s">
        <v>11437</v>
      </c>
      <c r="AP3242" t="s">
        <v>11899</v>
      </c>
      <c r="AQ3242" t="s">
        <v>11898</v>
      </c>
    </row>
    <row r="3243" spans="1:43" x14ac:dyDescent="0.2">
      <c r="A3243" t="s">
        <v>12645</v>
      </c>
      <c r="B3243" t="s">
        <v>11038</v>
      </c>
      <c r="C3243" t="s">
        <v>11222</v>
      </c>
      <c r="D3243" t="s">
        <v>11903</v>
      </c>
      <c r="E3243" t="s">
        <v>11904</v>
      </c>
      <c r="F3243" t="s">
        <v>11903</v>
      </c>
      <c r="G3243" s="1">
        <v>2000000</v>
      </c>
      <c r="H3243" s="2">
        <v>2000000</v>
      </c>
      <c r="I3243" s="2">
        <v>1999955.9</v>
      </c>
      <c r="J3243" s="2">
        <v>25005.919999999998</v>
      </c>
      <c r="K3243" s="2">
        <v>0</v>
      </c>
      <c r="L3243" s="2">
        <v>2024961.82</v>
      </c>
      <c r="M3243" s="3">
        <v>6.2325840000000001</v>
      </c>
      <c r="N3243" s="4">
        <v>4.6070099999999999E-3</v>
      </c>
      <c r="O3243" s="5">
        <v>44691</v>
      </c>
      <c r="P3243" s="5">
        <v>45422</v>
      </c>
      <c r="Q3243" s="1">
        <v>6.1669999999999998</v>
      </c>
      <c r="R3243" s="2">
        <v>0.04</v>
      </c>
      <c r="S3243" s="6">
        <v>1.3346666328999999E-2</v>
      </c>
      <c r="T3243" t="s">
        <v>111</v>
      </c>
      <c r="U3243" t="s">
        <v>11040</v>
      </c>
      <c r="V3243" t="s">
        <v>114</v>
      </c>
      <c r="W3243" t="s">
        <v>43</v>
      </c>
      <c r="X3243" t="s">
        <v>10988</v>
      </c>
      <c r="Y3243" t="s">
        <v>44</v>
      </c>
      <c r="Z3243" t="s">
        <v>44</v>
      </c>
      <c r="AA3243" t="s">
        <v>11035</v>
      </c>
      <c r="AB3243" t="s">
        <v>44</v>
      </c>
      <c r="AC3243" s="4">
        <v>6.4224278899999998</v>
      </c>
      <c r="AD3243" s="4">
        <v>6.2407877699999998</v>
      </c>
      <c r="AE3243" s="2">
        <v>6.42</v>
      </c>
      <c r="AF3243" s="4">
        <v>6.2407877699999998</v>
      </c>
      <c r="AG3243" s="2">
        <v>0.81</v>
      </c>
      <c r="AH3243" s="2">
        <v>2024961.82</v>
      </c>
      <c r="AI3243" s="2">
        <v>0</v>
      </c>
      <c r="AJ3243" s="5">
        <v>44673</v>
      </c>
      <c r="AK3243" t="s">
        <v>12646</v>
      </c>
      <c r="AL3243" s="2">
        <v>6.32</v>
      </c>
      <c r="AM3243" s="2">
        <v>6.17</v>
      </c>
      <c r="AN3243" s="2">
        <v>0.01</v>
      </c>
      <c r="AO3243" t="s">
        <v>11437</v>
      </c>
      <c r="AP3243" t="s">
        <v>11905</v>
      </c>
      <c r="AQ3243" t="s">
        <v>11904</v>
      </c>
    </row>
    <row r="3244" spans="1:43" x14ac:dyDescent="0.2">
      <c r="A3244" t="s">
        <v>12645</v>
      </c>
      <c r="B3244" t="s">
        <v>11038</v>
      </c>
      <c r="C3244" t="s">
        <v>11222</v>
      </c>
      <c r="D3244" t="s">
        <v>11906</v>
      </c>
      <c r="E3244" t="s">
        <v>11907</v>
      </c>
      <c r="F3244" t="s">
        <v>11906</v>
      </c>
      <c r="G3244" s="1">
        <v>3000000</v>
      </c>
      <c r="H3244" s="2">
        <v>3000000</v>
      </c>
      <c r="I3244" s="2">
        <v>3004341.51</v>
      </c>
      <c r="J3244" s="2">
        <v>29732.55</v>
      </c>
      <c r="K3244" s="2">
        <v>0</v>
      </c>
      <c r="L3244" s="2">
        <v>3034074.06</v>
      </c>
      <c r="M3244" s="3">
        <v>5.7430570000000003</v>
      </c>
      <c r="N3244" s="4">
        <v>6.9028500000000003E-3</v>
      </c>
      <c r="O3244" s="5">
        <v>44704</v>
      </c>
      <c r="P3244" s="5">
        <v>45343</v>
      </c>
      <c r="Q3244" s="1">
        <v>5.742</v>
      </c>
      <c r="R3244" s="2">
        <v>0.08</v>
      </c>
      <c r="S3244" s="6">
        <v>5.7362487435999997E-2</v>
      </c>
      <c r="T3244" t="s">
        <v>111</v>
      </c>
      <c r="U3244" t="s">
        <v>11040</v>
      </c>
      <c r="V3244" t="s">
        <v>114</v>
      </c>
      <c r="W3244" t="s">
        <v>43</v>
      </c>
      <c r="X3244" t="s">
        <v>10988</v>
      </c>
      <c r="Y3244" t="s">
        <v>44</v>
      </c>
      <c r="Z3244" t="s">
        <v>44</v>
      </c>
      <c r="AA3244" t="s">
        <v>11035</v>
      </c>
      <c r="AB3244" t="s">
        <v>44</v>
      </c>
      <c r="AC3244" s="4">
        <v>5.8978146699999998</v>
      </c>
      <c r="AD3244" s="4">
        <v>5.7441473600000004</v>
      </c>
      <c r="AE3244" s="2">
        <v>5.9</v>
      </c>
      <c r="AF3244" s="4">
        <v>5.7441473600000004</v>
      </c>
      <c r="AG3244" s="2">
        <v>1.21</v>
      </c>
      <c r="AH3244" s="2">
        <v>3034074.06</v>
      </c>
      <c r="AI3244" s="2">
        <v>0.01</v>
      </c>
      <c r="AJ3244" s="5">
        <v>44673</v>
      </c>
      <c r="AK3244" t="s">
        <v>12646</v>
      </c>
      <c r="AL3244" s="2">
        <v>5.81</v>
      </c>
      <c r="AM3244" s="2">
        <v>5.74</v>
      </c>
      <c r="AN3244" s="2">
        <v>0.06</v>
      </c>
      <c r="AO3244" t="s">
        <v>11036</v>
      </c>
      <c r="AP3244" t="s">
        <v>11908</v>
      </c>
      <c r="AQ3244" t="s">
        <v>11907</v>
      </c>
    </row>
    <row r="3245" spans="1:43" x14ac:dyDescent="0.2">
      <c r="A3245" t="s">
        <v>12645</v>
      </c>
      <c r="B3245" t="s">
        <v>11160</v>
      </c>
      <c r="C3245" t="s">
        <v>11161</v>
      </c>
      <c r="D3245" t="s">
        <v>11162</v>
      </c>
      <c r="E3245" t="s">
        <v>11163</v>
      </c>
      <c r="F3245" t="s">
        <v>11162</v>
      </c>
      <c r="G3245" s="1">
        <v>2920</v>
      </c>
      <c r="H3245" s="2">
        <v>2200772.2799999998</v>
      </c>
      <c r="I3245" s="2">
        <v>2628000</v>
      </c>
      <c r="J3245" s="2">
        <v>0</v>
      </c>
      <c r="K3245" s="2">
        <v>72828</v>
      </c>
      <c r="L3245" s="2">
        <v>2700828</v>
      </c>
      <c r="M3245" s="3">
        <v>90000</v>
      </c>
      <c r="N3245" s="4">
        <v>6.1446699999999996E-3</v>
      </c>
      <c r="O3245" s="5" t="s">
        <v>44</v>
      </c>
      <c r="P3245" s="5" t="s">
        <v>44</v>
      </c>
      <c r="Q3245" s="1"/>
      <c r="R3245" s="2"/>
      <c r="S3245" s="6"/>
      <c r="T3245" t="s">
        <v>10902</v>
      </c>
      <c r="U3245" t="s">
        <v>10902</v>
      </c>
      <c r="V3245" t="s">
        <v>11164</v>
      </c>
      <c r="W3245" t="s">
        <v>43</v>
      </c>
      <c r="X3245" t="s">
        <v>44</v>
      </c>
      <c r="Y3245" t="s">
        <v>44</v>
      </c>
      <c r="Z3245" t="s">
        <v>44</v>
      </c>
      <c r="AA3245" t="s">
        <v>10979</v>
      </c>
      <c r="AB3245" t="s">
        <v>44</v>
      </c>
      <c r="AC3245" s="4"/>
      <c r="AD3245" s="4"/>
      <c r="AE3245" s="2">
        <v>0</v>
      </c>
      <c r="AF3245" s="4">
        <v>0</v>
      </c>
      <c r="AG3245" s="2">
        <v>1.08</v>
      </c>
      <c r="AH3245" s="2">
        <v>2700828</v>
      </c>
      <c r="AI3245" s="2">
        <v>0.01</v>
      </c>
      <c r="AJ3245" s="5">
        <v>44673</v>
      </c>
      <c r="AK3245" t="s">
        <v>12646</v>
      </c>
      <c r="AL3245" s="2">
        <v>0</v>
      </c>
      <c r="AM3245" s="2">
        <v>0</v>
      </c>
      <c r="AN3245" s="2">
        <v>0</v>
      </c>
      <c r="AO3245" t="s">
        <v>11165</v>
      </c>
      <c r="AP3245" t="s">
        <v>11166</v>
      </c>
      <c r="AQ3245" t="s">
        <v>11163</v>
      </c>
    </row>
    <row r="3246" spans="1:43" x14ac:dyDescent="0.2">
      <c r="A3246" t="s">
        <v>12645</v>
      </c>
      <c r="B3246" t="s">
        <v>11160</v>
      </c>
      <c r="C3246" t="s">
        <v>11161</v>
      </c>
      <c r="D3246" t="s">
        <v>11654</v>
      </c>
      <c r="E3246" t="s">
        <v>11655</v>
      </c>
      <c r="F3246" t="s">
        <v>11654</v>
      </c>
      <c r="G3246" s="1">
        <v>12990</v>
      </c>
      <c r="H3246" s="2">
        <v>1057204.29</v>
      </c>
      <c r="I3246" s="2">
        <v>1245611.1000000001</v>
      </c>
      <c r="J3246" s="2">
        <v>0</v>
      </c>
      <c r="K3246" s="2">
        <v>0</v>
      </c>
      <c r="L3246" s="2">
        <v>1245611.1000000001</v>
      </c>
      <c r="M3246" s="3">
        <v>9589</v>
      </c>
      <c r="N3246" s="4">
        <v>2.8338999999999999E-3</v>
      </c>
      <c r="O3246" s="5" t="s">
        <v>44</v>
      </c>
      <c r="P3246" s="5" t="s">
        <v>44</v>
      </c>
      <c r="Q3246" s="1"/>
      <c r="R3246" s="2"/>
      <c r="S3246" s="6"/>
      <c r="T3246" t="s">
        <v>10902</v>
      </c>
      <c r="U3246" t="s">
        <v>10902</v>
      </c>
      <c r="V3246" t="s">
        <v>11164</v>
      </c>
      <c r="W3246" t="s">
        <v>43</v>
      </c>
      <c r="X3246" t="s">
        <v>44</v>
      </c>
      <c r="Y3246" t="s">
        <v>44</v>
      </c>
      <c r="Z3246" t="s">
        <v>44</v>
      </c>
      <c r="AA3246" t="s">
        <v>10979</v>
      </c>
      <c r="AB3246" t="s">
        <v>44</v>
      </c>
      <c r="AC3246" s="4"/>
      <c r="AD3246" s="4"/>
      <c r="AE3246" s="2">
        <v>0</v>
      </c>
      <c r="AF3246" s="4">
        <v>0</v>
      </c>
      <c r="AG3246" s="2">
        <v>0.5</v>
      </c>
      <c r="AH3246" s="2">
        <v>1245611.1000000001</v>
      </c>
      <c r="AI3246" s="2">
        <v>0</v>
      </c>
      <c r="AJ3246" s="5">
        <v>44673</v>
      </c>
      <c r="AK3246" t="s">
        <v>12646</v>
      </c>
      <c r="AL3246" s="2">
        <v>0</v>
      </c>
      <c r="AM3246" s="2">
        <v>0</v>
      </c>
      <c r="AN3246" s="2">
        <v>0</v>
      </c>
      <c r="AO3246" t="s">
        <v>11054</v>
      </c>
      <c r="AP3246" t="s">
        <v>11656</v>
      </c>
      <c r="AQ3246" t="s">
        <v>11655</v>
      </c>
    </row>
    <row r="3247" spans="1:43" x14ac:dyDescent="0.2">
      <c r="A3247" t="s">
        <v>12645</v>
      </c>
      <c r="B3247" t="s">
        <v>11160</v>
      </c>
      <c r="C3247" t="s">
        <v>11161</v>
      </c>
      <c r="D3247" t="s">
        <v>11176</v>
      </c>
      <c r="E3247" t="s">
        <v>11177</v>
      </c>
      <c r="F3247" t="s">
        <v>11178</v>
      </c>
      <c r="G3247" s="1">
        <v>51790</v>
      </c>
      <c r="H3247" s="2">
        <v>4304367.84</v>
      </c>
      <c r="I3247" s="2">
        <v>4784878.0999999996</v>
      </c>
      <c r="J3247" s="2">
        <v>0</v>
      </c>
      <c r="K3247" s="2">
        <v>0</v>
      </c>
      <c r="L3247" s="2">
        <v>4784878.0999999996</v>
      </c>
      <c r="M3247" s="3">
        <v>9239</v>
      </c>
      <c r="N3247" s="4">
        <v>1.0886109999999999E-2</v>
      </c>
      <c r="O3247" s="5" t="s">
        <v>44</v>
      </c>
      <c r="P3247" s="5" t="s">
        <v>44</v>
      </c>
      <c r="Q3247" s="1"/>
      <c r="R3247" s="2"/>
      <c r="S3247" s="6"/>
      <c r="T3247" t="s">
        <v>10902</v>
      </c>
      <c r="U3247" t="s">
        <v>10902</v>
      </c>
      <c r="V3247" t="s">
        <v>11164</v>
      </c>
      <c r="W3247" t="s">
        <v>43</v>
      </c>
      <c r="X3247" t="s">
        <v>44</v>
      </c>
      <c r="Y3247" t="s">
        <v>44</v>
      </c>
      <c r="Z3247" t="s">
        <v>44</v>
      </c>
      <c r="AA3247" t="s">
        <v>10979</v>
      </c>
      <c r="AB3247" t="s">
        <v>44</v>
      </c>
      <c r="AC3247" s="4"/>
      <c r="AD3247" s="4"/>
      <c r="AE3247" s="2">
        <v>0</v>
      </c>
      <c r="AF3247" s="4">
        <v>0</v>
      </c>
      <c r="AG3247" s="2">
        <v>1.91</v>
      </c>
      <c r="AH3247" s="2">
        <v>4784878.0999999996</v>
      </c>
      <c r="AI3247" s="2">
        <v>0.01</v>
      </c>
      <c r="AJ3247" s="5">
        <v>44673</v>
      </c>
      <c r="AK3247" t="s">
        <v>12646</v>
      </c>
      <c r="AL3247" s="2">
        <v>0</v>
      </c>
      <c r="AM3247" s="2">
        <v>0</v>
      </c>
      <c r="AN3247" s="2">
        <v>0</v>
      </c>
      <c r="AO3247" t="s">
        <v>11179</v>
      </c>
      <c r="AP3247" t="s">
        <v>11180</v>
      </c>
      <c r="AQ3247" t="s">
        <v>11177</v>
      </c>
    </row>
    <row r="3248" spans="1:43" x14ac:dyDescent="0.2">
      <c r="A3248" t="s">
        <v>12647</v>
      </c>
      <c r="B3248" t="s">
        <v>10900</v>
      </c>
      <c r="C3248" t="s">
        <v>10950</v>
      </c>
      <c r="D3248" t="s">
        <v>11141</v>
      </c>
      <c r="E3248" t="s">
        <v>11142</v>
      </c>
      <c r="F3248" t="s">
        <v>11141</v>
      </c>
      <c r="G3248" s="1">
        <v>59520000</v>
      </c>
      <c r="H3248" s="2">
        <v>49215596.979999997</v>
      </c>
      <c r="I3248" s="2">
        <v>48924630.530000001</v>
      </c>
      <c r="J3248" s="2">
        <v>770498.63</v>
      </c>
      <c r="K3248" s="2">
        <v>0</v>
      </c>
      <c r="L3248" s="2">
        <v>49695129.159999996</v>
      </c>
      <c r="M3248" s="3">
        <v>10.805</v>
      </c>
      <c r="N3248" s="4">
        <v>0.11306177000000001</v>
      </c>
      <c r="O3248" s="5">
        <v>44804</v>
      </c>
      <c r="P3248" s="5">
        <v>54116</v>
      </c>
      <c r="Q3248" s="1">
        <v>8.75</v>
      </c>
      <c r="R3248" s="2">
        <v>9.2200000000000006</v>
      </c>
      <c r="S3248" s="6">
        <v>8.7507641760000006</v>
      </c>
      <c r="T3248" t="s">
        <v>111</v>
      </c>
      <c r="U3248" t="s">
        <v>111</v>
      </c>
      <c r="V3248" t="s">
        <v>10944</v>
      </c>
      <c r="W3248" t="s">
        <v>43</v>
      </c>
      <c r="X3248" t="s">
        <v>10945</v>
      </c>
      <c r="Y3248" t="s">
        <v>44</v>
      </c>
      <c r="Z3248" t="s">
        <v>44</v>
      </c>
      <c r="AA3248" t="s">
        <v>10913</v>
      </c>
      <c r="AB3248" t="s">
        <v>44</v>
      </c>
      <c r="AC3248" s="4">
        <v>11.096870060000001</v>
      </c>
      <c r="AD3248" s="4">
        <v>10.56950999</v>
      </c>
      <c r="AE3248" s="2">
        <v>11.1</v>
      </c>
      <c r="AF3248" s="4">
        <v>10.56950999</v>
      </c>
      <c r="AG3248" s="2">
        <v>101.12</v>
      </c>
      <c r="AH3248" s="2">
        <v>49695129.159999996</v>
      </c>
      <c r="AI3248" s="2">
        <v>0.11</v>
      </c>
      <c r="AJ3248" s="5">
        <v>44673</v>
      </c>
      <c r="AK3248" t="s">
        <v>12648</v>
      </c>
      <c r="AL3248" s="2">
        <v>10.8</v>
      </c>
      <c r="AM3248" s="2">
        <v>8.75</v>
      </c>
      <c r="AN3248" s="2">
        <v>8.75</v>
      </c>
      <c r="AO3248" t="s">
        <v>10922</v>
      </c>
      <c r="AP3248" t="s">
        <v>11143</v>
      </c>
      <c r="AQ3248" t="s">
        <v>11142</v>
      </c>
    </row>
    <row r="3249" spans="1:43" x14ac:dyDescent="0.2">
      <c r="A3249" t="s">
        <v>12647</v>
      </c>
      <c r="B3249" t="s">
        <v>45</v>
      </c>
      <c r="C3249" t="s">
        <v>47</v>
      </c>
      <c r="D3249" t="s">
        <v>48</v>
      </c>
      <c r="E3249" t="s">
        <v>49</v>
      </c>
      <c r="F3249" t="s">
        <v>50</v>
      </c>
      <c r="G3249" s="1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313.77</v>
      </c>
      <c r="M3249" s="3"/>
      <c r="N3249" s="4">
        <v>7.0999999999999998E-7</v>
      </c>
      <c r="O3249" s="5" t="s">
        <v>44</v>
      </c>
      <c r="P3249" s="5" t="s">
        <v>44</v>
      </c>
      <c r="Q3249" s="1"/>
      <c r="R3249" s="2">
        <v>0.08</v>
      </c>
      <c r="S3249" s="6"/>
      <c r="T3249" t="s">
        <v>45</v>
      </c>
      <c r="U3249" t="s">
        <v>46</v>
      </c>
      <c r="V3249" t="s">
        <v>44</v>
      </c>
      <c r="W3249" t="s">
        <v>43</v>
      </c>
      <c r="X3249" t="s">
        <v>44</v>
      </c>
      <c r="Y3249" t="s">
        <v>44</v>
      </c>
      <c r="Z3249" t="s">
        <v>44</v>
      </c>
      <c r="AA3249" t="s">
        <v>44</v>
      </c>
      <c r="AB3249" t="s">
        <v>44</v>
      </c>
      <c r="AC3249" s="4">
        <v>5.1163389600000002</v>
      </c>
      <c r="AD3249" s="4">
        <v>5.0001424999999999</v>
      </c>
      <c r="AE3249" s="2">
        <v>5.12</v>
      </c>
      <c r="AF3249" s="4">
        <v>5.0001424999999999</v>
      </c>
      <c r="AG3249" s="2">
        <v>0</v>
      </c>
      <c r="AH3249" s="2">
        <v>313.77</v>
      </c>
      <c r="AI3249" s="2">
        <v>0</v>
      </c>
      <c r="AJ3249" s="5">
        <v>44673</v>
      </c>
      <c r="AK3249" t="s">
        <v>12648</v>
      </c>
      <c r="AL3249" s="2">
        <v>5.05</v>
      </c>
      <c r="AM3249" s="2">
        <v>0</v>
      </c>
      <c r="AN3249" s="2">
        <v>0</v>
      </c>
      <c r="AO3249" t="s">
        <v>44</v>
      </c>
      <c r="AP3249" t="s">
        <v>44</v>
      </c>
      <c r="AQ3249" t="s">
        <v>44</v>
      </c>
    </row>
    <row r="3250" spans="1:43" x14ac:dyDescent="0.2">
      <c r="A3250" t="s">
        <v>12647</v>
      </c>
      <c r="B3250" t="s">
        <v>45</v>
      </c>
      <c r="C3250" t="s">
        <v>47</v>
      </c>
      <c r="D3250" t="s">
        <v>51</v>
      </c>
      <c r="E3250" t="s">
        <v>52</v>
      </c>
      <c r="F3250" t="s">
        <v>51</v>
      </c>
      <c r="G3250" s="1">
        <v>160116.96</v>
      </c>
      <c r="H3250" s="2">
        <v>160116.96</v>
      </c>
      <c r="I3250" s="2">
        <v>160116.96</v>
      </c>
      <c r="J3250" s="2">
        <v>0</v>
      </c>
      <c r="K3250" s="2">
        <v>0</v>
      </c>
      <c r="L3250" s="2">
        <v>160116.96</v>
      </c>
      <c r="M3250" s="3"/>
      <c r="N3250" s="4">
        <v>3.6427999999999997E-4</v>
      </c>
      <c r="O3250" s="5" t="s">
        <v>44</v>
      </c>
      <c r="P3250" s="5" t="s">
        <v>44</v>
      </c>
      <c r="Q3250" s="1"/>
      <c r="R3250" s="2">
        <v>0.08</v>
      </c>
      <c r="S3250" s="6"/>
      <c r="T3250" t="s">
        <v>45</v>
      </c>
      <c r="U3250" t="s">
        <v>53</v>
      </c>
      <c r="V3250" t="s">
        <v>44</v>
      </c>
      <c r="W3250" t="s">
        <v>43</v>
      </c>
      <c r="X3250" t="s">
        <v>44</v>
      </c>
      <c r="Y3250" t="s">
        <v>44</v>
      </c>
      <c r="Z3250" t="s">
        <v>44</v>
      </c>
      <c r="AA3250" t="s">
        <v>44</v>
      </c>
      <c r="AB3250" t="s">
        <v>44</v>
      </c>
      <c r="AC3250" s="4">
        <v>5.1163389600000002</v>
      </c>
      <c r="AD3250" s="4">
        <v>5.0001424999999999</v>
      </c>
      <c r="AE3250" s="2">
        <v>5.12</v>
      </c>
      <c r="AF3250" s="4">
        <v>5.0001424999999999</v>
      </c>
      <c r="AG3250" s="2">
        <v>0.33</v>
      </c>
      <c r="AH3250" s="2">
        <v>160116.96</v>
      </c>
      <c r="AI3250" s="2">
        <v>0</v>
      </c>
      <c r="AJ3250" s="5">
        <v>44673</v>
      </c>
      <c r="AK3250" t="s">
        <v>12648</v>
      </c>
      <c r="AL3250" s="2">
        <v>5.05</v>
      </c>
      <c r="AM3250" s="2">
        <v>0</v>
      </c>
      <c r="AN3250" s="2">
        <v>0</v>
      </c>
      <c r="AO3250" t="s">
        <v>44</v>
      </c>
      <c r="AP3250" t="s">
        <v>44</v>
      </c>
      <c r="AQ3250" t="s">
        <v>43</v>
      </c>
    </row>
    <row r="3251" spans="1:43" x14ac:dyDescent="0.2">
      <c r="A3251" t="s">
        <v>12647</v>
      </c>
      <c r="B3251" t="s">
        <v>45</v>
      </c>
      <c r="C3251" t="s">
        <v>47</v>
      </c>
      <c r="D3251" t="s">
        <v>11045</v>
      </c>
      <c r="E3251" t="s">
        <v>11046</v>
      </c>
      <c r="F3251" t="s">
        <v>11045</v>
      </c>
      <c r="G3251" s="1">
        <v>3850.1</v>
      </c>
      <c r="H3251" s="2">
        <v>60678.32</v>
      </c>
      <c r="I3251" s="2">
        <v>60115.54</v>
      </c>
      <c r="J3251" s="2">
        <v>0</v>
      </c>
      <c r="K3251" s="2">
        <v>0</v>
      </c>
      <c r="L3251" s="2">
        <v>60115.54</v>
      </c>
      <c r="M3251" s="3">
        <v>1</v>
      </c>
      <c r="N3251" s="4">
        <v>1.3677000000000001E-4</v>
      </c>
      <c r="O3251" s="5" t="s">
        <v>44</v>
      </c>
      <c r="P3251" s="5" t="s">
        <v>44</v>
      </c>
      <c r="Q3251" s="1"/>
      <c r="R3251" s="2">
        <v>0.08</v>
      </c>
      <c r="S3251" s="6"/>
      <c r="T3251" t="s">
        <v>45</v>
      </c>
      <c r="U3251" t="s">
        <v>53</v>
      </c>
      <c r="V3251" t="s">
        <v>44</v>
      </c>
      <c r="W3251" t="s">
        <v>113</v>
      </c>
      <c r="X3251" t="s">
        <v>44</v>
      </c>
      <c r="Y3251" t="s">
        <v>44</v>
      </c>
      <c r="Z3251" t="s">
        <v>44</v>
      </c>
      <c r="AA3251" t="s">
        <v>44</v>
      </c>
      <c r="AB3251" t="s">
        <v>44</v>
      </c>
      <c r="AC3251" s="4"/>
      <c r="AD3251" s="4"/>
      <c r="AE3251" s="2">
        <v>0</v>
      </c>
      <c r="AF3251" s="4">
        <v>0</v>
      </c>
      <c r="AG3251" s="2">
        <v>0.12</v>
      </c>
      <c r="AH3251" s="2">
        <v>60115.54</v>
      </c>
      <c r="AI3251" s="2">
        <v>0</v>
      </c>
      <c r="AJ3251" s="5">
        <v>44673</v>
      </c>
      <c r="AK3251" t="s">
        <v>12648</v>
      </c>
      <c r="AL3251" s="2">
        <v>0</v>
      </c>
      <c r="AM3251" s="2">
        <v>0</v>
      </c>
      <c r="AN3251" s="2">
        <v>0</v>
      </c>
      <c r="AO3251" t="s">
        <v>44</v>
      </c>
      <c r="AP3251" t="s">
        <v>44</v>
      </c>
      <c r="AQ3251" t="s">
        <v>113</v>
      </c>
    </row>
    <row r="3252" spans="1:43" x14ac:dyDescent="0.2">
      <c r="A3252" t="s">
        <v>12649</v>
      </c>
      <c r="B3252" t="s">
        <v>10900</v>
      </c>
      <c r="C3252" t="s">
        <v>11049</v>
      </c>
      <c r="D3252" t="s">
        <v>11453</v>
      </c>
      <c r="E3252" t="s">
        <v>11454</v>
      </c>
      <c r="F3252" t="s">
        <v>11453</v>
      </c>
      <c r="G3252" s="1">
        <v>1600000</v>
      </c>
      <c r="H3252" s="2">
        <v>1598786.96</v>
      </c>
      <c r="I3252" s="2">
        <v>1606043.82</v>
      </c>
      <c r="J3252" s="2">
        <v>12846.38</v>
      </c>
      <c r="K3252" s="2">
        <v>0</v>
      </c>
      <c r="L3252" s="2">
        <v>1618890.2</v>
      </c>
      <c r="M3252" s="3">
        <v>5.0248049999999997</v>
      </c>
      <c r="N3252" s="4">
        <v>3.6831500000000001E-3</v>
      </c>
      <c r="O3252" s="5">
        <v>44707</v>
      </c>
      <c r="P3252" s="5">
        <v>44983</v>
      </c>
      <c r="Q3252" s="1">
        <v>5.4269999999999996</v>
      </c>
      <c r="R3252" s="2">
        <v>0.08</v>
      </c>
      <c r="S3252" s="6">
        <v>7.8644503066000002E-2</v>
      </c>
      <c r="T3252" t="s">
        <v>111</v>
      </c>
      <c r="U3252" t="s">
        <v>111</v>
      </c>
      <c r="V3252" t="s">
        <v>11189</v>
      </c>
      <c r="W3252" t="s">
        <v>43</v>
      </c>
      <c r="X3252" t="s">
        <v>11034</v>
      </c>
      <c r="Y3252" t="s">
        <v>44</v>
      </c>
      <c r="Z3252" t="s">
        <v>44</v>
      </c>
      <c r="AA3252" t="s">
        <v>11441</v>
      </c>
      <c r="AB3252" t="s">
        <v>44</v>
      </c>
      <c r="AC3252" s="4">
        <v>5.0879264600000003</v>
      </c>
      <c r="AD3252" s="4">
        <v>4.9729969399999998</v>
      </c>
      <c r="AE3252" s="2">
        <v>5.09</v>
      </c>
      <c r="AF3252" s="4">
        <v>4.9729969399999998</v>
      </c>
      <c r="AG3252" s="2">
        <v>0.24</v>
      </c>
      <c r="AH3252" s="2">
        <v>1618890.2</v>
      </c>
      <c r="AI3252" s="2">
        <v>0</v>
      </c>
      <c r="AJ3252" s="5">
        <v>44673</v>
      </c>
      <c r="AK3252" t="s">
        <v>12650</v>
      </c>
      <c r="AL3252" s="2">
        <v>5.0199999999999996</v>
      </c>
      <c r="AM3252" s="2">
        <v>5.43</v>
      </c>
      <c r="AN3252" s="2">
        <v>0.08</v>
      </c>
      <c r="AO3252" t="s">
        <v>11455</v>
      </c>
      <c r="AP3252" t="s">
        <v>11456</v>
      </c>
      <c r="AQ3252" t="s">
        <v>11454</v>
      </c>
    </row>
    <row r="3253" spans="1:43" x14ac:dyDescent="0.2">
      <c r="A3253" t="s">
        <v>12649</v>
      </c>
      <c r="B3253" t="s">
        <v>10900</v>
      </c>
      <c r="C3253" t="s">
        <v>11049</v>
      </c>
      <c r="D3253" t="s">
        <v>11457</v>
      </c>
      <c r="E3253" t="s">
        <v>11458</v>
      </c>
      <c r="F3253" t="s">
        <v>11457</v>
      </c>
      <c r="G3253" s="1">
        <v>2800000</v>
      </c>
      <c r="H3253" s="2">
        <v>2800000</v>
      </c>
      <c r="I3253" s="2">
        <v>2800010.4</v>
      </c>
      <c r="J3253" s="2">
        <v>33704.019999999997</v>
      </c>
      <c r="K3253" s="2">
        <v>0</v>
      </c>
      <c r="L3253" s="2">
        <v>2833714.42</v>
      </c>
      <c r="M3253" s="3">
        <v>5.4289139999999998</v>
      </c>
      <c r="N3253" s="4">
        <v>6.4470100000000004E-3</v>
      </c>
      <c r="O3253" s="5">
        <v>44684</v>
      </c>
      <c r="P3253" s="5">
        <v>44957</v>
      </c>
      <c r="Q3253" s="1">
        <v>5.3579999999999997</v>
      </c>
      <c r="R3253" s="2">
        <v>0.02</v>
      </c>
      <c r="S3253" s="6">
        <v>1.4426938812E-2</v>
      </c>
      <c r="T3253" t="s">
        <v>111</v>
      </c>
      <c r="U3253" t="s">
        <v>111</v>
      </c>
      <c r="V3253" t="s">
        <v>11189</v>
      </c>
      <c r="W3253" t="s">
        <v>43</v>
      </c>
      <c r="X3253" t="s">
        <v>11034</v>
      </c>
      <c r="Y3253" t="s">
        <v>44</v>
      </c>
      <c r="Z3253" t="s">
        <v>44</v>
      </c>
      <c r="AA3253" t="s">
        <v>10979</v>
      </c>
      <c r="AB3253" t="s">
        <v>44</v>
      </c>
      <c r="AC3253" s="4">
        <v>5.5025962599999998</v>
      </c>
      <c r="AD3253" s="4">
        <v>5.3685105899999996</v>
      </c>
      <c r="AE3253" s="2">
        <v>5.5</v>
      </c>
      <c r="AF3253" s="4">
        <v>5.3685105899999996</v>
      </c>
      <c r="AG3253" s="2">
        <v>0.42</v>
      </c>
      <c r="AH3253" s="2">
        <v>2833714.42</v>
      </c>
      <c r="AI3253" s="2">
        <v>0.01</v>
      </c>
      <c r="AJ3253" s="5">
        <v>44673</v>
      </c>
      <c r="AK3253" t="s">
        <v>12650</v>
      </c>
      <c r="AL3253" s="2">
        <v>5.43</v>
      </c>
      <c r="AM3253" s="2">
        <v>5.36</v>
      </c>
      <c r="AN3253" s="2">
        <v>0.01</v>
      </c>
      <c r="AO3253" t="s">
        <v>11048</v>
      </c>
      <c r="AP3253" t="s">
        <v>11459</v>
      </c>
      <c r="AQ3253" t="s">
        <v>11458</v>
      </c>
    </row>
    <row r="3254" spans="1:43" x14ac:dyDescent="0.2">
      <c r="A3254" t="s">
        <v>12649</v>
      </c>
      <c r="B3254" t="s">
        <v>10900</v>
      </c>
      <c r="C3254" t="s">
        <v>11049</v>
      </c>
      <c r="D3254" t="s">
        <v>11785</v>
      </c>
      <c r="E3254" t="s">
        <v>11786</v>
      </c>
      <c r="F3254" t="s">
        <v>11785</v>
      </c>
      <c r="G3254" s="1">
        <v>9200000</v>
      </c>
      <c r="H3254" s="2">
        <v>9257709.8300000001</v>
      </c>
      <c r="I3254" s="2">
        <v>9293965.0299999993</v>
      </c>
      <c r="J3254" s="2">
        <v>60025.34</v>
      </c>
      <c r="K3254" s="2">
        <v>0</v>
      </c>
      <c r="L3254" s="2">
        <v>9353990.3699999992</v>
      </c>
      <c r="M3254" s="3">
        <v>4.8216830000000002</v>
      </c>
      <c r="N3254" s="4">
        <v>2.1281339999999999E-2</v>
      </c>
      <c r="O3254" s="5">
        <v>44732</v>
      </c>
      <c r="P3254" s="5">
        <v>44824</v>
      </c>
      <c r="Q3254" s="1">
        <v>7.4420000000000002</v>
      </c>
      <c r="R3254" s="2">
        <v>0.15</v>
      </c>
      <c r="S3254" s="6">
        <v>0.146783072519</v>
      </c>
      <c r="T3254" t="s">
        <v>111</v>
      </c>
      <c r="U3254" t="s">
        <v>111</v>
      </c>
      <c r="V3254" t="s">
        <v>11189</v>
      </c>
      <c r="W3254" t="s">
        <v>43</v>
      </c>
      <c r="X3254" t="s">
        <v>11034</v>
      </c>
      <c r="Y3254" t="s">
        <v>44</v>
      </c>
      <c r="Z3254" t="s">
        <v>44</v>
      </c>
      <c r="AA3254" t="s">
        <v>10979</v>
      </c>
      <c r="AB3254" t="s">
        <v>11441</v>
      </c>
      <c r="AC3254" s="4">
        <v>4.87980444</v>
      </c>
      <c r="AD3254" s="4">
        <v>4.7739498600000001</v>
      </c>
      <c r="AE3254" s="2">
        <v>4.88</v>
      </c>
      <c r="AF3254" s="4">
        <v>4.7739498600000001</v>
      </c>
      <c r="AG3254" s="2">
        <v>1.39</v>
      </c>
      <c r="AH3254" s="2">
        <v>9353990.3699999992</v>
      </c>
      <c r="AI3254" s="2">
        <v>0.02</v>
      </c>
      <c r="AJ3254" s="5">
        <v>44673</v>
      </c>
      <c r="AK3254" t="s">
        <v>12650</v>
      </c>
      <c r="AL3254" s="2">
        <v>4.82</v>
      </c>
      <c r="AM3254" s="2">
        <v>7.44</v>
      </c>
      <c r="AN3254" s="2">
        <v>0.15</v>
      </c>
      <c r="AO3254" t="s">
        <v>11054</v>
      </c>
      <c r="AP3254" t="s">
        <v>11787</v>
      </c>
      <c r="AQ3254" t="s">
        <v>11786</v>
      </c>
    </row>
    <row r="3255" spans="1:43" x14ac:dyDescent="0.2">
      <c r="A3255" t="s">
        <v>12649</v>
      </c>
      <c r="B3255" t="s">
        <v>10900</v>
      </c>
      <c r="C3255" t="s">
        <v>11049</v>
      </c>
      <c r="D3255" t="s">
        <v>11956</v>
      </c>
      <c r="E3255" t="s">
        <v>11957</v>
      </c>
      <c r="F3255" t="s">
        <v>11956</v>
      </c>
      <c r="G3255" s="1">
        <v>5000000</v>
      </c>
      <c r="H3255" s="2">
        <v>5000000</v>
      </c>
      <c r="I3255" s="2">
        <v>5011549.66</v>
      </c>
      <c r="J3255" s="2">
        <v>53388.9</v>
      </c>
      <c r="K3255" s="2">
        <v>0</v>
      </c>
      <c r="L3255" s="2">
        <v>5064938.5599999996</v>
      </c>
      <c r="M3255" s="3">
        <v>5.1338650000000001</v>
      </c>
      <c r="N3255" s="4">
        <v>1.152328E-2</v>
      </c>
      <c r="O3255" s="5">
        <v>44697</v>
      </c>
      <c r="P3255" s="5">
        <v>44788</v>
      </c>
      <c r="Q3255" s="1">
        <v>5.8170000000000002</v>
      </c>
      <c r="R3255" s="2">
        <v>0.06</v>
      </c>
      <c r="S3255" s="6">
        <v>5.3630172561E-2</v>
      </c>
      <c r="T3255" t="s">
        <v>111</v>
      </c>
      <c r="U3255" t="s">
        <v>111</v>
      </c>
      <c r="V3255" t="s">
        <v>11189</v>
      </c>
      <c r="W3255" t="s">
        <v>43</v>
      </c>
      <c r="X3255" t="s">
        <v>11034</v>
      </c>
      <c r="Y3255" t="s">
        <v>44</v>
      </c>
      <c r="Z3255" t="s">
        <v>44</v>
      </c>
      <c r="AA3255" t="s">
        <v>11225</v>
      </c>
      <c r="AB3255" t="s">
        <v>44</v>
      </c>
      <c r="AC3255" s="4">
        <v>5.1997564000000001</v>
      </c>
      <c r="AD3255" s="4">
        <v>5.0798014499999997</v>
      </c>
      <c r="AE3255" s="2">
        <v>5.2</v>
      </c>
      <c r="AF3255" s="4">
        <v>5.0798014499999997</v>
      </c>
      <c r="AG3255" s="2">
        <v>0.75</v>
      </c>
      <c r="AH3255" s="2">
        <v>5064938.5599999996</v>
      </c>
      <c r="AI3255" s="2">
        <v>0.01</v>
      </c>
      <c r="AJ3255" s="5">
        <v>44673</v>
      </c>
      <c r="AK3255" t="s">
        <v>12650</v>
      </c>
      <c r="AL3255" s="2">
        <v>5.13</v>
      </c>
      <c r="AM3255" s="2">
        <v>5.82</v>
      </c>
      <c r="AN3255" s="2">
        <v>0.05</v>
      </c>
      <c r="AO3255" t="s">
        <v>11817</v>
      </c>
      <c r="AP3255" t="s">
        <v>11958</v>
      </c>
      <c r="AQ3255" t="s">
        <v>11957</v>
      </c>
    </row>
    <row r="3256" spans="1:43" x14ac:dyDescent="0.2">
      <c r="A3256" t="s">
        <v>12649</v>
      </c>
      <c r="B3256" t="s">
        <v>10900</v>
      </c>
      <c r="C3256" t="s">
        <v>11049</v>
      </c>
      <c r="D3256" t="s">
        <v>11463</v>
      </c>
      <c r="E3256" t="s">
        <v>11464</v>
      </c>
      <c r="F3256" t="s">
        <v>11463</v>
      </c>
      <c r="G3256" s="1">
        <v>3100000</v>
      </c>
      <c r="H3256" s="2">
        <v>3100000</v>
      </c>
      <c r="I3256" s="2">
        <v>3112318.45</v>
      </c>
      <c r="J3256" s="2">
        <v>22264.28</v>
      </c>
      <c r="K3256" s="2">
        <v>0</v>
      </c>
      <c r="L3256" s="2">
        <v>3134582.73</v>
      </c>
      <c r="M3256" s="3">
        <v>5.5214679999999996</v>
      </c>
      <c r="N3256" s="4">
        <v>7.1315099999999998E-3</v>
      </c>
      <c r="O3256" s="5">
        <v>44733</v>
      </c>
      <c r="P3256" s="5">
        <v>44733</v>
      </c>
      <c r="Q3256" s="1">
        <v>8.1920000000000002</v>
      </c>
      <c r="R3256" s="2">
        <v>0.16</v>
      </c>
      <c r="S3256" s="6">
        <v>0.14786153473499999</v>
      </c>
      <c r="T3256" t="s">
        <v>111</v>
      </c>
      <c r="U3256" t="s">
        <v>111</v>
      </c>
      <c r="V3256" t="s">
        <v>11189</v>
      </c>
      <c r="W3256" t="s">
        <v>43</v>
      </c>
      <c r="X3256" t="s">
        <v>11034</v>
      </c>
      <c r="Y3256" t="s">
        <v>44</v>
      </c>
      <c r="Z3256" t="s">
        <v>44</v>
      </c>
      <c r="AA3256" t="s">
        <v>11035</v>
      </c>
      <c r="AB3256" t="s">
        <v>11465</v>
      </c>
      <c r="AC3256" s="4">
        <v>5.5976845400000004</v>
      </c>
      <c r="AD3256" s="4">
        <v>5.4590052800000004</v>
      </c>
      <c r="AE3256" s="2">
        <v>5.6</v>
      </c>
      <c r="AF3256" s="4">
        <v>5.4590052800000004</v>
      </c>
      <c r="AG3256" s="2">
        <v>0.46</v>
      </c>
      <c r="AH3256" s="2">
        <v>3134582.73</v>
      </c>
      <c r="AI3256" s="2">
        <v>0.01</v>
      </c>
      <c r="AJ3256" s="5">
        <v>44673</v>
      </c>
      <c r="AK3256" t="s">
        <v>12650</v>
      </c>
      <c r="AL3256" s="2">
        <v>5.52</v>
      </c>
      <c r="AM3256" s="2">
        <v>8.19</v>
      </c>
      <c r="AN3256" s="2">
        <v>0.15</v>
      </c>
      <c r="AO3256" t="s">
        <v>11053</v>
      </c>
      <c r="AP3256" t="s">
        <v>11466</v>
      </c>
      <c r="AQ3256" t="s">
        <v>11464</v>
      </c>
    </row>
    <row r="3257" spans="1:43" x14ac:dyDescent="0.2">
      <c r="A3257" t="s">
        <v>12649</v>
      </c>
      <c r="B3257" t="s">
        <v>10900</v>
      </c>
      <c r="C3257" t="s">
        <v>11049</v>
      </c>
      <c r="D3257" t="s">
        <v>11471</v>
      </c>
      <c r="E3257" t="s">
        <v>11472</v>
      </c>
      <c r="F3257" t="s">
        <v>11471</v>
      </c>
      <c r="G3257" s="1">
        <v>25900000</v>
      </c>
      <c r="H3257" s="2">
        <v>25899680.350000001</v>
      </c>
      <c r="I3257" s="2">
        <v>25898049.73</v>
      </c>
      <c r="J3257" s="2">
        <v>645867.94999999995</v>
      </c>
      <c r="K3257" s="2">
        <v>0</v>
      </c>
      <c r="L3257" s="2">
        <v>26543917.68</v>
      </c>
      <c r="M3257" s="3">
        <v>7.4</v>
      </c>
      <c r="N3257" s="4">
        <v>6.0390270000000003E-2</v>
      </c>
      <c r="O3257" s="5">
        <v>44733</v>
      </c>
      <c r="P3257" s="5">
        <v>44916</v>
      </c>
      <c r="Q3257" s="1">
        <v>7.4</v>
      </c>
      <c r="R3257" s="2">
        <v>0.64</v>
      </c>
      <c r="S3257" s="6">
        <v>0.61596285799999995</v>
      </c>
      <c r="T3257" t="s">
        <v>111</v>
      </c>
      <c r="U3257" t="s">
        <v>111</v>
      </c>
      <c r="V3257" t="s">
        <v>114</v>
      </c>
      <c r="W3257" t="s">
        <v>43</v>
      </c>
      <c r="X3257" t="s">
        <v>10988</v>
      </c>
      <c r="Y3257" t="s">
        <v>44</v>
      </c>
      <c r="Z3257" t="s">
        <v>44</v>
      </c>
      <c r="AA3257" t="s">
        <v>10913</v>
      </c>
      <c r="AB3257" t="s">
        <v>44</v>
      </c>
      <c r="AC3257" s="4">
        <v>7.5369000000000002</v>
      </c>
      <c r="AD3257" s="4">
        <v>7.2884304699999998</v>
      </c>
      <c r="AE3257" s="2">
        <v>7.54</v>
      </c>
      <c r="AF3257" s="4">
        <v>7.2884304699999998</v>
      </c>
      <c r="AG3257" s="2">
        <v>3.93</v>
      </c>
      <c r="AH3257" s="2">
        <v>26543917.68</v>
      </c>
      <c r="AI3257" s="2">
        <v>0.06</v>
      </c>
      <c r="AJ3257" s="5">
        <v>44673</v>
      </c>
      <c r="AK3257" t="s">
        <v>12650</v>
      </c>
      <c r="AL3257" s="2">
        <v>7.4</v>
      </c>
      <c r="AM3257" s="2">
        <v>7.4</v>
      </c>
      <c r="AN3257" s="2">
        <v>0.62</v>
      </c>
      <c r="AO3257" t="s">
        <v>10922</v>
      </c>
      <c r="AP3257" t="s">
        <v>11473</v>
      </c>
      <c r="AQ3257" t="s">
        <v>11472</v>
      </c>
    </row>
    <row r="3258" spans="1:43" x14ac:dyDescent="0.2">
      <c r="A3258" t="s">
        <v>12649</v>
      </c>
      <c r="B3258" t="s">
        <v>10900</v>
      </c>
      <c r="C3258" t="s">
        <v>11049</v>
      </c>
      <c r="D3258" t="s">
        <v>11474</v>
      </c>
      <c r="E3258" t="s">
        <v>11475</v>
      </c>
      <c r="F3258" t="s">
        <v>11474</v>
      </c>
      <c r="G3258" s="1">
        <v>21800000</v>
      </c>
      <c r="H3258" s="2">
        <v>21800000</v>
      </c>
      <c r="I3258" s="2">
        <v>21799516.039999999</v>
      </c>
      <c r="J3258" s="2">
        <v>354091.73</v>
      </c>
      <c r="K3258" s="2">
        <v>0</v>
      </c>
      <c r="L3258" s="2">
        <v>22153607.77</v>
      </c>
      <c r="M3258" s="3">
        <v>7.23</v>
      </c>
      <c r="N3258" s="4">
        <v>5.0401840000000003E-2</v>
      </c>
      <c r="O3258" s="5">
        <v>44773</v>
      </c>
      <c r="P3258" s="5">
        <v>44773</v>
      </c>
      <c r="Q3258" s="1">
        <v>7.23</v>
      </c>
      <c r="R3258" s="2">
        <v>0.27</v>
      </c>
      <c r="S3258" s="6">
        <v>0.26074350600000001</v>
      </c>
      <c r="T3258" t="s">
        <v>111</v>
      </c>
      <c r="U3258" t="s">
        <v>111</v>
      </c>
      <c r="V3258" t="s">
        <v>10944</v>
      </c>
      <c r="W3258" t="s">
        <v>43</v>
      </c>
      <c r="X3258" t="s">
        <v>44</v>
      </c>
      <c r="Y3258" t="s">
        <v>44</v>
      </c>
      <c r="Z3258" t="s">
        <v>44</v>
      </c>
      <c r="AA3258" t="s">
        <v>10913</v>
      </c>
      <c r="AB3258" t="s">
        <v>44</v>
      </c>
      <c r="AC3258" s="4">
        <v>7.36068225</v>
      </c>
      <c r="AD3258" s="4">
        <v>7.1234440000000001</v>
      </c>
      <c r="AE3258" s="2">
        <v>7.36</v>
      </c>
      <c r="AF3258" s="4">
        <v>7.1234440000000001</v>
      </c>
      <c r="AG3258" s="2">
        <v>3.28</v>
      </c>
      <c r="AH3258" s="2">
        <v>22153607.77</v>
      </c>
      <c r="AI3258" s="2">
        <v>0.05</v>
      </c>
      <c r="AJ3258" s="5">
        <v>44673</v>
      </c>
      <c r="AK3258" t="s">
        <v>12650</v>
      </c>
      <c r="AL3258" s="2">
        <v>7.23</v>
      </c>
      <c r="AM3258" s="2">
        <v>7.23</v>
      </c>
      <c r="AN3258" s="2">
        <v>0.26</v>
      </c>
      <c r="AO3258" t="s">
        <v>10922</v>
      </c>
      <c r="AP3258" t="s">
        <v>11476</v>
      </c>
      <c r="AQ3258" t="s">
        <v>11475</v>
      </c>
    </row>
    <row r="3259" spans="1:43" x14ac:dyDescent="0.2">
      <c r="A3259" t="s">
        <v>12649</v>
      </c>
      <c r="B3259" t="s">
        <v>10900</v>
      </c>
      <c r="C3259" t="s">
        <v>11049</v>
      </c>
      <c r="D3259" t="s">
        <v>11794</v>
      </c>
      <c r="E3259" t="s">
        <v>11795</v>
      </c>
      <c r="F3259" t="s">
        <v>11794</v>
      </c>
      <c r="G3259" s="1">
        <v>3300000</v>
      </c>
      <c r="H3259" s="2">
        <v>3299967.87</v>
      </c>
      <c r="I3259" s="2">
        <v>3300370.19</v>
      </c>
      <c r="J3259" s="2">
        <v>41946.71</v>
      </c>
      <c r="K3259" s="2">
        <v>0</v>
      </c>
      <c r="L3259" s="2">
        <v>3342316.9</v>
      </c>
      <c r="M3259" s="3">
        <v>4.7002220000000001</v>
      </c>
      <c r="N3259" s="4">
        <v>7.6041299999999997E-3</v>
      </c>
      <c r="O3259" s="5">
        <v>44680</v>
      </c>
      <c r="P3259" s="5">
        <v>44680</v>
      </c>
      <c r="Q3259" s="1">
        <v>5.6580000000000004</v>
      </c>
      <c r="R3259" s="2">
        <v>0.01</v>
      </c>
      <c r="S3259" s="6">
        <v>1.0461427896999999E-2</v>
      </c>
      <c r="T3259" t="s">
        <v>111</v>
      </c>
      <c r="U3259" t="s">
        <v>111</v>
      </c>
      <c r="V3259" t="s">
        <v>11189</v>
      </c>
      <c r="W3259" t="s">
        <v>43</v>
      </c>
      <c r="X3259" t="s">
        <v>11034</v>
      </c>
      <c r="Y3259" t="s">
        <v>44</v>
      </c>
      <c r="Z3259" t="s">
        <v>44</v>
      </c>
      <c r="AA3259" t="s">
        <v>44</v>
      </c>
      <c r="AB3259" t="s">
        <v>11225</v>
      </c>
      <c r="AC3259" s="4">
        <v>4.7554521300000001</v>
      </c>
      <c r="AD3259" s="4">
        <v>4.6548469299999997</v>
      </c>
      <c r="AE3259" s="2">
        <v>4.76</v>
      </c>
      <c r="AF3259" s="4">
        <v>4.6548469299999997</v>
      </c>
      <c r="AG3259" s="2">
        <v>0.49</v>
      </c>
      <c r="AH3259" s="2">
        <v>3342316.9</v>
      </c>
      <c r="AI3259" s="2">
        <v>0.01</v>
      </c>
      <c r="AJ3259" s="5">
        <v>44673</v>
      </c>
      <c r="AK3259" t="s">
        <v>12650</v>
      </c>
      <c r="AL3259" s="2">
        <v>4.7</v>
      </c>
      <c r="AM3259" s="2">
        <v>5.66</v>
      </c>
      <c r="AN3259" s="2">
        <v>0.01</v>
      </c>
      <c r="AO3259" t="s">
        <v>11527</v>
      </c>
      <c r="AP3259" t="s">
        <v>11796</v>
      </c>
      <c r="AQ3259" t="s">
        <v>11795</v>
      </c>
    </row>
    <row r="3260" spans="1:43" x14ac:dyDescent="0.2">
      <c r="A3260" t="s">
        <v>12649</v>
      </c>
      <c r="B3260" t="s">
        <v>10900</v>
      </c>
      <c r="C3260" t="s">
        <v>11049</v>
      </c>
      <c r="D3260" t="s">
        <v>11797</v>
      </c>
      <c r="E3260" t="s">
        <v>11798</v>
      </c>
      <c r="F3260" t="s">
        <v>11797</v>
      </c>
      <c r="G3260" s="1">
        <v>14000000</v>
      </c>
      <c r="H3260" s="2">
        <v>14113117.800000001</v>
      </c>
      <c r="I3260" s="2">
        <v>14234030.85</v>
      </c>
      <c r="J3260" s="2">
        <v>86604.77</v>
      </c>
      <c r="K3260" s="2">
        <v>0</v>
      </c>
      <c r="L3260" s="2">
        <v>14320635.619999999</v>
      </c>
      <c r="M3260" s="3">
        <v>5.7687520000000001</v>
      </c>
      <c r="N3260" s="4">
        <v>3.2580989999999997E-2</v>
      </c>
      <c r="O3260" s="5">
        <v>44742</v>
      </c>
      <c r="P3260" s="5">
        <v>44834</v>
      </c>
      <c r="Q3260" s="1">
        <v>9.8170000000000002</v>
      </c>
      <c r="R3260" s="2">
        <v>0.18</v>
      </c>
      <c r="S3260" s="6">
        <v>0.17046604942900001</v>
      </c>
      <c r="T3260" t="s">
        <v>111</v>
      </c>
      <c r="U3260" t="s">
        <v>111</v>
      </c>
      <c r="V3260" t="s">
        <v>11189</v>
      </c>
      <c r="W3260" t="s">
        <v>43</v>
      </c>
      <c r="X3260" t="s">
        <v>11034</v>
      </c>
      <c r="Y3260" t="s">
        <v>44</v>
      </c>
      <c r="Z3260" t="s">
        <v>44</v>
      </c>
      <c r="AA3260" t="s">
        <v>11035</v>
      </c>
      <c r="AB3260" t="s">
        <v>2680</v>
      </c>
      <c r="AC3260" s="4">
        <v>5.8519482600000003</v>
      </c>
      <c r="AD3260" s="4">
        <v>5.7006194399999996</v>
      </c>
      <c r="AE3260" s="2">
        <v>5.85</v>
      </c>
      <c r="AF3260" s="4">
        <v>5.7006194399999996</v>
      </c>
      <c r="AG3260" s="2">
        <v>2.12</v>
      </c>
      <c r="AH3260" s="2">
        <v>14320635.619999999</v>
      </c>
      <c r="AI3260" s="2">
        <v>0.03</v>
      </c>
      <c r="AJ3260" s="5">
        <v>44673</v>
      </c>
      <c r="AK3260" t="s">
        <v>12650</v>
      </c>
      <c r="AL3260" s="2">
        <v>5.77</v>
      </c>
      <c r="AM3260" s="2">
        <v>9.82</v>
      </c>
      <c r="AN3260" s="2">
        <v>0.17</v>
      </c>
      <c r="AO3260" t="s">
        <v>11496</v>
      </c>
      <c r="AP3260" t="s">
        <v>11799</v>
      </c>
      <c r="AQ3260" t="s">
        <v>11798</v>
      </c>
    </row>
    <row r="3261" spans="1:43" x14ac:dyDescent="0.2">
      <c r="A3261" t="s">
        <v>12649</v>
      </c>
      <c r="B3261" t="s">
        <v>10900</v>
      </c>
      <c r="C3261" t="s">
        <v>11049</v>
      </c>
      <c r="D3261" t="s">
        <v>11494</v>
      </c>
      <c r="E3261" t="s">
        <v>11495</v>
      </c>
      <c r="F3261" t="s">
        <v>11494</v>
      </c>
      <c r="G3261" s="1">
        <v>400000</v>
      </c>
      <c r="H3261" s="2">
        <v>400000</v>
      </c>
      <c r="I3261" s="2">
        <v>406358.77</v>
      </c>
      <c r="J3261" s="2">
        <v>5445.22</v>
      </c>
      <c r="K3261" s="2">
        <v>0</v>
      </c>
      <c r="L3261" s="2">
        <v>411803.99</v>
      </c>
      <c r="M3261" s="3">
        <v>5.349933</v>
      </c>
      <c r="N3261" s="4">
        <v>9.3689999999999995E-4</v>
      </c>
      <c r="O3261" s="5">
        <v>44694</v>
      </c>
      <c r="P3261" s="5">
        <v>44970</v>
      </c>
      <c r="Q3261" s="1">
        <v>7.3070000000000004</v>
      </c>
      <c r="R3261" s="2">
        <v>0.05</v>
      </c>
      <c r="S3261" s="6">
        <v>4.8092249657999998E-2</v>
      </c>
      <c r="T3261" t="s">
        <v>111</v>
      </c>
      <c r="U3261" t="s">
        <v>111</v>
      </c>
      <c r="V3261" t="s">
        <v>11189</v>
      </c>
      <c r="W3261" t="s">
        <v>43</v>
      </c>
      <c r="X3261" t="s">
        <v>11034</v>
      </c>
      <c r="Y3261" t="s">
        <v>44</v>
      </c>
      <c r="Z3261" t="s">
        <v>44</v>
      </c>
      <c r="AA3261" t="s">
        <v>11035</v>
      </c>
      <c r="AB3261" t="s">
        <v>44</v>
      </c>
      <c r="AC3261" s="4">
        <v>5.4214878100000004</v>
      </c>
      <c r="AD3261" s="4">
        <v>5.2912612699999997</v>
      </c>
      <c r="AE3261" s="2">
        <v>5.42</v>
      </c>
      <c r="AF3261" s="4">
        <v>5.2912612699999997</v>
      </c>
      <c r="AG3261" s="2">
        <v>0.06</v>
      </c>
      <c r="AH3261" s="2">
        <v>411803.99</v>
      </c>
      <c r="AI3261" s="2">
        <v>0</v>
      </c>
      <c r="AJ3261" s="5">
        <v>44673</v>
      </c>
      <c r="AK3261" t="s">
        <v>12650</v>
      </c>
      <c r="AL3261" s="2">
        <v>5.35</v>
      </c>
      <c r="AM3261" s="2">
        <v>7.31</v>
      </c>
      <c r="AN3261" s="2">
        <v>0.05</v>
      </c>
      <c r="AO3261" t="s">
        <v>11496</v>
      </c>
      <c r="AP3261" t="s">
        <v>11497</v>
      </c>
      <c r="AQ3261" t="s">
        <v>11495</v>
      </c>
    </row>
    <row r="3262" spans="1:43" x14ac:dyDescent="0.2">
      <c r="A3262" t="s">
        <v>12649</v>
      </c>
      <c r="B3262" t="s">
        <v>10900</v>
      </c>
      <c r="C3262" t="s">
        <v>11033</v>
      </c>
      <c r="D3262" t="s">
        <v>11803</v>
      </c>
      <c r="E3262" t="s">
        <v>11804</v>
      </c>
      <c r="F3262" t="s">
        <v>11803</v>
      </c>
      <c r="G3262" s="1">
        <v>6000000</v>
      </c>
      <c r="H3262" s="2">
        <v>6000000</v>
      </c>
      <c r="I3262" s="2">
        <v>6071363.6900000004</v>
      </c>
      <c r="J3262" s="2">
        <v>59181.04</v>
      </c>
      <c r="K3262" s="2">
        <v>0</v>
      </c>
      <c r="L3262" s="2">
        <v>6130544.7300000004</v>
      </c>
      <c r="M3262" s="3">
        <v>5.9316740000000001</v>
      </c>
      <c r="N3262" s="4">
        <v>1.3947650000000001E-2</v>
      </c>
      <c r="O3262" s="5">
        <v>44711</v>
      </c>
      <c r="P3262" s="5">
        <v>45259</v>
      </c>
      <c r="Q3262" s="1">
        <v>6.6669999999999998</v>
      </c>
      <c r="R3262" s="2">
        <v>0.1</v>
      </c>
      <c r="S3262" s="6">
        <v>8.3360787894999996E-2</v>
      </c>
      <c r="T3262" t="s">
        <v>111</v>
      </c>
      <c r="U3262" t="s">
        <v>111</v>
      </c>
      <c r="V3262" t="s">
        <v>11189</v>
      </c>
      <c r="W3262" t="s">
        <v>43</v>
      </c>
      <c r="X3262" t="s">
        <v>11034</v>
      </c>
      <c r="Y3262" t="s">
        <v>44</v>
      </c>
      <c r="Z3262" t="s">
        <v>44</v>
      </c>
      <c r="AA3262" t="s">
        <v>10979</v>
      </c>
      <c r="AB3262" t="s">
        <v>44</v>
      </c>
      <c r="AC3262" s="4">
        <v>6.0196354200000002</v>
      </c>
      <c r="AD3262" s="4">
        <v>5.8596732400000002</v>
      </c>
      <c r="AE3262" s="2">
        <v>6.02</v>
      </c>
      <c r="AF3262" s="4">
        <v>5.8596732400000002</v>
      </c>
      <c r="AG3262" s="2">
        <v>0.91</v>
      </c>
      <c r="AH3262" s="2">
        <v>6130544.7300000004</v>
      </c>
      <c r="AI3262" s="2">
        <v>0.01</v>
      </c>
      <c r="AJ3262" s="5">
        <v>44673</v>
      </c>
      <c r="AK3262" t="s">
        <v>12650</v>
      </c>
      <c r="AL3262" s="2">
        <v>5.93</v>
      </c>
      <c r="AM3262" s="2">
        <v>6.67</v>
      </c>
      <c r="AN3262" s="2">
        <v>0.08</v>
      </c>
      <c r="AO3262" t="s">
        <v>11165</v>
      </c>
      <c r="AP3262" t="s">
        <v>11805</v>
      </c>
      <c r="AQ3262" t="s">
        <v>11804</v>
      </c>
    </row>
    <row r="3263" spans="1:43" x14ac:dyDescent="0.2">
      <c r="A3263" t="s">
        <v>12649</v>
      </c>
      <c r="B3263" t="s">
        <v>10900</v>
      </c>
      <c r="C3263" t="s">
        <v>11033</v>
      </c>
      <c r="D3263" t="s">
        <v>11806</v>
      </c>
      <c r="E3263" t="s">
        <v>11807</v>
      </c>
      <c r="F3263" t="s">
        <v>11806</v>
      </c>
      <c r="G3263" s="1">
        <v>7300000</v>
      </c>
      <c r="H3263" s="2">
        <v>7295012.1799999997</v>
      </c>
      <c r="I3263" s="2">
        <v>7386265.4199999999</v>
      </c>
      <c r="J3263" s="2">
        <v>16279.2</v>
      </c>
      <c r="K3263" s="2">
        <v>0</v>
      </c>
      <c r="L3263" s="2">
        <v>7402544.6200000001</v>
      </c>
      <c r="M3263" s="3">
        <v>6.0434890000000001</v>
      </c>
      <c r="N3263" s="4">
        <v>1.684159E-2</v>
      </c>
      <c r="O3263" s="5">
        <v>44753</v>
      </c>
      <c r="P3263" s="5">
        <v>45393</v>
      </c>
      <c r="Q3263" s="1">
        <v>6.7830000000000004</v>
      </c>
      <c r="R3263" s="2">
        <v>0.21</v>
      </c>
      <c r="S3263" s="6">
        <v>0.19079709986500001</v>
      </c>
      <c r="T3263" t="s">
        <v>111</v>
      </c>
      <c r="U3263" t="s">
        <v>111</v>
      </c>
      <c r="V3263" t="s">
        <v>11189</v>
      </c>
      <c r="W3263" t="s">
        <v>43</v>
      </c>
      <c r="X3263" t="s">
        <v>11034</v>
      </c>
      <c r="Y3263" t="s">
        <v>44</v>
      </c>
      <c r="Z3263" t="s">
        <v>44</v>
      </c>
      <c r="AA3263" t="s">
        <v>10979</v>
      </c>
      <c r="AB3263" t="s">
        <v>44</v>
      </c>
      <c r="AC3263" s="4">
        <v>6.1347979300000004</v>
      </c>
      <c r="AD3263" s="4">
        <v>5.9687731099999999</v>
      </c>
      <c r="AE3263" s="2">
        <v>6.13</v>
      </c>
      <c r="AF3263" s="4">
        <v>5.9687731099999999</v>
      </c>
      <c r="AG3263" s="2">
        <v>1.1000000000000001</v>
      </c>
      <c r="AH3263" s="2">
        <v>7402544.6200000001</v>
      </c>
      <c r="AI3263" s="2">
        <v>0.02</v>
      </c>
      <c r="AJ3263" s="5">
        <v>44673</v>
      </c>
      <c r="AK3263" t="s">
        <v>12650</v>
      </c>
      <c r="AL3263" s="2">
        <v>6.04</v>
      </c>
      <c r="AM3263" s="2">
        <v>6.78</v>
      </c>
      <c r="AN3263" s="2">
        <v>0.19</v>
      </c>
      <c r="AO3263" t="s">
        <v>11165</v>
      </c>
      <c r="AP3263" t="s">
        <v>11808</v>
      </c>
      <c r="AQ3263" t="s">
        <v>11807</v>
      </c>
    </row>
    <row r="3264" spans="1:43" x14ac:dyDescent="0.2">
      <c r="A3264" t="s">
        <v>12649</v>
      </c>
      <c r="B3264" t="s">
        <v>10900</v>
      </c>
      <c r="C3264" t="s">
        <v>11033</v>
      </c>
      <c r="D3264" t="s">
        <v>11501</v>
      </c>
      <c r="E3264" t="s">
        <v>11502</v>
      </c>
      <c r="F3264" t="s">
        <v>11501</v>
      </c>
      <c r="G3264" s="1">
        <v>20000000</v>
      </c>
      <c r="H3264" s="2">
        <v>20000000</v>
      </c>
      <c r="I3264" s="2">
        <v>20040030.620000001</v>
      </c>
      <c r="J3264" s="2">
        <v>71894.789999999994</v>
      </c>
      <c r="K3264" s="2">
        <v>0</v>
      </c>
      <c r="L3264" s="2">
        <v>20111925.41</v>
      </c>
      <c r="M3264" s="3">
        <v>5.2487519999999996</v>
      </c>
      <c r="N3264" s="4">
        <v>4.57568E-2</v>
      </c>
      <c r="O3264" s="5">
        <v>44742</v>
      </c>
      <c r="P3264" s="5">
        <v>45383</v>
      </c>
      <c r="Q3264" s="1">
        <v>5.4669999999999996</v>
      </c>
      <c r="R3264" s="2">
        <v>0.18</v>
      </c>
      <c r="S3264" s="6">
        <v>0.16209118744199999</v>
      </c>
      <c r="T3264" t="s">
        <v>111</v>
      </c>
      <c r="U3264" t="s">
        <v>111</v>
      </c>
      <c r="V3264" t="s">
        <v>11189</v>
      </c>
      <c r="W3264" t="s">
        <v>43</v>
      </c>
      <c r="X3264" t="s">
        <v>11034</v>
      </c>
      <c r="Y3264" t="s">
        <v>44</v>
      </c>
      <c r="Z3264" t="s">
        <v>44</v>
      </c>
      <c r="AA3264" t="s">
        <v>10979</v>
      </c>
      <c r="AB3264" t="s">
        <v>44</v>
      </c>
      <c r="AC3264" s="4">
        <v>5.3176255100000001</v>
      </c>
      <c r="AD3264" s="4">
        <v>5.1922611500000002</v>
      </c>
      <c r="AE3264" s="2">
        <v>5.32</v>
      </c>
      <c r="AF3264" s="4">
        <v>5.1922611500000002</v>
      </c>
      <c r="AG3264" s="2">
        <v>2.98</v>
      </c>
      <c r="AH3264" s="2">
        <v>20111925.41</v>
      </c>
      <c r="AI3264" s="2">
        <v>0.05</v>
      </c>
      <c r="AJ3264" s="5">
        <v>44673</v>
      </c>
      <c r="AK3264" t="s">
        <v>12650</v>
      </c>
      <c r="AL3264" s="2">
        <v>5.25</v>
      </c>
      <c r="AM3264" s="2">
        <v>5.47</v>
      </c>
      <c r="AN3264" s="2">
        <v>0.16</v>
      </c>
      <c r="AO3264" t="s">
        <v>11165</v>
      </c>
      <c r="AP3264" t="s">
        <v>11503</v>
      </c>
      <c r="AQ3264" t="s">
        <v>11502</v>
      </c>
    </row>
    <row r="3265" spans="1:43" x14ac:dyDescent="0.2">
      <c r="A3265" t="s">
        <v>12649</v>
      </c>
      <c r="B3265" t="s">
        <v>10900</v>
      </c>
      <c r="C3265" t="s">
        <v>11033</v>
      </c>
      <c r="D3265" t="s">
        <v>11809</v>
      </c>
      <c r="E3265" t="s">
        <v>11810</v>
      </c>
      <c r="F3265" t="s">
        <v>11809</v>
      </c>
      <c r="G3265" s="1">
        <v>2300000</v>
      </c>
      <c r="H3265" s="2">
        <v>2318221.06</v>
      </c>
      <c r="I3265" s="2">
        <v>2334199.1</v>
      </c>
      <c r="J3265" s="2">
        <v>23455.09</v>
      </c>
      <c r="K3265" s="2">
        <v>0</v>
      </c>
      <c r="L3265" s="2">
        <v>2357654.19</v>
      </c>
      <c r="M3265" s="3">
        <v>5.5530569999999999</v>
      </c>
      <c r="N3265" s="4">
        <v>5.3639200000000003E-3</v>
      </c>
      <c r="O3265" s="5">
        <v>44704</v>
      </c>
      <c r="P3265" s="5">
        <v>45617</v>
      </c>
      <c r="Q3265" s="1">
        <v>6.1020000000000003</v>
      </c>
      <c r="R3265" s="2">
        <v>0.08</v>
      </c>
      <c r="S3265" s="6">
        <v>7.0564055134000006E-2</v>
      </c>
      <c r="T3265" t="s">
        <v>111</v>
      </c>
      <c r="U3265" t="s">
        <v>111</v>
      </c>
      <c r="V3265" t="s">
        <v>11189</v>
      </c>
      <c r="W3265" t="s">
        <v>43</v>
      </c>
      <c r="X3265" t="s">
        <v>11034</v>
      </c>
      <c r="Y3265" t="s">
        <v>44</v>
      </c>
      <c r="Z3265" t="s">
        <v>44</v>
      </c>
      <c r="AA3265" t="s">
        <v>11441</v>
      </c>
      <c r="AB3265" t="s">
        <v>44</v>
      </c>
      <c r="AC3265" s="4">
        <v>5.63014803</v>
      </c>
      <c r="AD3265" s="4">
        <v>5.4898834000000001</v>
      </c>
      <c r="AE3265" s="2">
        <v>5.63</v>
      </c>
      <c r="AF3265" s="4">
        <v>5.4898834000000001</v>
      </c>
      <c r="AG3265" s="2">
        <v>0.35</v>
      </c>
      <c r="AH3265" s="2">
        <v>2357654.19</v>
      </c>
      <c r="AI3265" s="2">
        <v>0.01</v>
      </c>
      <c r="AJ3265" s="5">
        <v>44673</v>
      </c>
      <c r="AK3265" t="s">
        <v>12650</v>
      </c>
      <c r="AL3265" s="2">
        <v>5.55</v>
      </c>
      <c r="AM3265" s="2">
        <v>6.1</v>
      </c>
      <c r="AN3265" s="2">
        <v>7.0000000000000007E-2</v>
      </c>
      <c r="AO3265" t="s">
        <v>11520</v>
      </c>
      <c r="AP3265" t="s">
        <v>11811</v>
      </c>
      <c r="AQ3265" t="s">
        <v>11810</v>
      </c>
    </row>
    <row r="3266" spans="1:43" x14ac:dyDescent="0.2">
      <c r="A3266" t="s">
        <v>12649</v>
      </c>
      <c r="B3266" t="s">
        <v>10900</v>
      </c>
      <c r="C3266" t="s">
        <v>11033</v>
      </c>
      <c r="D3266" t="s">
        <v>11518</v>
      </c>
      <c r="E3266" t="s">
        <v>11519</v>
      </c>
      <c r="F3266" t="s">
        <v>11518</v>
      </c>
      <c r="G3266" s="1">
        <v>10200000</v>
      </c>
      <c r="H3266" s="2">
        <v>10200000</v>
      </c>
      <c r="I3266" s="2">
        <v>10232363.48</v>
      </c>
      <c r="J3266" s="2">
        <v>106404.72</v>
      </c>
      <c r="K3266" s="2">
        <v>0</v>
      </c>
      <c r="L3266" s="2">
        <v>10338768.199999999</v>
      </c>
      <c r="M3266" s="3">
        <v>6.0730570000000004</v>
      </c>
      <c r="N3266" s="4">
        <v>2.3521810000000001E-2</v>
      </c>
      <c r="O3266" s="5">
        <v>44704</v>
      </c>
      <c r="P3266" s="5">
        <v>45159</v>
      </c>
      <c r="Q3266" s="1">
        <v>6.242</v>
      </c>
      <c r="R3266" s="2">
        <v>0.08</v>
      </c>
      <c r="S3266" s="6">
        <v>5.9720457003999999E-2</v>
      </c>
      <c r="T3266" t="s">
        <v>111</v>
      </c>
      <c r="U3266" t="s">
        <v>111</v>
      </c>
      <c r="V3266" t="s">
        <v>11189</v>
      </c>
      <c r="W3266" t="s">
        <v>43</v>
      </c>
      <c r="X3266" t="s">
        <v>11034</v>
      </c>
      <c r="Y3266" t="s">
        <v>44</v>
      </c>
      <c r="Z3266" t="s">
        <v>44</v>
      </c>
      <c r="AA3266" t="s">
        <v>11441</v>
      </c>
      <c r="AB3266" t="s">
        <v>44</v>
      </c>
      <c r="AC3266" s="4">
        <v>6.1652619800000004</v>
      </c>
      <c r="AD3266" s="4">
        <v>5.9976152599999999</v>
      </c>
      <c r="AE3266" s="2">
        <v>6.17</v>
      </c>
      <c r="AF3266" s="4">
        <v>5.9976152599999999</v>
      </c>
      <c r="AG3266" s="2">
        <v>1.53</v>
      </c>
      <c r="AH3266" s="2">
        <v>10338768.199999999</v>
      </c>
      <c r="AI3266" s="2">
        <v>0.02</v>
      </c>
      <c r="AJ3266" s="5">
        <v>44673</v>
      </c>
      <c r="AK3266" t="s">
        <v>12650</v>
      </c>
      <c r="AL3266" s="2">
        <v>6.07</v>
      </c>
      <c r="AM3266" s="2">
        <v>6.24</v>
      </c>
      <c r="AN3266" s="2">
        <v>0.06</v>
      </c>
      <c r="AO3266" t="s">
        <v>11520</v>
      </c>
      <c r="AP3266" t="s">
        <v>11521</v>
      </c>
      <c r="AQ3266" t="s">
        <v>11519</v>
      </c>
    </row>
    <row r="3267" spans="1:43" x14ac:dyDescent="0.2">
      <c r="A3267" t="s">
        <v>12649</v>
      </c>
      <c r="B3267" t="s">
        <v>10900</v>
      </c>
      <c r="C3267" t="s">
        <v>11033</v>
      </c>
      <c r="D3267" t="s">
        <v>11059</v>
      </c>
      <c r="E3267" t="s">
        <v>11060</v>
      </c>
      <c r="F3267" t="s">
        <v>11059</v>
      </c>
      <c r="G3267" s="1">
        <v>11463000</v>
      </c>
      <c r="H3267" s="2">
        <v>12420522.76</v>
      </c>
      <c r="I3267" s="2">
        <v>12282096.689999999</v>
      </c>
      <c r="J3267" s="2">
        <v>452395.93</v>
      </c>
      <c r="K3267" s="2">
        <v>0</v>
      </c>
      <c r="L3267" s="2">
        <v>12734492.619999999</v>
      </c>
      <c r="M3267" s="3">
        <v>7.69</v>
      </c>
      <c r="N3267" s="4">
        <v>2.8972339999999999E-2</v>
      </c>
      <c r="O3267" s="5">
        <v>44722</v>
      </c>
      <c r="P3267" s="5">
        <v>45636</v>
      </c>
      <c r="Q3267" s="1">
        <v>10.75</v>
      </c>
      <c r="R3267" s="2">
        <v>2.2799999999999998</v>
      </c>
      <c r="S3267" s="6">
        <v>2.1998010890000002</v>
      </c>
      <c r="T3267" t="s">
        <v>111</v>
      </c>
      <c r="U3267" t="s">
        <v>111</v>
      </c>
      <c r="V3267" t="s">
        <v>10944</v>
      </c>
      <c r="W3267" t="s">
        <v>43</v>
      </c>
      <c r="X3267" t="s">
        <v>10988</v>
      </c>
      <c r="Y3267" t="s">
        <v>44</v>
      </c>
      <c r="Z3267" t="s">
        <v>44</v>
      </c>
      <c r="AA3267" t="s">
        <v>10979</v>
      </c>
      <c r="AB3267" t="s">
        <v>44</v>
      </c>
      <c r="AC3267" s="4">
        <v>7.8378402500000002</v>
      </c>
      <c r="AD3267" s="4">
        <v>7.5696180699999998</v>
      </c>
      <c r="AE3267" s="2">
        <v>7.84</v>
      </c>
      <c r="AF3267" s="4">
        <v>7.5696180699999998</v>
      </c>
      <c r="AG3267" s="2">
        <v>1.89</v>
      </c>
      <c r="AH3267" s="2">
        <v>12734492.619999999</v>
      </c>
      <c r="AI3267" s="2">
        <v>0.03</v>
      </c>
      <c r="AJ3267" s="5">
        <v>44673</v>
      </c>
      <c r="AK3267" t="s">
        <v>12650</v>
      </c>
      <c r="AL3267" s="2">
        <v>7.69</v>
      </c>
      <c r="AM3267" s="2">
        <v>10.75</v>
      </c>
      <c r="AN3267" s="2">
        <v>2.2000000000000002</v>
      </c>
      <c r="AO3267" t="s">
        <v>11054</v>
      </c>
      <c r="AP3267" t="s">
        <v>11061</v>
      </c>
      <c r="AQ3267" t="s">
        <v>11060</v>
      </c>
    </row>
    <row r="3268" spans="1:43" x14ac:dyDescent="0.2">
      <c r="A3268" t="s">
        <v>12649</v>
      </c>
      <c r="B3268" t="s">
        <v>10900</v>
      </c>
      <c r="C3268" t="s">
        <v>11033</v>
      </c>
      <c r="D3268" t="s">
        <v>11812</v>
      </c>
      <c r="E3268" t="s">
        <v>11813</v>
      </c>
      <c r="F3268" t="s">
        <v>11812</v>
      </c>
      <c r="G3268" s="1">
        <v>594000</v>
      </c>
      <c r="H3268" s="2">
        <v>7118078.75</v>
      </c>
      <c r="I3268" s="2">
        <v>9413478.6500000004</v>
      </c>
      <c r="J3268" s="2">
        <v>286614.88</v>
      </c>
      <c r="K3268" s="2">
        <v>0</v>
      </c>
      <c r="L3268" s="2">
        <v>9700093.5299999993</v>
      </c>
      <c r="M3268" s="3"/>
      <c r="N3268" s="4">
        <v>2.206876E-2</v>
      </c>
      <c r="O3268" s="5">
        <v>44676</v>
      </c>
      <c r="P3268" s="5">
        <v>45039</v>
      </c>
      <c r="Q3268" s="1">
        <v>6.25</v>
      </c>
      <c r="R3268" s="2">
        <v>2.71</v>
      </c>
      <c r="S3268" s="6">
        <v>2.63</v>
      </c>
      <c r="T3268" t="s">
        <v>111</v>
      </c>
      <c r="U3268" t="s">
        <v>111</v>
      </c>
      <c r="V3268" t="s">
        <v>10944</v>
      </c>
      <c r="W3268" t="s">
        <v>113</v>
      </c>
      <c r="X3268" t="s">
        <v>44</v>
      </c>
      <c r="Y3268" t="s">
        <v>44</v>
      </c>
      <c r="Z3268" t="s">
        <v>44</v>
      </c>
      <c r="AA3268" t="s">
        <v>10979</v>
      </c>
      <c r="AB3268" t="s">
        <v>11465</v>
      </c>
      <c r="AC3268" s="4"/>
      <c r="AD3268" s="4"/>
      <c r="AE3268" s="2">
        <v>0</v>
      </c>
      <c r="AF3268" s="4">
        <v>0</v>
      </c>
      <c r="AG3268" s="2">
        <v>1.44</v>
      </c>
      <c r="AH3268" s="2">
        <v>9700093.5299999993</v>
      </c>
      <c r="AI3268" s="2">
        <v>0.02</v>
      </c>
      <c r="AJ3268" s="5">
        <v>44673</v>
      </c>
      <c r="AK3268" t="s">
        <v>12650</v>
      </c>
      <c r="AL3268" s="2">
        <v>0</v>
      </c>
      <c r="AM3268" s="2">
        <v>6.25</v>
      </c>
      <c r="AN3268" s="2">
        <v>2.63</v>
      </c>
      <c r="AO3268" t="s">
        <v>11054</v>
      </c>
      <c r="AP3268" t="s">
        <v>11814</v>
      </c>
      <c r="AQ3268" t="s">
        <v>11813</v>
      </c>
    </row>
    <row r="3269" spans="1:43" x14ac:dyDescent="0.2">
      <c r="A3269" t="s">
        <v>12649</v>
      </c>
      <c r="B3269" t="s">
        <v>10900</v>
      </c>
      <c r="C3269" t="s">
        <v>11033</v>
      </c>
      <c r="D3269" t="s">
        <v>11815</v>
      </c>
      <c r="E3269" t="s">
        <v>11816</v>
      </c>
      <c r="F3269" t="s">
        <v>11815</v>
      </c>
      <c r="G3269" s="1">
        <v>3600000</v>
      </c>
      <c r="H3269" s="2">
        <v>3600078.68</v>
      </c>
      <c r="I3269" s="2">
        <v>3599808.52</v>
      </c>
      <c r="J3269" s="2">
        <v>40092.06</v>
      </c>
      <c r="K3269" s="2">
        <v>0</v>
      </c>
      <c r="L3269" s="2">
        <v>3639900.58</v>
      </c>
      <c r="M3269" s="3">
        <v>6.1638650000000004</v>
      </c>
      <c r="N3269" s="4">
        <v>8.2811699999999992E-3</v>
      </c>
      <c r="O3269" s="5">
        <v>44697</v>
      </c>
      <c r="P3269" s="5">
        <v>45519</v>
      </c>
      <c r="Q3269" s="1">
        <v>6.0670000000000002</v>
      </c>
      <c r="R3269" s="2">
        <v>0.06</v>
      </c>
      <c r="S3269" s="6">
        <v>2.7386669091000002E-2</v>
      </c>
      <c r="T3269" t="s">
        <v>111</v>
      </c>
      <c r="U3269" t="s">
        <v>111</v>
      </c>
      <c r="V3269" t="s">
        <v>11189</v>
      </c>
      <c r="W3269" t="s">
        <v>43</v>
      </c>
      <c r="X3269" t="s">
        <v>11034</v>
      </c>
      <c r="Y3269" t="s">
        <v>44</v>
      </c>
      <c r="Z3269" t="s">
        <v>44</v>
      </c>
      <c r="AA3269" t="s">
        <v>11225</v>
      </c>
      <c r="AB3269" t="s">
        <v>44</v>
      </c>
      <c r="AC3269" s="4">
        <v>6.2588480500000001</v>
      </c>
      <c r="AD3269" s="4">
        <v>6.0861713799999997</v>
      </c>
      <c r="AE3269" s="2">
        <v>6.26</v>
      </c>
      <c r="AF3269" s="4">
        <v>6.0861713799999997</v>
      </c>
      <c r="AG3269" s="2">
        <v>0.54</v>
      </c>
      <c r="AH3269" s="2">
        <v>3639900.58</v>
      </c>
      <c r="AI3269" s="2">
        <v>0.01</v>
      </c>
      <c r="AJ3269" s="5">
        <v>44673</v>
      </c>
      <c r="AK3269" t="s">
        <v>12650</v>
      </c>
      <c r="AL3269" s="2">
        <v>6.16</v>
      </c>
      <c r="AM3269" s="2">
        <v>6.07</v>
      </c>
      <c r="AN3269" s="2">
        <v>0.03</v>
      </c>
      <c r="AO3269" t="s">
        <v>11817</v>
      </c>
      <c r="AP3269" t="s">
        <v>11818</v>
      </c>
      <c r="AQ3269" t="s">
        <v>11816</v>
      </c>
    </row>
    <row r="3270" spans="1:43" x14ac:dyDescent="0.2">
      <c r="A3270" t="s">
        <v>12649</v>
      </c>
      <c r="B3270" t="s">
        <v>10900</v>
      </c>
      <c r="C3270" t="s">
        <v>11033</v>
      </c>
      <c r="D3270" t="s">
        <v>11819</v>
      </c>
      <c r="E3270" t="s">
        <v>11820</v>
      </c>
      <c r="F3270" t="s">
        <v>11819</v>
      </c>
      <c r="G3270" s="1">
        <v>6400000</v>
      </c>
      <c r="H3270" s="2">
        <v>6370862.21</v>
      </c>
      <c r="I3270" s="2">
        <v>6404011.7800000003</v>
      </c>
      <c r="J3270" s="2">
        <v>26519.15</v>
      </c>
      <c r="K3270" s="2">
        <v>0</v>
      </c>
      <c r="L3270" s="2">
        <v>6430530.9299999997</v>
      </c>
      <c r="M3270" s="3">
        <v>5.6743709999999998</v>
      </c>
      <c r="N3270" s="4">
        <v>1.463015E-2</v>
      </c>
      <c r="O3270" s="5">
        <v>44739</v>
      </c>
      <c r="P3270" s="5">
        <v>45470</v>
      </c>
      <c r="Q3270" s="1">
        <v>5.8170000000000002</v>
      </c>
      <c r="R3270" s="2">
        <v>0.17</v>
      </c>
      <c r="S3270" s="6">
        <v>0.145695338009</v>
      </c>
      <c r="T3270" t="s">
        <v>111</v>
      </c>
      <c r="U3270" t="s">
        <v>111</v>
      </c>
      <c r="V3270" t="s">
        <v>11189</v>
      </c>
      <c r="W3270" t="s">
        <v>43</v>
      </c>
      <c r="X3270" t="s">
        <v>11034</v>
      </c>
      <c r="Y3270" t="s">
        <v>44</v>
      </c>
      <c r="Z3270" t="s">
        <v>44</v>
      </c>
      <c r="AA3270" t="s">
        <v>10913</v>
      </c>
      <c r="AB3270" t="s">
        <v>44</v>
      </c>
      <c r="AC3270" s="4">
        <v>5.7548670399999997</v>
      </c>
      <c r="AD3270" s="4">
        <v>5.6084308399999996</v>
      </c>
      <c r="AE3270" s="2">
        <v>5.75</v>
      </c>
      <c r="AF3270" s="4">
        <v>5.6084308399999996</v>
      </c>
      <c r="AG3270" s="2">
        <v>0.95</v>
      </c>
      <c r="AH3270" s="2">
        <v>6430530.9299999997</v>
      </c>
      <c r="AI3270" s="2">
        <v>0.01</v>
      </c>
      <c r="AJ3270" s="5">
        <v>44673</v>
      </c>
      <c r="AK3270" t="s">
        <v>12650</v>
      </c>
      <c r="AL3270" s="2">
        <v>5.67</v>
      </c>
      <c r="AM3270" s="2">
        <v>5.82</v>
      </c>
      <c r="AN3270" s="2">
        <v>0.15</v>
      </c>
      <c r="AO3270" t="s">
        <v>11563</v>
      </c>
      <c r="AP3270" t="s">
        <v>11821</v>
      </c>
      <c r="AQ3270" t="s">
        <v>11820</v>
      </c>
    </row>
    <row r="3271" spans="1:43" x14ac:dyDescent="0.2">
      <c r="A3271" t="s">
        <v>12649</v>
      </c>
      <c r="B3271" t="s">
        <v>10900</v>
      </c>
      <c r="C3271" t="s">
        <v>11033</v>
      </c>
      <c r="D3271" t="s">
        <v>11822</v>
      </c>
      <c r="E3271" t="s">
        <v>11823</v>
      </c>
      <c r="F3271" t="s">
        <v>11822</v>
      </c>
      <c r="G3271" s="1">
        <v>2400000</v>
      </c>
      <c r="H3271" s="2">
        <v>2397068.98</v>
      </c>
      <c r="I3271" s="2">
        <v>2381445.4700000002</v>
      </c>
      <c r="J3271" s="2">
        <v>26232.720000000001</v>
      </c>
      <c r="K3271" s="2">
        <v>0</v>
      </c>
      <c r="L3271" s="2">
        <v>2407678.19</v>
      </c>
      <c r="M3271" s="3">
        <v>6.4745299999999997</v>
      </c>
      <c r="N3271" s="4">
        <v>5.4777300000000001E-3</v>
      </c>
      <c r="O3271" s="5">
        <v>44693</v>
      </c>
      <c r="P3271" s="5">
        <v>45242</v>
      </c>
      <c r="Q3271" s="1">
        <v>5.867</v>
      </c>
      <c r="R3271" s="2">
        <v>0.05</v>
      </c>
      <c r="S3271" s="6">
        <v>1.5942423563000001E-2</v>
      </c>
      <c r="T3271" t="s">
        <v>111</v>
      </c>
      <c r="U3271" t="s">
        <v>111</v>
      </c>
      <c r="V3271" t="s">
        <v>11189</v>
      </c>
      <c r="W3271" t="s">
        <v>43</v>
      </c>
      <c r="X3271" t="s">
        <v>11034</v>
      </c>
      <c r="Y3271" t="s">
        <v>44</v>
      </c>
      <c r="Z3271" t="s">
        <v>44</v>
      </c>
      <c r="AA3271" t="s">
        <v>10979</v>
      </c>
      <c r="AB3271" t="s">
        <v>44</v>
      </c>
      <c r="AC3271" s="4">
        <v>6.5793283799999998</v>
      </c>
      <c r="AD3271" s="4">
        <v>6.3888862499999997</v>
      </c>
      <c r="AE3271" s="2">
        <v>6.58</v>
      </c>
      <c r="AF3271" s="4">
        <v>6.3888862499999997</v>
      </c>
      <c r="AG3271" s="2">
        <v>0.36</v>
      </c>
      <c r="AH3271" s="2">
        <v>2407678.19</v>
      </c>
      <c r="AI3271" s="2">
        <v>0.01</v>
      </c>
      <c r="AJ3271" s="5">
        <v>44673</v>
      </c>
      <c r="AK3271" t="s">
        <v>12650</v>
      </c>
      <c r="AL3271" s="2">
        <v>6.47</v>
      </c>
      <c r="AM3271" s="2">
        <v>5.87</v>
      </c>
      <c r="AN3271" s="2">
        <v>0.02</v>
      </c>
      <c r="AO3271" t="s">
        <v>11824</v>
      </c>
      <c r="AP3271" t="s">
        <v>11825</v>
      </c>
      <c r="AQ3271" t="s">
        <v>11823</v>
      </c>
    </row>
    <row r="3272" spans="1:43" x14ac:dyDescent="0.2">
      <c r="A3272" t="s">
        <v>12649</v>
      </c>
      <c r="B3272" t="s">
        <v>10900</v>
      </c>
      <c r="C3272" t="s">
        <v>11033</v>
      </c>
      <c r="D3272" t="s">
        <v>11826</v>
      </c>
      <c r="E3272" t="s">
        <v>11827</v>
      </c>
      <c r="F3272" t="s">
        <v>11826</v>
      </c>
      <c r="G3272" s="1">
        <v>7000000</v>
      </c>
      <c r="H3272" s="2">
        <v>7000000</v>
      </c>
      <c r="I3272" s="2">
        <v>6952876.75</v>
      </c>
      <c r="J3272" s="2">
        <v>41024.22</v>
      </c>
      <c r="K3272" s="2">
        <v>0</v>
      </c>
      <c r="L3272" s="2">
        <v>6993900.9699999997</v>
      </c>
      <c r="M3272" s="3">
        <v>6.1816829999999996</v>
      </c>
      <c r="N3272" s="4">
        <v>1.591188E-2</v>
      </c>
      <c r="O3272" s="5">
        <v>44732</v>
      </c>
      <c r="P3272" s="5">
        <v>45644</v>
      </c>
      <c r="Q3272" s="1">
        <v>5.9420000000000002</v>
      </c>
      <c r="R3272" s="2">
        <v>0.15</v>
      </c>
      <c r="S3272" s="6">
        <v>0.106811678077</v>
      </c>
      <c r="T3272" t="s">
        <v>111</v>
      </c>
      <c r="U3272" t="s">
        <v>111</v>
      </c>
      <c r="V3272" t="s">
        <v>11189</v>
      </c>
      <c r="W3272" t="s">
        <v>43</v>
      </c>
      <c r="X3272" t="s">
        <v>11034</v>
      </c>
      <c r="Y3272" t="s">
        <v>44</v>
      </c>
      <c r="Z3272" t="s">
        <v>44</v>
      </c>
      <c r="AA3272" t="s">
        <v>10979</v>
      </c>
      <c r="AB3272" t="s">
        <v>44</v>
      </c>
      <c r="AC3272" s="4">
        <v>6.2772158899999999</v>
      </c>
      <c r="AD3272" s="4">
        <v>6.10354361</v>
      </c>
      <c r="AE3272" s="2">
        <v>6.28</v>
      </c>
      <c r="AF3272" s="4">
        <v>6.10354361</v>
      </c>
      <c r="AG3272" s="2">
        <v>1.04</v>
      </c>
      <c r="AH3272" s="2">
        <v>6993900.9699999997</v>
      </c>
      <c r="AI3272" s="2">
        <v>0.02</v>
      </c>
      <c r="AJ3272" s="5">
        <v>44673</v>
      </c>
      <c r="AK3272" t="s">
        <v>12650</v>
      </c>
      <c r="AL3272" s="2">
        <v>6.18</v>
      </c>
      <c r="AM3272" s="2">
        <v>5.94</v>
      </c>
      <c r="AN3272" s="2">
        <v>0.11</v>
      </c>
      <c r="AO3272" t="s">
        <v>11824</v>
      </c>
      <c r="AP3272" t="s">
        <v>11828</v>
      </c>
      <c r="AQ3272" t="s">
        <v>11827</v>
      </c>
    </row>
    <row r="3273" spans="1:43" x14ac:dyDescent="0.2">
      <c r="A3273" t="s">
        <v>12649</v>
      </c>
      <c r="B3273" t="s">
        <v>10900</v>
      </c>
      <c r="C3273" t="s">
        <v>11033</v>
      </c>
      <c r="D3273" t="s">
        <v>11525</v>
      </c>
      <c r="E3273" t="s">
        <v>11526</v>
      </c>
      <c r="F3273" t="s">
        <v>11525</v>
      </c>
      <c r="G3273" s="1">
        <v>18000000</v>
      </c>
      <c r="H3273" s="2">
        <v>18000000</v>
      </c>
      <c r="I3273" s="2">
        <v>18033065.530000001</v>
      </c>
      <c r="J3273" s="2">
        <v>28330.03</v>
      </c>
      <c r="K3273" s="2">
        <v>0</v>
      </c>
      <c r="L3273" s="2">
        <v>18061395.559999999</v>
      </c>
      <c r="M3273" s="3">
        <v>6.20838</v>
      </c>
      <c r="N3273" s="4">
        <v>4.1091620000000002E-2</v>
      </c>
      <c r="O3273" s="5">
        <v>44756</v>
      </c>
      <c r="P3273" s="5">
        <v>45396</v>
      </c>
      <c r="Q3273" s="1">
        <v>6.383</v>
      </c>
      <c r="R3273" s="2">
        <v>0.22</v>
      </c>
      <c r="S3273" s="6">
        <v>0.18643150391999999</v>
      </c>
      <c r="T3273" t="s">
        <v>111</v>
      </c>
      <c r="U3273" t="s">
        <v>111</v>
      </c>
      <c r="V3273" t="s">
        <v>11189</v>
      </c>
      <c r="W3273" t="s">
        <v>43</v>
      </c>
      <c r="X3273" t="s">
        <v>11034</v>
      </c>
      <c r="Y3273" t="s">
        <v>44</v>
      </c>
      <c r="Z3273" t="s">
        <v>44</v>
      </c>
      <c r="AA3273" t="s">
        <v>44</v>
      </c>
      <c r="AB3273" t="s">
        <v>44</v>
      </c>
      <c r="AC3273" s="4">
        <v>6.30473952</v>
      </c>
      <c r="AD3273" s="4">
        <v>6.1295701999999999</v>
      </c>
      <c r="AE3273" s="2">
        <v>6.3</v>
      </c>
      <c r="AF3273" s="4">
        <v>6.1295701999999999</v>
      </c>
      <c r="AG3273" s="2">
        <v>2.67</v>
      </c>
      <c r="AH3273" s="2">
        <v>18061395.559999999</v>
      </c>
      <c r="AI3273" s="2">
        <v>0.04</v>
      </c>
      <c r="AJ3273" s="5">
        <v>44673</v>
      </c>
      <c r="AK3273" t="s">
        <v>12650</v>
      </c>
      <c r="AL3273" s="2">
        <v>6.21</v>
      </c>
      <c r="AM3273" s="2">
        <v>6.38</v>
      </c>
      <c r="AN3273" s="2">
        <v>0.19</v>
      </c>
      <c r="AO3273" t="s">
        <v>11527</v>
      </c>
      <c r="AP3273" t="s">
        <v>11528</v>
      </c>
      <c r="AQ3273" t="s">
        <v>11526</v>
      </c>
    </row>
    <row r="3274" spans="1:43" x14ac:dyDescent="0.2">
      <c r="A3274" t="s">
        <v>12649</v>
      </c>
      <c r="B3274" t="s">
        <v>10900</v>
      </c>
      <c r="C3274" t="s">
        <v>11033</v>
      </c>
      <c r="D3274" t="s">
        <v>11829</v>
      </c>
      <c r="E3274" t="s">
        <v>11830</v>
      </c>
      <c r="F3274" t="s">
        <v>11829</v>
      </c>
      <c r="G3274" s="1">
        <v>5800000</v>
      </c>
      <c r="H3274" s="2">
        <v>5800360.6900000004</v>
      </c>
      <c r="I3274" s="2">
        <v>5799259.7599999998</v>
      </c>
      <c r="J3274" s="2">
        <v>44191.07</v>
      </c>
      <c r="K3274" s="2">
        <v>0</v>
      </c>
      <c r="L3274" s="2">
        <v>5843450.8300000001</v>
      </c>
      <c r="M3274" s="3">
        <v>5.9678570000000004</v>
      </c>
      <c r="N3274" s="4">
        <v>1.3294479999999999E-2</v>
      </c>
      <c r="O3274" s="5">
        <v>44719</v>
      </c>
      <c r="P3274" s="5">
        <v>45723</v>
      </c>
      <c r="Q3274" s="1">
        <v>5.9169999999999998</v>
      </c>
      <c r="R3274" s="2">
        <v>0.12</v>
      </c>
      <c r="S3274" s="6">
        <v>8.2443218371999999E-2</v>
      </c>
      <c r="T3274" t="s">
        <v>111</v>
      </c>
      <c r="U3274" t="s">
        <v>111</v>
      </c>
      <c r="V3274" t="s">
        <v>11189</v>
      </c>
      <c r="W3274" t="s">
        <v>43</v>
      </c>
      <c r="X3274" t="s">
        <v>11034</v>
      </c>
      <c r="Y3274" t="s">
        <v>44</v>
      </c>
      <c r="Z3274" t="s">
        <v>44</v>
      </c>
      <c r="AA3274" t="s">
        <v>11035</v>
      </c>
      <c r="AB3274" t="s">
        <v>44</v>
      </c>
      <c r="AC3274" s="4">
        <v>6.0568952400000002</v>
      </c>
      <c r="AD3274" s="4">
        <v>5.8949834299999999</v>
      </c>
      <c r="AE3274" s="2">
        <v>6.06</v>
      </c>
      <c r="AF3274" s="4">
        <v>5.8949834299999999</v>
      </c>
      <c r="AG3274" s="2">
        <v>0.87</v>
      </c>
      <c r="AH3274" s="2">
        <v>5843450.8300000001</v>
      </c>
      <c r="AI3274" s="2">
        <v>0.01</v>
      </c>
      <c r="AJ3274" s="5">
        <v>44673</v>
      </c>
      <c r="AK3274" t="s">
        <v>12650</v>
      </c>
      <c r="AL3274" s="2">
        <v>5.97</v>
      </c>
      <c r="AM3274" s="2">
        <v>5.92</v>
      </c>
      <c r="AN3274" s="2">
        <v>0.08</v>
      </c>
      <c r="AO3274" t="s">
        <v>11437</v>
      </c>
      <c r="AP3274" t="s">
        <v>11831</v>
      </c>
      <c r="AQ3274" t="s">
        <v>11830</v>
      </c>
    </row>
    <row r="3275" spans="1:43" x14ac:dyDescent="0.2">
      <c r="A3275" t="s">
        <v>12649</v>
      </c>
      <c r="B3275" t="s">
        <v>10900</v>
      </c>
      <c r="C3275" t="s">
        <v>11033</v>
      </c>
      <c r="D3275" t="s">
        <v>11832</v>
      </c>
      <c r="E3275" t="s">
        <v>11833</v>
      </c>
      <c r="F3275" t="s">
        <v>11832</v>
      </c>
      <c r="G3275" s="1">
        <v>6700000</v>
      </c>
      <c r="H3275" s="2">
        <v>6700000</v>
      </c>
      <c r="I3275" s="2">
        <v>6702632.3200000003</v>
      </c>
      <c r="J3275" s="2">
        <v>4025.87</v>
      </c>
      <c r="K3275" s="2">
        <v>0</v>
      </c>
      <c r="L3275" s="2">
        <v>6706658.1900000004</v>
      </c>
      <c r="M3275" s="3">
        <v>5.3938800000000002</v>
      </c>
      <c r="N3275" s="4">
        <v>1.525837E-2</v>
      </c>
      <c r="O3275" s="5">
        <v>44757</v>
      </c>
      <c r="P3275" s="5">
        <v>45397</v>
      </c>
      <c r="Q3275" s="1">
        <v>5.4829999999999997</v>
      </c>
      <c r="R3275" s="2">
        <v>0.22</v>
      </c>
      <c r="S3275" s="6">
        <v>0.19846818724099999</v>
      </c>
      <c r="T3275" t="s">
        <v>111</v>
      </c>
      <c r="U3275" t="s">
        <v>111</v>
      </c>
      <c r="V3275" t="s">
        <v>11189</v>
      </c>
      <c r="W3275" t="s">
        <v>43</v>
      </c>
      <c r="X3275" t="s">
        <v>11034</v>
      </c>
      <c r="Y3275" t="s">
        <v>44</v>
      </c>
      <c r="Z3275" t="s">
        <v>44</v>
      </c>
      <c r="AA3275" t="s">
        <v>11035</v>
      </c>
      <c r="AB3275" t="s">
        <v>44</v>
      </c>
      <c r="AC3275" s="4">
        <v>5.4666152800000001</v>
      </c>
      <c r="AD3275" s="4">
        <v>5.3342482999999996</v>
      </c>
      <c r="AE3275" s="2">
        <v>5.47</v>
      </c>
      <c r="AF3275" s="4">
        <v>5.3342482999999996</v>
      </c>
      <c r="AG3275" s="2">
        <v>0.99</v>
      </c>
      <c r="AH3275" s="2">
        <v>6706658.1900000004</v>
      </c>
      <c r="AI3275" s="2">
        <v>0.02</v>
      </c>
      <c r="AJ3275" s="5">
        <v>44673</v>
      </c>
      <c r="AK3275" t="s">
        <v>12650</v>
      </c>
      <c r="AL3275" s="2">
        <v>5.39</v>
      </c>
      <c r="AM3275" s="2">
        <v>5.48</v>
      </c>
      <c r="AN3275" s="2">
        <v>0.2</v>
      </c>
      <c r="AO3275" t="s">
        <v>11036</v>
      </c>
      <c r="AP3275" t="s">
        <v>11834</v>
      </c>
      <c r="AQ3275" t="s">
        <v>11833</v>
      </c>
    </row>
    <row r="3276" spans="1:43" x14ac:dyDescent="0.2">
      <c r="A3276" t="s">
        <v>12649</v>
      </c>
      <c r="B3276" t="s">
        <v>10900</v>
      </c>
      <c r="C3276" t="s">
        <v>11033</v>
      </c>
      <c r="D3276" t="s">
        <v>12982</v>
      </c>
      <c r="E3276" t="s">
        <v>12983</v>
      </c>
      <c r="F3276" t="s">
        <v>12982</v>
      </c>
      <c r="G3276" s="1">
        <v>7300000</v>
      </c>
      <c r="H3276" s="2">
        <v>7300000</v>
      </c>
      <c r="I3276" s="2">
        <v>7609124.1799999997</v>
      </c>
      <c r="J3276" s="2">
        <v>93673.8</v>
      </c>
      <c r="K3276" s="2">
        <v>0</v>
      </c>
      <c r="L3276" s="2">
        <v>7702797.9800000004</v>
      </c>
      <c r="M3276" s="3">
        <v>6.0747210000000003</v>
      </c>
      <c r="N3276" s="4">
        <v>1.7524689999999999E-2</v>
      </c>
      <c r="O3276" s="5">
        <v>44706</v>
      </c>
      <c r="P3276" s="5">
        <v>45439</v>
      </c>
      <c r="Q3276" s="1">
        <v>8.2170000000000005</v>
      </c>
      <c r="R3276" s="2">
        <v>0.08</v>
      </c>
      <c r="S3276" s="6">
        <v>9.4979191527000004E-2</v>
      </c>
      <c r="T3276" t="s">
        <v>111</v>
      </c>
      <c r="U3276" t="s">
        <v>111</v>
      </c>
      <c r="V3276" t="s">
        <v>11189</v>
      </c>
      <c r="W3276" t="s">
        <v>43</v>
      </c>
      <c r="X3276" t="s">
        <v>11034</v>
      </c>
      <c r="Y3276" t="s">
        <v>44</v>
      </c>
      <c r="Z3276" t="s">
        <v>44</v>
      </c>
      <c r="AA3276" t="s">
        <v>44</v>
      </c>
      <c r="AB3276" t="s">
        <v>44</v>
      </c>
      <c r="AC3276" s="4">
        <v>6.1669761000000003</v>
      </c>
      <c r="AD3276" s="4">
        <v>5.9992378899999999</v>
      </c>
      <c r="AE3276" s="2">
        <v>6.17</v>
      </c>
      <c r="AF3276" s="4">
        <v>5.9992378899999999</v>
      </c>
      <c r="AG3276" s="2">
        <v>1.1399999999999999</v>
      </c>
      <c r="AH3276" s="2">
        <v>7702797.9800000004</v>
      </c>
      <c r="AI3276" s="2">
        <v>0.02</v>
      </c>
      <c r="AJ3276" s="5">
        <v>44673</v>
      </c>
      <c r="AK3276" t="s">
        <v>12650</v>
      </c>
      <c r="AL3276" s="2">
        <v>6.07</v>
      </c>
      <c r="AM3276" s="2">
        <v>8.2200000000000006</v>
      </c>
      <c r="AN3276" s="2">
        <v>0.09</v>
      </c>
      <c r="AO3276" t="s">
        <v>12984</v>
      </c>
      <c r="AP3276" t="s">
        <v>12985</v>
      </c>
      <c r="AQ3276" t="s">
        <v>12983</v>
      </c>
    </row>
    <row r="3277" spans="1:43" x14ac:dyDescent="0.2">
      <c r="A3277" t="s">
        <v>12649</v>
      </c>
      <c r="B3277" t="s">
        <v>10900</v>
      </c>
      <c r="C3277" t="s">
        <v>11033</v>
      </c>
      <c r="D3277" t="s">
        <v>11843</v>
      </c>
      <c r="E3277" t="s">
        <v>11844</v>
      </c>
      <c r="F3277" t="s">
        <v>11843</v>
      </c>
      <c r="G3277" s="1">
        <v>8300000</v>
      </c>
      <c r="H3277" s="2">
        <v>8300000</v>
      </c>
      <c r="I3277" s="2">
        <v>8262555.5999999996</v>
      </c>
      <c r="J3277" s="2">
        <v>6169.74</v>
      </c>
      <c r="K3277" s="2">
        <v>0</v>
      </c>
      <c r="L3277" s="2">
        <v>8268725.3399999999</v>
      </c>
      <c r="M3277" s="3">
        <v>6.9820180000000001</v>
      </c>
      <c r="N3277" s="4">
        <v>1.8812240000000001E-2</v>
      </c>
      <c r="O3277" s="5">
        <v>44760</v>
      </c>
      <c r="P3277" s="5">
        <v>45398</v>
      </c>
      <c r="Q3277" s="1">
        <v>6.7830000000000004</v>
      </c>
      <c r="R3277" s="2">
        <v>0.23</v>
      </c>
      <c r="S3277" s="6">
        <v>0.182016060841</v>
      </c>
      <c r="T3277" t="s">
        <v>111</v>
      </c>
      <c r="U3277" t="s">
        <v>111</v>
      </c>
      <c r="V3277" t="s">
        <v>11189</v>
      </c>
      <c r="W3277" t="s">
        <v>43</v>
      </c>
      <c r="X3277" t="s">
        <v>11034</v>
      </c>
      <c r="Y3277" t="s">
        <v>44</v>
      </c>
      <c r="Z3277" t="s">
        <v>44</v>
      </c>
      <c r="AA3277" t="s">
        <v>10979</v>
      </c>
      <c r="AB3277" t="s">
        <v>44</v>
      </c>
      <c r="AC3277" s="4">
        <v>7.1038890300000004</v>
      </c>
      <c r="AD3277" s="4">
        <v>6.8825725699999998</v>
      </c>
      <c r="AE3277" s="2">
        <v>7.1</v>
      </c>
      <c r="AF3277" s="4">
        <v>6.8825725699999998</v>
      </c>
      <c r="AG3277" s="2">
        <v>1.22</v>
      </c>
      <c r="AH3277" s="2">
        <v>8268725.3399999999</v>
      </c>
      <c r="AI3277" s="2">
        <v>0.02</v>
      </c>
      <c r="AJ3277" s="5">
        <v>44673</v>
      </c>
      <c r="AK3277" t="s">
        <v>12650</v>
      </c>
      <c r="AL3277" s="2">
        <v>6.98</v>
      </c>
      <c r="AM3277" s="2">
        <v>6.78</v>
      </c>
      <c r="AN3277" s="2">
        <v>0.18</v>
      </c>
      <c r="AO3277" t="s">
        <v>11179</v>
      </c>
      <c r="AP3277" t="s">
        <v>11845</v>
      </c>
      <c r="AQ3277" t="s">
        <v>11844</v>
      </c>
    </row>
    <row r="3278" spans="1:43" x14ac:dyDescent="0.2">
      <c r="A3278" t="s">
        <v>12649</v>
      </c>
      <c r="B3278" t="s">
        <v>10900</v>
      </c>
      <c r="C3278" t="s">
        <v>10943</v>
      </c>
      <c r="D3278" t="s">
        <v>11552</v>
      </c>
      <c r="E3278" t="s">
        <v>11553</v>
      </c>
      <c r="F3278" t="s">
        <v>11552</v>
      </c>
      <c r="G3278" s="1">
        <v>900000</v>
      </c>
      <c r="H3278" s="2">
        <v>900000</v>
      </c>
      <c r="I3278" s="2">
        <v>900003.09</v>
      </c>
      <c r="J3278" s="2">
        <v>11419.79</v>
      </c>
      <c r="K3278" s="2">
        <v>0</v>
      </c>
      <c r="L3278" s="2">
        <v>911422.88</v>
      </c>
      <c r="M3278" s="3">
        <v>5.7189139999999998</v>
      </c>
      <c r="N3278" s="4">
        <v>2.0735900000000002E-3</v>
      </c>
      <c r="O3278" s="5">
        <v>44684</v>
      </c>
      <c r="P3278" s="5">
        <v>46418</v>
      </c>
      <c r="Q3278" s="1">
        <v>5.6479999999999997</v>
      </c>
      <c r="R3278" s="2">
        <v>0.02</v>
      </c>
      <c r="S3278" s="6">
        <v>-2.0490922419E-2</v>
      </c>
      <c r="T3278" t="s">
        <v>111</v>
      </c>
      <c r="U3278" t="s">
        <v>111</v>
      </c>
      <c r="V3278" t="s">
        <v>11189</v>
      </c>
      <c r="W3278" t="s">
        <v>43</v>
      </c>
      <c r="X3278" t="s">
        <v>11034</v>
      </c>
      <c r="Y3278" t="s">
        <v>44</v>
      </c>
      <c r="Z3278" t="s">
        <v>44</v>
      </c>
      <c r="AA3278" t="s">
        <v>10979</v>
      </c>
      <c r="AB3278" t="s">
        <v>44</v>
      </c>
      <c r="AC3278" s="4">
        <v>5.8006784400000004</v>
      </c>
      <c r="AD3278" s="4">
        <v>5.6519431300000003</v>
      </c>
      <c r="AE3278" s="2">
        <v>5.8</v>
      </c>
      <c r="AF3278" s="4">
        <v>5.6519431300000003</v>
      </c>
      <c r="AG3278" s="2">
        <v>0.13</v>
      </c>
      <c r="AH3278" s="2">
        <v>911422.88</v>
      </c>
      <c r="AI3278" s="2">
        <v>0</v>
      </c>
      <c r="AJ3278" s="5">
        <v>44673</v>
      </c>
      <c r="AK3278" t="s">
        <v>12650</v>
      </c>
      <c r="AL3278" s="2">
        <v>5.72</v>
      </c>
      <c r="AM3278" s="2">
        <v>5.65</v>
      </c>
      <c r="AN3278" s="2">
        <v>-0.02</v>
      </c>
      <c r="AO3278" t="s">
        <v>11048</v>
      </c>
      <c r="AP3278" t="s">
        <v>11554</v>
      </c>
      <c r="AQ3278" t="s">
        <v>11553</v>
      </c>
    </row>
    <row r="3279" spans="1:43" x14ac:dyDescent="0.2">
      <c r="A3279" t="s">
        <v>12649</v>
      </c>
      <c r="B3279" t="s">
        <v>10900</v>
      </c>
      <c r="C3279" t="s">
        <v>10943</v>
      </c>
      <c r="D3279" t="s">
        <v>11555</v>
      </c>
      <c r="E3279" t="s">
        <v>11556</v>
      </c>
      <c r="F3279" t="s">
        <v>11555</v>
      </c>
      <c r="G3279" s="1">
        <v>7500000</v>
      </c>
      <c r="H3279" s="2">
        <v>7500000</v>
      </c>
      <c r="I3279" s="2">
        <v>7356517.5</v>
      </c>
      <c r="J3279" s="2">
        <v>154767.12</v>
      </c>
      <c r="K3279" s="2">
        <v>0</v>
      </c>
      <c r="L3279" s="2">
        <v>7511284.6200000001</v>
      </c>
      <c r="M3279" s="3">
        <v>9.9250000000000007</v>
      </c>
      <c r="N3279" s="4">
        <v>1.708898E-2</v>
      </c>
      <c r="O3279" s="5">
        <v>44775</v>
      </c>
      <c r="P3279" s="5">
        <v>46420</v>
      </c>
      <c r="Q3279" s="1">
        <v>9.4149999999999991</v>
      </c>
      <c r="R3279" s="2">
        <v>3.86</v>
      </c>
      <c r="S3279" s="6">
        <v>3.6810259830000001</v>
      </c>
      <c r="T3279" t="s">
        <v>111</v>
      </c>
      <c r="U3279" t="s">
        <v>111</v>
      </c>
      <c r="V3279" t="s">
        <v>10944</v>
      </c>
      <c r="W3279" t="s">
        <v>43</v>
      </c>
      <c r="X3279" t="s">
        <v>44</v>
      </c>
      <c r="Y3279" t="s">
        <v>44</v>
      </c>
      <c r="Z3279" t="s">
        <v>44</v>
      </c>
      <c r="AA3279" t="s">
        <v>10979</v>
      </c>
      <c r="AB3279" t="s">
        <v>44</v>
      </c>
      <c r="AC3279" s="4">
        <v>10.17126406</v>
      </c>
      <c r="AD3279" s="4">
        <v>9.72579277</v>
      </c>
      <c r="AE3279" s="2">
        <v>10.17</v>
      </c>
      <c r="AF3279" s="4">
        <v>9.72579277</v>
      </c>
      <c r="AG3279" s="2">
        <v>1.1100000000000001</v>
      </c>
      <c r="AH3279" s="2">
        <v>7511284.6200000001</v>
      </c>
      <c r="AI3279" s="2">
        <v>0.02</v>
      </c>
      <c r="AJ3279" s="5">
        <v>44673</v>
      </c>
      <c r="AK3279" t="s">
        <v>12650</v>
      </c>
      <c r="AL3279" s="2">
        <v>9.93</v>
      </c>
      <c r="AM3279" s="2">
        <v>9.41</v>
      </c>
      <c r="AN3279" s="2">
        <v>3.68</v>
      </c>
      <c r="AO3279" t="s">
        <v>11048</v>
      </c>
      <c r="AP3279" t="s">
        <v>11557</v>
      </c>
      <c r="AQ3279" t="s">
        <v>11556</v>
      </c>
    </row>
    <row r="3280" spans="1:43" x14ac:dyDescent="0.2">
      <c r="A3280" t="s">
        <v>12649</v>
      </c>
      <c r="B3280" t="s">
        <v>10900</v>
      </c>
      <c r="C3280" t="s">
        <v>10943</v>
      </c>
      <c r="D3280" t="s">
        <v>11846</v>
      </c>
      <c r="E3280" t="s">
        <v>11847</v>
      </c>
      <c r="F3280" t="s">
        <v>11846</v>
      </c>
      <c r="G3280" s="1">
        <v>10276000</v>
      </c>
      <c r="H3280" s="2">
        <v>10757280.01</v>
      </c>
      <c r="I3280" s="2">
        <v>10792879.720000001</v>
      </c>
      <c r="J3280" s="2">
        <v>404505.59</v>
      </c>
      <c r="K3280" s="2">
        <v>0</v>
      </c>
      <c r="L3280" s="2">
        <v>11197385.310000001</v>
      </c>
      <c r="M3280" s="3">
        <v>8.7050000000000001</v>
      </c>
      <c r="N3280" s="4">
        <v>2.547526E-2</v>
      </c>
      <c r="O3280" s="5">
        <v>44715</v>
      </c>
      <c r="P3280" s="5">
        <v>46176</v>
      </c>
      <c r="Q3280" s="1">
        <v>10.19</v>
      </c>
      <c r="R3280" s="2">
        <v>3.35</v>
      </c>
      <c r="S3280" s="6">
        <v>3.210117125</v>
      </c>
      <c r="T3280" t="s">
        <v>111</v>
      </c>
      <c r="U3280" t="s">
        <v>111</v>
      </c>
      <c r="V3280" t="s">
        <v>10944</v>
      </c>
      <c r="W3280" t="s">
        <v>43</v>
      </c>
      <c r="X3280" t="s">
        <v>44</v>
      </c>
      <c r="Y3280" t="s">
        <v>44</v>
      </c>
      <c r="Z3280" t="s">
        <v>44</v>
      </c>
      <c r="AA3280" t="s">
        <v>10979</v>
      </c>
      <c r="AB3280" t="s">
        <v>44</v>
      </c>
      <c r="AC3280" s="4">
        <v>8.8944425599999999</v>
      </c>
      <c r="AD3280" s="4">
        <v>8.5512049999999995</v>
      </c>
      <c r="AE3280" s="2">
        <v>8.89</v>
      </c>
      <c r="AF3280" s="4">
        <v>8.5512049999999995</v>
      </c>
      <c r="AG3280" s="2">
        <v>1.66</v>
      </c>
      <c r="AH3280" s="2">
        <v>11197385.310000001</v>
      </c>
      <c r="AI3280" s="2">
        <v>0.03</v>
      </c>
      <c r="AJ3280" s="5">
        <v>44673</v>
      </c>
      <c r="AK3280" t="s">
        <v>12650</v>
      </c>
      <c r="AL3280" s="2">
        <v>8.7100000000000009</v>
      </c>
      <c r="AM3280" s="2">
        <v>10.19</v>
      </c>
      <c r="AN3280" s="2">
        <v>3.21</v>
      </c>
      <c r="AO3280" t="s">
        <v>11054</v>
      </c>
      <c r="AP3280" t="s">
        <v>11848</v>
      </c>
      <c r="AQ3280" t="s">
        <v>11847</v>
      </c>
    </row>
    <row r="3281" spans="1:43" x14ac:dyDescent="0.2">
      <c r="A3281" t="s">
        <v>12649</v>
      </c>
      <c r="B3281" t="s">
        <v>10900</v>
      </c>
      <c r="C3281" t="s">
        <v>10943</v>
      </c>
      <c r="D3281" t="s">
        <v>11849</v>
      </c>
      <c r="E3281" t="s">
        <v>11850</v>
      </c>
      <c r="F3281" t="s">
        <v>11849</v>
      </c>
      <c r="G3281" s="1">
        <v>6684000</v>
      </c>
      <c r="H3281" s="2">
        <v>7154289.4400000004</v>
      </c>
      <c r="I3281" s="2">
        <v>6961970.8499999996</v>
      </c>
      <c r="J3281" s="2">
        <v>38272.769999999997</v>
      </c>
      <c r="K3281" s="2">
        <v>0</v>
      </c>
      <c r="L3281" s="2">
        <v>7000243.6200000001</v>
      </c>
      <c r="M3281" s="3">
        <v>8.3550000000000004</v>
      </c>
      <c r="N3281" s="4">
        <v>1.5926309999999999E-2</v>
      </c>
      <c r="O3281" s="5">
        <v>44837</v>
      </c>
      <c r="P3281" s="5">
        <v>46296</v>
      </c>
      <c r="Q3281" s="1">
        <v>9.5</v>
      </c>
      <c r="R3281" s="2">
        <v>3.72</v>
      </c>
      <c r="S3281" s="6">
        <v>3.5673572199999999</v>
      </c>
      <c r="T3281" t="s">
        <v>111</v>
      </c>
      <c r="U3281" t="s">
        <v>111</v>
      </c>
      <c r="V3281" t="s">
        <v>10944</v>
      </c>
      <c r="W3281" t="s">
        <v>43</v>
      </c>
      <c r="X3281" t="s">
        <v>10988</v>
      </c>
      <c r="Y3281" t="s">
        <v>44</v>
      </c>
      <c r="Z3281" t="s">
        <v>44</v>
      </c>
      <c r="AA3281" t="s">
        <v>10979</v>
      </c>
      <c r="AB3281" t="s">
        <v>44</v>
      </c>
      <c r="AC3281" s="4">
        <v>8.5295150599999996</v>
      </c>
      <c r="AD3281" s="4">
        <v>8.2131770100000008</v>
      </c>
      <c r="AE3281" s="2">
        <v>8.5299999999999994</v>
      </c>
      <c r="AF3281" s="4">
        <v>8.2131770100000008</v>
      </c>
      <c r="AG3281" s="2">
        <v>1.04</v>
      </c>
      <c r="AH3281" s="2">
        <v>7000243.6200000001</v>
      </c>
      <c r="AI3281" s="2">
        <v>0.02</v>
      </c>
      <c r="AJ3281" s="5">
        <v>44673</v>
      </c>
      <c r="AK3281" t="s">
        <v>12650</v>
      </c>
      <c r="AL3281" s="2">
        <v>8.35</v>
      </c>
      <c r="AM3281" s="2">
        <v>9.5</v>
      </c>
      <c r="AN3281" s="2">
        <v>3.57</v>
      </c>
      <c r="AO3281" t="s">
        <v>11054</v>
      </c>
      <c r="AP3281" t="s">
        <v>11851</v>
      </c>
      <c r="AQ3281" t="s">
        <v>11850</v>
      </c>
    </row>
    <row r="3282" spans="1:43" x14ac:dyDescent="0.2">
      <c r="A3282" t="s">
        <v>12649</v>
      </c>
      <c r="B3282" t="s">
        <v>10900</v>
      </c>
      <c r="C3282" t="s">
        <v>10943</v>
      </c>
      <c r="D3282" t="s">
        <v>11558</v>
      </c>
      <c r="E3282" t="s">
        <v>11559</v>
      </c>
      <c r="F3282" t="s">
        <v>11558</v>
      </c>
      <c r="G3282" s="1">
        <v>8900000</v>
      </c>
      <c r="H3282" s="2">
        <v>8900000</v>
      </c>
      <c r="I3282" s="2">
        <v>8761189.3699999992</v>
      </c>
      <c r="J3282" s="2">
        <v>7953.92</v>
      </c>
      <c r="K3282" s="2">
        <v>0</v>
      </c>
      <c r="L3282" s="2">
        <v>8769143.2899999991</v>
      </c>
      <c r="M3282" s="3">
        <v>8.625</v>
      </c>
      <c r="N3282" s="4">
        <v>1.995075E-2</v>
      </c>
      <c r="O3282" s="5">
        <v>44853</v>
      </c>
      <c r="P3282" s="5">
        <v>46131</v>
      </c>
      <c r="Q3282" s="1">
        <v>8.1549999999999994</v>
      </c>
      <c r="R3282" s="2">
        <v>3.47</v>
      </c>
      <c r="S3282" s="6">
        <v>3.327828963</v>
      </c>
      <c r="T3282" t="s">
        <v>111</v>
      </c>
      <c r="U3282" t="s">
        <v>111</v>
      </c>
      <c r="V3282" t="s">
        <v>10944</v>
      </c>
      <c r="W3282" t="s">
        <v>43</v>
      </c>
      <c r="X3282" t="s">
        <v>44</v>
      </c>
      <c r="Y3282" t="s">
        <v>44</v>
      </c>
      <c r="Z3282" t="s">
        <v>44</v>
      </c>
      <c r="AA3282" t="s">
        <v>10979</v>
      </c>
      <c r="AB3282" t="s">
        <v>44</v>
      </c>
      <c r="AC3282" s="4">
        <v>8.8109765600000003</v>
      </c>
      <c r="AD3282" s="4">
        <v>8.4739831300000006</v>
      </c>
      <c r="AE3282" s="2">
        <v>8.81</v>
      </c>
      <c r="AF3282" s="4">
        <v>8.4739831300000006</v>
      </c>
      <c r="AG3282" s="2">
        <v>1.3</v>
      </c>
      <c r="AH3282" s="2">
        <v>8769143.2899999991</v>
      </c>
      <c r="AI3282" s="2">
        <v>0.02</v>
      </c>
      <c r="AJ3282" s="5">
        <v>44673</v>
      </c>
      <c r="AK3282" t="s">
        <v>12650</v>
      </c>
      <c r="AL3282" s="2">
        <v>8.6300000000000008</v>
      </c>
      <c r="AM3282" s="2">
        <v>8.15</v>
      </c>
      <c r="AN3282" s="2">
        <v>3.33</v>
      </c>
      <c r="AO3282" t="s">
        <v>11054</v>
      </c>
      <c r="AP3282" t="s">
        <v>11560</v>
      </c>
      <c r="AQ3282" t="s">
        <v>11559</v>
      </c>
    </row>
    <row r="3283" spans="1:43" x14ac:dyDescent="0.2">
      <c r="A3283" t="s">
        <v>12649</v>
      </c>
      <c r="B3283" t="s">
        <v>10900</v>
      </c>
      <c r="C3283" t="s">
        <v>10943</v>
      </c>
      <c r="D3283" t="s">
        <v>11569</v>
      </c>
      <c r="E3283" t="s">
        <v>11570</v>
      </c>
      <c r="F3283" t="s">
        <v>11569</v>
      </c>
      <c r="G3283" s="1">
        <v>9000000</v>
      </c>
      <c r="H3283" s="2">
        <v>9000000</v>
      </c>
      <c r="I3283" s="2">
        <v>9048635.2899999991</v>
      </c>
      <c r="J3283" s="2">
        <v>123234.9</v>
      </c>
      <c r="K3283" s="2">
        <v>0</v>
      </c>
      <c r="L3283" s="2">
        <v>9171870.1899999995</v>
      </c>
      <c r="M3283" s="3">
        <v>8.5241640000000007</v>
      </c>
      <c r="N3283" s="4">
        <v>2.0866989999999998E-2</v>
      </c>
      <c r="O3283" s="5">
        <v>44705</v>
      </c>
      <c r="P3283" s="5">
        <v>46166</v>
      </c>
      <c r="Q3283" s="1">
        <v>8.6170000000000009</v>
      </c>
      <c r="R3283" s="2">
        <v>0.08</v>
      </c>
      <c r="S3283" s="6">
        <v>-9.3404076700000001E-3</v>
      </c>
      <c r="T3283" t="s">
        <v>111</v>
      </c>
      <c r="U3283" t="s">
        <v>111</v>
      </c>
      <c r="V3283" t="s">
        <v>11189</v>
      </c>
      <c r="W3283" t="s">
        <v>43</v>
      </c>
      <c r="X3283" t="s">
        <v>11034</v>
      </c>
      <c r="Y3283" t="s">
        <v>44</v>
      </c>
      <c r="Z3283" t="s">
        <v>44</v>
      </c>
      <c r="AA3283" t="s">
        <v>11035</v>
      </c>
      <c r="AB3283" t="s">
        <v>44</v>
      </c>
      <c r="AC3283" s="4">
        <v>8.7058170199999996</v>
      </c>
      <c r="AD3283" s="4">
        <v>8.3766132899999999</v>
      </c>
      <c r="AE3283" s="2">
        <v>8.7100000000000009</v>
      </c>
      <c r="AF3283" s="4">
        <v>8.3766132899999999</v>
      </c>
      <c r="AG3283" s="2">
        <v>1.36</v>
      </c>
      <c r="AH3283" s="2">
        <v>9171870.1899999995</v>
      </c>
      <c r="AI3283" s="2">
        <v>0.02</v>
      </c>
      <c r="AJ3283" s="5">
        <v>44673</v>
      </c>
      <c r="AK3283" t="s">
        <v>12650</v>
      </c>
      <c r="AL3283" s="2">
        <v>8.52</v>
      </c>
      <c r="AM3283" s="2">
        <v>8.6199999999999992</v>
      </c>
      <c r="AN3283" s="2">
        <v>-0.01</v>
      </c>
      <c r="AO3283" t="s">
        <v>11226</v>
      </c>
      <c r="AP3283" t="s">
        <v>11571</v>
      </c>
      <c r="AQ3283" t="s">
        <v>11570</v>
      </c>
    </row>
    <row r="3284" spans="1:43" x14ac:dyDescent="0.2">
      <c r="A3284" t="s">
        <v>12649</v>
      </c>
      <c r="B3284" t="s">
        <v>10900</v>
      </c>
      <c r="C3284" t="s">
        <v>10943</v>
      </c>
      <c r="D3284" t="s">
        <v>11578</v>
      </c>
      <c r="E3284" t="s">
        <v>11579</v>
      </c>
      <c r="F3284" t="s">
        <v>11578</v>
      </c>
      <c r="G3284" s="1">
        <v>3700000</v>
      </c>
      <c r="H3284" s="2">
        <v>3700000</v>
      </c>
      <c r="I3284" s="2">
        <v>3453959.62</v>
      </c>
      <c r="J3284" s="2">
        <v>30795.31</v>
      </c>
      <c r="K3284" s="2">
        <v>0</v>
      </c>
      <c r="L3284" s="2">
        <v>3484754.93</v>
      </c>
      <c r="M3284" s="3">
        <v>9.375</v>
      </c>
      <c r="N3284" s="4">
        <v>7.9281899999999999E-3</v>
      </c>
      <c r="O3284" s="5">
        <v>44819</v>
      </c>
      <c r="P3284" s="5">
        <v>46827</v>
      </c>
      <c r="Q3284" s="1">
        <v>7.8849999999999998</v>
      </c>
      <c r="R3284" s="2">
        <v>4.74</v>
      </c>
      <c r="S3284" s="6">
        <v>4.5243735450000004</v>
      </c>
      <c r="T3284" t="s">
        <v>111</v>
      </c>
      <c r="U3284" t="s">
        <v>111</v>
      </c>
      <c r="V3284" t="s">
        <v>10944</v>
      </c>
      <c r="W3284" t="s">
        <v>43</v>
      </c>
      <c r="X3284" t="s">
        <v>44</v>
      </c>
      <c r="Y3284" t="s">
        <v>44</v>
      </c>
      <c r="Z3284" t="s">
        <v>44</v>
      </c>
      <c r="AA3284" t="s">
        <v>11441</v>
      </c>
      <c r="AB3284" t="s">
        <v>44</v>
      </c>
      <c r="AC3284" s="4">
        <v>9.5947265599999998</v>
      </c>
      <c r="AD3284" s="4">
        <v>9.1969716100000003</v>
      </c>
      <c r="AE3284" s="2">
        <v>9.59</v>
      </c>
      <c r="AF3284" s="4">
        <v>9.1969716100000003</v>
      </c>
      <c r="AG3284" s="2">
        <v>0.52</v>
      </c>
      <c r="AH3284" s="2">
        <v>3484754.93</v>
      </c>
      <c r="AI3284" s="2">
        <v>0.01</v>
      </c>
      <c r="AJ3284" s="5">
        <v>44673</v>
      </c>
      <c r="AK3284" t="s">
        <v>12650</v>
      </c>
      <c r="AL3284" s="2">
        <v>9.3800000000000008</v>
      </c>
      <c r="AM3284" s="2">
        <v>7.88</v>
      </c>
      <c r="AN3284" s="2">
        <v>4.5199999999999996</v>
      </c>
      <c r="AO3284" t="s">
        <v>11580</v>
      </c>
      <c r="AP3284" t="s">
        <v>11581</v>
      </c>
      <c r="AQ3284" t="s">
        <v>11579</v>
      </c>
    </row>
    <row r="3285" spans="1:43" x14ac:dyDescent="0.2">
      <c r="A3285" t="s">
        <v>12649</v>
      </c>
      <c r="B3285" t="s">
        <v>10900</v>
      </c>
      <c r="C3285" t="s">
        <v>10943</v>
      </c>
      <c r="D3285" t="s">
        <v>11919</v>
      </c>
      <c r="E3285" t="s">
        <v>11920</v>
      </c>
      <c r="F3285" t="s">
        <v>11919</v>
      </c>
      <c r="G3285" s="1">
        <v>10700000</v>
      </c>
      <c r="H3285" s="2">
        <v>10700000</v>
      </c>
      <c r="I3285" s="2">
        <v>11267226.41</v>
      </c>
      <c r="J3285" s="2">
        <v>45767.56</v>
      </c>
      <c r="K3285" s="2">
        <v>0</v>
      </c>
      <c r="L3285" s="2">
        <v>11312993.970000001</v>
      </c>
      <c r="M3285" s="3">
        <v>6.2178870000000002</v>
      </c>
      <c r="N3285" s="4">
        <v>2.5738279999999999E-2</v>
      </c>
      <c r="O3285" s="5">
        <v>44746</v>
      </c>
      <c r="P3285" s="5">
        <v>45840</v>
      </c>
      <c r="Q3285" s="1">
        <v>8.2170000000000005</v>
      </c>
      <c r="R3285" s="2">
        <v>0.19</v>
      </c>
      <c r="S3285" s="6">
        <v>0.21403134549399999</v>
      </c>
      <c r="T3285" t="s">
        <v>111</v>
      </c>
      <c r="U3285" t="s">
        <v>111</v>
      </c>
      <c r="V3285" t="s">
        <v>11189</v>
      </c>
      <c r="W3285" t="s">
        <v>43</v>
      </c>
      <c r="X3285" t="s">
        <v>11034</v>
      </c>
      <c r="Y3285" t="s">
        <v>44</v>
      </c>
      <c r="Z3285" t="s">
        <v>44</v>
      </c>
      <c r="AA3285" t="s">
        <v>11035</v>
      </c>
      <c r="AB3285" t="s">
        <v>44</v>
      </c>
      <c r="AC3285" s="4">
        <v>6.3145418700000002</v>
      </c>
      <c r="AD3285" s="4">
        <v>6.1388379000000004</v>
      </c>
      <c r="AE3285" s="2">
        <v>6.31</v>
      </c>
      <c r="AF3285" s="4">
        <v>6.1388379000000004</v>
      </c>
      <c r="AG3285" s="2">
        <v>1.68</v>
      </c>
      <c r="AH3285" s="2">
        <v>11312993.970000001</v>
      </c>
      <c r="AI3285" s="2">
        <v>0.03</v>
      </c>
      <c r="AJ3285" s="5">
        <v>44673</v>
      </c>
      <c r="AK3285" t="s">
        <v>12650</v>
      </c>
      <c r="AL3285" s="2">
        <v>6.22</v>
      </c>
      <c r="AM3285" s="2">
        <v>8.2200000000000006</v>
      </c>
      <c r="AN3285" s="2">
        <v>0.21</v>
      </c>
      <c r="AO3285" t="s">
        <v>11036</v>
      </c>
      <c r="AP3285" t="s">
        <v>11921</v>
      </c>
      <c r="AQ3285" t="s">
        <v>11920</v>
      </c>
    </row>
    <row r="3286" spans="1:43" x14ac:dyDescent="0.2">
      <c r="A3286" t="s">
        <v>12649</v>
      </c>
      <c r="B3286" t="s">
        <v>10900</v>
      </c>
      <c r="C3286" t="s">
        <v>10943</v>
      </c>
      <c r="D3286" t="s">
        <v>11962</v>
      </c>
      <c r="E3286" t="s">
        <v>11963</v>
      </c>
      <c r="F3286" t="s">
        <v>11962</v>
      </c>
      <c r="G3286" s="1">
        <v>12300000</v>
      </c>
      <c r="H3286" s="2">
        <v>12298811.880000001</v>
      </c>
      <c r="I3286" s="2">
        <v>12607317.640000001</v>
      </c>
      <c r="J3286" s="2">
        <v>230195.34</v>
      </c>
      <c r="K3286" s="2">
        <v>0</v>
      </c>
      <c r="L3286" s="2">
        <v>12837512.98</v>
      </c>
      <c r="M3286" s="3">
        <v>8.2411139999999996</v>
      </c>
      <c r="N3286" s="4">
        <v>2.9206719999999999E-2</v>
      </c>
      <c r="O3286" s="5">
        <v>44686</v>
      </c>
      <c r="P3286" s="5">
        <v>45874</v>
      </c>
      <c r="Q3286" s="1">
        <v>9.1080000000000005</v>
      </c>
      <c r="R3286" s="2">
        <v>0.03</v>
      </c>
      <c r="S3286" s="6">
        <v>-1.210173591E-2</v>
      </c>
      <c r="T3286" t="s">
        <v>111</v>
      </c>
      <c r="U3286" t="s">
        <v>111</v>
      </c>
      <c r="V3286" t="s">
        <v>11189</v>
      </c>
      <c r="W3286" t="s">
        <v>43</v>
      </c>
      <c r="X3286" t="s">
        <v>11034</v>
      </c>
      <c r="Y3286" t="s">
        <v>44</v>
      </c>
      <c r="Z3286" t="s">
        <v>44</v>
      </c>
      <c r="AA3286" t="s">
        <v>11035</v>
      </c>
      <c r="AB3286" t="s">
        <v>44</v>
      </c>
      <c r="AC3286" s="4">
        <v>8.4109039299999999</v>
      </c>
      <c r="AD3286" s="4">
        <v>8.1030845599999992</v>
      </c>
      <c r="AE3286" s="2">
        <v>8.41</v>
      </c>
      <c r="AF3286" s="4">
        <v>8.1030845599999992</v>
      </c>
      <c r="AG3286" s="2">
        <v>1.9</v>
      </c>
      <c r="AH3286" s="2">
        <v>12837512.98</v>
      </c>
      <c r="AI3286" s="2">
        <v>0.03</v>
      </c>
      <c r="AJ3286" s="5">
        <v>44673</v>
      </c>
      <c r="AK3286" t="s">
        <v>12650</v>
      </c>
      <c r="AL3286" s="2">
        <v>8.24</v>
      </c>
      <c r="AM3286" s="2">
        <v>9.11</v>
      </c>
      <c r="AN3286" s="2">
        <v>-0.01</v>
      </c>
      <c r="AO3286" t="s">
        <v>11036</v>
      </c>
      <c r="AP3286" t="s">
        <v>11964</v>
      </c>
      <c r="AQ3286" t="s">
        <v>11963</v>
      </c>
    </row>
    <row r="3287" spans="1:43" x14ac:dyDescent="0.2">
      <c r="A3287" t="s">
        <v>12649</v>
      </c>
      <c r="B3287" t="s">
        <v>10900</v>
      </c>
      <c r="C3287" t="s">
        <v>10943</v>
      </c>
      <c r="D3287" t="s">
        <v>11585</v>
      </c>
      <c r="E3287" t="s">
        <v>11586</v>
      </c>
      <c r="F3287" t="s">
        <v>11585</v>
      </c>
      <c r="G3287" s="1">
        <v>12600000</v>
      </c>
      <c r="H3287" s="2">
        <v>12600000</v>
      </c>
      <c r="I3287" s="2">
        <v>13116876.439999999</v>
      </c>
      <c r="J3287" s="2">
        <v>141644.71</v>
      </c>
      <c r="K3287" s="2">
        <v>0</v>
      </c>
      <c r="L3287" s="2">
        <v>13258521.15</v>
      </c>
      <c r="M3287" s="3">
        <v>7.7660200000000001</v>
      </c>
      <c r="N3287" s="4">
        <v>3.016456E-2</v>
      </c>
      <c r="O3287" s="5">
        <v>44720</v>
      </c>
      <c r="P3287" s="5">
        <v>46273</v>
      </c>
      <c r="Q3287" s="1">
        <v>8.92</v>
      </c>
      <c r="R3287" s="2">
        <v>0.12</v>
      </c>
      <c r="S3287" s="6">
        <v>0.10556959685300001</v>
      </c>
      <c r="T3287" t="s">
        <v>111</v>
      </c>
      <c r="U3287" t="s">
        <v>111</v>
      </c>
      <c r="V3287" t="s">
        <v>11189</v>
      </c>
      <c r="W3287" t="s">
        <v>43</v>
      </c>
      <c r="X3287" t="s">
        <v>11034</v>
      </c>
      <c r="Y3287" t="s">
        <v>44</v>
      </c>
      <c r="Z3287" t="s">
        <v>44</v>
      </c>
      <c r="AA3287" t="s">
        <v>11035</v>
      </c>
      <c r="AB3287" t="s">
        <v>44</v>
      </c>
      <c r="AC3287" s="4">
        <v>7.9167972899999999</v>
      </c>
      <c r="AD3287" s="4">
        <v>7.6432735200000002</v>
      </c>
      <c r="AE3287" s="2">
        <v>7.92</v>
      </c>
      <c r="AF3287" s="4">
        <v>7.6432735200000002</v>
      </c>
      <c r="AG3287" s="2">
        <v>1.96</v>
      </c>
      <c r="AH3287" s="2">
        <v>13258521.15</v>
      </c>
      <c r="AI3287" s="2">
        <v>0.03</v>
      </c>
      <c r="AJ3287" s="5">
        <v>44673</v>
      </c>
      <c r="AK3287" t="s">
        <v>12650</v>
      </c>
      <c r="AL3287" s="2">
        <v>7.77</v>
      </c>
      <c r="AM3287" s="2">
        <v>8.92</v>
      </c>
      <c r="AN3287" s="2">
        <v>0.11</v>
      </c>
      <c r="AO3287" t="s">
        <v>11036</v>
      </c>
      <c r="AP3287" t="s">
        <v>11587</v>
      </c>
      <c r="AQ3287" t="s">
        <v>11586</v>
      </c>
    </row>
    <row r="3288" spans="1:43" x14ac:dyDescent="0.2">
      <c r="A3288" t="s">
        <v>12649</v>
      </c>
      <c r="B3288" t="s">
        <v>10900</v>
      </c>
      <c r="C3288" t="s">
        <v>10943</v>
      </c>
      <c r="D3288" t="s">
        <v>11135</v>
      </c>
      <c r="E3288" t="s">
        <v>10946</v>
      </c>
      <c r="F3288" t="s">
        <v>11135</v>
      </c>
      <c r="G3288" s="1">
        <v>65407000</v>
      </c>
      <c r="H3288" s="2">
        <v>73107957.060000002</v>
      </c>
      <c r="I3288" s="2">
        <v>71060094.310000002</v>
      </c>
      <c r="J3288" s="2">
        <v>2314332.62</v>
      </c>
      <c r="K3288" s="2">
        <v>0</v>
      </c>
      <c r="L3288" s="2">
        <v>73374426.930000007</v>
      </c>
      <c r="M3288" s="3">
        <v>8.2249999999999996</v>
      </c>
      <c r="N3288" s="4">
        <v>0.16693472000000001</v>
      </c>
      <c r="O3288" s="5">
        <v>44733</v>
      </c>
      <c r="P3288" s="5">
        <v>46377</v>
      </c>
      <c r="Q3288" s="1">
        <v>10.5</v>
      </c>
      <c r="R3288" s="2">
        <v>3.72</v>
      </c>
      <c r="S3288" s="6">
        <v>3.572672968</v>
      </c>
      <c r="T3288" t="s">
        <v>111</v>
      </c>
      <c r="U3288" t="s">
        <v>111</v>
      </c>
      <c r="V3288" t="s">
        <v>10944</v>
      </c>
      <c r="W3288" t="s">
        <v>43</v>
      </c>
      <c r="X3288" t="s">
        <v>10945</v>
      </c>
      <c r="Y3288" t="s">
        <v>44</v>
      </c>
      <c r="Z3288" t="s">
        <v>44</v>
      </c>
      <c r="AA3288" t="s">
        <v>10913</v>
      </c>
      <c r="AB3288" t="s">
        <v>44</v>
      </c>
      <c r="AC3288" s="4">
        <v>8.3941265600000001</v>
      </c>
      <c r="AD3288" s="4">
        <v>8.0875032299999994</v>
      </c>
      <c r="AE3288" s="2">
        <v>8.39</v>
      </c>
      <c r="AF3288" s="4">
        <v>8.0875032299999994</v>
      </c>
      <c r="AG3288" s="2">
        <v>10.87</v>
      </c>
      <c r="AH3288" s="2">
        <v>73374426.930000007</v>
      </c>
      <c r="AI3288" s="2">
        <v>0.17</v>
      </c>
      <c r="AJ3288" s="5">
        <v>44673</v>
      </c>
      <c r="AK3288" t="s">
        <v>12650</v>
      </c>
      <c r="AL3288" s="2">
        <v>8.23</v>
      </c>
      <c r="AM3288" s="2">
        <v>10.5</v>
      </c>
      <c r="AN3288" s="2">
        <v>3.57</v>
      </c>
      <c r="AO3288" t="s">
        <v>10922</v>
      </c>
      <c r="AP3288" t="s">
        <v>11136</v>
      </c>
      <c r="AQ3288" t="s">
        <v>10946</v>
      </c>
    </row>
    <row r="3289" spans="1:43" x14ac:dyDescent="0.2">
      <c r="A3289" t="s">
        <v>12649</v>
      </c>
      <c r="B3289" t="s">
        <v>10900</v>
      </c>
      <c r="C3289" t="s">
        <v>10943</v>
      </c>
      <c r="D3289" t="s">
        <v>12863</v>
      </c>
      <c r="E3289" t="s">
        <v>12864</v>
      </c>
      <c r="F3289" t="s">
        <v>12863</v>
      </c>
      <c r="G3289" s="1">
        <v>3900000</v>
      </c>
      <c r="H3289" s="2">
        <v>3900000</v>
      </c>
      <c r="I3289" s="2">
        <v>3904430</v>
      </c>
      <c r="J3289" s="2">
        <v>13945.12</v>
      </c>
      <c r="K3289" s="2">
        <v>0</v>
      </c>
      <c r="L3289" s="2">
        <v>3918375.12</v>
      </c>
      <c r="M3289" s="3">
        <v>8.0409749999999995</v>
      </c>
      <c r="N3289" s="4">
        <v>8.9147299999999992E-3</v>
      </c>
      <c r="O3289" s="5">
        <v>44750</v>
      </c>
      <c r="P3289" s="5">
        <v>46485</v>
      </c>
      <c r="Q3289" s="1">
        <v>8.157</v>
      </c>
      <c r="R3289" s="2">
        <v>0.2</v>
      </c>
      <c r="S3289" s="6">
        <v>9.4975697833E-2</v>
      </c>
      <c r="T3289" t="s">
        <v>111</v>
      </c>
      <c r="U3289" t="s">
        <v>111</v>
      </c>
      <c r="V3289" t="s">
        <v>11189</v>
      </c>
      <c r="W3289" t="s">
        <v>43</v>
      </c>
      <c r="X3289" t="s">
        <v>11034</v>
      </c>
      <c r="Y3289" t="s">
        <v>44</v>
      </c>
      <c r="Z3289" t="s">
        <v>44</v>
      </c>
      <c r="AA3289" t="s">
        <v>11035</v>
      </c>
      <c r="AB3289" t="s">
        <v>44</v>
      </c>
      <c r="AC3289" s="4">
        <v>8.2026182599999995</v>
      </c>
      <c r="AD3289" s="4">
        <v>7.9094905600000001</v>
      </c>
      <c r="AE3289" s="2">
        <v>8.1999999999999993</v>
      </c>
      <c r="AF3289" s="4">
        <v>7.9094905600000001</v>
      </c>
      <c r="AG3289" s="2">
        <v>0.57999999999999996</v>
      </c>
      <c r="AH3289" s="2">
        <v>3918375.12</v>
      </c>
      <c r="AI3289" s="2">
        <v>0.01</v>
      </c>
      <c r="AJ3289" s="5">
        <v>44673</v>
      </c>
      <c r="AK3289" t="s">
        <v>12650</v>
      </c>
      <c r="AL3289" s="2">
        <v>8.0399999999999991</v>
      </c>
      <c r="AM3289" s="2">
        <v>8.16</v>
      </c>
      <c r="AN3289" s="2">
        <v>0.09</v>
      </c>
      <c r="AO3289" t="s">
        <v>11496</v>
      </c>
      <c r="AP3289" t="s">
        <v>12865</v>
      </c>
      <c r="AQ3289" t="s">
        <v>12864</v>
      </c>
    </row>
    <row r="3290" spans="1:43" x14ac:dyDescent="0.2">
      <c r="A3290" t="s">
        <v>12649</v>
      </c>
      <c r="B3290" t="s">
        <v>10900</v>
      </c>
      <c r="C3290" t="s">
        <v>10943</v>
      </c>
      <c r="D3290" t="s">
        <v>11855</v>
      </c>
      <c r="E3290" t="s">
        <v>11856</v>
      </c>
      <c r="F3290" t="s">
        <v>11855</v>
      </c>
      <c r="G3290" s="1">
        <v>4577000</v>
      </c>
      <c r="H3290" s="2">
        <v>4954416.8</v>
      </c>
      <c r="I3290" s="2">
        <v>4767147.8</v>
      </c>
      <c r="J3290" s="2">
        <v>161965.60999999999</v>
      </c>
      <c r="K3290" s="2">
        <v>0</v>
      </c>
      <c r="L3290" s="2">
        <v>4929113.41</v>
      </c>
      <c r="M3290" s="3">
        <v>8.76</v>
      </c>
      <c r="N3290" s="4">
        <v>1.121426E-2</v>
      </c>
      <c r="O3290" s="5">
        <v>44724</v>
      </c>
      <c r="P3290" s="5">
        <v>46550</v>
      </c>
      <c r="Q3290" s="1">
        <v>9.7850000000000001</v>
      </c>
      <c r="R3290" s="2">
        <v>4.04</v>
      </c>
      <c r="S3290" s="6">
        <v>3.8707805450000001</v>
      </c>
      <c r="T3290" t="s">
        <v>111</v>
      </c>
      <c r="U3290" t="s">
        <v>111</v>
      </c>
      <c r="V3290" t="s">
        <v>10944</v>
      </c>
      <c r="W3290" t="s">
        <v>43</v>
      </c>
      <c r="X3290" t="s">
        <v>10988</v>
      </c>
      <c r="Y3290" t="s">
        <v>44</v>
      </c>
      <c r="Z3290" t="s">
        <v>44</v>
      </c>
      <c r="AA3290" t="s">
        <v>10979</v>
      </c>
      <c r="AB3290" t="s">
        <v>44</v>
      </c>
      <c r="AC3290" s="4">
        <v>8.9518439999999995</v>
      </c>
      <c r="AD3290" s="4">
        <v>8.6042807299999993</v>
      </c>
      <c r="AE3290" s="2">
        <v>8.9499999999999993</v>
      </c>
      <c r="AF3290" s="4">
        <v>8.6042807299999993</v>
      </c>
      <c r="AG3290" s="2">
        <v>0.73</v>
      </c>
      <c r="AH3290" s="2">
        <v>4929113.41</v>
      </c>
      <c r="AI3290" s="2">
        <v>0.01</v>
      </c>
      <c r="AJ3290" s="5">
        <v>44673</v>
      </c>
      <c r="AK3290" t="s">
        <v>12650</v>
      </c>
      <c r="AL3290" s="2">
        <v>8.76</v>
      </c>
      <c r="AM3290" s="2">
        <v>9.7899999999999991</v>
      </c>
      <c r="AN3290" s="2">
        <v>3.87</v>
      </c>
      <c r="AO3290" t="s">
        <v>11179</v>
      </c>
      <c r="AP3290" t="s">
        <v>11857</v>
      </c>
      <c r="AQ3290" t="s">
        <v>11856</v>
      </c>
    </row>
    <row r="3291" spans="1:43" x14ac:dyDescent="0.2">
      <c r="A3291" t="s">
        <v>12649</v>
      </c>
      <c r="B3291" t="s">
        <v>10900</v>
      </c>
      <c r="C3291" t="s">
        <v>10943</v>
      </c>
      <c r="D3291" t="s">
        <v>11858</v>
      </c>
      <c r="E3291" t="s">
        <v>11859</v>
      </c>
      <c r="F3291" t="s">
        <v>11858</v>
      </c>
      <c r="G3291" s="1">
        <v>800000</v>
      </c>
      <c r="H3291" s="2">
        <v>800000</v>
      </c>
      <c r="I3291" s="2">
        <v>780585.76</v>
      </c>
      <c r="J3291" s="2">
        <v>16640.88</v>
      </c>
      <c r="K3291" s="2">
        <v>0</v>
      </c>
      <c r="L3291" s="2">
        <v>797226.64</v>
      </c>
      <c r="M3291" s="3">
        <v>10.77</v>
      </c>
      <c r="N3291" s="4">
        <v>1.8137800000000001E-3</v>
      </c>
      <c r="O3291" s="5">
        <v>44780</v>
      </c>
      <c r="P3291" s="5">
        <v>47156</v>
      </c>
      <c r="Q3291" s="1">
        <v>10.26</v>
      </c>
      <c r="R3291" s="2">
        <v>4.92</v>
      </c>
      <c r="S3291" s="6">
        <v>4.6700968569999999</v>
      </c>
      <c r="T3291" t="s">
        <v>111</v>
      </c>
      <c r="U3291" t="s">
        <v>111</v>
      </c>
      <c r="V3291" t="s">
        <v>10944</v>
      </c>
      <c r="W3291" t="s">
        <v>43</v>
      </c>
      <c r="X3291" t="s">
        <v>44</v>
      </c>
      <c r="Y3291" t="s">
        <v>44</v>
      </c>
      <c r="Z3291" t="s">
        <v>44</v>
      </c>
      <c r="AA3291" t="s">
        <v>10979</v>
      </c>
      <c r="AB3291" t="s">
        <v>44</v>
      </c>
      <c r="AC3291" s="4">
        <v>11.059982249999999</v>
      </c>
      <c r="AD3291" s="4">
        <v>10.536009160000001</v>
      </c>
      <c r="AE3291" s="2">
        <v>11.06</v>
      </c>
      <c r="AF3291" s="4">
        <v>10.536009160000001</v>
      </c>
      <c r="AG3291" s="2">
        <v>0.12</v>
      </c>
      <c r="AH3291" s="2">
        <v>797226.64</v>
      </c>
      <c r="AI3291" s="2">
        <v>0</v>
      </c>
      <c r="AJ3291" s="5">
        <v>44673</v>
      </c>
      <c r="AK3291" t="s">
        <v>12650</v>
      </c>
      <c r="AL3291" s="2">
        <v>10.77</v>
      </c>
      <c r="AM3291" s="2">
        <v>10.26</v>
      </c>
      <c r="AN3291" s="2">
        <v>4.67</v>
      </c>
      <c r="AO3291" t="s">
        <v>10982</v>
      </c>
      <c r="AP3291" t="s">
        <v>11860</v>
      </c>
      <c r="AQ3291" t="s">
        <v>11859</v>
      </c>
    </row>
    <row r="3292" spans="1:43" x14ac:dyDescent="0.2">
      <c r="A3292" t="s">
        <v>12649</v>
      </c>
      <c r="B3292" t="s">
        <v>10900</v>
      </c>
      <c r="C3292" t="s">
        <v>11137</v>
      </c>
      <c r="D3292" t="s">
        <v>11594</v>
      </c>
      <c r="E3292" t="s">
        <v>11595</v>
      </c>
      <c r="F3292" t="s">
        <v>11594</v>
      </c>
      <c r="G3292" s="1">
        <v>46973000</v>
      </c>
      <c r="H3292" s="2">
        <v>44328674.479999997</v>
      </c>
      <c r="I3292" s="2">
        <v>42350415.25</v>
      </c>
      <c r="J3292" s="2">
        <v>844227.07</v>
      </c>
      <c r="K3292" s="2">
        <v>0</v>
      </c>
      <c r="L3292" s="2">
        <v>43194642.32</v>
      </c>
      <c r="M3292" s="3">
        <v>9.84</v>
      </c>
      <c r="N3292" s="4">
        <v>9.8272460000000006E-2</v>
      </c>
      <c r="O3292" s="5">
        <v>44774</v>
      </c>
      <c r="P3292" s="5">
        <v>47514</v>
      </c>
      <c r="Q3292" s="1">
        <v>8</v>
      </c>
      <c r="R3292" s="2">
        <v>5.71</v>
      </c>
      <c r="S3292" s="6">
        <v>5.4383328750000004</v>
      </c>
      <c r="T3292" t="s">
        <v>111</v>
      </c>
      <c r="U3292" t="s">
        <v>111</v>
      </c>
      <c r="V3292" t="s">
        <v>10944</v>
      </c>
      <c r="W3292" t="s">
        <v>43</v>
      </c>
      <c r="X3292" t="s">
        <v>10945</v>
      </c>
      <c r="Y3292" t="s">
        <v>44</v>
      </c>
      <c r="Z3292" t="s">
        <v>44</v>
      </c>
      <c r="AA3292" t="s">
        <v>10913</v>
      </c>
      <c r="AB3292" t="s">
        <v>44</v>
      </c>
      <c r="AC3292" s="4">
        <v>10.082064000000001</v>
      </c>
      <c r="AD3292" s="4">
        <v>9.6441413499999999</v>
      </c>
      <c r="AE3292" s="2">
        <v>10.08</v>
      </c>
      <c r="AF3292" s="4">
        <v>9.6441413499999999</v>
      </c>
      <c r="AG3292" s="2">
        <v>6.4</v>
      </c>
      <c r="AH3292" s="2">
        <v>43194642.32</v>
      </c>
      <c r="AI3292" s="2">
        <v>0.1</v>
      </c>
      <c r="AJ3292" s="5">
        <v>44673</v>
      </c>
      <c r="AK3292" t="s">
        <v>12650</v>
      </c>
      <c r="AL3292" s="2">
        <v>9.84</v>
      </c>
      <c r="AM3292" s="2">
        <v>8</v>
      </c>
      <c r="AN3292" s="2">
        <v>5.44</v>
      </c>
      <c r="AO3292" t="s">
        <v>10922</v>
      </c>
      <c r="AP3292" t="s">
        <v>11596</v>
      </c>
      <c r="AQ3292" t="s">
        <v>11595</v>
      </c>
    </row>
    <row r="3293" spans="1:43" x14ac:dyDescent="0.2">
      <c r="A3293" t="s">
        <v>12649</v>
      </c>
      <c r="B3293" t="s">
        <v>10900</v>
      </c>
      <c r="C3293" t="s">
        <v>10950</v>
      </c>
      <c r="D3293" t="s">
        <v>10983</v>
      </c>
      <c r="E3293" t="s">
        <v>10984</v>
      </c>
      <c r="F3293" t="s">
        <v>10983</v>
      </c>
      <c r="G3293" s="1">
        <v>411000</v>
      </c>
      <c r="H3293" s="2">
        <v>353679.54</v>
      </c>
      <c r="I3293" s="2">
        <v>343650.46</v>
      </c>
      <c r="J3293" s="2">
        <v>7848.41</v>
      </c>
      <c r="K3293" s="2">
        <v>0</v>
      </c>
      <c r="L3293" s="2">
        <v>351498.87</v>
      </c>
      <c r="M3293" s="3">
        <v>10.734999999999999</v>
      </c>
      <c r="N3293" s="4">
        <v>7.9969999999999998E-4</v>
      </c>
      <c r="O3293" s="5">
        <v>44774</v>
      </c>
      <c r="P3293" s="5">
        <v>50071</v>
      </c>
      <c r="Q3293" s="1">
        <v>8.5</v>
      </c>
      <c r="R3293" s="2">
        <v>7.91</v>
      </c>
      <c r="S3293" s="6">
        <v>7.5106016819999999</v>
      </c>
      <c r="T3293" t="s">
        <v>111</v>
      </c>
      <c r="U3293" t="s">
        <v>111</v>
      </c>
      <c r="V3293" t="s">
        <v>10944</v>
      </c>
      <c r="W3293" t="s">
        <v>43</v>
      </c>
      <c r="X3293" t="s">
        <v>10945</v>
      </c>
      <c r="Y3293" t="s">
        <v>44</v>
      </c>
      <c r="Z3293" t="s">
        <v>44</v>
      </c>
      <c r="AA3293" t="s">
        <v>10913</v>
      </c>
      <c r="AB3293" t="s">
        <v>44</v>
      </c>
      <c r="AC3293" s="4">
        <v>11.02310056</v>
      </c>
      <c r="AD3293" s="4">
        <v>10.50250368</v>
      </c>
      <c r="AE3293" s="2">
        <v>11.02</v>
      </c>
      <c r="AF3293" s="4">
        <v>10.50250368</v>
      </c>
      <c r="AG3293" s="2">
        <v>0.05</v>
      </c>
      <c r="AH3293" s="2">
        <v>351498.87</v>
      </c>
      <c r="AI3293" s="2">
        <v>0</v>
      </c>
      <c r="AJ3293" s="5">
        <v>44673</v>
      </c>
      <c r="AK3293" t="s">
        <v>12650</v>
      </c>
      <c r="AL3293" s="2">
        <v>10.73</v>
      </c>
      <c r="AM3293" s="2">
        <v>8.5</v>
      </c>
      <c r="AN3293" s="2">
        <v>7.51</v>
      </c>
      <c r="AO3293" t="s">
        <v>10922</v>
      </c>
      <c r="AP3293" t="s">
        <v>10985</v>
      </c>
      <c r="AQ3293" t="s">
        <v>10984</v>
      </c>
    </row>
    <row r="3294" spans="1:43" x14ac:dyDescent="0.2">
      <c r="A3294" t="s">
        <v>12649</v>
      </c>
      <c r="B3294" t="s">
        <v>45</v>
      </c>
      <c r="C3294" t="s">
        <v>11000</v>
      </c>
      <c r="D3294" t="s">
        <v>11421</v>
      </c>
      <c r="E3294" t="s">
        <v>11422</v>
      </c>
      <c r="F3294" t="s">
        <v>11421</v>
      </c>
      <c r="G3294" s="1">
        <v>4000000</v>
      </c>
      <c r="H3294" s="2">
        <v>4000000</v>
      </c>
      <c r="I3294" s="2">
        <v>4000000</v>
      </c>
      <c r="J3294" s="2">
        <v>16109.59</v>
      </c>
      <c r="K3294" s="2">
        <v>0</v>
      </c>
      <c r="L3294" s="2">
        <v>4016109.59</v>
      </c>
      <c r="M3294" s="3">
        <v>4.2</v>
      </c>
      <c r="N3294" s="4">
        <v>9.1370800000000005E-3</v>
      </c>
      <c r="O3294" s="5" t="s">
        <v>44</v>
      </c>
      <c r="P3294" s="5">
        <v>55153</v>
      </c>
      <c r="Q3294" s="1">
        <v>4.2</v>
      </c>
      <c r="R3294" s="2">
        <v>0.08</v>
      </c>
      <c r="S3294" s="6">
        <v>2.5947269999999998E-3</v>
      </c>
      <c r="T3294" t="s">
        <v>112</v>
      </c>
      <c r="U3294" t="s">
        <v>46</v>
      </c>
      <c r="V3294" t="s">
        <v>11270</v>
      </c>
      <c r="W3294" t="s">
        <v>43</v>
      </c>
      <c r="X3294" t="s">
        <v>44</v>
      </c>
      <c r="Y3294" t="s">
        <v>44</v>
      </c>
      <c r="Z3294" t="s">
        <v>44</v>
      </c>
      <c r="AA3294" t="s">
        <v>10913</v>
      </c>
      <c r="AB3294" t="s">
        <v>44</v>
      </c>
      <c r="AC3294" s="4">
        <v>4.2819052299999996</v>
      </c>
      <c r="AD3294" s="4">
        <v>4.20010057</v>
      </c>
      <c r="AE3294" s="2">
        <v>4.28</v>
      </c>
      <c r="AF3294" s="4">
        <v>4.20010057</v>
      </c>
      <c r="AG3294" s="2">
        <v>0.59</v>
      </c>
      <c r="AH3294" s="2">
        <v>4016109.59</v>
      </c>
      <c r="AI3294" s="2">
        <v>0.01</v>
      </c>
      <c r="AJ3294" s="5">
        <v>44673</v>
      </c>
      <c r="AK3294" t="s">
        <v>12650</v>
      </c>
      <c r="AL3294" s="2">
        <v>4.24</v>
      </c>
      <c r="AM3294" s="2">
        <v>4.2</v>
      </c>
      <c r="AN3294" s="2">
        <v>0</v>
      </c>
      <c r="AO3294" t="s">
        <v>11423</v>
      </c>
      <c r="AP3294" t="s">
        <v>44</v>
      </c>
      <c r="AQ3294" t="s">
        <v>11422</v>
      </c>
    </row>
    <row r="3295" spans="1:43" x14ac:dyDescent="0.2">
      <c r="A3295" t="s">
        <v>12649</v>
      </c>
      <c r="B3295" t="s">
        <v>45</v>
      </c>
      <c r="C3295" t="s">
        <v>11000</v>
      </c>
      <c r="D3295" t="s">
        <v>11424</v>
      </c>
      <c r="E3295" t="s">
        <v>11425</v>
      </c>
      <c r="F3295" t="s">
        <v>11424</v>
      </c>
      <c r="G3295" s="1">
        <v>7000000</v>
      </c>
      <c r="H3295" s="2">
        <v>7000000</v>
      </c>
      <c r="I3295" s="2">
        <v>7000000</v>
      </c>
      <c r="J3295" s="2">
        <v>14958.91</v>
      </c>
      <c r="K3295" s="2">
        <v>0</v>
      </c>
      <c r="L3295" s="2">
        <v>7014958.9100000001</v>
      </c>
      <c r="M3295" s="3">
        <v>4.2</v>
      </c>
      <c r="N3295" s="4">
        <v>1.5959790000000001E-2</v>
      </c>
      <c r="O3295" s="5" t="s">
        <v>44</v>
      </c>
      <c r="P3295" s="5">
        <v>55153</v>
      </c>
      <c r="Q3295" s="1">
        <v>4.2</v>
      </c>
      <c r="R3295" s="2">
        <v>0.08</v>
      </c>
      <c r="S3295" s="6">
        <v>2.5986049999999999E-3</v>
      </c>
      <c r="T3295" t="s">
        <v>112</v>
      </c>
      <c r="U3295" t="s">
        <v>46</v>
      </c>
      <c r="V3295" t="s">
        <v>11270</v>
      </c>
      <c r="W3295" t="s">
        <v>43</v>
      </c>
      <c r="X3295" t="s">
        <v>44</v>
      </c>
      <c r="Y3295" t="s">
        <v>44</v>
      </c>
      <c r="Z3295" t="s">
        <v>44</v>
      </c>
      <c r="AA3295" t="s">
        <v>11035</v>
      </c>
      <c r="AB3295" t="s">
        <v>44</v>
      </c>
      <c r="AC3295" s="4">
        <v>4.2819052299999996</v>
      </c>
      <c r="AD3295" s="4">
        <v>4.20010057</v>
      </c>
      <c r="AE3295" s="2">
        <v>4.28</v>
      </c>
      <c r="AF3295" s="4">
        <v>4.20010057</v>
      </c>
      <c r="AG3295" s="2">
        <v>1.04</v>
      </c>
      <c r="AH3295" s="2">
        <v>7014958.9100000001</v>
      </c>
      <c r="AI3295" s="2">
        <v>0.02</v>
      </c>
      <c r="AJ3295" s="5">
        <v>44673</v>
      </c>
      <c r="AK3295" t="s">
        <v>12650</v>
      </c>
      <c r="AL3295" s="2">
        <v>4.24</v>
      </c>
      <c r="AM3295" s="2">
        <v>4.2</v>
      </c>
      <c r="AN3295" s="2">
        <v>0</v>
      </c>
      <c r="AO3295" t="s">
        <v>11053</v>
      </c>
      <c r="AP3295" t="s">
        <v>44</v>
      </c>
      <c r="AQ3295" t="s">
        <v>11425</v>
      </c>
    </row>
    <row r="3296" spans="1:43" x14ac:dyDescent="0.2">
      <c r="A3296" t="s">
        <v>12649</v>
      </c>
      <c r="B3296" t="s">
        <v>45</v>
      </c>
      <c r="C3296" t="s">
        <v>47</v>
      </c>
      <c r="D3296" t="s">
        <v>48</v>
      </c>
      <c r="E3296" t="s">
        <v>49</v>
      </c>
      <c r="F3296" t="s">
        <v>50</v>
      </c>
      <c r="G3296" s="1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3745.34</v>
      </c>
      <c r="M3296" s="3"/>
      <c r="N3296" s="4">
        <v>8.5199999999999997E-6</v>
      </c>
      <c r="O3296" s="5" t="s">
        <v>44</v>
      </c>
      <c r="P3296" s="5" t="s">
        <v>44</v>
      </c>
      <c r="Q3296" s="1"/>
      <c r="R3296" s="2">
        <v>0.08</v>
      </c>
      <c r="S3296" s="6"/>
      <c r="T3296" t="s">
        <v>45</v>
      </c>
      <c r="U3296" t="s">
        <v>46</v>
      </c>
      <c r="V3296" t="s">
        <v>44</v>
      </c>
      <c r="W3296" t="s">
        <v>43</v>
      </c>
      <c r="X3296" t="s">
        <v>44</v>
      </c>
      <c r="Y3296" t="s">
        <v>44</v>
      </c>
      <c r="Z3296" t="s">
        <v>44</v>
      </c>
      <c r="AA3296" t="s">
        <v>44</v>
      </c>
      <c r="AB3296" t="s">
        <v>44</v>
      </c>
      <c r="AC3296" s="4">
        <v>5.1163389600000002</v>
      </c>
      <c r="AD3296" s="4">
        <v>5.0001424999999999</v>
      </c>
      <c r="AE3296" s="2">
        <v>5.12</v>
      </c>
      <c r="AF3296" s="4">
        <v>5.0001424999999999</v>
      </c>
      <c r="AG3296" s="2">
        <v>0</v>
      </c>
      <c r="AH3296" s="2">
        <v>3745.34</v>
      </c>
      <c r="AI3296" s="2">
        <v>0</v>
      </c>
      <c r="AJ3296" s="5">
        <v>44673</v>
      </c>
      <c r="AK3296" t="s">
        <v>12650</v>
      </c>
      <c r="AL3296" s="2">
        <v>5.05</v>
      </c>
      <c r="AM3296" s="2">
        <v>0</v>
      </c>
      <c r="AN3296" s="2">
        <v>0</v>
      </c>
      <c r="AO3296" t="s">
        <v>44</v>
      </c>
      <c r="AP3296" t="s">
        <v>44</v>
      </c>
      <c r="AQ3296" t="s">
        <v>44</v>
      </c>
    </row>
    <row r="3297" spans="1:43" x14ac:dyDescent="0.2">
      <c r="A3297" t="s">
        <v>12649</v>
      </c>
      <c r="B3297" t="s">
        <v>45</v>
      </c>
      <c r="C3297" t="s">
        <v>47</v>
      </c>
      <c r="D3297" t="s">
        <v>51</v>
      </c>
      <c r="E3297" t="s">
        <v>52</v>
      </c>
      <c r="F3297" t="s">
        <v>51</v>
      </c>
      <c r="G3297" s="1">
        <v>413018.27</v>
      </c>
      <c r="H3297" s="2">
        <v>413018.27</v>
      </c>
      <c r="I3297" s="2">
        <v>413018.27</v>
      </c>
      <c r="J3297" s="2">
        <v>0</v>
      </c>
      <c r="K3297" s="2">
        <v>0</v>
      </c>
      <c r="L3297" s="2">
        <v>413018.27</v>
      </c>
      <c r="M3297" s="3"/>
      <c r="N3297" s="4">
        <v>9.3966000000000004E-4</v>
      </c>
      <c r="O3297" s="5" t="s">
        <v>44</v>
      </c>
      <c r="P3297" s="5" t="s">
        <v>44</v>
      </c>
      <c r="Q3297" s="1"/>
      <c r="R3297" s="2">
        <v>0.08</v>
      </c>
      <c r="S3297" s="6"/>
      <c r="T3297" t="s">
        <v>45</v>
      </c>
      <c r="U3297" t="s">
        <v>53</v>
      </c>
      <c r="V3297" t="s">
        <v>44</v>
      </c>
      <c r="W3297" t="s">
        <v>43</v>
      </c>
      <c r="X3297" t="s">
        <v>44</v>
      </c>
      <c r="Y3297" t="s">
        <v>44</v>
      </c>
      <c r="Z3297" t="s">
        <v>44</v>
      </c>
      <c r="AA3297" t="s">
        <v>44</v>
      </c>
      <c r="AB3297" t="s">
        <v>44</v>
      </c>
      <c r="AC3297" s="4">
        <v>5.1163389600000002</v>
      </c>
      <c r="AD3297" s="4">
        <v>5.0001424999999999</v>
      </c>
      <c r="AE3297" s="2">
        <v>5.12</v>
      </c>
      <c r="AF3297" s="4">
        <v>5.0001424999999999</v>
      </c>
      <c r="AG3297" s="2">
        <v>0.06</v>
      </c>
      <c r="AH3297" s="2">
        <v>413018.27</v>
      </c>
      <c r="AI3297" s="2">
        <v>0</v>
      </c>
      <c r="AJ3297" s="5">
        <v>44673</v>
      </c>
      <c r="AK3297" t="s">
        <v>12650</v>
      </c>
      <c r="AL3297" s="2">
        <v>5.05</v>
      </c>
      <c r="AM3297" s="2">
        <v>0</v>
      </c>
      <c r="AN3297" s="2">
        <v>0</v>
      </c>
      <c r="AO3297" t="s">
        <v>44</v>
      </c>
      <c r="AP3297" t="s">
        <v>44</v>
      </c>
      <c r="AQ3297" t="s">
        <v>43</v>
      </c>
    </row>
    <row r="3298" spans="1:43" x14ac:dyDescent="0.2">
      <c r="A3298" t="s">
        <v>12649</v>
      </c>
      <c r="B3298" t="s">
        <v>45</v>
      </c>
      <c r="C3298" t="s">
        <v>47</v>
      </c>
      <c r="D3298" t="s">
        <v>11045</v>
      </c>
      <c r="E3298" t="s">
        <v>11046</v>
      </c>
      <c r="F3298" t="s">
        <v>11045</v>
      </c>
      <c r="G3298" s="1">
        <v>92292.61</v>
      </c>
      <c r="H3298" s="2">
        <v>1420563.81</v>
      </c>
      <c r="I3298" s="2">
        <v>1441058.79</v>
      </c>
      <c r="J3298" s="2">
        <v>0</v>
      </c>
      <c r="K3298" s="2">
        <v>0</v>
      </c>
      <c r="L3298" s="2">
        <v>1441058.79</v>
      </c>
      <c r="M3298" s="3">
        <v>1</v>
      </c>
      <c r="N3298" s="4">
        <v>3.2785599999999998E-3</v>
      </c>
      <c r="O3298" s="5" t="s">
        <v>44</v>
      </c>
      <c r="P3298" s="5" t="s">
        <v>44</v>
      </c>
      <c r="Q3298" s="1"/>
      <c r="R3298" s="2">
        <v>0.08</v>
      </c>
      <c r="S3298" s="6"/>
      <c r="T3298" t="s">
        <v>45</v>
      </c>
      <c r="U3298" t="s">
        <v>53</v>
      </c>
      <c r="V3298" t="s">
        <v>44</v>
      </c>
      <c r="W3298" t="s">
        <v>113</v>
      </c>
      <c r="X3298" t="s">
        <v>44</v>
      </c>
      <c r="Y3298" t="s">
        <v>44</v>
      </c>
      <c r="Z3298" t="s">
        <v>44</v>
      </c>
      <c r="AA3298" t="s">
        <v>44</v>
      </c>
      <c r="AB3298" t="s">
        <v>44</v>
      </c>
      <c r="AC3298" s="4"/>
      <c r="AD3298" s="4"/>
      <c r="AE3298" s="2">
        <v>0</v>
      </c>
      <c r="AF3298" s="4">
        <v>0</v>
      </c>
      <c r="AG3298" s="2">
        <v>0.21</v>
      </c>
      <c r="AH3298" s="2">
        <v>1441058.79</v>
      </c>
      <c r="AI3298" s="2">
        <v>0</v>
      </c>
      <c r="AJ3298" s="5">
        <v>44673</v>
      </c>
      <c r="AK3298" t="s">
        <v>12650</v>
      </c>
      <c r="AL3298" s="2">
        <v>0</v>
      </c>
      <c r="AM3298" s="2">
        <v>0</v>
      </c>
      <c r="AN3298" s="2">
        <v>0</v>
      </c>
      <c r="AO3298" t="s">
        <v>44</v>
      </c>
      <c r="AP3298" t="s">
        <v>44</v>
      </c>
      <c r="AQ3298" t="s">
        <v>113</v>
      </c>
    </row>
    <row r="3299" spans="1:43" x14ac:dyDescent="0.2">
      <c r="A3299" t="s">
        <v>12649</v>
      </c>
      <c r="B3299" t="s">
        <v>11013</v>
      </c>
      <c r="C3299" t="s">
        <v>11047</v>
      </c>
      <c r="D3299" t="s">
        <v>11861</v>
      </c>
      <c r="E3299" t="s">
        <v>11862</v>
      </c>
      <c r="F3299" t="s">
        <v>11861</v>
      </c>
      <c r="G3299" s="1">
        <v>4593807.3356999997</v>
      </c>
      <c r="H3299" s="2">
        <v>57379473.979999997</v>
      </c>
      <c r="I3299" s="2">
        <v>72058461.870000005</v>
      </c>
      <c r="J3299" s="2">
        <v>0</v>
      </c>
      <c r="K3299" s="2">
        <v>0</v>
      </c>
      <c r="L3299" s="2">
        <v>72058461.870000005</v>
      </c>
      <c r="M3299" s="3">
        <v>15.686</v>
      </c>
      <c r="N3299" s="4">
        <v>0.16394075999999999</v>
      </c>
      <c r="O3299" s="5" t="s">
        <v>44</v>
      </c>
      <c r="P3299" s="5" t="s">
        <v>44</v>
      </c>
      <c r="Q3299" s="1"/>
      <c r="R3299" s="2"/>
      <c r="S3299" s="6"/>
      <c r="T3299" t="s">
        <v>10902</v>
      </c>
      <c r="U3299" t="s">
        <v>11003</v>
      </c>
      <c r="V3299" t="s">
        <v>11003</v>
      </c>
      <c r="W3299" t="s">
        <v>43</v>
      </c>
      <c r="X3299" t="s">
        <v>44</v>
      </c>
      <c r="Y3299" t="s">
        <v>44</v>
      </c>
      <c r="Z3299" t="s">
        <v>44</v>
      </c>
      <c r="AA3299" t="s">
        <v>44</v>
      </c>
      <c r="AB3299" t="s">
        <v>44</v>
      </c>
      <c r="AC3299" s="4"/>
      <c r="AD3299" s="4"/>
      <c r="AE3299" s="2">
        <v>0</v>
      </c>
      <c r="AF3299" s="4">
        <v>0</v>
      </c>
      <c r="AG3299" s="2">
        <v>10.67</v>
      </c>
      <c r="AH3299" s="2">
        <v>72058461.870000005</v>
      </c>
      <c r="AI3299" s="2">
        <v>0.16</v>
      </c>
      <c r="AJ3299" s="5">
        <v>44673</v>
      </c>
      <c r="AK3299" t="s">
        <v>12650</v>
      </c>
      <c r="AL3299" s="2">
        <v>0</v>
      </c>
      <c r="AM3299" s="2">
        <v>0</v>
      </c>
      <c r="AN3299" s="2">
        <v>0</v>
      </c>
      <c r="AO3299" t="s">
        <v>44</v>
      </c>
      <c r="AP3299" t="s">
        <v>44</v>
      </c>
      <c r="AQ3299" t="s">
        <v>11862</v>
      </c>
    </row>
    <row r="3300" spans="1:43" x14ac:dyDescent="0.2">
      <c r="A3300" t="s">
        <v>12649</v>
      </c>
      <c r="B3300" t="s">
        <v>11013</v>
      </c>
      <c r="C3300" t="s">
        <v>11047</v>
      </c>
      <c r="D3300" t="s">
        <v>11062</v>
      </c>
      <c r="E3300" t="s">
        <v>11063</v>
      </c>
      <c r="F3300" t="s">
        <v>11062</v>
      </c>
      <c r="G3300" s="1">
        <v>324594.09999999998</v>
      </c>
      <c r="H3300" s="2">
        <v>5126017.03</v>
      </c>
      <c r="I3300" s="2">
        <v>7820262.3200000003</v>
      </c>
      <c r="J3300" s="2">
        <v>0</v>
      </c>
      <c r="K3300" s="2">
        <v>0</v>
      </c>
      <c r="L3300" s="2">
        <v>7820262.3200000003</v>
      </c>
      <c r="M3300" s="3">
        <v>1.5429999999999999</v>
      </c>
      <c r="N3300" s="4">
        <v>1.7791939999999999E-2</v>
      </c>
      <c r="O3300" s="5" t="s">
        <v>44</v>
      </c>
      <c r="P3300" s="5" t="s">
        <v>44</v>
      </c>
      <c r="Q3300" s="1"/>
      <c r="R3300" s="2"/>
      <c r="S3300" s="6"/>
      <c r="T3300" t="s">
        <v>10902</v>
      </c>
      <c r="U3300" t="s">
        <v>11003</v>
      </c>
      <c r="V3300" t="s">
        <v>11003</v>
      </c>
      <c r="W3300" t="s">
        <v>113</v>
      </c>
      <c r="X3300" t="s">
        <v>44</v>
      </c>
      <c r="Y3300" t="s">
        <v>44</v>
      </c>
      <c r="Z3300" t="s">
        <v>44</v>
      </c>
      <c r="AA3300" t="s">
        <v>44</v>
      </c>
      <c r="AB3300" t="s">
        <v>44</v>
      </c>
      <c r="AC3300" s="4"/>
      <c r="AD3300" s="4"/>
      <c r="AE3300" s="2">
        <v>0</v>
      </c>
      <c r="AF3300" s="4">
        <v>0</v>
      </c>
      <c r="AG3300" s="2">
        <v>1.1599999999999999</v>
      </c>
      <c r="AH3300" s="2">
        <v>7820262.3200000003</v>
      </c>
      <c r="AI3300" s="2">
        <v>0.02</v>
      </c>
      <c r="AJ3300" s="5">
        <v>44673</v>
      </c>
      <c r="AK3300" t="s">
        <v>12650</v>
      </c>
      <c r="AL3300" s="2">
        <v>0</v>
      </c>
      <c r="AM3300" s="2">
        <v>0</v>
      </c>
      <c r="AN3300" s="2">
        <v>0</v>
      </c>
      <c r="AO3300" t="s">
        <v>44</v>
      </c>
      <c r="AP3300" t="s">
        <v>11064</v>
      </c>
      <c r="AQ3300" t="s">
        <v>11063</v>
      </c>
    </row>
    <row r="3301" spans="1:43" x14ac:dyDescent="0.2">
      <c r="A3301" t="s">
        <v>12649</v>
      </c>
      <c r="B3301" t="s">
        <v>11037</v>
      </c>
      <c r="C3301" t="s">
        <v>11195</v>
      </c>
      <c r="D3301" t="s">
        <v>11606</v>
      </c>
      <c r="E3301" t="s">
        <v>7660</v>
      </c>
      <c r="F3301" t="s">
        <v>11606</v>
      </c>
      <c r="G3301" s="1">
        <v>648268</v>
      </c>
      <c r="H3301" s="2">
        <v>6357590.8799999999</v>
      </c>
      <c r="I3301" s="2">
        <v>5283384.2</v>
      </c>
      <c r="J3301" s="2">
        <v>0</v>
      </c>
      <c r="K3301" s="2">
        <v>0</v>
      </c>
      <c r="L3301" s="2">
        <v>5283384.2</v>
      </c>
      <c r="M3301" s="3">
        <v>815</v>
      </c>
      <c r="N3301" s="4">
        <v>1.202027E-2</v>
      </c>
      <c r="O3301" s="5" t="s">
        <v>44</v>
      </c>
      <c r="P3301" s="5" t="s">
        <v>44</v>
      </c>
      <c r="Q3301" s="1"/>
      <c r="R3301" s="2"/>
      <c r="S3301" s="6"/>
      <c r="T3301" t="s">
        <v>10902</v>
      </c>
      <c r="U3301" t="s">
        <v>10902</v>
      </c>
      <c r="V3301" t="s">
        <v>10902</v>
      </c>
      <c r="W3301" t="s">
        <v>43</v>
      </c>
      <c r="X3301" t="s">
        <v>11197</v>
      </c>
      <c r="Y3301" t="s">
        <v>11198</v>
      </c>
      <c r="Z3301" t="s">
        <v>11195</v>
      </c>
      <c r="AA3301" t="s">
        <v>44</v>
      </c>
      <c r="AB3301" t="s">
        <v>44</v>
      </c>
      <c r="AC3301" s="4"/>
      <c r="AD3301" s="4"/>
      <c r="AE3301" s="2">
        <v>0</v>
      </c>
      <c r="AF3301" s="4">
        <v>0</v>
      </c>
      <c r="AG3301" s="2">
        <v>0.78</v>
      </c>
      <c r="AH3301" s="2">
        <v>5283384.2</v>
      </c>
      <c r="AI3301" s="2">
        <v>0.01</v>
      </c>
      <c r="AJ3301" s="5">
        <v>44673</v>
      </c>
      <c r="AK3301" t="s">
        <v>12650</v>
      </c>
      <c r="AL3301" s="2">
        <v>0</v>
      </c>
      <c r="AM3301" s="2">
        <v>0</v>
      </c>
      <c r="AN3301" s="2">
        <v>0</v>
      </c>
      <c r="AO3301" t="s">
        <v>44</v>
      </c>
      <c r="AP3301" t="s">
        <v>11607</v>
      </c>
      <c r="AQ3301" t="s">
        <v>7660</v>
      </c>
    </row>
    <row r="3302" spans="1:43" x14ac:dyDescent="0.2">
      <c r="A3302" t="s">
        <v>12649</v>
      </c>
      <c r="B3302" t="s">
        <v>11608</v>
      </c>
      <c r="C3302" t="s">
        <v>11608</v>
      </c>
      <c r="D3302" t="s">
        <v>12745</v>
      </c>
      <c r="E3302" t="s">
        <v>12746</v>
      </c>
      <c r="F3302" t="s">
        <v>12745</v>
      </c>
      <c r="G3302" s="1">
        <v>56000000</v>
      </c>
      <c r="H3302" s="2">
        <v>0</v>
      </c>
      <c r="I3302" s="2">
        <v>20844.04</v>
      </c>
      <c r="J3302" s="2">
        <v>0</v>
      </c>
      <c r="K3302" s="2">
        <v>0</v>
      </c>
      <c r="L3302" s="2">
        <v>20844.04</v>
      </c>
      <c r="M3302" s="3">
        <v>3.7221999999999998E-2</v>
      </c>
      <c r="N3302" s="4">
        <v>4.7420000000000003E-5</v>
      </c>
      <c r="O3302" s="5" t="s">
        <v>44</v>
      </c>
      <c r="P3302" s="5">
        <v>44890</v>
      </c>
      <c r="Q3302" s="1">
        <v>0</v>
      </c>
      <c r="R3302" s="2"/>
      <c r="S3302" s="6">
        <v>0.34246575342500002</v>
      </c>
      <c r="T3302" t="s">
        <v>11412</v>
      </c>
      <c r="U3302" t="s">
        <v>11413</v>
      </c>
      <c r="V3302" t="s">
        <v>9802</v>
      </c>
      <c r="W3302" t="s">
        <v>43</v>
      </c>
      <c r="X3302" t="s">
        <v>44</v>
      </c>
      <c r="Y3302" t="s">
        <v>44</v>
      </c>
      <c r="Z3302" t="s">
        <v>44</v>
      </c>
      <c r="AA3302" t="s">
        <v>44</v>
      </c>
      <c r="AB3302" t="s">
        <v>44</v>
      </c>
      <c r="AC3302" s="4"/>
      <c r="AD3302" s="4"/>
      <c r="AE3302" s="2">
        <v>0</v>
      </c>
      <c r="AF3302" s="4">
        <v>0</v>
      </c>
      <c r="AG3302" s="2">
        <v>0</v>
      </c>
      <c r="AH3302" s="2">
        <v>20844.04</v>
      </c>
      <c r="AI3302" s="2">
        <v>0</v>
      </c>
      <c r="AJ3302" s="5">
        <v>44673</v>
      </c>
      <c r="AK3302" t="s">
        <v>12650</v>
      </c>
      <c r="AL3302" s="2">
        <v>0</v>
      </c>
      <c r="AM3302" s="2">
        <v>0</v>
      </c>
      <c r="AN3302" s="2">
        <v>0.34</v>
      </c>
      <c r="AO3302" t="s">
        <v>44</v>
      </c>
      <c r="AP3302" t="s">
        <v>44</v>
      </c>
      <c r="AQ3302" t="s">
        <v>44</v>
      </c>
    </row>
    <row r="3303" spans="1:43" x14ac:dyDescent="0.2">
      <c r="A3303" t="s">
        <v>12649</v>
      </c>
      <c r="B3303" t="s">
        <v>11608</v>
      </c>
      <c r="C3303" t="s">
        <v>11608</v>
      </c>
      <c r="D3303" t="s">
        <v>12747</v>
      </c>
      <c r="E3303" t="s">
        <v>12746</v>
      </c>
      <c r="F3303" t="s">
        <v>12747</v>
      </c>
      <c r="G3303" s="1">
        <v>-56000000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3"/>
      <c r="N3303" s="4">
        <v>0</v>
      </c>
      <c r="O3303" s="5" t="s">
        <v>44</v>
      </c>
      <c r="P3303" s="5">
        <v>44890</v>
      </c>
      <c r="Q3303" s="1">
        <v>0</v>
      </c>
      <c r="R3303" s="2"/>
      <c r="S3303" s="6"/>
      <c r="T3303" t="s">
        <v>11412</v>
      </c>
      <c r="U3303" t="s">
        <v>11413</v>
      </c>
      <c r="V3303" t="s">
        <v>9802</v>
      </c>
      <c r="W3303" t="s">
        <v>43</v>
      </c>
      <c r="X3303" t="s">
        <v>44</v>
      </c>
      <c r="Y3303" t="s">
        <v>44</v>
      </c>
      <c r="Z3303" t="s">
        <v>44</v>
      </c>
      <c r="AA3303" t="s">
        <v>44</v>
      </c>
      <c r="AB3303" t="s">
        <v>44</v>
      </c>
      <c r="AC3303" s="4"/>
      <c r="AD3303" s="4"/>
      <c r="AE3303" s="2">
        <v>0</v>
      </c>
      <c r="AF3303" s="4">
        <v>0</v>
      </c>
      <c r="AG3303" s="2">
        <v>0</v>
      </c>
      <c r="AH3303" s="2">
        <v>0</v>
      </c>
      <c r="AI3303" s="2">
        <v>0</v>
      </c>
      <c r="AJ3303" s="5">
        <v>44673</v>
      </c>
      <c r="AK3303" t="s">
        <v>12650</v>
      </c>
      <c r="AL3303" s="2">
        <v>0</v>
      </c>
      <c r="AM3303" s="2">
        <v>0</v>
      </c>
      <c r="AN3303" s="2">
        <v>0</v>
      </c>
      <c r="AO3303" t="s">
        <v>44</v>
      </c>
      <c r="AP3303" t="s">
        <v>44</v>
      </c>
      <c r="AQ3303" t="s">
        <v>44</v>
      </c>
    </row>
    <row r="3304" spans="1:43" x14ac:dyDescent="0.2">
      <c r="A3304" t="s">
        <v>12649</v>
      </c>
      <c r="B3304" t="s">
        <v>11608</v>
      </c>
      <c r="C3304" t="s">
        <v>11608</v>
      </c>
      <c r="D3304" t="s">
        <v>12748</v>
      </c>
      <c r="E3304" t="s">
        <v>12746</v>
      </c>
      <c r="F3304" t="s">
        <v>12748</v>
      </c>
      <c r="G3304" s="1">
        <v>56000000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3"/>
      <c r="N3304" s="4">
        <v>0</v>
      </c>
      <c r="O3304" s="5" t="s">
        <v>44</v>
      </c>
      <c r="P3304" s="5">
        <v>44890</v>
      </c>
      <c r="Q3304" s="1">
        <v>5.49</v>
      </c>
      <c r="R3304" s="2"/>
      <c r="S3304" s="6"/>
      <c r="T3304" t="s">
        <v>11412</v>
      </c>
      <c r="U3304" t="s">
        <v>11413</v>
      </c>
      <c r="V3304" t="s">
        <v>9802</v>
      </c>
      <c r="W3304" t="s">
        <v>43</v>
      </c>
      <c r="X3304" t="s">
        <v>44</v>
      </c>
      <c r="Y3304" t="s">
        <v>44</v>
      </c>
      <c r="Z3304" t="s">
        <v>44</v>
      </c>
      <c r="AA3304" t="s">
        <v>44</v>
      </c>
      <c r="AB3304" t="s">
        <v>44</v>
      </c>
      <c r="AC3304" s="4"/>
      <c r="AD3304" s="4"/>
      <c r="AE3304" s="2">
        <v>0</v>
      </c>
      <c r="AF3304" s="4">
        <v>0</v>
      </c>
      <c r="AG3304" s="2">
        <v>0</v>
      </c>
      <c r="AH3304" s="2">
        <v>0</v>
      </c>
      <c r="AI3304" s="2">
        <v>0</v>
      </c>
      <c r="AJ3304" s="5">
        <v>44673</v>
      </c>
      <c r="AK3304" t="s">
        <v>12650</v>
      </c>
      <c r="AL3304" s="2">
        <v>0</v>
      </c>
      <c r="AM3304" s="2">
        <v>5.49</v>
      </c>
      <c r="AN3304" s="2">
        <v>0</v>
      </c>
      <c r="AO3304" t="s">
        <v>44</v>
      </c>
      <c r="AP3304" t="s">
        <v>44</v>
      </c>
      <c r="AQ3304" t="s">
        <v>44</v>
      </c>
    </row>
    <row r="3305" spans="1:43" x14ac:dyDescent="0.2">
      <c r="A3305" t="s">
        <v>12649</v>
      </c>
      <c r="B3305" t="s">
        <v>11608</v>
      </c>
      <c r="C3305" t="s">
        <v>11608</v>
      </c>
      <c r="D3305" t="s">
        <v>12749</v>
      </c>
      <c r="E3305" t="s">
        <v>12750</v>
      </c>
      <c r="F3305" t="s">
        <v>12749</v>
      </c>
      <c r="G3305" s="1">
        <v>56000000</v>
      </c>
      <c r="H3305" s="2">
        <v>0</v>
      </c>
      <c r="I3305" s="2">
        <v>19473.23</v>
      </c>
      <c r="J3305" s="2">
        <v>0</v>
      </c>
      <c r="K3305" s="2">
        <v>0</v>
      </c>
      <c r="L3305" s="2">
        <v>19473.23</v>
      </c>
      <c r="M3305" s="3">
        <v>3.4773999999999999E-2</v>
      </c>
      <c r="N3305" s="4">
        <v>4.4299999999999999E-5</v>
      </c>
      <c r="O3305" s="5" t="s">
        <v>44</v>
      </c>
      <c r="P3305" s="5">
        <v>44890</v>
      </c>
      <c r="Q3305" s="1">
        <v>0</v>
      </c>
      <c r="R3305" s="2"/>
      <c r="S3305" s="6">
        <v>0.34246575342500002</v>
      </c>
      <c r="T3305" t="s">
        <v>11412</v>
      </c>
      <c r="U3305" t="s">
        <v>11413</v>
      </c>
      <c r="V3305" t="s">
        <v>9802</v>
      </c>
      <c r="W3305" t="s">
        <v>43</v>
      </c>
      <c r="X3305" t="s">
        <v>44</v>
      </c>
      <c r="Y3305" t="s">
        <v>44</v>
      </c>
      <c r="Z3305" t="s">
        <v>44</v>
      </c>
      <c r="AA3305" t="s">
        <v>44</v>
      </c>
      <c r="AB3305" t="s">
        <v>44</v>
      </c>
      <c r="AC3305" s="4"/>
      <c r="AD3305" s="4"/>
      <c r="AE3305" s="2">
        <v>0</v>
      </c>
      <c r="AF3305" s="4">
        <v>0</v>
      </c>
      <c r="AG3305" s="2">
        <v>0</v>
      </c>
      <c r="AH3305" s="2">
        <v>19473.23</v>
      </c>
      <c r="AI3305" s="2">
        <v>0</v>
      </c>
      <c r="AJ3305" s="5">
        <v>44673</v>
      </c>
      <c r="AK3305" t="s">
        <v>12650</v>
      </c>
      <c r="AL3305" s="2">
        <v>0</v>
      </c>
      <c r="AM3305" s="2">
        <v>0</v>
      </c>
      <c r="AN3305" s="2">
        <v>0.34</v>
      </c>
      <c r="AO3305" t="s">
        <v>44</v>
      </c>
      <c r="AP3305" t="s">
        <v>44</v>
      </c>
      <c r="AQ3305" t="s">
        <v>44</v>
      </c>
    </row>
    <row r="3306" spans="1:43" x14ac:dyDescent="0.2">
      <c r="A3306" t="s">
        <v>12649</v>
      </c>
      <c r="B3306" t="s">
        <v>11608</v>
      </c>
      <c r="C3306" t="s">
        <v>11608</v>
      </c>
      <c r="D3306" t="s">
        <v>12751</v>
      </c>
      <c r="E3306" t="s">
        <v>12750</v>
      </c>
      <c r="F3306" t="s">
        <v>12751</v>
      </c>
      <c r="G3306" s="1">
        <v>-56000000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3"/>
      <c r="N3306" s="4">
        <v>0</v>
      </c>
      <c r="O3306" s="5" t="s">
        <v>44</v>
      </c>
      <c r="P3306" s="5">
        <v>44890</v>
      </c>
      <c r="Q3306" s="1">
        <v>0</v>
      </c>
      <c r="R3306" s="2"/>
      <c r="S3306" s="6"/>
      <c r="T3306" t="s">
        <v>11412</v>
      </c>
      <c r="U3306" t="s">
        <v>11413</v>
      </c>
      <c r="V3306" t="s">
        <v>9802</v>
      </c>
      <c r="W3306" t="s">
        <v>43</v>
      </c>
      <c r="X3306" t="s">
        <v>44</v>
      </c>
      <c r="Y3306" t="s">
        <v>44</v>
      </c>
      <c r="Z3306" t="s">
        <v>44</v>
      </c>
      <c r="AA3306" t="s">
        <v>44</v>
      </c>
      <c r="AB3306" t="s">
        <v>44</v>
      </c>
      <c r="AC3306" s="4"/>
      <c r="AD3306" s="4"/>
      <c r="AE3306" s="2">
        <v>0</v>
      </c>
      <c r="AF3306" s="4">
        <v>0</v>
      </c>
      <c r="AG3306" s="2">
        <v>0</v>
      </c>
      <c r="AH3306" s="2">
        <v>0</v>
      </c>
      <c r="AI3306" s="2">
        <v>0</v>
      </c>
      <c r="AJ3306" s="5">
        <v>44673</v>
      </c>
      <c r="AK3306" t="s">
        <v>12650</v>
      </c>
      <c r="AL3306" s="2">
        <v>0</v>
      </c>
      <c r="AM3306" s="2">
        <v>0</v>
      </c>
      <c r="AN3306" s="2">
        <v>0</v>
      </c>
      <c r="AO3306" t="s">
        <v>44</v>
      </c>
      <c r="AP3306" t="s">
        <v>44</v>
      </c>
      <c r="AQ3306" t="s">
        <v>44</v>
      </c>
    </row>
    <row r="3307" spans="1:43" x14ac:dyDescent="0.2">
      <c r="A3307" t="s">
        <v>12649</v>
      </c>
      <c r="B3307" t="s">
        <v>11608</v>
      </c>
      <c r="C3307" t="s">
        <v>11608</v>
      </c>
      <c r="D3307" t="s">
        <v>12752</v>
      </c>
      <c r="E3307" t="s">
        <v>12750</v>
      </c>
      <c r="F3307" t="s">
        <v>12752</v>
      </c>
      <c r="G3307" s="1">
        <v>56000000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3"/>
      <c r="N3307" s="4">
        <v>0</v>
      </c>
      <c r="O3307" s="5" t="s">
        <v>44</v>
      </c>
      <c r="P3307" s="5">
        <v>44890</v>
      </c>
      <c r="Q3307" s="1">
        <v>5.48</v>
      </c>
      <c r="R3307" s="2"/>
      <c r="S3307" s="6"/>
      <c r="T3307" t="s">
        <v>11412</v>
      </c>
      <c r="U3307" t="s">
        <v>11413</v>
      </c>
      <c r="V3307" t="s">
        <v>9802</v>
      </c>
      <c r="W3307" t="s">
        <v>43</v>
      </c>
      <c r="X3307" t="s">
        <v>44</v>
      </c>
      <c r="Y3307" t="s">
        <v>44</v>
      </c>
      <c r="Z3307" t="s">
        <v>44</v>
      </c>
      <c r="AA3307" t="s">
        <v>44</v>
      </c>
      <c r="AB3307" t="s">
        <v>44</v>
      </c>
      <c r="AC3307" s="4"/>
      <c r="AD3307" s="4"/>
      <c r="AE3307" s="2">
        <v>0</v>
      </c>
      <c r="AF3307" s="4">
        <v>0</v>
      </c>
      <c r="AG3307" s="2">
        <v>0</v>
      </c>
      <c r="AH3307" s="2">
        <v>0</v>
      </c>
      <c r="AI3307" s="2">
        <v>0</v>
      </c>
      <c r="AJ3307" s="5">
        <v>44673</v>
      </c>
      <c r="AK3307" t="s">
        <v>12650</v>
      </c>
      <c r="AL3307" s="2">
        <v>0</v>
      </c>
      <c r="AM3307" s="2">
        <v>5.48</v>
      </c>
      <c r="AN3307" s="2">
        <v>0</v>
      </c>
      <c r="AO3307" t="s">
        <v>44</v>
      </c>
      <c r="AP3307" t="s">
        <v>44</v>
      </c>
      <c r="AQ3307" t="s">
        <v>44</v>
      </c>
    </row>
    <row r="3308" spans="1:43" x14ac:dyDescent="0.2">
      <c r="A3308" t="s">
        <v>12649</v>
      </c>
      <c r="B3308" t="s">
        <v>11865</v>
      </c>
      <c r="C3308" t="s">
        <v>11865</v>
      </c>
      <c r="D3308" t="s">
        <v>11866</v>
      </c>
      <c r="E3308" t="s">
        <v>11867</v>
      </c>
      <c r="F3308" t="s">
        <v>11866</v>
      </c>
      <c r="G3308" s="1">
        <v>-1217400</v>
      </c>
      <c r="H3308" s="2">
        <v>-18953091.899999999</v>
      </c>
      <c r="I3308" s="2">
        <v>-19065017.370000001</v>
      </c>
      <c r="J3308" s="2">
        <v>0</v>
      </c>
      <c r="K3308" s="2">
        <v>0</v>
      </c>
      <c r="L3308" s="2">
        <v>-19065017.370000001</v>
      </c>
      <c r="M3308" s="3">
        <v>6.3854999999999995E-2</v>
      </c>
      <c r="N3308" s="4">
        <v>-4.3374969999999999E-2</v>
      </c>
      <c r="O3308" s="5" t="s">
        <v>44</v>
      </c>
      <c r="P3308" s="5">
        <v>44701</v>
      </c>
      <c r="Q3308" s="1"/>
      <c r="R3308" s="2"/>
      <c r="S3308" s="6"/>
      <c r="T3308" t="s">
        <v>11868</v>
      </c>
      <c r="U3308" t="s">
        <v>44</v>
      </c>
      <c r="V3308" t="s">
        <v>44</v>
      </c>
      <c r="W3308" t="s">
        <v>113</v>
      </c>
      <c r="X3308" t="s">
        <v>44</v>
      </c>
      <c r="Y3308" t="s">
        <v>44</v>
      </c>
      <c r="Z3308" t="s">
        <v>44</v>
      </c>
      <c r="AA3308" t="s">
        <v>44</v>
      </c>
      <c r="AB3308" t="s">
        <v>44</v>
      </c>
      <c r="AC3308" s="4"/>
      <c r="AD3308" s="4"/>
      <c r="AE3308" s="2">
        <v>0</v>
      </c>
      <c r="AF3308" s="4">
        <v>0</v>
      </c>
      <c r="AG3308" s="2">
        <v>-2.82</v>
      </c>
      <c r="AH3308" s="2">
        <v>-19065017.370000001</v>
      </c>
      <c r="AI3308" s="2">
        <v>-0.04</v>
      </c>
      <c r="AJ3308" s="5">
        <v>44673</v>
      </c>
      <c r="AK3308" t="s">
        <v>12650</v>
      </c>
      <c r="AL3308" s="2">
        <v>0</v>
      </c>
      <c r="AM3308" s="2">
        <v>0</v>
      </c>
      <c r="AN3308" s="2">
        <v>0</v>
      </c>
      <c r="AO3308" t="s">
        <v>44</v>
      </c>
      <c r="AP3308" t="s">
        <v>44</v>
      </c>
      <c r="AQ3308" t="s">
        <v>113</v>
      </c>
    </row>
    <row r="3309" spans="1:43" x14ac:dyDescent="0.2">
      <c r="A3309" t="s">
        <v>12649</v>
      </c>
      <c r="B3309" t="s">
        <v>11865</v>
      </c>
      <c r="C3309" t="s">
        <v>11865</v>
      </c>
      <c r="D3309" t="s">
        <v>11869</v>
      </c>
      <c r="E3309" t="s">
        <v>11867</v>
      </c>
      <c r="F3309" t="s">
        <v>11869</v>
      </c>
      <c r="G3309" s="1">
        <v>18953091.899999999</v>
      </c>
      <c r="H3309" s="2">
        <v>18953091.899999999</v>
      </c>
      <c r="I3309" s="2">
        <v>18953091.899999999</v>
      </c>
      <c r="J3309" s="2">
        <v>0</v>
      </c>
      <c r="K3309" s="2">
        <v>0</v>
      </c>
      <c r="L3309" s="2">
        <v>18953091.899999999</v>
      </c>
      <c r="M3309" s="3">
        <v>1</v>
      </c>
      <c r="N3309" s="4">
        <v>4.3120319999999997E-2</v>
      </c>
      <c r="O3309" s="5" t="s">
        <v>44</v>
      </c>
      <c r="P3309" s="5">
        <v>44701</v>
      </c>
      <c r="Q3309" s="1"/>
      <c r="R3309" s="2"/>
      <c r="S3309" s="6"/>
      <c r="T3309" t="s">
        <v>11868</v>
      </c>
      <c r="U3309" t="s">
        <v>44</v>
      </c>
      <c r="V3309" t="s">
        <v>44</v>
      </c>
      <c r="W3309" t="s">
        <v>43</v>
      </c>
      <c r="X3309" t="s">
        <v>44</v>
      </c>
      <c r="Y3309" t="s">
        <v>44</v>
      </c>
      <c r="Z3309" t="s">
        <v>44</v>
      </c>
      <c r="AA3309" t="s">
        <v>44</v>
      </c>
      <c r="AB3309" t="s">
        <v>44</v>
      </c>
      <c r="AC3309" s="4"/>
      <c r="AD3309" s="4"/>
      <c r="AE3309" s="2">
        <v>0</v>
      </c>
      <c r="AF3309" s="4">
        <v>0</v>
      </c>
      <c r="AG3309" s="2">
        <v>2.81</v>
      </c>
      <c r="AH3309" s="2">
        <v>18953091.899999999</v>
      </c>
      <c r="AI3309" s="2">
        <v>0.04</v>
      </c>
      <c r="AJ3309" s="5">
        <v>44673</v>
      </c>
      <c r="AK3309" t="s">
        <v>12650</v>
      </c>
      <c r="AL3309" s="2">
        <v>0</v>
      </c>
      <c r="AM3309" s="2">
        <v>0</v>
      </c>
      <c r="AN3309" s="2">
        <v>0</v>
      </c>
      <c r="AO3309" t="s">
        <v>44</v>
      </c>
      <c r="AP3309" t="s">
        <v>44</v>
      </c>
      <c r="AQ3309" t="s">
        <v>43</v>
      </c>
    </row>
    <row r="3310" spans="1:43" x14ac:dyDescent="0.2">
      <c r="A3310" t="s">
        <v>12649</v>
      </c>
      <c r="B3310" t="s">
        <v>11038</v>
      </c>
      <c r="C3310" t="s">
        <v>11870</v>
      </c>
      <c r="D3310" t="s">
        <v>11056</v>
      </c>
      <c r="E3310" t="s">
        <v>11057</v>
      </c>
      <c r="F3310" t="s">
        <v>11056</v>
      </c>
      <c r="G3310" s="1">
        <v>8044556</v>
      </c>
      <c r="H3310" s="2">
        <v>8042634.8399999999</v>
      </c>
      <c r="I3310" s="2">
        <v>8044556</v>
      </c>
      <c r="J3310" s="2">
        <v>207356.48</v>
      </c>
      <c r="K3310" s="2">
        <v>0</v>
      </c>
      <c r="L3310" s="2">
        <v>8251912.4800000004</v>
      </c>
      <c r="M3310" s="3"/>
      <c r="N3310" s="4">
        <v>1.8773990000000001E-2</v>
      </c>
      <c r="O3310" s="5">
        <v>44692</v>
      </c>
      <c r="P3310" s="5">
        <v>44692</v>
      </c>
      <c r="Q3310" s="1">
        <v>13.067</v>
      </c>
      <c r="R3310" s="2"/>
      <c r="S3310" s="6"/>
      <c r="T3310" t="s">
        <v>111</v>
      </c>
      <c r="U3310" t="s">
        <v>11040</v>
      </c>
      <c r="V3310" t="s">
        <v>115</v>
      </c>
      <c r="W3310" t="s">
        <v>43</v>
      </c>
      <c r="X3310" t="s">
        <v>44</v>
      </c>
      <c r="Y3310" t="s">
        <v>44</v>
      </c>
      <c r="Z3310" t="s">
        <v>44</v>
      </c>
      <c r="AA3310" t="s">
        <v>10979</v>
      </c>
      <c r="AB3310" t="s">
        <v>44</v>
      </c>
      <c r="AC3310" s="4"/>
      <c r="AD3310" s="4"/>
      <c r="AE3310" s="2">
        <v>0</v>
      </c>
      <c r="AF3310" s="4">
        <v>0</v>
      </c>
      <c r="AG3310" s="2">
        <v>1.22</v>
      </c>
      <c r="AH3310" s="2">
        <v>8251912.4800000004</v>
      </c>
      <c r="AI3310" s="2">
        <v>0.02</v>
      </c>
      <c r="AJ3310" s="5">
        <v>44673</v>
      </c>
      <c r="AK3310" t="s">
        <v>12650</v>
      </c>
      <c r="AL3310" s="2">
        <v>0</v>
      </c>
      <c r="AM3310" s="2">
        <v>13.07</v>
      </c>
      <c r="AN3310" s="2">
        <v>0</v>
      </c>
      <c r="AO3310" t="s">
        <v>10980</v>
      </c>
      <c r="AP3310" t="s">
        <v>11058</v>
      </c>
      <c r="AQ3310" t="s">
        <v>11057</v>
      </c>
    </row>
    <row r="3311" spans="1:43" x14ac:dyDescent="0.2">
      <c r="A3311" t="s">
        <v>12649</v>
      </c>
      <c r="B3311" t="s">
        <v>11038</v>
      </c>
      <c r="C3311" t="s">
        <v>11055</v>
      </c>
      <c r="D3311" t="s">
        <v>11872</v>
      </c>
      <c r="E3311" t="s">
        <v>11873</v>
      </c>
      <c r="F3311" t="s">
        <v>11872</v>
      </c>
      <c r="G3311" s="1">
        <v>15900000</v>
      </c>
      <c r="H3311" s="2">
        <v>15900000</v>
      </c>
      <c r="I3311" s="2">
        <v>15909856.140000001</v>
      </c>
      <c r="J3311" s="2">
        <v>136834.96</v>
      </c>
      <c r="K3311" s="2">
        <v>0</v>
      </c>
      <c r="L3311" s="2">
        <v>16046691.1</v>
      </c>
      <c r="M3311" s="3">
        <v>5.1502819999999998</v>
      </c>
      <c r="N3311" s="4">
        <v>3.6507949999999997E-2</v>
      </c>
      <c r="O3311" s="5">
        <v>44712</v>
      </c>
      <c r="P3311" s="5">
        <v>44712</v>
      </c>
      <c r="Q3311" s="1">
        <v>5.8170000000000002</v>
      </c>
      <c r="R3311" s="2">
        <v>0.1</v>
      </c>
      <c r="S3311" s="6">
        <v>9.3730576011000002E-2</v>
      </c>
      <c r="T3311" t="s">
        <v>111</v>
      </c>
      <c r="U3311" t="s">
        <v>11040</v>
      </c>
      <c r="V3311" t="s">
        <v>114</v>
      </c>
      <c r="W3311" t="s">
        <v>43</v>
      </c>
      <c r="X3311" t="s">
        <v>10988</v>
      </c>
      <c r="Y3311" t="s">
        <v>44</v>
      </c>
      <c r="Z3311" t="s">
        <v>44</v>
      </c>
      <c r="AA3311" t="s">
        <v>10979</v>
      </c>
      <c r="AB3311" t="s">
        <v>44</v>
      </c>
      <c r="AC3311" s="4">
        <v>5.2714900699999996</v>
      </c>
      <c r="AD3311" s="4">
        <v>5.1482567699999997</v>
      </c>
      <c r="AE3311" s="2">
        <v>5.27</v>
      </c>
      <c r="AF3311" s="4">
        <v>5.1482567699999997</v>
      </c>
      <c r="AG3311" s="2">
        <v>2.38</v>
      </c>
      <c r="AH3311" s="2">
        <v>16046691.1</v>
      </c>
      <c r="AI3311" s="2">
        <v>0.04</v>
      </c>
      <c r="AJ3311" s="5">
        <v>44673</v>
      </c>
      <c r="AK3311" t="s">
        <v>12650</v>
      </c>
      <c r="AL3311" s="2">
        <v>5.2</v>
      </c>
      <c r="AM3311" s="2">
        <v>5.82</v>
      </c>
      <c r="AN3311" s="2">
        <v>0.09</v>
      </c>
      <c r="AO3311" t="s">
        <v>11048</v>
      </c>
      <c r="AP3311" t="s">
        <v>11874</v>
      </c>
      <c r="AQ3311" t="s">
        <v>11873</v>
      </c>
    </row>
    <row r="3312" spans="1:43" x14ac:dyDescent="0.2">
      <c r="A3312" t="s">
        <v>12649</v>
      </c>
      <c r="B3312" t="s">
        <v>11038</v>
      </c>
      <c r="C3312" t="s">
        <v>11052</v>
      </c>
      <c r="D3312" t="s">
        <v>11875</v>
      </c>
      <c r="E3312" t="s">
        <v>11876</v>
      </c>
      <c r="F3312" t="s">
        <v>11875</v>
      </c>
      <c r="G3312" s="1">
        <v>900000</v>
      </c>
      <c r="H3312" s="2">
        <v>900000</v>
      </c>
      <c r="I3312" s="2">
        <v>900508.77</v>
      </c>
      <c r="J3312" s="2">
        <v>12249.81</v>
      </c>
      <c r="K3312" s="2">
        <v>0</v>
      </c>
      <c r="L3312" s="2">
        <v>912758.58</v>
      </c>
      <c r="M3312" s="3">
        <v>5.8453989999999996</v>
      </c>
      <c r="N3312" s="4">
        <v>2.0766199999999999E-3</v>
      </c>
      <c r="O3312" s="5">
        <v>44676</v>
      </c>
      <c r="P3312" s="5">
        <v>44765</v>
      </c>
      <c r="Q3312" s="1">
        <v>5.5819999999999999</v>
      </c>
      <c r="R3312" s="2">
        <v>0.25</v>
      </c>
      <c r="S3312" s="6">
        <v>-2.4241619880000002E-3</v>
      </c>
      <c r="T3312" t="s">
        <v>111</v>
      </c>
      <c r="U3312" t="s">
        <v>11040</v>
      </c>
      <c r="V3312" t="s">
        <v>114</v>
      </c>
      <c r="W3312" t="s">
        <v>43</v>
      </c>
      <c r="X3312" t="s">
        <v>10988</v>
      </c>
      <c r="Y3312" t="s">
        <v>44</v>
      </c>
      <c r="Z3312" t="s">
        <v>44</v>
      </c>
      <c r="AA3312" t="s">
        <v>10979</v>
      </c>
      <c r="AB3312" t="s">
        <v>44</v>
      </c>
      <c r="AC3312" s="4">
        <v>5.9749057099999998</v>
      </c>
      <c r="AD3312" s="4">
        <v>5.8172689999999996</v>
      </c>
      <c r="AE3312" s="2">
        <v>5.97</v>
      </c>
      <c r="AF3312" s="4">
        <v>5.8172689999999996</v>
      </c>
      <c r="AG3312" s="2">
        <v>0.14000000000000001</v>
      </c>
      <c r="AH3312" s="2">
        <v>912758.58</v>
      </c>
      <c r="AI3312" s="2">
        <v>0</v>
      </c>
      <c r="AJ3312" s="5">
        <v>44673</v>
      </c>
      <c r="AK3312" t="s">
        <v>12650</v>
      </c>
      <c r="AL3312" s="2">
        <v>5.89</v>
      </c>
      <c r="AM3312" s="2">
        <v>5.58</v>
      </c>
      <c r="AN3312" s="2">
        <v>0</v>
      </c>
      <c r="AO3312" t="s">
        <v>11048</v>
      </c>
      <c r="AP3312" t="s">
        <v>11877</v>
      </c>
      <c r="AQ3312" t="s">
        <v>11876</v>
      </c>
    </row>
    <row r="3313" spans="1:43" x14ac:dyDescent="0.2">
      <c r="A3313" t="s">
        <v>12649</v>
      </c>
      <c r="B3313" t="s">
        <v>11038</v>
      </c>
      <c r="C3313" t="s">
        <v>11039</v>
      </c>
      <c r="D3313" t="s">
        <v>11878</v>
      </c>
      <c r="E3313" t="s">
        <v>11879</v>
      </c>
      <c r="F3313" t="s">
        <v>11878</v>
      </c>
      <c r="G3313" s="1">
        <v>2000000</v>
      </c>
      <c r="H3313" s="2">
        <v>2000000</v>
      </c>
      <c r="I3313" s="2">
        <v>1999826.04</v>
      </c>
      <c r="J3313" s="2">
        <v>13195.89</v>
      </c>
      <c r="K3313" s="2">
        <v>0</v>
      </c>
      <c r="L3313" s="2">
        <v>2013021.93</v>
      </c>
      <c r="M3313" s="3">
        <v>6.1553490000000002</v>
      </c>
      <c r="N3313" s="4">
        <v>4.57984E-3</v>
      </c>
      <c r="O3313" s="5">
        <v>44727</v>
      </c>
      <c r="P3313" s="5">
        <v>45000</v>
      </c>
      <c r="Q3313" s="1">
        <v>6.1749999999999998</v>
      </c>
      <c r="R3313" s="2">
        <v>0.14000000000000001</v>
      </c>
      <c r="S3313" s="6">
        <v>0.121958312463</v>
      </c>
      <c r="T3313" t="s">
        <v>111</v>
      </c>
      <c r="U3313" t="s">
        <v>11040</v>
      </c>
      <c r="V3313" t="s">
        <v>114</v>
      </c>
      <c r="W3313" t="s">
        <v>43</v>
      </c>
      <c r="X3313" t="s">
        <v>10988</v>
      </c>
      <c r="Y3313" t="s">
        <v>44</v>
      </c>
      <c r="Z3313" t="s">
        <v>44</v>
      </c>
      <c r="AA3313" t="s">
        <v>10979</v>
      </c>
      <c r="AB3313" t="s">
        <v>44</v>
      </c>
      <c r="AC3313" s="4">
        <v>6.3207521</v>
      </c>
      <c r="AD3313" s="4">
        <v>6.1447089999999998</v>
      </c>
      <c r="AE3313" s="2">
        <v>6.32</v>
      </c>
      <c r="AF3313" s="4">
        <v>6.1447089999999998</v>
      </c>
      <c r="AG3313" s="2">
        <v>0.3</v>
      </c>
      <c r="AH3313" s="2">
        <v>2013021.93</v>
      </c>
      <c r="AI3313" s="2">
        <v>0</v>
      </c>
      <c r="AJ3313" s="5">
        <v>44673</v>
      </c>
      <c r="AK3313" t="s">
        <v>12650</v>
      </c>
      <c r="AL3313" s="2">
        <v>6.22</v>
      </c>
      <c r="AM3313" s="2">
        <v>6.17</v>
      </c>
      <c r="AN3313" s="2">
        <v>0.12</v>
      </c>
      <c r="AO3313" t="s">
        <v>11567</v>
      </c>
      <c r="AP3313" t="s">
        <v>11880</v>
      </c>
      <c r="AQ3313" t="s">
        <v>11879</v>
      </c>
    </row>
    <row r="3314" spans="1:43" x14ac:dyDescent="0.2">
      <c r="A3314" t="s">
        <v>12649</v>
      </c>
      <c r="B3314" t="s">
        <v>11038</v>
      </c>
      <c r="C3314" t="s">
        <v>11039</v>
      </c>
      <c r="D3314" t="s">
        <v>11881</v>
      </c>
      <c r="E3314" t="s">
        <v>11882</v>
      </c>
      <c r="F3314" t="s">
        <v>11881</v>
      </c>
      <c r="G3314" s="1">
        <v>1000000</v>
      </c>
      <c r="H3314" s="2">
        <v>1000000</v>
      </c>
      <c r="I3314" s="2">
        <v>999913.02</v>
      </c>
      <c r="J3314" s="2">
        <v>6597.95</v>
      </c>
      <c r="K3314" s="2">
        <v>0</v>
      </c>
      <c r="L3314" s="2">
        <v>1006510.97</v>
      </c>
      <c r="M3314" s="3">
        <v>6.1553490000000002</v>
      </c>
      <c r="N3314" s="4">
        <v>2.28992E-3</v>
      </c>
      <c r="O3314" s="5">
        <v>44727</v>
      </c>
      <c r="P3314" s="5">
        <v>45000</v>
      </c>
      <c r="Q3314" s="1">
        <v>6.1749999999999998</v>
      </c>
      <c r="R3314" s="2">
        <v>0.14000000000000001</v>
      </c>
      <c r="S3314" s="6">
        <v>0.121958312463</v>
      </c>
      <c r="T3314" t="s">
        <v>111</v>
      </c>
      <c r="U3314" t="s">
        <v>11040</v>
      </c>
      <c r="V3314" t="s">
        <v>114</v>
      </c>
      <c r="W3314" t="s">
        <v>43</v>
      </c>
      <c r="X3314" t="s">
        <v>10988</v>
      </c>
      <c r="Y3314" t="s">
        <v>44</v>
      </c>
      <c r="Z3314" t="s">
        <v>44</v>
      </c>
      <c r="AA3314" t="s">
        <v>10979</v>
      </c>
      <c r="AB3314" t="s">
        <v>44</v>
      </c>
      <c r="AC3314" s="4">
        <v>6.3207521</v>
      </c>
      <c r="AD3314" s="4">
        <v>6.1447089999999998</v>
      </c>
      <c r="AE3314" s="2">
        <v>6.32</v>
      </c>
      <c r="AF3314" s="4">
        <v>6.1447089999999998</v>
      </c>
      <c r="AG3314" s="2">
        <v>0.15</v>
      </c>
      <c r="AH3314" s="2">
        <v>1006510.97</v>
      </c>
      <c r="AI3314" s="2">
        <v>0</v>
      </c>
      <c r="AJ3314" s="5">
        <v>44673</v>
      </c>
      <c r="AK3314" t="s">
        <v>12650</v>
      </c>
      <c r="AL3314" s="2">
        <v>6.22</v>
      </c>
      <c r="AM3314" s="2">
        <v>6.17</v>
      </c>
      <c r="AN3314" s="2">
        <v>0.12</v>
      </c>
      <c r="AO3314" t="s">
        <v>11567</v>
      </c>
      <c r="AP3314" t="s">
        <v>11883</v>
      </c>
      <c r="AQ3314" t="s">
        <v>11882</v>
      </c>
    </row>
    <row r="3315" spans="1:43" x14ac:dyDescent="0.2">
      <c r="A3315" t="s">
        <v>12649</v>
      </c>
      <c r="B3315" t="s">
        <v>11038</v>
      </c>
      <c r="C3315" t="s">
        <v>11039</v>
      </c>
      <c r="D3315" t="s">
        <v>11971</v>
      </c>
      <c r="E3315" t="s">
        <v>11972</v>
      </c>
      <c r="F3315" t="s">
        <v>11971</v>
      </c>
      <c r="G3315" s="1">
        <v>8000000</v>
      </c>
      <c r="H3315" s="2">
        <v>8000000</v>
      </c>
      <c r="I3315" s="2">
        <v>7991710.0899999999</v>
      </c>
      <c r="J3315" s="2">
        <v>94882.19</v>
      </c>
      <c r="K3315" s="2">
        <v>0</v>
      </c>
      <c r="L3315" s="2">
        <v>8086592.2800000003</v>
      </c>
      <c r="M3315" s="3">
        <v>5.914955</v>
      </c>
      <c r="N3315" s="4">
        <v>1.839787E-2</v>
      </c>
      <c r="O3315" s="5">
        <v>44965</v>
      </c>
      <c r="P3315" s="5">
        <v>44965</v>
      </c>
      <c r="Q3315" s="1">
        <v>5.85</v>
      </c>
      <c r="R3315" s="2">
        <v>0.79</v>
      </c>
      <c r="S3315" s="6">
        <v>0.75635794914999999</v>
      </c>
      <c r="T3315" t="s">
        <v>111</v>
      </c>
      <c r="U3315" t="s">
        <v>11040</v>
      </c>
      <c r="V3315" t="s">
        <v>11041</v>
      </c>
      <c r="W3315" t="s">
        <v>43</v>
      </c>
      <c r="X3315" t="s">
        <v>11034</v>
      </c>
      <c r="Y3315" t="s">
        <v>44</v>
      </c>
      <c r="Z3315" t="s">
        <v>44</v>
      </c>
      <c r="AA3315" t="s">
        <v>10979</v>
      </c>
      <c r="AB3315" t="s">
        <v>44</v>
      </c>
      <c r="AC3315" s="4">
        <v>5.9509684500000004</v>
      </c>
      <c r="AD3315" s="4">
        <v>5.7945694899999998</v>
      </c>
      <c r="AE3315" s="2">
        <v>5.95</v>
      </c>
      <c r="AF3315" s="4">
        <v>5.7945694899999998</v>
      </c>
      <c r="AG3315" s="2">
        <v>1.2</v>
      </c>
      <c r="AH3315" s="2">
        <v>8086592.2800000003</v>
      </c>
      <c r="AI3315" s="2">
        <v>0.02</v>
      </c>
      <c r="AJ3315" s="5">
        <v>44673</v>
      </c>
      <c r="AK3315" t="s">
        <v>12650</v>
      </c>
      <c r="AL3315" s="2">
        <v>5.86</v>
      </c>
      <c r="AM3315" s="2">
        <v>5.85</v>
      </c>
      <c r="AN3315" s="2">
        <v>0.76</v>
      </c>
      <c r="AO3315" t="s">
        <v>11165</v>
      </c>
      <c r="AP3315" t="s">
        <v>11973</v>
      </c>
      <c r="AQ3315" t="s">
        <v>11972</v>
      </c>
    </row>
    <row r="3316" spans="1:43" x14ac:dyDescent="0.2">
      <c r="A3316" t="s">
        <v>12649</v>
      </c>
      <c r="B3316" t="s">
        <v>11038</v>
      </c>
      <c r="C3316" t="s">
        <v>11039</v>
      </c>
      <c r="D3316" t="s">
        <v>11216</v>
      </c>
      <c r="E3316" t="s">
        <v>11217</v>
      </c>
      <c r="F3316" t="s">
        <v>11216</v>
      </c>
      <c r="G3316" s="1">
        <v>6000000</v>
      </c>
      <c r="H3316" s="2">
        <v>6000000</v>
      </c>
      <c r="I3316" s="2">
        <v>5992995.5099999998</v>
      </c>
      <c r="J3316" s="2">
        <v>58684.93</v>
      </c>
      <c r="K3316" s="2">
        <v>0</v>
      </c>
      <c r="L3316" s="2">
        <v>6051680.4400000004</v>
      </c>
      <c r="M3316" s="3">
        <v>6.0366650000000002</v>
      </c>
      <c r="N3316" s="4">
        <v>1.3768219999999999E-2</v>
      </c>
      <c r="O3316" s="5">
        <v>44979</v>
      </c>
      <c r="P3316" s="5">
        <v>44979</v>
      </c>
      <c r="Q3316" s="1">
        <v>5.95</v>
      </c>
      <c r="R3316" s="2">
        <v>0.83</v>
      </c>
      <c r="S3316" s="6">
        <v>0.79052188852000005</v>
      </c>
      <c r="T3316" t="s">
        <v>111</v>
      </c>
      <c r="U3316" t="s">
        <v>11040</v>
      </c>
      <c r="V3316" t="s">
        <v>11041</v>
      </c>
      <c r="W3316" t="s">
        <v>43</v>
      </c>
      <c r="X3316" t="s">
        <v>11034</v>
      </c>
      <c r="Y3316" t="s">
        <v>44</v>
      </c>
      <c r="Z3316" t="s">
        <v>44</v>
      </c>
      <c r="AA3316" t="s">
        <v>10979</v>
      </c>
      <c r="AB3316" t="s">
        <v>44</v>
      </c>
      <c r="AC3316" s="4">
        <v>6.0672128599999997</v>
      </c>
      <c r="AD3316" s="4">
        <v>5.9047591700000002</v>
      </c>
      <c r="AE3316" s="2">
        <v>6.07</v>
      </c>
      <c r="AF3316" s="4">
        <v>5.9047591700000002</v>
      </c>
      <c r="AG3316" s="2">
        <v>0.9</v>
      </c>
      <c r="AH3316" s="2">
        <v>6051680.4400000004</v>
      </c>
      <c r="AI3316" s="2">
        <v>0.01</v>
      </c>
      <c r="AJ3316" s="5">
        <v>44673</v>
      </c>
      <c r="AK3316" t="s">
        <v>12650</v>
      </c>
      <c r="AL3316" s="2">
        <v>5.98</v>
      </c>
      <c r="AM3316" s="2">
        <v>5.95</v>
      </c>
      <c r="AN3316" s="2">
        <v>0.79</v>
      </c>
      <c r="AO3316" t="s">
        <v>11165</v>
      </c>
      <c r="AP3316" t="s">
        <v>11218</v>
      </c>
      <c r="AQ3316" t="s">
        <v>11217</v>
      </c>
    </row>
    <row r="3317" spans="1:43" x14ac:dyDescent="0.2">
      <c r="A3317" t="s">
        <v>12649</v>
      </c>
      <c r="B3317" t="s">
        <v>11038</v>
      </c>
      <c r="C3317" t="s">
        <v>11039</v>
      </c>
      <c r="D3317" t="s">
        <v>11042</v>
      </c>
      <c r="E3317" t="s">
        <v>11043</v>
      </c>
      <c r="F3317" t="s">
        <v>11042</v>
      </c>
      <c r="G3317" s="1">
        <v>10000000</v>
      </c>
      <c r="H3317" s="2">
        <v>10000000</v>
      </c>
      <c r="I3317" s="2">
        <v>9992966.2599999998</v>
      </c>
      <c r="J3317" s="2">
        <v>110849.32</v>
      </c>
      <c r="K3317" s="2">
        <v>0</v>
      </c>
      <c r="L3317" s="2">
        <v>10103815.58</v>
      </c>
      <c r="M3317" s="3">
        <v>5.9730699999999999</v>
      </c>
      <c r="N3317" s="4">
        <v>2.2987270000000001E-2</v>
      </c>
      <c r="O3317" s="5">
        <v>44971</v>
      </c>
      <c r="P3317" s="5">
        <v>44971</v>
      </c>
      <c r="Q3317" s="1">
        <v>5.95</v>
      </c>
      <c r="R3317" s="2">
        <v>0.81</v>
      </c>
      <c r="S3317" s="6">
        <v>0.77099882388999996</v>
      </c>
      <c r="T3317" t="s">
        <v>111</v>
      </c>
      <c r="U3317" t="s">
        <v>11040</v>
      </c>
      <c r="V3317" t="s">
        <v>11041</v>
      </c>
      <c r="W3317" t="s">
        <v>43</v>
      </c>
      <c r="X3317" t="s">
        <v>11034</v>
      </c>
      <c r="Y3317" t="s">
        <v>44</v>
      </c>
      <c r="Z3317" t="s">
        <v>44</v>
      </c>
      <c r="AA3317" t="s">
        <v>11035</v>
      </c>
      <c r="AB3317" t="s">
        <v>44</v>
      </c>
      <c r="AC3317" s="4">
        <v>6.0068705900000001</v>
      </c>
      <c r="AD3317" s="4">
        <v>5.8475737299999997</v>
      </c>
      <c r="AE3317" s="2">
        <v>6.01</v>
      </c>
      <c r="AF3317" s="4">
        <v>5.8475737299999997</v>
      </c>
      <c r="AG3317" s="2">
        <v>1.5</v>
      </c>
      <c r="AH3317" s="2">
        <v>10103815.58</v>
      </c>
      <c r="AI3317" s="2">
        <v>0.02</v>
      </c>
      <c r="AJ3317" s="5">
        <v>44673</v>
      </c>
      <c r="AK3317" t="s">
        <v>12650</v>
      </c>
      <c r="AL3317" s="2">
        <v>5.92</v>
      </c>
      <c r="AM3317" s="2">
        <v>5.95</v>
      </c>
      <c r="AN3317" s="2">
        <v>0.77</v>
      </c>
      <c r="AO3317" t="s">
        <v>11036</v>
      </c>
      <c r="AP3317" t="s">
        <v>11044</v>
      </c>
      <c r="AQ3317" t="s">
        <v>11043</v>
      </c>
    </row>
    <row r="3318" spans="1:43" x14ac:dyDescent="0.2">
      <c r="A3318" t="s">
        <v>12649</v>
      </c>
      <c r="B3318" t="s">
        <v>11038</v>
      </c>
      <c r="C3318" t="s">
        <v>11039</v>
      </c>
      <c r="D3318" t="s">
        <v>11974</v>
      </c>
      <c r="E3318" t="s">
        <v>11975</v>
      </c>
      <c r="F3318" t="s">
        <v>11974</v>
      </c>
      <c r="G3318" s="1">
        <v>6000000</v>
      </c>
      <c r="H3318" s="2">
        <v>5979478.0800000001</v>
      </c>
      <c r="I3318" s="2">
        <v>5990780.96</v>
      </c>
      <c r="J3318" s="2">
        <v>118947.95</v>
      </c>
      <c r="K3318" s="2">
        <v>0</v>
      </c>
      <c r="L3318" s="2">
        <v>6109728.9100000001</v>
      </c>
      <c r="M3318" s="3">
        <v>5.5398290000000001</v>
      </c>
      <c r="N3318" s="4">
        <v>1.3900289999999999E-2</v>
      </c>
      <c r="O3318" s="5">
        <v>44907</v>
      </c>
      <c r="P3318" s="5">
        <v>44907</v>
      </c>
      <c r="Q3318" s="1">
        <v>5.4</v>
      </c>
      <c r="R3318" s="2">
        <v>0.63</v>
      </c>
      <c r="S3318" s="6">
        <v>0.61143946870999999</v>
      </c>
      <c r="T3318" t="s">
        <v>111</v>
      </c>
      <c r="U3318" t="s">
        <v>11040</v>
      </c>
      <c r="V3318" t="s">
        <v>11041</v>
      </c>
      <c r="W3318" t="s">
        <v>43</v>
      </c>
      <c r="X3318" t="s">
        <v>11034</v>
      </c>
      <c r="Y3318" t="s">
        <v>44</v>
      </c>
      <c r="Z3318" t="s">
        <v>44</v>
      </c>
      <c r="AA3318" t="s">
        <v>10979</v>
      </c>
      <c r="AB3318" t="s">
        <v>44</v>
      </c>
      <c r="AC3318" s="4">
        <v>5.5958904499999997</v>
      </c>
      <c r="AD3318" s="4">
        <v>5.45729855</v>
      </c>
      <c r="AE3318" s="2">
        <v>5.6</v>
      </c>
      <c r="AF3318" s="4">
        <v>5.45729855</v>
      </c>
      <c r="AG3318" s="2">
        <v>0.9</v>
      </c>
      <c r="AH3318" s="2">
        <v>6109728.9100000001</v>
      </c>
      <c r="AI3318" s="2">
        <v>0.01</v>
      </c>
      <c r="AJ3318" s="5">
        <v>44673</v>
      </c>
      <c r="AK3318" t="s">
        <v>12650</v>
      </c>
      <c r="AL3318" s="2">
        <v>5.52</v>
      </c>
      <c r="AM3318" s="2">
        <v>5.4</v>
      </c>
      <c r="AN3318" s="2">
        <v>0.61</v>
      </c>
      <c r="AO3318" t="s">
        <v>11179</v>
      </c>
      <c r="AP3318" t="s">
        <v>11976</v>
      </c>
      <c r="AQ3318" t="s">
        <v>11975</v>
      </c>
    </row>
    <row r="3319" spans="1:43" x14ac:dyDescent="0.2">
      <c r="A3319" t="s">
        <v>12649</v>
      </c>
      <c r="B3319" t="s">
        <v>11038</v>
      </c>
      <c r="C3319" t="s">
        <v>11039</v>
      </c>
      <c r="D3319" t="s">
        <v>11884</v>
      </c>
      <c r="E3319" t="s">
        <v>11885</v>
      </c>
      <c r="F3319" t="s">
        <v>11884</v>
      </c>
      <c r="G3319" s="1">
        <v>7900000</v>
      </c>
      <c r="H3319" s="2">
        <v>7900000</v>
      </c>
      <c r="I3319" s="2">
        <v>7907904.5</v>
      </c>
      <c r="J3319" s="2">
        <v>105011.56</v>
      </c>
      <c r="K3319" s="2">
        <v>0</v>
      </c>
      <c r="L3319" s="2">
        <v>8012916.0599999996</v>
      </c>
      <c r="M3319" s="3">
        <v>5.529731</v>
      </c>
      <c r="N3319" s="4">
        <v>1.823025E-2</v>
      </c>
      <c r="O3319" s="5">
        <v>44679</v>
      </c>
      <c r="P3319" s="5">
        <v>44862</v>
      </c>
      <c r="Q3319" s="1">
        <v>5.7080000000000002</v>
      </c>
      <c r="R3319" s="2">
        <v>0.01</v>
      </c>
      <c r="S3319" s="6">
        <v>3.323205444E-3</v>
      </c>
      <c r="T3319" t="s">
        <v>111</v>
      </c>
      <c r="U3319" t="s">
        <v>11040</v>
      </c>
      <c r="V3319" t="s">
        <v>114</v>
      </c>
      <c r="W3319" t="s">
        <v>43</v>
      </c>
      <c r="X3319" t="s">
        <v>10988</v>
      </c>
      <c r="Y3319" t="s">
        <v>44</v>
      </c>
      <c r="Z3319" t="s">
        <v>44</v>
      </c>
      <c r="AA3319" t="s">
        <v>11465</v>
      </c>
      <c r="AB3319" t="s">
        <v>44</v>
      </c>
      <c r="AC3319" s="4">
        <v>5.6841506900000001</v>
      </c>
      <c r="AD3319" s="4">
        <v>5.5412295399999998</v>
      </c>
      <c r="AE3319" s="2">
        <v>5.68</v>
      </c>
      <c r="AF3319" s="4">
        <v>5.5412295399999998</v>
      </c>
      <c r="AG3319" s="2">
        <v>1.19</v>
      </c>
      <c r="AH3319" s="2">
        <v>8012916.0599999996</v>
      </c>
      <c r="AI3319" s="2">
        <v>0.02</v>
      </c>
      <c r="AJ3319" s="5">
        <v>44673</v>
      </c>
      <c r="AK3319" t="s">
        <v>12650</v>
      </c>
      <c r="AL3319" s="2">
        <v>5.61</v>
      </c>
      <c r="AM3319" s="2">
        <v>5.71</v>
      </c>
      <c r="AN3319" s="2">
        <v>0</v>
      </c>
      <c r="AO3319" t="s">
        <v>11886</v>
      </c>
      <c r="AP3319" t="s">
        <v>11887</v>
      </c>
      <c r="AQ3319" t="s">
        <v>11885</v>
      </c>
    </row>
    <row r="3320" spans="1:43" x14ac:dyDescent="0.2">
      <c r="A3320" t="s">
        <v>12649</v>
      </c>
      <c r="B3320" t="s">
        <v>11038</v>
      </c>
      <c r="C3320" t="s">
        <v>11222</v>
      </c>
      <c r="D3320" t="s">
        <v>11933</v>
      </c>
      <c r="E3320" t="s">
        <v>11934</v>
      </c>
      <c r="F3320" t="s">
        <v>11933</v>
      </c>
      <c r="G3320" s="1">
        <v>6000000</v>
      </c>
      <c r="H3320" s="2">
        <v>5868089.4299999997</v>
      </c>
      <c r="I3320" s="2">
        <v>5851099.3700000001</v>
      </c>
      <c r="J3320" s="2">
        <v>146919.45000000001</v>
      </c>
      <c r="K3320" s="2">
        <v>0</v>
      </c>
      <c r="L3320" s="2">
        <v>5998018.8200000003</v>
      </c>
      <c r="M3320" s="3">
        <v>7.1876509999999998</v>
      </c>
      <c r="N3320" s="4">
        <v>1.3646139999999999E-2</v>
      </c>
      <c r="O3320" s="5">
        <v>44701</v>
      </c>
      <c r="P3320" s="5">
        <v>45432</v>
      </c>
      <c r="Q3320" s="1">
        <v>5.88</v>
      </c>
      <c r="R3320" s="2">
        <v>1.93</v>
      </c>
      <c r="S3320" s="6">
        <v>1.86378459163</v>
      </c>
      <c r="T3320" t="s">
        <v>111</v>
      </c>
      <c r="U3320" t="s">
        <v>11040</v>
      </c>
      <c r="V3320" t="s">
        <v>11041</v>
      </c>
      <c r="W3320" t="s">
        <v>43</v>
      </c>
      <c r="X3320" t="s">
        <v>44</v>
      </c>
      <c r="Y3320" t="s">
        <v>44</v>
      </c>
      <c r="Z3320" t="s">
        <v>44</v>
      </c>
      <c r="AA3320" t="s">
        <v>10979</v>
      </c>
      <c r="AB3320" t="s">
        <v>44</v>
      </c>
      <c r="AC3320" s="4">
        <v>7.3168070500000004</v>
      </c>
      <c r="AD3320" s="4">
        <v>7.0823266</v>
      </c>
      <c r="AE3320" s="2">
        <v>7.32</v>
      </c>
      <c r="AF3320" s="4">
        <v>7.0823266</v>
      </c>
      <c r="AG3320" s="2">
        <v>0.89</v>
      </c>
      <c r="AH3320" s="2">
        <v>5998018.8200000003</v>
      </c>
      <c r="AI3320" s="2">
        <v>0.01</v>
      </c>
      <c r="AJ3320" s="5">
        <v>44673</v>
      </c>
      <c r="AK3320" t="s">
        <v>12650</v>
      </c>
      <c r="AL3320" s="2">
        <v>7.19</v>
      </c>
      <c r="AM3320" s="2">
        <v>5.88</v>
      </c>
      <c r="AN3320" s="2">
        <v>1.86</v>
      </c>
      <c r="AO3320" t="s">
        <v>11054</v>
      </c>
      <c r="AP3320" t="s">
        <v>11935</v>
      </c>
      <c r="AQ3320" t="s">
        <v>11934</v>
      </c>
    </row>
    <row r="3321" spans="1:43" x14ac:dyDescent="0.2">
      <c r="A3321" t="s">
        <v>12649</v>
      </c>
      <c r="B3321" t="s">
        <v>11038</v>
      </c>
      <c r="C3321" t="s">
        <v>11222</v>
      </c>
      <c r="D3321" t="s">
        <v>12965</v>
      </c>
      <c r="E3321" t="s">
        <v>12966</v>
      </c>
      <c r="F3321" t="s">
        <v>12965</v>
      </c>
      <c r="G3321" s="1">
        <v>10000000</v>
      </c>
      <c r="H3321" s="2">
        <v>10000000</v>
      </c>
      <c r="I3321" s="2">
        <v>10001461.42</v>
      </c>
      <c r="J3321" s="2">
        <v>19378.080000000002</v>
      </c>
      <c r="K3321" s="2">
        <v>0</v>
      </c>
      <c r="L3321" s="2">
        <v>10020839.5</v>
      </c>
      <c r="M3321" s="3">
        <v>6.4004060000000003</v>
      </c>
      <c r="N3321" s="4">
        <v>2.2798490000000001E-2</v>
      </c>
      <c r="O3321" s="5">
        <v>45057</v>
      </c>
      <c r="P3321" s="5">
        <v>45057</v>
      </c>
      <c r="Q3321" s="1">
        <v>6.43</v>
      </c>
      <c r="R3321" s="2">
        <v>1.04</v>
      </c>
      <c r="S3321" s="6">
        <v>0.97846466510999996</v>
      </c>
      <c r="T3321" t="s">
        <v>111</v>
      </c>
      <c r="U3321" t="s">
        <v>11040</v>
      </c>
      <c r="V3321" t="s">
        <v>11041</v>
      </c>
      <c r="W3321" t="s">
        <v>43</v>
      </c>
      <c r="X3321" t="s">
        <v>11034</v>
      </c>
      <c r="Y3321" t="s">
        <v>44</v>
      </c>
      <c r="Z3321" t="s">
        <v>44</v>
      </c>
      <c r="AA3321" t="s">
        <v>10979</v>
      </c>
      <c r="AB3321" t="s">
        <v>44</v>
      </c>
      <c r="AC3321" s="4">
        <v>6.3916291899999997</v>
      </c>
      <c r="AD3321" s="4">
        <v>6.2116933599999999</v>
      </c>
      <c r="AE3321" s="2">
        <v>6.39</v>
      </c>
      <c r="AF3321" s="4">
        <v>6.2116933599999999</v>
      </c>
      <c r="AG3321" s="2">
        <v>1.48</v>
      </c>
      <c r="AH3321" s="2">
        <v>10020839.5</v>
      </c>
      <c r="AI3321" s="2">
        <v>0.02</v>
      </c>
      <c r="AJ3321" s="5">
        <v>44673</v>
      </c>
      <c r="AK3321" t="s">
        <v>12650</v>
      </c>
      <c r="AL3321" s="2">
        <v>6.29</v>
      </c>
      <c r="AM3321" s="2">
        <v>6.43</v>
      </c>
      <c r="AN3321" s="2">
        <v>0.98</v>
      </c>
      <c r="AO3321" t="s">
        <v>11054</v>
      </c>
      <c r="AP3321" t="s">
        <v>12967</v>
      </c>
      <c r="AQ3321" t="s">
        <v>12966</v>
      </c>
    </row>
    <row r="3322" spans="1:43" x14ac:dyDescent="0.2">
      <c r="A3322" t="s">
        <v>12649</v>
      </c>
      <c r="B3322" t="s">
        <v>11038</v>
      </c>
      <c r="C3322" t="s">
        <v>11222</v>
      </c>
      <c r="D3322" t="s">
        <v>11891</v>
      </c>
      <c r="E3322" t="s">
        <v>11892</v>
      </c>
      <c r="F3322" t="s">
        <v>11891</v>
      </c>
      <c r="G3322" s="1">
        <v>8000000</v>
      </c>
      <c r="H3322" s="2">
        <v>8000000</v>
      </c>
      <c r="I3322" s="2">
        <v>8012058.7699999996</v>
      </c>
      <c r="J3322" s="2">
        <v>68597.259999999995</v>
      </c>
      <c r="K3322" s="2">
        <v>0</v>
      </c>
      <c r="L3322" s="2">
        <v>8080656.0300000003</v>
      </c>
      <c r="M3322" s="3">
        <v>7.9353490000000004</v>
      </c>
      <c r="N3322" s="4">
        <v>1.8384359999999999E-2</v>
      </c>
      <c r="O3322" s="5">
        <v>44727</v>
      </c>
      <c r="P3322" s="5">
        <v>45642</v>
      </c>
      <c r="Q3322" s="1">
        <v>8.0250000000000004</v>
      </c>
      <c r="R3322" s="2">
        <v>0.14000000000000001</v>
      </c>
      <c r="S3322" s="6">
        <v>7.6335008319000003E-2</v>
      </c>
      <c r="T3322" t="s">
        <v>111</v>
      </c>
      <c r="U3322" t="s">
        <v>11040</v>
      </c>
      <c r="V3322" t="s">
        <v>114</v>
      </c>
      <c r="W3322" t="s">
        <v>43</v>
      </c>
      <c r="X3322" t="s">
        <v>10988</v>
      </c>
      <c r="Y3322" t="s">
        <v>44</v>
      </c>
      <c r="Z3322" t="s">
        <v>44</v>
      </c>
      <c r="AA3322" t="s">
        <v>44</v>
      </c>
      <c r="AB3322" t="s">
        <v>44</v>
      </c>
      <c r="AC3322" s="4">
        <v>8.2114278699999996</v>
      </c>
      <c r="AD3322" s="4">
        <v>7.9176856799999999</v>
      </c>
      <c r="AE3322" s="2">
        <v>8.2100000000000009</v>
      </c>
      <c r="AF3322" s="4">
        <v>7.9176856799999999</v>
      </c>
      <c r="AG3322" s="2">
        <v>1.2</v>
      </c>
      <c r="AH3322" s="2">
        <v>8080656.0300000003</v>
      </c>
      <c r="AI3322" s="2">
        <v>0.02</v>
      </c>
      <c r="AJ3322" s="5">
        <v>44673</v>
      </c>
      <c r="AK3322" t="s">
        <v>12650</v>
      </c>
      <c r="AL3322" s="2">
        <v>8.0500000000000007</v>
      </c>
      <c r="AM3322" s="2">
        <v>8.0299999999999994</v>
      </c>
      <c r="AN3322" s="2">
        <v>0.08</v>
      </c>
      <c r="AO3322" t="s">
        <v>11871</v>
      </c>
      <c r="AP3322" t="s">
        <v>11893</v>
      </c>
      <c r="AQ3322" t="s">
        <v>11892</v>
      </c>
    </row>
    <row r="3323" spans="1:43" x14ac:dyDescent="0.2">
      <c r="A3323" t="s">
        <v>12649</v>
      </c>
      <c r="B3323" t="s">
        <v>11038</v>
      </c>
      <c r="C3323" t="s">
        <v>11222</v>
      </c>
      <c r="D3323" t="s">
        <v>11648</v>
      </c>
      <c r="E3323" t="s">
        <v>11649</v>
      </c>
      <c r="F3323" t="s">
        <v>11648</v>
      </c>
      <c r="G3323" s="1">
        <v>6800000</v>
      </c>
      <c r="H3323" s="2">
        <v>6800000</v>
      </c>
      <c r="I3323" s="2">
        <v>6819721.6699999999</v>
      </c>
      <c r="J3323" s="2">
        <v>62041.71</v>
      </c>
      <c r="K3323" s="2">
        <v>0</v>
      </c>
      <c r="L3323" s="2">
        <v>6881763.3799999999</v>
      </c>
      <c r="M3323" s="3">
        <v>6.0302819999999997</v>
      </c>
      <c r="N3323" s="4">
        <v>1.5656750000000001E-2</v>
      </c>
      <c r="O3323" s="5">
        <v>44712</v>
      </c>
      <c r="P3323" s="5">
        <v>45260</v>
      </c>
      <c r="Q3323" s="1">
        <v>6.1669999999999998</v>
      </c>
      <c r="R3323" s="2">
        <v>0.1</v>
      </c>
      <c r="S3323" s="6">
        <v>7.8177650525999995E-2</v>
      </c>
      <c r="T3323" t="s">
        <v>111</v>
      </c>
      <c r="U3323" t="s">
        <v>11040</v>
      </c>
      <c r="V3323" t="s">
        <v>114</v>
      </c>
      <c r="W3323" t="s">
        <v>43</v>
      </c>
      <c r="X3323" t="s">
        <v>10988</v>
      </c>
      <c r="Y3323" t="s">
        <v>44</v>
      </c>
      <c r="Z3323" t="s">
        <v>44</v>
      </c>
      <c r="AA3323" t="s">
        <v>10979</v>
      </c>
      <c r="AB3323" t="s">
        <v>44</v>
      </c>
      <c r="AC3323" s="4">
        <v>6.1968427300000002</v>
      </c>
      <c r="AD3323" s="4">
        <v>6.0275066400000004</v>
      </c>
      <c r="AE3323" s="2">
        <v>6.2</v>
      </c>
      <c r="AF3323" s="4">
        <v>6.0275066400000004</v>
      </c>
      <c r="AG3323" s="2">
        <v>1.02</v>
      </c>
      <c r="AH3323" s="2">
        <v>6881763.3799999999</v>
      </c>
      <c r="AI3323" s="2">
        <v>0.02</v>
      </c>
      <c r="AJ3323" s="5">
        <v>44673</v>
      </c>
      <c r="AK3323" t="s">
        <v>12650</v>
      </c>
      <c r="AL3323" s="2">
        <v>6.1</v>
      </c>
      <c r="AM3323" s="2">
        <v>6.17</v>
      </c>
      <c r="AN3323" s="2">
        <v>0.08</v>
      </c>
      <c r="AO3323" t="s">
        <v>11048</v>
      </c>
      <c r="AP3323" t="s">
        <v>11650</v>
      </c>
      <c r="AQ3323" t="s">
        <v>11649</v>
      </c>
    </row>
    <row r="3324" spans="1:43" x14ac:dyDescent="0.2">
      <c r="A3324" t="s">
        <v>12649</v>
      </c>
      <c r="B3324" t="s">
        <v>11038</v>
      </c>
      <c r="C3324" t="s">
        <v>11222</v>
      </c>
      <c r="D3324" t="s">
        <v>11894</v>
      </c>
      <c r="E3324" t="s">
        <v>11895</v>
      </c>
      <c r="F3324" t="s">
        <v>11894</v>
      </c>
      <c r="G3324" s="1">
        <v>2000000</v>
      </c>
      <c r="H3324" s="2">
        <v>2000000</v>
      </c>
      <c r="I3324" s="2">
        <v>1999821.45</v>
      </c>
      <c r="J3324" s="2">
        <v>13516.44</v>
      </c>
      <c r="K3324" s="2">
        <v>0</v>
      </c>
      <c r="L3324" s="2">
        <v>2013337.89</v>
      </c>
      <c r="M3324" s="3">
        <v>6.3053489999999996</v>
      </c>
      <c r="N3324" s="4">
        <v>4.58056E-3</v>
      </c>
      <c r="O3324" s="5">
        <v>44727</v>
      </c>
      <c r="P3324" s="5">
        <v>45366</v>
      </c>
      <c r="Q3324" s="1">
        <v>6.3250000000000002</v>
      </c>
      <c r="R3324" s="2">
        <v>0.14000000000000001</v>
      </c>
      <c r="S3324" s="6">
        <v>0.10845508335</v>
      </c>
      <c r="T3324" t="s">
        <v>111</v>
      </c>
      <c r="U3324" t="s">
        <v>11040</v>
      </c>
      <c r="V3324" t="s">
        <v>114</v>
      </c>
      <c r="W3324" t="s">
        <v>43</v>
      </c>
      <c r="X3324" t="s">
        <v>10988</v>
      </c>
      <c r="Y3324" t="s">
        <v>44</v>
      </c>
      <c r="Z3324" t="s">
        <v>44</v>
      </c>
      <c r="AA3324" t="s">
        <v>10979</v>
      </c>
      <c r="AB3324" t="s">
        <v>44</v>
      </c>
      <c r="AC3324" s="4">
        <v>6.4789744799999998</v>
      </c>
      <c r="AD3324" s="4">
        <v>6.2941851800000004</v>
      </c>
      <c r="AE3324" s="2">
        <v>6.48</v>
      </c>
      <c r="AF3324" s="4">
        <v>6.2941851800000004</v>
      </c>
      <c r="AG3324" s="2">
        <v>0.3</v>
      </c>
      <c r="AH3324" s="2">
        <v>2013337.89</v>
      </c>
      <c r="AI3324" s="2">
        <v>0</v>
      </c>
      <c r="AJ3324" s="5">
        <v>44673</v>
      </c>
      <c r="AK3324" t="s">
        <v>12650</v>
      </c>
      <c r="AL3324" s="2">
        <v>6.38</v>
      </c>
      <c r="AM3324" s="2">
        <v>6.33</v>
      </c>
      <c r="AN3324" s="2">
        <v>0.11</v>
      </c>
      <c r="AO3324" t="s">
        <v>11567</v>
      </c>
      <c r="AP3324" t="s">
        <v>11896</v>
      </c>
      <c r="AQ3324" t="s">
        <v>11895</v>
      </c>
    </row>
    <row r="3325" spans="1:43" x14ac:dyDescent="0.2">
      <c r="A3325" t="s">
        <v>12649</v>
      </c>
      <c r="B3325" t="s">
        <v>11038</v>
      </c>
      <c r="C3325" t="s">
        <v>11222</v>
      </c>
      <c r="D3325" t="s">
        <v>11897</v>
      </c>
      <c r="E3325" t="s">
        <v>11898</v>
      </c>
      <c r="F3325" t="s">
        <v>11897</v>
      </c>
      <c r="G3325" s="1">
        <v>2500000</v>
      </c>
      <c r="H3325" s="2">
        <v>2500161.5</v>
      </c>
      <c r="I3325" s="2">
        <v>2499673.66</v>
      </c>
      <c r="J3325" s="2">
        <v>20013.63</v>
      </c>
      <c r="K3325" s="2">
        <v>0</v>
      </c>
      <c r="L3325" s="2">
        <v>2519687.29</v>
      </c>
      <c r="M3325" s="3">
        <v>6.2678570000000002</v>
      </c>
      <c r="N3325" s="4">
        <v>5.7325600000000003E-3</v>
      </c>
      <c r="O3325" s="5">
        <v>44719</v>
      </c>
      <c r="P3325" s="5">
        <v>45723</v>
      </c>
      <c r="Q3325" s="1">
        <v>6.2169999999999996</v>
      </c>
      <c r="R3325" s="2">
        <v>0.12</v>
      </c>
      <c r="S3325" s="6">
        <v>7.7282729554999999E-2</v>
      </c>
      <c r="T3325" t="s">
        <v>111</v>
      </c>
      <c r="U3325" t="s">
        <v>11040</v>
      </c>
      <c r="V3325" t="s">
        <v>114</v>
      </c>
      <c r="W3325" t="s">
        <v>43</v>
      </c>
      <c r="X3325" t="s">
        <v>10988</v>
      </c>
      <c r="Y3325" t="s">
        <v>44</v>
      </c>
      <c r="Z3325" t="s">
        <v>44</v>
      </c>
      <c r="AA3325" t="s">
        <v>11035</v>
      </c>
      <c r="AB3325" t="s">
        <v>44</v>
      </c>
      <c r="AC3325" s="4">
        <v>6.4439416999999999</v>
      </c>
      <c r="AD3325" s="4">
        <v>6.2611065000000004</v>
      </c>
      <c r="AE3325" s="2">
        <v>6.44</v>
      </c>
      <c r="AF3325" s="4">
        <v>6.2611065000000004</v>
      </c>
      <c r="AG3325" s="2">
        <v>0.37</v>
      </c>
      <c r="AH3325" s="2">
        <v>2519687.29</v>
      </c>
      <c r="AI3325" s="2">
        <v>0.01</v>
      </c>
      <c r="AJ3325" s="5">
        <v>44673</v>
      </c>
      <c r="AK3325" t="s">
        <v>12650</v>
      </c>
      <c r="AL3325" s="2">
        <v>6.34</v>
      </c>
      <c r="AM3325" s="2">
        <v>6.22</v>
      </c>
      <c r="AN3325" s="2">
        <v>0.08</v>
      </c>
      <c r="AO3325" t="s">
        <v>11437</v>
      </c>
      <c r="AP3325" t="s">
        <v>11899</v>
      </c>
      <c r="AQ3325" t="s">
        <v>11898</v>
      </c>
    </row>
    <row r="3326" spans="1:43" x14ac:dyDescent="0.2">
      <c r="A3326" t="s">
        <v>12649</v>
      </c>
      <c r="B3326" t="s">
        <v>11038</v>
      </c>
      <c r="C3326" t="s">
        <v>11222</v>
      </c>
      <c r="D3326" t="s">
        <v>11924</v>
      </c>
      <c r="E3326" t="s">
        <v>11925</v>
      </c>
      <c r="F3326" t="s">
        <v>11924</v>
      </c>
      <c r="G3326" s="1">
        <v>1200000</v>
      </c>
      <c r="H3326" s="2">
        <v>1200000</v>
      </c>
      <c r="I3326" s="2">
        <v>1230995.19</v>
      </c>
      <c r="J3326" s="2">
        <v>855.85</v>
      </c>
      <c r="K3326" s="2">
        <v>0</v>
      </c>
      <c r="L3326" s="2">
        <v>1231851.04</v>
      </c>
      <c r="M3326" s="3">
        <v>5.0620180000000001</v>
      </c>
      <c r="N3326" s="4">
        <v>2.8025900000000002E-3</v>
      </c>
      <c r="O3326" s="5">
        <v>44760</v>
      </c>
      <c r="P3326" s="5">
        <v>45400</v>
      </c>
      <c r="Q3326" s="1">
        <v>6.508</v>
      </c>
      <c r="R3326" s="2">
        <v>0.23</v>
      </c>
      <c r="S3326" s="6">
        <v>0.23106658820500001</v>
      </c>
      <c r="T3326" t="s">
        <v>111</v>
      </c>
      <c r="U3326" t="s">
        <v>11040</v>
      </c>
      <c r="V3326" t="s">
        <v>114</v>
      </c>
      <c r="W3326" t="s">
        <v>43</v>
      </c>
      <c r="X3326" t="s">
        <v>10988</v>
      </c>
      <c r="Y3326" t="s">
        <v>44</v>
      </c>
      <c r="Z3326" t="s">
        <v>44</v>
      </c>
      <c r="AA3326" t="s">
        <v>10913</v>
      </c>
      <c r="AB3326" t="s">
        <v>44</v>
      </c>
      <c r="AC3326" s="4">
        <v>5.1615543300000004</v>
      </c>
      <c r="AD3326" s="4">
        <v>5.04332782</v>
      </c>
      <c r="AE3326" s="2">
        <v>5.16</v>
      </c>
      <c r="AF3326" s="4">
        <v>5.04332782</v>
      </c>
      <c r="AG3326" s="2">
        <v>0.18</v>
      </c>
      <c r="AH3326" s="2">
        <v>1231851.04</v>
      </c>
      <c r="AI3326" s="2">
        <v>0</v>
      </c>
      <c r="AJ3326" s="5">
        <v>44673</v>
      </c>
      <c r="AK3326" t="s">
        <v>12650</v>
      </c>
      <c r="AL3326" s="2">
        <v>5.0999999999999996</v>
      </c>
      <c r="AM3326" s="2">
        <v>6.51</v>
      </c>
      <c r="AN3326" s="2">
        <v>0.23</v>
      </c>
      <c r="AO3326" t="s">
        <v>11563</v>
      </c>
      <c r="AP3326" t="s">
        <v>11926</v>
      </c>
      <c r="AQ3326" t="s">
        <v>11925</v>
      </c>
    </row>
    <row r="3327" spans="1:43" x14ac:dyDescent="0.2">
      <c r="A3327" t="s">
        <v>12649</v>
      </c>
      <c r="B3327" t="s">
        <v>11038</v>
      </c>
      <c r="C3327" t="s">
        <v>11222</v>
      </c>
      <c r="D3327" t="s">
        <v>11900</v>
      </c>
      <c r="E3327" t="s">
        <v>11901</v>
      </c>
      <c r="F3327" t="s">
        <v>11900</v>
      </c>
      <c r="G3327" s="1">
        <v>8000000</v>
      </c>
      <c r="H3327" s="2">
        <v>8000000</v>
      </c>
      <c r="I3327" s="2">
        <v>8026450.1799999997</v>
      </c>
      <c r="J3327" s="2">
        <v>101499.62</v>
      </c>
      <c r="K3327" s="2">
        <v>0</v>
      </c>
      <c r="L3327" s="2">
        <v>8127949.7999999998</v>
      </c>
      <c r="M3327" s="3">
        <v>6.1260430000000001</v>
      </c>
      <c r="N3327" s="4">
        <v>1.8491960000000002E-2</v>
      </c>
      <c r="O3327" s="5">
        <v>44690</v>
      </c>
      <c r="P3327" s="5">
        <v>45330</v>
      </c>
      <c r="Q3327" s="1">
        <v>6.258</v>
      </c>
      <c r="R3327" s="2">
        <v>0.04</v>
      </c>
      <c r="S3327" s="6">
        <v>1.7773178866000001E-2</v>
      </c>
      <c r="T3327" t="s">
        <v>111</v>
      </c>
      <c r="U3327" t="s">
        <v>11040</v>
      </c>
      <c r="V3327" t="s">
        <v>114</v>
      </c>
      <c r="W3327" t="s">
        <v>43</v>
      </c>
      <c r="X3327" t="s">
        <v>10988</v>
      </c>
      <c r="Y3327" t="s">
        <v>44</v>
      </c>
      <c r="Z3327" t="s">
        <v>44</v>
      </c>
      <c r="AA3327" t="s">
        <v>10979</v>
      </c>
      <c r="AB3327" t="s">
        <v>44</v>
      </c>
      <c r="AC3327" s="4">
        <v>6.3099366400000001</v>
      </c>
      <c r="AD3327" s="4">
        <v>6.1344839599999998</v>
      </c>
      <c r="AE3327" s="2">
        <v>6.31</v>
      </c>
      <c r="AF3327" s="4">
        <v>6.1344839599999998</v>
      </c>
      <c r="AG3327" s="2">
        <v>1.2</v>
      </c>
      <c r="AH3327" s="2">
        <v>8127949.7999999998</v>
      </c>
      <c r="AI3327" s="2">
        <v>0.02</v>
      </c>
      <c r="AJ3327" s="5">
        <v>44673</v>
      </c>
      <c r="AK3327" t="s">
        <v>12650</v>
      </c>
      <c r="AL3327" s="2">
        <v>6.21</v>
      </c>
      <c r="AM3327" s="2">
        <v>6.26</v>
      </c>
      <c r="AN3327" s="2">
        <v>0.02</v>
      </c>
      <c r="AO3327" t="s">
        <v>11824</v>
      </c>
      <c r="AP3327" t="s">
        <v>11902</v>
      </c>
      <c r="AQ3327" t="s">
        <v>11901</v>
      </c>
    </row>
    <row r="3328" spans="1:43" x14ac:dyDescent="0.2">
      <c r="A3328" t="s">
        <v>12649</v>
      </c>
      <c r="B3328" t="s">
        <v>11038</v>
      </c>
      <c r="C3328" t="s">
        <v>11222</v>
      </c>
      <c r="D3328" t="s">
        <v>11903</v>
      </c>
      <c r="E3328" t="s">
        <v>11904</v>
      </c>
      <c r="F3328" t="s">
        <v>11903</v>
      </c>
      <c r="G3328" s="1">
        <v>4200000</v>
      </c>
      <c r="H3328" s="2">
        <v>4200000</v>
      </c>
      <c r="I3328" s="2">
        <v>4199907.3899999997</v>
      </c>
      <c r="J3328" s="2">
        <v>51093.17</v>
      </c>
      <c r="K3328" s="2">
        <v>0</v>
      </c>
      <c r="L3328" s="2">
        <v>4251000.5599999996</v>
      </c>
      <c r="M3328" s="3">
        <v>6.2325840000000001</v>
      </c>
      <c r="N3328" s="4">
        <v>9.6714799999999997E-3</v>
      </c>
      <c r="O3328" s="5">
        <v>44691</v>
      </c>
      <c r="P3328" s="5">
        <v>45422</v>
      </c>
      <c r="Q3328" s="1">
        <v>6.1669999999999998</v>
      </c>
      <c r="R3328" s="2">
        <v>0.04</v>
      </c>
      <c r="S3328" s="6">
        <v>1.3346666328999999E-2</v>
      </c>
      <c r="T3328" t="s">
        <v>111</v>
      </c>
      <c r="U3328" t="s">
        <v>11040</v>
      </c>
      <c r="V3328" t="s">
        <v>114</v>
      </c>
      <c r="W3328" t="s">
        <v>43</v>
      </c>
      <c r="X3328" t="s">
        <v>10988</v>
      </c>
      <c r="Y3328" t="s">
        <v>44</v>
      </c>
      <c r="Z3328" t="s">
        <v>44</v>
      </c>
      <c r="AA3328" t="s">
        <v>11035</v>
      </c>
      <c r="AB3328" t="s">
        <v>44</v>
      </c>
      <c r="AC3328" s="4">
        <v>6.4224278899999998</v>
      </c>
      <c r="AD3328" s="4">
        <v>6.2407877699999998</v>
      </c>
      <c r="AE3328" s="2">
        <v>6.42</v>
      </c>
      <c r="AF3328" s="4">
        <v>6.2407877699999998</v>
      </c>
      <c r="AG3328" s="2">
        <v>0.63</v>
      </c>
      <c r="AH3328" s="2">
        <v>4251000.5599999996</v>
      </c>
      <c r="AI3328" s="2">
        <v>0.01</v>
      </c>
      <c r="AJ3328" s="5">
        <v>44673</v>
      </c>
      <c r="AK3328" t="s">
        <v>12650</v>
      </c>
      <c r="AL3328" s="2">
        <v>6.32</v>
      </c>
      <c r="AM3328" s="2">
        <v>6.17</v>
      </c>
      <c r="AN3328" s="2">
        <v>0.01</v>
      </c>
      <c r="AO3328" t="s">
        <v>11437</v>
      </c>
      <c r="AP3328" t="s">
        <v>11905</v>
      </c>
      <c r="AQ3328" t="s">
        <v>11904</v>
      </c>
    </row>
    <row r="3329" spans="1:43" x14ac:dyDescent="0.2">
      <c r="A3329" t="s">
        <v>12649</v>
      </c>
      <c r="B3329" t="s">
        <v>11038</v>
      </c>
      <c r="C3329" t="s">
        <v>11222</v>
      </c>
      <c r="D3329" t="s">
        <v>11939</v>
      </c>
      <c r="E3329" t="s">
        <v>11940</v>
      </c>
      <c r="F3329" t="s">
        <v>11939</v>
      </c>
      <c r="G3329" s="1">
        <v>2100000</v>
      </c>
      <c r="H3329" s="2">
        <v>2098357.15</v>
      </c>
      <c r="I3329" s="2">
        <v>2109446.04</v>
      </c>
      <c r="J3329" s="2">
        <v>31450.41</v>
      </c>
      <c r="K3329" s="2">
        <v>0</v>
      </c>
      <c r="L3329" s="2">
        <v>2140896.4500000002</v>
      </c>
      <c r="M3329" s="3">
        <v>6.1653989999999999</v>
      </c>
      <c r="N3329" s="4">
        <v>4.87077E-3</v>
      </c>
      <c r="O3329" s="5">
        <v>44676</v>
      </c>
      <c r="P3329" s="5">
        <v>45040</v>
      </c>
      <c r="Q3329" s="1">
        <v>6.1420000000000003</v>
      </c>
      <c r="R3329" s="2">
        <v>0.25</v>
      </c>
      <c r="S3329" s="6">
        <v>-9.3753711189999995E-3</v>
      </c>
      <c r="T3329" t="s">
        <v>111</v>
      </c>
      <c r="U3329" t="s">
        <v>11040</v>
      </c>
      <c r="V3329" t="s">
        <v>114</v>
      </c>
      <c r="W3329" t="s">
        <v>43</v>
      </c>
      <c r="X3329" t="s">
        <v>10988</v>
      </c>
      <c r="Y3329" t="s">
        <v>44</v>
      </c>
      <c r="Z3329" t="s">
        <v>44</v>
      </c>
      <c r="AA3329" t="s">
        <v>10979</v>
      </c>
      <c r="AB3329" t="s">
        <v>44</v>
      </c>
      <c r="AC3329" s="4">
        <v>6.3095501499999997</v>
      </c>
      <c r="AD3329" s="4">
        <v>6.1341185500000002</v>
      </c>
      <c r="AE3329" s="2">
        <v>6.31</v>
      </c>
      <c r="AF3329" s="4">
        <v>6.1341185500000002</v>
      </c>
      <c r="AG3329" s="2">
        <v>0.32</v>
      </c>
      <c r="AH3329" s="2">
        <v>2140896.4500000002</v>
      </c>
      <c r="AI3329" s="2">
        <v>0</v>
      </c>
      <c r="AJ3329" s="5">
        <v>44673</v>
      </c>
      <c r="AK3329" t="s">
        <v>12650</v>
      </c>
      <c r="AL3329" s="2">
        <v>6.21</v>
      </c>
      <c r="AM3329" s="2">
        <v>6.14</v>
      </c>
      <c r="AN3329" s="2">
        <v>-0.01</v>
      </c>
      <c r="AO3329" t="s">
        <v>11618</v>
      </c>
      <c r="AP3329" t="s">
        <v>11941</v>
      </c>
      <c r="AQ3329" t="s">
        <v>11940</v>
      </c>
    </row>
    <row r="3330" spans="1:43" x14ac:dyDescent="0.2">
      <c r="A3330" t="s">
        <v>12649</v>
      </c>
      <c r="B3330" t="s">
        <v>11160</v>
      </c>
      <c r="C3330" t="s">
        <v>11161</v>
      </c>
      <c r="D3330" t="s">
        <v>11162</v>
      </c>
      <c r="E3330" t="s">
        <v>11163</v>
      </c>
      <c r="F3330" t="s">
        <v>11162</v>
      </c>
      <c r="G3330" s="1">
        <v>8900</v>
      </c>
      <c r="H3330" s="2">
        <v>5640278.8300000001</v>
      </c>
      <c r="I3330" s="2">
        <v>8010000</v>
      </c>
      <c r="J3330" s="2">
        <v>0</v>
      </c>
      <c r="K3330" s="2">
        <v>221975.75</v>
      </c>
      <c r="L3330" s="2">
        <v>8231975.75</v>
      </c>
      <c r="M3330" s="3">
        <v>90000</v>
      </c>
      <c r="N3330" s="4">
        <v>1.872863E-2</v>
      </c>
      <c r="O3330" s="5" t="s">
        <v>44</v>
      </c>
      <c r="P3330" s="5" t="s">
        <v>44</v>
      </c>
      <c r="Q3330" s="1"/>
      <c r="R3330" s="2"/>
      <c r="S3330" s="6"/>
      <c r="T3330" t="s">
        <v>10902</v>
      </c>
      <c r="U3330" t="s">
        <v>10902</v>
      </c>
      <c r="V3330" t="s">
        <v>11164</v>
      </c>
      <c r="W3330" t="s">
        <v>43</v>
      </c>
      <c r="X3330" t="s">
        <v>44</v>
      </c>
      <c r="Y3330" t="s">
        <v>44</v>
      </c>
      <c r="Z3330" t="s">
        <v>44</v>
      </c>
      <c r="AA3330" t="s">
        <v>10979</v>
      </c>
      <c r="AB3330" t="s">
        <v>44</v>
      </c>
      <c r="AC3330" s="4"/>
      <c r="AD3330" s="4"/>
      <c r="AE3330" s="2">
        <v>0</v>
      </c>
      <c r="AF3330" s="4">
        <v>0</v>
      </c>
      <c r="AG3330" s="2">
        <v>1.22</v>
      </c>
      <c r="AH3330" s="2">
        <v>8231975.75</v>
      </c>
      <c r="AI3330" s="2">
        <v>0.02</v>
      </c>
      <c r="AJ3330" s="5">
        <v>44673</v>
      </c>
      <c r="AK3330" t="s">
        <v>12650</v>
      </c>
      <c r="AL3330" s="2">
        <v>0</v>
      </c>
      <c r="AM3330" s="2">
        <v>0</v>
      </c>
      <c r="AN3330" s="2">
        <v>0</v>
      </c>
      <c r="AO3330" t="s">
        <v>11165</v>
      </c>
      <c r="AP3330" t="s">
        <v>11166</v>
      </c>
      <c r="AQ3330" t="s">
        <v>11163</v>
      </c>
    </row>
    <row r="3331" spans="1:43" x14ac:dyDescent="0.2">
      <c r="A3331" t="s">
        <v>12649</v>
      </c>
      <c r="B3331" t="s">
        <v>11160</v>
      </c>
      <c r="C3331" t="s">
        <v>11161</v>
      </c>
      <c r="D3331" t="s">
        <v>11176</v>
      </c>
      <c r="E3331" t="s">
        <v>11177</v>
      </c>
      <c r="F3331" t="s">
        <v>11178</v>
      </c>
      <c r="G3331" s="1">
        <v>264476</v>
      </c>
      <c r="H3331" s="2">
        <v>19204583.289999999</v>
      </c>
      <c r="I3331" s="2">
        <v>24434937.640000001</v>
      </c>
      <c r="J3331" s="2">
        <v>0</v>
      </c>
      <c r="K3331" s="2">
        <v>0</v>
      </c>
      <c r="L3331" s="2">
        <v>24434937.640000001</v>
      </c>
      <c r="M3331" s="3">
        <v>9239</v>
      </c>
      <c r="N3331" s="4">
        <v>5.559211E-2</v>
      </c>
      <c r="O3331" s="5" t="s">
        <v>44</v>
      </c>
      <c r="P3331" s="5" t="s">
        <v>44</v>
      </c>
      <c r="Q3331" s="1"/>
      <c r="R3331" s="2"/>
      <c r="S3331" s="6"/>
      <c r="T3331" t="s">
        <v>10902</v>
      </c>
      <c r="U3331" t="s">
        <v>10902</v>
      </c>
      <c r="V3331" t="s">
        <v>11164</v>
      </c>
      <c r="W3331" t="s">
        <v>43</v>
      </c>
      <c r="X3331" t="s">
        <v>44</v>
      </c>
      <c r="Y3331" t="s">
        <v>44</v>
      </c>
      <c r="Z3331" t="s">
        <v>44</v>
      </c>
      <c r="AA3331" t="s">
        <v>10979</v>
      </c>
      <c r="AB3331" t="s">
        <v>44</v>
      </c>
      <c r="AC3331" s="4"/>
      <c r="AD3331" s="4"/>
      <c r="AE3331" s="2">
        <v>0</v>
      </c>
      <c r="AF3331" s="4">
        <v>0</v>
      </c>
      <c r="AG3331" s="2">
        <v>3.62</v>
      </c>
      <c r="AH3331" s="2">
        <v>24434937.640000001</v>
      </c>
      <c r="AI3331" s="2">
        <v>0.06</v>
      </c>
      <c r="AJ3331" s="5">
        <v>44673</v>
      </c>
      <c r="AK3331" t="s">
        <v>12650</v>
      </c>
      <c r="AL3331" s="2">
        <v>0</v>
      </c>
      <c r="AM3331" s="2">
        <v>0</v>
      </c>
      <c r="AN3331" s="2">
        <v>0</v>
      </c>
      <c r="AO3331" t="s">
        <v>11179</v>
      </c>
      <c r="AP3331" t="s">
        <v>11180</v>
      </c>
      <c r="AQ3331" t="s">
        <v>11177</v>
      </c>
    </row>
    <row r="3332" spans="1:43" x14ac:dyDescent="0.2">
      <c r="A3332" t="s">
        <v>12651</v>
      </c>
      <c r="B3332" t="s">
        <v>10900</v>
      </c>
      <c r="C3332" t="s">
        <v>10943</v>
      </c>
      <c r="D3332" t="s">
        <v>11135</v>
      </c>
      <c r="E3332" t="s">
        <v>10946</v>
      </c>
      <c r="F3332" t="s">
        <v>11135</v>
      </c>
      <c r="G3332" s="1">
        <v>1600000</v>
      </c>
      <c r="H3332" s="2">
        <v>1773472.15</v>
      </c>
      <c r="I3332" s="2">
        <v>1738287.2</v>
      </c>
      <c r="J3332" s="2">
        <v>56613.7</v>
      </c>
      <c r="K3332" s="2">
        <v>0</v>
      </c>
      <c r="L3332" s="2">
        <v>1794900.9</v>
      </c>
      <c r="M3332" s="3">
        <v>8.2249999999999996</v>
      </c>
      <c r="N3332" s="4">
        <v>4.0835899999999998E-3</v>
      </c>
      <c r="O3332" s="5">
        <v>44733</v>
      </c>
      <c r="P3332" s="5">
        <v>46377</v>
      </c>
      <c r="Q3332" s="1">
        <v>10.5</v>
      </c>
      <c r="R3332" s="2">
        <v>3.72</v>
      </c>
      <c r="S3332" s="6">
        <v>3.572672968</v>
      </c>
      <c r="T3332" t="s">
        <v>111</v>
      </c>
      <c r="U3332" t="s">
        <v>111</v>
      </c>
      <c r="V3332" t="s">
        <v>10944</v>
      </c>
      <c r="W3332" t="s">
        <v>43</v>
      </c>
      <c r="X3332" t="s">
        <v>10945</v>
      </c>
      <c r="Y3332" t="s">
        <v>44</v>
      </c>
      <c r="Z3332" t="s">
        <v>44</v>
      </c>
      <c r="AA3332" t="s">
        <v>10913</v>
      </c>
      <c r="AB3332" t="s">
        <v>44</v>
      </c>
      <c r="AC3332" s="4">
        <v>8.3941265600000001</v>
      </c>
      <c r="AD3332" s="4">
        <v>8.0875032299999994</v>
      </c>
      <c r="AE3332" s="2">
        <v>8.39</v>
      </c>
      <c r="AF3332" s="4">
        <v>8.0875032299999994</v>
      </c>
      <c r="AG3332" s="2">
        <v>1.4</v>
      </c>
      <c r="AH3332" s="2">
        <v>1794900.9</v>
      </c>
      <c r="AI3332" s="2">
        <v>0</v>
      </c>
      <c r="AJ3332" s="5">
        <v>44673</v>
      </c>
      <c r="AK3332" t="s">
        <v>12652</v>
      </c>
      <c r="AL3332" s="2">
        <v>8.23</v>
      </c>
      <c r="AM3332" s="2">
        <v>10.5</v>
      </c>
      <c r="AN3332" s="2">
        <v>3.57</v>
      </c>
      <c r="AO3332" t="s">
        <v>10922</v>
      </c>
      <c r="AP3332" t="s">
        <v>11136</v>
      </c>
      <c r="AQ3332" t="s">
        <v>10946</v>
      </c>
    </row>
    <row r="3333" spans="1:43" x14ac:dyDescent="0.2">
      <c r="A3333" t="s">
        <v>12651</v>
      </c>
      <c r="B3333" t="s">
        <v>10900</v>
      </c>
      <c r="C3333" t="s">
        <v>10943</v>
      </c>
      <c r="D3333" t="s">
        <v>11251</v>
      </c>
      <c r="E3333" t="s">
        <v>11252</v>
      </c>
      <c r="F3333" t="s">
        <v>11251</v>
      </c>
      <c r="G3333" s="1">
        <v>7065380</v>
      </c>
      <c r="H3333" s="2">
        <v>6929812.7400000002</v>
      </c>
      <c r="I3333" s="2">
        <v>6691867.9800000004</v>
      </c>
      <c r="J3333" s="2">
        <v>275646.61</v>
      </c>
      <c r="K3333" s="2">
        <v>0</v>
      </c>
      <c r="L3333" s="2">
        <v>6967514.5899999999</v>
      </c>
      <c r="M3333" s="3">
        <v>10.175000000000001</v>
      </c>
      <c r="N3333" s="4">
        <v>1.5851850000000001E-2</v>
      </c>
      <c r="O3333" s="5">
        <v>44697</v>
      </c>
      <c r="P3333" s="5">
        <v>46705</v>
      </c>
      <c r="Q3333" s="1">
        <v>8.9</v>
      </c>
      <c r="R3333" s="2">
        <v>4.29</v>
      </c>
      <c r="S3333" s="6">
        <v>4.0791219989999998</v>
      </c>
      <c r="T3333" t="s">
        <v>111</v>
      </c>
      <c r="U3333" t="s">
        <v>111</v>
      </c>
      <c r="V3333" t="s">
        <v>10944</v>
      </c>
      <c r="W3333" t="s">
        <v>43</v>
      </c>
      <c r="X3333" t="s">
        <v>10988</v>
      </c>
      <c r="Y3333" t="s">
        <v>44</v>
      </c>
      <c r="Z3333" t="s">
        <v>44</v>
      </c>
      <c r="AA3333" t="s">
        <v>10979</v>
      </c>
      <c r="AB3333" t="s">
        <v>44</v>
      </c>
      <c r="AC3333" s="4">
        <v>10.43382656</v>
      </c>
      <c r="AD3333" s="4">
        <v>9.9657844200000003</v>
      </c>
      <c r="AE3333" s="2">
        <v>10.43</v>
      </c>
      <c r="AF3333" s="4">
        <v>9.9657844200000003</v>
      </c>
      <c r="AG3333" s="2">
        <v>5.45</v>
      </c>
      <c r="AH3333" s="2">
        <v>6967514.5899999999</v>
      </c>
      <c r="AI3333" s="2">
        <v>0.02</v>
      </c>
      <c r="AJ3333" s="5">
        <v>44673</v>
      </c>
      <c r="AK3333" t="s">
        <v>12652</v>
      </c>
      <c r="AL3333" s="2">
        <v>10.18</v>
      </c>
      <c r="AM3333" s="2">
        <v>8.9</v>
      </c>
      <c r="AN3333" s="2">
        <v>4.08</v>
      </c>
      <c r="AO3333" t="s">
        <v>10982</v>
      </c>
      <c r="AP3333" t="s">
        <v>11253</v>
      </c>
      <c r="AQ3333" t="s">
        <v>11252</v>
      </c>
    </row>
    <row r="3334" spans="1:43" x14ac:dyDescent="0.2">
      <c r="A3334" t="s">
        <v>12651</v>
      </c>
      <c r="B3334" t="s">
        <v>10900</v>
      </c>
      <c r="C3334" t="s">
        <v>10950</v>
      </c>
      <c r="D3334" t="s">
        <v>11141</v>
      </c>
      <c r="E3334" t="s">
        <v>11142</v>
      </c>
      <c r="F3334" t="s">
        <v>11141</v>
      </c>
      <c r="G3334" s="1">
        <v>144620000</v>
      </c>
      <c r="H3334" s="2">
        <v>119327591.58</v>
      </c>
      <c r="I3334" s="2">
        <v>118875673.17</v>
      </c>
      <c r="J3334" s="2">
        <v>1884002.33</v>
      </c>
      <c r="K3334" s="2">
        <v>0</v>
      </c>
      <c r="L3334" s="2">
        <v>120759675.5</v>
      </c>
      <c r="M3334" s="3">
        <v>10.805</v>
      </c>
      <c r="N3334" s="4">
        <v>0.27474125999999999</v>
      </c>
      <c r="O3334" s="5">
        <v>44804</v>
      </c>
      <c r="P3334" s="5">
        <v>54116</v>
      </c>
      <c r="Q3334" s="1">
        <v>8.75</v>
      </c>
      <c r="R3334" s="2">
        <v>9.2200000000000006</v>
      </c>
      <c r="S3334" s="6">
        <v>8.7507641760000006</v>
      </c>
      <c r="T3334" t="s">
        <v>111</v>
      </c>
      <c r="U3334" t="s">
        <v>111</v>
      </c>
      <c r="V3334" t="s">
        <v>10944</v>
      </c>
      <c r="W3334" t="s">
        <v>43</v>
      </c>
      <c r="X3334" t="s">
        <v>10945</v>
      </c>
      <c r="Y3334" t="s">
        <v>44</v>
      </c>
      <c r="Z3334" t="s">
        <v>44</v>
      </c>
      <c r="AA3334" t="s">
        <v>10913</v>
      </c>
      <c r="AB3334" t="s">
        <v>44</v>
      </c>
      <c r="AC3334" s="4">
        <v>11.096870060000001</v>
      </c>
      <c r="AD3334" s="4">
        <v>10.56950999</v>
      </c>
      <c r="AE3334" s="2">
        <v>11.1</v>
      </c>
      <c r="AF3334" s="4">
        <v>10.56950999</v>
      </c>
      <c r="AG3334" s="2">
        <v>94.38</v>
      </c>
      <c r="AH3334" s="2">
        <v>120759675.5</v>
      </c>
      <c r="AI3334" s="2">
        <v>0.27</v>
      </c>
      <c r="AJ3334" s="5">
        <v>44673</v>
      </c>
      <c r="AK3334" t="s">
        <v>12652</v>
      </c>
      <c r="AL3334" s="2">
        <v>10.8</v>
      </c>
      <c r="AM3334" s="2">
        <v>8.75</v>
      </c>
      <c r="AN3334" s="2">
        <v>8.75</v>
      </c>
      <c r="AO3334" t="s">
        <v>10922</v>
      </c>
      <c r="AP3334" t="s">
        <v>11143</v>
      </c>
      <c r="AQ3334" t="s">
        <v>11142</v>
      </c>
    </row>
    <row r="3335" spans="1:43" x14ac:dyDescent="0.2">
      <c r="A3335" t="s">
        <v>12651</v>
      </c>
      <c r="B3335" t="s">
        <v>45</v>
      </c>
      <c r="C3335" t="s">
        <v>11000</v>
      </c>
      <c r="D3335" t="s">
        <v>11421</v>
      </c>
      <c r="E3335" t="s">
        <v>11422</v>
      </c>
      <c r="F3335" t="s">
        <v>11421</v>
      </c>
      <c r="G3335" s="1">
        <v>12000000</v>
      </c>
      <c r="H3335" s="2">
        <v>12000000</v>
      </c>
      <c r="I3335" s="2">
        <v>12000000</v>
      </c>
      <c r="J3335" s="2">
        <v>1380.82</v>
      </c>
      <c r="K3335" s="2">
        <v>0</v>
      </c>
      <c r="L3335" s="2">
        <v>12001380.82</v>
      </c>
      <c r="M3335" s="3">
        <v>4.2</v>
      </c>
      <c r="N3335" s="4">
        <v>2.7304430000000001E-2</v>
      </c>
      <c r="O3335" s="5" t="s">
        <v>44</v>
      </c>
      <c r="P3335" s="5">
        <v>55153</v>
      </c>
      <c r="Q3335" s="1">
        <v>4.2</v>
      </c>
      <c r="R3335" s="2">
        <v>0.08</v>
      </c>
      <c r="S3335" s="6">
        <v>2.5947269999999998E-3</v>
      </c>
      <c r="T3335" t="s">
        <v>112</v>
      </c>
      <c r="U3335" t="s">
        <v>46</v>
      </c>
      <c r="V3335" t="s">
        <v>11270</v>
      </c>
      <c r="W3335" t="s">
        <v>43</v>
      </c>
      <c r="X3335" t="s">
        <v>44</v>
      </c>
      <c r="Y3335" t="s">
        <v>44</v>
      </c>
      <c r="Z3335" t="s">
        <v>44</v>
      </c>
      <c r="AA3335" t="s">
        <v>10913</v>
      </c>
      <c r="AB3335" t="s">
        <v>44</v>
      </c>
      <c r="AC3335" s="4">
        <v>4.2819052299999996</v>
      </c>
      <c r="AD3335" s="4">
        <v>4.20010057</v>
      </c>
      <c r="AE3335" s="2">
        <v>4.28</v>
      </c>
      <c r="AF3335" s="4">
        <v>4.20010057</v>
      </c>
      <c r="AG3335" s="2">
        <v>9.3800000000000008</v>
      </c>
      <c r="AH3335" s="2">
        <v>12001380.82</v>
      </c>
      <c r="AI3335" s="2">
        <v>0.03</v>
      </c>
      <c r="AJ3335" s="5">
        <v>44673</v>
      </c>
      <c r="AK3335" t="s">
        <v>12652</v>
      </c>
      <c r="AL3335" s="2">
        <v>4.24</v>
      </c>
      <c r="AM3335" s="2">
        <v>4.2</v>
      </c>
      <c r="AN3335" s="2">
        <v>0</v>
      </c>
      <c r="AO3335" t="s">
        <v>11423</v>
      </c>
      <c r="AP3335" t="s">
        <v>44</v>
      </c>
      <c r="AQ3335" t="s">
        <v>11422</v>
      </c>
    </row>
    <row r="3336" spans="1:43" x14ac:dyDescent="0.2">
      <c r="A3336" t="s">
        <v>12651</v>
      </c>
      <c r="B3336" t="s">
        <v>45</v>
      </c>
      <c r="C3336" t="s">
        <v>11144</v>
      </c>
      <c r="D3336" t="s">
        <v>11145</v>
      </c>
      <c r="E3336" t="s">
        <v>11146</v>
      </c>
      <c r="F3336" t="s">
        <v>11147</v>
      </c>
      <c r="G3336" s="1">
        <v>15.15</v>
      </c>
      <c r="H3336" s="2">
        <v>15.15</v>
      </c>
      <c r="I3336" s="2">
        <v>15.15</v>
      </c>
      <c r="J3336" s="2">
        <v>0.04</v>
      </c>
      <c r="K3336" s="2">
        <v>0</v>
      </c>
      <c r="L3336" s="2">
        <v>15.19</v>
      </c>
      <c r="M3336" s="3">
        <v>6.88</v>
      </c>
      <c r="N3336" s="4">
        <v>2.9999999999999997E-8</v>
      </c>
      <c r="O3336" s="5" t="s">
        <v>44</v>
      </c>
      <c r="P3336" s="5">
        <v>55153</v>
      </c>
      <c r="Q3336" s="1">
        <v>6.88</v>
      </c>
      <c r="R3336" s="2">
        <v>0.08</v>
      </c>
      <c r="S3336" s="6">
        <v>2.6006750000000002E-3</v>
      </c>
      <c r="T3336" t="s">
        <v>112</v>
      </c>
      <c r="U3336" t="s">
        <v>46</v>
      </c>
      <c r="V3336" t="s">
        <v>11148</v>
      </c>
      <c r="W3336" t="s">
        <v>43</v>
      </c>
      <c r="X3336" t="s">
        <v>44</v>
      </c>
      <c r="Y3336" t="s">
        <v>44</v>
      </c>
      <c r="Z3336" t="s">
        <v>44</v>
      </c>
      <c r="AA3336" t="s">
        <v>44</v>
      </c>
      <c r="AB3336" t="s">
        <v>44</v>
      </c>
      <c r="AC3336" s="4"/>
      <c r="AD3336" s="4"/>
      <c r="AE3336" s="2">
        <v>0</v>
      </c>
      <c r="AF3336" s="4">
        <v>0</v>
      </c>
      <c r="AG3336" s="2">
        <v>0</v>
      </c>
      <c r="AH3336" s="2">
        <v>15.19</v>
      </c>
      <c r="AI3336" s="2">
        <v>0</v>
      </c>
      <c r="AJ3336" s="5">
        <v>44673</v>
      </c>
      <c r="AK3336" t="s">
        <v>12652</v>
      </c>
      <c r="AL3336" s="2">
        <v>0</v>
      </c>
      <c r="AM3336" s="2">
        <v>6.88</v>
      </c>
      <c r="AN3336" s="2">
        <v>0</v>
      </c>
      <c r="AO3336" t="s">
        <v>11146</v>
      </c>
      <c r="AP3336" t="s">
        <v>44</v>
      </c>
      <c r="AQ3336" t="s">
        <v>11146</v>
      </c>
    </row>
    <row r="3337" spans="1:43" x14ac:dyDescent="0.2">
      <c r="A3337" t="s">
        <v>12651</v>
      </c>
      <c r="B3337" t="s">
        <v>45</v>
      </c>
      <c r="C3337" t="s">
        <v>47</v>
      </c>
      <c r="D3337" t="s">
        <v>48</v>
      </c>
      <c r="E3337" t="s">
        <v>49</v>
      </c>
      <c r="F3337" t="s">
        <v>50</v>
      </c>
      <c r="G3337" s="1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1962.7</v>
      </c>
      <c r="M3337" s="3"/>
      <c r="N3337" s="4">
        <v>4.4700000000000004E-6</v>
      </c>
      <c r="O3337" s="5" t="s">
        <v>44</v>
      </c>
      <c r="P3337" s="5" t="s">
        <v>44</v>
      </c>
      <c r="Q3337" s="1"/>
      <c r="R3337" s="2">
        <v>0.08</v>
      </c>
      <c r="S3337" s="6"/>
      <c r="T3337" t="s">
        <v>45</v>
      </c>
      <c r="U3337" t="s">
        <v>46</v>
      </c>
      <c r="V3337" t="s">
        <v>44</v>
      </c>
      <c r="W3337" t="s">
        <v>43</v>
      </c>
      <c r="X3337" t="s">
        <v>44</v>
      </c>
      <c r="Y3337" t="s">
        <v>44</v>
      </c>
      <c r="Z3337" t="s">
        <v>44</v>
      </c>
      <c r="AA3337" t="s">
        <v>44</v>
      </c>
      <c r="AB3337" t="s">
        <v>44</v>
      </c>
      <c r="AC3337" s="4">
        <v>5.1163389600000002</v>
      </c>
      <c r="AD3337" s="4">
        <v>5.0001424999999999</v>
      </c>
      <c r="AE3337" s="2">
        <v>5.12</v>
      </c>
      <c r="AF3337" s="4">
        <v>5.0001424999999999</v>
      </c>
      <c r="AG3337" s="2">
        <v>0</v>
      </c>
      <c r="AH3337" s="2">
        <v>1962.7</v>
      </c>
      <c r="AI3337" s="2">
        <v>0</v>
      </c>
      <c r="AJ3337" s="5">
        <v>44673</v>
      </c>
      <c r="AK3337" t="s">
        <v>12652</v>
      </c>
      <c r="AL3337" s="2">
        <v>5.05</v>
      </c>
      <c r="AM3337" s="2">
        <v>0</v>
      </c>
      <c r="AN3337" s="2">
        <v>0</v>
      </c>
      <c r="AO3337" t="s">
        <v>44</v>
      </c>
      <c r="AP3337" t="s">
        <v>44</v>
      </c>
      <c r="AQ3337" t="s">
        <v>44</v>
      </c>
    </row>
    <row r="3338" spans="1:43" x14ac:dyDescent="0.2">
      <c r="A3338" t="s">
        <v>12651</v>
      </c>
      <c r="B3338" t="s">
        <v>45</v>
      </c>
      <c r="C3338" t="s">
        <v>47</v>
      </c>
      <c r="D3338" t="s">
        <v>51</v>
      </c>
      <c r="E3338" t="s">
        <v>52</v>
      </c>
      <c r="F3338" t="s">
        <v>51</v>
      </c>
      <c r="G3338" s="1">
        <v>-11335869.74</v>
      </c>
      <c r="H3338" s="2">
        <v>-11335869.74</v>
      </c>
      <c r="I3338" s="2">
        <v>-11335869.74</v>
      </c>
      <c r="J3338" s="2">
        <v>0</v>
      </c>
      <c r="K3338" s="2">
        <v>0</v>
      </c>
      <c r="L3338" s="2">
        <v>-11335869.74</v>
      </c>
      <c r="M3338" s="3"/>
      <c r="N3338" s="4">
        <v>-2.5790319999999999E-2</v>
      </c>
      <c r="O3338" s="5" t="s">
        <v>44</v>
      </c>
      <c r="P3338" s="5" t="s">
        <v>44</v>
      </c>
      <c r="Q3338" s="1"/>
      <c r="R3338" s="2">
        <v>0.08</v>
      </c>
      <c r="S3338" s="6"/>
      <c r="T3338" t="s">
        <v>45</v>
      </c>
      <c r="U3338" t="s">
        <v>53</v>
      </c>
      <c r="V3338" t="s">
        <v>44</v>
      </c>
      <c r="W3338" t="s">
        <v>43</v>
      </c>
      <c r="X3338" t="s">
        <v>44</v>
      </c>
      <c r="Y3338" t="s">
        <v>44</v>
      </c>
      <c r="Z3338" t="s">
        <v>44</v>
      </c>
      <c r="AA3338" t="s">
        <v>44</v>
      </c>
      <c r="AB3338" t="s">
        <v>44</v>
      </c>
      <c r="AC3338" s="4">
        <v>5.1163389600000002</v>
      </c>
      <c r="AD3338" s="4">
        <v>5.0001424999999999</v>
      </c>
      <c r="AE3338" s="2">
        <v>5.12</v>
      </c>
      <c r="AF3338" s="4">
        <v>5.0001424999999999</v>
      </c>
      <c r="AG3338" s="2">
        <v>-8.86</v>
      </c>
      <c r="AH3338" s="2">
        <v>-11335869.74</v>
      </c>
      <c r="AI3338" s="2">
        <v>-0.03</v>
      </c>
      <c r="AJ3338" s="5">
        <v>44673</v>
      </c>
      <c r="AK3338" t="s">
        <v>12652</v>
      </c>
      <c r="AL3338" s="2">
        <v>5.05</v>
      </c>
      <c r="AM3338" s="2">
        <v>0</v>
      </c>
      <c r="AN3338" s="2">
        <v>0</v>
      </c>
      <c r="AO3338" t="s">
        <v>44</v>
      </c>
      <c r="AP3338" t="s">
        <v>44</v>
      </c>
      <c r="AQ3338" t="s">
        <v>43</v>
      </c>
    </row>
    <row r="3339" spans="1:43" x14ac:dyDescent="0.2">
      <c r="A3339" t="s">
        <v>12651</v>
      </c>
      <c r="B3339" t="s">
        <v>45</v>
      </c>
      <c r="C3339" t="s">
        <v>11005</v>
      </c>
      <c r="D3339" t="s">
        <v>11006</v>
      </c>
      <c r="E3339" t="s">
        <v>11007</v>
      </c>
      <c r="F3339" t="s">
        <v>11006</v>
      </c>
      <c r="G3339" s="1">
        <v>-12718.22</v>
      </c>
      <c r="H3339" s="2">
        <v>-12718.22</v>
      </c>
      <c r="I3339" s="2">
        <v>-12718.22</v>
      </c>
      <c r="J3339" s="2">
        <v>0</v>
      </c>
      <c r="K3339" s="2"/>
      <c r="L3339" s="2">
        <v>-12718.22</v>
      </c>
      <c r="M3339" s="3"/>
      <c r="N3339" s="4">
        <v>-2.8940000000000001E-5</v>
      </c>
      <c r="O3339" s="5" t="s">
        <v>44</v>
      </c>
      <c r="P3339" s="5">
        <v>73051</v>
      </c>
      <c r="Q3339" s="1">
        <v>0</v>
      </c>
      <c r="R3339" s="2">
        <v>0.08</v>
      </c>
      <c r="S3339" s="6"/>
      <c r="T3339" t="s">
        <v>45</v>
      </c>
      <c r="U3339" t="s">
        <v>11008</v>
      </c>
      <c r="V3339" t="s">
        <v>44</v>
      </c>
      <c r="W3339" t="s">
        <v>43</v>
      </c>
      <c r="X3339" t="s">
        <v>44</v>
      </c>
      <c r="Y3339" t="s">
        <v>44</v>
      </c>
      <c r="Z3339" t="s">
        <v>44</v>
      </c>
      <c r="AA3339" t="s">
        <v>44</v>
      </c>
      <c r="AB3339" t="s">
        <v>44</v>
      </c>
      <c r="AC3339" s="4">
        <v>5.1163389600000002</v>
      </c>
      <c r="AD3339" s="4">
        <v>5.0001424999999999</v>
      </c>
      <c r="AE3339" s="2">
        <v>5.12</v>
      </c>
      <c r="AF3339" s="4">
        <v>5.0001424999999999</v>
      </c>
      <c r="AG3339" s="2">
        <v>-0.01</v>
      </c>
      <c r="AH3339" s="2">
        <v>-12718.22</v>
      </c>
      <c r="AI3339" s="2">
        <v>0</v>
      </c>
      <c r="AJ3339" s="5">
        <v>44673</v>
      </c>
      <c r="AK3339" t="s">
        <v>12652</v>
      </c>
      <c r="AL3339" s="2">
        <v>5.05</v>
      </c>
      <c r="AM3339" s="2">
        <v>0</v>
      </c>
      <c r="AN3339" s="2">
        <v>0</v>
      </c>
      <c r="AO3339" t="s">
        <v>44</v>
      </c>
      <c r="AP3339" t="s">
        <v>44</v>
      </c>
      <c r="AQ3339" t="s">
        <v>44</v>
      </c>
    </row>
    <row r="3340" spans="1:43" x14ac:dyDescent="0.2">
      <c r="A3340" t="s">
        <v>12653</v>
      </c>
      <c r="B3340" t="s">
        <v>10900</v>
      </c>
      <c r="C3340" t="s">
        <v>10943</v>
      </c>
      <c r="D3340" t="s">
        <v>11135</v>
      </c>
      <c r="E3340" t="s">
        <v>10946</v>
      </c>
      <c r="F3340" t="s">
        <v>11135</v>
      </c>
      <c r="G3340" s="1">
        <v>102779178</v>
      </c>
      <c r="H3340" s="2">
        <v>114025040.33</v>
      </c>
      <c r="I3340" s="2">
        <v>111662330.95999999</v>
      </c>
      <c r="J3340" s="2">
        <v>3636693.38</v>
      </c>
      <c r="K3340" s="2">
        <v>0</v>
      </c>
      <c r="L3340" s="2">
        <v>115299024.34</v>
      </c>
      <c r="M3340" s="3">
        <v>8.2249999999999996</v>
      </c>
      <c r="N3340" s="4">
        <v>0.26231768999999999</v>
      </c>
      <c r="O3340" s="5">
        <v>44733</v>
      </c>
      <c r="P3340" s="5">
        <v>46377</v>
      </c>
      <c r="Q3340" s="1">
        <v>10.5</v>
      </c>
      <c r="R3340" s="2">
        <v>3.72</v>
      </c>
      <c r="S3340" s="6">
        <v>3.572672968</v>
      </c>
      <c r="T3340" t="s">
        <v>111</v>
      </c>
      <c r="U3340" t="s">
        <v>111</v>
      </c>
      <c r="V3340" t="s">
        <v>10944</v>
      </c>
      <c r="W3340" t="s">
        <v>43</v>
      </c>
      <c r="X3340" t="s">
        <v>10945</v>
      </c>
      <c r="Y3340" t="s">
        <v>44</v>
      </c>
      <c r="Z3340" t="s">
        <v>44</v>
      </c>
      <c r="AA3340" t="s">
        <v>10913</v>
      </c>
      <c r="AB3340" t="s">
        <v>44</v>
      </c>
      <c r="AC3340" s="4">
        <v>8.3941265600000001</v>
      </c>
      <c r="AD3340" s="4">
        <v>8.0875032299999994</v>
      </c>
      <c r="AE3340" s="2">
        <v>8.39</v>
      </c>
      <c r="AF3340" s="4">
        <v>8.0875032299999994</v>
      </c>
      <c r="AG3340" s="2">
        <v>2.38</v>
      </c>
      <c r="AH3340" s="2">
        <v>115299024.34</v>
      </c>
      <c r="AI3340" s="2">
        <v>0.26</v>
      </c>
      <c r="AJ3340" s="5">
        <v>44673</v>
      </c>
      <c r="AK3340" t="s">
        <v>12654</v>
      </c>
      <c r="AL3340" s="2">
        <v>8.23</v>
      </c>
      <c r="AM3340" s="2">
        <v>10.5</v>
      </c>
      <c r="AN3340" s="2">
        <v>3.57</v>
      </c>
      <c r="AO3340" t="s">
        <v>10922</v>
      </c>
      <c r="AP3340" t="s">
        <v>11136</v>
      </c>
      <c r="AQ3340" t="s">
        <v>10946</v>
      </c>
    </row>
    <row r="3341" spans="1:43" x14ac:dyDescent="0.2">
      <c r="A3341" t="s">
        <v>12653</v>
      </c>
      <c r="B3341" t="s">
        <v>10900</v>
      </c>
      <c r="C3341" t="s">
        <v>10943</v>
      </c>
      <c r="D3341" t="s">
        <v>11251</v>
      </c>
      <c r="E3341" t="s">
        <v>11252</v>
      </c>
      <c r="F3341" t="s">
        <v>11251</v>
      </c>
      <c r="G3341" s="1">
        <v>263210178</v>
      </c>
      <c r="H3341" s="2">
        <v>259071244.25</v>
      </c>
      <c r="I3341" s="2">
        <v>249295545.62</v>
      </c>
      <c r="J3341" s="2">
        <v>10268802.560000001</v>
      </c>
      <c r="K3341" s="2">
        <v>0</v>
      </c>
      <c r="L3341" s="2">
        <v>259564348.18000001</v>
      </c>
      <c r="M3341" s="3">
        <v>10.175000000000001</v>
      </c>
      <c r="N3341" s="4">
        <v>0.59053683999999995</v>
      </c>
      <c r="O3341" s="5">
        <v>44697</v>
      </c>
      <c r="P3341" s="5">
        <v>46705</v>
      </c>
      <c r="Q3341" s="1">
        <v>8.9</v>
      </c>
      <c r="R3341" s="2">
        <v>4.29</v>
      </c>
      <c r="S3341" s="6">
        <v>4.0791219989999998</v>
      </c>
      <c r="T3341" t="s">
        <v>111</v>
      </c>
      <c r="U3341" t="s">
        <v>111</v>
      </c>
      <c r="V3341" t="s">
        <v>10944</v>
      </c>
      <c r="W3341" t="s">
        <v>43</v>
      </c>
      <c r="X3341" t="s">
        <v>10988</v>
      </c>
      <c r="Y3341" t="s">
        <v>44</v>
      </c>
      <c r="Z3341" t="s">
        <v>44</v>
      </c>
      <c r="AA3341" t="s">
        <v>10979</v>
      </c>
      <c r="AB3341" t="s">
        <v>44</v>
      </c>
      <c r="AC3341" s="4">
        <v>10.43382656</v>
      </c>
      <c r="AD3341" s="4">
        <v>9.9657844200000003</v>
      </c>
      <c r="AE3341" s="2">
        <v>10.43</v>
      </c>
      <c r="AF3341" s="4">
        <v>9.9657844200000003</v>
      </c>
      <c r="AG3341" s="2">
        <v>5.35</v>
      </c>
      <c r="AH3341" s="2">
        <v>259564348.18000001</v>
      </c>
      <c r="AI3341" s="2">
        <v>0.59</v>
      </c>
      <c r="AJ3341" s="5">
        <v>44673</v>
      </c>
      <c r="AK3341" t="s">
        <v>12654</v>
      </c>
      <c r="AL3341" s="2">
        <v>10.18</v>
      </c>
      <c r="AM3341" s="2">
        <v>8.9</v>
      </c>
      <c r="AN3341" s="2">
        <v>4.08</v>
      </c>
      <c r="AO3341" t="s">
        <v>10982</v>
      </c>
      <c r="AP3341" t="s">
        <v>11253</v>
      </c>
      <c r="AQ3341" t="s">
        <v>11252</v>
      </c>
    </row>
    <row r="3342" spans="1:43" x14ac:dyDescent="0.2">
      <c r="A3342" t="s">
        <v>12653</v>
      </c>
      <c r="B3342" t="s">
        <v>10900</v>
      </c>
      <c r="C3342" t="s">
        <v>10950</v>
      </c>
      <c r="D3342" t="s">
        <v>11141</v>
      </c>
      <c r="E3342" t="s">
        <v>11142</v>
      </c>
      <c r="F3342" t="s">
        <v>11141</v>
      </c>
      <c r="G3342" s="1">
        <v>5391827000</v>
      </c>
      <c r="H3342" s="2">
        <v>4456203381.5600004</v>
      </c>
      <c r="I3342" s="2">
        <v>4432008465.1499996</v>
      </c>
      <c r="J3342" s="2">
        <v>69798308.430000007</v>
      </c>
      <c r="K3342" s="2">
        <v>0</v>
      </c>
      <c r="L3342" s="2">
        <v>4501806773.5799999</v>
      </c>
      <c r="M3342" s="3">
        <v>10.805</v>
      </c>
      <c r="N3342" s="4">
        <v>10.2420951</v>
      </c>
      <c r="O3342" s="5">
        <v>44804</v>
      </c>
      <c r="P3342" s="5">
        <v>54116</v>
      </c>
      <c r="Q3342" s="1">
        <v>8.75</v>
      </c>
      <c r="R3342" s="2">
        <v>9.2200000000000006</v>
      </c>
      <c r="S3342" s="6">
        <v>8.7507641760000006</v>
      </c>
      <c r="T3342" t="s">
        <v>111</v>
      </c>
      <c r="U3342" t="s">
        <v>111</v>
      </c>
      <c r="V3342" t="s">
        <v>10944</v>
      </c>
      <c r="W3342" t="s">
        <v>43</v>
      </c>
      <c r="X3342" t="s">
        <v>10945</v>
      </c>
      <c r="Y3342" t="s">
        <v>44</v>
      </c>
      <c r="Z3342" t="s">
        <v>44</v>
      </c>
      <c r="AA3342" t="s">
        <v>10913</v>
      </c>
      <c r="AB3342" t="s">
        <v>44</v>
      </c>
      <c r="AC3342" s="4">
        <v>11.096870060000001</v>
      </c>
      <c r="AD3342" s="4">
        <v>10.56950999</v>
      </c>
      <c r="AE3342" s="2">
        <v>11.1</v>
      </c>
      <c r="AF3342" s="4">
        <v>10.56950999</v>
      </c>
      <c r="AG3342" s="2">
        <v>92.79</v>
      </c>
      <c r="AH3342" s="2">
        <v>4501806773.5799999</v>
      </c>
      <c r="AI3342" s="2">
        <v>10.24</v>
      </c>
      <c r="AJ3342" s="5">
        <v>44673</v>
      </c>
      <c r="AK3342" t="s">
        <v>12654</v>
      </c>
      <c r="AL3342" s="2">
        <v>10.8</v>
      </c>
      <c r="AM3342" s="2">
        <v>8.75</v>
      </c>
      <c r="AN3342" s="2">
        <v>8.75</v>
      </c>
      <c r="AO3342" t="s">
        <v>10922</v>
      </c>
      <c r="AP3342" t="s">
        <v>11143</v>
      </c>
      <c r="AQ3342" t="s">
        <v>11142</v>
      </c>
    </row>
    <row r="3343" spans="1:43" x14ac:dyDescent="0.2">
      <c r="A3343" t="s">
        <v>12653</v>
      </c>
      <c r="B3343" t="s">
        <v>45</v>
      </c>
      <c r="C3343" t="s">
        <v>11000</v>
      </c>
      <c r="D3343" t="s">
        <v>11421</v>
      </c>
      <c r="E3343" t="s">
        <v>11422</v>
      </c>
      <c r="F3343" t="s">
        <v>11421</v>
      </c>
      <c r="G3343" s="1">
        <v>6000000</v>
      </c>
      <c r="H3343" s="2">
        <v>6000000</v>
      </c>
      <c r="I3343" s="2">
        <v>6000000</v>
      </c>
      <c r="J3343" s="2">
        <v>129567.12</v>
      </c>
      <c r="K3343" s="2">
        <v>0</v>
      </c>
      <c r="L3343" s="2">
        <v>6129567.1200000001</v>
      </c>
      <c r="M3343" s="3">
        <v>4.2</v>
      </c>
      <c r="N3343" s="4">
        <v>1.394543E-2</v>
      </c>
      <c r="O3343" s="5" t="s">
        <v>44</v>
      </c>
      <c r="P3343" s="5">
        <v>55153</v>
      </c>
      <c r="Q3343" s="1">
        <v>4.2</v>
      </c>
      <c r="R3343" s="2">
        <v>0.08</v>
      </c>
      <c r="S3343" s="6">
        <v>2.5947269999999998E-3</v>
      </c>
      <c r="T3343" t="s">
        <v>112</v>
      </c>
      <c r="U3343" t="s">
        <v>46</v>
      </c>
      <c r="V3343" t="s">
        <v>11270</v>
      </c>
      <c r="W3343" t="s">
        <v>43</v>
      </c>
      <c r="X3343" t="s">
        <v>44</v>
      </c>
      <c r="Y3343" t="s">
        <v>44</v>
      </c>
      <c r="Z3343" t="s">
        <v>44</v>
      </c>
      <c r="AA3343" t="s">
        <v>10913</v>
      </c>
      <c r="AB3343" t="s">
        <v>44</v>
      </c>
      <c r="AC3343" s="4">
        <v>4.2819052299999996</v>
      </c>
      <c r="AD3343" s="4">
        <v>4.20010057</v>
      </c>
      <c r="AE3343" s="2">
        <v>4.28</v>
      </c>
      <c r="AF3343" s="4">
        <v>4.20010057</v>
      </c>
      <c r="AG3343" s="2">
        <v>0.13</v>
      </c>
      <c r="AH3343" s="2">
        <v>6129567.1200000001</v>
      </c>
      <c r="AI3343" s="2">
        <v>0.01</v>
      </c>
      <c r="AJ3343" s="5">
        <v>44673</v>
      </c>
      <c r="AK3343" t="s">
        <v>12654</v>
      </c>
      <c r="AL3343" s="2">
        <v>4.24</v>
      </c>
      <c r="AM3343" s="2">
        <v>4.2</v>
      </c>
      <c r="AN3343" s="2">
        <v>0</v>
      </c>
      <c r="AO3343" t="s">
        <v>11423</v>
      </c>
      <c r="AP3343" t="s">
        <v>44</v>
      </c>
      <c r="AQ3343" t="s">
        <v>11422</v>
      </c>
    </row>
    <row r="3344" spans="1:43" x14ac:dyDescent="0.2">
      <c r="A3344" t="s">
        <v>12653</v>
      </c>
      <c r="B3344" t="s">
        <v>45</v>
      </c>
      <c r="C3344" t="s">
        <v>47</v>
      </c>
      <c r="D3344" t="s">
        <v>48</v>
      </c>
      <c r="E3344" t="s">
        <v>49</v>
      </c>
      <c r="F3344" t="s">
        <v>50</v>
      </c>
      <c r="G3344" s="1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9011.61</v>
      </c>
      <c r="M3344" s="3"/>
      <c r="N3344" s="4">
        <v>2.05E-5</v>
      </c>
      <c r="O3344" s="5" t="s">
        <v>44</v>
      </c>
      <c r="P3344" s="5" t="s">
        <v>44</v>
      </c>
      <c r="Q3344" s="1"/>
      <c r="R3344" s="2">
        <v>0.08</v>
      </c>
      <c r="S3344" s="6"/>
      <c r="T3344" t="s">
        <v>45</v>
      </c>
      <c r="U3344" t="s">
        <v>46</v>
      </c>
      <c r="V3344" t="s">
        <v>44</v>
      </c>
      <c r="W3344" t="s">
        <v>43</v>
      </c>
      <c r="X3344" t="s">
        <v>44</v>
      </c>
      <c r="Y3344" t="s">
        <v>44</v>
      </c>
      <c r="Z3344" t="s">
        <v>44</v>
      </c>
      <c r="AA3344" t="s">
        <v>44</v>
      </c>
      <c r="AB3344" t="s">
        <v>44</v>
      </c>
      <c r="AC3344" s="4">
        <v>5.1163389600000002</v>
      </c>
      <c r="AD3344" s="4">
        <v>5.0001424999999999</v>
      </c>
      <c r="AE3344" s="2">
        <v>5.12</v>
      </c>
      <c r="AF3344" s="4">
        <v>5.0001424999999999</v>
      </c>
      <c r="AG3344" s="2">
        <v>0</v>
      </c>
      <c r="AH3344" s="2">
        <v>9011.61</v>
      </c>
      <c r="AI3344" s="2">
        <v>0</v>
      </c>
      <c r="AJ3344" s="5">
        <v>44673</v>
      </c>
      <c r="AK3344" t="s">
        <v>12654</v>
      </c>
      <c r="AL3344" s="2">
        <v>5.05</v>
      </c>
      <c r="AM3344" s="2">
        <v>0</v>
      </c>
      <c r="AN3344" s="2">
        <v>0</v>
      </c>
      <c r="AO3344" t="s">
        <v>44</v>
      </c>
      <c r="AP3344" t="s">
        <v>44</v>
      </c>
      <c r="AQ3344" t="s">
        <v>44</v>
      </c>
    </row>
    <row r="3345" spans="1:43" x14ac:dyDescent="0.2">
      <c r="A3345" t="s">
        <v>12653</v>
      </c>
      <c r="B3345" t="s">
        <v>45</v>
      </c>
      <c r="C3345" t="s">
        <v>47</v>
      </c>
      <c r="D3345" t="s">
        <v>51</v>
      </c>
      <c r="E3345" t="s">
        <v>52</v>
      </c>
      <c r="F3345" t="s">
        <v>51</v>
      </c>
      <c r="G3345" s="1">
        <v>52722194.359999999</v>
      </c>
      <c r="H3345" s="2">
        <v>52722194.359999999</v>
      </c>
      <c r="I3345" s="2">
        <v>52722194.359999999</v>
      </c>
      <c r="J3345" s="2">
        <v>0</v>
      </c>
      <c r="K3345" s="2">
        <v>0</v>
      </c>
      <c r="L3345" s="2">
        <v>52722194.359999999</v>
      </c>
      <c r="M3345" s="3"/>
      <c r="N3345" s="4">
        <v>0.11994866999999999</v>
      </c>
      <c r="O3345" s="5" t="s">
        <v>44</v>
      </c>
      <c r="P3345" s="5" t="s">
        <v>44</v>
      </c>
      <c r="Q3345" s="1"/>
      <c r="R3345" s="2">
        <v>0.08</v>
      </c>
      <c r="S3345" s="6"/>
      <c r="T3345" t="s">
        <v>45</v>
      </c>
      <c r="U3345" t="s">
        <v>53</v>
      </c>
      <c r="V3345" t="s">
        <v>44</v>
      </c>
      <c r="W3345" t="s">
        <v>43</v>
      </c>
      <c r="X3345" t="s">
        <v>44</v>
      </c>
      <c r="Y3345" t="s">
        <v>44</v>
      </c>
      <c r="Z3345" t="s">
        <v>44</v>
      </c>
      <c r="AA3345" t="s">
        <v>44</v>
      </c>
      <c r="AB3345" t="s">
        <v>44</v>
      </c>
      <c r="AC3345" s="4">
        <v>5.1163389600000002</v>
      </c>
      <c r="AD3345" s="4">
        <v>5.0001424999999999</v>
      </c>
      <c r="AE3345" s="2">
        <v>5.12</v>
      </c>
      <c r="AF3345" s="4">
        <v>5.0001424999999999</v>
      </c>
      <c r="AG3345" s="2">
        <v>1.0900000000000001</v>
      </c>
      <c r="AH3345" s="2">
        <v>52722194.359999999</v>
      </c>
      <c r="AI3345" s="2">
        <v>0.12</v>
      </c>
      <c r="AJ3345" s="5">
        <v>44673</v>
      </c>
      <c r="AK3345" t="s">
        <v>12654</v>
      </c>
      <c r="AL3345" s="2">
        <v>5.05</v>
      </c>
      <c r="AM3345" s="2">
        <v>0</v>
      </c>
      <c r="AN3345" s="2">
        <v>0</v>
      </c>
      <c r="AO3345" t="s">
        <v>44</v>
      </c>
      <c r="AP3345" t="s">
        <v>44</v>
      </c>
      <c r="AQ3345" t="s">
        <v>43</v>
      </c>
    </row>
    <row r="3346" spans="1:43" x14ac:dyDescent="0.2">
      <c r="A3346" t="s">
        <v>12655</v>
      </c>
      <c r="B3346" t="s">
        <v>45</v>
      </c>
      <c r="C3346" t="s">
        <v>47</v>
      </c>
      <c r="D3346" t="s">
        <v>48</v>
      </c>
      <c r="E3346" t="s">
        <v>49</v>
      </c>
      <c r="F3346" t="s">
        <v>50</v>
      </c>
      <c r="G3346" s="1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340.57</v>
      </c>
      <c r="M3346" s="3"/>
      <c r="N3346" s="4">
        <v>7.7000000000000004E-7</v>
      </c>
      <c r="O3346" s="5" t="s">
        <v>44</v>
      </c>
      <c r="P3346" s="5" t="s">
        <v>44</v>
      </c>
      <c r="Q3346" s="1"/>
      <c r="R3346" s="2">
        <v>0.08</v>
      </c>
      <c r="S3346" s="6"/>
      <c r="T3346" t="s">
        <v>45</v>
      </c>
      <c r="U3346" t="s">
        <v>46</v>
      </c>
      <c r="V3346" t="s">
        <v>44</v>
      </c>
      <c r="W3346" t="s">
        <v>43</v>
      </c>
      <c r="X3346" t="s">
        <v>44</v>
      </c>
      <c r="Y3346" t="s">
        <v>44</v>
      </c>
      <c r="Z3346" t="s">
        <v>44</v>
      </c>
      <c r="AA3346" t="s">
        <v>44</v>
      </c>
      <c r="AB3346" t="s">
        <v>44</v>
      </c>
      <c r="AC3346" s="4">
        <v>5.1163389600000002</v>
      </c>
      <c r="AD3346" s="4">
        <v>5.0001424999999999</v>
      </c>
      <c r="AE3346" s="2">
        <v>5.12</v>
      </c>
      <c r="AF3346" s="4">
        <v>5.0001424999999999</v>
      </c>
      <c r="AG3346" s="2">
        <v>0</v>
      </c>
      <c r="AH3346" s="2">
        <v>340.57</v>
      </c>
      <c r="AI3346" s="2">
        <v>0</v>
      </c>
      <c r="AJ3346" s="5">
        <v>44673</v>
      </c>
      <c r="AK3346" t="s">
        <v>12656</v>
      </c>
      <c r="AL3346" s="2">
        <v>5.05</v>
      </c>
      <c r="AM3346" s="2">
        <v>0</v>
      </c>
      <c r="AN3346" s="2">
        <v>0</v>
      </c>
      <c r="AO3346" t="s">
        <v>44</v>
      </c>
      <c r="AP3346" t="s">
        <v>44</v>
      </c>
      <c r="AQ3346" t="s">
        <v>44</v>
      </c>
    </row>
    <row r="3347" spans="1:43" x14ac:dyDescent="0.2">
      <c r="A3347" t="s">
        <v>12655</v>
      </c>
      <c r="B3347" t="s">
        <v>45</v>
      </c>
      <c r="C3347" t="s">
        <v>47</v>
      </c>
      <c r="D3347" t="s">
        <v>51</v>
      </c>
      <c r="E3347" t="s">
        <v>52</v>
      </c>
      <c r="F3347" t="s">
        <v>51</v>
      </c>
      <c r="G3347" s="1">
        <v>208880.31</v>
      </c>
      <c r="H3347" s="2">
        <v>208880.31</v>
      </c>
      <c r="I3347" s="2">
        <v>208880.31</v>
      </c>
      <c r="J3347" s="2">
        <v>0</v>
      </c>
      <c r="K3347" s="2">
        <v>0</v>
      </c>
      <c r="L3347" s="2">
        <v>208880.31</v>
      </c>
      <c r="M3347" s="3"/>
      <c r="N3347" s="4">
        <v>4.7522999999999999E-4</v>
      </c>
      <c r="O3347" s="5" t="s">
        <v>44</v>
      </c>
      <c r="P3347" s="5" t="s">
        <v>44</v>
      </c>
      <c r="Q3347" s="1"/>
      <c r="R3347" s="2">
        <v>0.08</v>
      </c>
      <c r="S3347" s="6"/>
      <c r="T3347" t="s">
        <v>45</v>
      </c>
      <c r="U3347" t="s">
        <v>53</v>
      </c>
      <c r="V3347" t="s">
        <v>44</v>
      </c>
      <c r="W3347" t="s">
        <v>43</v>
      </c>
      <c r="X3347" t="s">
        <v>44</v>
      </c>
      <c r="Y3347" t="s">
        <v>44</v>
      </c>
      <c r="Z3347" t="s">
        <v>44</v>
      </c>
      <c r="AA3347" t="s">
        <v>44</v>
      </c>
      <c r="AB3347" t="s">
        <v>44</v>
      </c>
      <c r="AC3347" s="4">
        <v>5.1163389600000002</v>
      </c>
      <c r="AD3347" s="4">
        <v>5.0001424999999999</v>
      </c>
      <c r="AE3347" s="2">
        <v>5.12</v>
      </c>
      <c r="AF3347" s="4">
        <v>5.0001424999999999</v>
      </c>
      <c r="AG3347" s="2">
        <v>0.62</v>
      </c>
      <c r="AH3347" s="2">
        <v>208880.31</v>
      </c>
      <c r="AI3347" s="2">
        <v>0</v>
      </c>
      <c r="AJ3347" s="5">
        <v>44673</v>
      </c>
      <c r="AK3347" t="s">
        <v>12656</v>
      </c>
      <c r="AL3347" s="2">
        <v>5.05</v>
      </c>
      <c r="AM3347" s="2">
        <v>0</v>
      </c>
      <c r="AN3347" s="2">
        <v>0</v>
      </c>
      <c r="AO3347" t="s">
        <v>44</v>
      </c>
      <c r="AP3347" t="s">
        <v>44</v>
      </c>
      <c r="AQ3347" t="s">
        <v>43</v>
      </c>
    </row>
    <row r="3348" spans="1:43" x14ac:dyDescent="0.2">
      <c r="A3348" t="s">
        <v>12655</v>
      </c>
      <c r="B3348" t="s">
        <v>11037</v>
      </c>
      <c r="C3348" t="s">
        <v>11276</v>
      </c>
      <c r="D3348" t="s">
        <v>6473</v>
      </c>
      <c r="E3348" t="s">
        <v>4464</v>
      </c>
      <c r="F3348" t="s">
        <v>6473</v>
      </c>
      <c r="G3348" s="1">
        <v>495</v>
      </c>
      <c r="H3348" s="2">
        <v>53281.7</v>
      </c>
      <c r="I3348" s="2">
        <v>49500</v>
      </c>
      <c r="J3348" s="2">
        <v>0</v>
      </c>
      <c r="K3348" s="2">
        <v>0</v>
      </c>
      <c r="L3348" s="2">
        <v>49500</v>
      </c>
      <c r="M3348" s="3">
        <v>10000</v>
      </c>
      <c r="N3348" s="4">
        <v>1.1262E-4</v>
      </c>
      <c r="O3348" s="5" t="s">
        <v>44</v>
      </c>
      <c r="P3348" s="5" t="s">
        <v>44</v>
      </c>
      <c r="Q3348" s="1"/>
      <c r="R3348" s="2"/>
      <c r="S3348" s="6"/>
      <c r="T3348" t="s">
        <v>10902</v>
      </c>
      <c r="U3348" t="s">
        <v>10902</v>
      </c>
      <c r="V3348" t="s">
        <v>10902</v>
      </c>
      <c r="W3348" t="s">
        <v>43</v>
      </c>
      <c r="X3348" t="s">
        <v>11277</v>
      </c>
      <c r="Y3348" t="s">
        <v>11277</v>
      </c>
      <c r="Z3348" t="s">
        <v>11276</v>
      </c>
      <c r="AA3348" t="s">
        <v>44</v>
      </c>
      <c r="AB3348" t="s">
        <v>44</v>
      </c>
      <c r="AC3348" s="4"/>
      <c r="AD3348" s="4"/>
      <c r="AE3348" s="2">
        <v>0</v>
      </c>
      <c r="AF3348" s="4">
        <v>0</v>
      </c>
      <c r="AG3348" s="2">
        <v>0.15</v>
      </c>
      <c r="AH3348" s="2">
        <v>49500</v>
      </c>
      <c r="AI3348" s="2">
        <v>0</v>
      </c>
      <c r="AJ3348" s="5">
        <v>44673</v>
      </c>
      <c r="AK3348" t="s">
        <v>12656</v>
      </c>
      <c r="AL3348" s="2">
        <v>0</v>
      </c>
      <c r="AM3348" s="2">
        <v>0</v>
      </c>
      <c r="AN3348" s="2">
        <v>0</v>
      </c>
      <c r="AO3348" t="s">
        <v>44</v>
      </c>
      <c r="AP3348" t="s">
        <v>11278</v>
      </c>
      <c r="AQ3348" t="s">
        <v>4464</v>
      </c>
    </row>
    <row r="3349" spans="1:43" x14ac:dyDescent="0.2">
      <c r="A3349" t="s">
        <v>12655</v>
      </c>
      <c r="B3349" t="s">
        <v>11037</v>
      </c>
      <c r="C3349" t="s">
        <v>11276</v>
      </c>
      <c r="D3349" t="s">
        <v>6316</v>
      </c>
      <c r="E3349" t="s">
        <v>4585</v>
      </c>
      <c r="F3349" t="s">
        <v>6316</v>
      </c>
      <c r="G3349" s="1">
        <v>432</v>
      </c>
      <c r="H3349" s="2">
        <v>124400</v>
      </c>
      <c r="I3349" s="2">
        <v>104768.64</v>
      </c>
      <c r="J3349" s="2">
        <v>0</v>
      </c>
      <c r="K3349" s="2">
        <v>0</v>
      </c>
      <c r="L3349" s="2">
        <v>104768.64</v>
      </c>
      <c r="M3349" s="3">
        <v>24252</v>
      </c>
      <c r="N3349" s="4">
        <v>2.3835999999999999E-4</v>
      </c>
      <c r="O3349" s="5" t="s">
        <v>44</v>
      </c>
      <c r="P3349" s="5" t="s">
        <v>44</v>
      </c>
      <c r="Q3349" s="1"/>
      <c r="R3349" s="2"/>
      <c r="S3349" s="6"/>
      <c r="T3349" t="s">
        <v>10902</v>
      </c>
      <c r="U3349" t="s">
        <v>10902</v>
      </c>
      <c r="V3349" t="s">
        <v>10902</v>
      </c>
      <c r="W3349" t="s">
        <v>43</v>
      </c>
      <c r="X3349" t="s">
        <v>11279</v>
      </c>
      <c r="Y3349" t="s">
        <v>11280</v>
      </c>
      <c r="Z3349" t="s">
        <v>11276</v>
      </c>
      <c r="AA3349" t="s">
        <v>44</v>
      </c>
      <c r="AB3349" t="s">
        <v>44</v>
      </c>
      <c r="AC3349" s="4"/>
      <c r="AD3349" s="4"/>
      <c r="AE3349" s="2">
        <v>0</v>
      </c>
      <c r="AF3349" s="4">
        <v>0</v>
      </c>
      <c r="AG3349" s="2">
        <v>0.31</v>
      </c>
      <c r="AH3349" s="2">
        <v>104768.64</v>
      </c>
      <c r="AI3349" s="2">
        <v>0</v>
      </c>
      <c r="AJ3349" s="5">
        <v>44673</v>
      </c>
      <c r="AK3349" t="s">
        <v>12656</v>
      </c>
      <c r="AL3349" s="2">
        <v>0</v>
      </c>
      <c r="AM3349" s="2">
        <v>0</v>
      </c>
      <c r="AN3349" s="2">
        <v>0</v>
      </c>
      <c r="AO3349" t="s">
        <v>44</v>
      </c>
      <c r="AP3349" t="s">
        <v>11281</v>
      </c>
      <c r="AQ3349" t="s">
        <v>4585</v>
      </c>
    </row>
    <row r="3350" spans="1:43" x14ac:dyDescent="0.2">
      <c r="A3350" t="s">
        <v>12655</v>
      </c>
      <c r="B3350" t="s">
        <v>11037</v>
      </c>
      <c r="C3350" t="s">
        <v>11276</v>
      </c>
      <c r="D3350" t="s">
        <v>11661</v>
      </c>
      <c r="E3350" t="s">
        <v>4578</v>
      </c>
      <c r="F3350" t="s">
        <v>11661</v>
      </c>
      <c r="G3350" s="1">
        <v>5904</v>
      </c>
      <c r="H3350" s="2">
        <v>2785826.61</v>
      </c>
      <c r="I3350" s="2">
        <v>4153286.88</v>
      </c>
      <c r="J3350" s="2">
        <v>0</v>
      </c>
      <c r="K3350" s="2">
        <v>128601.08</v>
      </c>
      <c r="L3350" s="2">
        <v>4281887.96</v>
      </c>
      <c r="M3350" s="3">
        <v>70347</v>
      </c>
      <c r="N3350" s="4">
        <v>9.7417600000000003E-3</v>
      </c>
      <c r="O3350" s="5" t="s">
        <v>44</v>
      </c>
      <c r="P3350" s="5" t="s">
        <v>44</v>
      </c>
      <c r="Q3350" s="1"/>
      <c r="R3350" s="2"/>
      <c r="S3350" s="6"/>
      <c r="T3350" t="s">
        <v>10902</v>
      </c>
      <c r="U3350" t="s">
        <v>10902</v>
      </c>
      <c r="V3350" t="s">
        <v>10902</v>
      </c>
      <c r="W3350" t="s">
        <v>43</v>
      </c>
      <c r="X3350" t="s">
        <v>11279</v>
      </c>
      <c r="Y3350" t="s">
        <v>11280</v>
      </c>
      <c r="Z3350" t="s">
        <v>11276</v>
      </c>
      <c r="AA3350" t="s">
        <v>44</v>
      </c>
      <c r="AB3350" t="s">
        <v>44</v>
      </c>
      <c r="AC3350" s="4"/>
      <c r="AD3350" s="4"/>
      <c r="AE3350" s="2">
        <v>0</v>
      </c>
      <c r="AF3350" s="4">
        <v>0</v>
      </c>
      <c r="AG3350" s="2">
        <v>12.77</v>
      </c>
      <c r="AH3350" s="2">
        <v>4281887.96</v>
      </c>
      <c r="AI3350" s="2">
        <v>0.01</v>
      </c>
      <c r="AJ3350" s="5">
        <v>44673</v>
      </c>
      <c r="AK3350" t="s">
        <v>12656</v>
      </c>
      <c r="AL3350" s="2">
        <v>0</v>
      </c>
      <c r="AM3350" s="2">
        <v>0</v>
      </c>
      <c r="AN3350" s="2">
        <v>0</v>
      </c>
      <c r="AO3350" t="s">
        <v>44</v>
      </c>
      <c r="AP3350" t="s">
        <v>2559</v>
      </c>
      <c r="AQ3350" t="s">
        <v>4578</v>
      </c>
    </row>
    <row r="3351" spans="1:43" x14ac:dyDescent="0.2">
      <c r="A3351" t="s">
        <v>12655</v>
      </c>
      <c r="B3351" t="s">
        <v>11037</v>
      </c>
      <c r="C3351" t="s">
        <v>11276</v>
      </c>
      <c r="D3351" t="s">
        <v>11662</v>
      </c>
      <c r="E3351" t="s">
        <v>2017</v>
      </c>
      <c r="F3351" t="s">
        <v>11662</v>
      </c>
      <c r="G3351" s="1">
        <v>286</v>
      </c>
      <c r="H3351" s="2">
        <v>435922.51</v>
      </c>
      <c r="I3351" s="2">
        <v>504624.12</v>
      </c>
      <c r="J3351" s="2">
        <v>0</v>
      </c>
      <c r="K3351" s="2">
        <v>0</v>
      </c>
      <c r="L3351" s="2">
        <v>504624.12</v>
      </c>
      <c r="M3351" s="3">
        <v>176442</v>
      </c>
      <c r="N3351" s="4">
        <v>1.1480699999999999E-3</v>
      </c>
      <c r="O3351" s="5" t="s">
        <v>44</v>
      </c>
      <c r="P3351" s="5" t="s">
        <v>44</v>
      </c>
      <c r="Q3351" s="1"/>
      <c r="R3351" s="2"/>
      <c r="S3351" s="6"/>
      <c r="T3351" t="s">
        <v>10902</v>
      </c>
      <c r="U3351" t="s">
        <v>10902</v>
      </c>
      <c r="V3351" t="s">
        <v>10902</v>
      </c>
      <c r="W3351" t="s">
        <v>43</v>
      </c>
      <c r="X3351" t="s">
        <v>11279</v>
      </c>
      <c r="Y3351" t="s">
        <v>11280</v>
      </c>
      <c r="Z3351" t="s">
        <v>11276</v>
      </c>
      <c r="AA3351" t="s">
        <v>44</v>
      </c>
      <c r="AB3351" t="s">
        <v>44</v>
      </c>
      <c r="AC3351" s="4"/>
      <c r="AD3351" s="4"/>
      <c r="AE3351" s="2">
        <v>0</v>
      </c>
      <c r="AF3351" s="4">
        <v>0</v>
      </c>
      <c r="AG3351" s="2">
        <v>1.5</v>
      </c>
      <c r="AH3351" s="2">
        <v>504624.12</v>
      </c>
      <c r="AI3351" s="2">
        <v>0</v>
      </c>
      <c r="AJ3351" s="5">
        <v>44673</v>
      </c>
      <c r="AK3351" t="s">
        <v>12656</v>
      </c>
      <c r="AL3351" s="2">
        <v>0</v>
      </c>
      <c r="AM3351" s="2">
        <v>0</v>
      </c>
      <c r="AN3351" s="2">
        <v>0</v>
      </c>
      <c r="AO3351" t="s">
        <v>44</v>
      </c>
      <c r="AP3351" t="s">
        <v>11663</v>
      </c>
      <c r="AQ3351" t="s">
        <v>2017</v>
      </c>
    </row>
    <row r="3352" spans="1:43" x14ac:dyDescent="0.2">
      <c r="A3352" t="s">
        <v>12655</v>
      </c>
      <c r="B3352" t="s">
        <v>11037</v>
      </c>
      <c r="C3352" t="s">
        <v>11276</v>
      </c>
      <c r="D3352" t="s">
        <v>11664</v>
      </c>
      <c r="E3352" t="s">
        <v>4492</v>
      </c>
      <c r="F3352" t="s">
        <v>11664</v>
      </c>
      <c r="G3352" s="1">
        <v>2026</v>
      </c>
      <c r="H3352" s="2">
        <v>981046.63</v>
      </c>
      <c r="I3352" s="2">
        <v>666006.98</v>
      </c>
      <c r="J3352" s="2">
        <v>0</v>
      </c>
      <c r="K3352" s="2">
        <v>0</v>
      </c>
      <c r="L3352" s="2">
        <v>666006.98</v>
      </c>
      <c r="M3352" s="3">
        <v>32873</v>
      </c>
      <c r="N3352" s="4">
        <v>1.5152399999999999E-3</v>
      </c>
      <c r="O3352" s="5" t="s">
        <v>44</v>
      </c>
      <c r="P3352" s="5" t="s">
        <v>44</v>
      </c>
      <c r="Q3352" s="1"/>
      <c r="R3352" s="2"/>
      <c r="S3352" s="6"/>
      <c r="T3352" t="s">
        <v>10902</v>
      </c>
      <c r="U3352" t="s">
        <v>10902</v>
      </c>
      <c r="V3352" t="s">
        <v>10902</v>
      </c>
      <c r="W3352" t="s">
        <v>43</v>
      </c>
      <c r="X3352" t="s">
        <v>11279</v>
      </c>
      <c r="Y3352" t="s">
        <v>11280</v>
      </c>
      <c r="Z3352" t="s">
        <v>11276</v>
      </c>
      <c r="AA3352" t="s">
        <v>44</v>
      </c>
      <c r="AB3352" t="s">
        <v>44</v>
      </c>
      <c r="AC3352" s="4"/>
      <c r="AD3352" s="4"/>
      <c r="AE3352" s="2">
        <v>0</v>
      </c>
      <c r="AF3352" s="4">
        <v>0</v>
      </c>
      <c r="AG3352" s="2">
        <v>1.99</v>
      </c>
      <c r="AH3352" s="2">
        <v>666006.98</v>
      </c>
      <c r="AI3352" s="2">
        <v>0</v>
      </c>
      <c r="AJ3352" s="5">
        <v>44673</v>
      </c>
      <c r="AK3352" t="s">
        <v>12656</v>
      </c>
      <c r="AL3352" s="2">
        <v>0</v>
      </c>
      <c r="AM3352" s="2">
        <v>0</v>
      </c>
      <c r="AN3352" s="2">
        <v>0</v>
      </c>
      <c r="AO3352" t="s">
        <v>44</v>
      </c>
      <c r="AP3352" t="s">
        <v>11665</v>
      </c>
      <c r="AQ3352" t="s">
        <v>4492</v>
      </c>
    </row>
    <row r="3353" spans="1:43" x14ac:dyDescent="0.2">
      <c r="A3353" t="s">
        <v>12655</v>
      </c>
      <c r="B3353" t="s">
        <v>11037</v>
      </c>
      <c r="C3353" t="s">
        <v>11276</v>
      </c>
      <c r="D3353" t="s">
        <v>11736</v>
      </c>
      <c r="E3353" t="s">
        <v>11737</v>
      </c>
      <c r="F3353" t="s">
        <v>985</v>
      </c>
      <c r="G3353" s="1">
        <v>1269</v>
      </c>
      <c r="H3353" s="2">
        <v>653535</v>
      </c>
      <c r="I3353" s="2">
        <v>686567.07</v>
      </c>
      <c r="J3353" s="2">
        <v>0</v>
      </c>
      <c r="K3353" s="2">
        <v>0</v>
      </c>
      <c r="L3353" s="2">
        <v>686567.07</v>
      </c>
      <c r="M3353" s="3">
        <v>54103</v>
      </c>
      <c r="N3353" s="4">
        <v>1.56201E-3</v>
      </c>
      <c r="O3353" s="5" t="s">
        <v>44</v>
      </c>
      <c r="P3353" s="5" t="s">
        <v>44</v>
      </c>
      <c r="Q3353" s="1"/>
      <c r="R3353" s="2"/>
      <c r="S3353" s="6"/>
      <c r="T3353" t="s">
        <v>10902</v>
      </c>
      <c r="U3353" t="s">
        <v>10902</v>
      </c>
      <c r="V3353" t="s">
        <v>10902</v>
      </c>
      <c r="W3353" t="s">
        <v>43</v>
      </c>
      <c r="X3353" t="s">
        <v>11279</v>
      </c>
      <c r="Y3353" t="s">
        <v>11280</v>
      </c>
      <c r="Z3353" t="s">
        <v>11276</v>
      </c>
      <c r="AA3353" t="s">
        <v>44</v>
      </c>
      <c r="AB3353" t="s">
        <v>44</v>
      </c>
      <c r="AC3353" s="4"/>
      <c r="AD3353" s="4"/>
      <c r="AE3353" s="2">
        <v>0</v>
      </c>
      <c r="AF3353" s="4">
        <v>0</v>
      </c>
      <c r="AG3353" s="2">
        <v>2.0499999999999998</v>
      </c>
      <c r="AH3353" s="2">
        <v>686567.07</v>
      </c>
      <c r="AI3353" s="2">
        <v>0</v>
      </c>
      <c r="AJ3353" s="5">
        <v>44673</v>
      </c>
      <c r="AK3353" t="s">
        <v>12656</v>
      </c>
      <c r="AL3353" s="2">
        <v>0</v>
      </c>
      <c r="AM3353" s="2">
        <v>0</v>
      </c>
      <c r="AN3353" s="2">
        <v>0</v>
      </c>
      <c r="AO3353" t="s">
        <v>44</v>
      </c>
      <c r="AP3353" t="s">
        <v>990</v>
      </c>
      <c r="AQ3353" t="s">
        <v>11737</v>
      </c>
    </row>
    <row r="3354" spans="1:43" x14ac:dyDescent="0.2">
      <c r="A3354" t="s">
        <v>12655</v>
      </c>
      <c r="B3354" t="s">
        <v>11037</v>
      </c>
      <c r="C3354" t="s">
        <v>11276</v>
      </c>
      <c r="D3354" t="s">
        <v>6112</v>
      </c>
      <c r="E3354" t="s">
        <v>4527</v>
      </c>
      <c r="F3354" t="s">
        <v>6112</v>
      </c>
      <c r="G3354" s="1">
        <v>1166</v>
      </c>
      <c r="H3354" s="2">
        <v>158042.59</v>
      </c>
      <c r="I3354" s="2">
        <v>256146.88</v>
      </c>
      <c r="J3354" s="2">
        <v>0</v>
      </c>
      <c r="K3354" s="2">
        <v>0</v>
      </c>
      <c r="L3354" s="2">
        <v>256146.88</v>
      </c>
      <c r="M3354" s="3">
        <v>21968</v>
      </c>
      <c r="N3354" s="4">
        <v>5.8275999999999998E-4</v>
      </c>
      <c r="O3354" s="5" t="s">
        <v>44</v>
      </c>
      <c r="P3354" s="5" t="s">
        <v>44</v>
      </c>
      <c r="Q3354" s="1"/>
      <c r="R3354" s="2"/>
      <c r="S3354" s="6"/>
      <c r="T3354" t="s">
        <v>10902</v>
      </c>
      <c r="U3354" t="s">
        <v>10902</v>
      </c>
      <c r="V3354" t="s">
        <v>10902</v>
      </c>
      <c r="W3354" t="s">
        <v>43</v>
      </c>
      <c r="X3354" t="s">
        <v>11279</v>
      </c>
      <c r="Y3354" t="s">
        <v>11280</v>
      </c>
      <c r="Z3354" t="s">
        <v>11276</v>
      </c>
      <c r="AA3354" t="s">
        <v>44</v>
      </c>
      <c r="AB3354" t="s">
        <v>44</v>
      </c>
      <c r="AC3354" s="4"/>
      <c r="AD3354" s="4"/>
      <c r="AE3354" s="2">
        <v>0</v>
      </c>
      <c r="AF3354" s="4">
        <v>0</v>
      </c>
      <c r="AG3354" s="2">
        <v>0.76</v>
      </c>
      <c r="AH3354" s="2">
        <v>256146.88</v>
      </c>
      <c r="AI3354" s="2">
        <v>0</v>
      </c>
      <c r="AJ3354" s="5">
        <v>44673</v>
      </c>
      <c r="AK3354" t="s">
        <v>12656</v>
      </c>
      <c r="AL3354" s="2">
        <v>0</v>
      </c>
      <c r="AM3354" s="2">
        <v>0</v>
      </c>
      <c r="AN3354" s="2">
        <v>0</v>
      </c>
      <c r="AO3354" t="s">
        <v>44</v>
      </c>
      <c r="AP3354" t="s">
        <v>11666</v>
      </c>
      <c r="AQ3354" t="s">
        <v>4527</v>
      </c>
    </row>
    <row r="3355" spans="1:43" x14ac:dyDescent="0.2">
      <c r="A3355" t="s">
        <v>12655</v>
      </c>
      <c r="B3355" t="s">
        <v>11037</v>
      </c>
      <c r="C3355" t="s">
        <v>11276</v>
      </c>
      <c r="D3355" t="s">
        <v>11667</v>
      </c>
      <c r="E3355" t="s">
        <v>4605</v>
      </c>
      <c r="F3355" t="s">
        <v>11667</v>
      </c>
      <c r="G3355" s="1">
        <v>4000</v>
      </c>
      <c r="H3355" s="2">
        <v>223096.51</v>
      </c>
      <c r="I3355" s="2">
        <v>383240</v>
      </c>
      <c r="J3355" s="2">
        <v>0</v>
      </c>
      <c r="K3355" s="2">
        <v>0</v>
      </c>
      <c r="L3355" s="2">
        <v>383240</v>
      </c>
      <c r="M3355" s="3">
        <v>9581</v>
      </c>
      <c r="N3355" s="4">
        <v>8.7191000000000005E-4</v>
      </c>
      <c r="O3355" s="5" t="s">
        <v>44</v>
      </c>
      <c r="P3355" s="5" t="s">
        <v>44</v>
      </c>
      <c r="Q3355" s="1"/>
      <c r="R3355" s="2"/>
      <c r="S3355" s="6"/>
      <c r="T3355" t="s">
        <v>10902</v>
      </c>
      <c r="U3355" t="s">
        <v>10902</v>
      </c>
      <c r="V3355" t="s">
        <v>10902</v>
      </c>
      <c r="W3355" t="s">
        <v>43</v>
      </c>
      <c r="X3355" t="s">
        <v>11279</v>
      </c>
      <c r="Y3355" t="s">
        <v>11280</v>
      </c>
      <c r="Z3355" t="s">
        <v>11276</v>
      </c>
      <c r="AA3355" t="s">
        <v>44</v>
      </c>
      <c r="AB3355" t="s">
        <v>44</v>
      </c>
      <c r="AC3355" s="4"/>
      <c r="AD3355" s="4"/>
      <c r="AE3355" s="2">
        <v>0</v>
      </c>
      <c r="AF3355" s="4">
        <v>0</v>
      </c>
      <c r="AG3355" s="2">
        <v>1.1399999999999999</v>
      </c>
      <c r="AH3355" s="2">
        <v>383240</v>
      </c>
      <c r="AI3355" s="2">
        <v>0</v>
      </c>
      <c r="AJ3355" s="5">
        <v>44673</v>
      </c>
      <c r="AK3355" t="s">
        <v>12656</v>
      </c>
      <c r="AL3355" s="2">
        <v>0</v>
      </c>
      <c r="AM3355" s="2">
        <v>0</v>
      </c>
      <c r="AN3355" s="2">
        <v>0</v>
      </c>
      <c r="AO3355" t="s">
        <v>44</v>
      </c>
      <c r="AP3355" t="s">
        <v>2095</v>
      </c>
      <c r="AQ3355" t="s">
        <v>4605</v>
      </c>
    </row>
    <row r="3356" spans="1:43" x14ac:dyDescent="0.2">
      <c r="A3356" t="s">
        <v>12655</v>
      </c>
      <c r="B3356" t="s">
        <v>11037</v>
      </c>
      <c r="C3356" t="s">
        <v>11276</v>
      </c>
      <c r="D3356" t="s">
        <v>6034</v>
      </c>
      <c r="E3356" t="s">
        <v>4499</v>
      </c>
      <c r="F3356" t="s">
        <v>6034</v>
      </c>
      <c r="G3356" s="1">
        <v>4131</v>
      </c>
      <c r="H3356" s="2">
        <v>717448.72</v>
      </c>
      <c r="I3356" s="2">
        <v>884818.89</v>
      </c>
      <c r="J3356" s="2">
        <v>0</v>
      </c>
      <c r="K3356" s="2">
        <v>0</v>
      </c>
      <c r="L3356" s="2">
        <v>884818.89</v>
      </c>
      <c r="M3356" s="3">
        <v>21419</v>
      </c>
      <c r="N3356" s="4">
        <v>2.0130600000000001E-3</v>
      </c>
      <c r="O3356" s="5" t="s">
        <v>44</v>
      </c>
      <c r="P3356" s="5" t="s">
        <v>44</v>
      </c>
      <c r="Q3356" s="1"/>
      <c r="R3356" s="2"/>
      <c r="S3356" s="6"/>
      <c r="T3356" t="s">
        <v>10902</v>
      </c>
      <c r="U3356" t="s">
        <v>10902</v>
      </c>
      <c r="V3356" t="s">
        <v>10902</v>
      </c>
      <c r="W3356" t="s">
        <v>43</v>
      </c>
      <c r="X3356" t="s">
        <v>11279</v>
      </c>
      <c r="Y3356" t="s">
        <v>11280</v>
      </c>
      <c r="Z3356" t="s">
        <v>11276</v>
      </c>
      <c r="AA3356" t="s">
        <v>44</v>
      </c>
      <c r="AB3356" t="s">
        <v>44</v>
      </c>
      <c r="AC3356" s="4"/>
      <c r="AD3356" s="4"/>
      <c r="AE3356" s="2">
        <v>0</v>
      </c>
      <c r="AF3356" s="4">
        <v>0</v>
      </c>
      <c r="AG3356" s="2">
        <v>2.64</v>
      </c>
      <c r="AH3356" s="2">
        <v>884818.89</v>
      </c>
      <c r="AI3356" s="2">
        <v>0</v>
      </c>
      <c r="AJ3356" s="5">
        <v>44673</v>
      </c>
      <c r="AK3356" t="s">
        <v>12656</v>
      </c>
      <c r="AL3356" s="2">
        <v>0</v>
      </c>
      <c r="AM3356" s="2">
        <v>0</v>
      </c>
      <c r="AN3356" s="2">
        <v>0</v>
      </c>
      <c r="AO3356" t="s">
        <v>44</v>
      </c>
      <c r="AP3356" t="s">
        <v>11668</v>
      </c>
      <c r="AQ3356" t="s">
        <v>4499</v>
      </c>
    </row>
    <row r="3357" spans="1:43" x14ac:dyDescent="0.2">
      <c r="A3357" t="s">
        <v>12655</v>
      </c>
      <c r="B3357" t="s">
        <v>11037</v>
      </c>
      <c r="C3357" t="s">
        <v>11276</v>
      </c>
      <c r="D3357" t="s">
        <v>11284</v>
      </c>
      <c r="E3357" t="s">
        <v>4506</v>
      </c>
      <c r="F3357" t="s">
        <v>11284</v>
      </c>
      <c r="G3357" s="1">
        <v>2370</v>
      </c>
      <c r="H3357" s="2">
        <v>210204.77</v>
      </c>
      <c r="I3357" s="2">
        <v>155898.6</v>
      </c>
      <c r="J3357" s="2">
        <v>0</v>
      </c>
      <c r="K3357" s="2">
        <v>0</v>
      </c>
      <c r="L3357" s="2">
        <v>155898.6</v>
      </c>
      <c r="M3357" s="3">
        <v>6578</v>
      </c>
      <c r="N3357" s="4">
        <v>3.5469000000000001E-4</v>
      </c>
      <c r="O3357" s="5" t="s">
        <v>44</v>
      </c>
      <c r="P3357" s="5" t="s">
        <v>44</v>
      </c>
      <c r="Q3357" s="1"/>
      <c r="R3357" s="2"/>
      <c r="S3357" s="6"/>
      <c r="T3357" t="s">
        <v>10902</v>
      </c>
      <c r="U3357" t="s">
        <v>10902</v>
      </c>
      <c r="V3357" t="s">
        <v>10902</v>
      </c>
      <c r="W3357" t="s">
        <v>43</v>
      </c>
      <c r="X3357" t="s">
        <v>11279</v>
      </c>
      <c r="Y3357" t="s">
        <v>11280</v>
      </c>
      <c r="Z3357" t="s">
        <v>11276</v>
      </c>
      <c r="AA3357" t="s">
        <v>44</v>
      </c>
      <c r="AB3357" t="s">
        <v>44</v>
      </c>
      <c r="AC3357" s="4"/>
      <c r="AD3357" s="4"/>
      <c r="AE3357" s="2">
        <v>0</v>
      </c>
      <c r="AF3357" s="4">
        <v>0</v>
      </c>
      <c r="AG3357" s="2">
        <v>0.46</v>
      </c>
      <c r="AH3357" s="2">
        <v>155898.6</v>
      </c>
      <c r="AI3357" s="2">
        <v>0</v>
      </c>
      <c r="AJ3357" s="5">
        <v>44673</v>
      </c>
      <c r="AK3357" t="s">
        <v>12656</v>
      </c>
      <c r="AL3357" s="2">
        <v>0</v>
      </c>
      <c r="AM3357" s="2">
        <v>0</v>
      </c>
      <c r="AN3357" s="2">
        <v>0</v>
      </c>
      <c r="AO3357" t="s">
        <v>44</v>
      </c>
      <c r="AP3357" t="s">
        <v>11285</v>
      </c>
      <c r="AQ3357" t="s">
        <v>4506</v>
      </c>
    </row>
    <row r="3358" spans="1:43" x14ac:dyDescent="0.2">
      <c r="A3358" t="s">
        <v>12655</v>
      </c>
      <c r="B3358" t="s">
        <v>11037</v>
      </c>
      <c r="C3358" t="s">
        <v>11276</v>
      </c>
      <c r="D3358" t="s">
        <v>6081</v>
      </c>
      <c r="E3358" t="s">
        <v>4549</v>
      </c>
      <c r="F3358" t="s">
        <v>6081</v>
      </c>
      <c r="G3358" s="1">
        <v>3858</v>
      </c>
      <c r="H3358" s="2">
        <v>673291.81</v>
      </c>
      <c r="I3358" s="2">
        <v>785450.22</v>
      </c>
      <c r="J3358" s="2">
        <v>0</v>
      </c>
      <c r="K3358" s="2">
        <v>0</v>
      </c>
      <c r="L3358" s="2">
        <v>785450.22</v>
      </c>
      <c r="M3358" s="3">
        <v>20359</v>
      </c>
      <c r="N3358" s="4">
        <v>1.7869800000000001E-3</v>
      </c>
      <c r="O3358" s="5" t="s">
        <v>44</v>
      </c>
      <c r="P3358" s="5" t="s">
        <v>44</v>
      </c>
      <c r="Q3358" s="1"/>
      <c r="R3358" s="2"/>
      <c r="S3358" s="6"/>
      <c r="T3358" t="s">
        <v>10902</v>
      </c>
      <c r="U3358" t="s">
        <v>10902</v>
      </c>
      <c r="V3358" t="s">
        <v>10902</v>
      </c>
      <c r="W3358" t="s">
        <v>43</v>
      </c>
      <c r="X3358" t="s">
        <v>11279</v>
      </c>
      <c r="Y3358" t="s">
        <v>11280</v>
      </c>
      <c r="Z3358" t="s">
        <v>11276</v>
      </c>
      <c r="AA3358" t="s">
        <v>44</v>
      </c>
      <c r="AB3358" t="s">
        <v>44</v>
      </c>
      <c r="AC3358" s="4"/>
      <c r="AD3358" s="4"/>
      <c r="AE3358" s="2">
        <v>0</v>
      </c>
      <c r="AF3358" s="4">
        <v>0</v>
      </c>
      <c r="AG3358" s="2">
        <v>2.34</v>
      </c>
      <c r="AH3358" s="2">
        <v>785450.22</v>
      </c>
      <c r="AI3358" s="2">
        <v>0</v>
      </c>
      <c r="AJ3358" s="5">
        <v>44673</v>
      </c>
      <c r="AK3358" t="s">
        <v>12656</v>
      </c>
      <c r="AL3358" s="2">
        <v>0</v>
      </c>
      <c r="AM3358" s="2">
        <v>0</v>
      </c>
      <c r="AN3358" s="2">
        <v>0</v>
      </c>
      <c r="AO3358" t="s">
        <v>44</v>
      </c>
      <c r="AP3358" t="s">
        <v>11669</v>
      </c>
      <c r="AQ3358" t="s">
        <v>4549</v>
      </c>
    </row>
    <row r="3359" spans="1:43" x14ac:dyDescent="0.2">
      <c r="A3359" t="s">
        <v>12655</v>
      </c>
      <c r="B3359" t="s">
        <v>11037</v>
      </c>
      <c r="C3359" t="s">
        <v>11276</v>
      </c>
      <c r="D3359" t="s">
        <v>6278</v>
      </c>
      <c r="E3359" t="s">
        <v>4640</v>
      </c>
      <c r="F3359" t="s">
        <v>6278</v>
      </c>
      <c r="G3359" s="1">
        <v>203</v>
      </c>
      <c r="H3359" s="2">
        <v>118945.24</v>
      </c>
      <c r="I3359" s="2">
        <v>102860.1</v>
      </c>
      <c r="J3359" s="2">
        <v>0</v>
      </c>
      <c r="K3359" s="2">
        <v>0</v>
      </c>
      <c r="L3359" s="2">
        <v>102860.1</v>
      </c>
      <c r="M3359" s="3">
        <v>50670</v>
      </c>
      <c r="N3359" s="4">
        <v>2.3402000000000001E-4</v>
      </c>
      <c r="O3359" s="5" t="s">
        <v>44</v>
      </c>
      <c r="P3359" s="5" t="s">
        <v>44</v>
      </c>
      <c r="Q3359" s="1"/>
      <c r="R3359" s="2"/>
      <c r="S3359" s="6"/>
      <c r="T3359" t="s">
        <v>10902</v>
      </c>
      <c r="U3359" t="s">
        <v>10902</v>
      </c>
      <c r="V3359" t="s">
        <v>10902</v>
      </c>
      <c r="W3359" t="s">
        <v>43</v>
      </c>
      <c r="X3359" t="s">
        <v>11286</v>
      </c>
      <c r="Y3359" t="s">
        <v>11280</v>
      </c>
      <c r="Z3359" t="s">
        <v>11276</v>
      </c>
      <c r="AA3359" t="s">
        <v>44</v>
      </c>
      <c r="AB3359" t="s">
        <v>44</v>
      </c>
      <c r="AC3359" s="4"/>
      <c r="AD3359" s="4"/>
      <c r="AE3359" s="2">
        <v>0</v>
      </c>
      <c r="AF3359" s="4">
        <v>0</v>
      </c>
      <c r="AG3359" s="2">
        <v>0.31</v>
      </c>
      <c r="AH3359" s="2">
        <v>102860.1</v>
      </c>
      <c r="AI3359" s="2">
        <v>0</v>
      </c>
      <c r="AJ3359" s="5">
        <v>44673</v>
      </c>
      <c r="AK3359" t="s">
        <v>12656</v>
      </c>
      <c r="AL3359" s="2">
        <v>0</v>
      </c>
      <c r="AM3359" s="2">
        <v>0</v>
      </c>
      <c r="AN3359" s="2">
        <v>0</v>
      </c>
      <c r="AO3359" t="s">
        <v>44</v>
      </c>
      <c r="AP3359" t="s">
        <v>11287</v>
      </c>
      <c r="AQ3359" t="s">
        <v>4640</v>
      </c>
    </row>
    <row r="3360" spans="1:43" x14ac:dyDescent="0.2">
      <c r="A3360" t="s">
        <v>12655</v>
      </c>
      <c r="B3360" t="s">
        <v>11037</v>
      </c>
      <c r="C3360" t="s">
        <v>11276</v>
      </c>
      <c r="D3360" t="s">
        <v>11288</v>
      </c>
      <c r="E3360" t="s">
        <v>4628</v>
      </c>
      <c r="F3360" t="s">
        <v>11288</v>
      </c>
      <c r="G3360" s="1">
        <v>2312</v>
      </c>
      <c r="H3360" s="2">
        <v>750885.61</v>
      </c>
      <c r="I3360" s="2">
        <v>699102.56</v>
      </c>
      <c r="J3360" s="2">
        <v>0</v>
      </c>
      <c r="K3360" s="2">
        <v>17651.61</v>
      </c>
      <c r="L3360" s="2">
        <v>716754.17</v>
      </c>
      <c r="M3360" s="3">
        <v>30238</v>
      </c>
      <c r="N3360" s="4">
        <v>1.63069E-3</v>
      </c>
      <c r="O3360" s="5" t="s">
        <v>44</v>
      </c>
      <c r="P3360" s="5" t="s">
        <v>44</v>
      </c>
      <c r="Q3360" s="1"/>
      <c r="R3360" s="2"/>
      <c r="S3360" s="6"/>
      <c r="T3360" t="s">
        <v>10902</v>
      </c>
      <c r="U3360" t="s">
        <v>10902</v>
      </c>
      <c r="V3360" t="s">
        <v>10902</v>
      </c>
      <c r="W3360" t="s">
        <v>43</v>
      </c>
      <c r="X3360" t="s">
        <v>11289</v>
      </c>
      <c r="Y3360" t="s">
        <v>11280</v>
      </c>
      <c r="Z3360" t="s">
        <v>11276</v>
      </c>
      <c r="AA3360" t="s">
        <v>44</v>
      </c>
      <c r="AB3360" t="s">
        <v>44</v>
      </c>
      <c r="AC3360" s="4"/>
      <c r="AD3360" s="4"/>
      <c r="AE3360" s="2">
        <v>0</v>
      </c>
      <c r="AF3360" s="4">
        <v>0</v>
      </c>
      <c r="AG3360" s="2">
        <v>2.14</v>
      </c>
      <c r="AH3360" s="2">
        <v>716754.17</v>
      </c>
      <c r="AI3360" s="2">
        <v>0</v>
      </c>
      <c r="AJ3360" s="5">
        <v>44673</v>
      </c>
      <c r="AK3360" t="s">
        <v>12656</v>
      </c>
      <c r="AL3360" s="2">
        <v>0</v>
      </c>
      <c r="AM3360" s="2">
        <v>0</v>
      </c>
      <c r="AN3360" s="2">
        <v>0</v>
      </c>
      <c r="AO3360" t="s">
        <v>44</v>
      </c>
      <c r="AP3360" t="s">
        <v>5923</v>
      </c>
      <c r="AQ3360" t="s">
        <v>4628</v>
      </c>
    </row>
    <row r="3361" spans="1:43" x14ac:dyDescent="0.2">
      <c r="A3361" t="s">
        <v>12655</v>
      </c>
      <c r="B3361" t="s">
        <v>11037</v>
      </c>
      <c r="C3361" t="s">
        <v>11276</v>
      </c>
      <c r="D3361" t="s">
        <v>11670</v>
      </c>
      <c r="E3361" t="s">
        <v>11671</v>
      </c>
      <c r="F3361" t="s">
        <v>11672</v>
      </c>
      <c r="G3361" s="1">
        <v>1883</v>
      </c>
      <c r="H3361" s="2">
        <v>322177.69</v>
      </c>
      <c r="I3361" s="2">
        <v>346622.64</v>
      </c>
      <c r="J3361" s="2">
        <v>0</v>
      </c>
      <c r="K3361" s="2">
        <v>0</v>
      </c>
      <c r="L3361" s="2">
        <v>346622.64</v>
      </c>
      <c r="M3361" s="3">
        <v>18408</v>
      </c>
      <c r="N3361" s="4">
        <v>7.8859999999999998E-4</v>
      </c>
      <c r="O3361" s="5" t="s">
        <v>44</v>
      </c>
      <c r="P3361" s="5" t="s">
        <v>44</v>
      </c>
      <c r="Q3361" s="1"/>
      <c r="R3361" s="2"/>
      <c r="S3361" s="6"/>
      <c r="T3361" t="s">
        <v>10902</v>
      </c>
      <c r="U3361" t="s">
        <v>10902</v>
      </c>
      <c r="V3361" t="s">
        <v>10902</v>
      </c>
      <c r="W3361" t="s">
        <v>43</v>
      </c>
      <c r="X3361" t="s">
        <v>11279</v>
      </c>
      <c r="Y3361" t="s">
        <v>11280</v>
      </c>
      <c r="Z3361" t="s">
        <v>11276</v>
      </c>
      <c r="AA3361" t="s">
        <v>44</v>
      </c>
      <c r="AB3361" t="s">
        <v>44</v>
      </c>
      <c r="AC3361" s="4"/>
      <c r="AD3361" s="4"/>
      <c r="AE3361" s="2">
        <v>0</v>
      </c>
      <c r="AF3361" s="4">
        <v>0</v>
      </c>
      <c r="AG3361" s="2">
        <v>1.03</v>
      </c>
      <c r="AH3361" s="2">
        <v>346622.64</v>
      </c>
      <c r="AI3361" s="2">
        <v>0</v>
      </c>
      <c r="AJ3361" s="5">
        <v>44673</v>
      </c>
      <c r="AK3361" t="s">
        <v>12656</v>
      </c>
      <c r="AL3361" s="2">
        <v>0</v>
      </c>
      <c r="AM3361" s="2">
        <v>0</v>
      </c>
      <c r="AN3361" s="2">
        <v>0</v>
      </c>
      <c r="AO3361" t="s">
        <v>44</v>
      </c>
      <c r="AP3361" t="s">
        <v>11673</v>
      </c>
      <c r="AQ3361" t="s">
        <v>11671</v>
      </c>
    </row>
    <row r="3362" spans="1:43" x14ac:dyDescent="0.2">
      <c r="A3362" t="s">
        <v>12655</v>
      </c>
      <c r="B3362" t="s">
        <v>11037</v>
      </c>
      <c r="C3362" t="s">
        <v>11276</v>
      </c>
      <c r="D3362" t="s">
        <v>6743</v>
      </c>
      <c r="E3362" t="s">
        <v>4570</v>
      </c>
      <c r="F3362" t="s">
        <v>6743</v>
      </c>
      <c r="G3362" s="1">
        <v>638</v>
      </c>
      <c r="H3362" s="2">
        <v>74910.490000000005</v>
      </c>
      <c r="I3362" s="2">
        <v>98590.14</v>
      </c>
      <c r="J3362" s="2">
        <v>0</v>
      </c>
      <c r="K3362" s="2">
        <v>0</v>
      </c>
      <c r="L3362" s="2">
        <v>98590.14</v>
      </c>
      <c r="M3362" s="3">
        <v>15453</v>
      </c>
      <c r="N3362" s="4">
        <v>2.243E-4</v>
      </c>
      <c r="O3362" s="5" t="s">
        <v>44</v>
      </c>
      <c r="P3362" s="5" t="s">
        <v>44</v>
      </c>
      <c r="Q3362" s="1"/>
      <c r="R3362" s="2"/>
      <c r="S3362" s="6"/>
      <c r="T3362" t="s">
        <v>10902</v>
      </c>
      <c r="U3362" t="s">
        <v>10902</v>
      </c>
      <c r="V3362" t="s">
        <v>10902</v>
      </c>
      <c r="W3362" t="s">
        <v>43</v>
      </c>
      <c r="X3362" t="s">
        <v>11279</v>
      </c>
      <c r="Y3362" t="s">
        <v>11280</v>
      </c>
      <c r="Z3362" t="s">
        <v>11276</v>
      </c>
      <c r="AA3362" t="s">
        <v>44</v>
      </c>
      <c r="AB3362" t="s">
        <v>44</v>
      </c>
      <c r="AC3362" s="4"/>
      <c r="AD3362" s="4"/>
      <c r="AE3362" s="2">
        <v>0</v>
      </c>
      <c r="AF3362" s="4">
        <v>0</v>
      </c>
      <c r="AG3362" s="2">
        <v>0.28999999999999998</v>
      </c>
      <c r="AH3362" s="2">
        <v>98590.14</v>
      </c>
      <c r="AI3362" s="2">
        <v>0</v>
      </c>
      <c r="AJ3362" s="5">
        <v>44673</v>
      </c>
      <c r="AK3362" t="s">
        <v>12656</v>
      </c>
      <c r="AL3362" s="2">
        <v>0</v>
      </c>
      <c r="AM3362" s="2">
        <v>0</v>
      </c>
      <c r="AN3362" s="2">
        <v>0</v>
      </c>
      <c r="AO3362" t="s">
        <v>44</v>
      </c>
      <c r="AP3362" t="s">
        <v>11294</v>
      </c>
      <c r="AQ3362" t="s">
        <v>4570</v>
      </c>
    </row>
    <row r="3363" spans="1:43" x14ac:dyDescent="0.2">
      <c r="A3363" t="s">
        <v>12655</v>
      </c>
      <c r="B3363" t="s">
        <v>11037</v>
      </c>
      <c r="C3363" t="s">
        <v>11276</v>
      </c>
      <c r="D3363" t="s">
        <v>6209</v>
      </c>
      <c r="E3363" t="s">
        <v>520</v>
      </c>
      <c r="F3363" t="s">
        <v>6209</v>
      </c>
      <c r="G3363" s="1">
        <v>2297</v>
      </c>
      <c r="H3363" s="2">
        <v>112486.25</v>
      </c>
      <c r="I3363" s="2">
        <v>125278.38</v>
      </c>
      <c r="J3363" s="2">
        <v>0</v>
      </c>
      <c r="K3363" s="2">
        <v>0</v>
      </c>
      <c r="L3363" s="2">
        <v>125278.38</v>
      </c>
      <c r="M3363" s="3">
        <v>5454</v>
      </c>
      <c r="N3363" s="4">
        <v>2.8501999999999998E-4</v>
      </c>
      <c r="O3363" s="5" t="s">
        <v>44</v>
      </c>
      <c r="P3363" s="5" t="s">
        <v>44</v>
      </c>
      <c r="Q3363" s="1"/>
      <c r="R3363" s="2"/>
      <c r="S3363" s="6"/>
      <c r="T3363" t="s">
        <v>10902</v>
      </c>
      <c r="U3363" t="s">
        <v>10902</v>
      </c>
      <c r="V3363" t="s">
        <v>10902</v>
      </c>
      <c r="W3363" t="s">
        <v>43</v>
      </c>
      <c r="X3363" t="s">
        <v>11289</v>
      </c>
      <c r="Y3363" t="s">
        <v>11280</v>
      </c>
      <c r="Z3363" t="s">
        <v>11276</v>
      </c>
      <c r="AA3363" t="s">
        <v>44</v>
      </c>
      <c r="AB3363" t="s">
        <v>44</v>
      </c>
      <c r="AC3363" s="4"/>
      <c r="AD3363" s="4"/>
      <c r="AE3363" s="2">
        <v>0</v>
      </c>
      <c r="AF3363" s="4">
        <v>0</v>
      </c>
      <c r="AG3363" s="2">
        <v>0.37</v>
      </c>
      <c r="AH3363" s="2">
        <v>125278.38</v>
      </c>
      <c r="AI3363" s="2">
        <v>0</v>
      </c>
      <c r="AJ3363" s="5">
        <v>44673</v>
      </c>
      <c r="AK3363" t="s">
        <v>12656</v>
      </c>
      <c r="AL3363" s="2">
        <v>0</v>
      </c>
      <c r="AM3363" s="2">
        <v>0</v>
      </c>
      <c r="AN3363" s="2">
        <v>0</v>
      </c>
      <c r="AO3363" t="s">
        <v>44</v>
      </c>
      <c r="AP3363" t="s">
        <v>11295</v>
      </c>
      <c r="AQ3363" t="s">
        <v>520</v>
      </c>
    </row>
    <row r="3364" spans="1:43" x14ac:dyDescent="0.2">
      <c r="A3364" t="s">
        <v>12655</v>
      </c>
      <c r="B3364" t="s">
        <v>11037</v>
      </c>
      <c r="C3364" t="s">
        <v>11276</v>
      </c>
      <c r="D3364" t="s">
        <v>5894</v>
      </c>
      <c r="E3364" t="s">
        <v>4484</v>
      </c>
      <c r="F3364" t="s">
        <v>5894</v>
      </c>
      <c r="G3364" s="1">
        <v>2799</v>
      </c>
      <c r="H3364" s="2">
        <v>521055.47</v>
      </c>
      <c r="I3364" s="2">
        <v>1067986.44</v>
      </c>
      <c r="J3364" s="2">
        <v>0</v>
      </c>
      <c r="K3364" s="2">
        <v>0</v>
      </c>
      <c r="L3364" s="2">
        <v>1067986.44</v>
      </c>
      <c r="M3364" s="3">
        <v>38156</v>
      </c>
      <c r="N3364" s="4">
        <v>2.4297799999999999E-3</v>
      </c>
      <c r="O3364" s="5" t="s">
        <v>44</v>
      </c>
      <c r="P3364" s="5" t="s">
        <v>44</v>
      </c>
      <c r="Q3364" s="1"/>
      <c r="R3364" s="2"/>
      <c r="S3364" s="6"/>
      <c r="T3364" t="s">
        <v>10902</v>
      </c>
      <c r="U3364" t="s">
        <v>10902</v>
      </c>
      <c r="V3364" t="s">
        <v>10902</v>
      </c>
      <c r="W3364" t="s">
        <v>43</v>
      </c>
      <c r="X3364" t="s">
        <v>11279</v>
      </c>
      <c r="Y3364" t="s">
        <v>11280</v>
      </c>
      <c r="Z3364" t="s">
        <v>11276</v>
      </c>
      <c r="AA3364" t="s">
        <v>44</v>
      </c>
      <c r="AB3364" t="s">
        <v>44</v>
      </c>
      <c r="AC3364" s="4"/>
      <c r="AD3364" s="4"/>
      <c r="AE3364" s="2">
        <v>0</v>
      </c>
      <c r="AF3364" s="4">
        <v>0</v>
      </c>
      <c r="AG3364" s="2">
        <v>3.18</v>
      </c>
      <c r="AH3364" s="2">
        <v>1067986.44</v>
      </c>
      <c r="AI3364" s="2">
        <v>0</v>
      </c>
      <c r="AJ3364" s="5">
        <v>44673</v>
      </c>
      <c r="AK3364" t="s">
        <v>12656</v>
      </c>
      <c r="AL3364" s="2">
        <v>0</v>
      </c>
      <c r="AM3364" s="2">
        <v>0</v>
      </c>
      <c r="AN3364" s="2">
        <v>0</v>
      </c>
      <c r="AO3364" t="s">
        <v>44</v>
      </c>
      <c r="AP3364" t="s">
        <v>11674</v>
      </c>
      <c r="AQ3364" t="s">
        <v>4484</v>
      </c>
    </row>
    <row r="3365" spans="1:43" x14ac:dyDescent="0.2">
      <c r="A3365" t="s">
        <v>12655</v>
      </c>
      <c r="B3365" t="s">
        <v>11037</v>
      </c>
      <c r="C3365" t="s">
        <v>11276</v>
      </c>
      <c r="D3365" t="s">
        <v>11675</v>
      </c>
      <c r="E3365" t="s">
        <v>11676</v>
      </c>
      <c r="F3365" t="s">
        <v>11675</v>
      </c>
      <c r="G3365" s="1">
        <v>13435</v>
      </c>
      <c r="H3365" s="2">
        <v>660689.29</v>
      </c>
      <c r="I3365" s="2">
        <v>761361.45</v>
      </c>
      <c r="J3365" s="2">
        <v>0</v>
      </c>
      <c r="K3365" s="2">
        <v>0</v>
      </c>
      <c r="L3365" s="2">
        <v>761361.45</v>
      </c>
      <c r="M3365" s="3">
        <v>5667</v>
      </c>
      <c r="N3365" s="4">
        <v>1.73218E-3</v>
      </c>
      <c r="O3365" s="5" t="s">
        <v>44</v>
      </c>
      <c r="P3365" s="5" t="s">
        <v>44</v>
      </c>
      <c r="Q3365" s="1"/>
      <c r="R3365" s="2"/>
      <c r="S3365" s="6"/>
      <c r="T3365" t="s">
        <v>10902</v>
      </c>
      <c r="U3365" t="s">
        <v>10902</v>
      </c>
      <c r="V3365" t="s">
        <v>10902</v>
      </c>
      <c r="W3365" t="s">
        <v>43</v>
      </c>
      <c r="X3365" t="s">
        <v>11279</v>
      </c>
      <c r="Y3365" t="s">
        <v>11280</v>
      </c>
      <c r="Z3365" t="s">
        <v>11276</v>
      </c>
      <c r="AA3365" t="s">
        <v>44</v>
      </c>
      <c r="AB3365" t="s">
        <v>44</v>
      </c>
      <c r="AC3365" s="4"/>
      <c r="AD3365" s="4"/>
      <c r="AE3365" s="2">
        <v>0</v>
      </c>
      <c r="AF3365" s="4">
        <v>0</v>
      </c>
      <c r="AG3365" s="2">
        <v>2.27</v>
      </c>
      <c r="AH3365" s="2">
        <v>761361.45</v>
      </c>
      <c r="AI3365" s="2">
        <v>0</v>
      </c>
      <c r="AJ3365" s="5">
        <v>44673</v>
      </c>
      <c r="AK3365" t="s">
        <v>12656</v>
      </c>
      <c r="AL3365" s="2">
        <v>0</v>
      </c>
      <c r="AM3365" s="2">
        <v>0</v>
      </c>
      <c r="AN3365" s="2">
        <v>0</v>
      </c>
      <c r="AO3365" t="s">
        <v>44</v>
      </c>
      <c r="AP3365" t="s">
        <v>11677</v>
      </c>
      <c r="AQ3365" t="s">
        <v>11676</v>
      </c>
    </row>
    <row r="3366" spans="1:43" x14ac:dyDescent="0.2">
      <c r="A3366" t="s">
        <v>12655</v>
      </c>
      <c r="B3366" t="s">
        <v>11037</v>
      </c>
      <c r="C3366" t="s">
        <v>11276</v>
      </c>
      <c r="D3366" t="s">
        <v>11678</v>
      </c>
      <c r="E3366" t="s">
        <v>11679</v>
      </c>
      <c r="F3366" t="s">
        <v>11680</v>
      </c>
      <c r="G3366" s="1">
        <v>577</v>
      </c>
      <c r="H3366" s="2">
        <v>41284.1</v>
      </c>
      <c r="I3366" s="2">
        <v>135721.94</v>
      </c>
      <c r="J3366" s="2">
        <v>0</v>
      </c>
      <c r="K3366" s="2">
        <v>0</v>
      </c>
      <c r="L3366" s="2">
        <v>135721.94</v>
      </c>
      <c r="M3366" s="3">
        <v>23522</v>
      </c>
      <c r="N3366" s="4">
        <v>3.0877999999999998E-4</v>
      </c>
      <c r="O3366" s="5" t="s">
        <v>44</v>
      </c>
      <c r="P3366" s="5" t="s">
        <v>44</v>
      </c>
      <c r="Q3366" s="1"/>
      <c r="R3366" s="2"/>
      <c r="S3366" s="6"/>
      <c r="T3366" t="s">
        <v>10902</v>
      </c>
      <c r="U3366" t="s">
        <v>10902</v>
      </c>
      <c r="V3366" t="s">
        <v>10902</v>
      </c>
      <c r="W3366" t="s">
        <v>43</v>
      </c>
      <c r="X3366" t="s">
        <v>11279</v>
      </c>
      <c r="Y3366" t="s">
        <v>11280</v>
      </c>
      <c r="Z3366" t="s">
        <v>11276</v>
      </c>
      <c r="AA3366" t="s">
        <v>44</v>
      </c>
      <c r="AB3366" t="s">
        <v>44</v>
      </c>
      <c r="AC3366" s="4"/>
      <c r="AD3366" s="4"/>
      <c r="AE3366" s="2">
        <v>0</v>
      </c>
      <c r="AF3366" s="4">
        <v>0</v>
      </c>
      <c r="AG3366" s="2">
        <v>0.4</v>
      </c>
      <c r="AH3366" s="2">
        <v>135721.94</v>
      </c>
      <c r="AI3366" s="2">
        <v>0</v>
      </c>
      <c r="AJ3366" s="5">
        <v>44673</v>
      </c>
      <c r="AK3366" t="s">
        <v>12656</v>
      </c>
      <c r="AL3366" s="2">
        <v>0</v>
      </c>
      <c r="AM3366" s="2">
        <v>0</v>
      </c>
      <c r="AN3366" s="2">
        <v>0</v>
      </c>
      <c r="AO3366" t="s">
        <v>44</v>
      </c>
      <c r="AP3366" t="s">
        <v>11681</v>
      </c>
      <c r="AQ3366" t="s">
        <v>11679</v>
      </c>
    </row>
    <row r="3367" spans="1:43" x14ac:dyDescent="0.2">
      <c r="A3367" t="s">
        <v>12655</v>
      </c>
      <c r="B3367" t="s">
        <v>11037</v>
      </c>
      <c r="C3367" t="s">
        <v>11296</v>
      </c>
      <c r="D3367" t="s">
        <v>11297</v>
      </c>
      <c r="E3367" t="s">
        <v>5955</v>
      </c>
      <c r="F3367" t="s">
        <v>11297</v>
      </c>
      <c r="G3367" s="1">
        <v>251</v>
      </c>
      <c r="H3367" s="2">
        <v>232514.85</v>
      </c>
      <c r="I3367" s="2">
        <v>235555.97</v>
      </c>
      <c r="J3367" s="2">
        <v>0</v>
      </c>
      <c r="K3367" s="2">
        <v>0</v>
      </c>
      <c r="L3367" s="2">
        <v>235555.97</v>
      </c>
      <c r="M3367" s="3">
        <v>93847</v>
      </c>
      <c r="N3367" s="4">
        <v>5.3591999999999995E-4</v>
      </c>
      <c r="O3367" s="5" t="s">
        <v>44</v>
      </c>
      <c r="P3367" s="5" t="s">
        <v>44</v>
      </c>
      <c r="Q3367" s="1"/>
      <c r="R3367" s="2"/>
      <c r="S3367" s="6"/>
      <c r="T3367" t="s">
        <v>10902</v>
      </c>
      <c r="U3367" t="s">
        <v>10902</v>
      </c>
      <c r="V3367" t="s">
        <v>10902</v>
      </c>
      <c r="W3367" t="s">
        <v>43</v>
      </c>
      <c r="X3367" t="s">
        <v>11298</v>
      </c>
      <c r="Y3367" t="s">
        <v>11299</v>
      </c>
      <c r="Z3367" t="s">
        <v>11296</v>
      </c>
      <c r="AA3367" t="s">
        <v>44</v>
      </c>
      <c r="AB3367" t="s">
        <v>44</v>
      </c>
      <c r="AC3367" s="4"/>
      <c r="AD3367" s="4"/>
      <c r="AE3367" s="2">
        <v>0</v>
      </c>
      <c r="AF3367" s="4">
        <v>0</v>
      </c>
      <c r="AG3367" s="2">
        <v>0.7</v>
      </c>
      <c r="AH3367" s="2">
        <v>235555.97</v>
      </c>
      <c r="AI3367" s="2">
        <v>0</v>
      </c>
      <c r="AJ3367" s="5">
        <v>44673</v>
      </c>
      <c r="AK3367" t="s">
        <v>12656</v>
      </c>
      <c r="AL3367" s="2">
        <v>0</v>
      </c>
      <c r="AM3367" s="2">
        <v>0</v>
      </c>
      <c r="AN3367" s="2">
        <v>0</v>
      </c>
      <c r="AO3367" t="s">
        <v>44</v>
      </c>
      <c r="AP3367" t="s">
        <v>1276</v>
      </c>
      <c r="AQ3367" t="s">
        <v>5955</v>
      </c>
    </row>
    <row r="3368" spans="1:43" x14ac:dyDescent="0.2">
      <c r="A3368" t="s">
        <v>12655</v>
      </c>
      <c r="B3368" t="s">
        <v>11037</v>
      </c>
      <c r="C3368" t="s">
        <v>11296</v>
      </c>
      <c r="D3368" t="s">
        <v>6200</v>
      </c>
      <c r="E3368" t="s">
        <v>5051</v>
      </c>
      <c r="F3368" t="s">
        <v>6200</v>
      </c>
      <c r="G3368" s="1">
        <v>1422</v>
      </c>
      <c r="H3368" s="2">
        <v>105211.9</v>
      </c>
      <c r="I3368" s="2">
        <v>97549.2</v>
      </c>
      <c r="J3368" s="2">
        <v>0</v>
      </c>
      <c r="K3368" s="2">
        <v>0</v>
      </c>
      <c r="L3368" s="2">
        <v>97549.2</v>
      </c>
      <c r="M3368" s="3">
        <v>6860</v>
      </c>
      <c r="N3368" s="4">
        <v>2.2193000000000001E-4</v>
      </c>
      <c r="O3368" s="5" t="s">
        <v>44</v>
      </c>
      <c r="P3368" s="5" t="s">
        <v>44</v>
      </c>
      <c r="Q3368" s="1"/>
      <c r="R3368" s="2"/>
      <c r="S3368" s="6"/>
      <c r="T3368" t="s">
        <v>10902</v>
      </c>
      <c r="U3368" t="s">
        <v>10902</v>
      </c>
      <c r="V3368" t="s">
        <v>10902</v>
      </c>
      <c r="W3368" t="s">
        <v>43</v>
      </c>
      <c r="X3368" t="s">
        <v>11300</v>
      </c>
      <c r="Y3368" t="s">
        <v>11299</v>
      </c>
      <c r="Z3368" t="s">
        <v>11296</v>
      </c>
      <c r="AA3368" t="s">
        <v>44</v>
      </c>
      <c r="AB3368" t="s">
        <v>44</v>
      </c>
      <c r="AC3368" s="4"/>
      <c r="AD3368" s="4"/>
      <c r="AE3368" s="2">
        <v>0</v>
      </c>
      <c r="AF3368" s="4">
        <v>0</v>
      </c>
      <c r="AG3368" s="2">
        <v>0.28999999999999998</v>
      </c>
      <c r="AH3368" s="2">
        <v>97549.2</v>
      </c>
      <c r="AI3368" s="2">
        <v>0</v>
      </c>
      <c r="AJ3368" s="5">
        <v>44673</v>
      </c>
      <c r="AK3368" t="s">
        <v>12656</v>
      </c>
      <c r="AL3368" s="2">
        <v>0</v>
      </c>
      <c r="AM3368" s="2">
        <v>0</v>
      </c>
      <c r="AN3368" s="2">
        <v>0</v>
      </c>
      <c r="AO3368" t="s">
        <v>44</v>
      </c>
      <c r="AP3368" t="s">
        <v>11301</v>
      </c>
      <c r="AQ3368" t="s">
        <v>5051</v>
      </c>
    </row>
    <row r="3369" spans="1:43" x14ac:dyDescent="0.2">
      <c r="A3369" t="s">
        <v>12655</v>
      </c>
      <c r="B3369" t="s">
        <v>11037</v>
      </c>
      <c r="C3369" t="s">
        <v>11296</v>
      </c>
      <c r="D3369" t="s">
        <v>11682</v>
      </c>
      <c r="E3369" t="s">
        <v>4951</v>
      </c>
      <c r="F3369" t="s">
        <v>11682</v>
      </c>
      <c r="G3369" s="1">
        <v>1249</v>
      </c>
      <c r="H3369" s="2">
        <v>757675.14</v>
      </c>
      <c r="I3369" s="2">
        <v>838890.85</v>
      </c>
      <c r="J3369" s="2">
        <v>0</v>
      </c>
      <c r="K3369" s="2">
        <v>13417.72</v>
      </c>
      <c r="L3369" s="2">
        <v>852308.57</v>
      </c>
      <c r="M3369" s="3">
        <v>67165</v>
      </c>
      <c r="N3369" s="4">
        <v>1.9390900000000001E-3</v>
      </c>
      <c r="O3369" s="5" t="s">
        <v>44</v>
      </c>
      <c r="P3369" s="5" t="s">
        <v>44</v>
      </c>
      <c r="Q3369" s="1"/>
      <c r="R3369" s="2"/>
      <c r="S3369" s="6"/>
      <c r="T3369" t="s">
        <v>10902</v>
      </c>
      <c r="U3369" t="s">
        <v>10902</v>
      </c>
      <c r="V3369" t="s">
        <v>10902</v>
      </c>
      <c r="W3369" t="s">
        <v>43</v>
      </c>
      <c r="X3369" t="s">
        <v>11683</v>
      </c>
      <c r="Y3369" t="s">
        <v>11684</v>
      </c>
      <c r="Z3369" t="s">
        <v>11296</v>
      </c>
      <c r="AA3369" t="s">
        <v>44</v>
      </c>
      <c r="AB3369" t="s">
        <v>44</v>
      </c>
      <c r="AC3369" s="4"/>
      <c r="AD3369" s="4"/>
      <c r="AE3369" s="2">
        <v>0</v>
      </c>
      <c r="AF3369" s="4">
        <v>0</v>
      </c>
      <c r="AG3369" s="2">
        <v>2.54</v>
      </c>
      <c r="AH3369" s="2">
        <v>852308.57</v>
      </c>
      <c r="AI3369" s="2">
        <v>0</v>
      </c>
      <c r="AJ3369" s="5">
        <v>44673</v>
      </c>
      <c r="AK3369" t="s">
        <v>12656</v>
      </c>
      <c r="AL3369" s="2">
        <v>0</v>
      </c>
      <c r="AM3369" s="2">
        <v>0</v>
      </c>
      <c r="AN3369" s="2">
        <v>0</v>
      </c>
      <c r="AO3369" t="s">
        <v>44</v>
      </c>
      <c r="AP3369" t="s">
        <v>819</v>
      </c>
      <c r="AQ3369" t="s">
        <v>4951</v>
      </c>
    </row>
    <row r="3370" spans="1:43" x14ac:dyDescent="0.2">
      <c r="A3370" t="s">
        <v>12655</v>
      </c>
      <c r="B3370" t="s">
        <v>11037</v>
      </c>
      <c r="C3370" t="s">
        <v>11296</v>
      </c>
      <c r="D3370" t="s">
        <v>11685</v>
      </c>
      <c r="E3370" t="s">
        <v>1942</v>
      </c>
      <c r="F3370" t="s">
        <v>11686</v>
      </c>
      <c r="G3370" s="1">
        <v>24245</v>
      </c>
      <c r="H3370" s="2">
        <v>3102844.45</v>
      </c>
      <c r="I3370" s="2">
        <v>4651403.25</v>
      </c>
      <c r="J3370" s="2">
        <v>0</v>
      </c>
      <c r="K3370" s="2">
        <v>0</v>
      </c>
      <c r="L3370" s="2">
        <v>4651403.25</v>
      </c>
      <c r="M3370" s="3">
        <v>19185</v>
      </c>
      <c r="N3370" s="4">
        <v>1.058244E-2</v>
      </c>
      <c r="O3370" s="5" t="s">
        <v>44</v>
      </c>
      <c r="P3370" s="5" t="s">
        <v>44</v>
      </c>
      <c r="Q3370" s="1"/>
      <c r="R3370" s="2"/>
      <c r="S3370" s="6"/>
      <c r="T3370" t="s">
        <v>10902</v>
      </c>
      <c r="U3370" t="s">
        <v>10902</v>
      </c>
      <c r="V3370" t="s">
        <v>10902</v>
      </c>
      <c r="W3370" t="s">
        <v>43</v>
      </c>
      <c r="X3370" t="s">
        <v>11687</v>
      </c>
      <c r="Y3370" t="s">
        <v>11684</v>
      </c>
      <c r="Z3370" t="s">
        <v>11296</v>
      </c>
      <c r="AA3370" t="s">
        <v>44</v>
      </c>
      <c r="AB3370" t="s">
        <v>44</v>
      </c>
      <c r="AC3370" s="4"/>
      <c r="AD3370" s="4"/>
      <c r="AE3370" s="2">
        <v>0</v>
      </c>
      <c r="AF3370" s="4">
        <v>0</v>
      </c>
      <c r="AG3370" s="2">
        <v>13.87</v>
      </c>
      <c r="AH3370" s="2">
        <v>4651403.25</v>
      </c>
      <c r="AI3370" s="2">
        <v>0.01</v>
      </c>
      <c r="AJ3370" s="5">
        <v>44673</v>
      </c>
      <c r="AK3370" t="s">
        <v>12656</v>
      </c>
      <c r="AL3370" s="2">
        <v>0</v>
      </c>
      <c r="AM3370" s="2">
        <v>0</v>
      </c>
      <c r="AN3370" s="2">
        <v>0</v>
      </c>
      <c r="AO3370" t="s">
        <v>44</v>
      </c>
      <c r="AP3370" t="s">
        <v>11688</v>
      </c>
      <c r="AQ3370" t="s">
        <v>1942</v>
      </c>
    </row>
    <row r="3371" spans="1:43" x14ac:dyDescent="0.2">
      <c r="A3371" t="s">
        <v>12655</v>
      </c>
      <c r="B3371" t="s">
        <v>11037</v>
      </c>
      <c r="C3371" t="s">
        <v>11296</v>
      </c>
      <c r="D3371" t="s">
        <v>6458</v>
      </c>
      <c r="E3371" t="s">
        <v>5402</v>
      </c>
      <c r="F3371" t="s">
        <v>11302</v>
      </c>
      <c r="G3371" s="1">
        <v>342</v>
      </c>
      <c r="H3371" s="2">
        <v>39816.79</v>
      </c>
      <c r="I3371" s="2">
        <v>59166</v>
      </c>
      <c r="J3371" s="2">
        <v>0</v>
      </c>
      <c r="K3371" s="2">
        <v>0</v>
      </c>
      <c r="L3371" s="2">
        <v>59166</v>
      </c>
      <c r="M3371" s="3">
        <v>17300</v>
      </c>
      <c r="N3371" s="4">
        <v>1.3460999999999999E-4</v>
      </c>
      <c r="O3371" s="5" t="s">
        <v>44</v>
      </c>
      <c r="P3371" s="5" t="s">
        <v>44</v>
      </c>
      <c r="Q3371" s="1"/>
      <c r="R3371" s="2"/>
      <c r="S3371" s="6"/>
      <c r="T3371" t="s">
        <v>10902</v>
      </c>
      <c r="U3371" t="s">
        <v>10902</v>
      </c>
      <c r="V3371" t="s">
        <v>10902</v>
      </c>
      <c r="W3371" t="s">
        <v>43</v>
      </c>
      <c r="X3371" t="s">
        <v>11298</v>
      </c>
      <c r="Y3371" t="s">
        <v>11299</v>
      </c>
      <c r="Z3371" t="s">
        <v>11296</v>
      </c>
      <c r="AA3371" t="s">
        <v>44</v>
      </c>
      <c r="AB3371" t="s">
        <v>44</v>
      </c>
      <c r="AC3371" s="4"/>
      <c r="AD3371" s="4"/>
      <c r="AE3371" s="2">
        <v>0</v>
      </c>
      <c r="AF3371" s="4">
        <v>0</v>
      </c>
      <c r="AG3371" s="2">
        <v>0.18</v>
      </c>
      <c r="AH3371" s="2">
        <v>59166</v>
      </c>
      <c r="AI3371" s="2">
        <v>0</v>
      </c>
      <c r="AJ3371" s="5">
        <v>44673</v>
      </c>
      <c r="AK3371" t="s">
        <v>12656</v>
      </c>
      <c r="AL3371" s="2">
        <v>0</v>
      </c>
      <c r="AM3371" s="2">
        <v>0</v>
      </c>
      <c r="AN3371" s="2">
        <v>0</v>
      </c>
      <c r="AO3371" t="s">
        <v>44</v>
      </c>
      <c r="AP3371" t="s">
        <v>11303</v>
      </c>
      <c r="AQ3371" t="s">
        <v>5402</v>
      </c>
    </row>
    <row r="3372" spans="1:43" x14ac:dyDescent="0.2">
      <c r="A3372" t="s">
        <v>12655</v>
      </c>
      <c r="B3372" t="s">
        <v>11037</v>
      </c>
      <c r="C3372" t="s">
        <v>11296</v>
      </c>
      <c r="D3372" t="s">
        <v>6137</v>
      </c>
      <c r="E3372" t="s">
        <v>4926</v>
      </c>
      <c r="F3372" t="s">
        <v>6137</v>
      </c>
      <c r="G3372" s="1">
        <v>701</v>
      </c>
      <c r="H3372" s="2">
        <v>143840.6</v>
      </c>
      <c r="I3372" s="2">
        <v>109173.74</v>
      </c>
      <c r="J3372" s="2">
        <v>0</v>
      </c>
      <c r="K3372" s="2">
        <v>0</v>
      </c>
      <c r="L3372" s="2">
        <v>109173.74</v>
      </c>
      <c r="M3372" s="3">
        <v>15574</v>
      </c>
      <c r="N3372" s="4">
        <v>2.4837999999999998E-4</v>
      </c>
      <c r="O3372" s="5" t="s">
        <v>44</v>
      </c>
      <c r="P3372" s="5" t="s">
        <v>44</v>
      </c>
      <c r="Q3372" s="1"/>
      <c r="R3372" s="2"/>
      <c r="S3372" s="6"/>
      <c r="T3372" t="s">
        <v>10902</v>
      </c>
      <c r="U3372" t="s">
        <v>10902</v>
      </c>
      <c r="V3372" t="s">
        <v>10902</v>
      </c>
      <c r="W3372" t="s">
        <v>43</v>
      </c>
      <c r="X3372" t="s">
        <v>11300</v>
      </c>
      <c r="Y3372" t="s">
        <v>11299</v>
      </c>
      <c r="Z3372" t="s">
        <v>11296</v>
      </c>
      <c r="AA3372" t="s">
        <v>44</v>
      </c>
      <c r="AB3372" t="s">
        <v>44</v>
      </c>
      <c r="AC3372" s="4"/>
      <c r="AD3372" s="4"/>
      <c r="AE3372" s="2">
        <v>0</v>
      </c>
      <c r="AF3372" s="4">
        <v>0</v>
      </c>
      <c r="AG3372" s="2">
        <v>0.33</v>
      </c>
      <c r="AH3372" s="2">
        <v>109173.74</v>
      </c>
      <c r="AI3372" s="2">
        <v>0</v>
      </c>
      <c r="AJ3372" s="5">
        <v>44673</v>
      </c>
      <c r="AK3372" t="s">
        <v>12656</v>
      </c>
      <c r="AL3372" s="2">
        <v>0</v>
      </c>
      <c r="AM3372" s="2">
        <v>0</v>
      </c>
      <c r="AN3372" s="2">
        <v>0</v>
      </c>
      <c r="AO3372" t="s">
        <v>44</v>
      </c>
      <c r="AP3372" t="s">
        <v>11304</v>
      </c>
      <c r="AQ3372" t="s">
        <v>4926</v>
      </c>
    </row>
    <row r="3373" spans="1:43" x14ac:dyDescent="0.2">
      <c r="A3373" t="s">
        <v>12655</v>
      </c>
      <c r="B3373" t="s">
        <v>11037</v>
      </c>
      <c r="C3373" t="s">
        <v>11305</v>
      </c>
      <c r="D3373" t="s">
        <v>11689</v>
      </c>
      <c r="E3373" t="s">
        <v>4998</v>
      </c>
      <c r="F3373" t="s">
        <v>11689</v>
      </c>
      <c r="G3373" s="1">
        <v>1771</v>
      </c>
      <c r="H3373" s="2">
        <v>515512.75</v>
      </c>
      <c r="I3373" s="2">
        <v>584430</v>
      </c>
      <c r="J3373" s="2">
        <v>0</v>
      </c>
      <c r="K3373" s="2">
        <v>0</v>
      </c>
      <c r="L3373" s="2">
        <v>584430</v>
      </c>
      <c r="M3373" s="3">
        <v>33000</v>
      </c>
      <c r="N3373" s="4">
        <v>1.32964E-3</v>
      </c>
      <c r="O3373" s="5" t="s">
        <v>44</v>
      </c>
      <c r="P3373" s="5" t="s">
        <v>44</v>
      </c>
      <c r="Q3373" s="1"/>
      <c r="R3373" s="2"/>
      <c r="S3373" s="6"/>
      <c r="T3373" t="s">
        <v>10902</v>
      </c>
      <c r="U3373" t="s">
        <v>10902</v>
      </c>
      <c r="V3373" t="s">
        <v>10902</v>
      </c>
      <c r="W3373" t="s">
        <v>43</v>
      </c>
      <c r="X3373" t="s">
        <v>11310</v>
      </c>
      <c r="Y3373" t="s">
        <v>11307</v>
      </c>
      <c r="Z3373" t="s">
        <v>11305</v>
      </c>
      <c r="AA3373" t="s">
        <v>44</v>
      </c>
      <c r="AB3373" t="s">
        <v>44</v>
      </c>
      <c r="AC3373" s="4"/>
      <c r="AD3373" s="4"/>
      <c r="AE3373" s="2">
        <v>0</v>
      </c>
      <c r="AF3373" s="4">
        <v>0</v>
      </c>
      <c r="AG3373" s="2">
        <v>1.74</v>
      </c>
      <c r="AH3373" s="2">
        <v>584430</v>
      </c>
      <c r="AI3373" s="2">
        <v>0</v>
      </c>
      <c r="AJ3373" s="5">
        <v>44673</v>
      </c>
      <c r="AK3373" t="s">
        <v>12656</v>
      </c>
      <c r="AL3373" s="2">
        <v>0</v>
      </c>
      <c r="AM3373" s="2">
        <v>0</v>
      </c>
      <c r="AN3373" s="2">
        <v>0</v>
      </c>
      <c r="AO3373" t="s">
        <v>44</v>
      </c>
      <c r="AP3373" t="s">
        <v>11690</v>
      </c>
      <c r="AQ3373" t="s">
        <v>4998</v>
      </c>
    </row>
    <row r="3374" spans="1:43" x14ac:dyDescent="0.2">
      <c r="A3374" t="s">
        <v>12655</v>
      </c>
      <c r="B3374" t="s">
        <v>11037</v>
      </c>
      <c r="C3374" t="s">
        <v>11305</v>
      </c>
      <c r="D3374" t="s">
        <v>11691</v>
      </c>
      <c r="E3374" t="s">
        <v>4964</v>
      </c>
      <c r="F3374" t="s">
        <v>11691</v>
      </c>
      <c r="G3374" s="1">
        <v>994</v>
      </c>
      <c r="H3374" s="2">
        <v>227615.3</v>
      </c>
      <c r="I3374" s="2">
        <v>315088.06</v>
      </c>
      <c r="J3374" s="2">
        <v>0</v>
      </c>
      <c r="K3374" s="2">
        <v>0</v>
      </c>
      <c r="L3374" s="2">
        <v>315088.06</v>
      </c>
      <c r="M3374" s="3">
        <v>31699</v>
      </c>
      <c r="N3374" s="4">
        <v>7.1686000000000004E-4</v>
      </c>
      <c r="O3374" s="5" t="s">
        <v>44</v>
      </c>
      <c r="P3374" s="5" t="s">
        <v>44</v>
      </c>
      <c r="Q3374" s="1"/>
      <c r="R3374" s="2"/>
      <c r="S3374" s="6"/>
      <c r="T3374" t="s">
        <v>10902</v>
      </c>
      <c r="U3374" t="s">
        <v>10902</v>
      </c>
      <c r="V3374" t="s">
        <v>10902</v>
      </c>
      <c r="W3374" t="s">
        <v>43</v>
      </c>
      <c r="X3374" t="s">
        <v>11310</v>
      </c>
      <c r="Y3374" t="s">
        <v>11307</v>
      </c>
      <c r="Z3374" t="s">
        <v>11305</v>
      </c>
      <c r="AA3374" t="s">
        <v>44</v>
      </c>
      <c r="AB3374" t="s">
        <v>44</v>
      </c>
      <c r="AC3374" s="4"/>
      <c r="AD3374" s="4"/>
      <c r="AE3374" s="2">
        <v>0</v>
      </c>
      <c r="AF3374" s="4">
        <v>0</v>
      </c>
      <c r="AG3374" s="2">
        <v>0.94</v>
      </c>
      <c r="AH3374" s="2">
        <v>315088.06</v>
      </c>
      <c r="AI3374" s="2">
        <v>0</v>
      </c>
      <c r="AJ3374" s="5">
        <v>44673</v>
      </c>
      <c r="AK3374" t="s">
        <v>12656</v>
      </c>
      <c r="AL3374" s="2">
        <v>0</v>
      </c>
      <c r="AM3374" s="2">
        <v>0</v>
      </c>
      <c r="AN3374" s="2">
        <v>0</v>
      </c>
      <c r="AO3374" t="s">
        <v>44</v>
      </c>
      <c r="AP3374" t="s">
        <v>11692</v>
      </c>
      <c r="AQ3374" t="s">
        <v>4964</v>
      </c>
    </row>
    <row r="3375" spans="1:43" x14ac:dyDescent="0.2">
      <c r="A3375" t="s">
        <v>12655</v>
      </c>
      <c r="B3375" t="s">
        <v>11037</v>
      </c>
      <c r="C3375" t="s">
        <v>11305</v>
      </c>
      <c r="D3375" t="s">
        <v>11309</v>
      </c>
      <c r="E3375" t="s">
        <v>5389</v>
      </c>
      <c r="F3375" t="s">
        <v>11309</v>
      </c>
      <c r="G3375" s="1">
        <v>1504</v>
      </c>
      <c r="H3375" s="2">
        <v>35277.81</v>
      </c>
      <c r="I3375" s="2">
        <v>56610.559999999998</v>
      </c>
      <c r="J3375" s="2">
        <v>0</v>
      </c>
      <c r="K3375" s="2">
        <v>0</v>
      </c>
      <c r="L3375" s="2">
        <v>56610.559999999998</v>
      </c>
      <c r="M3375" s="3">
        <v>3764</v>
      </c>
      <c r="N3375" s="4">
        <v>1.2879999999999999E-4</v>
      </c>
      <c r="O3375" s="5" t="s">
        <v>44</v>
      </c>
      <c r="P3375" s="5" t="s">
        <v>44</v>
      </c>
      <c r="Q3375" s="1"/>
      <c r="R3375" s="2"/>
      <c r="S3375" s="6"/>
      <c r="T3375" t="s">
        <v>10902</v>
      </c>
      <c r="U3375" t="s">
        <v>10902</v>
      </c>
      <c r="V3375" t="s">
        <v>10902</v>
      </c>
      <c r="W3375" t="s">
        <v>43</v>
      </c>
      <c r="X3375" t="s">
        <v>11310</v>
      </c>
      <c r="Y3375" t="s">
        <v>11307</v>
      </c>
      <c r="Z3375" t="s">
        <v>11305</v>
      </c>
      <c r="AA3375" t="s">
        <v>44</v>
      </c>
      <c r="AB3375" t="s">
        <v>44</v>
      </c>
      <c r="AC3375" s="4"/>
      <c r="AD3375" s="4"/>
      <c r="AE3375" s="2">
        <v>0</v>
      </c>
      <c r="AF3375" s="4">
        <v>0</v>
      </c>
      <c r="AG3375" s="2">
        <v>0.17</v>
      </c>
      <c r="AH3375" s="2">
        <v>56610.559999999998</v>
      </c>
      <c r="AI3375" s="2">
        <v>0</v>
      </c>
      <c r="AJ3375" s="5">
        <v>44673</v>
      </c>
      <c r="AK3375" t="s">
        <v>12656</v>
      </c>
      <c r="AL3375" s="2">
        <v>0</v>
      </c>
      <c r="AM3375" s="2">
        <v>0</v>
      </c>
      <c r="AN3375" s="2">
        <v>0</v>
      </c>
      <c r="AO3375" t="s">
        <v>44</v>
      </c>
      <c r="AP3375" t="s">
        <v>11311</v>
      </c>
      <c r="AQ3375" t="s">
        <v>5389</v>
      </c>
    </row>
    <row r="3376" spans="1:43" x14ac:dyDescent="0.2">
      <c r="A3376" t="s">
        <v>12655</v>
      </c>
      <c r="B3376" t="s">
        <v>11037</v>
      </c>
      <c r="C3376" t="s">
        <v>11305</v>
      </c>
      <c r="D3376" t="s">
        <v>6372</v>
      </c>
      <c r="E3376" t="s">
        <v>6607</v>
      </c>
      <c r="F3376" t="s">
        <v>6372</v>
      </c>
      <c r="G3376" s="1">
        <v>714</v>
      </c>
      <c r="H3376" s="2">
        <v>62869.78</v>
      </c>
      <c r="I3376" s="2">
        <v>79775.22</v>
      </c>
      <c r="J3376" s="2">
        <v>0</v>
      </c>
      <c r="K3376" s="2">
        <v>0</v>
      </c>
      <c r="L3376" s="2">
        <v>79775.22</v>
      </c>
      <c r="M3376" s="3">
        <v>11173</v>
      </c>
      <c r="N3376" s="4">
        <v>1.8149999999999999E-4</v>
      </c>
      <c r="O3376" s="5" t="s">
        <v>44</v>
      </c>
      <c r="P3376" s="5" t="s">
        <v>44</v>
      </c>
      <c r="Q3376" s="1"/>
      <c r="R3376" s="2"/>
      <c r="S3376" s="6"/>
      <c r="T3376" t="s">
        <v>10902</v>
      </c>
      <c r="U3376" t="s">
        <v>10902</v>
      </c>
      <c r="V3376" t="s">
        <v>10902</v>
      </c>
      <c r="W3376" t="s">
        <v>43</v>
      </c>
      <c r="X3376" t="s">
        <v>11306</v>
      </c>
      <c r="Y3376" t="s">
        <v>11307</v>
      </c>
      <c r="Z3376" t="s">
        <v>11305</v>
      </c>
      <c r="AA3376" t="s">
        <v>44</v>
      </c>
      <c r="AB3376" t="s">
        <v>44</v>
      </c>
      <c r="AC3376" s="4"/>
      <c r="AD3376" s="4"/>
      <c r="AE3376" s="2">
        <v>0</v>
      </c>
      <c r="AF3376" s="4">
        <v>0</v>
      </c>
      <c r="AG3376" s="2">
        <v>0.24</v>
      </c>
      <c r="AH3376" s="2">
        <v>79775.22</v>
      </c>
      <c r="AI3376" s="2">
        <v>0</v>
      </c>
      <c r="AJ3376" s="5">
        <v>44673</v>
      </c>
      <c r="AK3376" t="s">
        <v>12656</v>
      </c>
      <c r="AL3376" s="2">
        <v>0</v>
      </c>
      <c r="AM3376" s="2">
        <v>0</v>
      </c>
      <c r="AN3376" s="2">
        <v>0</v>
      </c>
      <c r="AO3376" t="s">
        <v>44</v>
      </c>
      <c r="AP3376" t="s">
        <v>11313</v>
      </c>
      <c r="AQ3376" t="s">
        <v>6607</v>
      </c>
    </row>
    <row r="3377" spans="1:43" x14ac:dyDescent="0.2">
      <c r="A3377" t="s">
        <v>12655</v>
      </c>
      <c r="B3377" t="s">
        <v>11037</v>
      </c>
      <c r="C3377" t="s">
        <v>11305</v>
      </c>
      <c r="D3377" t="s">
        <v>6073</v>
      </c>
      <c r="E3377" t="s">
        <v>4984</v>
      </c>
      <c r="F3377" t="s">
        <v>6073</v>
      </c>
      <c r="G3377" s="1">
        <v>1352</v>
      </c>
      <c r="H3377" s="2">
        <v>217622.53</v>
      </c>
      <c r="I3377" s="2">
        <v>298386.40000000002</v>
      </c>
      <c r="J3377" s="2">
        <v>0</v>
      </c>
      <c r="K3377" s="2">
        <v>0</v>
      </c>
      <c r="L3377" s="2">
        <v>298386.40000000002</v>
      </c>
      <c r="M3377" s="3">
        <v>22070</v>
      </c>
      <c r="N3377" s="4">
        <v>6.7885999999999999E-4</v>
      </c>
      <c r="O3377" s="5" t="s">
        <v>44</v>
      </c>
      <c r="P3377" s="5" t="s">
        <v>44</v>
      </c>
      <c r="Q3377" s="1"/>
      <c r="R3377" s="2"/>
      <c r="S3377" s="6"/>
      <c r="T3377" t="s">
        <v>10902</v>
      </c>
      <c r="U3377" t="s">
        <v>10902</v>
      </c>
      <c r="V3377" t="s">
        <v>10902</v>
      </c>
      <c r="W3377" t="s">
        <v>43</v>
      </c>
      <c r="X3377" t="s">
        <v>11306</v>
      </c>
      <c r="Y3377" t="s">
        <v>11307</v>
      </c>
      <c r="Z3377" t="s">
        <v>11305</v>
      </c>
      <c r="AA3377" t="s">
        <v>44</v>
      </c>
      <c r="AB3377" t="s">
        <v>44</v>
      </c>
      <c r="AC3377" s="4"/>
      <c r="AD3377" s="4"/>
      <c r="AE3377" s="2">
        <v>0</v>
      </c>
      <c r="AF3377" s="4">
        <v>0</v>
      </c>
      <c r="AG3377" s="2">
        <v>0.89</v>
      </c>
      <c r="AH3377" s="2">
        <v>298386.40000000002</v>
      </c>
      <c r="AI3377" s="2">
        <v>0</v>
      </c>
      <c r="AJ3377" s="5">
        <v>44673</v>
      </c>
      <c r="AK3377" t="s">
        <v>12656</v>
      </c>
      <c r="AL3377" s="2">
        <v>0</v>
      </c>
      <c r="AM3377" s="2">
        <v>0</v>
      </c>
      <c r="AN3377" s="2">
        <v>0</v>
      </c>
      <c r="AO3377" t="s">
        <v>44</v>
      </c>
      <c r="AP3377" t="s">
        <v>11693</v>
      </c>
      <c r="AQ3377" t="s">
        <v>4984</v>
      </c>
    </row>
    <row r="3378" spans="1:43" x14ac:dyDescent="0.2">
      <c r="A3378" t="s">
        <v>12655</v>
      </c>
      <c r="B3378" t="s">
        <v>11037</v>
      </c>
      <c r="C3378" t="s">
        <v>11305</v>
      </c>
      <c r="D3378" t="s">
        <v>11694</v>
      </c>
      <c r="E3378" t="s">
        <v>6518</v>
      </c>
      <c r="F3378" t="s">
        <v>11694</v>
      </c>
      <c r="G3378" s="1">
        <v>1701</v>
      </c>
      <c r="H3378" s="2">
        <v>194161.79</v>
      </c>
      <c r="I3378" s="2">
        <v>218850.66</v>
      </c>
      <c r="J3378" s="2">
        <v>0</v>
      </c>
      <c r="K3378" s="2">
        <v>0</v>
      </c>
      <c r="L3378" s="2">
        <v>218850.66</v>
      </c>
      <c r="M3378" s="3">
        <v>12866</v>
      </c>
      <c r="N3378" s="4">
        <v>4.9790999999999995E-4</v>
      </c>
      <c r="O3378" s="5" t="s">
        <v>44</v>
      </c>
      <c r="P3378" s="5" t="s">
        <v>44</v>
      </c>
      <c r="Q3378" s="1"/>
      <c r="R3378" s="2"/>
      <c r="S3378" s="6"/>
      <c r="T3378" t="s">
        <v>10902</v>
      </c>
      <c r="U3378" t="s">
        <v>10902</v>
      </c>
      <c r="V3378" t="s">
        <v>10902</v>
      </c>
      <c r="W3378" t="s">
        <v>43</v>
      </c>
      <c r="X3378" t="s">
        <v>44</v>
      </c>
      <c r="Y3378" t="s">
        <v>11695</v>
      </c>
      <c r="Z3378" t="s">
        <v>11305</v>
      </c>
      <c r="AA3378" t="s">
        <v>44</v>
      </c>
      <c r="AB3378" t="s">
        <v>44</v>
      </c>
      <c r="AC3378" s="4"/>
      <c r="AD3378" s="4"/>
      <c r="AE3378" s="2">
        <v>0</v>
      </c>
      <c r="AF3378" s="4">
        <v>0</v>
      </c>
      <c r="AG3378" s="2">
        <v>0.65</v>
      </c>
      <c r="AH3378" s="2">
        <v>218850.66</v>
      </c>
      <c r="AI3378" s="2">
        <v>0</v>
      </c>
      <c r="AJ3378" s="5">
        <v>44673</v>
      </c>
      <c r="AK3378" t="s">
        <v>12656</v>
      </c>
      <c r="AL3378" s="2">
        <v>0</v>
      </c>
      <c r="AM3378" s="2">
        <v>0</v>
      </c>
      <c r="AN3378" s="2">
        <v>0</v>
      </c>
      <c r="AO3378" t="s">
        <v>44</v>
      </c>
      <c r="AP3378" t="s">
        <v>11696</v>
      </c>
      <c r="AQ3378" t="s">
        <v>6518</v>
      </c>
    </row>
    <row r="3379" spans="1:43" x14ac:dyDescent="0.2">
      <c r="A3379" t="s">
        <v>12655</v>
      </c>
      <c r="B3379" t="s">
        <v>11037</v>
      </c>
      <c r="C3379" t="s">
        <v>11305</v>
      </c>
      <c r="D3379" t="s">
        <v>11314</v>
      </c>
      <c r="E3379" t="s">
        <v>6750</v>
      </c>
      <c r="F3379" t="s">
        <v>11314</v>
      </c>
      <c r="G3379" s="1">
        <v>7415</v>
      </c>
      <c r="H3379" s="2">
        <v>127130.55</v>
      </c>
      <c r="I3379" s="2">
        <v>161721.15</v>
      </c>
      <c r="J3379" s="2">
        <v>0</v>
      </c>
      <c r="K3379" s="2">
        <v>0</v>
      </c>
      <c r="L3379" s="2">
        <v>161721.15</v>
      </c>
      <c r="M3379" s="3">
        <v>2181</v>
      </c>
      <c r="N3379" s="4">
        <v>3.6792999999999998E-4</v>
      </c>
      <c r="O3379" s="5" t="s">
        <v>44</v>
      </c>
      <c r="P3379" s="5" t="s">
        <v>44</v>
      </c>
      <c r="Q3379" s="1"/>
      <c r="R3379" s="2"/>
      <c r="S3379" s="6"/>
      <c r="T3379" t="s">
        <v>10902</v>
      </c>
      <c r="U3379" t="s">
        <v>10902</v>
      </c>
      <c r="V3379" t="s">
        <v>10902</v>
      </c>
      <c r="W3379" t="s">
        <v>43</v>
      </c>
      <c r="X3379" t="s">
        <v>11306</v>
      </c>
      <c r="Y3379" t="s">
        <v>11307</v>
      </c>
      <c r="Z3379" t="s">
        <v>11305</v>
      </c>
      <c r="AA3379" t="s">
        <v>44</v>
      </c>
      <c r="AB3379" t="s">
        <v>44</v>
      </c>
      <c r="AC3379" s="4"/>
      <c r="AD3379" s="4"/>
      <c r="AE3379" s="2">
        <v>0</v>
      </c>
      <c r="AF3379" s="4">
        <v>0</v>
      </c>
      <c r="AG3379" s="2">
        <v>0.48</v>
      </c>
      <c r="AH3379" s="2">
        <v>161721.15</v>
      </c>
      <c r="AI3379" s="2">
        <v>0</v>
      </c>
      <c r="AJ3379" s="5">
        <v>44673</v>
      </c>
      <c r="AK3379" t="s">
        <v>12656</v>
      </c>
      <c r="AL3379" s="2">
        <v>0</v>
      </c>
      <c r="AM3379" s="2">
        <v>0</v>
      </c>
      <c r="AN3379" s="2">
        <v>0</v>
      </c>
      <c r="AO3379" t="s">
        <v>44</v>
      </c>
      <c r="AP3379" t="s">
        <v>11315</v>
      </c>
      <c r="AQ3379" t="s">
        <v>6750</v>
      </c>
    </row>
    <row r="3380" spans="1:43" x14ac:dyDescent="0.2">
      <c r="A3380" t="s">
        <v>12655</v>
      </c>
      <c r="B3380" t="s">
        <v>11037</v>
      </c>
      <c r="C3380" t="s">
        <v>11305</v>
      </c>
      <c r="D3380" t="s">
        <v>11316</v>
      </c>
      <c r="E3380" t="s">
        <v>5173</v>
      </c>
      <c r="F3380" t="s">
        <v>11316</v>
      </c>
      <c r="G3380" s="1">
        <v>1477</v>
      </c>
      <c r="H3380" s="2">
        <v>82366.820000000007</v>
      </c>
      <c r="I3380" s="2">
        <v>88339.37</v>
      </c>
      <c r="J3380" s="2">
        <v>0</v>
      </c>
      <c r="K3380" s="2">
        <v>0</v>
      </c>
      <c r="L3380" s="2">
        <v>88339.37</v>
      </c>
      <c r="M3380" s="3">
        <v>5981</v>
      </c>
      <c r="N3380" s="4">
        <v>2.0097999999999999E-4</v>
      </c>
      <c r="O3380" s="5" t="s">
        <v>44</v>
      </c>
      <c r="P3380" s="5" t="s">
        <v>44</v>
      </c>
      <c r="Q3380" s="1"/>
      <c r="R3380" s="2"/>
      <c r="S3380" s="6"/>
      <c r="T3380" t="s">
        <v>10902</v>
      </c>
      <c r="U3380" t="s">
        <v>10902</v>
      </c>
      <c r="V3380" t="s">
        <v>10902</v>
      </c>
      <c r="W3380" t="s">
        <v>43</v>
      </c>
      <c r="X3380" t="s">
        <v>11310</v>
      </c>
      <c r="Y3380" t="s">
        <v>11307</v>
      </c>
      <c r="Z3380" t="s">
        <v>11305</v>
      </c>
      <c r="AA3380" t="s">
        <v>44</v>
      </c>
      <c r="AB3380" t="s">
        <v>44</v>
      </c>
      <c r="AC3380" s="4"/>
      <c r="AD3380" s="4"/>
      <c r="AE3380" s="2">
        <v>0</v>
      </c>
      <c r="AF3380" s="4">
        <v>0</v>
      </c>
      <c r="AG3380" s="2">
        <v>0.26</v>
      </c>
      <c r="AH3380" s="2">
        <v>88339.37</v>
      </c>
      <c r="AI3380" s="2">
        <v>0</v>
      </c>
      <c r="AJ3380" s="5">
        <v>44673</v>
      </c>
      <c r="AK3380" t="s">
        <v>12656</v>
      </c>
      <c r="AL3380" s="2">
        <v>0</v>
      </c>
      <c r="AM3380" s="2">
        <v>0</v>
      </c>
      <c r="AN3380" s="2">
        <v>0</v>
      </c>
      <c r="AO3380" t="s">
        <v>44</v>
      </c>
      <c r="AP3380" t="s">
        <v>11317</v>
      </c>
      <c r="AQ3380" t="s">
        <v>5173</v>
      </c>
    </row>
    <row r="3381" spans="1:43" x14ac:dyDescent="0.2">
      <c r="A3381" t="s">
        <v>12655</v>
      </c>
      <c r="B3381" t="s">
        <v>11037</v>
      </c>
      <c r="C3381" t="s">
        <v>11305</v>
      </c>
      <c r="D3381" t="s">
        <v>5981</v>
      </c>
      <c r="E3381" t="s">
        <v>4900</v>
      </c>
      <c r="F3381" t="s">
        <v>5981</v>
      </c>
      <c r="G3381" s="1">
        <v>2392</v>
      </c>
      <c r="H3381" s="2">
        <v>329087.5</v>
      </c>
      <c r="I3381" s="2">
        <v>571616.24</v>
      </c>
      <c r="J3381" s="2">
        <v>0</v>
      </c>
      <c r="K3381" s="2">
        <v>0</v>
      </c>
      <c r="L3381" s="2">
        <v>571616.24</v>
      </c>
      <c r="M3381" s="3">
        <v>23897</v>
      </c>
      <c r="N3381" s="4">
        <v>1.3004900000000001E-3</v>
      </c>
      <c r="O3381" s="5" t="s">
        <v>44</v>
      </c>
      <c r="P3381" s="5" t="s">
        <v>44</v>
      </c>
      <c r="Q3381" s="1"/>
      <c r="R3381" s="2"/>
      <c r="S3381" s="6"/>
      <c r="T3381" t="s">
        <v>10902</v>
      </c>
      <c r="U3381" t="s">
        <v>10902</v>
      </c>
      <c r="V3381" t="s">
        <v>10902</v>
      </c>
      <c r="W3381" t="s">
        <v>43</v>
      </c>
      <c r="X3381" t="s">
        <v>11310</v>
      </c>
      <c r="Y3381" t="s">
        <v>11307</v>
      </c>
      <c r="Z3381" t="s">
        <v>11305</v>
      </c>
      <c r="AA3381" t="s">
        <v>44</v>
      </c>
      <c r="AB3381" t="s">
        <v>44</v>
      </c>
      <c r="AC3381" s="4"/>
      <c r="AD3381" s="4"/>
      <c r="AE3381" s="2">
        <v>0</v>
      </c>
      <c r="AF3381" s="4">
        <v>0</v>
      </c>
      <c r="AG3381" s="2">
        <v>1.7</v>
      </c>
      <c r="AH3381" s="2">
        <v>571616.24</v>
      </c>
      <c r="AI3381" s="2">
        <v>0</v>
      </c>
      <c r="AJ3381" s="5">
        <v>44673</v>
      </c>
      <c r="AK3381" t="s">
        <v>12656</v>
      </c>
      <c r="AL3381" s="2">
        <v>0</v>
      </c>
      <c r="AM3381" s="2">
        <v>0</v>
      </c>
      <c r="AN3381" s="2">
        <v>0</v>
      </c>
      <c r="AO3381" t="s">
        <v>44</v>
      </c>
      <c r="AP3381" t="s">
        <v>11697</v>
      </c>
      <c r="AQ3381" t="s">
        <v>4900</v>
      </c>
    </row>
    <row r="3382" spans="1:43" x14ac:dyDescent="0.2">
      <c r="A3382" t="s">
        <v>12655</v>
      </c>
      <c r="B3382" t="s">
        <v>11037</v>
      </c>
      <c r="C3382" t="s">
        <v>11305</v>
      </c>
      <c r="D3382" t="s">
        <v>11318</v>
      </c>
      <c r="E3382" t="s">
        <v>4978</v>
      </c>
      <c r="F3382" t="s">
        <v>11318</v>
      </c>
      <c r="G3382" s="1">
        <v>1480</v>
      </c>
      <c r="H3382" s="2">
        <v>175848.78</v>
      </c>
      <c r="I3382" s="2">
        <v>206326.8</v>
      </c>
      <c r="J3382" s="2">
        <v>0</v>
      </c>
      <c r="K3382" s="2">
        <v>0</v>
      </c>
      <c r="L3382" s="2">
        <v>206326.8</v>
      </c>
      <c r="M3382" s="3">
        <v>13941</v>
      </c>
      <c r="N3382" s="4">
        <v>4.6942000000000002E-4</v>
      </c>
      <c r="O3382" s="5" t="s">
        <v>44</v>
      </c>
      <c r="P3382" s="5" t="s">
        <v>44</v>
      </c>
      <c r="Q3382" s="1"/>
      <c r="R3382" s="2"/>
      <c r="S3382" s="6"/>
      <c r="T3382" t="s">
        <v>10902</v>
      </c>
      <c r="U3382" t="s">
        <v>10902</v>
      </c>
      <c r="V3382" t="s">
        <v>10902</v>
      </c>
      <c r="W3382" t="s">
        <v>43</v>
      </c>
      <c r="X3382" t="s">
        <v>11306</v>
      </c>
      <c r="Y3382" t="s">
        <v>11307</v>
      </c>
      <c r="Z3382" t="s">
        <v>11305</v>
      </c>
      <c r="AA3382" t="s">
        <v>44</v>
      </c>
      <c r="AB3382" t="s">
        <v>44</v>
      </c>
      <c r="AC3382" s="4"/>
      <c r="AD3382" s="4"/>
      <c r="AE3382" s="2">
        <v>0</v>
      </c>
      <c r="AF3382" s="4">
        <v>0</v>
      </c>
      <c r="AG3382" s="2">
        <v>0.62</v>
      </c>
      <c r="AH3382" s="2">
        <v>206326.8</v>
      </c>
      <c r="AI3382" s="2">
        <v>0</v>
      </c>
      <c r="AJ3382" s="5">
        <v>44673</v>
      </c>
      <c r="AK3382" t="s">
        <v>12656</v>
      </c>
      <c r="AL3382" s="2">
        <v>0</v>
      </c>
      <c r="AM3382" s="2">
        <v>0</v>
      </c>
      <c r="AN3382" s="2">
        <v>0</v>
      </c>
      <c r="AO3382" t="s">
        <v>44</v>
      </c>
      <c r="AP3382" t="s">
        <v>11319</v>
      </c>
      <c r="AQ3382" t="s">
        <v>4978</v>
      </c>
    </row>
    <row r="3383" spans="1:43" x14ac:dyDescent="0.2">
      <c r="A3383" t="s">
        <v>12655</v>
      </c>
      <c r="B3383" t="s">
        <v>11037</v>
      </c>
      <c r="C3383" t="s">
        <v>11305</v>
      </c>
      <c r="D3383" t="s">
        <v>11698</v>
      </c>
      <c r="E3383" t="s">
        <v>4919</v>
      </c>
      <c r="F3383" t="s">
        <v>11698</v>
      </c>
      <c r="G3383" s="1">
        <v>900</v>
      </c>
      <c r="H3383" s="2">
        <v>159114.34</v>
      </c>
      <c r="I3383" s="2">
        <v>149580</v>
      </c>
      <c r="J3383" s="2">
        <v>0</v>
      </c>
      <c r="K3383" s="2">
        <v>0</v>
      </c>
      <c r="L3383" s="2">
        <v>149580</v>
      </c>
      <c r="M3383" s="3">
        <v>16620</v>
      </c>
      <c r="N3383" s="4">
        <v>3.4031000000000003E-4</v>
      </c>
      <c r="O3383" s="5" t="s">
        <v>44</v>
      </c>
      <c r="P3383" s="5" t="s">
        <v>44</v>
      </c>
      <c r="Q3383" s="1"/>
      <c r="R3383" s="2"/>
      <c r="S3383" s="6"/>
      <c r="T3383" t="s">
        <v>10902</v>
      </c>
      <c r="U3383" t="s">
        <v>10902</v>
      </c>
      <c r="V3383" t="s">
        <v>10902</v>
      </c>
      <c r="W3383" t="s">
        <v>43</v>
      </c>
      <c r="X3383" t="s">
        <v>11310</v>
      </c>
      <c r="Y3383" t="s">
        <v>11307</v>
      </c>
      <c r="Z3383" t="s">
        <v>11305</v>
      </c>
      <c r="AA3383" t="s">
        <v>44</v>
      </c>
      <c r="AB3383" t="s">
        <v>44</v>
      </c>
      <c r="AC3383" s="4"/>
      <c r="AD3383" s="4"/>
      <c r="AE3383" s="2">
        <v>0</v>
      </c>
      <c r="AF3383" s="4">
        <v>0</v>
      </c>
      <c r="AG3383" s="2">
        <v>0.45</v>
      </c>
      <c r="AH3383" s="2">
        <v>149580</v>
      </c>
      <c r="AI3383" s="2">
        <v>0</v>
      </c>
      <c r="AJ3383" s="5">
        <v>44673</v>
      </c>
      <c r="AK3383" t="s">
        <v>12656</v>
      </c>
      <c r="AL3383" s="2">
        <v>0</v>
      </c>
      <c r="AM3383" s="2">
        <v>0</v>
      </c>
      <c r="AN3383" s="2">
        <v>0</v>
      </c>
      <c r="AO3383" t="s">
        <v>44</v>
      </c>
      <c r="AP3383" t="s">
        <v>11699</v>
      </c>
      <c r="AQ3383" t="s">
        <v>4919</v>
      </c>
    </row>
    <row r="3384" spans="1:43" x14ac:dyDescent="0.2">
      <c r="A3384" t="s">
        <v>12655</v>
      </c>
      <c r="B3384" t="s">
        <v>11037</v>
      </c>
      <c r="C3384" t="s">
        <v>11305</v>
      </c>
      <c r="D3384" t="s">
        <v>6224</v>
      </c>
      <c r="E3384" t="s">
        <v>3901</v>
      </c>
      <c r="F3384" t="s">
        <v>6224</v>
      </c>
      <c r="G3384" s="1">
        <v>1902</v>
      </c>
      <c r="H3384" s="2">
        <v>91674.74</v>
      </c>
      <c r="I3384" s="2">
        <v>105979.44</v>
      </c>
      <c r="J3384" s="2">
        <v>0</v>
      </c>
      <c r="K3384" s="2">
        <v>0</v>
      </c>
      <c r="L3384" s="2">
        <v>105979.44</v>
      </c>
      <c r="M3384" s="3">
        <v>5572</v>
      </c>
      <c r="N3384" s="4">
        <v>2.4111E-4</v>
      </c>
      <c r="O3384" s="5" t="s">
        <v>44</v>
      </c>
      <c r="P3384" s="5" t="s">
        <v>44</v>
      </c>
      <c r="Q3384" s="1"/>
      <c r="R3384" s="2"/>
      <c r="S3384" s="6"/>
      <c r="T3384" t="s">
        <v>10902</v>
      </c>
      <c r="U3384" t="s">
        <v>10902</v>
      </c>
      <c r="V3384" t="s">
        <v>10902</v>
      </c>
      <c r="W3384" t="s">
        <v>43</v>
      </c>
      <c r="X3384" t="s">
        <v>11306</v>
      </c>
      <c r="Y3384" t="s">
        <v>11307</v>
      </c>
      <c r="Z3384" t="s">
        <v>11305</v>
      </c>
      <c r="AA3384" t="s">
        <v>44</v>
      </c>
      <c r="AB3384" t="s">
        <v>44</v>
      </c>
      <c r="AC3384" s="4"/>
      <c r="AD3384" s="4"/>
      <c r="AE3384" s="2">
        <v>0</v>
      </c>
      <c r="AF3384" s="4">
        <v>0</v>
      </c>
      <c r="AG3384" s="2">
        <v>0.32</v>
      </c>
      <c r="AH3384" s="2">
        <v>105979.44</v>
      </c>
      <c r="AI3384" s="2">
        <v>0</v>
      </c>
      <c r="AJ3384" s="5">
        <v>44673</v>
      </c>
      <c r="AK3384" t="s">
        <v>12656</v>
      </c>
      <c r="AL3384" s="2">
        <v>0</v>
      </c>
      <c r="AM3384" s="2">
        <v>0</v>
      </c>
      <c r="AN3384" s="2">
        <v>0</v>
      </c>
      <c r="AO3384" t="s">
        <v>44</v>
      </c>
      <c r="AP3384" t="s">
        <v>11320</v>
      </c>
      <c r="AQ3384" t="s">
        <v>3901</v>
      </c>
    </row>
    <row r="3385" spans="1:43" x14ac:dyDescent="0.2">
      <c r="A3385" t="s">
        <v>12655</v>
      </c>
      <c r="B3385" t="s">
        <v>11037</v>
      </c>
      <c r="C3385" t="s">
        <v>11305</v>
      </c>
      <c r="D3385" t="s">
        <v>11700</v>
      </c>
      <c r="E3385" t="s">
        <v>4938</v>
      </c>
      <c r="F3385" t="s">
        <v>11700</v>
      </c>
      <c r="G3385" s="1">
        <v>4069</v>
      </c>
      <c r="H3385" s="2">
        <v>142954.49</v>
      </c>
      <c r="I3385" s="2">
        <v>242268.26</v>
      </c>
      <c r="J3385" s="2">
        <v>0</v>
      </c>
      <c r="K3385" s="2">
        <v>0</v>
      </c>
      <c r="L3385" s="2">
        <v>242268.26</v>
      </c>
      <c r="M3385" s="3">
        <v>5954</v>
      </c>
      <c r="N3385" s="4">
        <v>5.5119000000000001E-4</v>
      </c>
      <c r="O3385" s="5" t="s">
        <v>44</v>
      </c>
      <c r="P3385" s="5" t="s">
        <v>44</v>
      </c>
      <c r="Q3385" s="1"/>
      <c r="R3385" s="2"/>
      <c r="S3385" s="6"/>
      <c r="T3385" t="s">
        <v>10902</v>
      </c>
      <c r="U3385" t="s">
        <v>10902</v>
      </c>
      <c r="V3385" t="s">
        <v>10902</v>
      </c>
      <c r="W3385" t="s">
        <v>43</v>
      </c>
      <c r="X3385" t="s">
        <v>11306</v>
      </c>
      <c r="Y3385" t="s">
        <v>11307</v>
      </c>
      <c r="Z3385" t="s">
        <v>11305</v>
      </c>
      <c r="AA3385" t="s">
        <v>44</v>
      </c>
      <c r="AB3385" t="s">
        <v>44</v>
      </c>
      <c r="AC3385" s="4"/>
      <c r="AD3385" s="4"/>
      <c r="AE3385" s="2">
        <v>0</v>
      </c>
      <c r="AF3385" s="4">
        <v>0</v>
      </c>
      <c r="AG3385" s="2">
        <v>0.72</v>
      </c>
      <c r="AH3385" s="2">
        <v>242268.26</v>
      </c>
      <c r="AI3385" s="2">
        <v>0</v>
      </c>
      <c r="AJ3385" s="5">
        <v>44673</v>
      </c>
      <c r="AK3385" t="s">
        <v>12656</v>
      </c>
      <c r="AL3385" s="2">
        <v>0</v>
      </c>
      <c r="AM3385" s="2">
        <v>0</v>
      </c>
      <c r="AN3385" s="2">
        <v>0</v>
      </c>
      <c r="AO3385" t="s">
        <v>44</v>
      </c>
      <c r="AP3385" t="s">
        <v>11701</v>
      </c>
      <c r="AQ3385" t="s">
        <v>4938</v>
      </c>
    </row>
    <row r="3386" spans="1:43" x14ac:dyDescent="0.2">
      <c r="A3386" t="s">
        <v>12655</v>
      </c>
      <c r="B3386" t="s">
        <v>11037</v>
      </c>
      <c r="C3386" t="s">
        <v>11195</v>
      </c>
      <c r="D3386" t="s">
        <v>5925</v>
      </c>
      <c r="E3386" t="s">
        <v>5026</v>
      </c>
      <c r="F3386" t="s">
        <v>5925</v>
      </c>
      <c r="G3386" s="1">
        <v>3647</v>
      </c>
      <c r="H3386" s="2">
        <v>429108.09</v>
      </c>
      <c r="I3386" s="2">
        <v>605584.35</v>
      </c>
      <c r="J3386" s="2">
        <v>0</v>
      </c>
      <c r="K3386" s="2">
        <v>17323.25</v>
      </c>
      <c r="L3386" s="2">
        <v>622907.6</v>
      </c>
      <c r="M3386" s="3">
        <v>16605</v>
      </c>
      <c r="N3386" s="4">
        <v>1.4171800000000001E-3</v>
      </c>
      <c r="O3386" s="5" t="s">
        <v>44</v>
      </c>
      <c r="P3386" s="5" t="s">
        <v>44</v>
      </c>
      <c r="Q3386" s="1"/>
      <c r="R3386" s="2"/>
      <c r="S3386" s="6"/>
      <c r="T3386" t="s">
        <v>10902</v>
      </c>
      <c r="U3386" t="s">
        <v>10902</v>
      </c>
      <c r="V3386" t="s">
        <v>10902</v>
      </c>
      <c r="W3386" t="s">
        <v>43</v>
      </c>
      <c r="X3386" t="s">
        <v>11034</v>
      </c>
      <c r="Y3386" t="s">
        <v>11034</v>
      </c>
      <c r="Z3386" t="s">
        <v>11195</v>
      </c>
      <c r="AA3386" t="s">
        <v>44</v>
      </c>
      <c r="AB3386" t="s">
        <v>44</v>
      </c>
      <c r="AC3386" s="4"/>
      <c r="AD3386" s="4"/>
      <c r="AE3386" s="2">
        <v>0</v>
      </c>
      <c r="AF3386" s="4">
        <v>0</v>
      </c>
      <c r="AG3386" s="2">
        <v>1.86</v>
      </c>
      <c r="AH3386" s="2">
        <v>622907.6</v>
      </c>
      <c r="AI3386" s="2">
        <v>0</v>
      </c>
      <c r="AJ3386" s="5">
        <v>44673</v>
      </c>
      <c r="AK3386" t="s">
        <v>12656</v>
      </c>
      <c r="AL3386" s="2">
        <v>0</v>
      </c>
      <c r="AM3386" s="2">
        <v>0</v>
      </c>
      <c r="AN3386" s="2">
        <v>0</v>
      </c>
      <c r="AO3386" t="s">
        <v>44</v>
      </c>
      <c r="AP3386" t="s">
        <v>11702</v>
      </c>
      <c r="AQ3386" t="s">
        <v>5026</v>
      </c>
    </row>
    <row r="3387" spans="1:43" x14ac:dyDescent="0.2">
      <c r="A3387" t="s">
        <v>12655</v>
      </c>
      <c r="B3387" t="s">
        <v>11037</v>
      </c>
      <c r="C3387" t="s">
        <v>11195</v>
      </c>
      <c r="D3387" t="s">
        <v>6003</v>
      </c>
      <c r="E3387" t="s">
        <v>4789</v>
      </c>
      <c r="F3387" t="s">
        <v>6003</v>
      </c>
      <c r="G3387" s="1">
        <v>423</v>
      </c>
      <c r="H3387" s="2">
        <v>546992.75</v>
      </c>
      <c r="I3387" s="2">
        <v>906759.72</v>
      </c>
      <c r="J3387" s="2">
        <v>0</v>
      </c>
      <c r="K3387" s="2">
        <v>0</v>
      </c>
      <c r="L3387" s="2">
        <v>906759.72</v>
      </c>
      <c r="M3387" s="3">
        <v>214364</v>
      </c>
      <c r="N3387" s="4">
        <v>2.0629799999999998E-3</v>
      </c>
      <c r="O3387" s="5" t="s">
        <v>44</v>
      </c>
      <c r="P3387" s="5" t="s">
        <v>44</v>
      </c>
      <c r="Q3387" s="1"/>
      <c r="R3387" s="2"/>
      <c r="S3387" s="6"/>
      <c r="T3387" t="s">
        <v>10902</v>
      </c>
      <c r="U3387" t="s">
        <v>10902</v>
      </c>
      <c r="V3387" t="s">
        <v>10902</v>
      </c>
      <c r="W3387" t="s">
        <v>43</v>
      </c>
      <c r="X3387" t="s">
        <v>11034</v>
      </c>
      <c r="Y3387" t="s">
        <v>11034</v>
      </c>
      <c r="Z3387" t="s">
        <v>11195</v>
      </c>
      <c r="AA3387" t="s">
        <v>44</v>
      </c>
      <c r="AB3387" t="s">
        <v>44</v>
      </c>
      <c r="AC3387" s="4"/>
      <c r="AD3387" s="4"/>
      <c r="AE3387" s="2">
        <v>0</v>
      </c>
      <c r="AF3387" s="4">
        <v>0</v>
      </c>
      <c r="AG3387" s="2">
        <v>2.7</v>
      </c>
      <c r="AH3387" s="2">
        <v>906759.72</v>
      </c>
      <c r="AI3387" s="2">
        <v>0</v>
      </c>
      <c r="AJ3387" s="5">
        <v>44673</v>
      </c>
      <c r="AK3387" t="s">
        <v>12656</v>
      </c>
      <c r="AL3387" s="2">
        <v>0</v>
      </c>
      <c r="AM3387" s="2">
        <v>0</v>
      </c>
      <c r="AN3387" s="2">
        <v>0</v>
      </c>
      <c r="AO3387" t="s">
        <v>44</v>
      </c>
      <c r="AP3387" t="s">
        <v>11703</v>
      </c>
      <c r="AQ3387" t="s">
        <v>4789</v>
      </c>
    </row>
    <row r="3388" spans="1:43" x14ac:dyDescent="0.2">
      <c r="A3388" t="s">
        <v>12655</v>
      </c>
      <c r="B3388" t="s">
        <v>11037</v>
      </c>
      <c r="C3388" t="s">
        <v>11195</v>
      </c>
      <c r="D3388" t="s">
        <v>11704</v>
      </c>
      <c r="E3388" t="s">
        <v>3205</v>
      </c>
      <c r="F3388" t="s">
        <v>11704</v>
      </c>
      <c r="G3388" s="1">
        <v>1967</v>
      </c>
      <c r="H3388" s="2">
        <v>224102.18</v>
      </c>
      <c r="I3388" s="2">
        <v>323768.2</v>
      </c>
      <c r="J3388" s="2">
        <v>0</v>
      </c>
      <c r="K3388" s="2">
        <v>0</v>
      </c>
      <c r="L3388" s="2">
        <v>323768.2</v>
      </c>
      <c r="M3388" s="3">
        <v>16460</v>
      </c>
      <c r="N3388" s="4">
        <v>7.3660999999999996E-4</v>
      </c>
      <c r="O3388" s="5" t="s">
        <v>44</v>
      </c>
      <c r="P3388" s="5" t="s">
        <v>44</v>
      </c>
      <c r="Q3388" s="1"/>
      <c r="R3388" s="2"/>
      <c r="S3388" s="6"/>
      <c r="T3388" t="s">
        <v>10902</v>
      </c>
      <c r="U3388" t="s">
        <v>10902</v>
      </c>
      <c r="V3388" t="s">
        <v>10902</v>
      </c>
      <c r="W3388" t="s">
        <v>43</v>
      </c>
      <c r="X3388" t="s">
        <v>11334</v>
      </c>
      <c r="Y3388" t="s">
        <v>11335</v>
      </c>
      <c r="Z3388" t="s">
        <v>11195</v>
      </c>
      <c r="AA3388" t="s">
        <v>44</v>
      </c>
      <c r="AB3388" t="s">
        <v>44</v>
      </c>
      <c r="AC3388" s="4"/>
      <c r="AD3388" s="4"/>
      <c r="AE3388" s="2">
        <v>0</v>
      </c>
      <c r="AF3388" s="4">
        <v>0</v>
      </c>
      <c r="AG3388" s="2">
        <v>0.97</v>
      </c>
      <c r="AH3388" s="2">
        <v>323768.2</v>
      </c>
      <c r="AI3388" s="2">
        <v>0</v>
      </c>
      <c r="AJ3388" s="5">
        <v>44673</v>
      </c>
      <c r="AK3388" t="s">
        <v>12656</v>
      </c>
      <c r="AL3388" s="2">
        <v>0</v>
      </c>
      <c r="AM3388" s="2">
        <v>0</v>
      </c>
      <c r="AN3388" s="2">
        <v>0</v>
      </c>
      <c r="AO3388" t="s">
        <v>44</v>
      </c>
      <c r="AP3388" t="s">
        <v>11705</v>
      </c>
      <c r="AQ3388" t="s">
        <v>3205</v>
      </c>
    </row>
    <row r="3389" spans="1:43" x14ac:dyDescent="0.2">
      <c r="A3389" t="s">
        <v>12655</v>
      </c>
      <c r="B3389" t="s">
        <v>11037</v>
      </c>
      <c r="C3389" t="s">
        <v>11195</v>
      </c>
      <c r="D3389" t="s">
        <v>11196</v>
      </c>
      <c r="E3389" t="s">
        <v>5755</v>
      </c>
      <c r="F3389" t="s">
        <v>11196</v>
      </c>
      <c r="G3389" s="1">
        <v>2410</v>
      </c>
      <c r="H3389" s="2">
        <v>44837.33</v>
      </c>
      <c r="I3389" s="2">
        <v>52007.8</v>
      </c>
      <c r="J3389" s="2">
        <v>0</v>
      </c>
      <c r="K3389" s="2">
        <v>0</v>
      </c>
      <c r="L3389" s="2">
        <v>52007.8</v>
      </c>
      <c r="M3389" s="3">
        <v>2158</v>
      </c>
      <c r="N3389" s="4">
        <v>1.1832000000000001E-4</v>
      </c>
      <c r="O3389" s="5" t="s">
        <v>44</v>
      </c>
      <c r="P3389" s="5" t="s">
        <v>44</v>
      </c>
      <c r="Q3389" s="1"/>
      <c r="R3389" s="2"/>
      <c r="S3389" s="6"/>
      <c r="T3389" t="s">
        <v>10902</v>
      </c>
      <c r="U3389" t="s">
        <v>10902</v>
      </c>
      <c r="V3389" t="s">
        <v>10902</v>
      </c>
      <c r="W3389" t="s">
        <v>43</v>
      </c>
      <c r="X3389" t="s">
        <v>11197</v>
      </c>
      <c r="Y3389" t="s">
        <v>11198</v>
      </c>
      <c r="Z3389" t="s">
        <v>11195</v>
      </c>
      <c r="AA3389" t="s">
        <v>44</v>
      </c>
      <c r="AB3389" t="s">
        <v>44</v>
      </c>
      <c r="AC3389" s="4"/>
      <c r="AD3389" s="4"/>
      <c r="AE3389" s="2">
        <v>0</v>
      </c>
      <c r="AF3389" s="4">
        <v>0</v>
      </c>
      <c r="AG3389" s="2">
        <v>0.16</v>
      </c>
      <c r="AH3389" s="2">
        <v>52007.8</v>
      </c>
      <c r="AI3389" s="2">
        <v>0</v>
      </c>
      <c r="AJ3389" s="5">
        <v>44673</v>
      </c>
      <c r="AK3389" t="s">
        <v>12656</v>
      </c>
      <c r="AL3389" s="2">
        <v>0</v>
      </c>
      <c r="AM3389" s="2">
        <v>0</v>
      </c>
      <c r="AN3389" s="2">
        <v>0</v>
      </c>
      <c r="AO3389" t="s">
        <v>44</v>
      </c>
      <c r="AP3389" t="s">
        <v>11199</v>
      </c>
      <c r="AQ3389" t="s">
        <v>5755</v>
      </c>
    </row>
    <row r="3390" spans="1:43" x14ac:dyDescent="0.2">
      <c r="A3390" t="s">
        <v>12655</v>
      </c>
      <c r="B3390" t="s">
        <v>11037</v>
      </c>
      <c r="C3390" t="s">
        <v>11195</v>
      </c>
      <c r="D3390" t="s">
        <v>11706</v>
      </c>
      <c r="E3390" t="s">
        <v>4801</v>
      </c>
      <c r="F3390" t="s">
        <v>11706</v>
      </c>
      <c r="G3390" s="1">
        <v>24244</v>
      </c>
      <c r="H3390" s="2">
        <v>1206578.79</v>
      </c>
      <c r="I3390" s="2">
        <v>1686655.08</v>
      </c>
      <c r="J3390" s="2">
        <v>0</v>
      </c>
      <c r="K3390" s="2">
        <v>0</v>
      </c>
      <c r="L3390" s="2">
        <v>1686655.08</v>
      </c>
      <c r="M3390" s="3">
        <v>6957</v>
      </c>
      <c r="N3390" s="4">
        <v>3.83732E-3</v>
      </c>
      <c r="O3390" s="5" t="s">
        <v>44</v>
      </c>
      <c r="P3390" s="5" t="s">
        <v>44</v>
      </c>
      <c r="Q3390" s="1"/>
      <c r="R3390" s="2"/>
      <c r="S3390" s="6"/>
      <c r="T3390" t="s">
        <v>10902</v>
      </c>
      <c r="U3390" t="s">
        <v>10902</v>
      </c>
      <c r="V3390" t="s">
        <v>10902</v>
      </c>
      <c r="W3390" t="s">
        <v>43</v>
      </c>
      <c r="X3390" t="s">
        <v>11034</v>
      </c>
      <c r="Y3390" t="s">
        <v>11034</v>
      </c>
      <c r="Z3390" t="s">
        <v>11195</v>
      </c>
      <c r="AA3390" t="s">
        <v>44</v>
      </c>
      <c r="AB3390" t="s">
        <v>44</v>
      </c>
      <c r="AC3390" s="4"/>
      <c r="AD3390" s="4"/>
      <c r="AE3390" s="2">
        <v>0</v>
      </c>
      <c r="AF3390" s="4">
        <v>0</v>
      </c>
      <c r="AG3390" s="2">
        <v>5.03</v>
      </c>
      <c r="AH3390" s="2">
        <v>1686655.08</v>
      </c>
      <c r="AI3390" s="2">
        <v>0</v>
      </c>
      <c r="AJ3390" s="5">
        <v>44673</v>
      </c>
      <c r="AK3390" t="s">
        <v>12656</v>
      </c>
      <c r="AL3390" s="2">
        <v>0</v>
      </c>
      <c r="AM3390" s="2">
        <v>0</v>
      </c>
      <c r="AN3390" s="2">
        <v>0</v>
      </c>
      <c r="AO3390" t="s">
        <v>44</v>
      </c>
      <c r="AP3390" t="s">
        <v>11707</v>
      </c>
      <c r="AQ3390" t="s">
        <v>4801</v>
      </c>
    </row>
    <row r="3391" spans="1:43" x14ac:dyDescent="0.2">
      <c r="A3391" t="s">
        <v>12655</v>
      </c>
      <c r="B3391" t="s">
        <v>11037</v>
      </c>
      <c r="C3391" t="s">
        <v>11195</v>
      </c>
      <c r="D3391" t="s">
        <v>11200</v>
      </c>
      <c r="E3391" t="s">
        <v>5277</v>
      </c>
      <c r="F3391" t="s">
        <v>11200</v>
      </c>
      <c r="G3391" s="1">
        <v>5023</v>
      </c>
      <c r="H3391" s="2">
        <v>71099.759999999995</v>
      </c>
      <c r="I3391" s="2">
        <v>62636.81</v>
      </c>
      <c r="J3391" s="2">
        <v>0</v>
      </c>
      <c r="K3391" s="2">
        <v>0</v>
      </c>
      <c r="L3391" s="2">
        <v>62636.81</v>
      </c>
      <c r="M3391" s="3">
        <v>1247</v>
      </c>
      <c r="N3391" s="4">
        <v>1.4250999999999999E-4</v>
      </c>
      <c r="O3391" s="5" t="s">
        <v>44</v>
      </c>
      <c r="P3391" s="5" t="s">
        <v>44</v>
      </c>
      <c r="Q3391" s="1"/>
      <c r="R3391" s="2"/>
      <c r="S3391" s="6"/>
      <c r="T3391" t="s">
        <v>10902</v>
      </c>
      <c r="U3391" t="s">
        <v>10902</v>
      </c>
      <c r="V3391" t="s">
        <v>10902</v>
      </c>
      <c r="W3391" t="s">
        <v>43</v>
      </c>
      <c r="X3391" t="s">
        <v>11197</v>
      </c>
      <c r="Y3391" t="s">
        <v>11198</v>
      </c>
      <c r="Z3391" t="s">
        <v>11195</v>
      </c>
      <c r="AA3391" t="s">
        <v>44</v>
      </c>
      <c r="AB3391" t="s">
        <v>44</v>
      </c>
      <c r="AC3391" s="4"/>
      <c r="AD3391" s="4"/>
      <c r="AE3391" s="2">
        <v>0</v>
      </c>
      <c r="AF3391" s="4">
        <v>0</v>
      </c>
      <c r="AG3391" s="2">
        <v>0.19</v>
      </c>
      <c r="AH3391" s="2">
        <v>62636.81</v>
      </c>
      <c r="AI3391" s="2">
        <v>0</v>
      </c>
      <c r="AJ3391" s="5">
        <v>44673</v>
      </c>
      <c r="AK3391" t="s">
        <v>12656</v>
      </c>
      <c r="AL3391" s="2">
        <v>0</v>
      </c>
      <c r="AM3391" s="2">
        <v>0</v>
      </c>
      <c r="AN3391" s="2">
        <v>0</v>
      </c>
      <c r="AO3391" t="s">
        <v>44</v>
      </c>
      <c r="AP3391" t="s">
        <v>11201</v>
      </c>
      <c r="AQ3391" t="s">
        <v>5277</v>
      </c>
    </row>
    <row r="3392" spans="1:43" x14ac:dyDescent="0.2">
      <c r="A3392" t="s">
        <v>12655</v>
      </c>
      <c r="B3392" t="s">
        <v>11037</v>
      </c>
      <c r="C3392" t="s">
        <v>11195</v>
      </c>
      <c r="D3392" t="s">
        <v>5988</v>
      </c>
      <c r="E3392" t="s">
        <v>3145</v>
      </c>
      <c r="F3392" t="s">
        <v>5988</v>
      </c>
      <c r="G3392" s="1">
        <v>15996</v>
      </c>
      <c r="H3392" s="2">
        <v>221425.84</v>
      </c>
      <c r="I3392" s="2">
        <v>223944</v>
      </c>
      <c r="J3392" s="2">
        <v>0</v>
      </c>
      <c r="K3392" s="2">
        <v>0</v>
      </c>
      <c r="L3392" s="2">
        <v>223944</v>
      </c>
      <c r="M3392" s="3">
        <v>1400</v>
      </c>
      <c r="N3392" s="4">
        <v>5.0949999999999997E-4</v>
      </c>
      <c r="O3392" s="5" t="s">
        <v>44</v>
      </c>
      <c r="P3392" s="5" t="s">
        <v>44</v>
      </c>
      <c r="Q3392" s="1"/>
      <c r="R3392" s="2"/>
      <c r="S3392" s="6"/>
      <c r="T3392" t="s">
        <v>10902</v>
      </c>
      <c r="U3392" t="s">
        <v>10902</v>
      </c>
      <c r="V3392" t="s">
        <v>10902</v>
      </c>
      <c r="W3392" t="s">
        <v>43</v>
      </c>
      <c r="X3392" t="s">
        <v>11197</v>
      </c>
      <c r="Y3392" t="s">
        <v>11198</v>
      </c>
      <c r="Z3392" t="s">
        <v>11195</v>
      </c>
      <c r="AA3392" t="s">
        <v>44</v>
      </c>
      <c r="AB3392" t="s">
        <v>44</v>
      </c>
      <c r="AC3392" s="4"/>
      <c r="AD3392" s="4"/>
      <c r="AE3392" s="2">
        <v>0</v>
      </c>
      <c r="AF3392" s="4">
        <v>0</v>
      </c>
      <c r="AG3392" s="2">
        <v>0.67</v>
      </c>
      <c r="AH3392" s="2">
        <v>223944</v>
      </c>
      <c r="AI3392" s="2">
        <v>0</v>
      </c>
      <c r="AJ3392" s="5">
        <v>44673</v>
      </c>
      <c r="AK3392" t="s">
        <v>12656</v>
      </c>
      <c r="AL3392" s="2">
        <v>0</v>
      </c>
      <c r="AM3392" s="2">
        <v>0</v>
      </c>
      <c r="AN3392" s="2">
        <v>0</v>
      </c>
      <c r="AO3392" t="s">
        <v>44</v>
      </c>
      <c r="AP3392" t="s">
        <v>11202</v>
      </c>
      <c r="AQ3392" t="s">
        <v>3145</v>
      </c>
    </row>
    <row r="3393" spans="1:43" x14ac:dyDescent="0.2">
      <c r="A3393" t="s">
        <v>12655</v>
      </c>
      <c r="B3393" t="s">
        <v>11037</v>
      </c>
      <c r="C3393" t="s">
        <v>11195</v>
      </c>
      <c r="D3393" t="s">
        <v>11329</v>
      </c>
      <c r="E3393" t="s">
        <v>4814</v>
      </c>
      <c r="F3393" t="s">
        <v>11329</v>
      </c>
      <c r="G3393" s="1">
        <v>1339</v>
      </c>
      <c r="H3393" s="2">
        <v>48651.05</v>
      </c>
      <c r="I3393" s="2">
        <v>132721.68</v>
      </c>
      <c r="J3393" s="2">
        <v>0</v>
      </c>
      <c r="K3393" s="2">
        <v>0</v>
      </c>
      <c r="L3393" s="2">
        <v>132721.68</v>
      </c>
      <c r="M3393" s="3">
        <v>9912</v>
      </c>
      <c r="N3393" s="4">
        <v>3.0195999999999999E-4</v>
      </c>
      <c r="O3393" s="5" t="s">
        <v>44</v>
      </c>
      <c r="P3393" s="5" t="s">
        <v>44</v>
      </c>
      <c r="Q3393" s="1"/>
      <c r="R3393" s="2"/>
      <c r="S3393" s="6"/>
      <c r="T3393" t="s">
        <v>10902</v>
      </c>
      <c r="U3393" t="s">
        <v>10902</v>
      </c>
      <c r="V3393" t="s">
        <v>10902</v>
      </c>
      <c r="W3393" t="s">
        <v>43</v>
      </c>
      <c r="X3393" t="s">
        <v>11327</v>
      </c>
      <c r="Y3393" t="s">
        <v>11198</v>
      </c>
      <c r="Z3393" t="s">
        <v>11195</v>
      </c>
      <c r="AA3393" t="s">
        <v>44</v>
      </c>
      <c r="AB3393" t="s">
        <v>44</v>
      </c>
      <c r="AC3393" s="4"/>
      <c r="AD3393" s="4"/>
      <c r="AE3393" s="2">
        <v>0</v>
      </c>
      <c r="AF3393" s="4">
        <v>0</v>
      </c>
      <c r="AG3393" s="2">
        <v>0.4</v>
      </c>
      <c r="AH3393" s="2">
        <v>132721.68</v>
      </c>
      <c r="AI3393" s="2">
        <v>0</v>
      </c>
      <c r="AJ3393" s="5">
        <v>44673</v>
      </c>
      <c r="AK3393" t="s">
        <v>12656</v>
      </c>
      <c r="AL3393" s="2">
        <v>0</v>
      </c>
      <c r="AM3393" s="2">
        <v>0</v>
      </c>
      <c r="AN3393" s="2">
        <v>0</v>
      </c>
      <c r="AO3393" t="s">
        <v>44</v>
      </c>
      <c r="AP3393" t="s">
        <v>11330</v>
      </c>
      <c r="AQ3393" t="s">
        <v>4814</v>
      </c>
    </row>
    <row r="3394" spans="1:43" x14ac:dyDescent="0.2">
      <c r="A3394" t="s">
        <v>12655</v>
      </c>
      <c r="B3394" t="s">
        <v>11037</v>
      </c>
      <c r="C3394" t="s">
        <v>11195</v>
      </c>
      <c r="D3394" t="s">
        <v>11708</v>
      </c>
      <c r="E3394" t="s">
        <v>4821</v>
      </c>
      <c r="F3394" t="s">
        <v>11708</v>
      </c>
      <c r="G3394" s="1">
        <v>2746</v>
      </c>
      <c r="H3394" s="2">
        <v>103534.55</v>
      </c>
      <c r="I3394" s="2">
        <v>265702.96000000002</v>
      </c>
      <c r="J3394" s="2">
        <v>0</v>
      </c>
      <c r="K3394" s="2">
        <v>0</v>
      </c>
      <c r="L3394" s="2">
        <v>265702.96000000002</v>
      </c>
      <c r="M3394" s="3">
        <v>9676</v>
      </c>
      <c r="N3394" s="4">
        <v>6.045E-4</v>
      </c>
      <c r="O3394" s="5" t="s">
        <v>44</v>
      </c>
      <c r="P3394" s="5" t="s">
        <v>44</v>
      </c>
      <c r="Q3394" s="1"/>
      <c r="R3394" s="2"/>
      <c r="S3394" s="6"/>
      <c r="T3394" t="s">
        <v>10902</v>
      </c>
      <c r="U3394" t="s">
        <v>10902</v>
      </c>
      <c r="V3394" t="s">
        <v>10902</v>
      </c>
      <c r="W3394" t="s">
        <v>43</v>
      </c>
      <c r="X3394" t="s">
        <v>11327</v>
      </c>
      <c r="Y3394" t="s">
        <v>11198</v>
      </c>
      <c r="Z3394" t="s">
        <v>11195</v>
      </c>
      <c r="AA3394" t="s">
        <v>44</v>
      </c>
      <c r="AB3394" t="s">
        <v>44</v>
      </c>
      <c r="AC3394" s="4"/>
      <c r="AD3394" s="4"/>
      <c r="AE3394" s="2">
        <v>0</v>
      </c>
      <c r="AF3394" s="4">
        <v>0</v>
      </c>
      <c r="AG3394" s="2">
        <v>0.79</v>
      </c>
      <c r="AH3394" s="2">
        <v>265702.96000000002</v>
      </c>
      <c r="AI3394" s="2">
        <v>0</v>
      </c>
      <c r="AJ3394" s="5">
        <v>44673</v>
      </c>
      <c r="AK3394" t="s">
        <v>12656</v>
      </c>
      <c r="AL3394" s="2">
        <v>0</v>
      </c>
      <c r="AM3394" s="2">
        <v>0</v>
      </c>
      <c r="AN3394" s="2">
        <v>0</v>
      </c>
      <c r="AO3394" t="s">
        <v>44</v>
      </c>
      <c r="AP3394" t="s">
        <v>11709</v>
      </c>
      <c r="AQ3394" t="s">
        <v>4821</v>
      </c>
    </row>
    <row r="3395" spans="1:43" x14ac:dyDescent="0.2">
      <c r="A3395" t="s">
        <v>12655</v>
      </c>
      <c r="B3395" t="s">
        <v>11037</v>
      </c>
      <c r="C3395" t="s">
        <v>11195</v>
      </c>
      <c r="D3395" t="s">
        <v>11332</v>
      </c>
      <c r="E3395" t="s">
        <v>11333</v>
      </c>
      <c r="F3395" t="s">
        <v>11332</v>
      </c>
      <c r="G3395" s="1">
        <v>4949</v>
      </c>
      <c r="H3395" s="2">
        <v>83244.789999999994</v>
      </c>
      <c r="I3395" s="2">
        <v>83588.61</v>
      </c>
      <c r="J3395" s="2">
        <v>0</v>
      </c>
      <c r="K3395" s="2">
        <v>0</v>
      </c>
      <c r="L3395" s="2">
        <v>83588.61</v>
      </c>
      <c r="M3395" s="3">
        <v>1689</v>
      </c>
      <c r="N3395" s="4">
        <v>1.9017E-4</v>
      </c>
      <c r="O3395" s="5" t="s">
        <v>44</v>
      </c>
      <c r="P3395" s="5" t="s">
        <v>44</v>
      </c>
      <c r="Q3395" s="1"/>
      <c r="R3395" s="2"/>
      <c r="S3395" s="6"/>
      <c r="T3395" t="s">
        <v>10902</v>
      </c>
      <c r="U3395" t="s">
        <v>10902</v>
      </c>
      <c r="V3395" t="s">
        <v>10902</v>
      </c>
      <c r="W3395" t="s">
        <v>43</v>
      </c>
      <c r="X3395" t="s">
        <v>11334</v>
      </c>
      <c r="Y3395" t="s">
        <v>11335</v>
      </c>
      <c r="Z3395" t="s">
        <v>11195</v>
      </c>
      <c r="AA3395" t="s">
        <v>44</v>
      </c>
      <c r="AB3395" t="s">
        <v>44</v>
      </c>
      <c r="AC3395" s="4"/>
      <c r="AD3395" s="4"/>
      <c r="AE3395" s="2">
        <v>0</v>
      </c>
      <c r="AF3395" s="4">
        <v>0</v>
      </c>
      <c r="AG3395" s="2">
        <v>0.25</v>
      </c>
      <c r="AH3395" s="2">
        <v>83588.61</v>
      </c>
      <c r="AI3395" s="2">
        <v>0</v>
      </c>
      <c r="AJ3395" s="5">
        <v>44673</v>
      </c>
      <c r="AK3395" t="s">
        <v>12656</v>
      </c>
      <c r="AL3395" s="2">
        <v>0</v>
      </c>
      <c r="AM3395" s="2">
        <v>0</v>
      </c>
      <c r="AN3395" s="2">
        <v>0</v>
      </c>
      <c r="AO3395" t="s">
        <v>44</v>
      </c>
      <c r="AP3395" t="s">
        <v>11336</v>
      </c>
      <c r="AQ3395" t="s">
        <v>11333</v>
      </c>
    </row>
    <row r="3396" spans="1:43" x14ac:dyDescent="0.2">
      <c r="A3396" t="s">
        <v>12655</v>
      </c>
      <c r="B3396" t="s">
        <v>11037</v>
      </c>
      <c r="C3396" t="s">
        <v>11195</v>
      </c>
      <c r="D3396" t="s">
        <v>5965</v>
      </c>
      <c r="E3396" t="s">
        <v>4848</v>
      </c>
      <c r="F3396" t="s">
        <v>5965</v>
      </c>
      <c r="G3396" s="1">
        <v>2223</v>
      </c>
      <c r="H3396" s="2">
        <v>326547.45</v>
      </c>
      <c r="I3396" s="2">
        <v>495151.02</v>
      </c>
      <c r="J3396" s="2">
        <v>0</v>
      </c>
      <c r="K3396" s="2">
        <v>0</v>
      </c>
      <c r="L3396" s="2">
        <v>495151.02</v>
      </c>
      <c r="M3396" s="3">
        <v>22274</v>
      </c>
      <c r="N3396" s="4">
        <v>1.12652E-3</v>
      </c>
      <c r="O3396" s="5" t="s">
        <v>44</v>
      </c>
      <c r="P3396" s="5" t="s">
        <v>44</v>
      </c>
      <c r="Q3396" s="1"/>
      <c r="R3396" s="2"/>
      <c r="S3396" s="6"/>
      <c r="T3396" t="s">
        <v>10902</v>
      </c>
      <c r="U3396" t="s">
        <v>10902</v>
      </c>
      <c r="V3396" t="s">
        <v>10902</v>
      </c>
      <c r="W3396" t="s">
        <v>43</v>
      </c>
      <c r="X3396" t="s">
        <v>11034</v>
      </c>
      <c r="Y3396" t="s">
        <v>11034</v>
      </c>
      <c r="Z3396" t="s">
        <v>11195</v>
      </c>
      <c r="AA3396" t="s">
        <v>44</v>
      </c>
      <c r="AB3396" t="s">
        <v>44</v>
      </c>
      <c r="AC3396" s="4"/>
      <c r="AD3396" s="4"/>
      <c r="AE3396" s="2">
        <v>0</v>
      </c>
      <c r="AF3396" s="4">
        <v>0</v>
      </c>
      <c r="AG3396" s="2">
        <v>1.48</v>
      </c>
      <c r="AH3396" s="2">
        <v>495151.02</v>
      </c>
      <c r="AI3396" s="2">
        <v>0</v>
      </c>
      <c r="AJ3396" s="5">
        <v>44673</v>
      </c>
      <c r="AK3396" t="s">
        <v>12656</v>
      </c>
      <c r="AL3396" s="2">
        <v>0</v>
      </c>
      <c r="AM3396" s="2">
        <v>0</v>
      </c>
      <c r="AN3396" s="2">
        <v>0</v>
      </c>
      <c r="AO3396" t="s">
        <v>44</v>
      </c>
      <c r="AP3396" t="s">
        <v>11712</v>
      </c>
      <c r="AQ3396" t="s">
        <v>4848</v>
      </c>
    </row>
    <row r="3397" spans="1:43" x14ac:dyDescent="0.2">
      <c r="A3397" t="s">
        <v>12655</v>
      </c>
      <c r="B3397" t="s">
        <v>11037</v>
      </c>
      <c r="C3397" t="s">
        <v>11195</v>
      </c>
      <c r="D3397" t="s">
        <v>11206</v>
      </c>
      <c r="E3397" t="s">
        <v>5005</v>
      </c>
      <c r="F3397" t="s">
        <v>11206</v>
      </c>
      <c r="G3397" s="1">
        <v>1683</v>
      </c>
      <c r="H3397" s="2">
        <v>157805.37</v>
      </c>
      <c r="I3397" s="2">
        <v>162072.9</v>
      </c>
      <c r="J3397" s="2">
        <v>0</v>
      </c>
      <c r="K3397" s="2">
        <v>0</v>
      </c>
      <c r="L3397" s="2">
        <v>162072.9</v>
      </c>
      <c r="M3397" s="3">
        <v>9630</v>
      </c>
      <c r="N3397" s="4">
        <v>3.6873E-4</v>
      </c>
      <c r="O3397" s="5" t="s">
        <v>44</v>
      </c>
      <c r="P3397" s="5" t="s">
        <v>44</v>
      </c>
      <c r="Q3397" s="1"/>
      <c r="R3397" s="2"/>
      <c r="S3397" s="6"/>
      <c r="T3397" t="s">
        <v>10902</v>
      </c>
      <c r="U3397" t="s">
        <v>10902</v>
      </c>
      <c r="V3397" t="s">
        <v>10902</v>
      </c>
      <c r="W3397" t="s">
        <v>43</v>
      </c>
      <c r="X3397" t="s">
        <v>11197</v>
      </c>
      <c r="Y3397" t="s">
        <v>11198</v>
      </c>
      <c r="Z3397" t="s">
        <v>11195</v>
      </c>
      <c r="AA3397" t="s">
        <v>44</v>
      </c>
      <c r="AB3397" t="s">
        <v>44</v>
      </c>
      <c r="AC3397" s="4"/>
      <c r="AD3397" s="4"/>
      <c r="AE3397" s="2">
        <v>0</v>
      </c>
      <c r="AF3397" s="4">
        <v>0</v>
      </c>
      <c r="AG3397" s="2">
        <v>0.48</v>
      </c>
      <c r="AH3397" s="2">
        <v>162072.9</v>
      </c>
      <c r="AI3397" s="2">
        <v>0</v>
      </c>
      <c r="AJ3397" s="5">
        <v>44673</v>
      </c>
      <c r="AK3397" t="s">
        <v>12656</v>
      </c>
      <c r="AL3397" s="2">
        <v>0</v>
      </c>
      <c r="AM3397" s="2">
        <v>0</v>
      </c>
      <c r="AN3397" s="2">
        <v>0</v>
      </c>
      <c r="AO3397" t="s">
        <v>44</v>
      </c>
      <c r="AP3397" t="s">
        <v>11207</v>
      </c>
      <c r="AQ3397" t="s">
        <v>5005</v>
      </c>
    </row>
    <row r="3398" spans="1:43" x14ac:dyDescent="0.2">
      <c r="A3398" t="s">
        <v>12655</v>
      </c>
      <c r="B3398" t="s">
        <v>11037</v>
      </c>
      <c r="C3398" t="s">
        <v>11195</v>
      </c>
      <c r="D3398" t="s">
        <v>5940</v>
      </c>
      <c r="E3398" t="s">
        <v>5019</v>
      </c>
      <c r="F3398" t="s">
        <v>5940</v>
      </c>
      <c r="G3398" s="1">
        <v>18874</v>
      </c>
      <c r="H3398" s="2">
        <v>212445.35</v>
      </c>
      <c r="I3398" s="2">
        <v>233848.86</v>
      </c>
      <c r="J3398" s="2">
        <v>0</v>
      </c>
      <c r="K3398" s="2">
        <v>9625.74</v>
      </c>
      <c r="L3398" s="2">
        <v>243474.6</v>
      </c>
      <c r="M3398" s="3">
        <v>1239</v>
      </c>
      <c r="N3398" s="4">
        <v>5.5393E-4</v>
      </c>
      <c r="O3398" s="5" t="s">
        <v>44</v>
      </c>
      <c r="P3398" s="5" t="s">
        <v>44</v>
      </c>
      <c r="Q3398" s="1"/>
      <c r="R3398" s="2"/>
      <c r="S3398" s="6"/>
      <c r="T3398" t="s">
        <v>10902</v>
      </c>
      <c r="U3398" t="s">
        <v>10902</v>
      </c>
      <c r="V3398" t="s">
        <v>10902</v>
      </c>
      <c r="W3398" t="s">
        <v>43</v>
      </c>
      <c r="X3398" t="s">
        <v>11334</v>
      </c>
      <c r="Y3398" t="s">
        <v>11335</v>
      </c>
      <c r="Z3398" t="s">
        <v>11195</v>
      </c>
      <c r="AA3398" t="s">
        <v>44</v>
      </c>
      <c r="AB3398" t="s">
        <v>44</v>
      </c>
      <c r="AC3398" s="4"/>
      <c r="AD3398" s="4"/>
      <c r="AE3398" s="2">
        <v>0</v>
      </c>
      <c r="AF3398" s="4">
        <v>0</v>
      </c>
      <c r="AG3398" s="2">
        <v>0.73</v>
      </c>
      <c r="AH3398" s="2">
        <v>243474.6</v>
      </c>
      <c r="AI3398" s="2">
        <v>0</v>
      </c>
      <c r="AJ3398" s="5">
        <v>44673</v>
      </c>
      <c r="AK3398" t="s">
        <v>12656</v>
      </c>
      <c r="AL3398" s="2">
        <v>0</v>
      </c>
      <c r="AM3398" s="2">
        <v>0</v>
      </c>
      <c r="AN3398" s="2">
        <v>0</v>
      </c>
      <c r="AO3398" t="s">
        <v>44</v>
      </c>
      <c r="AP3398" t="s">
        <v>11713</v>
      </c>
      <c r="AQ3398" t="s">
        <v>5019</v>
      </c>
    </row>
    <row r="3399" spans="1:43" x14ac:dyDescent="0.2">
      <c r="A3399" t="s">
        <v>12655</v>
      </c>
      <c r="B3399" t="s">
        <v>11037</v>
      </c>
      <c r="C3399" t="s">
        <v>11195</v>
      </c>
      <c r="D3399" t="s">
        <v>6128</v>
      </c>
      <c r="E3399" t="s">
        <v>6759</v>
      </c>
      <c r="F3399" t="s">
        <v>6128</v>
      </c>
      <c r="G3399" s="1">
        <v>693</v>
      </c>
      <c r="H3399" s="2">
        <v>47628.09</v>
      </c>
      <c r="I3399" s="2">
        <v>66874.5</v>
      </c>
      <c r="J3399" s="2">
        <v>0</v>
      </c>
      <c r="K3399" s="2">
        <v>0</v>
      </c>
      <c r="L3399" s="2">
        <v>66874.5</v>
      </c>
      <c r="M3399" s="3">
        <v>9650</v>
      </c>
      <c r="N3399" s="4">
        <v>1.5215000000000001E-4</v>
      </c>
      <c r="O3399" s="5" t="s">
        <v>44</v>
      </c>
      <c r="P3399" s="5" t="s">
        <v>44</v>
      </c>
      <c r="Q3399" s="1"/>
      <c r="R3399" s="2"/>
      <c r="S3399" s="6"/>
      <c r="T3399" t="s">
        <v>10902</v>
      </c>
      <c r="U3399" t="s">
        <v>10902</v>
      </c>
      <c r="V3399" t="s">
        <v>10902</v>
      </c>
      <c r="W3399" t="s">
        <v>43</v>
      </c>
      <c r="X3399" t="s">
        <v>11327</v>
      </c>
      <c r="Y3399" t="s">
        <v>11198</v>
      </c>
      <c r="Z3399" t="s">
        <v>11195</v>
      </c>
      <c r="AA3399" t="s">
        <v>44</v>
      </c>
      <c r="AB3399" t="s">
        <v>44</v>
      </c>
      <c r="AC3399" s="4"/>
      <c r="AD3399" s="4"/>
      <c r="AE3399" s="2">
        <v>0</v>
      </c>
      <c r="AF3399" s="4">
        <v>0</v>
      </c>
      <c r="AG3399" s="2">
        <v>0.2</v>
      </c>
      <c r="AH3399" s="2">
        <v>66874.5</v>
      </c>
      <c r="AI3399" s="2">
        <v>0</v>
      </c>
      <c r="AJ3399" s="5">
        <v>44673</v>
      </c>
      <c r="AK3399" t="s">
        <v>12656</v>
      </c>
      <c r="AL3399" s="2">
        <v>0</v>
      </c>
      <c r="AM3399" s="2">
        <v>0</v>
      </c>
      <c r="AN3399" s="2">
        <v>0</v>
      </c>
      <c r="AO3399" t="s">
        <v>44</v>
      </c>
      <c r="AP3399" t="s">
        <v>11344</v>
      </c>
      <c r="AQ3399" t="s">
        <v>6759</v>
      </c>
    </row>
    <row r="3400" spans="1:43" x14ac:dyDescent="0.2">
      <c r="A3400" t="s">
        <v>12655</v>
      </c>
      <c r="B3400" t="s">
        <v>11037</v>
      </c>
      <c r="C3400" t="s">
        <v>11195</v>
      </c>
      <c r="D3400" t="s">
        <v>11345</v>
      </c>
      <c r="E3400" t="s">
        <v>5409</v>
      </c>
      <c r="F3400" t="s">
        <v>11345</v>
      </c>
      <c r="G3400" s="1">
        <v>4796</v>
      </c>
      <c r="H3400" s="2">
        <v>154695.78</v>
      </c>
      <c r="I3400" s="2">
        <v>132369.60000000001</v>
      </c>
      <c r="J3400" s="2">
        <v>0</v>
      </c>
      <c r="K3400" s="2">
        <v>3753.34</v>
      </c>
      <c r="L3400" s="2">
        <v>136122.94</v>
      </c>
      <c r="M3400" s="3">
        <v>2760</v>
      </c>
      <c r="N3400" s="4">
        <v>3.0969E-4</v>
      </c>
      <c r="O3400" s="5" t="s">
        <v>44</v>
      </c>
      <c r="P3400" s="5" t="s">
        <v>44</v>
      </c>
      <c r="Q3400" s="1"/>
      <c r="R3400" s="2"/>
      <c r="S3400" s="6"/>
      <c r="T3400" t="s">
        <v>10902</v>
      </c>
      <c r="U3400" t="s">
        <v>10902</v>
      </c>
      <c r="V3400" t="s">
        <v>10902</v>
      </c>
      <c r="W3400" t="s">
        <v>43</v>
      </c>
      <c r="X3400" t="s">
        <v>11327</v>
      </c>
      <c r="Y3400" t="s">
        <v>11198</v>
      </c>
      <c r="Z3400" t="s">
        <v>11195</v>
      </c>
      <c r="AA3400" t="s">
        <v>44</v>
      </c>
      <c r="AB3400" t="s">
        <v>44</v>
      </c>
      <c r="AC3400" s="4"/>
      <c r="AD3400" s="4"/>
      <c r="AE3400" s="2">
        <v>0</v>
      </c>
      <c r="AF3400" s="4">
        <v>0</v>
      </c>
      <c r="AG3400" s="2">
        <v>0.41</v>
      </c>
      <c r="AH3400" s="2">
        <v>136122.94</v>
      </c>
      <c r="AI3400" s="2">
        <v>0</v>
      </c>
      <c r="AJ3400" s="5">
        <v>44673</v>
      </c>
      <c r="AK3400" t="s">
        <v>12656</v>
      </c>
      <c r="AL3400" s="2">
        <v>0</v>
      </c>
      <c r="AM3400" s="2">
        <v>0</v>
      </c>
      <c r="AN3400" s="2">
        <v>0</v>
      </c>
      <c r="AO3400" t="s">
        <v>44</v>
      </c>
      <c r="AP3400" t="s">
        <v>11346</v>
      </c>
      <c r="AQ3400" t="s">
        <v>5409</v>
      </c>
    </row>
    <row r="3401" spans="1:43" x14ac:dyDescent="0.2">
      <c r="A3401" t="s">
        <v>12655</v>
      </c>
      <c r="B3401" t="s">
        <v>11037</v>
      </c>
      <c r="C3401" t="s">
        <v>11195</v>
      </c>
      <c r="D3401" t="s">
        <v>6263</v>
      </c>
      <c r="E3401" t="s">
        <v>6850</v>
      </c>
      <c r="F3401" t="s">
        <v>6263</v>
      </c>
      <c r="G3401" s="1">
        <v>2614</v>
      </c>
      <c r="H3401" s="2">
        <v>45806.07</v>
      </c>
      <c r="I3401" s="2">
        <v>69244.86</v>
      </c>
      <c r="J3401" s="2">
        <v>0</v>
      </c>
      <c r="K3401" s="2">
        <v>4326.17</v>
      </c>
      <c r="L3401" s="2">
        <v>73571.03</v>
      </c>
      <c r="M3401" s="3">
        <v>2649</v>
      </c>
      <c r="N3401" s="4">
        <v>1.6737999999999999E-4</v>
      </c>
      <c r="O3401" s="5" t="s">
        <v>44</v>
      </c>
      <c r="P3401" s="5" t="s">
        <v>44</v>
      </c>
      <c r="Q3401" s="1"/>
      <c r="R3401" s="2"/>
      <c r="S3401" s="6"/>
      <c r="T3401" t="s">
        <v>10902</v>
      </c>
      <c r="U3401" t="s">
        <v>10902</v>
      </c>
      <c r="V3401" t="s">
        <v>10902</v>
      </c>
      <c r="W3401" t="s">
        <v>43</v>
      </c>
      <c r="X3401" t="s">
        <v>11347</v>
      </c>
      <c r="Y3401" t="s">
        <v>11348</v>
      </c>
      <c r="Z3401" t="s">
        <v>11195</v>
      </c>
      <c r="AA3401" t="s">
        <v>44</v>
      </c>
      <c r="AB3401" t="s">
        <v>44</v>
      </c>
      <c r="AC3401" s="4"/>
      <c r="AD3401" s="4"/>
      <c r="AE3401" s="2">
        <v>0</v>
      </c>
      <c r="AF3401" s="4">
        <v>0</v>
      </c>
      <c r="AG3401" s="2">
        <v>0.22</v>
      </c>
      <c r="AH3401" s="2">
        <v>73571.03</v>
      </c>
      <c r="AI3401" s="2">
        <v>0</v>
      </c>
      <c r="AJ3401" s="5">
        <v>44673</v>
      </c>
      <c r="AK3401" t="s">
        <v>12656</v>
      </c>
      <c r="AL3401" s="2">
        <v>0</v>
      </c>
      <c r="AM3401" s="2">
        <v>0</v>
      </c>
      <c r="AN3401" s="2">
        <v>0</v>
      </c>
      <c r="AO3401" t="s">
        <v>44</v>
      </c>
      <c r="AP3401" t="s">
        <v>11349</v>
      </c>
      <c r="AQ3401" t="s">
        <v>6850</v>
      </c>
    </row>
    <row r="3402" spans="1:43" x14ac:dyDescent="0.2">
      <c r="A3402" t="s">
        <v>12655</v>
      </c>
      <c r="B3402" t="s">
        <v>11037</v>
      </c>
      <c r="C3402" t="s">
        <v>11195</v>
      </c>
      <c r="D3402" t="s">
        <v>11208</v>
      </c>
      <c r="E3402" t="s">
        <v>3160</v>
      </c>
      <c r="F3402" t="s">
        <v>11208</v>
      </c>
      <c r="G3402" s="1">
        <v>24880</v>
      </c>
      <c r="H3402" s="2">
        <v>92897.02</v>
      </c>
      <c r="I3402" s="2">
        <v>110218.4</v>
      </c>
      <c r="J3402" s="2">
        <v>0</v>
      </c>
      <c r="K3402" s="2">
        <v>0</v>
      </c>
      <c r="L3402" s="2">
        <v>110218.4</v>
      </c>
      <c r="M3402" s="3">
        <v>443</v>
      </c>
      <c r="N3402" s="4">
        <v>2.5075999999999999E-4</v>
      </c>
      <c r="O3402" s="5" t="s">
        <v>44</v>
      </c>
      <c r="P3402" s="5" t="s">
        <v>44</v>
      </c>
      <c r="Q3402" s="1"/>
      <c r="R3402" s="2"/>
      <c r="S3402" s="6"/>
      <c r="T3402" t="s">
        <v>10902</v>
      </c>
      <c r="U3402" t="s">
        <v>10902</v>
      </c>
      <c r="V3402" t="s">
        <v>10902</v>
      </c>
      <c r="W3402" t="s">
        <v>43</v>
      </c>
      <c r="X3402" t="s">
        <v>11197</v>
      </c>
      <c r="Y3402" t="s">
        <v>11198</v>
      </c>
      <c r="Z3402" t="s">
        <v>11195</v>
      </c>
      <c r="AA3402" t="s">
        <v>44</v>
      </c>
      <c r="AB3402" t="s">
        <v>44</v>
      </c>
      <c r="AC3402" s="4"/>
      <c r="AD3402" s="4"/>
      <c r="AE3402" s="2">
        <v>0</v>
      </c>
      <c r="AF3402" s="4">
        <v>0</v>
      </c>
      <c r="AG3402" s="2">
        <v>0.33</v>
      </c>
      <c r="AH3402" s="2">
        <v>110218.4</v>
      </c>
      <c r="AI3402" s="2">
        <v>0</v>
      </c>
      <c r="AJ3402" s="5">
        <v>44673</v>
      </c>
      <c r="AK3402" t="s">
        <v>12656</v>
      </c>
      <c r="AL3402" s="2">
        <v>0</v>
      </c>
      <c r="AM3402" s="2">
        <v>0</v>
      </c>
      <c r="AN3402" s="2">
        <v>0</v>
      </c>
      <c r="AO3402" t="s">
        <v>44</v>
      </c>
      <c r="AP3402" t="s">
        <v>11209</v>
      </c>
      <c r="AQ3402" t="s">
        <v>3160</v>
      </c>
    </row>
    <row r="3403" spans="1:43" x14ac:dyDescent="0.2">
      <c r="A3403" t="s">
        <v>12655</v>
      </c>
      <c r="B3403" t="s">
        <v>11037</v>
      </c>
      <c r="C3403" t="s">
        <v>11195</v>
      </c>
      <c r="D3403" t="s">
        <v>11714</v>
      </c>
      <c r="E3403" t="s">
        <v>5012</v>
      </c>
      <c r="F3403" t="s">
        <v>11714</v>
      </c>
      <c r="G3403" s="1">
        <v>555</v>
      </c>
      <c r="H3403" s="2">
        <v>162195.84</v>
      </c>
      <c r="I3403" s="2">
        <v>177516.75</v>
      </c>
      <c r="J3403" s="2">
        <v>0</v>
      </c>
      <c r="K3403" s="2">
        <v>0</v>
      </c>
      <c r="L3403" s="2">
        <v>177516.75</v>
      </c>
      <c r="M3403" s="3">
        <v>31985</v>
      </c>
      <c r="N3403" s="4">
        <v>4.0387000000000002E-4</v>
      </c>
      <c r="O3403" s="5" t="s">
        <v>44</v>
      </c>
      <c r="P3403" s="5" t="s">
        <v>44</v>
      </c>
      <c r="Q3403" s="1"/>
      <c r="R3403" s="2"/>
      <c r="S3403" s="6"/>
      <c r="T3403" t="s">
        <v>10902</v>
      </c>
      <c r="U3403" t="s">
        <v>10902</v>
      </c>
      <c r="V3403" t="s">
        <v>10902</v>
      </c>
      <c r="W3403" t="s">
        <v>43</v>
      </c>
      <c r="X3403" t="s">
        <v>11327</v>
      </c>
      <c r="Y3403" t="s">
        <v>11198</v>
      </c>
      <c r="Z3403" t="s">
        <v>11195</v>
      </c>
      <c r="AA3403" t="s">
        <v>44</v>
      </c>
      <c r="AB3403" t="s">
        <v>44</v>
      </c>
      <c r="AC3403" s="4"/>
      <c r="AD3403" s="4"/>
      <c r="AE3403" s="2">
        <v>0</v>
      </c>
      <c r="AF3403" s="4">
        <v>0</v>
      </c>
      <c r="AG3403" s="2">
        <v>0.53</v>
      </c>
      <c r="AH3403" s="2">
        <v>177516.75</v>
      </c>
      <c r="AI3403" s="2">
        <v>0</v>
      </c>
      <c r="AJ3403" s="5">
        <v>44673</v>
      </c>
      <c r="AK3403" t="s">
        <v>12656</v>
      </c>
      <c r="AL3403" s="2">
        <v>0</v>
      </c>
      <c r="AM3403" s="2">
        <v>0</v>
      </c>
      <c r="AN3403" s="2">
        <v>0</v>
      </c>
      <c r="AO3403" t="s">
        <v>44</v>
      </c>
      <c r="AP3403" t="s">
        <v>11715</v>
      </c>
      <c r="AQ3403" t="s">
        <v>5012</v>
      </c>
    </row>
    <row r="3404" spans="1:43" x14ac:dyDescent="0.2">
      <c r="A3404" t="s">
        <v>12655</v>
      </c>
      <c r="B3404" t="s">
        <v>11037</v>
      </c>
      <c r="C3404" t="s">
        <v>11195</v>
      </c>
      <c r="D3404" t="s">
        <v>11210</v>
      </c>
      <c r="E3404" t="s">
        <v>3167</v>
      </c>
      <c r="F3404" t="s">
        <v>11211</v>
      </c>
      <c r="G3404" s="1">
        <v>1369</v>
      </c>
      <c r="H3404" s="2">
        <v>61944.9</v>
      </c>
      <c r="I3404" s="2">
        <v>80086.5</v>
      </c>
      <c r="J3404" s="2">
        <v>0</v>
      </c>
      <c r="K3404" s="2">
        <v>0</v>
      </c>
      <c r="L3404" s="2">
        <v>80086.5</v>
      </c>
      <c r="M3404" s="3">
        <v>5850</v>
      </c>
      <c r="N3404" s="4">
        <v>1.8221000000000001E-4</v>
      </c>
      <c r="O3404" s="5" t="s">
        <v>44</v>
      </c>
      <c r="P3404" s="5" t="s">
        <v>44</v>
      </c>
      <c r="Q3404" s="1"/>
      <c r="R3404" s="2"/>
      <c r="S3404" s="6"/>
      <c r="T3404" t="s">
        <v>10902</v>
      </c>
      <c r="U3404" t="s">
        <v>10902</v>
      </c>
      <c r="V3404" t="s">
        <v>11212</v>
      </c>
      <c r="W3404" t="s">
        <v>43</v>
      </c>
      <c r="X3404" t="s">
        <v>11197</v>
      </c>
      <c r="Y3404" t="s">
        <v>11198</v>
      </c>
      <c r="Z3404" t="s">
        <v>11195</v>
      </c>
      <c r="AA3404" t="s">
        <v>44</v>
      </c>
      <c r="AB3404" t="s">
        <v>44</v>
      </c>
      <c r="AC3404" s="4"/>
      <c r="AD3404" s="4"/>
      <c r="AE3404" s="2">
        <v>0</v>
      </c>
      <c r="AF3404" s="4">
        <v>0</v>
      </c>
      <c r="AG3404" s="2">
        <v>0.24</v>
      </c>
      <c r="AH3404" s="2">
        <v>80086.5</v>
      </c>
      <c r="AI3404" s="2">
        <v>0</v>
      </c>
      <c r="AJ3404" s="5">
        <v>44673</v>
      </c>
      <c r="AK3404" t="s">
        <v>12656</v>
      </c>
      <c r="AL3404" s="2">
        <v>0</v>
      </c>
      <c r="AM3404" s="2">
        <v>0</v>
      </c>
      <c r="AN3404" s="2">
        <v>0</v>
      </c>
      <c r="AO3404" t="s">
        <v>44</v>
      </c>
      <c r="AP3404" t="s">
        <v>11213</v>
      </c>
      <c r="AQ3404" t="s">
        <v>3167</v>
      </c>
    </row>
    <row r="3405" spans="1:43" x14ac:dyDescent="0.2">
      <c r="A3405" t="s">
        <v>12655</v>
      </c>
      <c r="B3405" t="s">
        <v>11037</v>
      </c>
      <c r="C3405" t="s">
        <v>11195</v>
      </c>
      <c r="D3405" t="s">
        <v>5917</v>
      </c>
      <c r="E3405" t="s">
        <v>4907</v>
      </c>
      <c r="F3405" t="s">
        <v>5917</v>
      </c>
      <c r="G3405" s="1">
        <v>8735</v>
      </c>
      <c r="H3405" s="2">
        <v>546650.44999999995</v>
      </c>
      <c r="I3405" s="2">
        <v>604986.1</v>
      </c>
      <c r="J3405" s="2">
        <v>0</v>
      </c>
      <c r="K3405" s="2">
        <v>0</v>
      </c>
      <c r="L3405" s="2">
        <v>604986.1</v>
      </c>
      <c r="M3405" s="3">
        <v>6926</v>
      </c>
      <c r="N3405" s="4">
        <v>1.37641E-3</v>
      </c>
      <c r="O3405" s="5" t="s">
        <v>44</v>
      </c>
      <c r="P3405" s="5" t="s">
        <v>44</v>
      </c>
      <c r="Q3405" s="1"/>
      <c r="R3405" s="2"/>
      <c r="S3405" s="6"/>
      <c r="T3405" t="s">
        <v>10902</v>
      </c>
      <c r="U3405" t="s">
        <v>10902</v>
      </c>
      <c r="V3405" t="s">
        <v>10902</v>
      </c>
      <c r="W3405" t="s">
        <v>43</v>
      </c>
      <c r="X3405" t="s">
        <v>11334</v>
      </c>
      <c r="Y3405" t="s">
        <v>11335</v>
      </c>
      <c r="Z3405" t="s">
        <v>11195</v>
      </c>
      <c r="AA3405" t="s">
        <v>44</v>
      </c>
      <c r="AB3405" t="s">
        <v>44</v>
      </c>
      <c r="AC3405" s="4"/>
      <c r="AD3405" s="4"/>
      <c r="AE3405" s="2">
        <v>0</v>
      </c>
      <c r="AF3405" s="4">
        <v>0</v>
      </c>
      <c r="AG3405" s="2">
        <v>1.8</v>
      </c>
      <c r="AH3405" s="2">
        <v>604986.1</v>
      </c>
      <c r="AI3405" s="2">
        <v>0</v>
      </c>
      <c r="AJ3405" s="5">
        <v>44673</v>
      </c>
      <c r="AK3405" t="s">
        <v>12656</v>
      </c>
      <c r="AL3405" s="2">
        <v>0</v>
      </c>
      <c r="AM3405" s="2">
        <v>0</v>
      </c>
      <c r="AN3405" s="2">
        <v>0</v>
      </c>
      <c r="AO3405" t="s">
        <v>44</v>
      </c>
      <c r="AP3405" t="s">
        <v>11716</v>
      </c>
      <c r="AQ3405" t="s">
        <v>4907</v>
      </c>
    </row>
    <row r="3406" spans="1:43" x14ac:dyDescent="0.2">
      <c r="A3406" t="s">
        <v>12655</v>
      </c>
      <c r="B3406" t="s">
        <v>11037</v>
      </c>
      <c r="C3406" t="s">
        <v>11195</v>
      </c>
      <c r="D3406" t="s">
        <v>11353</v>
      </c>
      <c r="E3406" t="s">
        <v>5706</v>
      </c>
      <c r="F3406" t="s">
        <v>11353</v>
      </c>
      <c r="G3406" s="1">
        <v>3244</v>
      </c>
      <c r="H3406" s="2">
        <v>106567.54</v>
      </c>
      <c r="I3406" s="2">
        <v>162200</v>
      </c>
      <c r="J3406" s="2">
        <v>0</v>
      </c>
      <c r="K3406" s="2">
        <v>0</v>
      </c>
      <c r="L3406" s="2">
        <v>162200</v>
      </c>
      <c r="M3406" s="3">
        <v>5000</v>
      </c>
      <c r="N3406" s="4">
        <v>3.6902000000000001E-4</v>
      </c>
      <c r="O3406" s="5" t="s">
        <v>44</v>
      </c>
      <c r="P3406" s="5" t="s">
        <v>44</v>
      </c>
      <c r="Q3406" s="1"/>
      <c r="R3406" s="2"/>
      <c r="S3406" s="6"/>
      <c r="T3406" t="s">
        <v>10902</v>
      </c>
      <c r="U3406" t="s">
        <v>10902</v>
      </c>
      <c r="V3406" t="s">
        <v>10902</v>
      </c>
      <c r="W3406" t="s">
        <v>43</v>
      </c>
      <c r="X3406" t="s">
        <v>11327</v>
      </c>
      <c r="Y3406" t="s">
        <v>11198</v>
      </c>
      <c r="Z3406" t="s">
        <v>11195</v>
      </c>
      <c r="AA3406" t="s">
        <v>44</v>
      </c>
      <c r="AB3406" t="s">
        <v>44</v>
      </c>
      <c r="AC3406" s="4"/>
      <c r="AD3406" s="4"/>
      <c r="AE3406" s="2">
        <v>0</v>
      </c>
      <c r="AF3406" s="4">
        <v>0</v>
      </c>
      <c r="AG3406" s="2">
        <v>0.48</v>
      </c>
      <c r="AH3406" s="2">
        <v>162200</v>
      </c>
      <c r="AI3406" s="2">
        <v>0</v>
      </c>
      <c r="AJ3406" s="5">
        <v>44673</v>
      </c>
      <c r="AK3406" t="s">
        <v>12656</v>
      </c>
      <c r="AL3406" s="2">
        <v>0</v>
      </c>
      <c r="AM3406" s="2">
        <v>0</v>
      </c>
      <c r="AN3406" s="2">
        <v>0</v>
      </c>
      <c r="AO3406" t="s">
        <v>44</v>
      </c>
      <c r="AP3406" t="s">
        <v>11354</v>
      </c>
      <c r="AQ3406" t="s">
        <v>5706</v>
      </c>
    </row>
    <row r="3407" spans="1:43" x14ac:dyDescent="0.2">
      <c r="A3407" t="s">
        <v>12655</v>
      </c>
      <c r="B3407" t="s">
        <v>11037</v>
      </c>
      <c r="C3407" t="s">
        <v>11355</v>
      </c>
      <c r="D3407" t="s">
        <v>6145</v>
      </c>
      <c r="E3407" t="s">
        <v>4768</v>
      </c>
      <c r="F3407" t="s">
        <v>6145</v>
      </c>
      <c r="G3407" s="1">
        <v>1826</v>
      </c>
      <c r="H3407" s="2">
        <v>286328.34000000003</v>
      </c>
      <c r="I3407" s="2">
        <v>320536.03999999998</v>
      </c>
      <c r="J3407" s="2">
        <v>0</v>
      </c>
      <c r="K3407" s="2">
        <v>0</v>
      </c>
      <c r="L3407" s="2">
        <v>320536.03999999998</v>
      </c>
      <c r="M3407" s="3">
        <v>17554</v>
      </c>
      <c r="N3407" s="4">
        <v>7.2924999999999997E-4</v>
      </c>
      <c r="O3407" s="5" t="s">
        <v>44</v>
      </c>
      <c r="P3407" s="5" t="s">
        <v>44</v>
      </c>
      <c r="Q3407" s="1"/>
      <c r="R3407" s="2"/>
      <c r="S3407" s="6"/>
      <c r="T3407" t="s">
        <v>10902</v>
      </c>
      <c r="U3407" t="s">
        <v>10902</v>
      </c>
      <c r="V3407" t="s">
        <v>10902</v>
      </c>
      <c r="W3407" t="s">
        <v>43</v>
      </c>
      <c r="X3407" t="s">
        <v>11717</v>
      </c>
      <c r="Y3407" t="s">
        <v>11358</v>
      </c>
      <c r="Z3407" t="s">
        <v>11355</v>
      </c>
      <c r="AA3407" t="s">
        <v>44</v>
      </c>
      <c r="AB3407" t="s">
        <v>44</v>
      </c>
      <c r="AC3407" s="4"/>
      <c r="AD3407" s="4"/>
      <c r="AE3407" s="2">
        <v>0</v>
      </c>
      <c r="AF3407" s="4">
        <v>0</v>
      </c>
      <c r="AG3407" s="2">
        <v>0.96</v>
      </c>
      <c r="AH3407" s="2">
        <v>320536.03999999998</v>
      </c>
      <c r="AI3407" s="2">
        <v>0</v>
      </c>
      <c r="AJ3407" s="5">
        <v>44673</v>
      </c>
      <c r="AK3407" t="s">
        <v>12656</v>
      </c>
      <c r="AL3407" s="2">
        <v>0</v>
      </c>
      <c r="AM3407" s="2">
        <v>0</v>
      </c>
      <c r="AN3407" s="2">
        <v>0</v>
      </c>
      <c r="AO3407" t="s">
        <v>44</v>
      </c>
      <c r="AP3407" t="s">
        <v>11718</v>
      </c>
      <c r="AQ3407" t="s">
        <v>4768</v>
      </c>
    </row>
    <row r="3408" spans="1:43" x14ac:dyDescent="0.2">
      <c r="A3408" t="s">
        <v>12655</v>
      </c>
      <c r="B3408" t="s">
        <v>11037</v>
      </c>
      <c r="C3408" t="s">
        <v>11355</v>
      </c>
      <c r="D3408" t="s">
        <v>11356</v>
      </c>
      <c r="E3408" t="s">
        <v>4971</v>
      </c>
      <c r="F3408" t="s">
        <v>6192</v>
      </c>
      <c r="G3408" s="1">
        <v>5909</v>
      </c>
      <c r="H3408" s="2">
        <v>118830.65</v>
      </c>
      <c r="I3408" s="2">
        <v>133129.76999999999</v>
      </c>
      <c r="J3408" s="2">
        <v>0</v>
      </c>
      <c r="K3408" s="2">
        <v>0</v>
      </c>
      <c r="L3408" s="2">
        <v>133129.76999999999</v>
      </c>
      <c r="M3408" s="3">
        <v>2253</v>
      </c>
      <c r="N3408" s="4">
        <v>3.0288E-4</v>
      </c>
      <c r="O3408" s="5" t="s">
        <v>44</v>
      </c>
      <c r="P3408" s="5" t="s">
        <v>44</v>
      </c>
      <c r="Q3408" s="1"/>
      <c r="R3408" s="2"/>
      <c r="S3408" s="6"/>
      <c r="T3408" t="s">
        <v>10902</v>
      </c>
      <c r="U3408" t="s">
        <v>10902</v>
      </c>
      <c r="V3408" t="s">
        <v>10902</v>
      </c>
      <c r="W3408" t="s">
        <v>43</v>
      </c>
      <c r="X3408" t="s">
        <v>11357</v>
      </c>
      <c r="Y3408" t="s">
        <v>11358</v>
      </c>
      <c r="Z3408" t="s">
        <v>11355</v>
      </c>
      <c r="AA3408" t="s">
        <v>44</v>
      </c>
      <c r="AB3408" t="s">
        <v>44</v>
      </c>
      <c r="AC3408" s="4"/>
      <c r="AD3408" s="4"/>
      <c r="AE3408" s="2">
        <v>0</v>
      </c>
      <c r="AF3408" s="4">
        <v>0</v>
      </c>
      <c r="AG3408" s="2">
        <v>0.4</v>
      </c>
      <c r="AH3408" s="2">
        <v>133129.76999999999</v>
      </c>
      <c r="AI3408" s="2">
        <v>0</v>
      </c>
      <c r="AJ3408" s="5">
        <v>44673</v>
      </c>
      <c r="AK3408" t="s">
        <v>12656</v>
      </c>
      <c r="AL3408" s="2">
        <v>0</v>
      </c>
      <c r="AM3408" s="2">
        <v>0</v>
      </c>
      <c r="AN3408" s="2">
        <v>0</v>
      </c>
      <c r="AO3408" t="s">
        <v>44</v>
      </c>
      <c r="AP3408" t="s">
        <v>11359</v>
      </c>
      <c r="AQ3408" t="s">
        <v>4971</v>
      </c>
    </row>
    <row r="3409" spans="1:43" x14ac:dyDescent="0.2">
      <c r="A3409" t="s">
        <v>12655</v>
      </c>
      <c r="B3409" t="s">
        <v>11037</v>
      </c>
      <c r="C3409" t="s">
        <v>11355</v>
      </c>
      <c r="D3409" t="s">
        <v>11360</v>
      </c>
      <c r="E3409" t="s">
        <v>4991</v>
      </c>
      <c r="F3409" t="s">
        <v>11360</v>
      </c>
      <c r="G3409" s="1">
        <v>1701</v>
      </c>
      <c r="H3409" s="2">
        <v>107794.8</v>
      </c>
      <c r="I3409" s="2">
        <v>128646.63</v>
      </c>
      <c r="J3409" s="2">
        <v>0</v>
      </c>
      <c r="K3409" s="2">
        <v>0</v>
      </c>
      <c r="L3409" s="2">
        <v>128646.63</v>
      </c>
      <c r="M3409" s="3">
        <v>7563</v>
      </c>
      <c r="N3409" s="4">
        <v>2.9268000000000002E-4</v>
      </c>
      <c r="O3409" s="5" t="s">
        <v>44</v>
      </c>
      <c r="P3409" s="5" t="s">
        <v>44</v>
      </c>
      <c r="Q3409" s="1"/>
      <c r="R3409" s="2"/>
      <c r="S3409" s="6"/>
      <c r="T3409" t="s">
        <v>10902</v>
      </c>
      <c r="U3409" t="s">
        <v>10902</v>
      </c>
      <c r="V3409" t="s">
        <v>10902</v>
      </c>
      <c r="W3409" t="s">
        <v>43</v>
      </c>
      <c r="X3409" t="s">
        <v>11357</v>
      </c>
      <c r="Y3409" t="s">
        <v>11358</v>
      </c>
      <c r="Z3409" t="s">
        <v>11355</v>
      </c>
      <c r="AA3409" t="s">
        <v>44</v>
      </c>
      <c r="AB3409" t="s">
        <v>44</v>
      </c>
      <c r="AC3409" s="4"/>
      <c r="AD3409" s="4"/>
      <c r="AE3409" s="2">
        <v>0</v>
      </c>
      <c r="AF3409" s="4">
        <v>0</v>
      </c>
      <c r="AG3409" s="2">
        <v>0.38</v>
      </c>
      <c r="AH3409" s="2">
        <v>128646.63</v>
      </c>
      <c r="AI3409" s="2">
        <v>0</v>
      </c>
      <c r="AJ3409" s="5">
        <v>44673</v>
      </c>
      <c r="AK3409" t="s">
        <v>12656</v>
      </c>
      <c r="AL3409" s="2">
        <v>0</v>
      </c>
      <c r="AM3409" s="2">
        <v>0</v>
      </c>
      <c r="AN3409" s="2">
        <v>0</v>
      </c>
      <c r="AO3409" t="s">
        <v>44</v>
      </c>
      <c r="AP3409" t="s">
        <v>11361</v>
      </c>
      <c r="AQ3409" t="s">
        <v>4991</v>
      </c>
    </row>
    <row r="3410" spans="1:43" x14ac:dyDescent="0.2">
      <c r="A3410" t="s">
        <v>12655</v>
      </c>
      <c r="B3410" t="s">
        <v>11037</v>
      </c>
      <c r="C3410" t="s">
        <v>11355</v>
      </c>
      <c r="D3410" t="s">
        <v>11362</v>
      </c>
      <c r="E3410" t="s">
        <v>4862</v>
      </c>
      <c r="F3410" t="s">
        <v>11362</v>
      </c>
      <c r="G3410" s="1">
        <v>6145</v>
      </c>
      <c r="H3410" s="2">
        <v>94965.89</v>
      </c>
      <c r="I3410" s="2">
        <v>98320</v>
      </c>
      <c r="J3410" s="2">
        <v>0</v>
      </c>
      <c r="K3410" s="2">
        <v>0</v>
      </c>
      <c r="L3410" s="2">
        <v>98320</v>
      </c>
      <c r="M3410" s="3">
        <v>1600</v>
      </c>
      <c r="N3410" s="4">
        <v>2.2368999999999999E-4</v>
      </c>
      <c r="O3410" s="5" t="s">
        <v>44</v>
      </c>
      <c r="P3410" s="5" t="s">
        <v>44</v>
      </c>
      <c r="Q3410" s="1"/>
      <c r="R3410" s="2"/>
      <c r="S3410" s="6"/>
      <c r="T3410" t="s">
        <v>10902</v>
      </c>
      <c r="U3410" t="s">
        <v>10902</v>
      </c>
      <c r="V3410" t="s">
        <v>10902</v>
      </c>
      <c r="W3410" t="s">
        <v>43</v>
      </c>
      <c r="X3410" t="s">
        <v>11357</v>
      </c>
      <c r="Y3410" t="s">
        <v>11358</v>
      </c>
      <c r="Z3410" t="s">
        <v>11355</v>
      </c>
      <c r="AA3410" t="s">
        <v>44</v>
      </c>
      <c r="AB3410" t="s">
        <v>44</v>
      </c>
      <c r="AC3410" s="4"/>
      <c r="AD3410" s="4"/>
      <c r="AE3410" s="2">
        <v>0</v>
      </c>
      <c r="AF3410" s="4">
        <v>0</v>
      </c>
      <c r="AG3410" s="2">
        <v>0.28999999999999998</v>
      </c>
      <c r="AH3410" s="2">
        <v>98320</v>
      </c>
      <c r="AI3410" s="2">
        <v>0</v>
      </c>
      <c r="AJ3410" s="5">
        <v>44673</v>
      </c>
      <c r="AK3410" t="s">
        <v>12656</v>
      </c>
      <c r="AL3410" s="2">
        <v>0</v>
      </c>
      <c r="AM3410" s="2">
        <v>0</v>
      </c>
      <c r="AN3410" s="2">
        <v>0</v>
      </c>
      <c r="AO3410" t="s">
        <v>44</v>
      </c>
      <c r="AP3410" t="s">
        <v>11363</v>
      </c>
      <c r="AQ3410" t="s">
        <v>4862</v>
      </c>
    </row>
    <row r="3411" spans="1:43" x14ac:dyDescent="0.2">
      <c r="A3411" t="s">
        <v>12655</v>
      </c>
      <c r="B3411" t="s">
        <v>11037</v>
      </c>
      <c r="C3411" t="s">
        <v>11364</v>
      </c>
      <c r="D3411" t="s">
        <v>6240</v>
      </c>
      <c r="E3411" t="s">
        <v>5065</v>
      </c>
      <c r="F3411" t="s">
        <v>6240</v>
      </c>
      <c r="G3411" s="1">
        <v>853</v>
      </c>
      <c r="H3411" s="2">
        <v>77135.92</v>
      </c>
      <c r="I3411" s="2">
        <v>98649.45</v>
      </c>
      <c r="J3411" s="2">
        <v>0</v>
      </c>
      <c r="K3411" s="2">
        <v>0</v>
      </c>
      <c r="L3411" s="2">
        <v>98649.45</v>
      </c>
      <c r="M3411" s="3">
        <v>11565</v>
      </c>
      <c r="N3411" s="4">
        <v>2.2444000000000001E-4</v>
      </c>
      <c r="O3411" s="5" t="s">
        <v>44</v>
      </c>
      <c r="P3411" s="5" t="s">
        <v>44</v>
      </c>
      <c r="Q3411" s="1"/>
      <c r="R3411" s="2"/>
      <c r="S3411" s="6"/>
      <c r="T3411" t="s">
        <v>10902</v>
      </c>
      <c r="U3411" t="s">
        <v>10902</v>
      </c>
      <c r="V3411" t="s">
        <v>10902</v>
      </c>
      <c r="W3411" t="s">
        <v>43</v>
      </c>
      <c r="X3411" t="s">
        <v>11369</v>
      </c>
      <c r="Y3411" t="s">
        <v>11367</v>
      </c>
      <c r="Z3411" t="s">
        <v>11364</v>
      </c>
      <c r="AA3411" t="s">
        <v>44</v>
      </c>
      <c r="AB3411" t="s">
        <v>44</v>
      </c>
      <c r="AC3411" s="4"/>
      <c r="AD3411" s="4"/>
      <c r="AE3411" s="2">
        <v>0</v>
      </c>
      <c r="AF3411" s="4">
        <v>0</v>
      </c>
      <c r="AG3411" s="2">
        <v>0.28999999999999998</v>
      </c>
      <c r="AH3411" s="2">
        <v>98649.45</v>
      </c>
      <c r="AI3411" s="2">
        <v>0</v>
      </c>
      <c r="AJ3411" s="5">
        <v>44673</v>
      </c>
      <c r="AK3411" t="s">
        <v>12656</v>
      </c>
      <c r="AL3411" s="2">
        <v>0</v>
      </c>
      <c r="AM3411" s="2">
        <v>0</v>
      </c>
      <c r="AN3411" s="2">
        <v>0</v>
      </c>
      <c r="AO3411" t="s">
        <v>44</v>
      </c>
      <c r="AP3411" t="s">
        <v>11370</v>
      </c>
      <c r="AQ3411" t="s">
        <v>5065</v>
      </c>
    </row>
    <row r="3412" spans="1:43" x14ac:dyDescent="0.2">
      <c r="A3412" t="s">
        <v>12655</v>
      </c>
      <c r="B3412" t="s">
        <v>11037</v>
      </c>
      <c r="C3412" t="s">
        <v>11364</v>
      </c>
      <c r="D3412" t="s">
        <v>5973</v>
      </c>
      <c r="E3412" t="s">
        <v>4873</v>
      </c>
      <c r="F3412" t="s">
        <v>5973</v>
      </c>
      <c r="G3412" s="1">
        <v>2487</v>
      </c>
      <c r="H3412" s="2">
        <v>272128.32</v>
      </c>
      <c r="I3412" s="2">
        <v>362231.55</v>
      </c>
      <c r="J3412" s="2">
        <v>0</v>
      </c>
      <c r="K3412" s="2">
        <v>1243.5</v>
      </c>
      <c r="L3412" s="2">
        <v>363475.05</v>
      </c>
      <c r="M3412" s="3">
        <v>14565</v>
      </c>
      <c r="N3412" s="4">
        <v>8.2693999999999997E-4</v>
      </c>
      <c r="O3412" s="5" t="s">
        <v>44</v>
      </c>
      <c r="P3412" s="5" t="s">
        <v>44</v>
      </c>
      <c r="Q3412" s="1"/>
      <c r="R3412" s="2"/>
      <c r="S3412" s="6"/>
      <c r="T3412" t="s">
        <v>10902</v>
      </c>
      <c r="U3412" t="s">
        <v>10902</v>
      </c>
      <c r="V3412" t="s">
        <v>10902</v>
      </c>
      <c r="W3412" t="s">
        <v>43</v>
      </c>
      <c r="X3412" t="s">
        <v>11369</v>
      </c>
      <c r="Y3412" t="s">
        <v>11367</v>
      </c>
      <c r="Z3412" t="s">
        <v>11364</v>
      </c>
      <c r="AA3412" t="s">
        <v>44</v>
      </c>
      <c r="AB3412" t="s">
        <v>44</v>
      </c>
      <c r="AC3412" s="4"/>
      <c r="AD3412" s="4"/>
      <c r="AE3412" s="2">
        <v>0</v>
      </c>
      <c r="AF3412" s="4">
        <v>0</v>
      </c>
      <c r="AG3412" s="2">
        <v>1.08</v>
      </c>
      <c r="AH3412" s="2">
        <v>363475.05</v>
      </c>
      <c r="AI3412" s="2">
        <v>0</v>
      </c>
      <c r="AJ3412" s="5">
        <v>44673</v>
      </c>
      <c r="AK3412" t="s">
        <v>12656</v>
      </c>
      <c r="AL3412" s="2">
        <v>0</v>
      </c>
      <c r="AM3412" s="2">
        <v>0</v>
      </c>
      <c r="AN3412" s="2">
        <v>0</v>
      </c>
      <c r="AO3412" t="s">
        <v>44</v>
      </c>
      <c r="AP3412" t="s">
        <v>11723</v>
      </c>
      <c r="AQ3412" t="s">
        <v>4873</v>
      </c>
    </row>
    <row r="3413" spans="1:43" x14ac:dyDescent="0.2">
      <c r="A3413" t="s">
        <v>12655</v>
      </c>
      <c r="B3413" t="s">
        <v>11037</v>
      </c>
      <c r="C3413" t="s">
        <v>11364</v>
      </c>
      <c r="D3413" t="s">
        <v>11724</v>
      </c>
      <c r="E3413" t="s">
        <v>4782</v>
      </c>
      <c r="F3413" t="s">
        <v>11724</v>
      </c>
      <c r="G3413" s="1">
        <v>1383</v>
      </c>
      <c r="H3413" s="2">
        <v>213286.79</v>
      </c>
      <c r="I3413" s="2">
        <v>305062.14</v>
      </c>
      <c r="J3413" s="2">
        <v>0</v>
      </c>
      <c r="K3413" s="2">
        <v>0</v>
      </c>
      <c r="L3413" s="2">
        <v>305062.14</v>
      </c>
      <c r="M3413" s="3">
        <v>22058</v>
      </c>
      <c r="N3413" s="4">
        <v>6.9404999999999998E-4</v>
      </c>
      <c r="O3413" s="5" t="s">
        <v>44</v>
      </c>
      <c r="P3413" s="5" t="s">
        <v>44</v>
      </c>
      <c r="Q3413" s="1"/>
      <c r="R3413" s="2"/>
      <c r="S3413" s="6"/>
      <c r="T3413" t="s">
        <v>10902</v>
      </c>
      <c r="U3413" t="s">
        <v>10902</v>
      </c>
      <c r="V3413" t="s">
        <v>10902</v>
      </c>
      <c r="W3413" t="s">
        <v>43</v>
      </c>
      <c r="X3413" t="s">
        <v>11725</v>
      </c>
      <c r="Y3413" t="s">
        <v>11367</v>
      </c>
      <c r="Z3413" t="s">
        <v>11364</v>
      </c>
      <c r="AA3413" t="s">
        <v>44</v>
      </c>
      <c r="AB3413" t="s">
        <v>44</v>
      </c>
      <c r="AC3413" s="4"/>
      <c r="AD3413" s="4"/>
      <c r="AE3413" s="2">
        <v>0</v>
      </c>
      <c r="AF3413" s="4">
        <v>0</v>
      </c>
      <c r="AG3413" s="2">
        <v>0.91</v>
      </c>
      <c r="AH3413" s="2">
        <v>305062.14</v>
      </c>
      <c r="AI3413" s="2">
        <v>0</v>
      </c>
      <c r="AJ3413" s="5">
        <v>44673</v>
      </c>
      <c r="AK3413" t="s">
        <v>12656</v>
      </c>
      <c r="AL3413" s="2">
        <v>0</v>
      </c>
      <c r="AM3413" s="2">
        <v>0</v>
      </c>
      <c r="AN3413" s="2">
        <v>0</v>
      </c>
      <c r="AO3413" t="s">
        <v>44</v>
      </c>
      <c r="AP3413" t="s">
        <v>11726</v>
      </c>
      <c r="AQ3413" t="s">
        <v>4782</v>
      </c>
    </row>
    <row r="3414" spans="1:43" x14ac:dyDescent="0.2">
      <c r="A3414" t="s">
        <v>12655</v>
      </c>
      <c r="B3414" t="s">
        <v>11037</v>
      </c>
      <c r="C3414" t="s">
        <v>11727</v>
      </c>
      <c r="D3414" t="s">
        <v>11728</v>
      </c>
      <c r="E3414" t="s">
        <v>4855</v>
      </c>
      <c r="F3414" t="s">
        <v>11728</v>
      </c>
      <c r="G3414" s="1">
        <v>1001</v>
      </c>
      <c r="H3414" s="2">
        <v>2836775.2</v>
      </c>
      <c r="I3414" s="2">
        <v>1508787.28</v>
      </c>
      <c r="J3414" s="2">
        <v>0</v>
      </c>
      <c r="K3414" s="2">
        <v>0</v>
      </c>
      <c r="L3414" s="2">
        <v>1508787.28</v>
      </c>
      <c r="M3414" s="3">
        <v>150728</v>
      </c>
      <c r="N3414" s="4">
        <v>3.4326500000000002E-3</v>
      </c>
      <c r="O3414" s="5" t="s">
        <v>44</v>
      </c>
      <c r="P3414" s="5" t="s">
        <v>44</v>
      </c>
      <c r="Q3414" s="1"/>
      <c r="R3414" s="2"/>
      <c r="S3414" s="6"/>
      <c r="T3414" t="s">
        <v>10902</v>
      </c>
      <c r="U3414" t="s">
        <v>10902</v>
      </c>
      <c r="V3414" t="s">
        <v>10902</v>
      </c>
      <c r="W3414" t="s">
        <v>43</v>
      </c>
      <c r="X3414" t="s">
        <v>11729</v>
      </c>
      <c r="Y3414" t="s">
        <v>11727</v>
      </c>
      <c r="Z3414" t="s">
        <v>11727</v>
      </c>
      <c r="AA3414" t="s">
        <v>44</v>
      </c>
      <c r="AB3414" t="s">
        <v>44</v>
      </c>
      <c r="AC3414" s="4"/>
      <c r="AD3414" s="4"/>
      <c r="AE3414" s="2">
        <v>0</v>
      </c>
      <c r="AF3414" s="4">
        <v>0</v>
      </c>
      <c r="AG3414" s="2">
        <v>4.5</v>
      </c>
      <c r="AH3414" s="2">
        <v>1508787.28</v>
      </c>
      <c r="AI3414" s="2">
        <v>0</v>
      </c>
      <c r="AJ3414" s="5">
        <v>44673</v>
      </c>
      <c r="AK3414" t="s">
        <v>12656</v>
      </c>
      <c r="AL3414" s="2">
        <v>0</v>
      </c>
      <c r="AM3414" s="2">
        <v>0</v>
      </c>
      <c r="AN3414" s="2">
        <v>0</v>
      </c>
      <c r="AO3414" t="s">
        <v>44</v>
      </c>
      <c r="AP3414" t="s">
        <v>11730</v>
      </c>
      <c r="AQ3414" t="s">
        <v>4855</v>
      </c>
    </row>
    <row r="3415" spans="1:43" x14ac:dyDescent="0.2">
      <c r="A3415" t="s">
        <v>12655</v>
      </c>
      <c r="B3415" t="s">
        <v>11037</v>
      </c>
      <c r="C3415" t="s">
        <v>11727</v>
      </c>
      <c r="D3415" t="s">
        <v>11731</v>
      </c>
      <c r="E3415" t="s">
        <v>2068</v>
      </c>
      <c r="F3415" t="s">
        <v>11731</v>
      </c>
      <c r="G3415" s="1">
        <v>1066</v>
      </c>
      <c r="H3415" s="2">
        <v>1341008.8799999999</v>
      </c>
      <c r="I3415" s="2">
        <v>787187.7</v>
      </c>
      <c r="J3415" s="2">
        <v>0</v>
      </c>
      <c r="K3415" s="2">
        <v>0</v>
      </c>
      <c r="L3415" s="2">
        <v>787187.7</v>
      </c>
      <c r="M3415" s="3">
        <v>73845</v>
      </c>
      <c r="N3415" s="4">
        <v>1.79094E-3</v>
      </c>
      <c r="O3415" s="5" t="s">
        <v>44</v>
      </c>
      <c r="P3415" s="5" t="s">
        <v>44</v>
      </c>
      <c r="Q3415" s="1"/>
      <c r="R3415" s="2"/>
      <c r="S3415" s="6"/>
      <c r="T3415" t="s">
        <v>10902</v>
      </c>
      <c r="U3415" t="s">
        <v>10902</v>
      </c>
      <c r="V3415" t="s">
        <v>10902</v>
      </c>
      <c r="W3415" t="s">
        <v>43</v>
      </c>
      <c r="X3415" t="s">
        <v>11729</v>
      </c>
      <c r="Y3415" t="s">
        <v>11727</v>
      </c>
      <c r="Z3415" t="s">
        <v>11727</v>
      </c>
      <c r="AA3415" t="s">
        <v>44</v>
      </c>
      <c r="AB3415" t="s">
        <v>44</v>
      </c>
      <c r="AC3415" s="4"/>
      <c r="AD3415" s="4"/>
      <c r="AE3415" s="2">
        <v>0</v>
      </c>
      <c r="AF3415" s="4">
        <v>0</v>
      </c>
      <c r="AG3415" s="2">
        <v>2.35</v>
      </c>
      <c r="AH3415" s="2">
        <v>787187.7</v>
      </c>
      <c r="AI3415" s="2">
        <v>0</v>
      </c>
      <c r="AJ3415" s="5">
        <v>44673</v>
      </c>
      <c r="AK3415" t="s">
        <v>12656</v>
      </c>
      <c r="AL3415" s="2">
        <v>0</v>
      </c>
      <c r="AM3415" s="2">
        <v>0</v>
      </c>
      <c r="AN3415" s="2">
        <v>0</v>
      </c>
      <c r="AO3415" t="s">
        <v>44</v>
      </c>
      <c r="AP3415" t="s">
        <v>2073</v>
      </c>
      <c r="AQ3415" t="s">
        <v>2068</v>
      </c>
    </row>
    <row r="3416" spans="1:43" x14ac:dyDescent="0.2">
      <c r="A3416" t="s">
        <v>12655</v>
      </c>
      <c r="B3416" t="s">
        <v>11037</v>
      </c>
      <c r="C3416" t="s">
        <v>11380</v>
      </c>
      <c r="D3416" t="s">
        <v>5901</v>
      </c>
      <c r="E3416" t="s">
        <v>4841</v>
      </c>
      <c r="F3416" t="s">
        <v>5901</v>
      </c>
      <c r="G3416" s="1">
        <v>8545</v>
      </c>
      <c r="H3416" s="2">
        <v>691650.31</v>
      </c>
      <c r="I3416" s="2">
        <v>1478285</v>
      </c>
      <c r="J3416" s="2">
        <v>0</v>
      </c>
      <c r="K3416" s="2">
        <v>0</v>
      </c>
      <c r="L3416" s="2">
        <v>1478285</v>
      </c>
      <c r="M3416" s="3">
        <v>17300</v>
      </c>
      <c r="N3416" s="4">
        <v>3.3632599999999999E-3</v>
      </c>
      <c r="O3416" s="5" t="s">
        <v>44</v>
      </c>
      <c r="P3416" s="5" t="s">
        <v>44</v>
      </c>
      <c r="Q3416" s="1"/>
      <c r="R3416" s="2"/>
      <c r="S3416" s="6"/>
      <c r="T3416" t="s">
        <v>10902</v>
      </c>
      <c r="U3416" t="s">
        <v>10902</v>
      </c>
      <c r="V3416" t="s">
        <v>10902</v>
      </c>
      <c r="W3416" t="s">
        <v>43</v>
      </c>
      <c r="X3416" t="s">
        <v>11732</v>
      </c>
      <c r="Y3416" t="s">
        <v>11380</v>
      </c>
      <c r="Z3416" t="s">
        <v>11380</v>
      </c>
      <c r="AA3416" t="s">
        <v>44</v>
      </c>
      <c r="AB3416" t="s">
        <v>44</v>
      </c>
      <c r="AC3416" s="4"/>
      <c r="AD3416" s="4"/>
      <c r="AE3416" s="2">
        <v>0</v>
      </c>
      <c r="AF3416" s="4">
        <v>0</v>
      </c>
      <c r="AG3416" s="2">
        <v>4.41</v>
      </c>
      <c r="AH3416" s="2">
        <v>1478285</v>
      </c>
      <c r="AI3416" s="2">
        <v>0</v>
      </c>
      <c r="AJ3416" s="5">
        <v>44673</v>
      </c>
      <c r="AK3416" t="s">
        <v>12656</v>
      </c>
      <c r="AL3416" s="2">
        <v>0</v>
      </c>
      <c r="AM3416" s="2">
        <v>0</v>
      </c>
      <c r="AN3416" s="2">
        <v>0</v>
      </c>
      <c r="AO3416" t="s">
        <v>44</v>
      </c>
      <c r="AP3416" t="s">
        <v>11733</v>
      </c>
      <c r="AQ3416" t="s">
        <v>4841</v>
      </c>
    </row>
    <row r="3417" spans="1:43" x14ac:dyDescent="0.2">
      <c r="A3417" t="s">
        <v>12655</v>
      </c>
      <c r="B3417" t="s">
        <v>11037</v>
      </c>
      <c r="C3417" t="s">
        <v>11380</v>
      </c>
      <c r="D3417" t="s">
        <v>11381</v>
      </c>
      <c r="E3417" t="s">
        <v>5221</v>
      </c>
      <c r="F3417" t="s">
        <v>11381</v>
      </c>
      <c r="G3417" s="1">
        <v>1380</v>
      </c>
      <c r="H3417" s="2">
        <v>63151.31</v>
      </c>
      <c r="I3417" s="2">
        <v>61410</v>
      </c>
      <c r="J3417" s="2">
        <v>0</v>
      </c>
      <c r="K3417" s="2">
        <v>0</v>
      </c>
      <c r="L3417" s="2">
        <v>61410</v>
      </c>
      <c r="M3417" s="3">
        <v>4450</v>
      </c>
      <c r="N3417" s="4">
        <v>1.3971E-4</v>
      </c>
      <c r="O3417" s="5" t="s">
        <v>44</v>
      </c>
      <c r="P3417" s="5" t="s">
        <v>44</v>
      </c>
      <c r="Q3417" s="1"/>
      <c r="R3417" s="2"/>
      <c r="S3417" s="6"/>
      <c r="T3417" t="s">
        <v>10902</v>
      </c>
      <c r="U3417" t="s">
        <v>10902</v>
      </c>
      <c r="V3417" t="s">
        <v>10902</v>
      </c>
      <c r="W3417" t="s">
        <v>43</v>
      </c>
      <c r="X3417" t="s">
        <v>11382</v>
      </c>
      <c r="Y3417" t="s">
        <v>11380</v>
      </c>
      <c r="Z3417" t="s">
        <v>11380</v>
      </c>
      <c r="AA3417" t="s">
        <v>44</v>
      </c>
      <c r="AB3417" t="s">
        <v>44</v>
      </c>
      <c r="AC3417" s="4"/>
      <c r="AD3417" s="4"/>
      <c r="AE3417" s="2">
        <v>0</v>
      </c>
      <c r="AF3417" s="4">
        <v>0</v>
      </c>
      <c r="AG3417" s="2">
        <v>0.18</v>
      </c>
      <c r="AH3417" s="2">
        <v>61410</v>
      </c>
      <c r="AI3417" s="2">
        <v>0</v>
      </c>
      <c r="AJ3417" s="5">
        <v>44673</v>
      </c>
      <c r="AK3417" t="s">
        <v>12656</v>
      </c>
      <c r="AL3417" s="2">
        <v>0</v>
      </c>
      <c r="AM3417" s="2">
        <v>0</v>
      </c>
      <c r="AN3417" s="2">
        <v>0</v>
      </c>
      <c r="AO3417" t="s">
        <v>44</v>
      </c>
      <c r="AP3417" t="s">
        <v>11383</v>
      </c>
      <c r="AQ3417" t="s">
        <v>5221</v>
      </c>
    </row>
    <row r="3418" spans="1:43" x14ac:dyDescent="0.2">
      <c r="A3418" t="s">
        <v>12655</v>
      </c>
      <c r="B3418" t="s">
        <v>11037</v>
      </c>
      <c r="C3418" t="s">
        <v>11380</v>
      </c>
      <c r="D3418" t="s">
        <v>11734</v>
      </c>
      <c r="E3418" t="s">
        <v>1469</v>
      </c>
      <c r="F3418" t="s">
        <v>11734</v>
      </c>
      <c r="G3418" s="1">
        <v>2460</v>
      </c>
      <c r="H3418" s="2">
        <v>304319.18</v>
      </c>
      <c r="I3418" s="2">
        <v>369762.6</v>
      </c>
      <c r="J3418" s="2">
        <v>0</v>
      </c>
      <c r="K3418" s="2">
        <v>0</v>
      </c>
      <c r="L3418" s="2">
        <v>369762.6</v>
      </c>
      <c r="M3418" s="3">
        <v>15031</v>
      </c>
      <c r="N3418" s="4">
        <v>8.4124999999999998E-4</v>
      </c>
      <c r="O3418" s="5" t="s">
        <v>44</v>
      </c>
      <c r="P3418" s="5" t="s">
        <v>44</v>
      </c>
      <c r="Q3418" s="1"/>
      <c r="R3418" s="2"/>
      <c r="S3418" s="6"/>
      <c r="T3418" t="s">
        <v>10902</v>
      </c>
      <c r="U3418" t="s">
        <v>10902</v>
      </c>
      <c r="V3418" t="s">
        <v>10902</v>
      </c>
      <c r="W3418" t="s">
        <v>43</v>
      </c>
      <c r="X3418" t="s">
        <v>11732</v>
      </c>
      <c r="Y3418" t="s">
        <v>11380</v>
      </c>
      <c r="Z3418" t="s">
        <v>11380</v>
      </c>
      <c r="AA3418" t="s">
        <v>44</v>
      </c>
      <c r="AB3418" t="s">
        <v>44</v>
      </c>
      <c r="AC3418" s="4"/>
      <c r="AD3418" s="4"/>
      <c r="AE3418" s="2">
        <v>0</v>
      </c>
      <c r="AF3418" s="4">
        <v>0</v>
      </c>
      <c r="AG3418" s="2">
        <v>1.1000000000000001</v>
      </c>
      <c r="AH3418" s="2">
        <v>369762.6</v>
      </c>
      <c r="AI3418" s="2">
        <v>0</v>
      </c>
      <c r="AJ3418" s="5">
        <v>44673</v>
      </c>
      <c r="AK3418" t="s">
        <v>12656</v>
      </c>
      <c r="AL3418" s="2">
        <v>0</v>
      </c>
      <c r="AM3418" s="2">
        <v>0</v>
      </c>
      <c r="AN3418" s="2">
        <v>0</v>
      </c>
      <c r="AO3418" t="s">
        <v>44</v>
      </c>
      <c r="AP3418" t="s">
        <v>11735</v>
      </c>
      <c r="AQ3418" t="s">
        <v>1469</v>
      </c>
    </row>
    <row r="3419" spans="1:43" x14ac:dyDescent="0.2">
      <c r="A3419" t="s">
        <v>12657</v>
      </c>
      <c r="B3419" t="s">
        <v>10900</v>
      </c>
      <c r="C3419" t="s">
        <v>11049</v>
      </c>
      <c r="D3419" t="s">
        <v>11453</v>
      </c>
      <c r="E3419" t="s">
        <v>11454</v>
      </c>
      <c r="F3419" t="s">
        <v>11453</v>
      </c>
      <c r="G3419" s="1">
        <v>2200000</v>
      </c>
      <c r="H3419" s="2">
        <v>2200000</v>
      </c>
      <c r="I3419" s="2">
        <v>2208310.25</v>
      </c>
      <c r="J3419" s="2">
        <v>17663.77</v>
      </c>
      <c r="K3419" s="2">
        <v>0</v>
      </c>
      <c r="L3419" s="2">
        <v>2225974.02</v>
      </c>
      <c r="M3419" s="3">
        <v>5.0248049999999997</v>
      </c>
      <c r="N3419" s="4">
        <v>5.0643299999999997E-3</v>
      </c>
      <c r="O3419" s="5">
        <v>44707</v>
      </c>
      <c r="P3419" s="5">
        <v>44983</v>
      </c>
      <c r="Q3419" s="1">
        <v>5.4269999999999996</v>
      </c>
      <c r="R3419" s="2">
        <v>0.08</v>
      </c>
      <c r="S3419" s="6">
        <v>7.8644503066000002E-2</v>
      </c>
      <c r="T3419" t="s">
        <v>111</v>
      </c>
      <c r="U3419" t="s">
        <v>111</v>
      </c>
      <c r="V3419" t="s">
        <v>11189</v>
      </c>
      <c r="W3419" t="s">
        <v>43</v>
      </c>
      <c r="X3419" t="s">
        <v>11034</v>
      </c>
      <c r="Y3419" t="s">
        <v>44</v>
      </c>
      <c r="Z3419" t="s">
        <v>44</v>
      </c>
      <c r="AA3419" t="s">
        <v>11441</v>
      </c>
      <c r="AB3419" t="s">
        <v>44</v>
      </c>
      <c r="AC3419" s="4">
        <v>5.0879264600000003</v>
      </c>
      <c r="AD3419" s="4">
        <v>4.9729969399999998</v>
      </c>
      <c r="AE3419" s="2">
        <v>5.09</v>
      </c>
      <c r="AF3419" s="4">
        <v>4.9729969399999998</v>
      </c>
      <c r="AG3419" s="2">
        <v>0.41</v>
      </c>
      <c r="AH3419" s="2">
        <v>2225974.02</v>
      </c>
      <c r="AI3419" s="2">
        <v>0.01</v>
      </c>
      <c r="AJ3419" s="5">
        <v>44673</v>
      </c>
      <c r="AK3419" t="s">
        <v>12658</v>
      </c>
      <c r="AL3419" s="2">
        <v>5.0199999999999996</v>
      </c>
      <c r="AM3419" s="2">
        <v>5.43</v>
      </c>
      <c r="AN3419" s="2">
        <v>0.08</v>
      </c>
      <c r="AO3419" t="s">
        <v>11455</v>
      </c>
      <c r="AP3419" t="s">
        <v>11456</v>
      </c>
      <c r="AQ3419" t="s">
        <v>11454</v>
      </c>
    </row>
    <row r="3420" spans="1:43" x14ac:dyDescent="0.2">
      <c r="A3420" t="s">
        <v>12657</v>
      </c>
      <c r="B3420" t="s">
        <v>10900</v>
      </c>
      <c r="C3420" t="s">
        <v>11049</v>
      </c>
      <c r="D3420" t="s">
        <v>11457</v>
      </c>
      <c r="E3420" t="s">
        <v>11458</v>
      </c>
      <c r="F3420" t="s">
        <v>11457</v>
      </c>
      <c r="G3420" s="1">
        <v>1300000</v>
      </c>
      <c r="H3420" s="2">
        <v>1300000</v>
      </c>
      <c r="I3420" s="2">
        <v>1300004.83</v>
      </c>
      <c r="J3420" s="2">
        <v>15648.3</v>
      </c>
      <c r="K3420" s="2">
        <v>0</v>
      </c>
      <c r="L3420" s="2">
        <v>1315653.1299999999</v>
      </c>
      <c r="M3420" s="3">
        <v>5.4289139999999998</v>
      </c>
      <c r="N3420" s="4">
        <v>2.9932499999999998E-3</v>
      </c>
      <c r="O3420" s="5">
        <v>44684</v>
      </c>
      <c r="P3420" s="5">
        <v>44957</v>
      </c>
      <c r="Q3420" s="1">
        <v>5.3579999999999997</v>
      </c>
      <c r="R3420" s="2">
        <v>0.02</v>
      </c>
      <c r="S3420" s="6">
        <v>1.4426938812E-2</v>
      </c>
      <c r="T3420" t="s">
        <v>111</v>
      </c>
      <c r="U3420" t="s">
        <v>111</v>
      </c>
      <c r="V3420" t="s">
        <v>11189</v>
      </c>
      <c r="W3420" t="s">
        <v>43</v>
      </c>
      <c r="X3420" t="s">
        <v>11034</v>
      </c>
      <c r="Y3420" t="s">
        <v>44</v>
      </c>
      <c r="Z3420" t="s">
        <v>44</v>
      </c>
      <c r="AA3420" t="s">
        <v>10979</v>
      </c>
      <c r="AB3420" t="s">
        <v>44</v>
      </c>
      <c r="AC3420" s="4">
        <v>5.5025962599999998</v>
      </c>
      <c r="AD3420" s="4">
        <v>5.3685105899999996</v>
      </c>
      <c r="AE3420" s="2">
        <v>5.5</v>
      </c>
      <c r="AF3420" s="4">
        <v>5.3685105899999996</v>
      </c>
      <c r="AG3420" s="2">
        <v>0.24</v>
      </c>
      <c r="AH3420" s="2">
        <v>1315653.1299999999</v>
      </c>
      <c r="AI3420" s="2">
        <v>0</v>
      </c>
      <c r="AJ3420" s="5">
        <v>44673</v>
      </c>
      <c r="AK3420" t="s">
        <v>12658</v>
      </c>
      <c r="AL3420" s="2">
        <v>5.43</v>
      </c>
      <c r="AM3420" s="2">
        <v>5.36</v>
      </c>
      <c r="AN3420" s="2">
        <v>0.01</v>
      </c>
      <c r="AO3420" t="s">
        <v>11048</v>
      </c>
      <c r="AP3420" t="s">
        <v>11459</v>
      </c>
      <c r="AQ3420" t="s">
        <v>11458</v>
      </c>
    </row>
    <row r="3421" spans="1:43" x14ac:dyDescent="0.2">
      <c r="A3421" t="s">
        <v>12657</v>
      </c>
      <c r="B3421" t="s">
        <v>10900</v>
      </c>
      <c r="C3421" t="s">
        <v>11049</v>
      </c>
      <c r="D3421" t="s">
        <v>11785</v>
      </c>
      <c r="E3421" t="s">
        <v>11786</v>
      </c>
      <c r="F3421" t="s">
        <v>11785</v>
      </c>
      <c r="G3421" s="1">
        <v>7600000</v>
      </c>
      <c r="H3421" s="2">
        <v>7644139.2699999996</v>
      </c>
      <c r="I3421" s="2">
        <v>7677623.2800000003</v>
      </c>
      <c r="J3421" s="2">
        <v>49586.15</v>
      </c>
      <c r="K3421" s="2">
        <v>0</v>
      </c>
      <c r="L3421" s="2">
        <v>7727209.4299999997</v>
      </c>
      <c r="M3421" s="3">
        <v>4.8216830000000002</v>
      </c>
      <c r="N3421" s="4">
        <v>1.7580229999999999E-2</v>
      </c>
      <c r="O3421" s="5">
        <v>44732</v>
      </c>
      <c r="P3421" s="5">
        <v>44824</v>
      </c>
      <c r="Q3421" s="1">
        <v>7.4420000000000002</v>
      </c>
      <c r="R3421" s="2">
        <v>0.15</v>
      </c>
      <c r="S3421" s="6">
        <v>0.146783072519</v>
      </c>
      <c r="T3421" t="s">
        <v>111</v>
      </c>
      <c r="U3421" t="s">
        <v>111</v>
      </c>
      <c r="V3421" t="s">
        <v>11189</v>
      </c>
      <c r="W3421" t="s">
        <v>43</v>
      </c>
      <c r="X3421" t="s">
        <v>11034</v>
      </c>
      <c r="Y3421" t="s">
        <v>44</v>
      </c>
      <c r="Z3421" t="s">
        <v>44</v>
      </c>
      <c r="AA3421" t="s">
        <v>10979</v>
      </c>
      <c r="AB3421" t="s">
        <v>11441</v>
      </c>
      <c r="AC3421" s="4">
        <v>4.87980444</v>
      </c>
      <c r="AD3421" s="4">
        <v>4.7739498600000001</v>
      </c>
      <c r="AE3421" s="2">
        <v>4.88</v>
      </c>
      <c r="AF3421" s="4">
        <v>4.7739498600000001</v>
      </c>
      <c r="AG3421" s="2">
        <v>1.43</v>
      </c>
      <c r="AH3421" s="2">
        <v>7727209.4299999997</v>
      </c>
      <c r="AI3421" s="2">
        <v>0.02</v>
      </c>
      <c r="AJ3421" s="5">
        <v>44673</v>
      </c>
      <c r="AK3421" t="s">
        <v>12658</v>
      </c>
      <c r="AL3421" s="2">
        <v>4.82</v>
      </c>
      <c r="AM3421" s="2">
        <v>7.44</v>
      </c>
      <c r="AN3421" s="2">
        <v>0.15</v>
      </c>
      <c r="AO3421" t="s">
        <v>11054</v>
      </c>
      <c r="AP3421" t="s">
        <v>11787</v>
      </c>
      <c r="AQ3421" t="s">
        <v>11786</v>
      </c>
    </row>
    <row r="3422" spans="1:43" x14ac:dyDescent="0.2">
      <c r="A3422" t="s">
        <v>12657</v>
      </c>
      <c r="B3422" t="s">
        <v>10900</v>
      </c>
      <c r="C3422" t="s">
        <v>11049</v>
      </c>
      <c r="D3422" t="s">
        <v>11959</v>
      </c>
      <c r="E3422" t="s">
        <v>11960</v>
      </c>
      <c r="F3422" t="s">
        <v>11959</v>
      </c>
      <c r="G3422" s="1">
        <v>3000000</v>
      </c>
      <c r="H3422" s="2">
        <v>3003213.9</v>
      </c>
      <c r="I3422" s="2">
        <v>3002782.07</v>
      </c>
      <c r="J3422" s="2">
        <v>17917.810000000001</v>
      </c>
      <c r="K3422" s="2">
        <v>0</v>
      </c>
      <c r="L3422" s="2">
        <v>3020699.88</v>
      </c>
      <c r="M3422" s="3">
        <v>5.1678660000000001</v>
      </c>
      <c r="N3422" s="4">
        <v>6.8724199999999997E-3</v>
      </c>
      <c r="O3422" s="5">
        <v>44725</v>
      </c>
      <c r="P3422" s="5">
        <v>44816</v>
      </c>
      <c r="Q3422" s="1">
        <v>5.45</v>
      </c>
      <c r="R3422" s="2">
        <v>0.13</v>
      </c>
      <c r="S3422" s="6">
        <v>0.1261341168</v>
      </c>
      <c r="T3422" t="s">
        <v>111</v>
      </c>
      <c r="U3422" t="s">
        <v>111</v>
      </c>
      <c r="V3422" t="s">
        <v>11189</v>
      </c>
      <c r="W3422" t="s">
        <v>43</v>
      </c>
      <c r="X3422" t="s">
        <v>11034</v>
      </c>
      <c r="Y3422" t="s">
        <v>44</v>
      </c>
      <c r="Z3422" t="s">
        <v>44</v>
      </c>
      <c r="AA3422" t="s">
        <v>11035</v>
      </c>
      <c r="AB3422" t="s">
        <v>44</v>
      </c>
      <c r="AC3422" s="4">
        <v>5.2346334099999998</v>
      </c>
      <c r="AD3422" s="4">
        <v>5.1130898599999997</v>
      </c>
      <c r="AE3422" s="2">
        <v>5.23</v>
      </c>
      <c r="AF3422" s="4">
        <v>5.1130898599999997</v>
      </c>
      <c r="AG3422" s="2">
        <v>0.56000000000000005</v>
      </c>
      <c r="AH3422" s="2">
        <v>3020699.88</v>
      </c>
      <c r="AI3422" s="2">
        <v>0.01</v>
      </c>
      <c r="AJ3422" s="5">
        <v>44673</v>
      </c>
      <c r="AK3422" t="s">
        <v>12658</v>
      </c>
      <c r="AL3422" s="2">
        <v>5.17</v>
      </c>
      <c r="AM3422" s="2">
        <v>5.45</v>
      </c>
      <c r="AN3422" s="2">
        <v>0.13</v>
      </c>
      <c r="AO3422" t="s">
        <v>11053</v>
      </c>
      <c r="AP3422" t="s">
        <v>11961</v>
      </c>
      <c r="AQ3422" t="s">
        <v>11960</v>
      </c>
    </row>
    <row r="3423" spans="1:43" x14ac:dyDescent="0.2">
      <c r="A3423" t="s">
        <v>12657</v>
      </c>
      <c r="B3423" t="s">
        <v>10900</v>
      </c>
      <c r="C3423" t="s">
        <v>11049</v>
      </c>
      <c r="D3423" t="s">
        <v>11791</v>
      </c>
      <c r="E3423" t="s">
        <v>11792</v>
      </c>
      <c r="F3423" t="s">
        <v>11791</v>
      </c>
      <c r="G3423" s="1">
        <v>10000000</v>
      </c>
      <c r="H3423" s="2">
        <v>10000000</v>
      </c>
      <c r="I3423" s="2">
        <v>10115854</v>
      </c>
      <c r="J3423" s="2">
        <v>109331.51</v>
      </c>
      <c r="K3423" s="2">
        <v>0</v>
      </c>
      <c r="L3423" s="2">
        <v>10225185.51</v>
      </c>
      <c r="M3423" s="3">
        <v>3.91</v>
      </c>
      <c r="N3423" s="4">
        <v>2.32634E-2</v>
      </c>
      <c r="O3423" s="5">
        <v>44804</v>
      </c>
      <c r="P3423" s="5">
        <v>44804</v>
      </c>
      <c r="Q3423" s="1">
        <v>7.39</v>
      </c>
      <c r="R3423" s="2">
        <v>0.35</v>
      </c>
      <c r="S3423" s="6">
        <v>0.345941314</v>
      </c>
      <c r="T3423" t="s">
        <v>111</v>
      </c>
      <c r="U3423" t="s">
        <v>111</v>
      </c>
      <c r="V3423" t="s">
        <v>114</v>
      </c>
      <c r="W3423" t="s">
        <v>43</v>
      </c>
      <c r="X3423" t="s">
        <v>44</v>
      </c>
      <c r="Y3423" t="s">
        <v>44</v>
      </c>
      <c r="Z3423" t="s">
        <v>44</v>
      </c>
      <c r="AA3423" t="s">
        <v>10913</v>
      </c>
      <c r="AB3423" t="s">
        <v>44</v>
      </c>
      <c r="AC3423" s="4">
        <v>3.9482202499999999</v>
      </c>
      <c r="AD3423" s="4">
        <v>3.8785251199999999</v>
      </c>
      <c r="AE3423" s="2">
        <v>3.95</v>
      </c>
      <c r="AF3423" s="4">
        <v>3.8785251199999999</v>
      </c>
      <c r="AG3423" s="2">
        <v>1.9</v>
      </c>
      <c r="AH3423" s="2">
        <v>10225185.51</v>
      </c>
      <c r="AI3423" s="2">
        <v>0.02</v>
      </c>
      <c r="AJ3423" s="5">
        <v>44673</v>
      </c>
      <c r="AK3423" t="s">
        <v>12658</v>
      </c>
      <c r="AL3423" s="2">
        <v>3.91</v>
      </c>
      <c r="AM3423" s="2">
        <v>7.39</v>
      </c>
      <c r="AN3423" s="2">
        <v>0.35</v>
      </c>
      <c r="AO3423" t="s">
        <v>10922</v>
      </c>
      <c r="AP3423" t="s">
        <v>11793</v>
      </c>
      <c r="AQ3423" t="s">
        <v>11792</v>
      </c>
    </row>
    <row r="3424" spans="1:43" x14ac:dyDescent="0.2">
      <c r="A3424" t="s">
        <v>12657</v>
      </c>
      <c r="B3424" t="s">
        <v>10900</v>
      </c>
      <c r="C3424" t="s">
        <v>11049</v>
      </c>
      <c r="D3424" t="s">
        <v>11474</v>
      </c>
      <c r="E3424" t="s">
        <v>11475</v>
      </c>
      <c r="F3424" t="s">
        <v>11474</v>
      </c>
      <c r="G3424" s="1">
        <v>12900000</v>
      </c>
      <c r="H3424" s="2">
        <v>12900000</v>
      </c>
      <c r="I3424" s="2">
        <v>12899713.619999999</v>
      </c>
      <c r="J3424" s="2">
        <v>209531.34</v>
      </c>
      <c r="K3424" s="2">
        <v>0</v>
      </c>
      <c r="L3424" s="2">
        <v>13109244.960000001</v>
      </c>
      <c r="M3424" s="3">
        <v>7.23</v>
      </c>
      <c r="N3424" s="4">
        <v>2.9824940000000001E-2</v>
      </c>
      <c r="O3424" s="5">
        <v>44773</v>
      </c>
      <c r="P3424" s="5">
        <v>44773</v>
      </c>
      <c r="Q3424" s="1">
        <v>7.23</v>
      </c>
      <c r="R3424" s="2">
        <v>0.27</v>
      </c>
      <c r="S3424" s="6">
        <v>0.26074350600000001</v>
      </c>
      <c r="T3424" t="s">
        <v>111</v>
      </c>
      <c r="U3424" t="s">
        <v>111</v>
      </c>
      <c r="V3424" t="s">
        <v>10944</v>
      </c>
      <c r="W3424" t="s">
        <v>43</v>
      </c>
      <c r="X3424" t="s">
        <v>44</v>
      </c>
      <c r="Y3424" t="s">
        <v>44</v>
      </c>
      <c r="Z3424" t="s">
        <v>44</v>
      </c>
      <c r="AA3424" t="s">
        <v>10913</v>
      </c>
      <c r="AB3424" t="s">
        <v>44</v>
      </c>
      <c r="AC3424" s="4">
        <v>7.36068225</v>
      </c>
      <c r="AD3424" s="4">
        <v>7.1234440000000001</v>
      </c>
      <c r="AE3424" s="2">
        <v>7.36</v>
      </c>
      <c r="AF3424" s="4">
        <v>7.1234440000000001</v>
      </c>
      <c r="AG3424" s="2">
        <v>2.4300000000000002</v>
      </c>
      <c r="AH3424" s="2">
        <v>13109244.960000001</v>
      </c>
      <c r="AI3424" s="2">
        <v>0.03</v>
      </c>
      <c r="AJ3424" s="5">
        <v>44673</v>
      </c>
      <c r="AK3424" t="s">
        <v>12658</v>
      </c>
      <c r="AL3424" s="2">
        <v>7.23</v>
      </c>
      <c r="AM3424" s="2">
        <v>7.23</v>
      </c>
      <c r="AN3424" s="2">
        <v>0.26</v>
      </c>
      <c r="AO3424" t="s">
        <v>10922</v>
      </c>
      <c r="AP3424" t="s">
        <v>11476</v>
      </c>
      <c r="AQ3424" t="s">
        <v>11475</v>
      </c>
    </row>
    <row r="3425" spans="1:43" x14ac:dyDescent="0.2">
      <c r="A3425" t="s">
        <v>12657</v>
      </c>
      <c r="B3425" t="s">
        <v>10900</v>
      </c>
      <c r="C3425" t="s">
        <v>11049</v>
      </c>
      <c r="D3425" t="s">
        <v>12269</v>
      </c>
      <c r="E3425" t="s">
        <v>12270</v>
      </c>
      <c r="F3425" t="s">
        <v>12269</v>
      </c>
      <c r="G3425" s="1">
        <v>4100000</v>
      </c>
      <c r="H3425" s="2">
        <v>4100000</v>
      </c>
      <c r="I3425" s="2">
        <v>4111915.01</v>
      </c>
      <c r="J3425" s="2">
        <v>48885.48</v>
      </c>
      <c r="K3425" s="2">
        <v>0</v>
      </c>
      <c r="L3425" s="2">
        <v>4160800.49</v>
      </c>
      <c r="M3425" s="3">
        <v>6.43</v>
      </c>
      <c r="N3425" s="4">
        <v>9.4662700000000006E-3</v>
      </c>
      <c r="O3425" s="5">
        <v>44795</v>
      </c>
      <c r="P3425" s="5">
        <v>44978</v>
      </c>
      <c r="Q3425" s="1">
        <v>6.8</v>
      </c>
      <c r="R3425" s="2">
        <v>0.81</v>
      </c>
      <c r="S3425" s="6">
        <v>0.78433783400000001</v>
      </c>
      <c r="T3425" t="s">
        <v>111</v>
      </c>
      <c r="U3425" t="s">
        <v>111</v>
      </c>
      <c r="V3425" t="s">
        <v>114</v>
      </c>
      <c r="W3425" t="s">
        <v>43</v>
      </c>
      <c r="X3425" t="s">
        <v>44</v>
      </c>
      <c r="Y3425" t="s">
        <v>44</v>
      </c>
      <c r="Z3425" t="s">
        <v>44</v>
      </c>
      <c r="AA3425" t="s">
        <v>10979</v>
      </c>
      <c r="AB3425" t="s">
        <v>44</v>
      </c>
      <c r="AC3425" s="4">
        <v>6.5333622499999997</v>
      </c>
      <c r="AD3425" s="4">
        <v>6.3455195</v>
      </c>
      <c r="AE3425" s="2">
        <v>6.53</v>
      </c>
      <c r="AF3425" s="4">
        <v>6.3455195</v>
      </c>
      <c r="AG3425" s="2">
        <v>0.77</v>
      </c>
      <c r="AH3425" s="2">
        <v>4160800.49</v>
      </c>
      <c r="AI3425" s="2">
        <v>0.01</v>
      </c>
      <c r="AJ3425" s="5">
        <v>44673</v>
      </c>
      <c r="AK3425" t="s">
        <v>12658</v>
      </c>
      <c r="AL3425" s="2">
        <v>6.43</v>
      </c>
      <c r="AM3425" s="2">
        <v>6.8</v>
      </c>
      <c r="AN3425" s="2">
        <v>0.78</v>
      </c>
      <c r="AO3425" t="s">
        <v>10982</v>
      </c>
      <c r="AP3425" t="s">
        <v>12271</v>
      </c>
      <c r="AQ3425" t="s">
        <v>12270</v>
      </c>
    </row>
    <row r="3426" spans="1:43" x14ac:dyDescent="0.2">
      <c r="A3426" t="s">
        <v>12657</v>
      </c>
      <c r="B3426" t="s">
        <v>10900</v>
      </c>
      <c r="C3426" t="s">
        <v>11049</v>
      </c>
      <c r="D3426" t="s">
        <v>11794</v>
      </c>
      <c r="E3426" t="s">
        <v>11795</v>
      </c>
      <c r="F3426" t="s">
        <v>11794</v>
      </c>
      <c r="G3426" s="1">
        <v>1700000</v>
      </c>
      <c r="H3426" s="2">
        <v>1700000</v>
      </c>
      <c r="I3426" s="2">
        <v>1700190.7</v>
      </c>
      <c r="J3426" s="2">
        <v>21608.91</v>
      </c>
      <c r="K3426" s="2">
        <v>0</v>
      </c>
      <c r="L3426" s="2">
        <v>1721799.61</v>
      </c>
      <c r="M3426" s="3">
        <v>4.7002220000000001</v>
      </c>
      <c r="N3426" s="4">
        <v>3.9172800000000004E-3</v>
      </c>
      <c r="O3426" s="5">
        <v>44680</v>
      </c>
      <c r="P3426" s="5">
        <v>44680</v>
      </c>
      <c r="Q3426" s="1">
        <v>5.6580000000000004</v>
      </c>
      <c r="R3426" s="2">
        <v>0.01</v>
      </c>
      <c r="S3426" s="6">
        <v>1.0461427896999999E-2</v>
      </c>
      <c r="T3426" t="s">
        <v>111</v>
      </c>
      <c r="U3426" t="s">
        <v>111</v>
      </c>
      <c r="V3426" t="s">
        <v>11189</v>
      </c>
      <c r="W3426" t="s">
        <v>43</v>
      </c>
      <c r="X3426" t="s">
        <v>11034</v>
      </c>
      <c r="Y3426" t="s">
        <v>44</v>
      </c>
      <c r="Z3426" t="s">
        <v>44</v>
      </c>
      <c r="AA3426" t="s">
        <v>44</v>
      </c>
      <c r="AB3426" t="s">
        <v>11225</v>
      </c>
      <c r="AC3426" s="4">
        <v>4.7554521300000001</v>
      </c>
      <c r="AD3426" s="4">
        <v>4.6548469299999997</v>
      </c>
      <c r="AE3426" s="2">
        <v>4.76</v>
      </c>
      <c r="AF3426" s="4">
        <v>4.6548469299999997</v>
      </c>
      <c r="AG3426" s="2">
        <v>0.32</v>
      </c>
      <c r="AH3426" s="2">
        <v>1721799.61</v>
      </c>
      <c r="AI3426" s="2">
        <v>0</v>
      </c>
      <c r="AJ3426" s="5">
        <v>44673</v>
      </c>
      <c r="AK3426" t="s">
        <v>12658</v>
      </c>
      <c r="AL3426" s="2">
        <v>4.7</v>
      </c>
      <c r="AM3426" s="2">
        <v>5.66</v>
      </c>
      <c r="AN3426" s="2">
        <v>0.01</v>
      </c>
      <c r="AO3426" t="s">
        <v>11527</v>
      </c>
      <c r="AP3426" t="s">
        <v>11796</v>
      </c>
      <c r="AQ3426" t="s">
        <v>11795</v>
      </c>
    </row>
    <row r="3427" spans="1:43" x14ac:dyDescent="0.2">
      <c r="A3427" t="s">
        <v>12657</v>
      </c>
      <c r="B3427" t="s">
        <v>10900</v>
      </c>
      <c r="C3427" t="s">
        <v>11049</v>
      </c>
      <c r="D3427" t="s">
        <v>11487</v>
      </c>
      <c r="E3427" t="s">
        <v>11488</v>
      </c>
      <c r="F3427" t="s">
        <v>11487</v>
      </c>
      <c r="G3427" s="1">
        <v>15000000</v>
      </c>
      <c r="H3427" s="2">
        <v>15000000</v>
      </c>
      <c r="I3427" s="2">
        <v>14999547</v>
      </c>
      <c r="J3427" s="2">
        <v>249369.86</v>
      </c>
      <c r="K3427" s="2">
        <v>0</v>
      </c>
      <c r="L3427" s="2">
        <v>15248916.859999999</v>
      </c>
      <c r="M3427" s="3">
        <v>7.4</v>
      </c>
      <c r="N3427" s="4">
        <v>3.4692929999999997E-2</v>
      </c>
      <c r="O3427" s="5">
        <v>44773</v>
      </c>
      <c r="P3427" s="5">
        <v>44773</v>
      </c>
      <c r="Q3427" s="1">
        <v>7.4</v>
      </c>
      <c r="R3427" s="2">
        <v>0.27</v>
      </c>
      <c r="S3427" s="6">
        <v>0.26062797900000001</v>
      </c>
      <c r="T3427" t="s">
        <v>111</v>
      </c>
      <c r="U3427" t="s">
        <v>111</v>
      </c>
      <c r="V3427" t="s">
        <v>114</v>
      </c>
      <c r="W3427" t="s">
        <v>43</v>
      </c>
      <c r="X3427" t="s">
        <v>44</v>
      </c>
      <c r="Y3427" t="s">
        <v>44</v>
      </c>
      <c r="Z3427" t="s">
        <v>44</v>
      </c>
      <c r="AA3427" t="s">
        <v>10913</v>
      </c>
      <c r="AB3427" t="s">
        <v>44</v>
      </c>
      <c r="AC3427" s="4">
        <v>7.5369000000000002</v>
      </c>
      <c r="AD3427" s="4">
        <v>7.2884304699999998</v>
      </c>
      <c r="AE3427" s="2">
        <v>7.54</v>
      </c>
      <c r="AF3427" s="4">
        <v>7.2884304699999998</v>
      </c>
      <c r="AG3427" s="2">
        <v>2.83</v>
      </c>
      <c r="AH3427" s="2">
        <v>15248916.859999999</v>
      </c>
      <c r="AI3427" s="2">
        <v>0.03</v>
      </c>
      <c r="AJ3427" s="5">
        <v>44673</v>
      </c>
      <c r="AK3427" t="s">
        <v>12658</v>
      </c>
      <c r="AL3427" s="2">
        <v>7.4</v>
      </c>
      <c r="AM3427" s="2">
        <v>7.4</v>
      </c>
      <c r="AN3427" s="2">
        <v>0.26</v>
      </c>
      <c r="AO3427" t="s">
        <v>10922</v>
      </c>
      <c r="AP3427" t="s">
        <v>11489</v>
      </c>
      <c r="AQ3427" t="s">
        <v>11488</v>
      </c>
    </row>
    <row r="3428" spans="1:43" x14ac:dyDescent="0.2">
      <c r="A3428" t="s">
        <v>12657</v>
      </c>
      <c r="B3428" t="s">
        <v>10900</v>
      </c>
      <c r="C3428" t="s">
        <v>11049</v>
      </c>
      <c r="D3428" t="s">
        <v>11797</v>
      </c>
      <c r="E3428" t="s">
        <v>11798</v>
      </c>
      <c r="F3428" t="s">
        <v>11797</v>
      </c>
      <c r="G3428" s="1">
        <v>19660000</v>
      </c>
      <c r="H3428" s="2">
        <v>19880076.359999999</v>
      </c>
      <c r="I3428" s="2">
        <v>19988646.170000002</v>
      </c>
      <c r="J3428" s="2">
        <v>121617.84</v>
      </c>
      <c r="K3428" s="2">
        <v>0</v>
      </c>
      <c r="L3428" s="2">
        <v>20110264.010000002</v>
      </c>
      <c r="M3428" s="3">
        <v>5.7687520000000001</v>
      </c>
      <c r="N3428" s="4">
        <v>4.5753019999999998E-2</v>
      </c>
      <c r="O3428" s="5">
        <v>44742</v>
      </c>
      <c r="P3428" s="5">
        <v>44834</v>
      </c>
      <c r="Q3428" s="1">
        <v>9.8170000000000002</v>
      </c>
      <c r="R3428" s="2">
        <v>0.18</v>
      </c>
      <c r="S3428" s="6">
        <v>0.17046604942900001</v>
      </c>
      <c r="T3428" t="s">
        <v>111</v>
      </c>
      <c r="U3428" t="s">
        <v>111</v>
      </c>
      <c r="V3428" t="s">
        <v>11189</v>
      </c>
      <c r="W3428" t="s">
        <v>43</v>
      </c>
      <c r="X3428" t="s">
        <v>11034</v>
      </c>
      <c r="Y3428" t="s">
        <v>44</v>
      </c>
      <c r="Z3428" t="s">
        <v>44</v>
      </c>
      <c r="AA3428" t="s">
        <v>11035</v>
      </c>
      <c r="AB3428" t="s">
        <v>2680</v>
      </c>
      <c r="AC3428" s="4">
        <v>5.8519482600000003</v>
      </c>
      <c r="AD3428" s="4">
        <v>5.7006194399999996</v>
      </c>
      <c r="AE3428" s="2">
        <v>5.85</v>
      </c>
      <c r="AF3428" s="4">
        <v>5.7006194399999996</v>
      </c>
      <c r="AG3428" s="2">
        <v>3.73</v>
      </c>
      <c r="AH3428" s="2">
        <v>20110264.010000002</v>
      </c>
      <c r="AI3428" s="2">
        <v>0.05</v>
      </c>
      <c r="AJ3428" s="5">
        <v>44673</v>
      </c>
      <c r="AK3428" t="s">
        <v>12658</v>
      </c>
      <c r="AL3428" s="2">
        <v>5.77</v>
      </c>
      <c r="AM3428" s="2">
        <v>9.82</v>
      </c>
      <c r="AN3428" s="2">
        <v>0.17</v>
      </c>
      <c r="AO3428" t="s">
        <v>11496</v>
      </c>
      <c r="AP3428" t="s">
        <v>11799</v>
      </c>
      <c r="AQ3428" t="s">
        <v>11798</v>
      </c>
    </row>
    <row r="3429" spans="1:43" x14ac:dyDescent="0.2">
      <c r="A3429" t="s">
        <v>12657</v>
      </c>
      <c r="B3429" t="s">
        <v>10900</v>
      </c>
      <c r="C3429" t="s">
        <v>11033</v>
      </c>
      <c r="D3429" t="s">
        <v>11803</v>
      </c>
      <c r="E3429" t="s">
        <v>11804</v>
      </c>
      <c r="F3429" t="s">
        <v>11803</v>
      </c>
      <c r="G3429" s="1">
        <v>10200000</v>
      </c>
      <c r="H3429" s="2">
        <v>10253205.57</v>
      </c>
      <c r="I3429" s="2">
        <v>10321318.279999999</v>
      </c>
      <c r="J3429" s="2">
        <v>100607.77</v>
      </c>
      <c r="K3429" s="2">
        <v>0</v>
      </c>
      <c r="L3429" s="2">
        <v>10421926.050000001</v>
      </c>
      <c r="M3429" s="3">
        <v>5.9316740000000001</v>
      </c>
      <c r="N3429" s="4">
        <v>2.3710999999999999E-2</v>
      </c>
      <c r="O3429" s="5">
        <v>44711</v>
      </c>
      <c r="P3429" s="5">
        <v>45259</v>
      </c>
      <c r="Q3429" s="1">
        <v>6.6669999999999998</v>
      </c>
      <c r="R3429" s="2">
        <v>0.1</v>
      </c>
      <c r="S3429" s="6">
        <v>8.3360787894999996E-2</v>
      </c>
      <c r="T3429" t="s">
        <v>111</v>
      </c>
      <c r="U3429" t="s">
        <v>111</v>
      </c>
      <c r="V3429" t="s">
        <v>11189</v>
      </c>
      <c r="W3429" t="s">
        <v>43</v>
      </c>
      <c r="X3429" t="s">
        <v>11034</v>
      </c>
      <c r="Y3429" t="s">
        <v>44</v>
      </c>
      <c r="Z3429" t="s">
        <v>44</v>
      </c>
      <c r="AA3429" t="s">
        <v>10979</v>
      </c>
      <c r="AB3429" t="s">
        <v>44</v>
      </c>
      <c r="AC3429" s="4">
        <v>6.0196354200000002</v>
      </c>
      <c r="AD3429" s="4">
        <v>5.8596732400000002</v>
      </c>
      <c r="AE3429" s="2">
        <v>6.02</v>
      </c>
      <c r="AF3429" s="4">
        <v>5.8596732400000002</v>
      </c>
      <c r="AG3429" s="2">
        <v>1.93</v>
      </c>
      <c r="AH3429" s="2">
        <v>10421926.050000001</v>
      </c>
      <c r="AI3429" s="2">
        <v>0.02</v>
      </c>
      <c r="AJ3429" s="5">
        <v>44673</v>
      </c>
      <c r="AK3429" t="s">
        <v>12658</v>
      </c>
      <c r="AL3429" s="2">
        <v>5.93</v>
      </c>
      <c r="AM3429" s="2">
        <v>6.67</v>
      </c>
      <c r="AN3429" s="2">
        <v>0.08</v>
      </c>
      <c r="AO3429" t="s">
        <v>11165</v>
      </c>
      <c r="AP3429" t="s">
        <v>11805</v>
      </c>
      <c r="AQ3429" t="s">
        <v>11804</v>
      </c>
    </row>
    <row r="3430" spans="1:43" x14ac:dyDescent="0.2">
      <c r="A3430" t="s">
        <v>12657</v>
      </c>
      <c r="B3430" t="s">
        <v>10900</v>
      </c>
      <c r="C3430" t="s">
        <v>11033</v>
      </c>
      <c r="D3430" t="s">
        <v>11806</v>
      </c>
      <c r="E3430" t="s">
        <v>11807</v>
      </c>
      <c r="F3430" t="s">
        <v>11806</v>
      </c>
      <c r="G3430" s="1">
        <v>5200000</v>
      </c>
      <c r="H3430" s="2">
        <v>5200000</v>
      </c>
      <c r="I3430" s="2">
        <v>5261449.34</v>
      </c>
      <c r="J3430" s="2">
        <v>11596.14</v>
      </c>
      <c r="K3430" s="2">
        <v>0</v>
      </c>
      <c r="L3430" s="2">
        <v>5273045.4800000004</v>
      </c>
      <c r="M3430" s="3">
        <v>6.0434890000000001</v>
      </c>
      <c r="N3430" s="4">
        <v>1.199675E-2</v>
      </c>
      <c r="O3430" s="5">
        <v>44753</v>
      </c>
      <c r="P3430" s="5">
        <v>45393</v>
      </c>
      <c r="Q3430" s="1">
        <v>6.7830000000000004</v>
      </c>
      <c r="R3430" s="2">
        <v>0.21</v>
      </c>
      <c r="S3430" s="6">
        <v>0.19079709986500001</v>
      </c>
      <c r="T3430" t="s">
        <v>111</v>
      </c>
      <c r="U3430" t="s">
        <v>111</v>
      </c>
      <c r="V3430" t="s">
        <v>11189</v>
      </c>
      <c r="W3430" t="s">
        <v>43</v>
      </c>
      <c r="X3430" t="s">
        <v>11034</v>
      </c>
      <c r="Y3430" t="s">
        <v>44</v>
      </c>
      <c r="Z3430" t="s">
        <v>44</v>
      </c>
      <c r="AA3430" t="s">
        <v>10979</v>
      </c>
      <c r="AB3430" t="s">
        <v>44</v>
      </c>
      <c r="AC3430" s="4">
        <v>6.1347979300000004</v>
      </c>
      <c r="AD3430" s="4">
        <v>5.9687731099999999</v>
      </c>
      <c r="AE3430" s="2">
        <v>6.13</v>
      </c>
      <c r="AF3430" s="4">
        <v>5.9687731099999999</v>
      </c>
      <c r="AG3430" s="2">
        <v>0.98</v>
      </c>
      <c r="AH3430" s="2">
        <v>5273045.4800000004</v>
      </c>
      <c r="AI3430" s="2">
        <v>0.01</v>
      </c>
      <c r="AJ3430" s="5">
        <v>44673</v>
      </c>
      <c r="AK3430" t="s">
        <v>12658</v>
      </c>
      <c r="AL3430" s="2">
        <v>6.04</v>
      </c>
      <c r="AM3430" s="2">
        <v>6.78</v>
      </c>
      <c r="AN3430" s="2">
        <v>0.19</v>
      </c>
      <c r="AO3430" t="s">
        <v>11165</v>
      </c>
      <c r="AP3430" t="s">
        <v>11808</v>
      </c>
      <c r="AQ3430" t="s">
        <v>11807</v>
      </c>
    </row>
    <row r="3431" spans="1:43" x14ac:dyDescent="0.2">
      <c r="A3431" t="s">
        <v>12657</v>
      </c>
      <c r="B3431" t="s">
        <v>10900</v>
      </c>
      <c r="C3431" t="s">
        <v>11033</v>
      </c>
      <c r="D3431" t="s">
        <v>11809</v>
      </c>
      <c r="E3431" t="s">
        <v>11810</v>
      </c>
      <c r="F3431" t="s">
        <v>11809</v>
      </c>
      <c r="G3431" s="1">
        <v>1700000</v>
      </c>
      <c r="H3431" s="2">
        <v>1713567.48</v>
      </c>
      <c r="I3431" s="2">
        <v>1725277.59</v>
      </c>
      <c r="J3431" s="2">
        <v>17336.37</v>
      </c>
      <c r="K3431" s="2">
        <v>0</v>
      </c>
      <c r="L3431" s="2">
        <v>1742613.96</v>
      </c>
      <c r="M3431" s="3">
        <v>5.5530569999999999</v>
      </c>
      <c r="N3431" s="4">
        <v>3.9646300000000002E-3</v>
      </c>
      <c r="O3431" s="5">
        <v>44704</v>
      </c>
      <c r="P3431" s="5">
        <v>45617</v>
      </c>
      <c r="Q3431" s="1">
        <v>6.1020000000000003</v>
      </c>
      <c r="R3431" s="2">
        <v>0.08</v>
      </c>
      <c r="S3431" s="6">
        <v>7.0564055134000006E-2</v>
      </c>
      <c r="T3431" t="s">
        <v>111</v>
      </c>
      <c r="U3431" t="s">
        <v>111</v>
      </c>
      <c r="V3431" t="s">
        <v>11189</v>
      </c>
      <c r="W3431" t="s">
        <v>43</v>
      </c>
      <c r="X3431" t="s">
        <v>11034</v>
      </c>
      <c r="Y3431" t="s">
        <v>44</v>
      </c>
      <c r="Z3431" t="s">
        <v>44</v>
      </c>
      <c r="AA3431" t="s">
        <v>11441</v>
      </c>
      <c r="AB3431" t="s">
        <v>44</v>
      </c>
      <c r="AC3431" s="4">
        <v>5.63014803</v>
      </c>
      <c r="AD3431" s="4">
        <v>5.4898834000000001</v>
      </c>
      <c r="AE3431" s="2">
        <v>5.63</v>
      </c>
      <c r="AF3431" s="4">
        <v>5.4898834000000001</v>
      </c>
      <c r="AG3431" s="2">
        <v>0.32</v>
      </c>
      <c r="AH3431" s="2">
        <v>1742613.96</v>
      </c>
      <c r="AI3431" s="2">
        <v>0</v>
      </c>
      <c r="AJ3431" s="5">
        <v>44673</v>
      </c>
      <c r="AK3431" t="s">
        <v>12658</v>
      </c>
      <c r="AL3431" s="2">
        <v>5.55</v>
      </c>
      <c r="AM3431" s="2">
        <v>6.1</v>
      </c>
      <c r="AN3431" s="2">
        <v>7.0000000000000007E-2</v>
      </c>
      <c r="AO3431" t="s">
        <v>11520</v>
      </c>
      <c r="AP3431" t="s">
        <v>11811</v>
      </c>
      <c r="AQ3431" t="s">
        <v>11810</v>
      </c>
    </row>
    <row r="3432" spans="1:43" x14ac:dyDescent="0.2">
      <c r="A3432" t="s">
        <v>12657</v>
      </c>
      <c r="B3432" t="s">
        <v>10900</v>
      </c>
      <c r="C3432" t="s">
        <v>11033</v>
      </c>
      <c r="D3432" t="s">
        <v>11518</v>
      </c>
      <c r="E3432" t="s">
        <v>11519</v>
      </c>
      <c r="F3432" t="s">
        <v>11518</v>
      </c>
      <c r="G3432" s="1">
        <v>9300000</v>
      </c>
      <c r="H3432" s="2">
        <v>9307280.2300000004</v>
      </c>
      <c r="I3432" s="2">
        <v>9329507.8800000008</v>
      </c>
      <c r="J3432" s="2">
        <v>97016.07</v>
      </c>
      <c r="K3432" s="2">
        <v>0</v>
      </c>
      <c r="L3432" s="2">
        <v>9426523.9499999993</v>
      </c>
      <c r="M3432" s="3">
        <v>6.0730570000000004</v>
      </c>
      <c r="N3432" s="4">
        <v>2.1446360000000001E-2</v>
      </c>
      <c r="O3432" s="5">
        <v>44704</v>
      </c>
      <c r="P3432" s="5">
        <v>45159</v>
      </c>
      <c r="Q3432" s="1">
        <v>6.242</v>
      </c>
      <c r="R3432" s="2">
        <v>0.08</v>
      </c>
      <c r="S3432" s="6">
        <v>5.9720457003999999E-2</v>
      </c>
      <c r="T3432" t="s">
        <v>111</v>
      </c>
      <c r="U3432" t="s">
        <v>111</v>
      </c>
      <c r="V3432" t="s">
        <v>11189</v>
      </c>
      <c r="W3432" t="s">
        <v>43</v>
      </c>
      <c r="X3432" t="s">
        <v>11034</v>
      </c>
      <c r="Y3432" t="s">
        <v>44</v>
      </c>
      <c r="Z3432" t="s">
        <v>44</v>
      </c>
      <c r="AA3432" t="s">
        <v>11441</v>
      </c>
      <c r="AB3432" t="s">
        <v>44</v>
      </c>
      <c r="AC3432" s="4">
        <v>6.1652619800000004</v>
      </c>
      <c r="AD3432" s="4">
        <v>5.9976152599999999</v>
      </c>
      <c r="AE3432" s="2">
        <v>6.17</v>
      </c>
      <c r="AF3432" s="4">
        <v>5.9976152599999999</v>
      </c>
      <c r="AG3432" s="2">
        <v>1.75</v>
      </c>
      <c r="AH3432" s="2">
        <v>9426523.9499999993</v>
      </c>
      <c r="AI3432" s="2">
        <v>0.02</v>
      </c>
      <c r="AJ3432" s="5">
        <v>44673</v>
      </c>
      <c r="AK3432" t="s">
        <v>12658</v>
      </c>
      <c r="AL3432" s="2">
        <v>6.07</v>
      </c>
      <c r="AM3432" s="2">
        <v>6.24</v>
      </c>
      <c r="AN3432" s="2">
        <v>0.06</v>
      </c>
      <c r="AO3432" t="s">
        <v>11520</v>
      </c>
      <c r="AP3432" t="s">
        <v>11521</v>
      </c>
      <c r="AQ3432" t="s">
        <v>11519</v>
      </c>
    </row>
    <row r="3433" spans="1:43" x14ac:dyDescent="0.2">
      <c r="A3433" t="s">
        <v>12657</v>
      </c>
      <c r="B3433" t="s">
        <v>10900</v>
      </c>
      <c r="C3433" t="s">
        <v>11033</v>
      </c>
      <c r="D3433" t="s">
        <v>11059</v>
      </c>
      <c r="E3433" t="s">
        <v>11060</v>
      </c>
      <c r="F3433" t="s">
        <v>11059</v>
      </c>
      <c r="G3433" s="1">
        <v>595000</v>
      </c>
      <c r="H3433" s="2">
        <v>644701.31000000006</v>
      </c>
      <c r="I3433" s="2">
        <v>637516.14</v>
      </c>
      <c r="J3433" s="2">
        <v>23482.12</v>
      </c>
      <c r="K3433" s="2">
        <v>0</v>
      </c>
      <c r="L3433" s="2">
        <v>660998.26</v>
      </c>
      <c r="M3433" s="3">
        <v>7.69</v>
      </c>
      <c r="N3433" s="4">
        <v>1.50384E-3</v>
      </c>
      <c r="O3433" s="5">
        <v>44722</v>
      </c>
      <c r="P3433" s="5">
        <v>45636</v>
      </c>
      <c r="Q3433" s="1">
        <v>10.75</v>
      </c>
      <c r="R3433" s="2">
        <v>2.2799999999999998</v>
      </c>
      <c r="S3433" s="6">
        <v>2.1998010890000002</v>
      </c>
      <c r="T3433" t="s">
        <v>111</v>
      </c>
      <c r="U3433" t="s">
        <v>111</v>
      </c>
      <c r="V3433" t="s">
        <v>10944</v>
      </c>
      <c r="W3433" t="s">
        <v>43</v>
      </c>
      <c r="X3433" t="s">
        <v>10988</v>
      </c>
      <c r="Y3433" t="s">
        <v>44</v>
      </c>
      <c r="Z3433" t="s">
        <v>44</v>
      </c>
      <c r="AA3433" t="s">
        <v>10979</v>
      </c>
      <c r="AB3433" t="s">
        <v>44</v>
      </c>
      <c r="AC3433" s="4">
        <v>7.8378402500000002</v>
      </c>
      <c r="AD3433" s="4">
        <v>7.5696180699999998</v>
      </c>
      <c r="AE3433" s="2">
        <v>7.84</v>
      </c>
      <c r="AF3433" s="4">
        <v>7.5696180699999998</v>
      </c>
      <c r="AG3433" s="2">
        <v>0.12</v>
      </c>
      <c r="AH3433" s="2">
        <v>660998.26</v>
      </c>
      <c r="AI3433" s="2">
        <v>0</v>
      </c>
      <c r="AJ3433" s="5">
        <v>44673</v>
      </c>
      <c r="AK3433" t="s">
        <v>12658</v>
      </c>
      <c r="AL3433" s="2">
        <v>7.69</v>
      </c>
      <c r="AM3433" s="2">
        <v>10.75</v>
      </c>
      <c r="AN3433" s="2">
        <v>2.2000000000000002</v>
      </c>
      <c r="AO3433" t="s">
        <v>11054</v>
      </c>
      <c r="AP3433" t="s">
        <v>11061</v>
      </c>
      <c r="AQ3433" t="s">
        <v>11060</v>
      </c>
    </row>
    <row r="3434" spans="1:43" x14ac:dyDescent="0.2">
      <c r="A3434" t="s">
        <v>12657</v>
      </c>
      <c r="B3434" t="s">
        <v>10900</v>
      </c>
      <c r="C3434" t="s">
        <v>11033</v>
      </c>
      <c r="D3434" t="s">
        <v>11812</v>
      </c>
      <c r="E3434" t="s">
        <v>11813</v>
      </c>
      <c r="F3434" t="s">
        <v>11812</v>
      </c>
      <c r="G3434" s="1">
        <v>467000</v>
      </c>
      <c r="H3434" s="2">
        <v>5596199.8899999997</v>
      </c>
      <c r="I3434" s="2">
        <v>7400832.54</v>
      </c>
      <c r="J3434" s="2">
        <v>225335.31</v>
      </c>
      <c r="K3434" s="2">
        <v>0</v>
      </c>
      <c r="L3434" s="2">
        <v>7626167.8499999996</v>
      </c>
      <c r="M3434" s="3"/>
      <c r="N3434" s="4">
        <v>1.735035E-2</v>
      </c>
      <c r="O3434" s="5">
        <v>44676</v>
      </c>
      <c r="P3434" s="5">
        <v>45039</v>
      </c>
      <c r="Q3434" s="1">
        <v>6.25</v>
      </c>
      <c r="R3434" s="2">
        <v>2.71</v>
      </c>
      <c r="S3434" s="6">
        <v>2.63</v>
      </c>
      <c r="T3434" t="s">
        <v>111</v>
      </c>
      <c r="U3434" t="s">
        <v>111</v>
      </c>
      <c r="V3434" t="s">
        <v>10944</v>
      </c>
      <c r="W3434" t="s">
        <v>113</v>
      </c>
      <c r="X3434" t="s">
        <v>44</v>
      </c>
      <c r="Y3434" t="s">
        <v>44</v>
      </c>
      <c r="Z3434" t="s">
        <v>44</v>
      </c>
      <c r="AA3434" t="s">
        <v>10979</v>
      </c>
      <c r="AB3434" t="s">
        <v>11465</v>
      </c>
      <c r="AC3434" s="4"/>
      <c r="AD3434" s="4"/>
      <c r="AE3434" s="2">
        <v>0</v>
      </c>
      <c r="AF3434" s="4">
        <v>0</v>
      </c>
      <c r="AG3434" s="2">
        <v>1.41</v>
      </c>
      <c r="AH3434" s="2">
        <v>7626167.8499999996</v>
      </c>
      <c r="AI3434" s="2">
        <v>0.02</v>
      </c>
      <c r="AJ3434" s="5">
        <v>44673</v>
      </c>
      <c r="AK3434" t="s">
        <v>12658</v>
      </c>
      <c r="AL3434" s="2">
        <v>0</v>
      </c>
      <c r="AM3434" s="2">
        <v>6.25</v>
      </c>
      <c r="AN3434" s="2">
        <v>2.63</v>
      </c>
      <c r="AO3434" t="s">
        <v>11054</v>
      </c>
      <c r="AP3434" t="s">
        <v>11814</v>
      </c>
      <c r="AQ3434" t="s">
        <v>11813</v>
      </c>
    </row>
    <row r="3435" spans="1:43" x14ac:dyDescent="0.2">
      <c r="A3435" t="s">
        <v>12657</v>
      </c>
      <c r="B3435" t="s">
        <v>10900</v>
      </c>
      <c r="C3435" t="s">
        <v>11033</v>
      </c>
      <c r="D3435" t="s">
        <v>11815</v>
      </c>
      <c r="E3435" t="s">
        <v>11816</v>
      </c>
      <c r="F3435" t="s">
        <v>11815</v>
      </c>
      <c r="G3435" s="1">
        <v>2600000</v>
      </c>
      <c r="H3435" s="2">
        <v>2600000</v>
      </c>
      <c r="I3435" s="2">
        <v>2599861.71</v>
      </c>
      <c r="J3435" s="2">
        <v>28955.38</v>
      </c>
      <c r="K3435" s="2">
        <v>0</v>
      </c>
      <c r="L3435" s="2">
        <v>2628817.09</v>
      </c>
      <c r="M3435" s="3">
        <v>6.1638650000000004</v>
      </c>
      <c r="N3435" s="4">
        <v>5.9808400000000003E-3</v>
      </c>
      <c r="O3435" s="5">
        <v>44697</v>
      </c>
      <c r="P3435" s="5">
        <v>45519</v>
      </c>
      <c r="Q3435" s="1">
        <v>6.0670000000000002</v>
      </c>
      <c r="R3435" s="2">
        <v>0.06</v>
      </c>
      <c r="S3435" s="6">
        <v>2.7386669091000002E-2</v>
      </c>
      <c r="T3435" t="s">
        <v>111</v>
      </c>
      <c r="U3435" t="s">
        <v>111</v>
      </c>
      <c r="V3435" t="s">
        <v>11189</v>
      </c>
      <c r="W3435" t="s">
        <v>43</v>
      </c>
      <c r="X3435" t="s">
        <v>11034</v>
      </c>
      <c r="Y3435" t="s">
        <v>44</v>
      </c>
      <c r="Z3435" t="s">
        <v>44</v>
      </c>
      <c r="AA3435" t="s">
        <v>11225</v>
      </c>
      <c r="AB3435" t="s">
        <v>44</v>
      </c>
      <c r="AC3435" s="4">
        <v>6.2588480500000001</v>
      </c>
      <c r="AD3435" s="4">
        <v>6.0861713799999997</v>
      </c>
      <c r="AE3435" s="2">
        <v>6.26</v>
      </c>
      <c r="AF3435" s="4">
        <v>6.0861713799999997</v>
      </c>
      <c r="AG3435" s="2">
        <v>0.49</v>
      </c>
      <c r="AH3435" s="2">
        <v>2628817.09</v>
      </c>
      <c r="AI3435" s="2">
        <v>0.01</v>
      </c>
      <c r="AJ3435" s="5">
        <v>44673</v>
      </c>
      <c r="AK3435" t="s">
        <v>12658</v>
      </c>
      <c r="AL3435" s="2">
        <v>6.16</v>
      </c>
      <c r="AM3435" s="2">
        <v>6.07</v>
      </c>
      <c r="AN3435" s="2">
        <v>0.03</v>
      </c>
      <c r="AO3435" t="s">
        <v>11817</v>
      </c>
      <c r="AP3435" t="s">
        <v>11818</v>
      </c>
      <c r="AQ3435" t="s">
        <v>11816</v>
      </c>
    </row>
    <row r="3436" spans="1:43" x14ac:dyDescent="0.2">
      <c r="A3436" t="s">
        <v>12657</v>
      </c>
      <c r="B3436" t="s">
        <v>10900</v>
      </c>
      <c r="C3436" t="s">
        <v>11033</v>
      </c>
      <c r="D3436" t="s">
        <v>11819</v>
      </c>
      <c r="E3436" t="s">
        <v>11820</v>
      </c>
      <c r="F3436" t="s">
        <v>11819</v>
      </c>
      <c r="G3436" s="1">
        <v>4300000</v>
      </c>
      <c r="H3436" s="2">
        <v>4300000</v>
      </c>
      <c r="I3436" s="2">
        <v>4302695.42</v>
      </c>
      <c r="J3436" s="2">
        <v>17817.55</v>
      </c>
      <c r="K3436" s="2">
        <v>0</v>
      </c>
      <c r="L3436" s="2">
        <v>4320512.97</v>
      </c>
      <c r="M3436" s="3">
        <v>5.6743709999999998</v>
      </c>
      <c r="N3436" s="4">
        <v>9.8296300000000007E-3</v>
      </c>
      <c r="O3436" s="5">
        <v>44739</v>
      </c>
      <c r="P3436" s="5">
        <v>45470</v>
      </c>
      <c r="Q3436" s="1">
        <v>5.8170000000000002</v>
      </c>
      <c r="R3436" s="2">
        <v>0.17</v>
      </c>
      <c r="S3436" s="6">
        <v>0.145695338009</v>
      </c>
      <c r="T3436" t="s">
        <v>111</v>
      </c>
      <c r="U3436" t="s">
        <v>111</v>
      </c>
      <c r="V3436" t="s">
        <v>11189</v>
      </c>
      <c r="W3436" t="s">
        <v>43</v>
      </c>
      <c r="X3436" t="s">
        <v>11034</v>
      </c>
      <c r="Y3436" t="s">
        <v>44</v>
      </c>
      <c r="Z3436" t="s">
        <v>44</v>
      </c>
      <c r="AA3436" t="s">
        <v>10913</v>
      </c>
      <c r="AB3436" t="s">
        <v>44</v>
      </c>
      <c r="AC3436" s="4">
        <v>5.7548670399999997</v>
      </c>
      <c r="AD3436" s="4">
        <v>5.6084308399999996</v>
      </c>
      <c r="AE3436" s="2">
        <v>5.75</v>
      </c>
      <c r="AF3436" s="4">
        <v>5.6084308399999996</v>
      </c>
      <c r="AG3436" s="2">
        <v>0.8</v>
      </c>
      <c r="AH3436" s="2">
        <v>4320512.97</v>
      </c>
      <c r="AI3436" s="2">
        <v>0.01</v>
      </c>
      <c r="AJ3436" s="5">
        <v>44673</v>
      </c>
      <c r="AK3436" t="s">
        <v>12658</v>
      </c>
      <c r="AL3436" s="2">
        <v>5.67</v>
      </c>
      <c r="AM3436" s="2">
        <v>5.82</v>
      </c>
      <c r="AN3436" s="2">
        <v>0.15</v>
      </c>
      <c r="AO3436" t="s">
        <v>11563</v>
      </c>
      <c r="AP3436" t="s">
        <v>11821</v>
      </c>
      <c r="AQ3436" t="s">
        <v>11820</v>
      </c>
    </row>
    <row r="3437" spans="1:43" x14ac:dyDescent="0.2">
      <c r="A3437" t="s">
        <v>12657</v>
      </c>
      <c r="B3437" t="s">
        <v>10900</v>
      </c>
      <c r="C3437" t="s">
        <v>11033</v>
      </c>
      <c r="D3437" t="s">
        <v>11822</v>
      </c>
      <c r="E3437" t="s">
        <v>11823</v>
      </c>
      <c r="F3437" t="s">
        <v>11822</v>
      </c>
      <c r="G3437" s="1">
        <v>1700000</v>
      </c>
      <c r="H3437" s="2">
        <v>1700000</v>
      </c>
      <c r="I3437" s="2">
        <v>1686857.21</v>
      </c>
      <c r="J3437" s="2">
        <v>18581.509999999998</v>
      </c>
      <c r="K3437" s="2">
        <v>0</v>
      </c>
      <c r="L3437" s="2">
        <v>1705438.72</v>
      </c>
      <c r="M3437" s="3">
        <v>6.4745299999999997</v>
      </c>
      <c r="N3437" s="4">
        <v>3.8800599999999998E-3</v>
      </c>
      <c r="O3437" s="5">
        <v>44693</v>
      </c>
      <c r="P3437" s="5">
        <v>45242</v>
      </c>
      <c r="Q3437" s="1">
        <v>5.867</v>
      </c>
      <c r="R3437" s="2">
        <v>0.05</v>
      </c>
      <c r="S3437" s="6">
        <v>1.5942423563000001E-2</v>
      </c>
      <c r="T3437" t="s">
        <v>111</v>
      </c>
      <c r="U3437" t="s">
        <v>111</v>
      </c>
      <c r="V3437" t="s">
        <v>11189</v>
      </c>
      <c r="W3437" t="s">
        <v>43</v>
      </c>
      <c r="X3437" t="s">
        <v>11034</v>
      </c>
      <c r="Y3437" t="s">
        <v>44</v>
      </c>
      <c r="Z3437" t="s">
        <v>44</v>
      </c>
      <c r="AA3437" t="s">
        <v>10979</v>
      </c>
      <c r="AB3437" t="s">
        <v>44</v>
      </c>
      <c r="AC3437" s="4">
        <v>6.5793283799999998</v>
      </c>
      <c r="AD3437" s="4">
        <v>6.3888862499999997</v>
      </c>
      <c r="AE3437" s="2">
        <v>6.58</v>
      </c>
      <c r="AF3437" s="4">
        <v>6.3888862499999997</v>
      </c>
      <c r="AG3437" s="2">
        <v>0.32</v>
      </c>
      <c r="AH3437" s="2">
        <v>1705438.72</v>
      </c>
      <c r="AI3437" s="2">
        <v>0</v>
      </c>
      <c r="AJ3437" s="5">
        <v>44673</v>
      </c>
      <c r="AK3437" t="s">
        <v>12658</v>
      </c>
      <c r="AL3437" s="2">
        <v>6.47</v>
      </c>
      <c r="AM3437" s="2">
        <v>5.87</v>
      </c>
      <c r="AN3437" s="2">
        <v>0.02</v>
      </c>
      <c r="AO3437" t="s">
        <v>11824</v>
      </c>
      <c r="AP3437" t="s">
        <v>11825</v>
      </c>
      <c r="AQ3437" t="s">
        <v>11823</v>
      </c>
    </row>
    <row r="3438" spans="1:43" x14ac:dyDescent="0.2">
      <c r="A3438" t="s">
        <v>12657</v>
      </c>
      <c r="B3438" t="s">
        <v>10900</v>
      </c>
      <c r="C3438" t="s">
        <v>11033</v>
      </c>
      <c r="D3438" t="s">
        <v>11826</v>
      </c>
      <c r="E3438" t="s">
        <v>11827</v>
      </c>
      <c r="F3438" t="s">
        <v>11826</v>
      </c>
      <c r="G3438" s="1">
        <v>4300000</v>
      </c>
      <c r="H3438" s="2">
        <v>4300000</v>
      </c>
      <c r="I3438" s="2">
        <v>4271052.8600000003</v>
      </c>
      <c r="J3438" s="2">
        <v>25200.59</v>
      </c>
      <c r="K3438" s="2">
        <v>0</v>
      </c>
      <c r="L3438" s="2">
        <v>4296253.45</v>
      </c>
      <c r="M3438" s="3">
        <v>6.1816829999999996</v>
      </c>
      <c r="N3438" s="4">
        <v>9.7744400000000006E-3</v>
      </c>
      <c r="O3438" s="5">
        <v>44732</v>
      </c>
      <c r="P3438" s="5">
        <v>45644</v>
      </c>
      <c r="Q3438" s="1">
        <v>5.9420000000000002</v>
      </c>
      <c r="R3438" s="2">
        <v>0.15</v>
      </c>
      <c r="S3438" s="6">
        <v>0.106811678077</v>
      </c>
      <c r="T3438" t="s">
        <v>111</v>
      </c>
      <c r="U3438" t="s">
        <v>111</v>
      </c>
      <c r="V3438" t="s">
        <v>11189</v>
      </c>
      <c r="W3438" t="s">
        <v>43</v>
      </c>
      <c r="X3438" t="s">
        <v>11034</v>
      </c>
      <c r="Y3438" t="s">
        <v>44</v>
      </c>
      <c r="Z3438" t="s">
        <v>44</v>
      </c>
      <c r="AA3438" t="s">
        <v>10979</v>
      </c>
      <c r="AB3438" t="s">
        <v>44</v>
      </c>
      <c r="AC3438" s="4">
        <v>6.2772158899999999</v>
      </c>
      <c r="AD3438" s="4">
        <v>6.10354361</v>
      </c>
      <c r="AE3438" s="2">
        <v>6.28</v>
      </c>
      <c r="AF3438" s="4">
        <v>6.10354361</v>
      </c>
      <c r="AG3438" s="2">
        <v>0.8</v>
      </c>
      <c r="AH3438" s="2">
        <v>4296253.45</v>
      </c>
      <c r="AI3438" s="2">
        <v>0.01</v>
      </c>
      <c r="AJ3438" s="5">
        <v>44673</v>
      </c>
      <c r="AK3438" t="s">
        <v>12658</v>
      </c>
      <c r="AL3438" s="2">
        <v>6.18</v>
      </c>
      <c r="AM3438" s="2">
        <v>5.94</v>
      </c>
      <c r="AN3438" s="2">
        <v>0.11</v>
      </c>
      <c r="AO3438" t="s">
        <v>11824</v>
      </c>
      <c r="AP3438" t="s">
        <v>11828</v>
      </c>
      <c r="AQ3438" t="s">
        <v>11827</v>
      </c>
    </row>
    <row r="3439" spans="1:43" x14ac:dyDescent="0.2">
      <c r="A3439" t="s">
        <v>12657</v>
      </c>
      <c r="B3439" t="s">
        <v>10900</v>
      </c>
      <c r="C3439" t="s">
        <v>11033</v>
      </c>
      <c r="D3439" t="s">
        <v>12841</v>
      </c>
      <c r="E3439" t="s">
        <v>12842</v>
      </c>
      <c r="F3439" t="s">
        <v>12841</v>
      </c>
      <c r="G3439" s="1">
        <v>5300000</v>
      </c>
      <c r="H3439" s="2">
        <v>5300000</v>
      </c>
      <c r="I3439" s="2">
        <v>5300137.49</v>
      </c>
      <c r="J3439" s="2">
        <v>21230.2</v>
      </c>
      <c r="K3439" s="2">
        <v>0</v>
      </c>
      <c r="L3439" s="2">
        <v>5321367.6900000004</v>
      </c>
      <c r="M3439" s="3">
        <v>5.8547310000000001</v>
      </c>
      <c r="N3439" s="4">
        <v>1.210668E-2</v>
      </c>
      <c r="O3439" s="5">
        <v>44679</v>
      </c>
      <c r="P3439" s="5">
        <v>45044</v>
      </c>
      <c r="Q3439" s="1">
        <v>6.0919999999999996</v>
      </c>
      <c r="R3439" s="2">
        <v>0.01</v>
      </c>
      <c r="S3439" s="6">
        <v>-3.847892072E-3</v>
      </c>
      <c r="T3439" t="s">
        <v>111</v>
      </c>
      <c r="U3439" t="s">
        <v>111</v>
      </c>
      <c r="V3439" t="s">
        <v>114</v>
      </c>
      <c r="W3439" t="s">
        <v>43</v>
      </c>
      <c r="X3439" t="s">
        <v>44</v>
      </c>
      <c r="Y3439" t="s">
        <v>44</v>
      </c>
      <c r="Z3439" t="s">
        <v>44</v>
      </c>
      <c r="AA3439" t="s">
        <v>10979</v>
      </c>
      <c r="AB3439" t="s">
        <v>44</v>
      </c>
      <c r="AC3439" s="4">
        <v>5.9404258900000002</v>
      </c>
      <c r="AD3439" s="4">
        <v>5.7845705699999996</v>
      </c>
      <c r="AE3439" s="2">
        <v>5.94</v>
      </c>
      <c r="AF3439" s="4">
        <v>5.7845705699999996</v>
      </c>
      <c r="AG3439" s="2">
        <v>0.99</v>
      </c>
      <c r="AH3439" s="2">
        <v>5321367.6900000004</v>
      </c>
      <c r="AI3439" s="2">
        <v>0.01</v>
      </c>
      <c r="AJ3439" s="5">
        <v>44673</v>
      </c>
      <c r="AK3439" t="s">
        <v>12658</v>
      </c>
      <c r="AL3439" s="2">
        <v>5.85</v>
      </c>
      <c r="AM3439" s="2">
        <v>6.09</v>
      </c>
      <c r="AN3439" s="2">
        <v>0</v>
      </c>
      <c r="AO3439" t="s">
        <v>11165</v>
      </c>
      <c r="AP3439" t="s">
        <v>12843</v>
      </c>
      <c r="AQ3439" t="s">
        <v>12842</v>
      </c>
    </row>
    <row r="3440" spans="1:43" x14ac:dyDescent="0.2">
      <c r="A3440" t="s">
        <v>12657</v>
      </c>
      <c r="B3440" t="s">
        <v>10900</v>
      </c>
      <c r="C3440" t="s">
        <v>11033</v>
      </c>
      <c r="D3440" t="s">
        <v>11525</v>
      </c>
      <c r="E3440" t="s">
        <v>11526</v>
      </c>
      <c r="F3440" t="s">
        <v>11525</v>
      </c>
      <c r="G3440" s="1">
        <v>7500000</v>
      </c>
      <c r="H3440" s="2">
        <v>7503929.0300000003</v>
      </c>
      <c r="I3440" s="2">
        <v>7513777.3099999996</v>
      </c>
      <c r="J3440" s="2">
        <v>11804.18</v>
      </c>
      <c r="K3440" s="2">
        <v>0</v>
      </c>
      <c r="L3440" s="2">
        <v>7525581.4900000002</v>
      </c>
      <c r="M3440" s="3">
        <v>6.20838</v>
      </c>
      <c r="N3440" s="4">
        <v>1.712151E-2</v>
      </c>
      <c r="O3440" s="5">
        <v>44756</v>
      </c>
      <c r="P3440" s="5">
        <v>45396</v>
      </c>
      <c r="Q3440" s="1">
        <v>6.383</v>
      </c>
      <c r="R3440" s="2">
        <v>0.22</v>
      </c>
      <c r="S3440" s="6">
        <v>0.18643150391999999</v>
      </c>
      <c r="T3440" t="s">
        <v>111</v>
      </c>
      <c r="U3440" t="s">
        <v>111</v>
      </c>
      <c r="V3440" t="s">
        <v>11189</v>
      </c>
      <c r="W3440" t="s">
        <v>43</v>
      </c>
      <c r="X3440" t="s">
        <v>11034</v>
      </c>
      <c r="Y3440" t="s">
        <v>44</v>
      </c>
      <c r="Z3440" t="s">
        <v>44</v>
      </c>
      <c r="AA3440" t="s">
        <v>44</v>
      </c>
      <c r="AB3440" t="s">
        <v>44</v>
      </c>
      <c r="AC3440" s="4">
        <v>6.30473952</v>
      </c>
      <c r="AD3440" s="4">
        <v>6.1295701999999999</v>
      </c>
      <c r="AE3440" s="2">
        <v>6.3</v>
      </c>
      <c r="AF3440" s="4">
        <v>6.1295701999999999</v>
      </c>
      <c r="AG3440" s="2">
        <v>1.4</v>
      </c>
      <c r="AH3440" s="2">
        <v>7525581.4900000002</v>
      </c>
      <c r="AI3440" s="2">
        <v>0.02</v>
      </c>
      <c r="AJ3440" s="5">
        <v>44673</v>
      </c>
      <c r="AK3440" t="s">
        <v>12658</v>
      </c>
      <c r="AL3440" s="2">
        <v>6.21</v>
      </c>
      <c r="AM3440" s="2">
        <v>6.38</v>
      </c>
      <c r="AN3440" s="2">
        <v>0.19</v>
      </c>
      <c r="AO3440" t="s">
        <v>11527</v>
      </c>
      <c r="AP3440" t="s">
        <v>11528</v>
      </c>
      <c r="AQ3440" t="s">
        <v>11526</v>
      </c>
    </row>
    <row r="3441" spans="1:43" x14ac:dyDescent="0.2">
      <c r="A3441" t="s">
        <v>12657</v>
      </c>
      <c r="B3441" t="s">
        <v>10900</v>
      </c>
      <c r="C3441" t="s">
        <v>11033</v>
      </c>
      <c r="D3441" t="s">
        <v>12390</v>
      </c>
      <c r="E3441" t="s">
        <v>12391</v>
      </c>
      <c r="F3441" t="s">
        <v>12390</v>
      </c>
      <c r="G3441" s="1">
        <v>8700000</v>
      </c>
      <c r="H3441" s="2">
        <v>8700000</v>
      </c>
      <c r="I3441" s="2">
        <v>8710457.1400000006</v>
      </c>
      <c r="J3441" s="2">
        <v>128177.46</v>
      </c>
      <c r="K3441" s="2">
        <v>0</v>
      </c>
      <c r="L3441" s="2">
        <v>8838634.5999999996</v>
      </c>
      <c r="M3441" s="3">
        <v>6.4902220000000002</v>
      </c>
      <c r="N3441" s="4">
        <v>2.0108850000000001E-2</v>
      </c>
      <c r="O3441" s="5">
        <v>44680</v>
      </c>
      <c r="P3441" s="5">
        <v>45136</v>
      </c>
      <c r="Q3441" s="1">
        <v>6.5579999999999998</v>
      </c>
      <c r="R3441" s="2">
        <v>0.01</v>
      </c>
      <c r="S3441" s="6">
        <v>-8.1043672139999995E-3</v>
      </c>
      <c r="T3441" t="s">
        <v>111</v>
      </c>
      <c r="U3441" t="s">
        <v>111</v>
      </c>
      <c r="V3441" t="s">
        <v>11189</v>
      </c>
      <c r="W3441" t="s">
        <v>43</v>
      </c>
      <c r="X3441" t="s">
        <v>11034</v>
      </c>
      <c r="Y3441" t="s">
        <v>44</v>
      </c>
      <c r="Z3441" t="s">
        <v>44</v>
      </c>
      <c r="AA3441" t="s">
        <v>11035</v>
      </c>
      <c r="AB3441" t="s">
        <v>44</v>
      </c>
      <c r="AC3441" s="4">
        <v>6.5955293700000004</v>
      </c>
      <c r="AD3441" s="4">
        <v>6.4041669900000002</v>
      </c>
      <c r="AE3441" s="2">
        <v>6.6</v>
      </c>
      <c r="AF3441" s="4">
        <v>6.4041669900000002</v>
      </c>
      <c r="AG3441" s="2">
        <v>1.64</v>
      </c>
      <c r="AH3441" s="2">
        <v>8838634.5999999996</v>
      </c>
      <c r="AI3441" s="2">
        <v>0.02</v>
      </c>
      <c r="AJ3441" s="5">
        <v>44673</v>
      </c>
      <c r="AK3441" t="s">
        <v>12658</v>
      </c>
      <c r="AL3441" s="2">
        <v>6.49</v>
      </c>
      <c r="AM3441" s="2">
        <v>6.56</v>
      </c>
      <c r="AN3441" s="2">
        <v>-0.01</v>
      </c>
      <c r="AO3441" t="s">
        <v>11437</v>
      </c>
      <c r="AP3441" t="s">
        <v>12392</v>
      </c>
      <c r="AQ3441" t="s">
        <v>12391</v>
      </c>
    </row>
    <row r="3442" spans="1:43" x14ac:dyDescent="0.2">
      <c r="A3442" t="s">
        <v>12657</v>
      </c>
      <c r="B3442" t="s">
        <v>10900</v>
      </c>
      <c r="C3442" t="s">
        <v>11033</v>
      </c>
      <c r="D3442" t="s">
        <v>11829</v>
      </c>
      <c r="E3442" t="s">
        <v>11830</v>
      </c>
      <c r="F3442" t="s">
        <v>11829</v>
      </c>
      <c r="G3442" s="1">
        <v>3000000</v>
      </c>
      <c r="H3442" s="2">
        <v>3000000</v>
      </c>
      <c r="I3442" s="2">
        <v>2999617.12</v>
      </c>
      <c r="J3442" s="2">
        <v>22857.45</v>
      </c>
      <c r="K3442" s="2">
        <v>0</v>
      </c>
      <c r="L3442" s="2">
        <v>3022474.57</v>
      </c>
      <c r="M3442" s="3">
        <v>5.9678570000000004</v>
      </c>
      <c r="N3442" s="4">
        <v>6.87646E-3</v>
      </c>
      <c r="O3442" s="5">
        <v>44719</v>
      </c>
      <c r="P3442" s="5">
        <v>45723</v>
      </c>
      <c r="Q3442" s="1">
        <v>5.9169999999999998</v>
      </c>
      <c r="R3442" s="2">
        <v>0.12</v>
      </c>
      <c r="S3442" s="6">
        <v>8.2443218371999999E-2</v>
      </c>
      <c r="T3442" t="s">
        <v>111</v>
      </c>
      <c r="U3442" t="s">
        <v>111</v>
      </c>
      <c r="V3442" t="s">
        <v>11189</v>
      </c>
      <c r="W3442" t="s">
        <v>43</v>
      </c>
      <c r="X3442" t="s">
        <v>11034</v>
      </c>
      <c r="Y3442" t="s">
        <v>44</v>
      </c>
      <c r="Z3442" t="s">
        <v>44</v>
      </c>
      <c r="AA3442" t="s">
        <v>11035</v>
      </c>
      <c r="AB3442" t="s">
        <v>44</v>
      </c>
      <c r="AC3442" s="4">
        <v>6.0568952400000002</v>
      </c>
      <c r="AD3442" s="4">
        <v>5.8949834299999999</v>
      </c>
      <c r="AE3442" s="2">
        <v>6.06</v>
      </c>
      <c r="AF3442" s="4">
        <v>5.8949834299999999</v>
      </c>
      <c r="AG3442" s="2">
        <v>0.56000000000000005</v>
      </c>
      <c r="AH3442" s="2">
        <v>3022474.57</v>
      </c>
      <c r="AI3442" s="2">
        <v>0.01</v>
      </c>
      <c r="AJ3442" s="5">
        <v>44673</v>
      </c>
      <c r="AK3442" t="s">
        <v>12658</v>
      </c>
      <c r="AL3442" s="2">
        <v>5.97</v>
      </c>
      <c r="AM3442" s="2">
        <v>5.92</v>
      </c>
      <c r="AN3442" s="2">
        <v>0.08</v>
      </c>
      <c r="AO3442" t="s">
        <v>11437</v>
      </c>
      <c r="AP3442" t="s">
        <v>11831</v>
      </c>
      <c r="AQ3442" t="s">
        <v>11830</v>
      </c>
    </row>
    <row r="3443" spans="1:43" x14ac:dyDescent="0.2">
      <c r="A3443" t="s">
        <v>12657</v>
      </c>
      <c r="B3443" t="s">
        <v>10900</v>
      </c>
      <c r="C3443" t="s">
        <v>11033</v>
      </c>
      <c r="D3443" t="s">
        <v>12982</v>
      </c>
      <c r="E3443" t="s">
        <v>12983</v>
      </c>
      <c r="F3443" t="s">
        <v>12982</v>
      </c>
      <c r="G3443" s="1">
        <v>5800000</v>
      </c>
      <c r="H3443" s="2">
        <v>5800000</v>
      </c>
      <c r="I3443" s="2">
        <v>6045605.5099999998</v>
      </c>
      <c r="J3443" s="2">
        <v>74425.759999999995</v>
      </c>
      <c r="K3443" s="2">
        <v>0</v>
      </c>
      <c r="L3443" s="2">
        <v>6120031.2699999996</v>
      </c>
      <c r="M3443" s="3">
        <v>6.0747210000000003</v>
      </c>
      <c r="N3443" s="4">
        <v>1.392373E-2</v>
      </c>
      <c r="O3443" s="5">
        <v>44706</v>
      </c>
      <c r="P3443" s="5">
        <v>45439</v>
      </c>
      <c r="Q3443" s="1">
        <v>8.2170000000000005</v>
      </c>
      <c r="R3443" s="2">
        <v>0.08</v>
      </c>
      <c r="S3443" s="6">
        <v>9.4979191527000004E-2</v>
      </c>
      <c r="T3443" t="s">
        <v>111</v>
      </c>
      <c r="U3443" t="s">
        <v>111</v>
      </c>
      <c r="V3443" t="s">
        <v>11189</v>
      </c>
      <c r="W3443" t="s">
        <v>43</v>
      </c>
      <c r="X3443" t="s">
        <v>11034</v>
      </c>
      <c r="Y3443" t="s">
        <v>44</v>
      </c>
      <c r="Z3443" t="s">
        <v>44</v>
      </c>
      <c r="AA3443" t="s">
        <v>44</v>
      </c>
      <c r="AB3443" t="s">
        <v>44</v>
      </c>
      <c r="AC3443" s="4">
        <v>6.1669761000000003</v>
      </c>
      <c r="AD3443" s="4">
        <v>5.9992378899999999</v>
      </c>
      <c r="AE3443" s="2">
        <v>6.17</v>
      </c>
      <c r="AF3443" s="4">
        <v>5.9992378899999999</v>
      </c>
      <c r="AG3443" s="2">
        <v>1.1299999999999999</v>
      </c>
      <c r="AH3443" s="2">
        <v>6120031.2699999996</v>
      </c>
      <c r="AI3443" s="2">
        <v>0.01</v>
      </c>
      <c r="AJ3443" s="5">
        <v>44673</v>
      </c>
      <c r="AK3443" t="s">
        <v>12658</v>
      </c>
      <c r="AL3443" s="2">
        <v>6.07</v>
      </c>
      <c r="AM3443" s="2">
        <v>8.2200000000000006</v>
      </c>
      <c r="AN3443" s="2">
        <v>0.09</v>
      </c>
      <c r="AO3443" t="s">
        <v>12984</v>
      </c>
      <c r="AP3443" t="s">
        <v>12985</v>
      </c>
      <c r="AQ3443" t="s">
        <v>12983</v>
      </c>
    </row>
    <row r="3444" spans="1:43" x14ac:dyDescent="0.2">
      <c r="A3444" t="s">
        <v>12657</v>
      </c>
      <c r="B3444" t="s">
        <v>10900</v>
      </c>
      <c r="C3444" t="s">
        <v>11033</v>
      </c>
      <c r="D3444" t="s">
        <v>11838</v>
      </c>
      <c r="E3444" t="s">
        <v>11839</v>
      </c>
      <c r="F3444" t="s">
        <v>11838</v>
      </c>
      <c r="G3444" s="1">
        <v>3500000</v>
      </c>
      <c r="H3444" s="2">
        <v>3500947.94</v>
      </c>
      <c r="I3444" s="2">
        <v>3500070.32</v>
      </c>
      <c r="J3444" s="2">
        <v>14472.26</v>
      </c>
      <c r="K3444" s="2">
        <v>0</v>
      </c>
      <c r="L3444" s="2">
        <v>3514542.58</v>
      </c>
      <c r="M3444" s="3">
        <v>5.9270630000000004</v>
      </c>
      <c r="N3444" s="4">
        <v>7.9959599999999999E-3</v>
      </c>
      <c r="O3444" s="5">
        <v>44741</v>
      </c>
      <c r="P3444" s="5">
        <v>45380</v>
      </c>
      <c r="Q3444" s="1">
        <v>6.0369999999999999</v>
      </c>
      <c r="R3444" s="2">
        <v>0.18</v>
      </c>
      <c r="S3444" s="6">
        <v>0.14918711395799999</v>
      </c>
      <c r="T3444" t="s">
        <v>111</v>
      </c>
      <c r="U3444" t="s">
        <v>111</v>
      </c>
      <c r="V3444" t="s">
        <v>11189</v>
      </c>
      <c r="W3444" t="s">
        <v>43</v>
      </c>
      <c r="X3444" t="s">
        <v>11840</v>
      </c>
      <c r="Y3444" t="s">
        <v>44</v>
      </c>
      <c r="Z3444" t="s">
        <v>44</v>
      </c>
      <c r="AA3444" t="s">
        <v>10979</v>
      </c>
      <c r="AB3444" t="s">
        <v>44</v>
      </c>
      <c r="AC3444" s="4">
        <v>6.0148877399999998</v>
      </c>
      <c r="AD3444" s="4">
        <v>5.8551731699999996</v>
      </c>
      <c r="AE3444" s="2">
        <v>6.01</v>
      </c>
      <c r="AF3444" s="4">
        <v>5.8551731699999996</v>
      </c>
      <c r="AG3444" s="2">
        <v>0.65</v>
      </c>
      <c r="AH3444" s="2">
        <v>3514542.58</v>
      </c>
      <c r="AI3444" s="2">
        <v>0.01</v>
      </c>
      <c r="AJ3444" s="5">
        <v>44673</v>
      </c>
      <c r="AK3444" t="s">
        <v>12658</v>
      </c>
      <c r="AL3444" s="2">
        <v>5.93</v>
      </c>
      <c r="AM3444" s="2">
        <v>6.04</v>
      </c>
      <c r="AN3444" s="2">
        <v>0.15</v>
      </c>
      <c r="AO3444" t="s">
        <v>11841</v>
      </c>
      <c r="AP3444" t="s">
        <v>11842</v>
      </c>
      <c r="AQ3444" t="s">
        <v>11839</v>
      </c>
    </row>
    <row r="3445" spans="1:43" x14ac:dyDescent="0.2">
      <c r="A3445" t="s">
        <v>12657</v>
      </c>
      <c r="B3445" t="s">
        <v>10900</v>
      </c>
      <c r="C3445" t="s">
        <v>11033</v>
      </c>
      <c r="D3445" t="s">
        <v>11843</v>
      </c>
      <c r="E3445" t="s">
        <v>11844</v>
      </c>
      <c r="F3445" t="s">
        <v>11843</v>
      </c>
      <c r="G3445" s="1">
        <v>6100000</v>
      </c>
      <c r="H3445" s="2">
        <v>6100000</v>
      </c>
      <c r="I3445" s="2">
        <v>6072480.6200000001</v>
      </c>
      <c r="J3445" s="2">
        <v>4534.3900000000003</v>
      </c>
      <c r="K3445" s="2">
        <v>0</v>
      </c>
      <c r="L3445" s="2">
        <v>6077015.0099999998</v>
      </c>
      <c r="M3445" s="3">
        <v>6.9820180000000001</v>
      </c>
      <c r="N3445" s="4">
        <v>1.3825860000000001E-2</v>
      </c>
      <c r="O3445" s="5">
        <v>44760</v>
      </c>
      <c r="P3445" s="5">
        <v>45398</v>
      </c>
      <c r="Q3445" s="1">
        <v>6.7830000000000004</v>
      </c>
      <c r="R3445" s="2">
        <v>0.23</v>
      </c>
      <c r="S3445" s="6">
        <v>0.182016060841</v>
      </c>
      <c r="T3445" t="s">
        <v>111</v>
      </c>
      <c r="U3445" t="s">
        <v>111</v>
      </c>
      <c r="V3445" t="s">
        <v>11189</v>
      </c>
      <c r="W3445" t="s">
        <v>43</v>
      </c>
      <c r="X3445" t="s">
        <v>11034</v>
      </c>
      <c r="Y3445" t="s">
        <v>44</v>
      </c>
      <c r="Z3445" t="s">
        <v>44</v>
      </c>
      <c r="AA3445" t="s">
        <v>10979</v>
      </c>
      <c r="AB3445" t="s">
        <v>44</v>
      </c>
      <c r="AC3445" s="4">
        <v>7.1038890300000004</v>
      </c>
      <c r="AD3445" s="4">
        <v>6.8825725699999998</v>
      </c>
      <c r="AE3445" s="2">
        <v>7.1</v>
      </c>
      <c r="AF3445" s="4">
        <v>6.8825725699999998</v>
      </c>
      <c r="AG3445" s="2">
        <v>1.1299999999999999</v>
      </c>
      <c r="AH3445" s="2">
        <v>6077015.0099999998</v>
      </c>
      <c r="AI3445" s="2">
        <v>0.01</v>
      </c>
      <c r="AJ3445" s="5">
        <v>44673</v>
      </c>
      <c r="AK3445" t="s">
        <v>12658</v>
      </c>
      <c r="AL3445" s="2">
        <v>6.98</v>
      </c>
      <c r="AM3445" s="2">
        <v>6.78</v>
      </c>
      <c r="AN3445" s="2">
        <v>0.18</v>
      </c>
      <c r="AO3445" t="s">
        <v>11179</v>
      </c>
      <c r="AP3445" t="s">
        <v>11845</v>
      </c>
      <c r="AQ3445" t="s">
        <v>11844</v>
      </c>
    </row>
    <row r="3446" spans="1:43" x14ac:dyDescent="0.2">
      <c r="A3446" t="s">
        <v>12657</v>
      </c>
      <c r="B3446" t="s">
        <v>10900</v>
      </c>
      <c r="C3446" t="s">
        <v>10943</v>
      </c>
      <c r="D3446" t="s">
        <v>11552</v>
      </c>
      <c r="E3446" t="s">
        <v>11553</v>
      </c>
      <c r="F3446" t="s">
        <v>11552</v>
      </c>
      <c r="G3446" s="1">
        <v>400000</v>
      </c>
      <c r="H3446" s="2">
        <v>400000</v>
      </c>
      <c r="I3446" s="2">
        <v>400001.37</v>
      </c>
      <c r="J3446" s="2">
        <v>5075.46</v>
      </c>
      <c r="K3446" s="2">
        <v>0</v>
      </c>
      <c r="L3446" s="2">
        <v>405076.83</v>
      </c>
      <c r="M3446" s="3">
        <v>5.7189139999999998</v>
      </c>
      <c r="N3446" s="4">
        <v>9.2159000000000002E-4</v>
      </c>
      <c r="O3446" s="5">
        <v>44684</v>
      </c>
      <c r="P3446" s="5">
        <v>46418</v>
      </c>
      <c r="Q3446" s="1">
        <v>5.6479999999999997</v>
      </c>
      <c r="R3446" s="2">
        <v>0.02</v>
      </c>
      <c r="S3446" s="6">
        <v>-2.0490922419E-2</v>
      </c>
      <c r="T3446" t="s">
        <v>111</v>
      </c>
      <c r="U3446" t="s">
        <v>111</v>
      </c>
      <c r="V3446" t="s">
        <v>11189</v>
      </c>
      <c r="W3446" t="s">
        <v>43</v>
      </c>
      <c r="X3446" t="s">
        <v>11034</v>
      </c>
      <c r="Y3446" t="s">
        <v>44</v>
      </c>
      <c r="Z3446" t="s">
        <v>44</v>
      </c>
      <c r="AA3446" t="s">
        <v>10979</v>
      </c>
      <c r="AB3446" t="s">
        <v>44</v>
      </c>
      <c r="AC3446" s="4">
        <v>5.8006784400000004</v>
      </c>
      <c r="AD3446" s="4">
        <v>5.6519431300000003</v>
      </c>
      <c r="AE3446" s="2">
        <v>5.8</v>
      </c>
      <c r="AF3446" s="4">
        <v>5.6519431300000003</v>
      </c>
      <c r="AG3446" s="2">
        <v>0.08</v>
      </c>
      <c r="AH3446" s="2">
        <v>405076.83</v>
      </c>
      <c r="AI3446" s="2">
        <v>0</v>
      </c>
      <c r="AJ3446" s="5">
        <v>44673</v>
      </c>
      <c r="AK3446" t="s">
        <v>12658</v>
      </c>
      <c r="AL3446" s="2">
        <v>5.72</v>
      </c>
      <c r="AM3446" s="2">
        <v>5.65</v>
      </c>
      <c r="AN3446" s="2">
        <v>-0.02</v>
      </c>
      <c r="AO3446" t="s">
        <v>11048</v>
      </c>
      <c r="AP3446" t="s">
        <v>11554</v>
      </c>
      <c r="AQ3446" t="s">
        <v>11553</v>
      </c>
    </row>
    <row r="3447" spans="1:43" x14ac:dyDescent="0.2">
      <c r="A3447" t="s">
        <v>12657</v>
      </c>
      <c r="B3447" t="s">
        <v>10900</v>
      </c>
      <c r="C3447" t="s">
        <v>10943</v>
      </c>
      <c r="D3447" t="s">
        <v>11555</v>
      </c>
      <c r="E3447" t="s">
        <v>11556</v>
      </c>
      <c r="F3447" t="s">
        <v>11555</v>
      </c>
      <c r="G3447" s="1">
        <v>5600000</v>
      </c>
      <c r="H3447" s="2">
        <v>5600000</v>
      </c>
      <c r="I3447" s="2">
        <v>5492866.4000000004</v>
      </c>
      <c r="J3447" s="2">
        <v>115559.45</v>
      </c>
      <c r="K3447" s="2">
        <v>0</v>
      </c>
      <c r="L3447" s="2">
        <v>5608425.8499999996</v>
      </c>
      <c r="M3447" s="3">
        <v>9.9250000000000007</v>
      </c>
      <c r="N3447" s="4">
        <v>1.275977E-2</v>
      </c>
      <c r="O3447" s="5">
        <v>44775</v>
      </c>
      <c r="P3447" s="5">
        <v>46420</v>
      </c>
      <c r="Q3447" s="1">
        <v>9.4149999999999991</v>
      </c>
      <c r="R3447" s="2">
        <v>3.86</v>
      </c>
      <c r="S3447" s="6">
        <v>3.6810259830000001</v>
      </c>
      <c r="T3447" t="s">
        <v>111</v>
      </c>
      <c r="U3447" t="s">
        <v>111</v>
      </c>
      <c r="V3447" t="s">
        <v>10944</v>
      </c>
      <c r="W3447" t="s">
        <v>43</v>
      </c>
      <c r="X3447" t="s">
        <v>44</v>
      </c>
      <c r="Y3447" t="s">
        <v>44</v>
      </c>
      <c r="Z3447" t="s">
        <v>44</v>
      </c>
      <c r="AA3447" t="s">
        <v>10979</v>
      </c>
      <c r="AB3447" t="s">
        <v>44</v>
      </c>
      <c r="AC3447" s="4">
        <v>10.17126406</v>
      </c>
      <c r="AD3447" s="4">
        <v>9.72579277</v>
      </c>
      <c r="AE3447" s="2">
        <v>10.17</v>
      </c>
      <c r="AF3447" s="4">
        <v>9.72579277</v>
      </c>
      <c r="AG3447" s="2">
        <v>1.04</v>
      </c>
      <c r="AH3447" s="2">
        <v>5608425.8499999996</v>
      </c>
      <c r="AI3447" s="2">
        <v>0.01</v>
      </c>
      <c r="AJ3447" s="5">
        <v>44673</v>
      </c>
      <c r="AK3447" t="s">
        <v>12658</v>
      </c>
      <c r="AL3447" s="2">
        <v>9.93</v>
      </c>
      <c r="AM3447" s="2">
        <v>9.41</v>
      </c>
      <c r="AN3447" s="2">
        <v>3.68</v>
      </c>
      <c r="AO3447" t="s">
        <v>11048</v>
      </c>
      <c r="AP3447" t="s">
        <v>11557</v>
      </c>
      <c r="AQ3447" t="s">
        <v>11556</v>
      </c>
    </row>
    <row r="3448" spans="1:43" x14ac:dyDescent="0.2">
      <c r="A3448" t="s">
        <v>12657</v>
      </c>
      <c r="B3448" t="s">
        <v>10900</v>
      </c>
      <c r="C3448" t="s">
        <v>10943</v>
      </c>
      <c r="D3448" t="s">
        <v>11846</v>
      </c>
      <c r="E3448" t="s">
        <v>11847</v>
      </c>
      <c r="F3448" t="s">
        <v>11846</v>
      </c>
      <c r="G3448" s="1">
        <v>523000</v>
      </c>
      <c r="H3448" s="2">
        <v>547494.89</v>
      </c>
      <c r="I3448" s="2">
        <v>549306.74</v>
      </c>
      <c r="J3448" s="2">
        <v>20587.43</v>
      </c>
      <c r="K3448" s="2">
        <v>0</v>
      </c>
      <c r="L3448" s="2">
        <v>569894.17000000004</v>
      </c>
      <c r="M3448" s="3">
        <v>8.7050000000000001</v>
      </c>
      <c r="N3448" s="4">
        <v>1.2965699999999999E-3</v>
      </c>
      <c r="O3448" s="5">
        <v>44715</v>
      </c>
      <c r="P3448" s="5">
        <v>46176</v>
      </c>
      <c r="Q3448" s="1">
        <v>10.19</v>
      </c>
      <c r="R3448" s="2">
        <v>3.35</v>
      </c>
      <c r="S3448" s="6">
        <v>3.210117125</v>
      </c>
      <c r="T3448" t="s">
        <v>111</v>
      </c>
      <c r="U3448" t="s">
        <v>111</v>
      </c>
      <c r="V3448" t="s">
        <v>10944</v>
      </c>
      <c r="W3448" t="s">
        <v>43</v>
      </c>
      <c r="X3448" t="s">
        <v>44</v>
      </c>
      <c r="Y3448" t="s">
        <v>44</v>
      </c>
      <c r="Z3448" t="s">
        <v>44</v>
      </c>
      <c r="AA3448" t="s">
        <v>10979</v>
      </c>
      <c r="AB3448" t="s">
        <v>44</v>
      </c>
      <c r="AC3448" s="4">
        <v>8.8944425599999999</v>
      </c>
      <c r="AD3448" s="4">
        <v>8.5512049999999995</v>
      </c>
      <c r="AE3448" s="2">
        <v>8.89</v>
      </c>
      <c r="AF3448" s="4">
        <v>8.5512049999999995</v>
      </c>
      <c r="AG3448" s="2">
        <v>0.11</v>
      </c>
      <c r="AH3448" s="2">
        <v>569894.17000000004</v>
      </c>
      <c r="AI3448" s="2">
        <v>0</v>
      </c>
      <c r="AJ3448" s="5">
        <v>44673</v>
      </c>
      <c r="AK3448" t="s">
        <v>12658</v>
      </c>
      <c r="AL3448" s="2">
        <v>8.7100000000000009</v>
      </c>
      <c r="AM3448" s="2">
        <v>10.19</v>
      </c>
      <c r="AN3448" s="2">
        <v>3.21</v>
      </c>
      <c r="AO3448" t="s">
        <v>11054</v>
      </c>
      <c r="AP3448" t="s">
        <v>11848</v>
      </c>
      <c r="AQ3448" t="s">
        <v>11847</v>
      </c>
    </row>
    <row r="3449" spans="1:43" x14ac:dyDescent="0.2">
      <c r="A3449" t="s">
        <v>12657</v>
      </c>
      <c r="B3449" t="s">
        <v>10900</v>
      </c>
      <c r="C3449" t="s">
        <v>10943</v>
      </c>
      <c r="D3449" t="s">
        <v>11849</v>
      </c>
      <c r="E3449" t="s">
        <v>11850</v>
      </c>
      <c r="F3449" t="s">
        <v>11849</v>
      </c>
      <c r="G3449" s="1">
        <v>305000</v>
      </c>
      <c r="H3449" s="2">
        <v>326459.95</v>
      </c>
      <c r="I3449" s="2">
        <v>317684.19</v>
      </c>
      <c r="J3449" s="2">
        <v>1746.44</v>
      </c>
      <c r="K3449" s="2">
        <v>0</v>
      </c>
      <c r="L3449" s="2">
        <v>319430.63</v>
      </c>
      <c r="M3449" s="3">
        <v>8.3550000000000004</v>
      </c>
      <c r="N3449" s="4">
        <v>7.2674000000000002E-4</v>
      </c>
      <c r="O3449" s="5">
        <v>44837</v>
      </c>
      <c r="P3449" s="5">
        <v>46296</v>
      </c>
      <c r="Q3449" s="1">
        <v>9.5</v>
      </c>
      <c r="R3449" s="2">
        <v>3.72</v>
      </c>
      <c r="S3449" s="6">
        <v>3.5673572199999999</v>
      </c>
      <c r="T3449" t="s">
        <v>111</v>
      </c>
      <c r="U3449" t="s">
        <v>111</v>
      </c>
      <c r="V3449" t="s">
        <v>10944</v>
      </c>
      <c r="W3449" t="s">
        <v>43</v>
      </c>
      <c r="X3449" t="s">
        <v>10988</v>
      </c>
      <c r="Y3449" t="s">
        <v>44</v>
      </c>
      <c r="Z3449" t="s">
        <v>44</v>
      </c>
      <c r="AA3449" t="s">
        <v>10979</v>
      </c>
      <c r="AB3449" t="s">
        <v>44</v>
      </c>
      <c r="AC3449" s="4">
        <v>8.5295150599999996</v>
      </c>
      <c r="AD3449" s="4">
        <v>8.2131770100000008</v>
      </c>
      <c r="AE3449" s="2">
        <v>8.5299999999999994</v>
      </c>
      <c r="AF3449" s="4">
        <v>8.2131770100000008</v>
      </c>
      <c r="AG3449" s="2">
        <v>0.06</v>
      </c>
      <c r="AH3449" s="2">
        <v>319430.63</v>
      </c>
      <c r="AI3449" s="2">
        <v>0</v>
      </c>
      <c r="AJ3449" s="5">
        <v>44673</v>
      </c>
      <c r="AK3449" t="s">
        <v>12658</v>
      </c>
      <c r="AL3449" s="2">
        <v>8.35</v>
      </c>
      <c r="AM3449" s="2">
        <v>9.5</v>
      </c>
      <c r="AN3449" s="2">
        <v>3.57</v>
      </c>
      <c r="AO3449" t="s">
        <v>11054</v>
      </c>
      <c r="AP3449" t="s">
        <v>11851</v>
      </c>
      <c r="AQ3449" t="s">
        <v>11850</v>
      </c>
    </row>
    <row r="3450" spans="1:43" x14ac:dyDescent="0.2">
      <c r="A3450" t="s">
        <v>12657</v>
      </c>
      <c r="B3450" t="s">
        <v>10900</v>
      </c>
      <c r="C3450" t="s">
        <v>10943</v>
      </c>
      <c r="D3450" t="s">
        <v>11558</v>
      </c>
      <c r="E3450" t="s">
        <v>11559</v>
      </c>
      <c r="F3450" t="s">
        <v>11558</v>
      </c>
      <c r="G3450" s="1">
        <v>4200000</v>
      </c>
      <c r="H3450" s="2">
        <v>4200000</v>
      </c>
      <c r="I3450" s="2">
        <v>4134493.86</v>
      </c>
      <c r="J3450" s="2">
        <v>3753.53</v>
      </c>
      <c r="K3450" s="2">
        <v>0</v>
      </c>
      <c r="L3450" s="2">
        <v>4138247.39</v>
      </c>
      <c r="M3450" s="3">
        <v>8.625</v>
      </c>
      <c r="N3450" s="4">
        <v>9.41496E-3</v>
      </c>
      <c r="O3450" s="5">
        <v>44853</v>
      </c>
      <c r="P3450" s="5">
        <v>46131</v>
      </c>
      <c r="Q3450" s="1">
        <v>8.1549999999999994</v>
      </c>
      <c r="R3450" s="2">
        <v>3.47</v>
      </c>
      <c r="S3450" s="6">
        <v>3.327828963</v>
      </c>
      <c r="T3450" t="s">
        <v>111</v>
      </c>
      <c r="U3450" t="s">
        <v>111</v>
      </c>
      <c r="V3450" t="s">
        <v>10944</v>
      </c>
      <c r="W3450" t="s">
        <v>43</v>
      </c>
      <c r="X3450" t="s">
        <v>44</v>
      </c>
      <c r="Y3450" t="s">
        <v>44</v>
      </c>
      <c r="Z3450" t="s">
        <v>44</v>
      </c>
      <c r="AA3450" t="s">
        <v>10979</v>
      </c>
      <c r="AB3450" t="s">
        <v>44</v>
      </c>
      <c r="AC3450" s="4">
        <v>8.8109765600000003</v>
      </c>
      <c r="AD3450" s="4">
        <v>8.4739831300000006</v>
      </c>
      <c r="AE3450" s="2">
        <v>8.81</v>
      </c>
      <c r="AF3450" s="4">
        <v>8.4739831300000006</v>
      </c>
      <c r="AG3450" s="2">
        <v>0.77</v>
      </c>
      <c r="AH3450" s="2">
        <v>4138247.39</v>
      </c>
      <c r="AI3450" s="2">
        <v>0.01</v>
      </c>
      <c r="AJ3450" s="5">
        <v>44673</v>
      </c>
      <c r="AK3450" t="s">
        <v>12658</v>
      </c>
      <c r="AL3450" s="2">
        <v>8.6300000000000008</v>
      </c>
      <c r="AM3450" s="2">
        <v>8.15</v>
      </c>
      <c r="AN3450" s="2">
        <v>3.33</v>
      </c>
      <c r="AO3450" t="s">
        <v>11054</v>
      </c>
      <c r="AP3450" t="s">
        <v>11560</v>
      </c>
      <c r="AQ3450" t="s">
        <v>11559</v>
      </c>
    </row>
    <row r="3451" spans="1:43" x14ac:dyDescent="0.2">
      <c r="A3451" t="s">
        <v>12657</v>
      </c>
      <c r="B3451" t="s">
        <v>10900</v>
      </c>
      <c r="C3451" t="s">
        <v>10943</v>
      </c>
      <c r="D3451" t="s">
        <v>11569</v>
      </c>
      <c r="E3451" t="s">
        <v>11570</v>
      </c>
      <c r="F3451" t="s">
        <v>11569</v>
      </c>
      <c r="G3451" s="1">
        <v>4400000</v>
      </c>
      <c r="H3451" s="2">
        <v>4400000</v>
      </c>
      <c r="I3451" s="2">
        <v>4423777.25</v>
      </c>
      <c r="J3451" s="2">
        <v>60248.18</v>
      </c>
      <c r="K3451" s="2">
        <v>0</v>
      </c>
      <c r="L3451" s="2">
        <v>4484025.43</v>
      </c>
      <c r="M3451" s="3">
        <v>8.5241640000000007</v>
      </c>
      <c r="N3451" s="4">
        <v>1.020164E-2</v>
      </c>
      <c r="O3451" s="5">
        <v>44705</v>
      </c>
      <c r="P3451" s="5">
        <v>46166</v>
      </c>
      <c r="Q3451" s="1">
        <v>8.6170000000000009</v>
      </c>
      <c r="R3451" s="2">
        <v>0.08</v>
      </c>
      <c r="S3451" s="6">
        <v>-9.3404076700000001E-3</v>
      </c>
      <c r="T3451" t="s">
        <v>111</v>
      </c>
      <c r="U3451" t="s">
        <v>111</v>
      </c>
      <c r="V3451" t="s">
        <v>11189</v>
      </c>
      <c r="W3451" t="s">
        <v>43</v>
      </c>
      <c r="X3451" t="s">
        <v>11034</v>
      </c>
      <c r="Y3451" t="s">
        <v>44</v>
      </c>
      <c r="Z3451" t="s">
        <v>44</v>
      </c>
      <c r="AA3451" t="s">
        <v>11035</v>
      </c>
      <c r="AB3451" t="s">
        <v>44</v>
      </c>
      <c r="AC3451" s="4">
        <v>8.7058170199999996</v>
      </c>
      <c r="AD3451" s="4">
        <v>8.3766132899999999</v>
      </c>
      <c r="AE3451" s="2">
        <v>8.7100000000000009</v>
      </c>
      <c r="AF3451" s="4">
        <v>8.3766132899999999</v>
      </c>
      <c r="AG3451" s="2">
        <v>0.83</v>
      </c>
      <c r="AH3451" s="2">
        <v>4484025.43</v>
      </c>
      <c r="AI3451" s="2">
        <v>0.01</v>
      </c>
      <c r="AJ3451" s="5">
        <v>44673</v>
      </c>
      <c r="AK3451" t="s">
        <v>12658</v>
      </c>
      <c r="AL3451" s="2">
        <v>8.52</v>
      </c>
      <c r="AM3451" s="2">
        <v>8.6199999999999992</v>
      </c>
      <c r="AN3451" s="2">
        <v>-0.01</v>
      </c>
      <c r="AO3451" t="s">
        <v>11226</v>
      </c>
      <c r="AP3451" t="s">
        <v>11571</v>
      </c>
      <c r="AQ3451" t="s">
        <v>11570</v>
      </c>
    </row>
    <row r="3452" spans="1:43" x14ac:dyDescent="0.2">
      <c r="A3452" t="s">
        <v>12657</v>
      </c>
      <c r="B3452" t="s">
        <v>10900</v>
      </c>
      <c r="C3452" t="s">
        <v>10943</v>
      </c>
      <c r="D3452" t="s">
        <v>11572</v>
      </c>
      <c r="E3452" t="s">
        <v>11573</v>
      </c>
      <c r="F3452" t="s">
        <v>11572</v>
      </c>
      <c r="G3452" s="1">
        <v>5300000</v>
      </c>
      <c r="H3452" s="2">
        <v>5300000</v>
      </c>
      <c r="I3452" s="2">
        <v>5299523.08</v>
      </c>
      <c r="J3452" s="2">
        <v>29700.91</v>
      </c>
      <c r="K3452" s="2">
        <v>0</v>
      </c>
      <c r="L3452" s="2">
        <v>5329223.99</v>
      </c>
      <c r="M3452" s="3">
        <v>6.3514429999999997</v>
      </c>
      <c r="N3452" s="4">
        <v>1.212456E-2</v>
      </c>
      <c r="O3452" s="5">
        <v>44734</v>
      </c>
      <c r="P3452" s="5">
        <v>46468</v>
      </c>
      <c r="Q3452" s="1">
        <v>6.3920000000000003</v>
      </c>
      <c r="R3452" s="2">
        <v>0.16</v>
      </c>
      <c r="S3452" s="6">
        <v>9.4330326845999998E-2</v>
      </c>
      <c r="T3452" t="s">
        <v>111</v>
      </c>
      <c r="U3452" t="s">
        <v>111</v>
      </c>
      <c r="V3452" t="s">
        <v>11189</v>
      </c>
      <c r="W3452" t="s">
        <v>43</v>
      </c>
      <c r="X3452" t="s">
        <v>11034</v>
      </c>
      <c r="Y3452" t="s">
        <v>44</v>
      </c>
      <c r="Z3452" t="s">
        <v>44</v>
      </c>
      <c r="AA3452" t="s">
        <v>11035</v>
      </c>
      <c r="AB3452" t="s">
        <v>44</v>
      </c>
      <c r="AC3452" s="4">
        <v>6.4522949799999996</v>
      </c>
      <c r="AD3452" s="4">
        <v>6.2689947500000001</v>
      </c>
      <c r="AE3452" s="2">
        <v>6.45</v>
      </c>
      <c r="AF3452" s="4">
        <v>6.2689947500000001</v>
      </c>
      <c r="AG3452" s="2">
        <v>0.99</v>
      </c>
      <c r="AH3452" s="2">
        <v>5329223.99</v>
      </c>
      <c r="AI3452" s="2">
        <v>0.01</v>
      </c>
      <c r="AJ3452" s="5">
        <v>44673</v>
      </c>
      <c r="AK3452" t="s">
        <v>12658</v>
      </c>
      <c r="AL3452" s="2">
        <v>6.35</v>
      </c>
      <c r="AM3452" s="2">
        <v>6.39</v>
      </c>
      <c r="AN3452" s="2">
        <v>0.09</v>
      </c>
      <c r="AO3452" t="s">
        <v>11226</v>
      </c>
      <c r="AP3452" t="s">
        <v>11574</v>
      </c>
      <c r="AQ3452" t="s">
        <v>11573</v>
      </c>
    </row>
    <row r="3453" spans="1:43" x14ac:dyDescent="0.2">
      <c r="A3453" t="s">
        <v>12657</v>
      </c>
      <c r="B3453" t="s">
        <v>10900</v>
      </c>
      <c r="C3453" t="s">
        <v>10943</v>
      </c>
      <c r="D3453" t="s">
        <v>11575</v>
      </c>
      <c r="E3453" t="s">
        <v>11576</v>
      </c>
      <c r="F3453" t="s">
        <v>11575</v>
      </c>
      <c r="G3453" s="1">
        <v>7800000</v>
      </c>
      <c r="H3453" s="2">
        <v>7800000</v>
      </c>
      <c r="I3453" s="2">
        <v>7604254.3200000003</v>
      </c>
      <c r="J3453" s="2">
        <v>144917.59</v>
      </c>
      <c r="K3453" s="2">
        <v>0</v>
      </c>
      <c r="L3453" s="2">
        <v>7749171.9100000001</v>
      </c>
      <c r="M3453" s="3">
        <v>9.07</v>
      </c>
      <c r="N3453" s="4">
        <v>1.7630199999999999E-2</v>
      </c>
      <c r="O3453" s="5">
        <v>44771</v>
      </c>
      <c r="P3453" s="5">
        <v>46051</v>
      </c>
      <c r="Q3453" s="1">
        <v>8.27</v>
      </c>
      <c r="R3453" s="2">
        <v>3.24</v>
      </c>
      <c r="S3453" s="6">
        <v>3.0998465770000001</v>
      </c>
      <c r="T3453" t="s">
        <v>111</v>
      </c>
      <c r="U3453" t="s">
        <v>111</v>
      </c>
      <c r="V3453" t="s">
        <v>10944</v>
      </c>
      <c r="W3453" t="s">
        <v>43</v>
      </c>
      <c r="X3453" t="s">
        <v>44</v>
      </c>
      <c r="Y3453" t="s">
        <v>44</v>
      </c>
      <c r="Z3453" t="s">
        <v>44</v>
      </c>
      <c r="AA3453" t="s">
        <v>11035</v>
      </c>
      <c r="AB3453" t="s">
        <v>44</v>
      </c>
      <c r="AC3453" s="4">
        <v>9.2756622499999999</v>
      </c>
      <c r="AD3453" s="4">
        <v>8.9032170799999992</v>
      </c>
      <c r="AE3453" s="2">
        <v>9.2799999999999994</v>
      </c>
      <c r="AF3453" s="4">
        <v>8.9032170799999992</v>
      </c>
      <c r="AG3453" s="2">
        <v>1.44</v>
      </c>
      <c r="AH3453" s="2">
        <v>7749171.9100000001</v>
      </c>
      <c r="AI3453" s="2">
        <v>0.02</v>
      </c>
      <c r="AJ3453" s="5">
        <v>44673</v>
      </c>
      <c r="AK3453" t="s">
        <v>12658</v>
      </c>
      <c r="AL3453" s="2">
        <v>9.07</v>
      </c>
      <c r="AM3453" s="2">
        <v>8.27</v>
      </c>
      <c r="AN3453" s="2">
        <v>3.1</v>
      </c>
      <c r="AO3453" t="s">
        <v>11437</v>
      </c>
      <c r="AP3453" t="s">
        <v>11577</v>
      </c>
      <c r="AQ3453" t="s">
        <v>11576</v>
      </c>
    </row>
    <row r="3454" spans="1:43" x14ac:dyDescent="0.2">
      <c r="A3454" t="s">
        <v>12657</v>
      </c>
      <c r="B3454" t="s">
        <v>10900</v>
      </c>
      <c r="C3454" t="s">
        <v>10943</v>
      </c>
      <c r="D3454" t="s">
        <v>11578</v>
      </c>
      <c r="E3454" t="s">
        <v>11579</v>
      </c>
      <c r="F3454" t="s">
        <v>11578</v>
      </c>
      <c r="G3454" s="1">
        <v>1800000</v>
      </c>
      <c r="H3454" s="2">
        <v>1800000</v>
      </c>
      <c r="I3454" s="2">
        <v>1680304.68</v>
      </c>
      <c r="J3454" s="2">
        <v>14981.5</v>
      </c>
      <c r="K3454" s="2">
        <v>0</v>
      </c>
      <c r="L3454" s="2">
        <v>1695286.18</v>
      </c>
      <c r="M3454" s="3">
        <v>9.375</v>
      </c>
      <c r="N3454" s="4">
        <v>3.85696E-3</v>
      </c>
      <c r="O3454" s="5">
        <v>44819</v>
      </c>
      <c r="P3454" s="5">
        <v>46827</v>
      </c>
      <c r="Q3454" s="1">
        <v>7.8849999999999998</v>
      </c>
      <c r="R3454" s="2">
        <v>4.74</v>
      </c>
      <c r="S3454" s="6">
        <v>4.5243735450000004</v>
      </c>
      <c r="T3454" t="s">
        <v>111</v>
      </c>
      <c r="U3454" t="s">
        <v>111</v>
      </c>
      <c r="V3454" t="s">
        <v>10944</v>
      </c>
      <c r="W3454" t="s">
        <v>43</v>
      </c>
      <c r="X3454" t="s">
        <v>44</v>
      </c>
      <c r="Y3454" t="s">
        <v>44</v>
      </c>
      <c r="Z3454" t="s">
        <v>44</v>
      </c>
      <c r="AA3454" t="s">
        <v>11441</v>
      </c>
      <c r="AB3454" t="s">
        <v>44</v>
      </c>
      <c r="AC3454" s="4">
        <v>9.5947265599999998</v>
      </c>
      <c r="AD3454" s="4">
        <v>9.1969716100000003</v>
      </c>
      <c r="AE3454" s="2">
        <v>9.59</v>
      </c>
      <c r="AF3454" s="4">
        <v>9.1969716100000003</v>
      </c>
      <c r="AG3454" s="2">
        <v>0.31</v>
      </c>
      <c r="AH3454" s="2">
        <v>1695286.18</v>
      </c>
      <c r="AI3454" s="2">
        <v>0</v>
      </c>
      <c r="AJ3454" s="5">
        <v>44673</v>
      </c>
      <c r="AK3454" t="s">
        <v>12658</v>
      </c>
      <c r="AL3454" s="2">
        <v>9.3800000000000008</v>
      </c>
      <c r="AM3454" s="2">
        <v>7.88</v>
      </c>
      <c r="AN3454" s="2">
        <v>4.5199999999999996</v>
      </c>
      <c r="AO3454" t="s">
        <v>11580</v>
      </c>
      <c r="AP3454" t="s">
        <v>11581</v>
      </c>
      <c r="AQ3454" t="s">
        <v>11579</v>
      </c>
    </row>
    <row r="3455" spans="1:43" x14ac:dyDescent="0.2">
      <c r="A3455" t="s">
        <v>12657</v>
      </c>
      <c r="B3455" t="s">
        <v>10900</v>
      </c>
      <c r="C3455" t="s">
        <v>10943</v>
      </c>
      <c r="D3455" t="s">
        <v>11919</v>
      </c>
      <c r="E3455" t="s">
        <v>11920</v>
      </c>
      <c r="F3455" t="s">
        <v>11919</v>
      </c>
      <c r="G3455" s="1">
        <v>5700000</v>
      </c>
      <c r="H3455" s="2">
        <v>5700000</v>
      </c>
      <c r="I3455" s="2">
        <v>6002167.3399999999</v>
      </c>
      <c r="J3455" s="2">
        <v>24380.85</v>
      </c>
      <c r="K3455" s="2">
        <v>0</v>
      </c>
      <c r="L3455" s="2">
        <v>6026548.1900000004</v>
      </c>
      <c r="M3455" s="3">
        <v>6.2178870000000002</v>
      </c>
      <c r="N3455" s="4">
        <v>1.3711050000000001E-2</v>
      </c>
      <c r="O3455" s="5">
        <v>44746</v>
      </c>
      <c r="P3455" s="5">
        <v>45840</v>
      </c>
      <c r="Q3455" s="1">
        <v>8.2170000000000005</v>
      </c>
      <c r="R3455" s="2">
        <v>0.19</v>
      </c>
      <c r="S3455" s="6">
        <v>0.21403134549399999</v>
      </c>
      <c r="T3455" t="s">
        <v>111</v>
      </c>
      <c r="U3455" t="s">
        <v>111</v>
      </c>
      <c r="V3455" t="s">
        <v>11189</v>
      </c>
      <c r="W3455" t="s">
        <v>43</v>
      </c>
      <c r="X3455" t="s">
        <v>11034</v>
      </c>
      <c r="Y3455" t="s">
        <v>44</v>
      </c>
      <c r="Z3455" t="s">
        <v>44</v>
      </c>
      <c r="AA3455" t="s">
        <v>11035</v>
      </c>
      <c r="AB3455" t="s">
        <v>44</v>
      </c>
      <c r="AC3455" s="4">
        <v>6.3145418700000002</v>
      </c>
      <c r="AD3455" s="4">
        <v>6.1388379000000004</v>
      </c>
      <c r="AE3455" s="2">
        <v>6.31</v>
      </c>
      <c r="AF3455" s="4">
        <v>6.1388379000000004</v>
      </c>
      <c r="AG3455" s="2">
        <v>1.1200000000000001</v>
      </c>
      <c r="AH3455" s="2">
        <v>6026548.1900000004</v>
      </c>
      <c r="AI3455" s="2">
        <v>0.01</v>
      </c>
      <c r="AJ3455" s="5">
        <v>44673</v>
      </c>
      <c r="AK3455" t="s">
        <v>12658</v>
      </c>
      <c r="AL3455" s="2">
        <v>6.22</v>
      </c>
      <c r="AM3455" s="2">
        <v>8.2200000000000006</v>
      </c>
      <c r="AN3455" s="2">
        <v>0.21</v>
      </c>
      <c r="AO3455" t="s">
        <v>11036</v>
      </c>
      <c r="AP3455" t="s">
        <v>11921</v>
      </c>
      <c r="AQ3455" t="s">
        <v>11920</v>
      </c>
    </row>
    <row r="3456" spans="1:43" x14ac:dyDescent="0.2">
      <c r="A3456" t="s">
        <v>12657</v>
      </c>
      <c r="B3456" t="s">
        <v>10900</v>
      </c>
      <c r="C3456" t="s">
        <v>10943</v>
      </c>
      <c r="D3456" t="s">
        <v>11962</v>
      </c>
      <c r="E3456" t="s">
        <v>11963</v>
      </c>
      <c r="F3456" t="s">
        <v>11962</v>
      </c>
      <c r="G3456" s="1">
        <v>4000000</v>
      </c>
      <c r="H3456" s="2">
        <v>4000000</v>
      </c>
      <c r="I3456" s="2">
        <v>4099940.7</v>
      </c>
      <c r="J3456" s="2">
        <v>74860.27</v>
      </c>
      <c r="K3456" s="2">
        <v>0</v>
      </c>
      <c r="L3456" s="2">
        <v>4174800.97</v>
      </c>
      <c r="M3456" s="3">
        <v>8.2411139999999996</v>
      </c>
      <c r="N3456" s="4">
        <v>9.4981200000000005E-3</v>
      </c>
      <c r="O3456" s="5">
        <v>44686</v>
      </c>
      <c r="P3456" s="5">
        <v>45874</v>
      </c>
      <c r="Q3456" s="1">
        <v>9.1080000000000005</v>
      </c>
      <c r="R3456" s="2">
        <v>0.03</v>
      </c>
      <c r="S3456" s="6">
        <v>-1.210173591E-2</v>
      </c>
      <c r="T3456" t="s">
        <v>111</v>
      </c>
      <c r="U3456" t="s">
        <v>111</v>
      </c>
      <c r="V3456" t="s">
        <v>11189</v>
      </c>
      <c r="W3456" t="s">
        <v>43</v>
      </c>
      <c r="X3456" t="s">
        <v>11034</v>
      </c>
      <c r="Y3456" t="s">
        <v>44</v>
      </c>
      <c r="Z3456" t="s">
        <v>44</v>
      </c>
      <c r="AA3456" t="s">
        <v>11035</v>
      </c>
      <c r="AB3456" t="s">
        <v>44</v>
      </c>
      <c r="AC3456" s="4">
        <v>8.4109039299999999</v>
      </c>
      <c r="AD3456" s="4">
        <v>8.1030845599999992</v>
      </c>
      <c r="AE3456" s="2">
        <v>8.41</v>
      </c>
      <c r="AF3456" s="4">
        <v>8.1030845599999992</v>
      </c>
      <c r="AG3456" s="2">
        <v>0.77</v>
      </c>
      <c r="AH3456" s="2">
        <v>4174800.97</v>
      </c>
      <c r="AI3456" s="2">
        <v>0.01</v>
      </c>
      <c r="AJ3456" s="5">
        <v>44673</v>
      </c>
      <c r="AK3456" t="s">
        <v>12658</v>
      </c>
      <c r="AL3456" s="2">
        <v>8.24</v>
      </c>
      <c r="AM3456" s="2">
        <v>9.11</v>
      </c>
      <c r="AN3456" s="2">
        <v>-0.01</v>
      </c>
      <c r="AO3456" t="s">
        <v>11036</v>
      </c>
      <c r="AP3456" t="s">
        <v>11964</v>
      </c>
      <c r="AQ3456" t="s">
        <v>11963</v>
      </c>
    </row>
    <row r="3457" spans="1:43" x14ac:dyDescent="0.2">
      <c r="A3457" t="s">
        <v>12657</v>
      </c>
      <c r="B3457" t="s">
        <v>10900</v>
      </c>
      <c r="C3457" t="s">
        <v>10943</v>
      </c>
      <c r="D3457" t="s">
        <v>11582</v>
      </c>
      <c r="E3457" t="s">
        <v>11583</v>
      </c>
      <c r="F3457" t="s">
        <v>11582</v>
      </c>
      <c r="G3457" s="1">
        <v>2900000</v>
      </c>
      <c r="H3457" s="2">
        <v>2900000</v>
      </c>
      <c r="I3457" s="2">
        <v>2900060.42</v>
      </c>
      <c r="J3457" s="2">
        <v>13152.65</v>
      </c>
      <c r="K3457" s="2">
        <v>0</v>
      </c>
      <c r="L3457" s="2">
        <v>2913213.07</v>
      </c>
      <c r="M3457" s="3">
        <v>6.2543709999999999</v>
      </c>
      <c r="N3457" s="4">
        <v>6.6278700000000001E-3</v>
      </c>
      <c r="O3457" s="5">
        <v>44739</v>
      </c>
      <c r="P3457" s="5">
        <v>46383</v>
      </c>
      <c r="Q3457" s="1">
        <v>6.367</v>
      </c>
      <c r="R3457" s="2">
        <v>0.17</v>
      </c>
      <c r="S3457" s="6">
        <v>0.11195984108699999</v>
      </c>
      <c r="T3457" t="s">
        <v>111</v>
      </c>
      <c r="U3457" t="s">
        <v>111</v>
      </c>
      <c r="V3457" t="s">
        <v>11189</v>
      </c>
      <c r="W3457" t="s">
        <v>43</v>
      </c>
      <c r="X3457" t="s">
        <v>11034</v>
      </c>
      <c r="Y3457" t="s">
        <v>44</v>
      </c>
      <c r="Z3457" t="s">
        <v>44</v>
      </c>
      <c r="AA3457" t="s">
        <v>11035</v>
      </c>
      <c r="AB3457" t="s">
        <v>44</v>
      </c>
      <c r="AC3457" s="4">
        <v>6.3521637200000001</v>
      </c>
      <c r="AD3457" s="4">
        <v>6.1744004700000001</v>
      </c>
      <c r="AE3457" s="2">
        <v>6.35</v>
      </c>
      <c r="AF3457" s="4">
        <v>6.1744004700000001</v>
      </c>
      <c r="AG3457" s="2">
        <v>0.54</v>
      </c>
      <c r="AH3457" s="2">
        <v>2913213.07</v>
      </c>
      <c r="AI3457" s="2">
        <v>0.01</v>
      </c>
      <c r="AJ3457" s="5">
        <v>44673</v>
      </c>
      <c r="AK3457" t="s">
        <v>12658</v>
      </c>
      <c r="AL3457" s="2">
        <v>6.25</v>
      </c>
      <c r="AM3457" s="2">
        <v>6.37</v>
      </c>
      <c r="AN3457" s="2">
        <v>0.11</v>
      </c>
      <c r="AO3457" t="s">
        <v>11036</v>
      </c>
      <c r="AP3457" t="s">
        <v>11584</v>
      </c>
      <c r="AQ3457" t="s">
        <v>11583</v>
      </c>
    </row>
    <row r="3458" spans="1:43" x14ac:dyDescent="0.2">
      <c r="A3458" t="s">
        <v>12657</v>
      </c>
      <c r="B3458" t="s">
        <v>10900</v>
      </c>
      <c r="C3458" t="s">
        <v>10943</v>
      </c>
      <c r="D3458" t="s">
        <v>11585</v>
      </c>
      <c r="E3458" t="s">
        <v>11586</v>
      </c>
      <c r="F3458" t="s">
        <v>11585</v>
      </c>
      <c r="G3458" s="1">
        <v>5200000</v>
      </c>
      <c r="H3458" s="2">
        <v>5200000</v>
      </c>
      <c r="I3458" s="2">
        <v>5413314.0899999999</v>
      </c>
      <c r="J3458" s="2">
        <v>58456.55</v>
      </c>
      <c r="K3458" s="2">
        <v>0</v>
      </c>
      <c r="L3458" s="2">
        <v>5471770.6399999997</v>
      </c>
      <c r="M3458" s="3">
        <v>7.7660200000000001</v>
      </c>
      <c r="N3458" s="4">
        <v>1.2448870000000001E-2</v>
      </c>
      <c r="O3458" s="5">
        <v>44720</v>
      </c>
      <c r="P3458" s="5">
        <v>46273</v>
      </c>
      <c r="Q3458" s="1">
        <v>8.92</v>
      </c>
      <c r="R3458" s="2">
        <v>0.12</v>
      </c>
      <c r="S3458" s="6">
        <v>0.10556959685300001</v>
      </c>
      <c r="T3458" t="s">
        <v>111</v>
      </c>
      <c r="U3458" t="s">
        <v>111</v>
      </c>
      <c r="V3458" t="s">
        <v>11189</v>
      </c>
      <c r="W3458" t="s">
        <v>43</v>
      </c>
      <c r="X3458" t="s">
        <v>11034</v>
      </c>
      <c r="Y3458" t="s">
        <v>44</v>
      </c>
      <c r="Z3458" t="s">
        <v>44</v>
      </c>
      <c r="AA3458" t="s">
        <v>11035</v>
      </c>
      <c r="AB3458" t="s">
        <v>44</v>
      </c>
      <c r="AC3458" s="4">
        <v>7.9167972899999999</v>
      </c>
      <c r="AD3458" s="4">
        <v>7.6432735200000002</v>
      </c>
      <c r="AE3458" s="2">
        <v>7.92</v>
      </c>
      <c r="AF3458" s="4">
        <v>7.6432735200000002</v>
      </c>
      <c r="AG3458" s="2">
        <v>1.01</v>
      </c>
      <c r="AH3458" s="2">
        <v>5471770.6399999997</v>
      </c>
      <c r="AI3458" s="2">
        <v>0.01</v>
      </c>
      <c r="AJ3458" s="5">
        <v>44673</v>
      </c>
      <c r="AK3458" t="s">
        <v>12658</v>
      </c>
      <c r="AL3458" s="2">
        <v>7.77</v>
      </c>
      <c r="AM3458" s="2">
        <v>8.92</v>
      </c>
      <c r="AN3458" s="2">
        <v>0.11</v>
      </c>
      <c r="AO3458" t="s">
        <v>11036</v>
      </c>
      <c r="AP3458" t="s">
        <v>11587</v>
      </c>
      <c r="AQ3458" t="s">
        <v>11586</v>
      </c>
    </row>
    <row r="3459" spans="1:43" x14ac:dyDescent="0.2">
      <c r="A3459" t="s">
        <v>12657</v>
      </c>
      <c r="B3459" t="s">
        <v>10900</v>
      </c>
      <c r="C3459" t="s">
        <v>10943</v>
      </c>
      <c r="D3459" t="s">
        <v>11588</v>
      </c>
      <c r="E3459" t="s">
        <v>11589</v>
      </c>
      <c r="F3459" t="s">
        <v>11588</v>
      </c>
      <c r="G3459" s="1">
        <v>2900000</v>
      </c>
      <c r="H3459" s="2">
        <v>2900000</v>
      </c>
      <c r="I3459" s="2">
        <v>2900000.48</v>
      </c>
      <c r="J3459" s="2">
        <v>17098.240000000002</v>
      </c>
      <c r="K3459" s="2">
        <v>0</v>
      </c>
      <c r="L3459" s="2">
        <v>2917098.72</v>
      </c>
      <c r="M3459" s="3">
        <v>8.1643709999999992</v>
      </c>
      <c r="N3459" s="4">
        <v>6.6367099999999997E-3</v>
      </c>
      <c r="O3459" s="5">
        <v>44739</v>
      </c>
      <c r="P3459" s="5">
        <v>46383</v>
      </c>
      <c r="Q3459" s="1">
        <v>8.2769999999999992</v>
      </c>
      <c r="R3459" s="2">
        <v>0.17</v>
      </c>
      <c r="S3459" s="6">
        <v>6.6173810217000001E-2</v>
      </c>
      <c r="T3459" t="s">
        <v>111</v>
      </c>
      <c r="U3459" t="s">
        <v>111</v>
      </c>
      <c r="V3459" t="s">
        <v>11189</v>
      </c>
      <c r="W3459" t="s">
        <v>43</v>
      </c>
      <c r="X3459" t="s">
        <v>11034</v>
      </c>
      <c r="Y3459" t="s">
        <v>44</v>
      </c>
      <c r="Z3459" t="s">
        <v>44</v>
      </c>
      <c r="AA3459" t="s">
        <v>11035</v>
      </c>
      <c r="AB3459" t="s">
        <v>44</v>
      </c>
      <c r="AC3459" s="4">
        <v>8.3310132100000001</v>
      </c>
      <c r="AD3459" s="4">
        <v>8.0288693599999998</v>
      </c>
      <c r="AE3459" s="2">
        <v>8.33</v>
      </c>
      <c r="AF3459" s="4">
        <v>8.0288693599999998</v>
      </c>
      <c r="AG3459" s="2">
        <v>0.54</v>
      </c>
      <c r="AH3459" s="2">
        <v>2917098.72</v>
      </c>
      <c r="AI3459" s="2">
        <v>0.01</v>
      </c>
      <c r="AJ3459" s="5">
        <v>44673</v>
      </c>
      <c r="AK3459" t="s">
        <v>12658</v>
      </c>
      <c r="AL3459" s="2">
        <v>8.16</v>
      </c>
      <c r="AM3459" s="2">
        <v>8.2799999999999994</v>
      </c>
      <c r="AN3459" s="2">
        <v>7.0000000000000007E-2</v>
      </c>
      <c r="AO3459" t="s">
        <v>11036</v>
      </c>
      <c r="AP3459" t="s">
        <v>11590</v>
      </c>
      <c r="AQ3459" t="s">
        <v>11589</v>
      </c>
    </row>
    <row r="3460" spans="1:43" x14ac:dyDescent="0.2">
      <c r="A3460" t="s">
        <v>12657</v>
      </c>
      <c r="B3460" t="s">
        <v>10900</v>
      </c>
      <c r="C3460" t="s">
        <v>10943</v>
      </c>
      <c r="D3460" t="s">
        <v>11135</v>
      </c>
      <c r="E3460" t="s">
        <v>10946</v>
      </c>
      <c r="F3460" t="s">
        <v>11135</v>
      </c>
      <c r="G3460" s="1">
        <v>20690000</v>
      </c>
      <c r="H3460" s="2">
        <v>23293667.059999999</v>
      </c>
      <c r="I3460" s="2">
        <v>22478226.359999999</v>
      </c>
      <c r="J3460" s="2">
        <v>732085.89</v>
      </c>
      <c r="K3460" s="2">
        <v>0</v>
      </c>
      <c r="L3460" s="2">
        <v>23210312.25</v>
      </c>
      <c r="M3460" s="3">
        <v>8.2249999999999996</v>
      </c>
      <c r="N3460" s="4">
        <v>5.2805959999999999E-2</v>
      </c>
      <c r="O3460" s="5">
        <v>44733</v>
      </c>
      <c r="P3460" s="5">
        <v>46377</v>
      </c>
      <c r="Q3460" s="1">
        <v>10.5</v>
      </c>
      <c r="R3460" s="2">
        <v>3.72</v>
      </c>
      <c r="S3460" s="6">
        <v>3.572672968</v>
      </c>
      <c r="T3460" t="s">
        <v>111</v>
      </c>
      <c r="U3460" t="s">
        <v>111</v>
      </c>
      <c r="V3460" t="s">
        <v>10944</v>
      </c>
      <c r="W3460" t="s">
        <v>43</v>
      </c>
      <c r="X3460" t="s">
        <v>10945</v>
      </c>
      <c r="Y3460" t="s">
        <v>44</v>
      </c>
      <c r="Z3460" t="s">
        <v>44</v>
      </c>
      <c r="AA3460" t="s">
        <v>10913</v>
      </c>
      <c r="AB3460" t="s">
        <v>44</v>
      </c>
      <c r="AC3460" s="4">
        <v>8.3941265600000001</v>
      </c>
      <c r="AD3460" s="4">
        <v>8.0875032299999994</v>
      </c>
      <c r="AE3460" s="2">
        <v>8.39</v>
      </c>
      <c r="AF3460" s="4">
        <v>8.0875032299999994</v>
      </c>
      <c r="AG3460" s="2">
        <v>4.3</v>
      </c>
      <c r="AH3460" s="2">
        <v>23210312.25</v>
      </c>
      <c r="AI3460" s="2">
        <v>0.05</v>
      </c>
      <c r="AJ3460" s="5">
        <v>44673</v>
      </c>
      <c r="AK3460" t="s">
        <v>12658</v>
      </c>
      <c r="AL3460" s="2">
        <v>8.23</v>
      </c>
      <c r="AM3460" s="2">
        <v>10.5</v>
      </c>
      <c r="AN3460" s="2">
        <v>3.57</v>
      </c>
      <c r="AO3460" t="s">
        <v>10922</v>
      </c>
      <c r="AP3460" t="s">
        <v>11136</v>
      </c>
      <c r="AQ3460" t="s">
        <v>10946</v>
      </c>
    </row>
    <row r="3461" spans="1:43" x14ac:dyDescent="0.2">
      <c r="A3461" t="s">
        <v>12657</v>
      </c>
      <c r="B3461" t="s">
        <v>10900</v>
      </c>
      <c r="C3461" t="s">
        <v>10943</v>
      </c>
      <c r="D3461" t="s">
        <v>12863</v>
      </c>
      <c r="E3461" t="s">
        <v>12864</v>
      </c>
      <c r="F3461" t="s">
        <v>12863</v>
      </c>
      <c r="G3461" s="1">
        <v>3100000</v>
      </c>
      <c r="H3461" s="2">
        <v>3100000</v>
      </c>
      <c r="I3461" s="2">
        <v>3103521.28</v>
      </c>
      <c r="J3461" s="2">
        <v>11084.58</v>
      </c>
      <c r="K3461" s="2">
        <v>0</v>
      </c>
      <c r="L3461" s="2">
        <v>3114605.86</v>
      </c>
      <c r="M3461" s="3">
        <v>8.0409749999999995</v>
      </c>
      <c r="N3461" s="4">
        <v>7.0860599999999999E-3</v>
      </c>
      <c r="O3461" s="5">
        <v>44750</v>
      </c>
      <c r="P3461" s="5">
        <v>46485</v>
      </c>
      <c r="Q3461" s="1">
        <v>8.157</v>
      </c>
      <c r="R3461" s="2">
        <v>0.2</v>
      </c>
      <c r="S3461" s="6">
        <v>9.4975697833E-2</v>
      </c>
      <c r="T3461" t="s">
        <v>111</v>
      </c>
      <c r="U3461" t="s">
        <v>111</v>
      </c>
      <c r="V3461" t="s">
        <v>11189</v>
      </c>
      <c r="W3461" t="s">
        <v>43</v>
      </c>
      <c r="X3461" t="s">
        <v>11034</v>
      </c>
      <c r="Y3461" t="s">
        <v>44</v>
      </c>
      <c r="Z3461" t="s">
        <v>44</v>
      </c>
      <c r="AA3461" t="s">
        <v>11035</v>
      </c>
      <c r="AB3461" t="s">
        <v>44</v>
      </c>
      <c r="AC3461" s="4">
        <v>8.2026182599999995</v>
      </c>
      <c r="AD3461" s="4">
        <v>7.9094905600000001</v>
      </c>
      <c r="AE3461" s="2">
        <v>8.1999999999999993</v>
      </c>
      <c r="AF3461" s="4">
        <v>7.9094905600000001</v>
      </c>
      <c r="AG3461" s="2">
        <v>0.57999999999999996</v>
      </c>
      <c r="AH3461" s="2">
        <v>3114605.86</v>
      </c>
      <c r="AI3461" s="2">
        <v>0.01</v>
      </c>
      <c r="AJ3461" s="5">
        <v>44673</v>
      </c>
      <c r="AK3461" t="s">
        <v>12658</v>
      </c>
      <c r="AL3461" s="2">
        <v>8.0399999999999991</v>
      </c>
      <c r="AM3461" s="2">
        <v>8.16</v>
      </c>
      <c r="AN3461" s="2">
        <v>0.09</v>
      </c>
      <c r="AO3461" t="s">
        <v>11496</v>
      </c>
      <c r="AP3461" t="s">
        <v>12865</v>
      </c>
      <c r="AQ3461" t="s">
        <v>12864</v>
      </c>
    </row>
    <row r="3462" spans="1:43" x14ac:dyDescent="0.2">
      <c r="A3462" t="s">
        <v>12657</v>
      </c>
      <c r="B3462" t="s">
        <v>10900</v>
      </c>
      <c r="C3462" t="s">
        <v>10943</v>
      </c>
      <c r="D3462" t="s">
        <v>11852</v>
      </c>
      <c r="E3462" t="s">
        <v>11853</v>
      </c>
      <c r="F3462" t="s">
        <v>11852</v>
      </c>
      <c r="G3462" s="1">
        <v>15700000</v>
      </c>
      <c r="H3462" s="2">
        <v>16332906.619999999</v>
      </c>
      <c r="I3462" s="2">
        <v>16610370.83</v>
      </c>
      <c r="J3462" s="2">
        <v>101138.97</v>
      </c>
      <c r="K3462" s="2">
        <v>0</v>
      </c>
      <c r="L3462" s="2">
        <v>16711509.800000001</v>
      </c>
      <c r="M3462" s="3">
        <v>5.9243709999999998</v>
      </c>
      <c r="N3462" s="4">
        <v>3.8020480000000002E-2</v>
      </c>
      <c r="O3462" s="5">
        <v>44739</v>
      </c>
      <c r="P3462" s="5">
        <v>45833</v>
      </c>
      <c r="Q3462" s="1">
        <v>8.1080000000000005</v>
      </c>
      <c r="R3462" s="2">
        <v>0.17</v>
      </c>
      <c r="S3462" s="6">
        <v>0.20785827684899999</v>
      </c>
      <c r="T3462" t="s">
        <v>111</v>
      </c>
      <c r="U3462" t="s">
        <v>111</v>
      </c>
      <c r="V3462" t="s">
        <v>11189</v>
      </c>
      <c r="W3462" t="s">
        <v>43</v>
      </c>
      <c r="X3462" t="s">
        <v>11034</v>
      </c>
      <c r="Y3462" t="s">
        <v>44</v>
      </c>
      <c r="Z3462" t="s">
        <v>44</v>
      </c>
      <c r="AA3462" t="s">
        <v>10979</v>
      </c>
      <c r="AB3462" t="s">
        <v>44</v>
      </c>
      <c r="AC3462" s="4">
        <v>6.0121162500000001</v>
      </c>
      <c r="AD3462" s="4">
        <v>5.8525461400000003</v>
      </c>
      <c r="AE3462" s="2">
        <v>6.01</v>
      </c>
      <c r="AF3462" s="4">
        <v>5.8525461400000003</v>
      </c>
      <c r="AG3462" s="2">
        <v>3.1</v>
      </c>
      <c r="AH3462" s="2">
        <v>16711509.800000001</v>
      </c>
      <c r="AI3462" s="2">
        <v>0.04</v>
      </c>
      <c r="AJ3462" s="5">
        <v>44673</v>
      </c>
      <c r="AK3462" t="s">
        <v>12658</v>
      </c>
      <c r="AL3462" s="2">
        <v>5.92</v>
      </c>
      <c r="AM3462" s="2">
        <v>8.11</v>
      </c>
      <c r="AN3462" s="2">
        <v>0.21</v>
      </c>
      <c r="AO3462" t="s">
        <v>11179</v>
      </c>
      <c r="AP3462" t="s">
        <v>11854</v>
      </c>
      <c r="AQ3462" t="s">
        <v>11853</v>
      </c>
    </row>
    <row r="3463" spans="1:43" x14ac:dyDescent="0.2">
      <c r="A3463" t="s">
        <v>12657</v>
      </c>
      <c r="B3463" t="s">
        <v>10900</v>
      </c>
      <c r="C3463" t="s">
        <v>10943</v>
      </c>
      <c r="D3463" t="s">
        <v>11855</v>
      </c>
      <c r="E3463" t="s">
        <v>11856</v>
      </c>
      <c r="F3463" t="s">
        <v>11855</v>
      </c>
      <c r="G3463" s="1">
        <v>277000</v>
      </c>
      <c r="H3463" s="2">
        <v>299841.27</v>
      </c>
      <c r="I3463" s="2">
        <v>288507.74</v>
      </c>
      <c r="J3463" s="2">
        <v>9802.16</v>
      </c>
      <c r="K3463" s="2">
        <v>0</v>
      </c>
      <c r="L3463" s="2">
        <v>298309.90000000002</v>
      </c>
      <c r="M3463" s="3">
        <v>8.76</v>
      </c>
      <c r="N3463" s="4">
        <v>6.7869000000000002E-4</v>
      </c>
      <c r="O3463" s="5">
        <v>44724</v>
      </c>
      <c r="P3463" s="5">
        <v>46550</v>
      </c>
      <c r="Q3463" s="1">
        <v>9.7850000000000001</v>
      </c>
      <c r="R3463" s="2">
        <v>4.04</v>
      </c>
      <c r="S3463" s="6">
        <v>3.8707805450000001</v>
      </c>
      <c r="T3463" t="s">
        <v>111</v>
      </c>
      <c r="U3463" t="s">
        <v>111</v>
      </c>
      <c r="V3463" t="s">
        <v>10944</v>
      </c>
      <c r="W3463" t="s">
        <v>43</v>
      </c>
      <c r="X3463" t="s">
        <v>10988</v>
      </c>
      <c r="Y3463" t="s">
        <v>44</v>
      </c>
      <c r="Z3463" t="s">
        <v>44</v>
      </c>
      <c r="AA3463" t="s">
        <v>10979</v>
      </c>
      <c r="AB3463" t="s">
        <v>44</v>
      </c>
      <c r="AC3463" s="4">
        <v>8.9518439999999995</v>
      </c>
      <c r="AD3463" s="4">
        <v>8.6042807299999993</v>
      </c>
      <c r="AE3463" s="2">
        <v>8.9499999999999993</v>
      </c>
      <c r="AF3463" s="4">
        <v>8.6042807299999993</v>
      </c>
      <c r="AG3463" s="2">
        <v>0.06</v>
      </c>
      <c r="AH3463" s="2">
        <v>298309.90000000002</v>
      </c>
      <c r="AI3463" s="2">
        <v>0</v>
      </c>
      <c r="AJ3463" s="5">
        <v>44673</v>
      </c>
      <c r="AK3463" t="s">
        <v>12658</v>
      </c>
      <c r="AL3463" s="2">
        <v>8.76</v>
      </c>
      <c r="AM3463" s="2">
        <v>9.7899999999999991</v>
      </c>
      <c r="AN3463" s="2">
        <v>3.87</v>
      </c>
      <c r="AO3463" t="s">
        <v>11179</v>
      </c>
      <c r="AP3463" t="s">
        <v>11857</v>
      </c>
      <c r="AQ3463" t="s">
        <v>11856</v>
      </c>
    </row>
    <row r="3464" spans="1:43" x14ac:dyDescent="0.2">
      <c r="A3464" t="s">
        <v>12657</v>
      </c>
      <c r="B3464" t="s">
        <v>10900</v>
      </c>
      <c r="C3464" t="s">
        <v>10943</v>
      </c>
      <c r="D3464" t="s">
        <v>11858</v>
      </c>
      <c r="E3464" t="s">
        <v>11859</v>
      </c>
      <c r="F3464" t="s">
        <v>11858</v>
      </c>
      <c r="G3464" s="1">
        <v>500000</v>
      </c>
      <c r="H3464" s="2">
        <v>500000</v>
      </c>
      <c r="I3464" s="2">
        <v>487866.1</v>
      </c>
      <c r="J3464" s="2">
        <v>10400.549999999999</v>
      </c>
      <c r="K3464" s="2">
        <v>0</v>
      </c>
      <c r="L3464" s="2">
        <v>498266.65</v>
      </c>
      <c r="M3464" s="3">
        <v>10.77</v>
      </c>
      <c r="N3464" s="4">
        <v>1.13361E-3</v>
      </c>
      <c r="O3464" s="5">
        <v>44780</v>
      </c>
      <c r="P3464" s="5">
        <v>47156</v>
      </c>
      <c r="Q3464" s="1">
        <v>10.26</v>
      </c>
      <c r="R3464" s="2">
        <v>4.92</v>
      </c>
      <c r="S3464" s="6">
        <v>4.6700968569999999</v>
      </c>
      <c r="T3464" t="s">
        <v>111</v>
      </c>
      <c r="U3464" t="s">
        <v>111</v>
      </c>
      <c r="V3464" t="s">
        <v>10944</v>
      </c>
      <c r="W3464" t="s">
        <v>43</v>
      </c>
      <c r="X3464" t="s">
        <v>44</v>
      </c>
      <c r="Y3464" t="s">
        <v>44</v>
      </c>
      <c r="Z3464" t="s">
        <v>44</v>
      </c>
      <c r="AA3464" t="s">
        <v>10979</v>
      </c>
      <c r="AB3464" t="s">
        <v>44</v>
      </c>
      <c r="AC3464" s="4">
        <v>11.059982249999999</v>
      </c>
      <c r="AD3464" s="4">
        <v>10.536009160000001</v>
      </c>
      <c r="AE3464" s="2">
        <v>11.06</v>
      </c>
      <c r="AF3464" s="4">
        <v>10.536009160000001</v>
      </c>
      <c r="AG3464" s="2">
        <v>0.09</v>
      </c>
      <c r="AH3464" s="2">
        <v>498266.65</v>
      </c>
      <c r="AI3464" s="2">
        <v>0</v>
      </c>
      <c r="AJ3464" s="5">
        <v>44673</v>
      </c>
      <c r="AK3464" t="s">
        <v>12658</v>
      </c>
      <c r="AL3464" s="2">
        <v>10.77</v>
      </c>
      <c r="AM3464" s="2">
        <v>10.26</v>
      </c>
      <c r="AN3464" s="2">
        <v>4.67</v>
      </c>
      <c r="AO3464" t="s">
        <v>10982</v>
      </c>
      <c r="AP3464" t="s">
        <v>11860</v>
      </c>
      <c r="AQ3464" t="s">
        <v>11859</v>
      </c>
    </row>
    <row r="3465" spans="1:43" x14ac:dyDescent="0.2">
      <c r="A3465" t="s">
        <v>12657</v>
      </c>
      <c r="B3465" t="s">
        <v>10900</v>
      </c>
      <c r="C3465" t="s">
        <v>11137</v>
      </c>
      <c r="D3465" t="s">
        <v>11594</v>
      </c>
      <c r="E3465" t="s">
        <v>11595</v>
      </c>
      <c r="F3465" t="s">
        <v>11594</v>
      </c>
      <c r="G3465" s="1">
        <v>13727000</v>
      </c>
      <c r="H3465" s="2">
        <v>13050046.24</v>
      </c>
      <c r="I3465" s="2">
        <v>12376134.17</v>
      </c>
      <c r="J3465" s="2">
        <v>246709.92</v>
      </c>
      <c r="K3465" s="2">
        <v>0</v>
      </c>
      <c r="L3465" s="2">
        <v>12622844.09</v>
      </c>
      <c r="M3465" s="3">
        <v>9.84</v>
      </c>
      <c r="N3465" s="4">
        <v>2.871833E-2</v>
      </c>
      <c r="O3465" s="5">
        <v>44774</v>
      </c>
      <c r="P3465" s="5">
        <v>47514</v>
      </c>
      <c r="Q3465" s="1">
        <v>8</v>
      </c>
      <c r="R3465" s="2">
        <v>5.71</v>
      </c>
      <c r="S3465" s="6">
        <v>5.4383328750000004</v>
      </c>
      <c r="T3465" t="s">
        <v>111</v>
      </c>
      <c r="U3465" t="s">
        <v>111</v>
      </c>
      <c r="V3465" t="s">
        <v>10944</v>
      </c>
      <c r="W3465" t="s">
        <v>43</v>
      </c>
      <c r="X3465" t="s">
        <v>10945</v>
      </c>
      <c r="Y3465" t="s">
        <v>44</v>
      </c>
      <c r="Z3465" t="s">
        <v>44</v>
      </c>
      <c r="AA3465" t="s">
        <v>10913</v>
      </c>
      <c r="AB3465" t="s">
        <v>44</v>
      </c>
      <c r="AC3465" s="4">
        <v>10.082064000000001</v>
      </c>
      <c r="AD3465" s="4">
        <v>9.6441413499999999</v>
      </c>
      <c r="AE3465" s="2">
        <v>10.08</v>
      </c>
      <c r="AF3465" s="4">
        <v>9.6441413499999999</v>
      </c>
      <c r="AG3465" s="2">
        <v>2.34</v>
      </c>
      <c r="AH3465" s="2">
        <v>12622844.09</v>
      </c>
      <c r="AI3465" s="2">
        <v>0.03</v>
      </c>
      <c r="AJ3465" s="5">
        <v>44673</v>
      </c>
      <c r="AK3465" t="s">
        <v>12658</v>
      </c>
      <c r="AL3465" s="2">
        <v>9.84</v>
      </c>
      <c r="AM3465" s="2">
        <v>8</v>
      </c>
      <c r="AN3465" s="2">
        <v>5.44</v>
      </c>
      <c r="AO3465" t="s">
        <v>10922</v>
      </c>
      <c r="AP3465" t="s">
        <v>11596</v>
      </c>
      <c r="AQ3465" t="s">
        <v>11595</v>
      </c>
    </row>
    <row r="3466" spans="1:43" x14ac:dyDescent="0.2">
      <c r="A3466" t="s">
        <v>12657</v>
      </c>
      <c r="B3466" t="s">
        <v>10900</v>
      </c>
      <c r="C3466" t="s">
        <v>10950</v>
      </c>
      <c r="D3466" t="s">
        <v>10983</v>
      </c>
      <c r="E3466" t="s">
        <v>10984</v>
      </c>
      <c r="F3466" t="s">
        <v>10983</v>
      </c>
      <c r="G3466" s="1">
        <v>195000</v>
      </c>
      <c r="H3466" s="2">
        <v>167933.74</v>
      </c>
      <c r="I3466" s="2">
        <v>163045.84</v>
      </c>
      <c r="J3466" s="2">
        <v>3723.7</v>
      </c>
      <c r="K3466" s="2">
        <v>0</v>
      </c>
      <c r="L3466" s="2">
        <v>166769.54</v>
      </c>
      <c r="M3466" s="3">
        <v>10.734999999999999</v>
      </c>
      <c r="N3466" s="4">
        <v>3.7942E-4</v>
      </c>
      <c r="O3466" s="5">
        <v>44774</v>
      </c>
      <c r="P3466" s="5">
        <v>50071</v>
      </c>
      <c r="Q3466" s="1">
        <v>8.5</v>
      </c>
      <c r="R3466" s="2">
        <v>7.91</v>
      </c>
      <c r="S3466" s="6">
        <v>7.5106016819999999</v>
      </c>
      <c r="T3466" t="s">
        <v>111</v>
      </c>
      <c r="U3466" t="s">
        <v>111</v>
      </c>
      <c r="V3466" t="s">
        <v>10944</v>
      </c>
      <c r="W3466" t="s">
        <v>43</v>
      </c>
      <c r="X3466" t="s">
        <v>10945</v>
      </c>
      <c r="Y3466" t="s">
        <v>44</v>
      </c>
      <c r="Z3466" t="s">
        <v>44</v>
      </c>
      <c r="AA3466" t="s">
        <v>10913</v>
      </c>
      <c r="AB3466" t="s">
        <v>44</v>
      </c>
      <c r="AC3466" s="4">
        <v>11.02310056</v>
      </c>
      <c r="AD3466" s="4">
        <v>10.50250368</v>
      </c>
      <c r="AE3466" s="2">
        <v>11.02</v>
      </c>
      <c r="AF3466" s="4">
        <v>10.50250368</v>
      </c>
      <c r="AG3466" s="2">
        <v>0.03</v>
      </c>
      <c r="AH3466" s="2">
        <v>166769.54</v>
      </c>
      <c r="AI3466" s="2">
        <v>0</v>
      </c>
      <c r="AJ3466" s="5">
        <v>44673</v>
      </c>
      <c r="AK3466" t="s">
        <v>12658</v>
      </c>
      <c r="AL3466" s="2">
        <v>10.73</v>
      </c>
      <c r="AM3466" s="2">
        <v>8.5</v>
      </c>
      <c r="AN3466" s="2">
        <v>7.51</v>
      </c>
      <c r="AO3466" t="s">
        <v>10922</v>
      </c>
      <c r="AP3466" t="s">
        <v>10985</v>
      </c>
      <c r="AQ3466" t="s">
        <v>10984</v>
      </c>
    </row>
    <row r="3467" spans="1:43" x14ac:dyDescent="0.2">
      <c r="A3467" t="s">
        <v>12657</v>
      </c>
      <c r="B3467" t="s">
        <v>10900</v>
      </c>
      <c r="C3467" t="s">
        <v>10990</v>
      </c>
      <c r="D3467" t="s">
        <v>11603</v>
      </c>
      <c r="E3467" t="s">
        <v>11604</v>
      </c>
      <c r="F3467" t="s">
        <v>11603</v>
      </c>
      <c r="G3467" s="1">
        <v>2019000</v>
      </c>
      <c r="H3467" s="2">
        <v>6310092.1399999997</v>
      </c>
      <c r="I3467" s="2">
        <v>6522291.4500000002</v>
      </c>
      <c r="J3467" s="2">
        <v>125915.12</v>
      </c>
      <c r="K3467" s="2">
        <v>0</v>
      </c>
      <c r="L3467" s="2">
        <v>6648206.5700000003</v>
      </c>
      <c r="M3467" s="3">
        <v>1.165</v>
      </c>
      <c r="N3467" s="4">
        <v>1.5125390000000001E-2</v>
      </c>
      <c r="O3467" s="5">
        <v>44719</v>
      </c>
      <c r="P3467" s="5">
        <v>45267</v>
      </c>
      <c r="Q3467" s="1">
        <v>5.5</v>
      </c>
      <c r="R3467" s="2">
        <v>1.54</v>
      </c>
      <c r="S3467" s="6">
        <v>1.5339230509999999</v>
      </c>
      <c r="T3467" t="s">
        <v>111</v>
      </c>
      <c r="U3467" t="s">
        <v>111</v>
      </c>
      <c r="V3467" t="s">
        <v>10992</v>
      </c>
      <c r="W3467" t="s">
        <v>43</v>
      </c>
      <c r="X3467" t="s">
        <v>10945</v>
      </c>
      <c r="Y3467" t="s">
        <v>44</v>
      </c>
      <c r="Z3467" t="s">
        <v>44</v>
      </c>
      <c r="AA3467" t="s">
        <v>10913</v>
      </c>
      <c r="AB3467" t="s">
        <v>44</v>
      </c>
      <c r="AC3467" s="4">
        <v>1.1683930600000001</v>
      </c>
      <c r="AD3467" s="4">
        <v>1.1621824700000001</v>
      </c>
      <c r="AE3467" s="2">
        <v>1.17</v>
      </c>
      <c r="AF3467" s="4">
        <v>1.1621824700000001</v>
      </c>
      <c r="AG3467" s="2">
        <v>1.23</v>
      </c>
      <c r="AH3467" s="2">
        <v>6648206.5700000003</v>
      </c>
      <c r="AI3467" s="2">
        <v>0.02</v>
      </c>
      <c r="AJ3467" s="5">
        <v>44673</v>
      </c>
      <c r="AK3467" t="s">
        <v>12658</v>
      </c>
      <c r="AL3467" s="2">
        <v>1.1599999999999999</v>
      </c>
      <c r="AM3467" s="2">
        <v>5.5</v>
      </c>
      <c r="AN3467" s="2">
        <v>1.53</v>
      </c>
      <c r="AO3467" t="s">
        <v>10922</v>
      </c>
      <c r="AP3467" t="s">
        <v>11605</v>
      </c>
      <c r="AQ3467" t="s">
        <v>11604</v>
      </c>
    </row>
    <row r="3468" spans="1:43" x14ac:dyDescent="0.2">
      <c r="A3468" t="s">
        <v>12657</v>
      </c>
      <c r="B3468" t="s">
        <v>45</v>
      </c>
      <c r="C3468" t="s">
        <v>11000</v>
      </c>
      <c r="D3468" t="s">
        <v>11421</v>
      </c>
      <c r="E3468" t="s">
        <v>11422</v>
      </c>
      <c r="F3468" t="s">
        <v>11421</v>
      </c>
      <c r="G3468" s="1">
        <v>5000000</v>
      </c>
      <c r="H3468" s="2">
        <v>5000000</v>
      </c>
      <c r="I3468" s="2">
        <v>5000000</v>
      </c>
      <c r="J3468" s="2">
        <v>22323.29</v>
      </c>
      <c r="K3468" s="2">
        <v>0</v>
      </c>
      <c r="L3468" s="2">
        <v>5022323.29</v>
      </c>
      <c r="M3468" s="3">
        <v>4.2</v>
      </c>
      <c r="N3468" s="4">
        <v>1.142633E-2</v>
      </c>
      <c r="O3468" s="5" t="s">
        <v>44</v>
      </c>
      <c r="P3468" s="5">
        <v>55153</v>
      </c>
      <c r="Q3468" s="1">
        <v>4.2</v>
      </c>
      <c r="R3468" s="2">
        <v>0.08</v>
      </c>
      <c r="S3468" s="6">
        <v>2.5947269999999998E-3</v>
      </c>
      <c r="T3468" t="s">
        <v>112</v>
      </c>
      <c r="U3468" t="s">
        <v>46</v>
      </c>
      <c r="V3468" t="s">
        <v>11270</v>
      </c>
      <c r="W3468" t="s">
        <v>43</v>
      </c>
      <c r="X3468" t="s">
        <v>44</v>
      </c>
      <c r="Y3468" t="s">
        <v>44</v>
      </c>
      <c r="Z3468" t="s">
        <v>44</v>
      </c>
      <c r="AA3468" t="s">
        <v>10913</v>
      </c>
      <c r="AB3468" t="s">
        <v>44</v>
      </c>
      <c r="AC3468" s="4">
        <v>4.2819052299999996</v>
      </c>
      <c r="AD3468" s="4">
        <v>4.20010057</v>
      </c>
      <c r="AE3468" s="2">
        <v>4.28</v>
      </c>
      <c r="AF3468" s="4">
        <v>4.20010057</v>
      </c>
      <c r="AG3468" s="2">
        <v>0.93</v>
      </c>
      <c r="AH3468" s="2">
        <v>5022323.29</v>
      </c>
      <c r="AI3468" s="2">
        <v>0.01</v>
      </c>
      <c r="AJ3468" s="5">
        <v>44673</v>
      </c>
      <c r="AK3468" t="s">
        <v>12658</v>
      </c>
      <c r="AL3468" s="2">
        <v>4.24</v>
      </c>
      <c r="AM3468" s="2">
        <v>4.2</v>
      </c>
      <c r="AN3468" s="2">
        <v>0</v>
      </c>
      <c r="AO3468" t="s">
        <v>11423</v>
      </c>
      <c r="AP3468" t="s">
        <v>44</v>
      </c>
      <c r="AQ3468" t="s">
        <v>11422</v>
      </c>
    </row>
    <row r="3469" spans="1:43" x14ac:dyDescent="0.2">
      <c r="A3469" t="s">
        <v>12657</v>
      </c>
      <c r="B3469" t="s">
        <v>45</v>
      </c>
      <c r="C3469" t="s">
        <v>11000</v>
      </c>
      <c r="D3469" t="s">
        <v>11424</v>
      </c>
      <c r="E3469" t="s">
        <v>11425</v>
      </c>
      <c r="F3469" t="s">
        <v>11424</v>
      </c>
      <c r="G3469" s="1">
        <v>6000000</v>
      </c>
      <c r="H3469" s="2">
        <v>6000000</v>
      </c>
      <c r="I3469" s="2">
        <v>6000000</v>
      </c>
      <c r="J3469" s="2">
        <v>17030.14</v>
      </c>
      <c r="K3469" s="2">
        <v>0</v>
      </c>
      <c r="L3469" s="2">
        <v>6017030.1399999997</v>
      </c>
      <c r="M3469" s="3">
        <v>4.2</v>
      </c>
      <c r="N3469" s="4">
        <v>1.3689389999999999E-2</v>
      </c>
      <c r="O3469" s="5" t="s">
        <v>44</v>
      </c>
      <c r="P3469" s="5">
        <v>55153</v>
      </c>
      <c r="Q3469" s="1">
        <v>4.2</v>
      </c>
      <c r="R3469" s="2">
        <v>0.08</v>
      </c>
      <c r="S3469" s="6">
        <v>2.5986049999999999E-3</v>
      </c>
      <c r="T3469" t="s">
        <v>112</v>
      </c>
      <c r="U3469" t="s">
        <v>46</v>
      </c>
      <c r="V3469" t="s">
        <v>11270</v>
      </c>
      <c r="W3469" t="s">
        <v>43</v>
      </c>
      <c r="X3469" t="s">
        <v>44</v>
      </c>
      <c r="Y3469" t="s">
        <v>44</v>
      </c>
      <c r="Z3469" t="s">
        <v>44</v>
      </c>
      <c r="AA3469" t="s">
        <v>11035</v>
      </c>
      <c r="AB3469" t="s">
        <v>44</v>
      </c>
      <c r="AC3469" s="4">
        <v>4.2819052299999996</v>
      </c>
      <c r="AD3469" s="4">
        <v>4.20010057</v>
      </c>
      <c r="AE3469" s="2">
        <v>4.28</v>
      </c>
      <c r="AF3469" s="4">
        <v>4.20010057</v>
      </c>
      <c r="AG3469" s="2">
        <v>1.1200000000000001</v>
      </c>
      <c r="AH3469" s="2">
        <v>6017030.1399999997</v>
      </c>
      <c r="AI3469" s="2">
        <v>0.01</v>
      </c>
      <c r="AJ3469" s="5">
        <v>44673</v>
      </c>
      <c r="AK3469" t="s">
        <v>12658</v>
      </c>
      <c r="AL3469" s="2">
        <v>4.24</v>
      </c>
      <c r="AM3469" s="2">
        <v>4.2</v>
      </c>
      <c r="AN3469" s="2">
        <v>0</v>
      </c>
      <c r="AO3469" t="s">
        <v>11053</v>
      </c>
      <c r="AP3469" t="s">
        <v>44</v>
      </c>
      <c r="AQ3469" t="s">
        <v>11425</v>
      </c>
    </row>
    <row r="3470" spans="1:43" x14ac:dyDescent="0.2">
      <c r="A3470" t="s">
        <v>12657</v>
      </c>
      <c r="B3470" t="s">
        <v>45</v>
      </c>
      <c r="C3470" t="s">
        <v>47</v>
      </c>
      <c r="D3470" t="s">
        <v>48</v>
      </c>
      <c r="E3470" t="s">
        <v>49</v>
      </c>
      <c r="F3470" t="s">
        <v>50</v>
      </c>
      <c r="G3470" s="1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3494.56</v>
      </c>
      <c r="M3470" s="3"/>
      <c r="N3470" s="4">
        <v>7.9500000000000001E-6</v>
      </c>
      <c r="O3470" s="5" t="s">
        <v>44</v>
      </c>
      <c r="P3470" s="5" t="s">
        <v>44</v>
      </c>
      <c r="Q3470" s="1"/>
      <c r="R3470" s="2">
        <v>0.08</v>
      </c>
      <c r="S3470" s="6"/>
      <c r="T3470" t="s">
        <v>45</v>
      </c>
      <c r="U3470" t="s">
        <v>46</v>
      </c>
      <c r="V3470" t="s">
        <v>44</v>
      </c>
      <c r="W3470" t="s">
        <v>43</v>
      </c>
      <c r="X3470" t="s">
        <v>44</v>
      </c>
      <c r="Y3470" t="s">
        <v>44</v>
      </c>
      <c r="Z3470" t="s">
        <v>44</v>
      </c>
      <c r="AA3470" t="s">
        <v>44</v>
      </c>
      <c r="AB3470" t="s">
        <v>44</v>
      </c>
      <c r="AC3470" s="4">
        <v>5.1163389600000002</v>
      </c>
      <c r="AD3470" s="4">
        <v>5.0001424999999999</v>
      </c>
      <c r="AE3470" s="2">
        <v>5.12</v>
      </c>
      <c r="AF3470" s="4">
        <v>5.0001424999999999</v>
      </c>
      <c r="AG3470" s="2">
        <v>0</v>
      </c>
      <c r="AH3470" s="2">
        <v>3494.56</v>
      </c>
      <c r="AI3470" s="2">
        <v>0</v>
      </c>
      <c r="AJ3470" s="5">
        <v>44673</v>
      </c>
      <c r="AK3470" t="s">
        <v>12658</v>
      </c>
      <c r="AL3470" s="2">
        <v>5.05</v>
      </c>
      <c r="AM3470" s="2">
        <v>0</v>
      </c>
      <c r="AN3470" s="2">
        <v>0</v>
      </c>
      <c r="AO3470" t="s">
        <v>44</v>
      </c>
      <c r="AP3470" t="s">
        <v>44</v>
      </c>
      <c r="AQ3470" t="s">
        <v>44</v>
      </c>
    </row>
    <row r="3471" spans="1:43" x14ac:dyDescent="0.2">
      <c r="A3471" t="s">
        <v>12657</v>
      </c>
      <c r="B3471" t="s">
        <v>45</v>
      </c>
      <c r="C3471" t="s">
        <v>47</v>
      </c>
      <c r="D3471" t="s">
        <v>51</v>
      </c>
      <c r="E3471" t="s">
        <v>52</v>
      </c>
      <c r="F3471" t="s">
        <v>51</v>
      </c>
      <c r="G3471" s="1">
        <v>4753393.8600000003</v>
      </c>
      <c r="H3471" s="2">
        <v>4753393.8600000003</v>
      </c>
      <c r="I3471" s="2">
        <v>4753393.8600000003</v>
      </c>
      <c r="J3471" s="2">
        <v>0</v>
      </c>
      <c r="K3471" s="2">
        <v>0</v>
      </c>
      <c r="L3471" s="2">
        <v>4753393.8600000003</v>
      </c>
      <c r="M3471" s="3"/>
      <c r="N3471" s="4">
        <v>1.081448E-2</v>
      </c>
      <c r="O3471" s="5" t="s">
        <v>44</v>
      </c>
      <c r="P3471" s="5" t="s">
        <v>44</v>
      </c>
      <c r="Q3471" s="1"/>
      <c r="R3471" s="2">
        <v>0.08</v>
      </c>
      <c r="S3471" s="6"/>
      <c r="T3471" t="s">
        <v>45</v>
      </c>
      <c r="U3471" t="s">
        <v>53</v>
      </c>
      <c r="V3471" t="s">
        <v>44</v>
      </c>
      <c r="W3471" t="s">
        <v>43</v>
      </c>
      <c r="X3471" t="s">
        <v>44</v>
      </c>
      <c r="Y3471" t="s">
        <v>44</v>
      </c>
      <c r="Z3471" t="s">
        <v>44</v>
      </c>
      <c r="AA3471" t="s">
        <v>44</v>
      </c>
      <c r="AB3471" t="s">
        <v>44</v>
      </c>
      <c r="AC3471" s="4">
        <v>5.1163389600000002</v>
      </c>
      <c r="AD3471" s="4">
        <v>5.0001424999999999</v>
      </c>
      <c r="AE3471" s="2">
        <v>5.12</v>
      </c>
      <c r="AF3471" s="4">
        <v>5.0001424999999999</v>
      </c>
      <c r="AG3471" s="2">
        <v>0.88</v>
      </c>
      <c r="AH3471" s="2">
        <v>4753393.8600000003</v>
      </c>
      <c r="AI3471" s="2">
        <v>0.01</v>
      </c>
      <c r="AJ3471" s="5">
        <v>44673</v>
      </c>
      <c r="AK3471" t="s">
        <v>12658</v>
      </c>
      <c r="AL3471" s="2">
        <v>5.05</v>
      </c>
      <c r="AM3471" s="2">
        <v>0</v>
      </c>
      <c r="AN3471" s="2">
        <v>0</v>
      </c>
      <c r="AO3471" t="s">
        <v>44</v>
      </c>
      <c r="AP3471" t="s">
        <v>44</v>
      </c>
      <c r="AQ3471" t="s">
        <v>43</v>
      </c>
    </row>
    <row r="3472" spans="1:43" x14ac:dyDescent="0.2">
      <c r="A3472" t="s">
        <v>12657</v>
      </c>
      <c r="B3472" t="s">
        <v>45</v>
      </c>
      <c r="C3472" t="s">
        <v>47</v>
      </c>
      <c r="D3472" t="s">
        <v>11045</v>
      </c>
      <c r="E3472" t="s">
        <v>11046</v>
      </c>
      <c r="F3472" t="s">
        <v>11045</v>
      </c>
      <c r="G3472" s="1">
        <v>73363.039999999994</v>
      </c>
      <c r="H3472" s="2">
        <v>1120498.1599999999</v>
      </c>
      <c r="I3472" s="2">
        <v>1145492.08</v>
      </c>
      <c r="J3472" s="2">
        <v>0</v>
      </c>
      <c r="K3472" s="2">
        <v>0</v>
      </c>
      <c r="L3472" s="2">
        <v>1145492.08</v>
      </c>
      <c r="M3472" s="3">
        <v>1</v>
      </c>
      <c r="N3472" s="4">
        <v>2.60612E-3</v>
      </c>
      <c r="O3472" s="5" t="s">
        <v>44</v>
      </c>
      <c r="P3472" s="5" t="s">
        <v>44</v>
      </c>
      <c r="Q3472" s="1"/>
      <c r="R3472" s="2">
        <v>0.08</v>
      </c>
      <c r="S3472" s="6"/>
      <c r="T3472" t="s">
        <v>45</v>
      </c>
      <c r="U3472" t="s">
        <v>53</v>
      </c>
      <c r="V3472" t="s">
        <v>44</v>
      </c>
      <c r="W3472" t="s">
        <v>113</v>
      </c>
      <c r="X3472" t="s">
        <v>44</v>
      </c>
      <c r="Y3472" t="s">
        <v>44</v>
      </c>
      <c r="Z3472" t="s">
        <v>44</v>
      </c>
      <c r="AA3472" t="s">
        <v>44</v>
      </c>
      <c r="AB3472" t="s">
        <v>44</v>
      </c>
      <c r="AC3472" s="4"/>
      <c r="AD3472" s="4"/>
      <c r="AE3472" s="2">
        <v>0</v>
      </c>
      <c r="AF3472" s="4">
        <v>0</v>
      </c>
      <c r="AG3472" s="2">
        <v>0.21</v>
      </c>
      <c r="AH3472" s="2">
        <v>1145492.08</v>
      </c>
      <c r="AI3472" s="2">
        <v>0</v>
      </c>
      <c r="AJ3472" s="5">
        <v>44673</v>
      </c>
      <c r="AK3472" t="s">
        <v>12658</v>
      </c>
      <c r="AL3472" s="2">
        <v>0</v>
      </c>
      <c r="AM3472" s="2">
        <v>0</v>
      </c>
      <c r="AN3472" s="2">
        <v>0</v>
      </c>
      <c r="AO3472" t="s">
        <v>44</v>
      </c>
      <c r="AP3472" t="s">
        <v>44</v>
      </c>
      <c r="AQ3472" t="s">
        <v>113</v>
      </c>
    </row>
    <row r="3473" spans="1:43" x14ac:dyDescent="0.2">
      <c r="A3473" t="s">
        <v>12657</v>
      </c>
      <c r="B3473" t="s">
        <v>11013</v>
      </c>
      <c r="C3473" t="s">
        <v>11014</v>
      </c>
      <c r="D3473" t="s">
        <v>11965</v>
      </c>
      <c r="E3473" t="s">
        <v>11966</v>
      </c>
      <c r="F3473" t="s">
        <v>11965</v>
      </c>
      <c r="G3473" s="1">
        <v>50740412.233499996</v>
      </c>
      <c r="H3473" s="2">
        <v>56182391.359999999</v>
      </c>
      <c r="I3473" s="2">
        <v>53312951.130000003</v>
      </c>
      <c r="J3473" s="2">
        <v>0</v>
      </c>
      <c r="K3473" s="2">
        <v>0</v>
      </c>
      <c r="L3473" s="2">
        <v>53312951.130000003</v>
      </c>
      <c r="M3473" s="3">
        <v>1.0507</v>
      </c>
      <c r="N3473" s="4">
        <v>0.1212927</v>
      </c>
      <c r="O3473" s="5" t="s">
        <v>44</v>
      </c>
      <c r="P3473" s="5" t="s">
        <v>44</v>
      </c>
      <c r="Q3473" s="1"/>
      <c r="R3473" s="2"/>
      <c r="S3473" s="6"/>
      <c r="T3473" t="s">
        <v>10902</v>
      </c>
      <c r="U3473" t="s">
        <v>11003</v>
      </c>
      <c r="V3473" t="s">
        <v>11003</v>
      </c>
      <c r="W3473" t="s">
        <v>43</v>
      </c>
      <c r="X3473" t="s">
        <v>44</v>
      </c>
      <c r="Y3473" t="s">
        <v>44</v>
      </c>
      <c r="Z3473" t="s">
        <v>44</v>
      </c>
      <c r="AA3473" t="s">
        <v>44</v>
      </c>
      <c r="AB3473" t="s">
        <v>44</v>
      </c>
      <c r="AC3473" s="4"/>
      <c r="AD3473" s="4"/>
      <c r="AE3473" s="2">
        <v>0</v>
      </c>
      <c r="AF3473" s="4">
        <v>0</v>
      </c>
      <c r="AG3473" s="2">
        <v>9.89</v>
      </c>
      <c r="AH3473" s="2">
        <v>53312951.130000003</v>
      </c>
      <c r="AI3473" s="2">
        <v>0.12</v>
      </c>
      <c r="AJ3473" s="5">
        <v>44673</v>
      </c>
      <c r="AK3473" t="s">
        <v>12658</v>
      </c>
      <c r="AL3473" s="2">
        <v>0</v>
      </c>
      <c r="AM3473" s="2">
        <v>0</v>
      </c>
      <c r="AN3473" s="2">
        <v>0</v>
      </c>
      <c r="AO3473" t="s">
        <v>44</v>
      </c>
      <c r="AP3473" t="s">
        <v>11967</v>
      </c>
      <c r="AQ3473" t="s">
        <v>11966</v>
      </c>
    </row>
    <row r="3474" spans="1:43" x14ac:dyDescent="0.2">
      <c r="A3474" t="s">
        <v>12657</v>
      </c>
      <c r="B3474" t="s">
        <v>11013</v>
      </c>
      <c r="C3474" t="s">
        <v>11047</v>
      </c>
      <c r="D3474" t="s">
        <v>11861</v>
      </c>
      <c r="E3474" t="s">
        <v>11862</v>
      </c>
      <c r="F3474" t="s">
        <v>11861</v>
      </c>
      <c r="G3474" s="1">
        <v>2238718.3204000001</v>
      </c>
      <c r="H3474" s="2">
        <v>27508986.66</v>
      </c>
      <c r="I3474" s="2">
        <v>35116535.57</v>
      </c>
      <c r="J3474" s="2">
        <v>0</v>
      </c>
      <c r="K3474" s="2">
        <v>0</v>
      </c>
      <c r="L3474" s="2">
        <v>35116535.57</v>
      </c>
      <c r="M3474" s="3">
        <v>15.686</v>
      </c>
      <c r="N3474" s="4">
        <v>7.9893900000000004E-2</v>
      </c>
      <c r="O3474" s="5" t="s">
        <v>44</v>
      </c>
      <c r="P3474" s="5" t="s">
        <v>44</v>
      </c>
      <c r="Q3474" s="1"/>
      <c r="R3474" s="2"/>
      <c r="S3474" s="6"/>
      <c r="T3474" t="s">
        <v>10902</v>
      </c>
      <c r="U3474" t="s">
        <v>11003</v>
      </c>
      <c r="V3474" t="s">
        <v>11003</v>
      </c>
      <c r="W3474" t="s">
        <v>43</v>
      </c>
      <c r="X3474" t="s">
        <v>44</v>
      </c>
      <c r="Y3474" t="s">
        <v>44</v>
      </c>
      <c r="Z3474" t="s">
        <v>44</v>
      </c>
      <c r="AA3474" t="s">
        <v>44</v>
      </c>
      <c r="AB3474" t="s">
        <v>44</v>
      </c>
      <c r="AC3474" s="4"/>
      <c r="AD3474" s="4"/>
      <c r="AE3474" s="2">
        <v>0</v>
      </c>
      <c r="AF3474" s="4">
        <v>0</v>
      </c>
      <c r="AG3474" s="2">
        <v>6.51</v>
      </c>
      <c r="AH3474" s="2">
        <v>35116535.57</v>
      </c>
      <c r="AI3474" s="2">
        <v>0.08</v>
      </c>
      <c r="AJ3474" s="5">
        <v>44673</v>
      </c>
      <c r="AK3474" t="s">
        <v>12658</v>
      </c>
      <c r="AL3474" s="2">
        <v>0</v>
      </c>
      <c r="AM3474" s="2">
        <v>0</v>
      </c>
      <c r="AN3474" s="2">
        <v>0</v>
      </c>
      <c r="AO3474" t="s">
        <v>44</v>
      </c>
      <c r="AP3474" t="s">
        <v>44</v>
      </c>
      <c r="AQ3474" t="s">
        <v>11862</v>
      </c>
    </row>
    <row r="3475" spans="1:43" x14ac:dyDescent="0.2">
      <c r="A3475" t="s">
        <v>12657</v>
      </c>
      <c r="B3475" t="s">
        <v>11037</v>
      </c>
      <c r="C3475" t="s">
        <v>11195</v>
      </c>
      <c r="D3475" t="s">
        <v>11606</v>
      </c>
      <c r="E3475" t="s">
        <v>7660</v>
      </c>
      <c r="F3475" t="s">
        <v>11606</v>
      </c>
      <c r="G3475" s="1">
        <v>366655</v>
      </c>
      <c r="H3475" s="2">
        <v>3594617</v>
      </c>
      <c r="I3475" s="2">
        <v>2988238.25</v>
      </c>
      <c r="J3475" s="2">
        <v>0</v>
      </c>
      <c r="K3475" s="2">
        <v>0</v>
      </c>
      <c r="L3475" s="2">
        <v>2988238.25</v>
      </c>
      <c r="M3475" s="3">
        <v>815</v>
      </c>
      <c r="N3475" s="4">
        <v>6.7985600000000004E-3</v>
      </c>
      <c r="O3475" s="5" t="s">
        <v>44</v>
      </c>
      <c r="P3475" s="5" t="s">
        <v>44</v>
      </c>
      <c r="Q3475" s="1"/>
      <c r="R3475" s="2"/>
      <c r="S3475" s="6"/>
      <c r="T3475" t="s">
        <v>10902</v>
      </c>
      <c r="U3475" t="s">
        <v>10902</v>
      </c>
      <c r="V3475" t="s">
        <v>10902</v>
      </c>
      <c r="W3475" t="s">
        <v>43</v>
      </c>
      <c r="X3475" t="s">
        <v>11197</v>
      </c>
      <c r="Y3475" t="s">
        <v>11198</v>
      </c>
      <c r="Z3475" t="s">
        <v>11195</v>
      </c>
      <c r="AA3475" t="s">
        <v>44</v>
      </c>
      <c r="AB3475" t="s">
        <v>44</v>
      </c>
      <c r="AC3475" s="4"/>
      <c r="AD3475" s="4"/>
      <c r="AE3475" s="2">
        <v>0</v>
      </c>
      <c r="AF3475" s="4">
        <v>0</v>
      </c>
      <c r="AG3475" s="2">
        <v>0.55000000000000004</v>
      </c>
      <c r="AH3475" s="2">
        <v>2988238.25</v>
      </c>
      <c r="AI3475" s="2">
        <v>0.01</v>
      </c>
      <c r="AJ3475" s="5">
        <v>44673</v>
      </c>
      <c r="AK3475" t="s">
        <v>12658</v>
      </c>
      <c r="AL3475" s="2">
        <v>0</v>
      </c>
      <c r="AM3475" s="2">
        <v>0</v>
      </c>
      <c r="AN3475" s="2">
        <v>0</v>
      </c>
      <c r="AO3475" t="s">
        <v>44</v>
      </c>
      <c r="AP3475" t="s">
        <v>11607</v>
      </c>
      <c r="AQ3475" t="s">
        <v>7660</v>
      </c>
    </row>
    <row r="3476" spans="1:43" x14ac:dyDescent="0.2">
      <c r="A3476" t="s">
        <v>12657</v>
      </c>
      <c r="B3476" t="s">
        <v>11865</v>
      </c>
      <c r="C3476" t="s">
        <v>11865</v>
      </c>
      <c r="D3476" t="s">
        <v>11866</v>
      </c>
      <c r="E3476" t="s">
        <v>11867</v>
      </c>
      <c r="F3476" t="s">
        <v>11866</v>
      </c>
      <c r="G3476" s="1">
        <v>-561800</v>
      </c>
      <c r="H3476" s="2">
        <v>-8746383.3000000007</v>
      </c>
      <c r="I3476" s="2">
        <v>-8798034.1400000006</v>
      </c>
      <c r="J3476" s="2">
        <v>0</v>
      </c>
      <c r="K3476" s="2">
        <v>0</v>
      </c>
      <c r="L3476" s="2">
        <v>-8798034.1400000006</v>
      </c>
      <c r="M3476" s="3">
        <v>6.3854999999999995E-2</v>
      </c>
      <c r="N3476" s="4">
        <v>-2.0016470000000001E-2</v>
      </c>
      <c r="O3476" s="5" t="s">
        <v>44</v>
      </c>
      <c r="P3476" s="5">
        <v>44701</v>
      </c>
      <c r="Q3476" s="1"/>
      <c r="R3476" s="2"/>
      <c r="S3476" s="6"/>
      <c r="T3476" t="s">
        <v>11868</v>
      </c>
      <c r="U3476" t="s">
        <v>44</v>
      </c>
      <c r="V3476" t="s">
        <v>44</v>
      </c>
      <c r="W3476" t="s">
        <v>113</v>
      </c>
      <c r="X3476" t="s">
        <v>44</v>
      </c>
      <c r="Y3476" t="s">
        <v>44</v>
      </c>
      <c r="Z3476" t="s">
        <v>44</v>
      </c>
      <c r="AA3476" t="s">
        <v>44</v>
      </c>
      <c r="AB3476" t="s">
        <v>44</v>
      </c>
      <c r="AC3476" s="4"/>
      <c r="AD3476" s="4"/>
      <c r="AE3476" s="2">
        <v>0</v>
      </c>
      <c r="AF3476" s="4">
        <v>0</v>
      </c>
      <c r="AG3476" s="2">
        <v>-1.63</v>
      </c>
      <c r="AH3476" s="2">
        <v>-8798034.1400000006</v>
      </c>
      <c r="AI3476" s="2">
        <v>-0.02</v>
      </c>
      <c r="AJ3476" s="5">
        <v>44673</v>
      </c>
      <c r="AK3476" t="s">
        <v>12658</v>
      </c>
      <c r="AL3476" s="2">
        <v>0</v>
      </c>
      <c r="AM3476" s="2">
        <v>0</v>
      </c>
      <c r="AN3476" s="2">
        <v>0</v>
      </c>
      <c r="AO3476" t="s">
        <v>44</v>
      </c>
      <c r="AP3476" t="s">
        <v>44</v>
      </c>
      <c r="AQ3476" t="s">
        <v>113</v>
      </c>
    </row>
    <row r="3477" spans="1:43" x14ac:dyDescent="0.2">
      <c r="A3477" t="s">
        <v>12657</v>
      </c>
      <c r="B3477" t="s">
        <v>11865</v>
      </c>
      <c r="C3477" t="s">
        <v>11865</v>
      </c>
      <c r="D3477" t="s">
        <v>11869</v>
      </c>
      <c r="E3477" t="s">
        <v>11867</v>
      </c>
      <c r="F3477" t="s">
        <v>11869</v>
      </c>
      <c r="G3477" s="1">
        <v>8746383.3000000007</v>
      </c>
      <c r="H3477" s="2">
        <v>8746383.3000000007</v>
      </c>
      <c r="I3477" s="2">
        <v>8746383.3000000007</v>
      </c>
      <c r="J3477" s="2">
        <v>0</v>
      </c>
      <c r="K3477" s="2">
        <v>0</v>
      </c>
      <c r="L3477" s="2">
        <v>8746383.3000000007</v>
      </c>
      <c r="M3477" s="3">
        <v>1</v>
      </c>
      <c r="N3477" s="4">
        <v>1.989896E-2</v>
      </c>
      <c r="O3477" s="5" t="s">
        <v>44</v>
      </c>
      <c r="P3477" s="5">
        <v>44701</v>
      </c>
      <c r="Q3477" s="1"/>
      <c r="R3477" s="2"/>
      <c r="S3477" s="6"/>
      <c r="T3477" t="s">
        <v>11868</v>
      </c>
      <c r="U3477" t="s">
        <v>44</v>
      </c>
      <c r="V3477" t="s">
        <v>44</v>
      </c>
      <c r="W3477" t="s">
        <v>43</v>
      </c>
      <c r="X3477" t="s">
        <v>44</v>
      </c>
      <c r="Y3477" t="s">
        <v>44</v>
      </c>
      <c r="Z3477" t="s">
        <v>44</v>
      </c>
      <c r="AA3477" t="s">
        <v>44</v>
      </c>
      <c r="AB3477" t="s">
        <v>44</v>
      </c>
      <c r="AC3477" s="4"/>
      <c r="AD3477" s="4"/>
      <c r="AE3477" s="2">
        <v>0</v>
      </c>
      <c r="AF3477" s="4">
        <v>0</v>
      </c>
      <c r="AG3477" s="2">
        <v>1.62</v>
      </c>
      <c r="AH3477" s="2">
        <v>8746383.3000000007</v>
      </c>
      <c r="AI3477" s="2">
        <v>0.02</v>
      </c>
      <c r="AJ3477" s="5">
        <v>44673</v>
      </c>
      <c r="AK3477" t="s">
        <v>12658</v>
      </c>
      <c r="AL3477" s="2">
        <v>0</v>
      </c>
      <c r="AM3477" s="2">
        <v>0</v>
      </c>
      <c r="AN3477" s="2">
        <v>0</v>
      </c>
      <c r="AO3477" t="s">
        <v>44</v>
      </c>
      <c r="AP3477" t="s">
        <v>44</v>
      </c>
      <c r="AQ3477" t="s">
        <v>43</v>
      </c>
    </row>
    <row r="3478" spans="1:43" x14ac:dyDescent="0.2">
      <c r="A3478" t="s">
        <v>12657</v>
      </c>
      <c r="B3478" t="s">
        <v>11038</v>
      </c>
      <c r="C3478" t="s">
        <v>11870</v>
      </c>
      <c r="D3478" t="s">
        <v>11056</v>
      </c>
      <c r="E3478" t="s">
        <v>11057</v>
      </c>
      <c r="F3478" t="s">
        <v>11056</v>
      </c>
      <c r="G3478" s="1">
        <v>3673758</v>
      </c>
      <c r="H3478" s="2">
        <v>3672880.65</v>
      </c>
      <c r="I3478" s="2">
        <v>3673758</v>
      </c>
      <c r="J3478" s="2">
        <v>94694.79</v>
      </c>
      <c r="K3478" s="2">
        <v>0</v>
      </c>
      <c r="L3478" s="2">
        <v>3768452.79</v>
      </c>
      <c r="M3478" s="3"/>
      <c r="N3478" s="4">
        <v>8.5736400000000004E-3</v>
      </c>
      <c r="O3478" s="5">
        <v>44692</v>
      </c>
      <c r="P3478" s="5">
        <v>44692</v>
      </c>
      <c r="Q3478" s="1">
        <v>13.067</v>
      </c>
      <c r="R3478" s="2"/>
      <c r="S3478" s="6"/>
      <c r="T3478" t="s">
        <v>111</v>
      </c>
      <c r="U3478" t="s">
        <v>11040</v>
      </c>
      <c r="V3478" t="s">
        <v>115</v>
      </c>
      <c r="W3478" t="s">
        <v>43</v>
      </c>
      <c r="X3478" t="s">
        <v>44</v>
      </c>
      <c r="Y3478" t="s">
        <v>44</v>
      </c>
      <c r="Z3478" t="s">
        <v>44</v>
      </c>
      <c r="AA3478" t="s">
        <v>10979</v>
      </c>
      <c r="AB3478" t="s">
        <v>44</v>
      </c>
      <c r="AC3478" s="4"/>
      <c r="AD3478" s="4"/>
      <c r="AE3478" s="2">
        <v>0</v>
      </c>
      <c r="AF3478" s="4">
        <v>0</v>
      </c>
      <c r="AG3478" s="2">
        <v>0.7</v>
      </c>
      <c r="AH3478" s="2">
        <v>3768452.79</v>
      </c>
      <c r="AI3478" s="2">
        <v>0.01</v>
      </c>
      <c r="AJ3478" s="5">
        <v>44673</v>
      </c>
      <c r="AK3478" t="s">
        <v>12658</v>
      </c>
      <c r="AL3478" s="2">
        <v>0</v>
      </c>
      <c r="AM3478" s="2">
        <v>13.07</v>
      </c>
      <c r="AN3478" s="2">
        <v>0</v>
      </c>
      <c r="AO3478" t="s">
        <v>10980</v>
      </c>
      <c r="AP3478" t="s">
        <v>11058</v>
      </c>
      <c r="AQ3478" t="s">
        <v>11057</v>
      </c>
    </row>
    <row r="3479" spans="1:43" x14ac:dyDescent="0.2">
      <c r="A3479" t="s">
        <v>12657</v>
      </c>
      <c r="B3479" t="s">
        <v>11038</v>
      </c>
      <c r="C3479" t="s">
        <v>11870</v>
      </c>
      <c r="D3479" t="s">
        <v>11616</v>
      </c>
      <c r="E3479" t="s">
        <v>11617</v>
      </c>
      <c r="F3479" t="s">
        <v>11616</v>
      </c>
      <c r="G3479" s="1">
        <v>7800000</v>
      </c>
      <c r="H3479" s="2">
        <v>7800000</v>
      </c>
      <c r="I3479" s="2">
        <v>7803279.0499999998</v>
      </c>
      <c r="J3479" s="2">
        <v>94504.8</v>
      </c>
      <c r="K3479" s="2">
        <v>0</v>
      </c>
      <c r="L3479" s="2">
        <v>7897783.8499999996</v>
      </c>
      <c r="M3479" s="3">
        <v>4.9760429999999998</v>
      </c>
      <c r="N3479" s="4">
        <v>1.7968310000000001E-2</v>
      </c>
      <c r="O3479" s="5">
        <v>44690</v>
      </c>
      <c r="P3479" s="5">
        <v>44690</v>
      </c>
      <c r="Q3479" s="1">
        <v>6.0579999999999998</v>
      </c>
      <c r="R3479" s="2">
        <v>0.04</v>
      </c>
      <c r="S3479" s="6">
        <v>3.6514757501999999E-2</v>
      </c>
      <c r="T3479" t="s">
        <v>111</v>
      </c>
      <c r="U3479" t="s">
        <v>11040</v>
      </c>
      <c r="V3479" t="s">
        <v>114</v>
      </c>
      <c r="W3479" t="s">
        <v>43</v>
      </c>
      <c r="X3479" t="s">
        <v>10988</v>
      </c>
      <c r="Y3479" t="s">
        <v>44</v>
      </c>
      <c r="Z3479" t="s">
        <v>44</v>
      </c>
      <c r="AA3479" t="s">
        <v>10979</v>
      </c>
      <c r="AB3479" t="s">
        <v>44</v>
      </c>
      <c r="AC3479" s="4">
        <v>5.09694307</v>
      </c>
      <c r="AD3479" s="4">
        <v>4.9816122199999997</v>
      </c>
      <c r="AE3479" s="2">
        <v>5.0999999999999996</v>
      </c>
      <c r="AF3479" s="4">
        <v>4.9816122199999997</v>
      </c>
      <c r="AG3479" s="2">
        <v>1.46</v>
      </c>
      <c r="AH3479" s="2">
        <v>7897783.8499999996</v>
      </c>
      <c r="AI3479" s="2">
        <v>0.02</v>
      </c>
      <c r="AJ3479" s="5">
        <v>44673</v>
      </c>
      <c r="AK3479" t="s">
        <v>12658</v>
      </c>
      <c r="AL3479" s="2">
        <v>5.03</v>
      </c>
      <c r="AM3479" s="2">
        <v>6.06</v>
      </c>
      <c r="AN3479" s="2">
        <v>0.04</v>
      </c>
      <c r="AO3479" t="s">
        <v>11618</v>
      </c>
      <c r="AP3479" t="s">
        <v>11619</v>
      </c>
      <c r="AQ3479" t="s">
        <v>11617</v>
      </c>
    </row>
    <row r="3480" spans="1:43" x14ac:dyDescent="0.2">
      <c r="A3480" t="s">
        <v>12657</v>
      </c>
      <c r="B3480" t="s">
        <v>11038</v>
      </c>
      <c r="C3480" t="s">
        <v>11055</v>
      </c>
      <c r="D3480" t="s">
        <v>11872</v>
      </c>
      <c r="E3480" t="s">
        <v>11873</v>
      </c>
      <c r="F3480" t="s">
        <v>11872</v>
      </c>
      <c r="G3480" s="1">
        <v>13200000</v>
      </c>
      <c r="H3480" s="2">
        <v>13200222.93</v>
      </c>
      <c r="I3480" s="2">
        <v>13208182.460000001</v>
      </c>
      <c r="J3480" s="2">
        <v>113598.84</v>
      </c>
      <c r="K3480" s="2">
        <v>0</v>
      </c>
      <c r="L3480" s="2">
        <v>13321781.300000001</v>
      </c>
      <c r="M3480" s="3">
        <v>5.1502819999999998</v>
      </c>
      <c r="N3480" s="4">
        <v>3.030849E-2</v>
      </c>
      <c r="O3480" s="5">
        <v>44712</v>
      </c>
      <c r="P3480" s="5">
        <v>44712</v>
      </c>
      <c r="Q3480" s="1">
        <v>5.8170000000000002</v>
      </c>
      <c r="R3480" s="2">
        <v>0.1</v>
      </c>
      <c r="S3480" s="6">
        <v>9.3730576011000002E-2</v>
      </c>
      <c r="T3480" t="s">
        <v>111</v>
      </c>
      <c r="U3480" t="s">
        <v>11040</v>
      </c>
      <c r="V3480" t="s">
        <v>114</v>
      </c>
      <c r="W3480" t="s">
        <v>43</v>
      </c>
      <c r="X3480" t="s">
        <v>10988</v>
      </c>
      <c r="Y3480" t="s">
        <v>44</v>
      </c>
      <c r="Z3480" t="s">
        <v>44</v>
      </c>
      <c r="AA3480" t="s">
        <v>10979</v>
      </c>
      <c r="AB3480" t="s">
        <v>44</v>
      </c>
      <c r="AC3480" s="4">
        <v>5.2714900699999996</v>
      </c>
      <c r="AD3480" s="4">
        <v>5.1482567699999997</v>
      </c>
      <c r="AE3480" s="2">
        <v>5.27</v>
      </c>
      <c r="AF3480" s="4">
        <v>5.1482567699999997</v>
      </c>
      <c r="AG3480" s="2">
        <v>2.4700000000000002</v>
      </c>
      <c r="AH3480" s="2">
        <v>13321781.300000001</v>
      </c>
      <c r="AI3480" s="2">
        <v>0.03</v>
      </c>
      <c r="AJ3480" s="5">
        <v>44673</v>
      </c>
      <c r="AK3480" t="s">
        <v>12658</v>
      </c>
      <c r="AL3480" s="2">
        <v>5.2</v>
      </c>
      <c r="AM3480" s="2">
        <v>5.82</v>
      </c>
      <c r="AN3480" s="2">
        <v>0.09</v>
      </c>
      <c r="AO3480" t="s">
        <v>11048</v>
      </c>
      <c r="AP3480" t="s">
        <v>11874</v>
      </c>
      <c r="AQ3480" t="s">
        <v>11873</v>
      </c>
    </row>
    <row r="3481" spans="1:43" x14ac:dyDescent="0.2">
      <c r="A3481" t="s">
        <v>12657</v>
      </c>
      <c r="B3481" t="s">
        <v>11038</v>
      </c>
      <c r="C3481" t="s">
        <v>11039</v>
      </c>
      <c r="D3481" t="s">
        <v>11878</v>
      </c>
      <c r="E3481" t="s">
        <v>11879</v>
      </c>
      <c r="F3481" t="s">
        <v>11878</v>
      </c>
      <c r="G3481" s="1">
        <v>6500000</v>
      </c>
      <c r="H3481" s="2">
        <v>6499398.54</v>
      </c>
      <c r="I3481" s="2">
        <v>6499434.6200000001</v>
      </c>
      <c r="J3481" s="2">
        <v>42886.64</v>
      </c>
      <c r="K3481" s="2">
        <v>0</v>
      </c>
      <c r="L3481" s="2">
        <v>6542321.2599999998</v>
      </c>
      <c r="M3481" s="3">
        <v>6.1553490000000002</v>
      </c>
      <c r="N3481" s="4">
        <v>1.488449E-2</v>
      </c>
      <c r="O3481" s="5">
        <v>44727</v>
      </c>
      <c r="P3481" s="5">
        <v>45000</v>
      </c>
      <c r="Q3481" s="1">
        <v>6.1749999999999998</v>
      </c>
      <c r="R3481" s="2">
        <v>0.14000000000000001</v>
      </c>
      <c r="S3481" s="6">
        <v>0.121958312463</v>
      </c>
      <c r="T3481" t="s">
        <v>111</v>
      </c>
      <c r="U3481" t="s">
        <v>11040</v>
      </c>
      <c r="V3481" t="s">
        <v>114</v>
      </c>
      <c r="W3481" t="s">
        <v>43</v>
      </c>
      <c r="X3481" t="s">
        <v>10988</v>
      </c>
      <c r="Y3481" t="s">
        <v>44</v>
      </c>
      <c r="Z3481" t="s">
        <v>44</v>
      </c>
      <c r="AA3481" t="s">
        <v>10979</v>
      </c>
      <c r="AB3481" t="s">
        <v>44</v>
      </c>
      <c r="AC3481" s="4">
        <v>6.3207521</v>
      </c>
      <c r="AD3481" s="4">
        <v>6.1447089999999998</v>
      </c>
      <c r="AE3481" s="2">
        <v>6.32</v>
      </c>
      <c r="AF3481" s="4">
        <v>6.1447089999999998</v>
      </c>
      <c r="AG3481" s="2">
        <v>1.21</v>
      </c>
      <c r="AH3481" s="2">
        <v>6542321.2599999998</v>
      </c>
      <c r="AI3481" s="2">
        <v>0.01</v>
      </c>
      <c r="AJ3481" s="5">
        <v>44673</v>
      </c>
      <c r="AK3481" t="s">
        <v>12658</v>
      </c>
      <c r="AL3481" s="2">
        <v>6.22</v>
      </c>
      <c r="AM3481" s="2">
        <v>6.17</v>
      </c>
      <c r="AN3481" s="2">
        <v>0.12</v>
      </c>
      <c r="AO3481" t="s">
        <v>11567</v>
      </c>
      <c r="AP3481" t="s">
        <v>11880</v>
      </c>
      <c r="AQ3481" t="s">
        <v>11879</v>
      </c>
    </row>
    <row r="3482" spans="1:43" x14ac:dyDescent="0.2">
      <c r="A3482" t="s">
        <v>12657</v>
      </c>
      <c r="B3482" t="s">
        <v>11038</v>
      </c>
      <c r="C3482" t="s">
        <v>11039</v>
      </c>
      <c r="D3482" t="s">
        <v>11881</v>
      </c>
      <c r="E3482" t="s">
        <v>11882</v>
      </c>
      <c r="F3482" t="s">
        <v>11881</v>
      </c>
      <c r="G3482" s="1">
        <v>1200000</v>
      </c>
      <c r="H3482" s="2">
        <v>1200066.8799999999</v>
      </c>
      <c r="I3482" s="2">
        <v>1199895.6200000001</v>
      </c>
      <c r="J3482" s="2">
        <v>7917.53</v>
      </c>
      <c r="K3482" s="2">
        <v>0</v>
      </c>
      <c r="L3482" s="2">
        <v>1207813.1499999999</v>
      </c>
      <c r="M3482" s="3">
        <v>6.1553490000000002</v>
      </c>
      <c r="N3482" s="4">
        <v>2.7479000000000002E-3</v>
      </c>
      <c r="O3482" s="5">
        <v>44727</v>
      </c>
      <c r="P3482" s="5">
        <v>45000</v>
      </c>
      <c r="Q3482" s="1">
        <v>6.1749999999999998</v>
      </c>
      <c r="R3482" s="2">
        <v>0.14000000000000001</v>
      </c>
      <c r="S3482" s="6">
        <v>0.121958312463</v>
      </c>
      <c r="T3482" t="s">
        <v>111</v>
      </c>
      <c r="U3482" t="s">
        <v>11040</v>
      </c>
      <c r="V3482" t="s">
        <v>114</v>
      </c>
      <c r="W3482" t="s">
        <v>43</v>
      </c>
      <c r="X3482" t="s">
        <v>10988</v>
      </c>
      <c r="Y3482" t="s">
        <v>44</v>
      </c>
      <c r="Z3482" t="s">
        <v>44</v>
      </c>
      <c r="AA3482" t="s">
        <v>10979</v>
      </c>
      <c r="AB3482" t="s">
        <v>44</v>
      </c>
      <c r="AC3482" s="4">
        <v>6.3207521</v>
      </c>
      <c r="AD3482" s="4">
        <v>6.1447089999999998</v>
      </c>
      <c r="AE3482" s="2">
        <v>6.32</v>
      </c>
      <c r="AF3482" s="4">
        <v>6.1447089999999998</v>
      </c>
      <c r="AG3482" s="2">
        <v>0.22</v>
      </c>
      <c r="AH3482" s="2">
        <v>1207813.1499999999</v>
      </c>
      <c r="AI3482" s="2">
        <v>0</v>
      </c>
      <c r="AJ3482" s="5">
        <v>44673</v>
      </c>
      <c r="AK3482" t="s">
        <v>12658</v>
      </c>
      <c r="AL3482" s="2">
        <v>6.22</v>
      </c>
      <c r="AM3482" s="2">
        <v>6.17</v>
      </c>
      <c r="AN3482" s="2">
        <v>0.12</v>
      </c>
      <c r="AO3482" t="s">
        <v>11567</v>
      </c>
      <c r="AP3482" t="s">
        <v>11883</v>
      </c>
      <c r="AQ3482" t="s">
        <v>11882</v>
      </c>
    </row>
    <row r="3483" spans="1:43" x14ac:dyDescent="0.2">
      <c r="A3483" t="s">
        <v>12657</v>
      </c>
      <c r="B3483" t="s">
        <v>11038</v>
      </c>
      <c r="C3483" t="s">
        <v>11039</v>
      </c>
      <c r="D3483" t="s">
        <v>11387</v>
      </c>
      <c r="E3483" t="s">
        <v>11388</v>
      </c>
      <c r="F3483" t="s">
        <v>11387</v>
      </c>
      <c r="G3483" s="1">
        <v>4000000</v>
      </c>
      <c r="H3483" s="2">
        <v>4000000</v>
      </c>
      <c r="I3483" s="2">
        <v>3994047.42</v>
      </c>
      <c r="J3483" s="2">
        <v>84032.88</v>
      </c>
      <c r="K3483" s="2">
        <v>0</v>
      </c>
      <c r="L3483" s="2">
        <v>4078080.3</v>
      </c>
      <c r="M3483" s="3">
        <v>5.5360769999999997</v>
      </c>
      <c r="N3483" s="4">
        <v>9.2780699999999994E-3</v>
      </c>
      <c r="O3483" s="5">
        <v>44897</v>
      </c>
      <c r="P3483" s="5">
        <v>44897</v>
      </c>
      <c r="Q3483" s="1">
        <v>5.4</v>
      </c>
      <c r="R3483" s="2">
        <v>0.61</v>
      </c>
      <c r="S3483" s="6">
        <v>0.58584213564999998</v>
      </c>
      <c r="T3483" t="s">
        <v>111</v>
      </c>
      <c r="U3483" t="s">
        <v>11040</v>
      </c>
      <c r="V3483" t="s">
        <v>11041</v>
      </c>
      <c r="W3483" t="s">
        <v>43</v>
      </c>
      <c r="X3483" t="s">
        <v>11034</v>
      </c>
      <c r="Y3483" t="s">
        <v>44</v>
      </c>
      <c r="Z3483" t="s">
        <v>44</v>
      </c>
      <c r="AA3483" t="s">
        <v>10979</v>
      </c>
      <c r="AB3483" t="s">
        <v>44</v>
      </c>
      <c r="AC3483" s="4">
        <v>5.5963009100000001</v>
      </c>
      <c r="AD3483" s="4">
        <v>5.4576890300000001</v>
      </c>
      <c r="AE3483" s="2">
        <v>5.6</v>
      </c>
      <c r="AF3483" s="4">
        <v>5.4576890300000001</v>
      </c>
      <c r="AG3483" s="2">
        <v>0.76</v>
      </c>
      <c r="AH3483" s="2">
        <v>4078080.3</v>
      </c>
      <c r="AI3483" s="2">
        <v>0.01</v>
      </c>
      <c r="AJ3483" s="5">
        <v>44673</v>
      </c>
      <c r="AK3483" t="s">
        <v>12658</v>
      </c>
      <c r="AL3483" s="2">
        <v>5.52</v>
      </c>
      <c r="AM3483" s="2">
        <v>5.4</v>
      </c>
      <c r="AN3483" s="2">
        <v>0.59</v>
      </c>
      <c r="AO3483" t="s">
        <v>11165</v>
      </c>
      <c r="AP3483" t="s">
        <v>11389</v>
      </c>
      <c r="AQ3483" t="s">
        <v>11388</v>
      </c>
    </row>
    <row r="3484" spans="1:43" x14ac:dyDescent="0.2">
      <c r="A3484" t="s">
        <v>12657</v>
      </c>
      <c r="B3484" t="s">
        <v>11038</v>
      </c>
      <c r="C3484" t="s">
        <v>11039</v>
      </c>
      <c r="D3484" t="s">
        <v>11968</v>
      </c>
      <c r="E3484" t="s">
        <v>11969</v>
      </c>
      <c r="F3484" t="s">
        <v>11968</v>
      </c>
      <c r="G3484" s="1">
        <v>15000000</v>
      </c>
      <c r="H3484" s="2">
        <v>14988719.720000001</v>
      </c>
      <c r="I3484" s="2">
        <v>14974335.939999999</v>
      </c>
      <c r="J3484" s="2">
        <v>258616.44</v>
      </c>
      <c r="K3484" s="2">
        <v>0</v>
      </c>
      <c r="L3484" s="2">
        <v>15232952.380000001</v>
      </c>
      <c r="M3484" s="3">
        <v>5.5893660000000001</v>
      </c>
      <c r="N3484" s="4">
        <v>3.4656609999999997E-2</v>
      </c>
      <c r="O3484" s="5">
        <v>44923</v>
      </c>
      <c r="P3484" s="5">
        <v>44923</v>
      </c>
      <c r="Q3484" s="1">
        <v>5.4249999999999998</v>
      </c>
      <c r="R3484" s="2">
        <v>0.68</v>
      </c>
      <c r="S3484" s="6">
        <v>0.65204926551999998</v>
      </c>
      <c r="T3484" t="s">
        <v>111</v>
      </c>
      <c r="U3484" t="s">
        <v>11040</v>
      </c>
      <c r="V3484" t="s">
        <v>11041</v>
      </c>
      <c r="W3484" t="s">
        <v>43</v>
      </c>
      <c r="X3484" t="s">
        <v>11034</v>
      </c>
      <c r="Y3484" t="s">
        <v>44</v>
      </c>
      <c r="Z3484" t="s">
        <v>44</v>
      </c>
      <c r="AA3484" t="s">
        <v>10979</v>
      </c>
      <c r="AB3484" t="s">
        <v>44</v>
      </c>
      <c r="AC3484" s="4">
        <v>5.6395369400000002</v>
      </c>
      <c r="AD3484" s="4">
        <v>5.4988121699999999</v>
      </c>
      <c r="AE3484" s="2">
        <v>5.64</v>
      </c>
      <c r="AF3484" s="4">
        <v>5.4988121699999999</v>
      </c>
      <c r="AG3484" s="2">
        <v>2.82</v>
      </c>
      <c r="AH3484" s="2">
        <v>15232952.380000001</v>
      </c>
      <c r="AI3484" s="2">
        <v>0.03</v>
      </c>
      <c r="AJ3484" s="5">
        <v>44673</v>
      </c>
      <c r="AK3484" t="s">
        <v>12658</v>
      </c>
      <c r="AL3484" s="2">
        <v>5.56</v>
      </c>
      <c r="AM3484" s="2">
        <v>5.42</v>
      </c>
      <c r="AN3484" s="2">
        <v>0.65</v>
      </c>
      <c r="AO3484" t="s">
        <v>11165</v>
      </c>
      <c r="AP3484" t="s">
        <v>11970</v>
      </c>
      <c r="AQ3484" t="s">
        <v>11969</v>
      </c>
    </row>
    <row r="3485" spans="1:43" x14ac:dyDescent="0.2">
      <c r="A3485" t="s">
        <v>12657</v>
      </c>
      <c r="B3485" t="s">
        <v>11038</v>
      </c>
      <c r="C3485" t="s">
        <v>11039</v>
      </c>
      <c r="D3485" t="s">
        <v>11971</v>
      </c>
      <c r="E3485" t="s">
        <v>11972</v>
      </c>
      <c r="F3485" t="s">
        <v>11971</v>
      </c>
      <c r="G3485" s="1">
        <v>2000000</v>
      </c>
      <c r="H3485" s="2">
        <v>2000000</v>
      </c>
      <c r="I3485" s="2">
        <v>1997927.52</v>
      </c>
      <c r="J3485" s="2">
        <v>23720.55</v>
      </c>
      <c r="K3485" s="2">
        <v>0</v>
      </c>
      <c r="L3485" s="2">
        <v>2021648.07</v>
      </c>
      <c r="M3485" s="3">
        <v>5.914955</v>
      </c>
      <c r="N3485" s="4">
        <v>4.5994699999999996E-3</v>
      </c>
      <c r="O3485" s="5">
        <v>44965</v>
      </c>
      <c r="P3485" s="5">
        <v>44965</v>
      </c>
      <c r="Q3485" s="1">
        <v>5.85</v>
      </c>
      <c r="R3485" s="2">
        <v>0.79</v>
      </c>
      <c r="S3485" s="6">
        <v>0.75635794914999999</v>
      </c>
      <c r="T3485" t="s">
        <v>111</v>
      </c>
      <c r="U3485" t="s">
        <v>11040</v>
      </c>
      <c r="V3485" t="s">
        <v>11041</v>
      </c>
      <c r="W3485" t="s">
        <v>43</v>
      </c>
      <c r="X3485" t="s">
        <v>11034</v>
      </c>
      <c r="Y3485" t="s">
        <v>44</v>
      </c>
      <c r="Z3485" t="s">
        <v>44</v>
      </c>
      <c r="AA3485" t="s">
        <v>10979</v>
      </c>
      <c r="AB3485" t="s">
        <v>44</v>
      </c>
      <c r="AC3485" s="4">
        <v>5.9509684500000004</v>
      </c>
      <c r="AD3485" s="4">
        <v>5.7945694899999998</v>
      </c>
      <c r="AE3485" s="2">
        <v>5.95</v>
      </c>
      <c r="AF3485" s="4">
        <v>5.7945694899999998</v>
      </c>
      <c r="AG3485" s="2">
        <v>0.37</v>
      </c>
      <c r="AH3485" s="2">
        <v>2021648.07</v>
      </c>
      <c r="AI3485" s="2">
        <v>0</v>
      </c>
      <c r="AJ3485" s="5">
        <v>44673</v>
      </c>
      <c r="AK3485" t="s">
        <v>12658</v>
      </c>
      <c r="AL3485" s="2">
        <v>5.86</v>
      </c>
      <c r="AM3485" s="2">
        <v>5.85</v>
      </c>
      <c r="AN3485" s="2">
        <v>0.76</v>
      </c>
      <c r="AO3485" t="s">
        <v>11165</v>
      </c>
      <c r="AP3485" t="s">
        <v>11973</v>
      </c>
      <c r="AQ3485" t="s">
        <v>11972</v>
      </c>
    </row>
    <row r="3486" spans="1:43" x14ac:dyDescent="0.2">
      <c r="A3486" t="s">
        <v>12657</v>
      </c>
      <c r="B3486" t="s">
        <v>11038</v>
      </c>
      <c r="C3486" t="s">
        <v>11039</v>
      </c>
      <c r="D3486" t="s">
        <v>11642</v>
      </c>
      <c r="E3486" t="s">
        <v>11643</v>
      </c>
      <c r="F3486" t="s">
        <v>11642</v>
      </c>
      <c r="G3486" s="1">
        <v>3000000</v>
      </c>
      <c r="H3486" s="2">
        <v>3003951.19</v>
      </c>
      <c r="I3486" s="2">
        <v>2977829.22</v>
      </c>
      <c r="J3486" s="2">
        <v>13716.16</v>
      </c>
      <c r="K3486" s="2">
        <v>0</v>
      </c>
      <c r="L3486" s="2">
        <v>2991545.38</v>
      </c>
      <c r="M3486" s="3">
        <v>6.063536</v>
      </c>
      <c r="N3486" s="4">
        <v>6.8060899999999999E-3</v>
      </c>
      <c r="O3486" s="5">
        <v>44823</v>
      </c>
      <c r="P3486" s="5">
        <v>45005</v>
      </c>
      <c r="Q3486" s="1">
        <v>5.2149999999999999</v>
      </c>
      <c r="R3486" s="2">
        <v>0.89</v>
      </c>
      <c r="S3486" s="6">
        <v>0.86259754570000002</v>
      </c>
      <c r="T3486" t="s">
        <v>111</v>
      </c>
      <c r="U3486" t="s">
        <v>11040</v>
      </c>
      <c r="V3486" t="s">
        <v>11041</v>
      </c>
      <c r="W3486" t="s">
        <v>43</v>
      </c>
      <c r="X3486" t="s">
        <v>44</v>
      </c>
      <c r="Y3486" t="s">
        <v>44</v>
      </c>
      <c r="Z3486" t="s">
        <v>44</v>
      </c>
      <c r="AA3486" t="s">
        <v>11035</v>
      </c>
      <c r="AB3486" t="s">
        <v>44</v>
      </c>
      <c r="AC3486" s="4">
        <v>6.1554521800000002</v>
      </c>
      <c r="AD3486" s="4">
        <v>5.9883285600000002</v>
      </c>
      <c r="AE3486" s="2">
        <v>6.16</v>
      </c>
      <c r="AF3486" s="4">
        <v>5.9883285600000002</v>
      </c>
      <c r="AG3486" s="2">
        <v>0.55000000000000004</v>
      </c>
      <c r="AH3486" s="2">
        <v>2991545.38</v>
      </c>
      <c r="AI3486" s="2">
        <v>0.01</v>
      </c>
      <c r="AJ3486" s="5">
        <v>44673</v>
      </c>
      <c r="AK3486" t="s">
        <v>12658</v>
      </c>
      <c r="AL3486" s="2">
        <v>6.06</v>
      </c>
      <c r="AM3486" s="2">
        <v>5.21</v>
      </c>
      <c r="AN3486" s="2">
        <v>0.86</v>
      </c>
      <c r="AO3486" t="s">
        <v>11036</v>
      </c>
      <c r="AP3486" t="s">
        <v>11644</v>
      </c>
      <c r="AQ3486" t="s">
        <v>11643</v>
      </c>
    </row>
    <row r="3487" spans="1:43" x14ac:dyDescent="0.2">
      <c r="A3487" t="s">
        <v>12657</v>
      </c>
      <c r="B3487" t="s">
        <v>11038</v>
      </c>
      <c r="C3487" t="s">
        <v>11039</v>
      </c>
      <c r="D3487" t="s">
        <v>12844</v>
      </c>
      <c r="E3487" t="s">
        <v>12845</v>
      </c>
      <c r="F3487" t="s">
        <v>12844</v>
      </c>
      <c r="G3487" s="1">
        <v>5000000</v>
      </c>
      <c r="H3487" s="2">
        <v>5000000</v>
      </c>
      <c r="I3487" s="2">
        <v>5005215.78</v>
      </c>
      <c r="J3487" s="2">
        <v>20006.849999999999</v>
      </c>
      <c r="K3487" s="2">
        <v>0</v>
      </c>
      <c r="L3487" s="2">
        <v>5025222.63</v>
      </c>
      <c r="M3487" s="3">
        <v>6.2045560000000002</v>
      </c>
      <c r="N3487" s="4">
        <v>1.1432919999999999E-2</v>
      </c>
      <c r="O3487" s="5">
        <v>45016</v>
      </c>
      <c r="P3487" s="5">
        <v>45016</v>
      </c>
      <c r="Q3487" s="1">
        <v>6.35</v>
      </c>
      <c r="R3487" s="2">
        <v>0.93</v>
      </c>
      <c r="S3487" s="6">
        <v>0.88061116438999998</v>
      </c>
      <c r="T3487" t="s">
        <v>111</v>
      </c>
      <c r="U3487" t="s">
        <v>11040</v>
      </c>
      <c r="V3487" t="s">
        <v>11041</v>
      </c>
      <c r="W3487" t="s">
        <v>43</v>
      </c>
      <c r="X3487" t="s">
        <v>11034</v>
      </c>
      <c r="Y3487" t="s">
        <v>44</v>
      </c>
      <c r="Z3487" t="s">
        <v>44</v>
      </c>
      <c r="AA3487" t="s">
        <v>11035</v>
      </c>
      <c r="AB3487" t="s">
        <v>44</v>
      </c>
      <c r="AC3487" s="4">
        <v>6.2175109700000002</v>
      </c>
      <c r="AD3487" s="4">
        <v>6.0470648499999999</v>
      </c>
      <c r="AE3487" s="2">
        <v>6.22</v>
      </c>
      <c r="AF3487" s="4">
        <v>6.0470648499999999</v>
      </c>
      <c r="AG3487" s="2">
        <v>0.93</v>
      </c>
      <c r="AH3487" s="2">
        <v>5025222.63</v>
      </c>
      <c r="AI3487" s="2">
        <v>0.01</v>
      </c>
      <c r="AJ3487" s="5">
        <v>44673</v>
      </c>
      <c r="AK3487" t="s">
        <v>12658</v>
      </c>
      <c r="AL3487" s="2">
        <v>6.12</v>
      </c>
      <c r="AM3487" s="2">
        <v>6.35</v>
      </c>
      <c r="AN3487" s="2">
        <v>0.88</v>
      </c>
      <c r="AO3487" t="s">
        <v>11036</v>
      </c>
      <c r="AP3487" t="s">
        <v>12846</v>
      </c>
      <c r="AQ3487" t="s">
        <v>12845</v>
      </c>
    </row>
    <row r="3488" spans="1:43" x14ac:dyDescent="0.2">
      <c r="A3488" t="s">
        <v>12657</v>
      </c>
      <c r="B3488" t="s">
        <v>11038</v>
      </c>
      <c r="C3488" t="s">
        <v>11039</v>
      </c>
      <c r="D3488" t="s">
        <v>11626</v>
      </c>
      <c r="E3488" t="s">
        <v>11627</v>
      </c>
      <c r="F3488" t="s">
        <v>11626</v>
      </c>
      <c r="G3488" s="1">
        <v>14000000</v>
      </c>
      <c r="H3488" s="2">
        <v>14004302.039999999</v>
      </c>
      <c r="I3488" s="2">
        <v>14021409.210000001</v>
      </c>
      <c r="J3488" s="2">
        <v>141908.22</v>
      </c>
      <c r="K3488" s="2">
        <v>0</v>
      </c>
      <c r="L3488" s="2">
        <v>14163317.43</v>
      </c>
      <c r="M3488" s="3">
        <v>4.7030979999999998</v>
      </c>
      <c r="N3488" s="4">
        <v>3.2223069999999999E-2</v>
      </c>
      <c r="O3488" s="5">
        <v>44690</v>
      </c>
      <c r="P3488" s="5">
        <v>44872</v>
      </c>
      <c r="Q3488" s="1">
        <v>4.9329999999999998</v>
      </c>
      <c r="R3488" s="2">
        <v>0.04</v>
      </c>
      <c r="S3488" s="6">
        <v>3.5480725949000001E-2</v>
      </c>
      <c r="T3488" t="s">
        <v>111</v>
      </c>
      <c r="U3488" t="s">
        <v>11040</v>
      </c>
      <c r="V3488" t="s">
        <v>11189</v>
      </c>
      <c r="W3488" t="s">
        <v>43</v>
      </c>
      <c r="X3488" t="s">
        <v>11034</v>
      </c>
      <c r="Y3488" t="s">
        <v>44</v>
      </c>
      <c r="Z3488" t="s">
        <v>44</v>
      </c>
      <c r="AA3488" t="s">
        <v>10979</v>
      </c>
      <c r="AB3488" t="s">
        <v>44</v>
      </c>
      <c r="AC3488" s="4">
        <v>4.8110071799999998</v>
      </c>
      <c r="AD3488" s="4">
        <v>4.7080728000000001</v>
      </c>
      <c r="AE3488" s="2">
        <v>4.8099999999999996</v>
      </c>
      <c r="AF3488" s="4">
        <v>4.7080728000000001</v>
      </c>
      <c r="AG3488" s="2">
        <v>2.63</v>
      </c>
      <c r="AH3488" s="2">
        <v>14163317.43</v>
      </c>
      <c r="AI3488" s="2">
        <v>0.03</v>
      </c>
      <c r="AJ3488" s="5">
        <v>44673</v>
      </c>
      <c r="AK3488" t="s">
        <v>12658</v>
      </c>
      <c r="AL3488" s="2">
        <v>4.75</v>
      </c>
      <c r="AM3488" s="2">
        <v>4.93</v>
      </c>
      <c r="AN3488" s="2">
        <v>0.04</v>
      </c>
      <c r="AO3488" t="s">
        <v>11179</v>
      </c>
      <c r="AP3488" t="s">
        <v>11628</v>
      </c>
      <c r="AQ3488" t="s">
        <v>11627</v>
      </c>
    </row>
    <row r="3489" spans="1:43" x14ac:dyDescent="0.2">
      <c r="A3489" t="s">
        <v>12657</v>
      </c>
      <c r="B3489" t="s">
        <v>11038</v>
      </c>
      <c r="C3489" t="s">
        <v>11222</v>
      </c>
      <c r="D3489" t="s">
        <v>11639</v>
      </c>
      <c r="E3489" t="s">
        <v>11640</v>
      </c>
      <c r="F3489" t="s">
        <v>11639</v>
      </c>
      <c r="G3489" s="1">
        <v>4000000</v>
      </c>
      <c r="H3489" s="2">
        <v>4000000</v>
      </c>
      <c r="I3489" s="2">
        <v>3903187.09</v>
      </c>
      <c r="J3489" s="2">
        <v>16464.66</v>
      </c>
      <c r="K3489" s="2">
        <v>0</v>
      </c>
      <c r="L3489" s="2">
        <v>3919651.75</v>
      </c>
      <c r="M3489" s="3">
        <v>7.3639539999999997</v>
      </c>
      <c r="N3489" s="4">
        <v>8.9176299999999993E-3</v>
      </c>
      <c r="O3489" s="5">
        <v>44834</v>
      </c>
      <c r="P3489" s="5">
        <v>45562</v>
      </c>
      <c r="Q3489" s="1">
        <v>6.26</v>
      </c>
      <c r="R3489" s="2">
        <v>2.2799999999999998</v>
      </c>
      <c r="S3489" s="6">
        <v>2.1972816670199999</v>
      </c>
      <c r="T3489" t="s">
        <v>111</v>
      </c>
      <c r="U3489" t="s">
        <v>11040</v>
      </c>
      <c r="V3489" t="s">
        <v>11041</v>
      </c>
      <c r="W3489" t="s">
        <v>43</v>
      </c>
      <c r="X3489" t="s">
        <v>44</v>
      </c>
      <c r="Y3489" t="s">
        <v>44</v>
      </c>
      <c r="Z3489" t="s">
        <v>44</v>
      </c>
      <c r="AA3489" t="s">
        <v>10979</v>
      </c>
      <c r="AB3489" t="s">
        <v>44</v>
      </c>
      <c r="AC3489" s="4">
        <v>7.4995232700000001</v>
      </c>
      <c r="AD3489" s="4">
        <v>7.2534566800000002</v>
      </c>
      <c r="AE3489" s="2">
        <v>7.5</v>
      </c>
      <c r="AF3489" s="4">
        <v>7.2534566800000002</v>
      </c>
      <c r="AG3489" s="2">
        <v>0.73</v>
      </c>
      <c r="AH3489" s="2">
        <v>3919651.75</v>
      </c>
      <c r="AI3489" s="2">
        <v>0.01</v>
      </c>
      <c r="AJ3489" s="5">
        <v>44673</v>
      </c>
      <c r="AK3489" t="s">
        <v>12658</v>
      </c>
      <c r="AL3489" s="2">
        <v>7.36</v>
      </c>
      <c r="AM3489" s="2">
        <v>6.26</v>
      </c>
      <c r="AN3489" s="2">
        <v>2.2000000000000002</v>
      </c>
      <c r="AO3489" t="s">
        <v>11054</v>
      </c>
      <c r="AP3489" t="s">
        <v>11641</v>
      </c>
      <c r="AQ3489" t="s">
        <v>11640</v>
      </c>
    </row>
    <row r="3490" spans="1:43" x14ac:dyDescent="0.2">
      <c r="A3490" t="s">
        <v>12657</v>
      </c>
      <c r="B3490" t="s">
        <v>11038</v>
      </c>
      <c r="C3490" t="s">
        <v>11222</v>
      </c>
      <c r="D3490" t="s">
        <v>12659</v>
      </c>
      <c r="E3490" t="s">
        <v>12660</v>
      </c>
      <c r="F3490" t="s">
        <v>12659</v>
      </c>
      <c r="G3490" s="1">
        <v>19000000</v>
      </c>
      <c r="H3490" s="2">
        <v>19000000</v>
      </c>
      <c r="I3490" s="2">
        <v>18673052.760000002</v>
      </c>
      <c r="J3490" s="2">
        <v>615246.03</v>
      </c>
      <c r="K3490" s="2">
        <v>0</v>
      </c>
      <c r="L3490" s="2">
        <v>19288298.789999999</v>
      </c>
      <c r="M3490" s="3">
        <v>7.4025280000000002</v>
      </c>
      <c r="N3490" s="4">
        <v>4.3882959999999999E-2</v>
      </c>
      <c r="O3490" s="5">
        <v>44679</v>
      </c>
      <c r="P3490" s="5">
        <v>45593</v>
      </c>
      <c r="Q3490" s="1">
        <v>6.64</v>
      </c>
      <c r="R3490" s="2">
        <v>2.2799999999999998</v>
      </c>
      <c r="S3490" s="6">
        <v>2.1964947725199999</v>
      </c>
      <c r="T3490" t="s">
        <v>111</v>
      </c>
      <c r="U3490" t="s">
        <v>11040</v>
      </c>
      <c r="V3490" t="s">
        <v>11041</v>
      </c>
      <c r="W3490" t="s">
        <v>43</v>
      </c>
      <c r="X3490" t="s">
        <v>44</v>
      </c>
      <c r="Y3490" t="s">
        <v>44</v>
      </c>
      <c r="Z3490" t="s">
        <v>44</v>
      </c>
      <c r="AA3490" t="s">
        <v>10979</v>
      </c>
      <c r="AB3490" t="s">
        <v>44</v>
      </c>
      <c r="AC3490" s="4">
        <v>7.5395212300000001</v>
      </c>
      <c r="AD3490" s="4">
        <v>7.2908827699999996</v>
      </c>
      <c r="AE3490" s="2">
        <v>7.54</v>
      </c>
      <c r="AF3490" s="4">
        <v>7.2908827699999996</v>
      </c>
      <c r="AG3490" s="2">
        <v>3.58</v>
      </c>
      <c r="AH3490" s="2">
        <v>19288298.789999999</v>
      </c>
      <c r="AI3490" s="2">
        <v>0.04</v>
      </c>
      <c r="AJ3490" s="5">
        <v>44673</v>
      </c>
      <c r="AK3490" t="s">
        <v>12658</v>
      </c>
      <c r="AL3490" s="2">
        <v>7.4</v>
      </c>
      <c r="AM3490" s="2">
        <v>6.64</v>
      </c>
      <c r="AN3490" s="2">
        <v>2.2000000000000002</v>
      </c>
      <c r="AO3490" t="s">
        <v>11054</v>
      </c>
      <c r="AP3490" t="s">
        <v>12661</v>
      </c>
      <c r="AQ3490" t="s">
        <v>12660</v>
      </c>
    </row>
    <row r="3491" spans="1:43" x14ac:dyDescent="0.2">
      <c r="A3491" t="s">
        <v>12657</v>
      </c>
      <c r="B3491" t="s">
        <v>11038</v>
      </c>
      <c r="C3491" t="s">
        <v>11222</v>
      </c>
      <c r="D3491" t="s">
        <v>12730</v>
      </c>
      <c r="E3491" t="s">
        <v>12731</v>
      </c>
      <c r="F3491" t="s">
        <v>12730</v>
      </c>
      <c r="G3491" s="1">
        <v>3600000</v>
      </c>
      <c r="H3491" s="2">
        <v>3600000</v>
      </c>
      <c r="I3491" s="2">
        <v>3600002.25</v>
      </c>
      <c r="J3491" s="2">
        <v>18757.68</v>
      </c>
      <c r="K3491" s="2">
        <v>0</v>
      </c>
      <c r="L3491" s="2">
        <v>3618759.93</v>
      </c>
      <c r="M3491" s="3">
        <v>6.4543710000000001</v>
      </c>
      <c r="N3491" s="4">
        <v>8.2330700000000003E-3</v>
      </c>
      <c r="O3491" s="5">
        <v>44739</v>
      </c>
      <c r="P3491" s="5">
        <v>46563</v>
      </c>
      <c r="Q3491" s="1">
        <v>6.5579999999999998</v>
      </c>
      <c r="R3491" s="2">
        <v>0.17</v>
      </c>
      <c r="S3491" s="6">
        <v>0.10239071847800001</v>
      </c>
      <c r="T3491" t="s">
        <v>111</v>
      </c>
      <c r="U3491" t="s">
        <v>11040</v>
      </c>
      <c r="V3491" t="s">
        <v>11189</v>
      </c>
      <c r="W3491" t="s">
        <v>43</v>
      </c>
      <c r="X3491" t="s">
        <v>11034</v>
      </c>
      <c r="Y3491" t="s">
        <v>44</v>
      </c>
      <c r="Z3491" t="s">
        <v>44</v>
      </c>
      <c r="AA3491" t="s">
        <v>11035</v>
      </c>
      <c r="AB3491" t="s">
        <v>44</v>
      </c>
      <c r="AC3491" s="4">
        <v>6.6291599999999997</v>
      </c>
      <c r="AD3491" s="4">
        <v>6.4358805400000003</v>
      </c>
      <c r="AE3491" s="2">
        <v>6.63</v>
      </c>
      <c r="AF3491" s="4">
        <v>6.4358805400000003</v>
      </c>
      <c r="AG3491" s="2">
        <v>0.67</v>
      </c>
      <c r="AH3491" s="2">
        <v>3618759.93</v>
      </c>
      <c r="AI3491" s="2">
        <v>0.01</v>
      </c>
      <c r="AJ3491" s="5">
        <v>44673</v>
      </c>
      <c r="AK3491" t="s">
        <v>12658</v>
      </c>
      <c r="AL3491" s="2">
        <v>6.52</v>
      </c>
      <c r="AM3491" s="2">
        <v>6.56</v>
      </c>
      <c r="AN3491" s="2">
        <v>0.1</v>
      </c>
      <c r="AO3491" t="s">
        <v>11226</v>
      </c>
      <c r="AP3491" t="s">
        <v>12732</v>
      </c>
      <c r="AQ3491" t="s">
        <v>12731</v>
      </c>
    </row>
    <row r="3492" spans="1:43" x14ac:dyDescent="0.2">
      <c r="A3492" t="s">
        <v>12657</v>
      </c>
      <c r="B3492" t="s">
        <v>11038</v>
      </c>
      <c r="C3492" t="s">
        <v>11222</v>
      </c>
      <c r="D3492" t="s">
        <v>11891</v>
      </c>
      <c r="E3492" t="s">
        <v>11892</v>
      </c>
      <c r="F3492" t="s">
        <v>11891</v>
      </c>
      <c r="G3492" s="1">
        <v>6100000</v>
      </c>
      <c r="H3492" s="2">
        <v>6100000</v>
      </c>
      <c r="I3492" s="2">
        <v>6109194.8099999996</v>
      </c>
      <c r="J3492" s="2">
        <v>52305.41</v>
      </c>
      <c r="K3492" s="2">
        <v>0</v>
      </c>
      <c r="L3492" s="2">
        <v>6161500.2199999997</v>
      </c>
      <c r="M3492" s="3">
        <v>7.9353490000000004</v>
      </c>
      <c r="N3492" s="4">
        <v>1.401808E-2</v>
      </c>
      <c r="O3492" s="5">
        <v>44727</v>
      </c>
      <c r="P3492" s="5">
        <v>45642</v>
      </c>
      <c r="Q3492" s="1">
        <v>8.0250000000000004</v>
      </c>
      <c r="R3492" s="2">
        <v>0.14000000000000001</v>
      </c>
      <c r="S3492" s="6">
        <v>7.6335008319000003E-2</v>
      </c>
      <c r="T3492" t="s">
        <v>111</v>
      </c>
      <c r="U3492" t="s">
        <v>11040</v>
      </c>
      <c r="V3492" t="s">
        <v>114</v>
      </c>
      <c r="W3492" t="s">
        <v>43</v>
      </c>
      <c r="X3492" t="s">
        <v>10988</v>
      </c>
      <c r="Y3492" t="s">
        <v>44</v>
      </c>
      <c r="Z3492" t="s">
        <v>44</v>
      </c>
      <c r="AA3492" t="s">
        <v>44</v>
      </c>
      <c r="AB3492" t="s">
        <v>44</v>
      </c>
      <c r="AC3492" s="4">
        <v>8.2114278699999996</v>
      </c>
      <c r="AD3492" s="4">
        <v>7.9176856799999999</v>
      </c>
      <c r="AE3492" s="2">
        <v>8.2100000000000009</v>
      </c>
      <c r="AF3492" s="4">
        <v>7.9176856799999999</v>
      </c>
      <c r="AG3492" s="2">
        <v>1.1399999999999999</v>
      </c>
      <c r="AH3492" s="2">
        <v>6161500.2199999997</v>
      </c>
      <c r="AI3492" s="2">
        <v>0.01</v>
      </c>
      <c r="AJ3492" s="5">
        <v>44673</v>
      </c>
      <c r="AK3492" t="s">
        <v>12658</v>
      </c>
      <c r="AL3492" s="2">
        <v>8.0500000000000007</v>
      </c>
      <c r="AM3492" s="2">
        <v>8.0299999999999994</v>
      </c>
      <c r="AN3492" s="2">
        <v>0.08</v>
      </c>
      <c r="AO3492" t="s">
        <v>11871</v>
      </c>
      <c r="AP3492" t="s">
        <v>11893</v>
      </c>
      <c r="AQ3492" t="s">
        <v>11892</v>
      </c>
    </row>
    <row r="3493" spans="1:43" x14ac:dyDescent="0.2">
      <c r="A3493" t="s">
        <v>12657</v>
      </c>
      <c r="B3493" t="s">
        <v>11038</v>
      </c>
      <c r="C3493" t="s">
        <v>11222</v>
      </c>
      <c r="D3493" t="s">
        <v>11648</v>
      </c>
      <c r="E3493" t="s">
        <v>11649</v>
      </c>
      <c r="F3493" t="s">
        <v>11648</v>
      </c>
      <c r="G3493" s="1">
        <v>4400000</v>
      </c>
      <c r="H3493" s="2">
        <v>4400000</v>
      </c>
      <c r="I3493" s="2">
        <v>4412761.08</v>
      </c>
      <c r="J3493" s="2">
        <v>40144.639999999999</v>
      </c>
      <c r="K3493" s="2">
        <v>0</v>
      </c>
      <c r="L3493" s="2">
        <v>4452905.72</v>
      </c>
      <c r="M3493" s="3">
        <v>6.0302819999999997</v>
      </c>
      <c r="N3493" s="4">
        <v>1.013084E-2</v>
      </c>
      <c r="O3493" s="5">
        <v>44712</v>
      </c>
      <c r="P3493" s="5">
        <v>45260</v>
      </c>
      <c r="Q3493" s="1">
        <v>6.1669999999999998</v>
      </c>
      <c r="R3493" s="2">
        <v>0.1</v>
      </c>
      <c r="S3493" s="6">
        <v>7.8177650525999995E-2</v>
      </c>
      <c r="T3493" t="s">
        <v>111</v>
      </c>
      <c r="U3493" t="s">
        <v>11040</v>
      </c>
      <c r="V3493" t="s">
        <v>114</v>
      </c>
      <c r="W3493" t="s">
        <v>43</v>
      </c>
      <c r="X3493" t="s">
        <v>10988</v>
      </c>
      <c r="Y3493" t="s">
        <v>44</v>
      </c>
      <c r="Z3493" t="s">
        <v>44</v>
      </c>
      <c r="AA3493" t="s">
        <v>10979</v>
      </c>
      <c r="AB3493" t="s">
        <v>44</v>
      </c>
      <c r="AC3493" s="4">
        <v>6.1968427300000002</v>
      </c>
      <c r="AD3493" s="4">
        <v>6.0275066400000004</v>
      </c>
      <c r="AE3493" s="2">
        <v>6.2</v>
      </c>
      <c r="AF3493" s="4">
        <v>6.0275066400000004</v>
      </c>
      <c r="AG3493" s="2">
        <v>0.83</v>
      </c>
      <c r="AH3493" s="2">
        <v>4452905.72</v>
      </c>
      <c r="AI3493" s="2">
        <v>0.01</v>
      </c>
      <c r="AJ3493" s="5">
        <v>44673</v>
      </c>
      <c r="AK3493" t="s">
        <v>12658</v>
      </c>
      <c r="AL3493" s="2">
        <v>6.1</v>
      </c>
      <c r="AM3493" s="2">
        <v>6.17</v>
      </c>
      <c r="AN3493" s="2">
        <v>0.08</v>
      </c>
      <c r="AO3493" t="s">
        <v>11048</v>
      </c>
      <c r="AP3493" t="s">
        <v>11650</v>
      </c>
      <c r="AQ3493" t="s">
        <v>11649</v>
      </c>
    </row>
    <row r="3494" spans="1:43" x14ac:dyDescent="0.2">
      <c r="A3494" t="s">
        <v>12657</v>
      </c>
      <c r="B3494" t="s">
        <v>11038</v>
      </c>
      <c r="C3494" t="s">
        <v>11222</v>
      </c>
      <c r="D3494" t="s">
        <v>11894</v>
      </c>
      <c r="E3494" t="s">
        <v>11895</v>
      </c>
      <c r="F3494" t="s">
        <v>11894</v>
      </c>
      <c r="G3494" s="1">
        <v>3800000</v>
      </c>
      <c r="H3494" s="2">
        <v>3800541.61</v>
      </c>
      <c r="I3494" s="2">
        <v>3799660.75</v>
      </c>
      <c r="J3494" s="2">
        <v>25681.23</v>
      </c>
      <c r="K3494" s="2">
        <v>0</v>
      </c>
      <c r="L3494" s="2">
        <v>3825341.98</v>
      </c>
      <c r="M3494" s="3">
        <v>6.3053489999999996</v>
      </c>
      <c r="N3494" s="4">
        <v>8.7030600000000003E-3</v>
      </c>
      <c r="O3494" s="5">
        <v>44727</v>
      </c>
      <c r="P3494" s="5">
        <v>45366</v>
      </c>
      <c r="Q3494" s="1">
        <v>6.3250000000000002</v>
      </c>
      <c r="R3494" s="2">
        <v>0.14000000000000001</v>
      </c>
      <c r="S3494" s="6">
        <v>0.10845508335</v>
      </c>
      <c r="T3494" t="s">
        <v>111</v>
      </c>
      <c r="U3494" t="s">
        <v>11040</v>
      </c>
      <c r="V3494" t="s">
        <v>114</v>
      </c>
      <c r="W3494" t="s">
        <v>43</v>
      </c>
      <c r="X3494" t="s">
        <v>10988</v>
      </c>
      <c r="Y3494" t="s">
        <v>44</v>
      </c>
      <c r="Z3494" t="s">
        <v>44</v>
      </c>
      <c r="AA3494" t="s">
        <v>10979</v>
      </c>
      <c r="AB3494" t="s">
        <v>44</v>
      </c>
      <c r="AC3494" s="4">
        <v>6.4789744799999998</v>
      </c>
      <c r="AD3494" s="4">
        <v>6.2941851800000004</v>
      </c>
      <c r="AE3494" s="2">
        <v>6.48</v>
      </c>
      <c r="AF3494" s="4">
        <v>6.2941851800000004</v>
      </c>
      <c r="AG3494" s="2">
        <v>0.71</v>
      </c>
      <c r="AH3494" s="2">
        <v>3825341.98</v>
      </c>
      <c r="AI3494" s="2">
        <v>0.01</v>
      </c>
      <c r="AJ3494" s="5">
        <v>44673</v>
      </c>
      <c r="AK3494" t="s">
        <v>12658</v>
      </c>
      <c r="AL3494" s="2">
        <v>6.38</v>
      </c>
      <c r="AM3494" s="2">
        <v>6.33</v>
      </c>
      <c r="AN3494" s="2">
        <v>0.11</v>
      </c>
      <c r="AO3494" t="s">
        <v>11567</v>
      </c>
      <c r="AP3494" t="s">
        <v>11896</v>
      </c>
      <c r="AQ3494" t="s">
        <v>11895</v>
      </c>
    </row>
    <row r="3495" spans="1:43" x14ac:dyDescent="0.2">
      <c r="A3495" t="s">
        <v>12657</v>
      </c>
      <c r="B3495" t="s">
        <v>11038</v>
      </c>
      <c r="C3495" t="s">
        <v>11222</v>
      </c>
      <c r="D3495" t="s">
        <v>11897</v>
      </c>
      <c r="E3495" t="s">
        <v>11898</v>
      </c>
      <c r="F3495" t="s">
        <v>11897</v>
      </c>
      <c r="G3495" s="1">
        <v>1300000</v>
      </c>
      <c r="H3495" s="2">
        <v>1300000</v>
      </c>
      <c r="I3495" s="2">
        <v>1299830.3</v>
      </c>
      <c r="J3495" s="2">
        <v>10407.09</v>
      </c>
      <c r="K3495" s="2">
        <v>0</v>
      </c>
      <c r="L3495" s="2">
        <v>1310237.3899999999</v>
      </c>
      <c r="M3495" s="3">
        <v>6.2678570000000002</v>
      </c>
      <c r="N3495" s="4">
        <v>2.9809300000000001E-3</v>
      </c>
      <c r="O3495" s="5">
        <v>44719</v>
      </c>
      <c r="P3495" s="5">
        <v>45723</v>
      </c>
      <c r="Q3495" s="1">
        <v>6.2169999999999996</v>
      </c>
      <c r="R3495" s="2">
        <v>0.12</v>
      </c>
      <c r="S3495" s="6">
        <v>7.7282729554999999E-2</v>
      </c>
      <c r="T3495" t="s">
        <v>111</v>
      </c>
      <c r="U3495" t="s">
        <v>11040</v>
      </c>
      <c r="V3495" t="s">
        <v>114</v>
      </c>
      <c r="W3495" t="s">
        <v>43</v>
      </c>
      <c r="X3495" t="s">
        <v>10988</v>
      </c>
      <c r="Y3495" t="s">
        <v>44</v>
      </c>
      <c r="Z3495" t="s">
        <v>44</v>
      </c>
      <c r="AA3495" t="s">
        <v>11035</v>
      </c>
      <c r="AB3495" t="s">
        <v>44</v>
      </c>
      <c r="AC3495" s="4">
        <v>6.4439416999999999</v>
      </c>
      <c r="AD3495" s="4">
        <v>6.2611065000000004</v>
      </c>
      <c r="AE3495" s="2">
        <v>6.44</v>
      </c>
      <c r="AF3495" s="4">
        <v>6.2611065000000004</v>
      </c>
      <c r="AG3495" s="2">
        <v>0.24</v>
      </c>
      <c r="AH3495" s="2">
        <v>1310237.3899999999</v>
      </c>
      <c r="AI3495" s="2">
        <v>0</v>
      </c>
      <c r="AJ3495" s="5">
        <v>44673</v>
      </c>
      <c r="AK3495" t="s">
        <v>12658</v>
      </c>
      <c r="AL3495" s="2">
        <v>6.34</v>
      </c>
      <c r="AM3495" s="2">
        <v>6.22</v>
      </c>
      <c r="AN3495" s="2">
        <v>0.08</v>
      </c>
      <c r="AO3495" t="s">
        <v>11437</v>
      </c>
      <c r="AP3495" t="s">
        <v>11899</v>
      </c>
      <c r="AQ3495" t="s">
        <v>11898</v>
      </c>
    </row>
    <row r="3496" spans="1:43" x14ac:dyDescent="0.2">
      <c r="A3496" t="s">
        <v>12657</v>
      </c>
      <c r="B3496" t="s">
        <v>11038</v>
      </c>
      <c r="C3496" t="s">
        <v>11222</v>
      </c>
      <c r="D3496" t="s">
        <v>11900</v>
      </c>
      <c r="E3496" t="s">
        <v>11901</v>
      </c>
      <c r="F3496" t="s">
        <v>11900</v>
      </c>
      <c r="G3496" s="1">
        <v>18680000</v>
      </c>
      <c r="H3496" s="2">
        <v>18684407.27</v>
      </c>
      <c r="I3496" s="2">
        <v>18741761.18</v>
      </c>
      <c r="J3496" s="2">
        <v>237001.60000000001</v>
      </c>
      <c r="K3496" s="2">
        <v>0</v>
      </c>
      <c r="L3496" s="2">
        <v>18978762.780000001</v>
      </c>
      <c r="M3496" s="3">
        <v>6.1260430000000001</v>
      </c>
      <c r="N3496" s="4">
        <v>4.3178729999999999E-2</v>
      </c>
      <c r="O3496" s="5">
        <v>44690</v>
      </c>
      <c r="P3496" s="5">
        <v>45330</v>
      </c>
      <c r="Q3496" s="1">
        <v>6.258</v>
      </c>
      <c r="R3496" s="2">
        <v>0.04</v>
      </c>
      <c r="S3496" s="6">
        <v>1.7773178866000001E-2</v>
      </c>
      <c r="T3496" t="s">
        <v>111</v>
      </c>
      <c r="U3496" t="s">
        <v>11040</v>
      </c>
      <c r="V3496" t="s">
        <v>114</v>
      </c>
      <c r="W3496" t="s">
        <v>43</v>
      </c>
      <c r="X3496" t="s">
        <v>10988</v>
      </c>
      <c r="Y3496" t="s">
        <v>44</v>
      </c>
      <c r="Z3496" t="s">
        <v>44</v>
      </c>
      <c r="AA3496" t="s">
        <v>10979</v>
      </c>
      <c r="AB3496" t="s">
        <v>44</v>
      </c>
      <c r="AC3496" s="4">
        <v>6.3099366400000001</v>
      </c>
      <c r="AD3496" s="4">
        <v>6.1344839599999998</v>
      </c>
      <c r="AE3496" s="2">
        <v>6.31</v>
      </c>
      <c r="AF3496" s="4">
        <v>6.1344839599999998</v>
      </c>
      <c r="AG3496" s="2">
        <v>3.52</v>
      </c>
      <c r="AH3496" s="2">
        <v>18978762.780000001</v>
      </c>
      <c r="AI3496" s="2">
        <v>0.04</v>
      </c>
      <c r="AJ3496" s="5">
        <v>44673</v>
      </c>
      <c r="AK3496" t="s">
        <v>12658</v>
      </c>
      <c r="AL3496" s="2">
        <v>6.21</v>
      </c>
      <c r="AM3496" s="2">
        <v>6.26</v>
      </c>
      <c r="AN3496" s="2">
        <v>0.02</v>
      </c>
      <c r="AO3496" t="s">
        <v>11824</v>
      </c>
      <c r="AP3496" t="s">
        <v>11902</v>
      </c>
      <c r="AQ3496" t="s">
        <v>11901</v>
      </c>
    </row>
    <row r="3497" spans="1:43" x14ac:dyDescent="0.2">
      <c r="A3497" t="s">
        <v>12657</v>
      </c>
      <c r="B3497" t="s">
        <v>11160</v>
      </c>
      <c r="C3497" t="s">
        <v>11161</v>
      </c>
      <c r="D3497" t="s">
        <v>11162</v>
      </c>
      <c r="E3497" t="s">
        <v>11163</v>
      </c>
      <c r="F3497" t="s">
        <v>11162</v>
      </c>
      <c r="G3497" s="1">
        <v>8259</v>
      </c>
      <c r="H3497" s="2">
        <v>5377054.9699999997</v>
      </c>
      <c r="I3497" s="2">
        <v>7433100</v>
      </c>
      <c r="J3497" s="2">
        <v>0</v>
      </c>
      <c r="K3497" s="2">
        <v>205988.51</v>
      </c>
      <c r="L3497" s="2">
        <v>7639088.5099999998</v>
      </c>
      <c r="M3497" s="3">
        <v>90000</v>
      </c>
      <c r="N3497" s="4">
        <v>1.7379749999999999E-2</v>
      </c>
      <c r="O3497" s="5" t="s">
        <v>44</v>
      </c>
      <c r="P3497" s="5" t="s">
        <v>44</v>
      </c>
      <c r="Q3497" s="1"/>
      <c r="R3497" s="2"/>
      <c r="S3497" s="6"/>
      <c r="T3497" t="s">
        <v>10902</v>
      </c>
      <c r="U3497" t="s">
        <v>10902</v>
      </c>
      <c r="V3497" t="s">
        <v>11164</v>
      </c>
      <c r="W3497" t="s">
        <v>43</v>
      </c>
      <c r="X3497" t="s">
        <v>44</v>
      </c>
      <c r="Y3497" t="s">
        <v>44</v>
      </c>
      <c r="Z3497" t="s">
        <v>44</v>
      </c>
      <c r="AA3497" t="s">
        <v>10979</v>
      </c>
      <c r="AB3497" t="s">
        <v>44</v>
      </c>
      <c r="AC3497" s="4"/>
      <c r="AD3497" s="4"/>
      <c r="AE3497" s="2">
        <v>0</v>
      </c>
      <c r="AF3497" s="4">
        <v>0</v>
      </c>
      <c r="AG3497" s="2">
        <v>1.42</v>
      </c>
      <c r="AH3497" s="2">
        <v>7639088.5099999998</v>
      </c>
      <c r="AI3497" s="2">
        <v>0.02</v>
      </c>
      <c r="AJ3497" s="5">
        <v>44673</v>
      </c>
      <c r="AK3497" t="s">
        <v>12658</v>
      </c>
      <c r="AL3497" s="2">
        <v>0</v>
      </c>
      <c r="AM3497" s="2">
        <v>0</v>
      </c>
      <c r="AN3497" s="2">
        <v>0</v>
      </c>
      <c r="AO3497" t="s">
        <v>11165</v>
      </c>
      <c r="AP3497" t="s">
        <v>11166</v>
      </c>
      <c r="AQ3497" t="s">
        <v>11163</v>
      </c>
    </row>
    <row r="3498" spans="1:43" x14ac:dyDescent="0.2">
      <c r="A3498" t="s">
        <v>12657</v>
      </c>
      <c r="B3498" t="s">
        <v>11160</v>
      </c>
      <c r="C3498" t="s">
        <v>11161</v>
      </c>
      <c r="D3498" t="s">
        <v>11654</v>
      </c>
      <c r="E3498" t="s">
        <v>11655</v>
      </c>
      <c r="F3498" t="s">
        <v>11654</v>
      </c>
      <c r="G3498" s="1">
        <v>19406</v>
      </c>
      <c r="H3498" s="2">
        <v>1501657.61</v>
      </c>
      <c r="I3498" s="2">
        <v>1860841.34</v>
      </c>
      <c r="J3498" s="2">
        <v>0</v>
      </c>
      <c r="K3498" s="2">
        <v>0</v>
      </c>
      <c r="L3498" s="2">
        <v>1860841.34</v>
      </c>
      <c r="M3498" s="3">
        <v>9589</v>
      </c>
      <c r="N3498" s="4">
        <v>4.2336099999999996E-3</v>
      </c>
      <c r="O3498" s="5" t="s">
        <v>44</v>
      </c>
      <c r="P3498" s="5" t="s">
        <v>44</v>
      </c>
      <c r="Q3498" s="1"/>
      <c r="R3498" s="2"/>
      <c r="S3498" s="6"/>
      <c r="T3498" t="s">
        <v>10902</v>
      </c>
      <c r="U3498" t="s">
        <v>10902</v>
      </c>
      <c r="V3498" t="s">
        <v>11164</v>
      </c>
      <c r="W3498" t="s">
        <v>43</v>
      </c>
      <c r="X3498" t="s">
        <v>44</v>
      </c>
      <c r="Y3498" t="s">
        <v>44</v>
      </c>
      <c r="Z3498" t="s">
        <v>44</v>
      </c>
      <c r="AA3498" t="s">
        <v>10979</v>
      </c>
      <c r="AB3498" t="s">
        <v>44</v>
      </c>
      <c r="AC3498" s="4"/>
      <c r="AD3498" s="4"/>
      <c r="AE3498" s="2">
        <v>0</v>
      </c>
      <c r="AF3498" s="4">
        <v>0</v>
      </c>
      <c r="AG3498" s="2">
        <v>0.35</v>
      </c>
      <c r="AH3498" s="2">
        <v>1860841.34</v>
      </c>
      <c r="AI3498" s="2">
        <v>0</v>
      </c>
      <c r="AJ3498" s="5">
        <v>44673</v>
      </c>
      <c r="AK3498" t="s">
        <v>12658</v>
      </c>
      <c r="AL3498" s="2">
        <v>0</v>
      </c>
      <c r="AM3498" s="2">
        <v>0</v>
      </c>
      <c r="AN3498" s="2">
        <v>0</v>
      </c>
      <c r="AO3498" t="s">
        <v>11054</v>
      </c>
      <c r="AP3498" t="s">
        <v>11656</v>
      </c>
      <c r="AQ3498" t="s">
        <v>11655</v>
      </c>
    </row>
    <row r="3499" spans="1:43" x14ac:dyDescent="0.2">
      <c r="A3499" t="s">
        <v>12657</v>
      </c>
      <c r="B3499" t="s">
        <v>11160</v>
      </c>
      <c r="C3499" t="s">
        <v>11161</v>
      </c>
      <c r="D3499" t="s">
        <v>11176</v>
      </c>
      <c r="E3499" t="s">
        <v>11177</v>
      </c>
      <c r="F3499" t="s">
        <v>11178</v>
      </c>
      <c r="G3499" s="1">
        <v>75094</v>
      </c>
      <c r="H3499" s="2">
        <v>6205234.0800000001</v>
      </c>
      <c r="I3499" s="2">
        <v>6937934.6600000001</v>
      </c>
      <c r="J3499" s="2">
        <v>0</v>
      </c>
      <c r="K3499" s="2">
        <v>0</v>
      </c>
      <c r="L3499" s="2">
        <v>6937934.6600000001</v>
      </c>
      <c r="M3499" s="3">
        <v>9239</v>
      </c>
      <c r="N3499" s="4">
        <v>1.5784550000000001E-2</v>
      </c>
      <c r="O3499" s="5" t="s">
        <v>44</v>
      </c>
      <c r="P3499" s="5" t="s">
        <v>44</v>
      </c>
      <c r="Q3499" s="1"/>
      <c r="R3499" s="2"/>
      <c r="S3499" s="6"/>
      <c r="T3499" t="s">
        <v>10902</v>
      </c>
      <c r="U3499" t="s">
        <v>10902</v>
      </c>
      <c r="V3499" t="s">
        <v>11164</v>
      </c>
      <c r="W3499" t="s">
        <v>43</v>
      </c>
      <c r="X3499" t="s">
        <v>44</v>
      </c>
      <c r="Y3499" t="s">
        <v>44</v>
      </c>
      <c r="Z3499" t="s">
        <v>44</v>
      </c>
      <c r="AA3499" t="s">
        <v>10979</v>
      </c>
      <c r="AB3499" t="s">
        <v>44</v>
      </c>
      <c r="AC3499" s="4"/>
      <c r="AD3499" s="4"/>
      <c r="AE3499" s="2">
        <v>0</v>
      </c>
      <c r="AF3499" s="4">
        <v>0</v>
      </c>
      <c r="AG3499" s="2">
        <v>1.29</v>
      </c>
      <c r="AH3499" s="2">
        <v>6937934.6600000001</v>
      </c>
      <c r="AI3499" s="2">
        <v>0.02</v>
      </c>
      <c r="AJ3499" s="5">
        <v>44673</v>
      </c>
      <c r="AK3499" t="s">
        <v>12658</v>
      </c>
      <c r="AL3499" s="2">
        <v>0</v>
      </c>
      <c r="AM3499" s="2">
        <v>0</v>
      </c>
      <c r="AN3499" s="2">
        <v>0</v>
      </c>
      <c r="AO3499" t="s">
        <v>11179</v>
      </c>
      <c r="AP3499" t="s">
        <v>11180</v>
      </c>
      <c r="AQ3499" t="s">
        <v>11177</v>
      </c>
    </row>
    <row r="3500" spans="1:43" x14ac:dyDescent="0.2">
      <c r="A3500" t="s">
        <v>12662</v>
      </c>
      <c r="B3500" t="s">
        <v>10900</v>
      </c>
      <c r="C3500" t="s">
        <v>10943</v>
      </c>
      <c r="D3500" t="s">
        <v>11135</v>
      </c>
      <c r="E3500" t="s">
        <v>10946</v>
      </c>
      <c r="F3500" t="s">
        <v>11135</v>
      </c>
      <c r="G3500" s="1">
        <v>2000000</v>
      </c>
      <c r="H3500" s="2">
        <v>2216634.83</v>
      </c>
      <c r="I3500" s="2">
        <v>2172859</v>
      </c>
      <c r="J3500" s="2">
        <v>71917.81</v>
      </c>
      <c r="K3500" s="2">
        <v>0</v>
      </c>
      <c r="L3500" s="2">
        <v>2244776.81</v>
      </c>
      <c r="M3500" s="3">
        <v>8.2249999999999996</v>
      </c>
      <c r="N3500" s="4">
        <v>5.1071099999999998E-3</v>
      </c>
      <c r="O3500" s="5">
        <v>44733</v>
      </c>
      <c r="P3500" s="5">
        <v>46377</v>
      </c>
      <c r="Q3500" s="1">
        <v>10.5</v>
      </c>
      <c r="R3500" s="2">
        <v>3.72</v>
      </c>
      <c r="S3500" s="6">
        <v>3.572672968</v>
      </c>
      <c r="T3500" t="s">
        <v>111</v>
      </c>
      <c r="U3500" t="s">
        <v>111</v>
      </c>
      <c r="V3500" t="s">
        <v>10944</v>
      </c>
      <c r="W3500" t="s">
        <v>43</v>
      </c>
      <c r="X3500" t="s">
        <v>10945</v>
      </c>
      <c r="Y3500" t="s">
        <v>44</v>
      </c>
      <c r="Z3500" t="s">
        <v>44</v>
      </c>
      <c r="AA3500" t="s">
        <v>10913</v>
      </c>
      <c r="AB3500" t="s">
        <v>44</v>
      </c>
      <c r="AC3500" s="4">
        <v>8.3941265600000001</v>
      </c>
      <c r="AD3500" s="4">
        <v>8.0875032299999994</v>
      </c>
      <c r="AE3500" s="2">
        <v>8.39</v>
      </c>
      <c r="AF3500" s="4">
        <v>8.0875032299999994</v>
      </c>
      <c r="AG3500" s="2">
        <v>0.67</v>
      </c>
      <c r="AH3500" s="2">
        <v>2244776.81</v>
      </c>
      <c r="AI3500" s="2">
        <v>0.01</v>
      </c>
      <c r="AJ3500" s="5">
        <v>44673</v>
      </c>
      <c r="AK3500" t="s">
        <v>12663</v>
      </c>
      <c r="AL3500" s="2">
        <v>8.23</v>
      </c>
      <c r="AM3500" s="2">
        <v>10.5</v>
      </c>
      <c r="AN3500" s="2">
        <v>3.57</v>
      </c>
      <c r="AO3500" t="s">
        <v>10922</v>
      </c>
      <c r="AP3500" t="s">
        <v>11136</v>
      </c>
      <c r="AQ3500" t="s">
        <v>10946</v>
      </c>
    </row>
    <row r="3501" spans="1:43" x14ac:dyDescent="0.2">
      <c r="A3501" t="s">
        <v>12662</v>
      </c>
      <c r="B3501" t="s">
        <v>10900</v>
      </c>
      <c r="C3501" t="s">
        <v>10943</v>
      </c>
      <c r="D3501" t="s">
        <v>11251</v>
      </c>
      <c r="E3501" t="s">
        <v>11252</v>
      </c>
      <c r="F3501" t="s">
        <v>11251</v>
      </c>
      <c r="G3501" s="1">
        <v>24110647</v>
      </c>
      <c r="H3501" s="2">
        <v>23748863.050000001</v>
      </c>
      <c r="I3501" s="2">
        <v>22836035.239999998</v>
      </c>
      <c r="J3501" s="2">
        <v>952403.58</v>
      </c>
      <c r="K3501" s="2">
        <v>0</v>
      </c>
      <c r="L3501" s="2">
        <v>23788438.82</v>
      </c>
      <c r="M3501" s="3">
        <v>10.175000000000001</v>
      </c>
      <c r="N3501" s="4">
        <v>5.4121259999999997E-2</v>
      </c>
      <c r="O3501" s="5">
        <v>44697</v>
      </c>
      <c r="P3501" s="5">
        <v>46705</v>
      </c>
      <c r="Q3501" s="1">
        <v>8.9</v>
      </c>
      <c r="R3501" s="2">
        <v>4.29</v>
      </c>
      <c r="S3501" s="6">
        <v>4.0791219989999998</v>
      </c>
      <c r="T3501" t="s">
        <v>111</v>
      </c>
      <c r="U3501" t="s">
        <v>111</v>
      </c>
      <c r="V3501" t="s">
        <v>10944</v>
      </c>
      <c r="W3501" t="s">
        <v>43</v>
      </c>
      <c r="X3501" t="s">
        <v>10988</v>
      </c>
      <c r="Y3501" t="s">
        <v>44</v>
      </c>
      <c r="Z3501" t="s">
        <v>44</v>
      </c>
      <c r="AA3501" t="s">
        <v>10979</v>
      </c>
      <c r="AB3501" t="s">
        <v>44</v>
      </c>
      <c r="AC3501" s="4">
        <v>10.43382656</v>
      </c>
      <c r="AD3501" s="4">
        <v>9.9657844200000003</v>
      </c>
      <c r="AE3501" s="2">
        <v>10.43</v>
      </c>
      <c r="AF3501" s="4">
        <v>9.9657844200000003</v>
      </c>
      <c r="AG3501" s="2">
        <v>7.11</v>
      </c>
      <c r="AH3501" s="2">
        <v>23788438.82</v>
      </c>
      <c r="AI3501" s="2">
        <v>0.05</v>
      </c>
      <c r="AJ3501" s="5">
        <v>44673</v>
      </c>
      <c r="AK3501" t="s">
        <v>12663</v>
      </c>
      <c r="AL3501" s="2">
        <v>10.18</v>
      </c>
      <c r="AM3501" s="2">
        <v>8.9</v>
      </c>
      <c r="AN3501" s="2">
        <v>4.08</v>
      </c>
      <c r="AO3501" t="s">
        <v>10982</v>
      </c>
      <c r="AP3501" t="s">
        <v>11253</v>
      </c>
      <c r="AQ3501" t="s">
        <v>11252</v>
      </c>
    </row>
    <row r="3502" spans="1:43" x14ac:dyDescent="0.2">
      <c r="A3502" t="s">
        <v>12662</v>
      </c>
      <c r="B3502" t="s">
        <v>10900</v>
      </c>
      <c r="C3502" t="s">
        <v>10950</v>
      </c>
      <c r="D3502" t="s">
        <v>11141</v>
      </c>
      <c r="E3502" t="s">
        <v>11142</v>
      </c>
      <c r="F3502" t="s">
        <v>11141</v>
      </c>
      <c r="G3502" s="1">
        <v>357631000</v>
      </c>
      <c r="H3502" s="2">
        <v>296048685.56999999</v>
      </c>
      <c r="I3502" s="2">
        <v>293967818.22000003</v>
      </c>
      <c r="J3502" s="2">
        <v>4796998.08</v>
      </c>
      <c r="K3502" s="2">
        <v>0</v>
      </c>
      <c r="L3502" s="2">
        <v>298764816.30000001</v>
      </c>
      <c r="M3502" s="3">
        <v>10.805</v>
      </c>
      <c r="N3502" s="4">
        <v>0.67972211999999999</v>
      </c>
      <c r="O3502" s="5">
        <v>44804</v>
      </c>
      <c r="P3502" s="5">
        <v>54116</v>
      </c>
      <c r="Q3502" s="1">
        <v>8.75</v>
      </c>
      <c r="R3502" s="2">
        <v>9.2200000000000006</v>
      </c>
      <c r="S3502" s="6">
        <v>8.7507641760000006</v>
      </c>
      <c r="T3502" t="s">
        <v>111</v>
      </c>
      <c r="U3502" t="s">
        <v>111</v>
      </c>
      <c r="V3502" t="s">
        <v>10944</v>
      </c>
      <c r="W3502" t="s">
        <v>43</v>
      </c>
      <c r="X3502" t="s">
        <v>10945</v>
      </c>
      <c r="Y3502" t="s">
        <v>44</v>
      </c>
      <c r="Z3502" t="s">
        <v>44</v>
      </c>
      <c r="AA3502" t="s">
        <v>10913</v>
      </c>
      <c r="AB3502" t="s">
        <v>44</v>
      </c>
      <c r="AC3502" s="4">
        <v>11.096870060000001</v>
      </c>
      <c r="AD3502" s="4">
        <v>10.56950999</v>
      </c>
      <c r="AE3502" s="2">
        <v>11.1</v>
      </c>
      <c r="AF3502" s="4">
        <v>10.56950999</v>
      </c>
      <c r="AG3502" s="2">
        <v>89.34</v>
      </c>
      <c r="AH3502" s="2">
        <v>298764816.30000001</v>
      </c>
      <c r="AI3502" s="2">
        <v>0.68</v>
      </c>
      <c r="AJ3502" s="5">
        <v>44673</v>
      </c>
      <c r="AK3502" t="s">
        <v>12663</v>
      </c>
      <c r="AL3502" s="2">
        <v>10.8</v>
      </c>
      <c r="AM3502" s="2">
        <v>8.75</v>
      </c>
      <c r="AN3502" s="2">
        <v>8.75</v>
      </c>
      <c r="AO3502" t="s">
        <v>10922</v>
      </c>
      <c r="AP3502" t="s">
        <v>11143</v>
      </c>
      <c r="AQ3502" t="s">
        <v>11142</v>
      </c>
    </row>
    <row r="3503" spans="1:43" x14ac:dyDescent="0.2">
      <c r="A3503" t="s">
        <v>12662</v>
      </c>
      <c r="B3503" t="s">
        <v>45</v>
      </c>
      <c r="C3503" t="s">
        <v>11144</v>
      </c>
      <c r="D3503" t="s">
        <v>11145</v>
      </c>
      <c r="E3503" t="s">
        <v>11146</v>
      </c>
      <c r="F3503" t="s">
        <v>11147</v>
      </c>
      <c r="G3503" s="1">
        <v>0.09</v>
      </c>
      <c r="H3503" s="2">
        <v>0.09</v>
      </c>
      <c r="I3503" s="2">
        <v>0.09</v>
      </c>
      <c r="J3503" s="2">
        <v>0</v>
      </c>
      <c r="K3503" s="2">
        <v>0</v>
      </c>
      <c r="L3503" s="2">
        <v>0.09</v>
      </c>
      <c r="M3503" s="3">
        <v>6.88</v>
      </c>
      <c r="N3503" s="4">
        <v>0</v>
      </c>
      <c r="O3503" s="5" t="s">
        <v>44</v>
      </c>
      <c r="P3503" s="5">
        <v>55153</v>
      </c>
      <c r="Q3503" s="1">
        <v>6.88</v>
      </c>
      <c r="R3503" s="2">
        <v>0.08</v>
      </c>
      <c r="S3503" s="6">
        <v>2.6006750000000002E-3</v>
      </c>
      <c r="T3503" t="s">
        <v>112</v>
      </c>
      <c r="U3503" t="s">
        <v>46</v>
      </c>
      <c r="V3503" t="s">
        <v>11148</v>
      </c>
      <c r="W3503" t="s">
        <v>43</v>
      </c>
      <c r="X3503" t="s">
        <v>44</v>
      </c>
      <c r="Y3503" t="s">
        <v>44</v>
      </c>
      <c r="Z3503" t="s">
        <v>44</v>
      </c>
      <c r="AA3503" t="s">
        <v>44</v>
      </c>
      <c r="AB3503" t="s">
        <v>44</v>
      </c>
      <c r="AC3503" s="4"/>
      <c r="AD3503" s="4"/>
      <c r="AE3503" s="2">
        <v>0</v>
      </c>
      <c r="AF3503" s="4">
        <v>0</v>
      </c>
      <c r="AG3503" s="2">
        <v>0</v>
      </c>
      <c r="AH3503" s="2">
        <v>0.09</v>
      </c>
      <c r="AI3503" s="2">
        <v>0</v>
      </c>
      <c r="AJ3503" s="5">
        <v>44673</v>
      </c>
      <c r="AK3503" t="s">
        <v>12663</v>
      </c>
      <c r="AL3503" s="2">
        <v>0</v>
      </c>
      <c r="AM3503" s="2">
        <v>6.88</v>
      </c>
      <c r="AN3503" s="2">
        <v>0</v>
      </c>
      <c r="AO3503" t="s">
        <v>11146</v>
      </c>
      <c r="AP3503" t="s">
        <v>44</v>
      </c>
      <c r="AQ3503" t="s">
        <v>11146</v>
      </c>
    </row>
    <row r="3504" spans="1:43" x14ac:dyDescent="0.2">
      <c r="A3504" t="s">
        <v>12662</v>
      </c>
      <c r="B3504" t="s">
        <v>45</v>
      </c>
      <c r="C3504" t="s">
        <v>47</v>
      </c>
      <c r="D3504" t="s">
        <v>48</v>
      </c>
      <c r="E3504" t="s">
        <v>49</v>
      </c>
      <c r="F3504" t="s">
        <v>50</v>
      </c>
      <c r="G3504" s="1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2174.1799999999998</v>
      </c>
      <c r="M3504" s="3"/>
      <c r="N3504" s="4">
        <v>4.95E-6</v>
      </c>
      <c r="O3504" s="5" t="s">
        <v>44</v>
      </c>
      <c r="P3504" s="5" t="s">
        <v>44</v>
      </c>
      <c r="Q3504" s="1"/>
      <c r="R3504" s="2">
        <v>0.08</v>
      </c>
      <c r="S3504" s="6"/>
      <c r="T3504" t="s">
        <v>45</v>
      </c>
      <c r="U3504" t="s">
        <v>46</v>
      </c>
      <c r="V3504" t="s">
        <v>44</v>
      </c>
      <c r="W3504" t="s">
        <v>43</v>
      </c>
      <c r="X3504" t="s">
        <v>44</v>
      </c>
      <c r="Y3504" t="s">
        <v>44</v>
      </c>
      <c r="Z3504" t="s">
        <v>44</v>
      </c>
      <c r="AA3504" t="s">
        <v>44</v>
      </c>
      <c r="AB3504" t="s">
        <v>44</v>
      </c>
      <c r="AC3504" s="4">
        <v>5.1163389600000002</v>
      </c>
      <c r="AD3504" s="4">
        <v>5.0001424999999999</v>
      </c>
      <c r="AE3504" s="2">
        <v>5.12</v>
      </c>
      <c r="AF3504" s="4">
        <v>5.0001424999999999</v>
      </c>
      <c r="AG3504" s="2">
        <v>0</v>
      </c>
      <c r="AH3504" s="2">
        <v>2174.1799999999998</v>
      </c>
      <c r="AI3504" s="2">
        <v>0</v>
      </c>
      <c r="AJ3504" s="5">
        <v>44673</v>
      </c>
      <c r="AK3504" t="s">
        <v>12663</v>
      </c>
      <c r="AL3504" s="2">
        <v>5.05</v>
      </c>
      <c r="AM3504" s="2">
        <v>0</v>
      </c>
      <c r="AN3504" s="2">
        <v>0</v>
      </c>
      <c r="AO3504" t="s">
        <v>44</v>
      </c>
      <c r="AP3504" t="s">
        <v>44</v>
      </c>
      <c r="AQ3504" t="s">
        <v>44</v>
      </c>
    </row>
    <row r="3505" spans="1:43" x14ac:dyDescent="0.2">
      <c r="A3505" t="s">
        <v>12662</v>
      </c>
      <c r="B3505" t="s">
        <v>45</v>
      </c>
      <c r="C3505" t="s">
        <v>47</v>
      </c>
      <c r="D3505" t="s">
        <v>51</v>
      </c>
      <c r="E3505" t="s">
        <v>52</v>
      </c>
      <c r="F3505" t="s">
        <v>51</v>
      </c>
      <c r="G3505" s="1">
        <v>15401201.640000001</v>
      </c>
      <c r="H3505" s="2">
        <v>15401201.640000001</v>
      </c>
      <c r="I3505" s="2">
        <v>15401201.640000001</v>
      </c>
      <c r="J3505" s="2">
        <v>0</v>
      </c>
      <c r="K3505" s="2">
        <v>0</v>
      </c>
      <c r="L3505" s="2">
        <v>15401201.640000001</v>
      </c>
      <c r="M3505" s="3"/>
      <c r="N3505" s="4">
        <v>3.5039389999999997E-2</v>
      </c>
      <c r="O3505" s="5" t="s">
        <v>44</v>
      </c>
      <c r="P3505" s="5" t="s">
        <v>44</v>
      </c>
      <c r="Q3505" s="1"/>
      <c r="R3505" s="2">
        <v>0.08</v>
      </c>
      <c r="S3505" s="6"/>
      <c r="T3505" t="s">
        <v>45</v>
      </c>
      <c r="U3505" t="s">
        <v>53</v>
      </c>
      <c r="V3505" t="s">
        <v>44</v>
      </c>
      <c r="W3505" t="s">
        <v>43</v>
      </c>
      <c r="X3505" t="s">
        <v>44</v>
      </c>
      <c r="Y3505" t="s">
        <v>44</v>
      </c>
      <c r="Z3505" t="s">
        <v>44</v>
      </c>
      <c r="AA3505" t="s">
        <v>44</v>
      </c>
      <c r="AB3505" t="s">
        <v>44</v>
      </c>
      <c r="AC3505" s="4">
        <v>5.1163389600000002</v>
      </c>
      <c r="AD3505" s="4">
        <v>5.0001424999999999</v>
      </c>
      <c r="AE3505" s="2">
        <v>5.12</v>
      </c>
      <c r="AF3505" s="4">
        <v>5.0001424999999999</v>
      </c>
      <c r="AG3505" s="2">
        <v>4.6100000000000003</v>
      </c>
      <c r="AH3505" s="2">
        <v>15401201.640000001</v>
      </c>
      <c r="AI3505" s="2">
        <v>0.04</v>
      </c>
      <c r="AJ3505" s="5">
        <v>44673</v>
      </c>
      <c r="AK3505" t="s">
        <v>12663</v>
      </c>
      <c r="AL3505" s="2">
        <v>5.05</v>
      </c>
      <c r="AM3505" s="2">
        <v>0</v>
      </c>
      <c r="AN3505" s="2">
        <v>0</v>
      </c>
      <c r="AO3505" t="s">
        <v>44</v>
      </c>
      <c r="AP3505" t="s">
        <v>44</v>
      </c>
      <c r="AQ3505" t="s">
        <v>43</v>
      </c>
    </row>
    <row r="3506" spans="1:43" x14ac:dyDescent="0.2">
      <c r="A3506" t="s">
        <v>12662</v>
      </c>
      <c r="B3506" t="s">
        <v>45</v>
      </c>
      <c r="C3506" t="s">
        <v>11005</v>
      </c>
      <c r="D3506" t="s">
        <v>11149</v>
      </c>
      <c r="E3506" t="s">
        <v>11150</v>
      </c>
      <c r="F3506" t="s">
        <v>44</v>
      </c>
      <c r="G3506" s="1">
        <v>35629.65</v>
      </c>
      <c r="H3506" s="2">
        <v>35629.65</v>
      </c>
      <c r="I3506" s="2">
        <v>35629.65</v>
      </c>
      <c r="J3506" s="2">
        <v>0</v>
      </c>
      <c r="K3506" s="2"/>
      <c r="L3506" s="2">
        <v>35629.65</v>
      </c>
      <c r="M3506" s="3"/>
      <c r="N3506" s="4">
        <v>8.106E-5</v>
      </c>
      <c r="O3506" s="5" t="s">
        <v>44</v>
      </c>
      <c r="P3506" s="5">
        <v>73051</v>
      </c>
      <c r="Q3506" s="1">
        <v>0</v>
      </c>
      <c r="R3506" s="2">
        <v>0.08</v>
      </c>
      <c r="S3506" s="6"/>
      <c r="T3506" t="s">
        <v>45</v>
      </c>
      <c r="U3506" t="s">
        <v>44</v>
      </c>
      <c r="V3506" t="s">
        <v>44</v>
      </c>
      <c r="W3506" t="s">
        <v>43</v>
      </c>
      <c r="X3506" t="s">
        <v>44</v>
      </c>
      <c r="Y3506" t="s">
        <v>44</v>
      </c>
      <c r="Z3506" t="s">
        <v>44</v>
      </c>
      <c r="AA3506" t="s">
        <v>44</v>
      </c>
      <c r="AB3506" t="s">
        <v>44</v>
      </c>
      <c r="AC3506" s="4">
        <v>5.1163389600000002</v>
      </c>
      <c r="AD3506" s="4">
        <v>5.0001424999999999</v>
      </c>
      <c r="AE3506" s="2">
        <v>5.12</v>
      </c>
      <c r="AF3506" s="4">
        <v>5.0001424999999999</v>
      </c>
      <c r="AG3506" s="2">
        <v>0.01</v>
      </c>
      <c r="AH3506" s="2">
        <v>35629.65</v>
      </c>
      <c r="AI3506" s="2">
        <v>0</v>
      </c>
      <c r="AJ3506" s="5">
        <v>44673</v>
      </c>
      <c r="AK3506" t="s">
        <v>12663</v>
      </c>
      <c r="AL3506" s="2">
        <v>5.05</v>
      </c>
      <c r="AM3506" s="2">
        <v>0</v>
      </c>
      <c r="AN3506" s="2">
        <v>0</v>
      </c>
      <c r="AO3506" t="s">
        <v>44</v>
      </c>
      <c r="AP3506" t="s">
        <v>44</v>
      </c>
      <c r="AQ3506" t="s">
        <v>44</v>
      </c>
    </row>
    <row r="3507" spans="1:43" x14ac:dyDescent="0.2">
      <c r="A3507" t="s">
        <v>12664</v>
      </c>
      <c r="B3507" t="s">
        <v>10900</v>
      </c>
      <c r="C3507" t="s">
        <v>11049</v>
      </c>
      <c r="D3507" t="s">
        <v>11435</v>
      </c>
      <c r="E3507" t="s">
        <v>11436</v>
      </c>
      <c r="F3507" t="s">
        <v>11435</v>
      </c>
      <c r="G3507" s="1">
        <v>3800000</v>
      </c>
      <c r="H3507" s="2">
        <v>3800000</v>
      </c>
      <c r="I3507" s="2">
        <v>3788557.13</v>
      </c>
      <c r="J3507" s="2">
        <v>26571.37</v>
      </c>
      <c r="K3507" s="2">
        <v>0</v>
      </c>
      <c r="L3507" s="2">
        <v>3815128.5</v>
      </c>
      <c r="M3507" s="3">
        <v>6.6753489999999998</v>
      </c>
      <c r="N3507" s="4">
        <v>8.6798299999999995E-3</v>
      </c>
      <c r="O3507" s="5">
        <v>44727</v>
      </c>
      <c r="P3507" s="5">
        <v>44970</v>
      </c>
      <c r="Q3507" s="1">
        <v>6.2249999999999996</v>
      </c>
      <c r="R3507" s="2">
        <v>0.14000000000000001</v>
      </c>
      <c r="S3507" s="6">
        <v>0.118472349487</v>
      </c>
      <c r="T3507" t="s">
        <v>111</v>
      </c>
      <c r="U3507" t="s">
        <v>111</v>
      </c>
      <c r="V3507" t="s">
        <v>114</v>
      </c>
      <c r="W3507" t="s">
        <v>43</v>
      </c>
      <c r="X3507" t="s">
        <v>10988</v>
      </c>
      <c r="Y3507" t="s">
        <v>44</v>
      </c>
      <c r="Z3507" t="s">
        <v>44</v>
      </c>
      <c r="AA3507" t="s">
        <v>11035</v>
      </c>
      <c r="AB3507" t="s">
        <v>44</v>
      </c>
      <c r="AC3507" s="4">
        <v>6.78675008</v>
      </c>
      <c r="AD3507" s="4">
        <v>6.5843653</v>
      </c>
      <c r="AE3507" s="2">
        <v>6.79</v>
      </c>
      <c r="AF3507" s="4">
        <v>6.5843653</v>
      </c>
      <c r="AG3507" s="2">
        <v>1.59</v>
      </c>
      <c r="AH3507" s="2">
        <v>3815128.5</v>
      </c>
      <c r="AI3507" s="2">
        <v>0.01</v>
      </c>
      <c r="AJ3507" s="5">
        <v>44673</v>
      </c>
      <c r="AK3507" t="s">
        <v>12665</v>
      </c>
      <c r="AL3507" s="2">
        <v>6.68</v>
      </c>
      <c r="AM3507" s="2">
        <v>6.22</v>
      </c>
      <c r="AN3507" s="2">
        <v>0.12</v>
      </c>
      <c r="AO3507" t="s">
        <v>11437</v>
      </c>
      <c r="AP3507" t="s">
        <v>11438</v>
      </c>
      <c r="AQ3507" t="s">
        <v>11436</v>
      </c>
    </row>
    <row r="3508" spans="1:43" x14ac:dyDescent="0.2">
      <c r="A3508" t="s">
        <v>12664</v>
      </c>
      <c r="B3508" t="s">
        <v>10900</v>
      </c>
      <c r="C3508" t="s">
        <v>11049</v>
      </c>
      <c r="D3508" t="s">
        <v>11457</v>
      </c>
      <c r="E3508" t="s">
        <v>11458</v>
      </c>
      <c r="F3508" t="s">
        <v>11457</v>
      </c>
      <c r="G3508" s="1">
        <v>1500000</v>
      </c>
      <c r="H3508" s="2">
        <v>1500000</v>
      </c>
      <c r="I3508" s="2">
        <v>1500005.57</v>
      </c>
      <c r="J3508" s="2">
        <v>18496.11</v>
      </c>
      <c r="K3508" s="2">
        <v>0</v>
      </c>
      <c r="L3508" s="2">
        <v>1518501.68</v>
      </c>
      <c r="M3508" s="3">
        <v>5.4289139999999998</v>
      </c>
      <c r="N3508" s="4">
        <v>3.4547499999999999E-3</v>
      </c>
      <c r="O3508" s="5">
        <v>44684</v>
      </c>
      <c r="P3508" s="5">
        <v>44957</v>
      </c>
      <c r="Q3508" s="1">
        <v>5.3579999999999997</v>
      </c>
      <c r="R3508" s="2">
        <v>0.02</v>
      </c>
      <c r="S3508" s="6">
        <v>1.4426938812E-2</v>
      </c>
      <c r="T3508" t="s">
        <v>111</v>
      </c>
      <c r="U3508" t="s">
        <v>111</v>
      </c>
      <c r="V3508" t="s">
        <v>11189</v>
      </c>
      <c r="W3508" t="s">
        <v>43</v>
      </c>
      <c r="X3508" t="s">
        <v>11034</v>
      </c>
      <c r="Y3508" t="s">
        <v>44</v>
      </c>
      <c r="Z3508" t="s">
        <v>44</v>
      </c>
      <c r="AA3508" t="s">
        <v>10979</v>
      </c>
      <c r="AB3508" t="s">
        <v>44</v>
      </c>
      <c r="AC3508" s="4">
        <v>5.5025962599999998</v>
      </c>
      <c r="AD3508" s="4">
        <v>5.3685105899999996</v>
      </c>
      <c r="AE3508" s="2">
        <v>5.5</v>
      </c>
      <c r="AF3508" s="4">
        <v>5.3685105899999996</v>
      </c>
      <c r="AG3508" s="2">
        <v>0.63</v>
      </c>
      <c r="AH3508" s="2">
        <v>1518501.68</v>
      </c>
      <c r="AI3508" s="2">
        <v>0</v>
      </c>
      <c r="AJ3508" s="5">
        <v>44673</v>
      </c>
      <c r="AK3508" t="s">
        <v>12665</v>
      </c>
      <c r="AL3508" s="2">
        <v>5.43</v>
      </c>
      <c r="AM3508" s="2">
        <v>5.36</v>
      </c>
      <c r="AN3508" s="2">
        <v>0.01</v>
      </c>
      <c r="AO3508" t="s">
        <v>11048</v>
      </c>
      <c r="AP3508" t="s">
        <v>11459</v>
      </c>
      <c r="AQ3508" t="s">
        <v>11458</v>
      </c>
    </row>
    <row r="3509" spans="1:43" x14ac:dyDescent="0.2">
      <c r="A3509" t="s">
        <v>12664</v>
      </c>
      <c r="B3509" t="s">
        <v>10900</v>
      </c>
      <c r="C3509" t="s">
        <v>11049</v>
      </c>
      <c r="D3509" t="s">
        <v>11785</v>
      </c>
      <c r="E3509" t="s">
        <v>11786</v>
      </c>
      <c r="F3509" t="s">
        <v>11785</v>
      </c>
      <c r="G3509" s="1">
        <v>6400000</v>
      </c>
      <c r="H3509" s="2">
        <v>6437334.8300000001</v>
      </c>
      <c r="I3509" s="2">
        <v>6465366.9800000004</v>
      </c>
      <c r="J3509" s="2">
        <v>44366.55</v>
      </c>
      <c r="K3509" s="2">
        <v>0</v>
      </c>
      <c r="L3509" s="2">
        <v>6509733.5300000003</v>
      </c>
      <c r="M3509" s="3">
        <v>4.8216830000000002</v>
      </c>
      <c r="N3509" s="4">
        <v>1.481034E-2</v>
      </c>
      <c r="O3509" s="5">
        <v>44732</v>
      </c>
      <c r="P3509" s="5">
        <v>44824</v>
      </c>
      <c r="Q3509" s="1">
        <v>7.4420000000000002</v>
      </c>
      <c r="R3509" s="2">
        <v>0.15</v>
      </c>
      <c r="S3509" s="6">
        <v>0.146783072519</v>
      </c>
      <c r="T3509" t="s">
        <v>111</v>
      </c>
      <c r="U3509" t="s">
        <v>111</v>
      </c>
      <c r="V3509" t="s">
        <v>11189</v>
      </c>
      <c r="W3509" t="s">
        <v>43</v>
      </c>
      <c r="X3509" t="s">
        <v>11034</v>
      </c>
      <c r="Y3509" t="s">
        <v>44</v>
      </c>
      <c r="Z3509" t="s">
        <v>44</v>
      </c>
      <c r="AA3509" t="s">
        <v>10979</v>
      </c>
      <c r="AB3509" t="s">
        <v>11441</v>
      </c>
      <c r="AC3509" s="4">
        <v>4.87980444</v>
      </c>
      <c r="AD3509" s="4">
        <v>4.7739498600000001</v>
      </c>
      <c r="AE3509" s="2">
        <v>4.88</v>
      </c>
      <c r="AF3509" s="4">
        <v>4.7739498600000001</v>
      </c>
      <c r="AG3509" s="2">
        <v>2.72</v>
      </c>
      <c r="AH3509" s="2">
        <v>6509733.5300000003</v>
      </c>
      <c r="AI3509" s="2">
        <v>0.01</v>
      </c>
      <c r="AJ3509" s="5">
        <v>44673</v>
      </c>
      <c r="AK3509" t="s">
        <v>12665</v>
      </c>
      <c r="AL3509" s="2">
        <v>4.82</v>
      </c>
      <c r="AM3509" s="2">
        <v>7.44</v>
      </c>
      <c r="AN3509" s="2">
        <v>0.15</v>
      </c>
      <c r="AO3509" t="s">
        <v>11054</v>
      </c>
      <c r="AP3509" t="s">
        <v>11787</v>
      </c>
      <c r="AQ3509" t="s">
        <v>11786</v>
      </c>
    </row>
    <row r="3510" spans="1:43" x14ac:dyDescent="0.2">
      <c r="A3510" t="s">
        <v>12664</v>
      </c>
      <c r="B3510" t="s">
        <v>10900</v>
      </c>
      <c r="C3510" t="s">
        <v>11049</v>
      </c>
      <c r="D3510" t="s">
        <v>11788</v>
      </c>
      <c r="E3510" t="s">
        <v>11789</v>
      </c>
      <c r="F3510" t="s">
        <v>11788</v>
      </c>
      <c r="G3510" s="1">
        <v>2300000</v>
      </c>
      <c r="H3510" s="2">
        <v>2353741.2400000002</v>
      </c>
      <c r="I3510" s="2">
        <v>2330774</v>
      </c>
      <c r="J3510" s="2">
        <v>27347.95</v>
      </c>
      <c r="K3510" s="2">
        <v>0</v>
      </c>
      <c r="L3510" s="2">
        <v>2358121.9500000002</v>
      </c>
      <c r="M3510" s="3">
        <v>6.08</v>
      </c>
      <c r="N3510" s="4">
        <v>5.3649800000000001E-3</v>
      </c>
      <c r="O3510" s="5">
        <v>44804</v>
      </c>
      <c r="P3510" s="5">
        <v>44985</v>
      </c>
      <c r="Q3510" s="1">
        <v>7.75</v>
      </c>
      <c r="R3510" s="2">
        <v>0.83</v>
      </c>
      <c r="S3510" s="6">
        <v>0.80485078300000001</v>
      </c>
      <c r="T3510" t="s">
        <v>111</v>
      </c>
      <c r="U3510" t="s">
        <v>111</v>
      </c>
      <c r="V3510" t="s">
        <v>10944</v>
      </c>
      <c r="W3510" t="s">
        <v>43</v>
      </c>
      <c r="X3510" t="s">
        <v>10988</v>
      </c>
      <c r="Y3510" t="s">
        <v>44</v>
      </c>
      <c r="Z3510" t="s">
        <v>44</v>
      </c>
      <c r="AA3510" t="s">
        <v>10979</v>
      </c>
      <c r="AB3510" t="s">
        <v>44</v>
      </c>
      <c r="AC3510" s="4">
        <v>6.1724160000000001</v>
      </c>
      <c r="AD3510" s="4">
        <v>6.0043873000000003</v>
      </c>
      <c r="AE3510" s="2">
        <v>6.17</v>
      </c>
      <c r="AF3510" s="4">
        <v>6.0043873000000003</v>
      </c>
      <c r="AG3510" s="2">
        <v>0.98</v>
      </c>
      <c r="AH3510" s="2">
        <v>2358121.9500000002</v>
      </c>
      <c r="AI3510" s="2">
        <v>0.01</v>
      </c>
      <c r="AJ3510" s="5">
        <v>44673</v>
      </c>
      <c r="AK3510" t="s">
        <v>12665</v>
      </c>
      <c r="AL3510" s="2">
        <v>6.08</v>
      </c>
      <c r="AM3510" s="2">
        <v>7.75</v>
      </c>
      <c r="AN3510" s="2">
        <v>0.8</v>
      </c>
      <c r="AO3510" t="s">
        <v>11054</v>
      </c>
      <c r="AP3510" t="s">
        <v>11790</v>
      </c>
      <c r="AQ3510" t="s">
        <v>11789</v>
      </c>
    </row>
    <row r="3511" spans="1:43" x14ac:dyDescent="0.2">
      <c r="A3511" t="s">
        <v>12664</v>
      </c>
      <c r="B3511" t="s">
        <v>10900</v>
      </c>
      <c r="C3511" t="s">
        <v>11049</v>
      </c>
      <c r="D3511" t="s">
        <v>11956</v>
      </c>
      <c r="E3511" t="s">
        <v>11957</v>
      </c>
      <c r="F3511" t="s">
        <v>11956</v>
      </c>
      <c r="G3511" s="1">
        <v>5000000</v>
      </c>
      <c r="H3511" s="2">
        <v>5002957.46</v>
      </c>
      <c r="I3511" s="2">
        <v>5011549.66</v>
      </c>
      <c r="J3511" s="2">
        <v>54982.6</v>
      </c>
      <c r="K3511" s="2">
        <v>0</v>
      </c>
      <c r="L3511" s="2">
        <v>5066532.26</v>
      </c>
      <c r="M3511" s="3">
        <v>5.1338650000000001</v>
      </c>
      <c r="N3511" s="4">
        <v>1.152691E-2</v>
      </c>
      <c r="O3511" s="5">
        <v>44697</v>
      </c>
      <c r="P3511" s="5">
        <v>44788</v>
      </c>
      <c r="Q3511" s="1">
        <v>5.8170000000000002</v>
      </c>
      <c r="R3511" s="2">
        <v>0.06</v>
      </c>
      <c r="S3511" s="6">
        <v>5.3630172561E-2</v>
      </c>
      <c r="T3511" t="s">
        <v>111</v>
      </c>
      <c r="U3511" t="s">
        <v>111</v>
      </c>
      <c r="V3511" t="s">
        <v>11189</v>
      </c>
      <c r="W3511" t="s">
        <v>43</v>
      </c>
      <c r="X3511" t="s">
        <v>11034</v>
      </c>
      <c r="Y3511" t="s">
        <v>44</v>
      </c>
      <c r="Z3511" t="s">
        <v>44</v>
      </c>
      <c r="AA3511" t="s">
        <v>11225</v>
      </c>
      <c r="AB3511" t="s">
        <v>44</v>
      </c>
      <c r="AC3511" s="4">
        <v>5.1997564000000001</v>
      </c>
      <c r="AD3511" s="4">
        <v>5.0798014499999997</v>
      </c>
      <c r="AE3511" s="2">
        <v>5.2</v>
      </c>
      <c r="AF3511" s="4">
        <v>5.0798014499999997</v>
      </c>
      <c r="AG3511" s="2">
        <v>2.11</v>
      </c>
      <c r="AH3511" s="2">
        <v>5066532.26</v>
      </c>
      <c r="AI3511" s="2">
        <v>0.01</v>
      </c>
      <c r="AJ3511" s="5">
        <v>44673</v>
      </c>
      <c r="AK3511" t="s">
        <v>12665</v>
      </c>
      <c r="AL3511" s="2">
        <v>5.13</v>
      </c>
      <c r="AM3511" s="2">
        <v>5.82</v>
      </c>
      <c r="AN3511" s="2">
        <v>0.05</v>
      </c>
      <c r="AO3511" t="s">
        <v>11817</v>
      </c>
      <c r="AP3511" t="s">
        <v>11958</v>
      </c>
      <c r="AQ3511" t="s">
        <v>11957</v>
      </c>
    </row>
    <row r="3512" spans="1:43" x14ac:dyDescent="0.2">
      <c r="A3512" t="s">
        <v>12664</v>
      </c>
      <c r="B3512" t="s">
        <v>10900</v>
      </c>
      <c r="C3512" t="s">
        <v>11049</v>
      </c>
      <c r="D3512" t="s">
        <v>12371</v>
      </c>
      <c r="E3512" t="s">
        <v>12372</v>
      </c>
      <c r="F3512" t="s">
        <v>12371</v>
      </c>
      <c r="G3512" s="1">
        <v>3000000</v>
      </c>
      <c r="H3512" s="2">
        <v>3000000</v>
      </c>
      <c r="I3512" s="2">
        <v>3004156.45</v>
      </c>
      <c r="J3512" s="2">
        <v>17465.419999999998</v>
      </c>
      <c r="K3512" s="2">
        <v>0</v>
      </c>
      <c r="L3512" s="2">
        <v>3021621.87</v>
      </c>
      <c r="M3512" s="3">
        <v>5.3216830000000002</v>
      </c>
      <c r="N3512" s="4">
        <v>6.8745200000000003E-3</v>
      </c>
      <c r="O3512" s="5">
        <v>44732</v>
      </c>
      <c r="P3512" s="5">
        <v>44913</v>
      </c>
      <c r="Q3512" s="1">
        <v>5.5919999999999996</v>
      </c>
      <c r="R3512" s="2">
        <v>0.15</v>
      </c>
      <c r="S3512" s="6">
        <v>0.14229649479199999</v>
      </c>
      <c r="T3512" t="s">
        <v>111</v>
      </c>
      <c r="U3512" t="s">
        <v>111</v>
      </c>
      <c r="V3512" t="s">
        <v>11189</v>
      </c>
      <c r="W3512" t="s">
        <v>43</v>
      </c>
      <c r="X3512" t="s">
        <v>11034</v>
      </c>
      <c r="Y3512" t="s">
        <v>44</v>
      </c>
      <c r="Z3512" t="s">
        <v>44</v>
      </c>
      <c r="AA3512" t="s">
        <v>10979</v>
      </c>
      <c r="AB3512" t="s">
        <v>44</v>
      </c>
      <c r="AC3512" s="4">
        <v>5.39248365</v>
      </c>
      <c r="AD3512" s="4">
        <v>5.2636239099999997</v>
      </c>
      <c r="AE3512" s="2">
        <v>5.39</v>
      </c>
      <c r="AF3512" s="4">
        <v>5.2636239099999997</v>
      </c>
      <c r="AG3512" s="2">
        <v>1.26</v>
      </c>
      <c r="AH3512" s="2">
        <v>3021621.87</v>
      </c>
      <c r="AI3512" s="2">
        <v>0.01</v>
      </c>
      <c r="AJ3512" s="5">
        <v>44673</v>
      </c>
      <c r="AK3512" t="s">
        <v>12665</v>
      </c>
      <c r="AL3512" s="2">
        <v>5.32</v>
      </c>
      <c r="AM3512" s="2">
        <v>5.59</v>
      </c>
      <c r="AN3512" s="2">
        <v>0.14000000000000001</v>
      </c>
      <c r="AO3512" t="s">
        <v>11824</v>
      </c>
      <c r="AP3512" t="s">
        <v>12373</v>
      </c>
      <c r="AQ3512" t="s">
        <v>12372</v>
      </c>
    </row>
    <row r="3513" spans="1:43" x14ac:dyDescent="0.2">
      <c r="A3513" t="s">
        <v>12664</v>
      </c>
      <c r="B3513" t="s">
        <v>10900</v>
      </c>
      <c r="C3513" t="s">
        <v>11049</v>
      </c>
      <c r="D3513" t="s">
        <v>12269</v>
      </c>
      <c r="E3513" t="s">
        <v>12270</v>
      </c>
      <c r="F3513" t="s">
        <v>12269</v>
      </c>
      <c r="G3513" s="1">
        <v>8600000</v>
      </c>
      <c r="H3513" s="2">
        <v>8600000</v>
      </c>
      <c r="I3513" s="2">
        <v>8624992.4600000009</v>
      </c>
      <c r="J3513" s="2">
        <v>105744.66</v>
      </c>
      <c r="K3513" s="2">
        <v>0</v>
      </c>
      <c r="L3513" s="2">
        <v>8730737.1199999992</v>
      </c>
      <c r="M3513" s="3">
        <v>6.43</v>
      </c>
      <c r="N3513" s="4">
        <v>1.9863370000000002E-2</v>
      </c>
      <c r="O3513" s="5">
        <v>44795</v>
      </c>
      <c r="P3513" s="5">
        <v>44978</v>
      </c>
      <c r="Q3513" s="1">
        <v>6.8</v>
      </c>
      <c r="R3513" s="2">
        <v>0.81</v>
      </c>
      <c r="S3513" s="6">
        <v>0.78433783400000001</v>
      </c>
      <c r="T3513" t="s">
        <v>111</v>
      </c>
      <c r="U3513" t="s">
        <v>111</v>
      </c>
      <c r="V3513" t="s">
        <v>114</v>
      </c>
      <c r="W3513" t="s">
        <v>43</v>
      </c>
      <c r="X3513" t="s">
        <v>44</v>
      </c>
      <c r="Y3513" t="s">
        <v>44</v>
      </c>
      <c r="Z3513" t="s">
        <v>44</v>
      </c>
      <c r="AA3513" t="s">
        <v>10979</v>
      </c>
      <c r="AB3513" t="s">
        <v>44</v>
      </c>
      <c r="AC3513" s="4">
        <v>6.5333622499999997</v>
      </c>
      <c r="AD3513" s="4">
        <v>6.3455195</v>
      </c>
      <c r="AE3513" s="2">
        <v>6.53</v>
      </c>
      <c r="AF3513" s="4">
        <v>6.3455195</v>
      </c>
      <c r="AG3513" s="2">
        <v>3.64</v>
      </c>
      <c r="AH3513" s="2">
        <v>8730737.1199999992</v>
      </c>
      <c r="AI3513" s="2">
        <v>0.02</v>
      </c>
      <c r="AJ3513" s="5">
        <v>44673</v>
      </c>
      <c r="AK3513" t="s">
        <v>12665</v>
      </c>
      <c r="AL3513" s="2">
        <v>6.43</v>
      </c>
      <c r="AM3513" s="2">
        <v>6.8</v>
      </c>
      <c r="AN3513" s="2">
        <v>0.78</v>
      </c>
      <c r="AO3513" t="s">
        <v>10982</v>
      </c>
      <c r="AP3513" t="s">
        <v>12271</v>
      </c>
      <c r="AQ3513" t="s">
        <v>12270</v>
      </c>
    </row>
    <row r="3514" spans="1:43" x14ac:dyDescent="0.2">
      <c r="A3514" t="s">
        <v>12664</v>
      </c>
      <c r="B3514" t="s">
        <v>10900</v>
      </c>
      <c r="C3514" t="s">
        <v>11049</v>
      </c>
      <c r="D3514" t="s">
        <v>11797</v>
      </c>
      <c r="E3514" t="s">
        <v>11798</v>
      </c>
      <c r="F3514" t="s">
        <v>11797</v>
      </c>
      <c r="G3514" s="1">
        <v>4000000</v>
      </c>
      <c r="H3514" s="2">
        <v>4060810.24</v>
      </c>
      <c r="I3514" s="2">
        <v>4066865.96</v>
      </c>
      <c r="J3514" s="2">
        <v>26895.89</v>
      </c>
      <c r="K3514" s="2">
        <v>0</v>
      </c>
      <c r="L3514" s="2">
        <v>4093761.85</v>
      </c>
      <c r="M3514" s="3">
        <v>5.7687520000000001</v>
      </c>
      <c r="N3514" s="4">
        <v>9.3137500000000008E-3</v>
      </c>
      <c r="O3514" s="5">
        <v>44742</v>
      </c>
      <c r="P3514" s="5">
        <v>44834</v>
      </c>
      <c r="Q3514" s="1">
        <v>9.8170000000000002</v>
      </c>
      <c r="R3514" s="2">
        <v>0.18</v>
      </c>
      <c r="S3514" s="6">
        <v>0.17046604942900001</v>
      </c>
      <c r="T3514" t="s">
        <v>111</v>
      </c>
      <c r="U3514" t="s">
        <v>111</v>
      </c>
      <c r="V3514" t="s">
        <v>11189</v>
      </c>
      <c r="W3514" t="s">
        <v>43</v>
      </c>
      <c r="X3514" t="s">
        <v>11034</v>
      </c>
      <c r="Y3514" t="s">
        <v>44</v>
      </c>
      <c r="Z3514" t="s">
        <v>44</v>
      </c>
      <c r="AA3514" t="s">
        <v>11035</v>
      </c>
      <c r="AB3514" t="s">
        <v>2680</v>
      </c>
      <c r="AC3514" s="4">
        <v>5.8519482600000003</v>
      </c>
      <c r="AD3514" s="4">
        <v>5.7006194399999996</v>
      </c>
      <c r="AE3514" s="2">
        <v>5.85</v>
      </c>
      <c r="AF3514" s="4">
        <v>5.7006194399999996</v>
      </c>
      <c r="AG3514" s="2">
        <v>1.71</v>
      </c>
      <c r="AH3514" s="2">
        <v>4093761.85</v>
      </c>
      <c r="AI3514" s="2">
        <v>0.01</v>
      </c>
      <c r="AJ3514" s="5">
        <v>44673</v>
      </c>
      <c r="AK3514" t="s">
        <v>12665</v>
      </c>
      <c r="AL3514" s="2">
        <v>5.77</v>
      </c>
      <c r="AM3514" s="2">
        <v>9.82</v>
      </c>
      <c r="AN3514" s="2">
        <v>0.17</v>
      </c>
      <c r="AO3514" t="s">
        <v>11496</v>
      </c>
      <c r="AP3514" t="s">
        <v>11799</v>
      </c>
      <c r="AQ3514" t="s">
        <v>11798</v>
      </c>
    </row>
    <row r="3515" spans="1:43" x14ac:dyDescent="0.2">
      <c r="A3515" t="s">
        <v>12664</v>
      </c>
      <c r="B3515" t="s">
        <v>10900</v>
      </c>
      <c r="C3515" t="s">
        <v>11049</v>
      </c>
      <c r="D3515" t="s">
        <v>12735</v>
      </c>
      <c r="E3515" t="s">
        <v>12387</v>
      </c>
      <c r="F3515" t="s">
        <v>12735</v>
      </c>
      <c r="G3515" s="1">
        <v>2000000</v>
      </c>
      <c r="H3515" s="2">
        <v>2000000</v>
      </c>
      <c r="I3515" s="2">
        <v>2000055.18</v>
      </c>
      <c r="J3515" s="2">
        <v>11955.95</v>
      </c>
      <c r="K3515" s="2">
        <v>0</v>
      </c>
      <c r="L3515" s="2">
        <v>2012011.13</v>
      </c>
      <c r="M3515" s="3">
        <v>5.6316829999999998</v>
      </c>
      <c r="N3515" s="4">
        <v>4.5775399999999997E-3</v>
      </c>
      <c r="O3515" s="5">
        <v>44732</v>
      </c>
      <c r="P3515" s="5">
        <v>44732</v>
      </c>
      <c r="Q3515" s="1">
        <v>5.742</v>
      </c>
      <c r="R3515" s="2">
        <v>0.15</v>
      </c>
      <c r="S3515" s="6">
        <v>0.145110319568</v>
      </c>
      <c r="T3515" t="s">
        <v>111</v>
      </c>
      <c r="U3515" t="s">
        <v>111</v>
      </c>
      <c r="V3515" t="s">
        <v>11189</v>
      </c>
      <c r="W3515" t="s">
        <v>43</v>
      </c>
      <c r="X3515" t="s">
        <v>11034</v>
      </c>
      <c r="Y3515" t="s">
        <v>44</v>
      </c>
      <c r="Z3515" t="s">
        <v>44</v>
      </c>
      <c r="AA3515" t="s">
        <v>44</v>
      </c>
      <c r="AB3515" t="s">
        <v>44</v>
      </c>
      <c r="AC3515" s="4">
        <v>5.7109725100000004</v>
      </c>
      <c r="AD3515" s="4">
        <v>5.5667229999999996</v>
      </c>
      <c r="AE3515" s="2">
        <v>5.71</v>
      </c>
      <c r="AF3515" s="4">
        <v>5.5667229999999996</v>
      </c>
      <c r="AG3515" s="2">
        <v>0.84</v>
      </c>
      <c r="AH3515" s="2">
        <v>2012011.13</v>
      </c>
      <c r="AI3515" s="2">
        <v>0</v>
      </c>
      <c r="AJ3515" s="5">
        <v>44673</v>
      </c>
      <c r="AK3515" t="s">
        <v>12665</v>
      </c>
      <c r="AL3515" s="2">
        <v>5.63</v>
      </c>
      <c r="AM3515" s="2">
        <v>5.74</v>
      </c>
      <c r="AN3515" s="2">
        <v>0.15</v>
      </c>
      <c r="AO3515" t="s">
        <v>12388</v>
      </c>
      <c r="AP3515" t="s">
        <v>12389</v>
      </c>
      <c r="AQ3515" t="s">
        <v>12387</v>
      </c>
    </row>
    <row r="3516" spans="1:43" x14ac:dyDescent="0.2">
      <c r="A3516" t="s">
        <v>12664</v>
      </c>
      <c r="B3516" t="s">
        <v>10900</v>
      </c>
      <c r="C3516" t="s">
        <v>11033</v>
      </c>
      <c r="D3516" t="s">
        <v>11803</v>
      </c>
      <c r="E3516" t="s">
        <v>11804</v>
      </c>
      <c r="F3516" t="s">
        <v>11803</v>
      </c>
      <c r="G3516" s="1">
        <v>3000000</v>
      </c>
      <c r="H3516" s="2">
        <v>3000000</v>
      </c>
      <c r="I3516" s="2">
        <v>3035681.85</v>
      </c>
      <c r="J3516" s="2">
        <v>30686.47</v>
      </c>
      <c r="K3516" s="2">
        <v>0</v>
      </c>
      <c r="L3516" s="2">
        <v>3066368.32</v>
      </c>
      <c r="M3516" s="3">
        <v>5.9316740000000001</v>
      </c>
      <c r="N3516" s="4">
        <v>6.9763200000000003E-3</v>
      </c>
      <c r="O3516" s="5">
        <v>44711</v>
      </c>
      <c r="P3516" s="5">
        <v>45259</v>
      </c>
      <c r="Q3516" s="1">
        <v>6.6669999999999998</v>
      </c>
      <c r="R3516" s="2">
        <v>0.1</v>
      </c>
      <c r="S3516" s="6">
        <v>8.3360787894999996E-2</v>
      </c>
      <c r="T3516" t="s">
        <v>111</v>
      </c>
      <c r="U3516" t="s">
        <v>111</v>
      </c>
      <c r="V3516" t="s">
        <v>11189</v>
      </c>
      <c r="W3516" t="s">
        <v>43</v>
      </c>
      <c r="X3516" t="s">
        <v>11034</v>
      </c>
      <c r="Y3516" t="s">
        <v>44</v>
      </c>
      <c r="Z3516" t="s">
        <v>44</v>
      </c>
      <c r="AA3516" t="s">
        <v>10979</v>
      </c>
      <c r="AB3516" t="s">
        <v>44</v>
      </c>
      <c r="AC3516" s="4">
        <v>6.0196354200000002</v>
      </c>
      <c r="AD3516" s="4">
        <v>5.8596732400000002</v>
      </c>
      <c r="AE3516" s="2">
        <v>6.02</v>
      </c>
      <c r="AF3516" s="4">
        <v>5.8596732400000002</v>
      </c>
      <c r="AG3516" s="2">
        <v>1.28</v>
      </c>
      <c r="AH3516" s="2">
        <v>3066368.32</v>
      </c>
      <c r="AI3516" s="2">
        <v>0.01</v>
      </c>
      <c r="AJ3516" s="5">
        <v>44673</v>
      </c>
      <c r="AK3516" t="s">
        <v>12665</v>
      </c>
      <c r="AL3516" s="2">
        <v>5.93</v>
      </c>
      <c r="AM3516" s="2">
        <v>6.67</v>
      </c>
      <c r="AN3516" s="2">
        <v>0.08</v>
      </c>
      <c r="AO3516" t="s">
        <v>11165</v>
      </c>
      <c r="AP3516" t="s">
        <v>11805</v>
      </c>
      <c r="AQ3516" t="s">
        <v>11804</v>
      </c>
    </row>
    <row r="3517" spans="1:43" x14ac:dyDescent="0.2">
      <c r="A3517" t="s">
        <v>12664</v>
      </c>
      <c r="B3517" t="s">
        <v>10900</v>
      </c>
      <c r="C3517" t="s">
        <v>11033</v>
      </c>
      <c r="D3517" t="s">
        <v>11501</v>
      </c>
      <c r="E3517" t="s">
        <v>11502</v>
      </c>
      <c r="F3517" t="s">
        <v>11501</v>
      </c>
      <c r="G3517" s="1">
        <v>1700000</v>
      </c>
      <c r="H3517" s="2">
        <v>1700000</v>
      </c>
      <c r="I3517" s="2">
        <v>1703402.6</v>
      </c>
      <c r="J3517" s="2">
        <v>6620.31</v>
      </c>
      <c r="K3517" s="2">
        <v>0</v>
      </c>
      <c r="L3517" s="2">
        <v>1710022.91</v>
      </c>
      <c r="M3517" s="3">
        <v>5.2487519999999996</v>
      </c>
      <c r="N3517" s="4">
        <v>3.8904899999999999E-3</v>
      </c>
      <c r="O3517" s="5">
        <v>44742</v>
      </c>
      <c r="P3517" s="5">
        <v>45383</v>
      </c>
      <c r="Q3517" s="1">
        <v>5.4669999999999996</v>
      </c>
      <c r="R3517" s="2">
        <v>0.18</v>
      </c>
      <c r="S3517" s="6">
        <v>0.16209118744199999</v>
      </c>
      <c r="T3517" t="s">
        <v>111</v>
      </c>
      <c r="U3517" t="s">
        <v>111</v>
      </c>
      <c r="V3517" t="s">
        <v>11189</v>
      </c>
      <c r="W3517" t="s">
        <v>43</v>
      </c>
      <c r="X3517" t="s">
        <v>11034</v>
      </c>
      <c r="Y3517" t="s">
        <v>44</v>
      </c>
      <c r="Z3517" t="s">
        <v>44</v>
      </c>
      <c r="AA3517" t="s">
        <v>10979</v>
      </c>
      <c r="AB3517" t="s">
        <v>44</v>
      </c>
      <c r="AC3517" s="4">
        <v>5.3176255100000001</v>
      </c>
      <c r="AD3517" s="4">
        <v>5.1922611500000002</v>
      </c>
      <c r="AE3517" s="2">
        <v>5.32</v>
      </c>
      <c r="AF3517" s="4">
        <v>5.1922611500000002</v>
      </c>
      <c r="AG3517" s="2">
        <v>0.71</v>
      </c>
      <c r="AH3517" s="2">
        <v>1710022.91</v>
      </c>
      <c r="AI3517" s="2">
        <v>0</v>
      </c>
      <c r="AJ3517" s="5">
        <v>44673</v>
      </c>
      <c r="AK3517" t="s">
        <v>12665</v>
      </c>
      <c r="AL3517" s="2">
        <v>5.25</v>
      </c>
      <c r="AM3517" s="2">
        <v>5.47</v>
      </c>
      <c r="AN3517" s="2">
        <v>0.16</v>
      </c>
      <c r="AO3517" t="s">
        <v>11165</v>
      </c>
      <c r="AP3517" t="s">
        <v>11503</v>
      </c>
      <c r="AQ3517" t="s">
        <v>11502</v>
      </c>
    </row>
    <row r="3518" spans="1:43" x14ac:dyDescent="0.2">
      <c r="A3518" t="s">
        <v>12664</v>
      </c>
      <c r="B3518" t="s">
        <v>10900</v>
      </c>
      <c r="C3518" t="s">
        <v>11033</v>
      </c>
      <c r="D3518" t="s">
        <v>12885</v>
      </c>
      <c r="E3518" t="s">
        <v>12886</v>
      </c>
      <c r="F3518" t="s">
        <v>12885</v>
      </c>
      <c r="G3518" s="1">
        <v>2800000</v>
      </c>
      <c r="H3518" s="2">
        <v>2925922.1</v>
      </c>
      <c r="I3518" s="2">
        <v>2923599.1</v>
      </c>
      <c r="J3518" s="2">
        <v>37447.279999999999</v>
      </c>
      <c r="K3518" s="2">
        <v>0</v>
      </c>
      <c r="L3518" s="2">
        <v>2961046.38</v>
      </c>
      <c r="M3518" s="3">
        <v>6.8666739999999997</v>
      </c>
      <c r="N3518" s="4">
        <v>6.7367E-3</v>
      </c>
      <c r="O3518" s="5">
        <v>44711</v>
      </c>
      <c r="P3518" s="5">
        <v>45624</v>
      </c>
      <c r="Q3518" s="1">
        <v>8.7170000000000005</v>
      </c>
      <c r="R3518" s="2">
        <v>0.1</v>
      </c>
      <c r="S3518" s="6">
        <v>0.100905587016</v>
      </c>
      <c r="T3518" t="s">
        <v>111</v>
      </c>
      <c r="U3518" t="s">
        <v>111</v>
      </c>
      <c r="V3518" t="s">
        <v>11189</v>
      </c>
      <c r="W3518" t="s">
        <v>43</v>
      </c>
      <c r="X3518" t="s">
        <v>11034</v>
      </c>
      <c r="Y3518" t="s">
        <v>44</v>
      </c>
      <c r="Z3518" t="s">
        <v>44</v>
      </c>
      <c r="AA3518" t="s">
        <v>10979</v>
      </c>
      <c r="AB3518" t="s">
        <v>44</v>
      </c>
      <c r="AC3518" s="4">
        <v>6.9845515499999999</v>
      </c>
      <c r="AD3518" s="4">
        <v>6.7704540700000004</v>
      </c>
      <c r="AE3518" s="2">
        <v>6.98</v>
      </c>
      <c r="AF3518" s="4">
        <v>6.7704540700000004</v>
      </c>
      <c r="AG3518" s="2">
        <v>1.24</v>
      </c>
      <c r="AH3518" s="2">
        <v>2961046.38</v>
      </c>
      <c r="AI3518" s="2">
        <v>0.01</v>
      </c>
      <c r="AJ3518" s="5">
        <v>44673</v>
      </c>
      <c r="AK3518" t="s">
        <v>12665</v>
      </c>
      <c r="AL3518" s="2">
        <v>6.87</v>
      </c>
      <c r="AM3518" s="2">
        <v>8.7200000000000006</v>
      </c>
      <c r="AN3518" s="2">
        <v>0.1</v>
      </c>
      <c r="AO3518" t="s">
        <v>11165</v>
      </c>
      <c r="AP3518" t="s">
        <v>12887</v>
      </c>
      <c r="AQ3518" t="s">
        <v>12886</v>
      </c>
    </row>
    <row r="3519" spans="1:43" x14ac:dyDescent="0.2">
      <c r="A3519" t="s">
        <v>12664</v>
      </c>
      <c r="B3519" t="s">
        <v>10900</v>
      </c>
      <c r="C3519" t="s">
        <v>11033</v>
      </c>
      <c r="D3519" t="s">
        <v>11518</v>
      </c>
      <c r="E3519" t="s">
        <v>11519</v>
      </c>
      <c r="F3519" t="s">
        <v>11518</v>
      </c>
      <c r="G3519" s="1">
        <v>4000000</v>
      </c>
      <c r="H3519" s="2">
        <v>4000000</v>
      </c>
      <c r="I3519" s="2">
        <v>4012691.56</v>
      </c>
      <c r="J3519" s="2">
        <v>43095.45</v>
      </c>
      <c r="K3519" s="2">
        <v>0</v>
      </c>
      <c r="L3519" s="2">
        <v>4055787.01</v>
      </c>
      <c r="M3519" s="3">
        <v>6.0730570000000004</v>
      </c>
      <c r="N3519" s="4">
        <v>9.2273500000000005E-3</v>
      </c>
      <c r="O3519" s="5">
        <v>44704</v>
      </c>
      <c r="P3519" s="5">
        <v>45159</v>
      </c>
      <c r="Q3519" s="1">
        <v>6.242</v>
      </c>
      <c r="R3519" s="2">
        <v>0.08</v>
      </c>
      <c r="S3519" s="6">
        <v>5.9720457003999999E-2</v>
      </c>
      <c r="T3519" t="s">
        <v>111</v>
      </c>
      <c r="U3519" t="s">
        <v>111</v>
      </c>
      <c r="V3519" t="s">
        <v>11189</v>
      </c>
      <c r="W3519" t="s">
        <v>43</v>
      </c>
      <c r="X3519" t="s">
        <v>11034</v>
      </c>
      <c r="Y3519" t="s">
        <v>44</v>
      </c>
      <c r="Z3519" t="s">
        <v>44</v>
      </c>
      <c r="AA3519" t="s">
        <v>11441</v>
      </c>
      <c r="AB3519" t="s">
        <v>44</v>
      </c>
      <c r="AC3519" s="4">
        <v>6.1652619800000004</v>
      </c>
      <c r="AD3519" s="4">
        <v>5.9976152599999999</v>
      </c>
      <c r="AE3519" s="2">
        <v>6.17</v>
      </c>
      <c r="AF3519" s="4">
        <v>5.9976152599999999</v>
      </c>
      <c r="AG3519" s="2">
        <v>1.69</v>
      </c>
      <c r="AH3519" s="2">
        <v>4055787.01</v>
      </c>
      <c r="AI3519" s="2">
        <v>0.01</v>
      </c>
      <c r="AJ3519" s="5">
        <v>44673</v>
      </c>
      <c r="AK3519" t="s">
        <v>12665</v>
      </c>
      <c r="AL3519" s="2">
        <v>6.07</v>
      </c>
      <c r="AM3519" s="2">
        <v>6.24</v>
      </c>
      <c r="AN3519" s="2">
        <v>0.06</v>
      </c>
      <c r="AO3519" t="s">
        <v>11520</v>
      </c>
      <c r="AP3519" t="s">
        <v>11521</v>
      </c>
      <c r="AQ3519" t="s">
        <v>11519</v>
      </c>
    </row>
    <row r="3520" spans="1:43" x14ac:dyDescent="0.2">
      <c r="A3520" t="s">
        <v>12664</v>
      </c>
      <c r="B3520" t="s">
        <v>10900</v>
      </c>
      <c r="C3520" t="s">
        <v>11033</v>
      </c>
      <c r="D3520" t="s">
        <v>11815</v>
      </c>
      <c r="E3520" t="s">
        <v>11816</v>
      </c>
      <c r="F3520" t="s">
        <v>11815</v>
      </c>
      <c r="G3520" s="1">
        <v>1500000</v>
      </c>
      <c r="H3520" s="2">
        <v>1500000</v>
      </c>
      <c r="I3520" s="2">
        <v>1499920.22</v>
      </c>
      <c r="J3520" s="2">
        <v>17203.68</v>
      </c>
      <c r="K3520" s="2">
        <v>0</v>
      </c>
      <c r="L3520" s="2">
        <v>1517123.9</v>
      </c>
      <c r="M3520" s="3">
        <v>6.1638650000000004</v>
      </c>
      <c r="N3520" s="4">
        <v>3.4516199999999999E-3</v>
      </c>
      <c r="O3520" s="5">
        <v>44697</v>
      </c>
      <c r="P3520" s="5">
        <v>45519</v>
      </c>
      <c r="Q3520" s="1">
        <v>6.0670000000000002</v>
      </c>
      <c r="R3520" s="2">
        <v>0.06</v>
      </c>
      <c r="S3520" s="6">
        <v>2.7386669091000002E-2</v>
      </c>
      <c r="T3520" t="s">
        <v>111</v>
      </c>
      <c r="U3520" t="s">
        <v>111</v>
      </c>
      <c r="V3520" t="s">
        <v>11189</v>
      </c>
      <c r="W3520" t="s">
        <v>43</v>
      </c>
      <c r="X3520" t="s">
        <v>11034</v>
      </c>
      <c r="Y3520" t="s">
        <v>44</v>
      </c>
      <c r="Z3520" t="s">
        <v>44</v>
      </c>
      <c r="AA3520" t="s">
        <v>11225</v>
      </c>
      <c r="AB3520" t="s">
        <v>44</v>
      </c>
      <c r="AC3520" s="4">
        <v>6.2588480500000001</v>
      </c>
      <c r="AD3520" s="4">
        <v>6.0861713799999997</v>
      </c>
      <c r="AE3520" s="2">
        <v>6.26</v>
      </c>
      <c r="AF3520" s="4">
        <v>6.0861713799999997</v>
      </c>
      <c r="AG3520" s="2">
        <v>0.63</v>
      </c>
      <c r="AH3520" s="2">
        <v>1517123.9</v>
      </c>
      <c r="AI3520" s="2">
        <v>0</v>
      </c>
      <c r="AJ3520" s="5">
        <v>44673</v>
      </c>
      <c r="AK3520" t="s">
        <v>12665</v>
      </c>
      <c r="AL3520" s="2">
        <v>6.16</v>
      </c>
      <c r="AM3520" s="2">
        <v>6.07</v>
      </c>
      <c r="AN3520" s="2">
        <v>0.03</v>
      </c>
      <c r="AO3520" t="s">
        <v>11817</v>
      </c>
      <c r="AP3520" t="s">
        <v>11818</v>
      </c>
      <c r="AQ3520" t="s">
        <v>11816</v>
      </c>
    </row>
    <row r="3521" spans="1:43" x14ac:dyDescent="0.2">
      <c r="A3521" t="s">
        <v>12664</v>
      </c>
      <c r="B3521" t="s">
        <v>10900</v>
      </c>
      <c r="C3521" t="s">
        <v>11033</v>
      </c>
      <c r="D3521" t="s">
        <v>11819</v>
      </c>
      <c r="E3521" t="s">
        <v>11820</v>
      </c>
      <c r="F3521" t="s">
        <v>11819</v>
      </c>
      <c r="G3521" s="1">
        <v>5200000</v>
      </c>
      <c r="H3521" s="2">
        <v>5200000</v>
      </c>
      <c r="I3521" s="2">
        <v>5203259.57</v>
      </c>
      <c r="J3521" s="2">
        <v>23204.25</v>
      </c>
      <c r="K3521" s="2">
        <v>0</v>
      </c>
      <c r="L3521" s="2">
        <v>5226463.82</v>
      </c>
      <c r="M3521" s="3">
        <v>5.6743709999999998</v>
      </c>
      <c r="N3521" s="4">
        <v>1.189077E-2</v>
      </c>
      <c r="O3521" s="5">
        <v>44739</v>
      </c>
      <c r="P3521" s="5">
        <v>45470</v>
      </c>
      <c r="Q3521" s="1">
        <v>5.8170000000000002</v>
      </c>
      <c r="R3521" s="2">
        <v>0.17</v>
      </c>
      <c r="S3521" s="6">
        <v>0.145695338009</v>
      </c>
      <c r="T3521" t="s">
        <v>111</v>
      </c>
      <c r="U3521" t="s">
        <v>111</v>
      </c>
      <c r="V3521" t="s">
        <v>11189</v>
      </c>
      <c r="W3521" t="s">
        <v>43</v>
      </c>
      <c r="X3521" t="s">
        <v>11034</v>
      </c>
      <c r="Y3521" t="s">
        <v>44</v>
      </c>
      <c r="Z3521" t="s">
        <v>44</v>
      </c>
      <c r="AA3521" t="s">
        <v>10913</v>
      </c>
      <c r="AB3521" t="s">
        <v>44</v>
      </c>
      <c r="AC3521" s="4">
        <v>5.7548670399999997</v>
      </c>
      <c r="AD3521" s="4">
        <v>5.6084308399999996</v>
      </c>
      <c r="AE3521" s="2">
        <v>5.75</v>
      </c>
      <c r="AF3521" s="4">
        <v>5.6084308399999996</v>
      </c>
      <c r="AG3521" s="2">
        <v>2.1800000000000002</v>
      </c>
      <c r="AH3521" s="2">
        <v>5226463.82</v>
      </c>
      <c r="AI3521" s="2">
        <v>0.01</v>
      </c>
      <c r="AJ3521" s="5">
        <v>44673</v>
      </c>
      <c r="AK3521" t="s">
        <v>12665</v>
      </c>
      <c r="AL3521" s="2">
        <v>5.67</v>
      </c>
      <c r="AM3521" s="2">
        <v>5.82</v>
      </c>
      <c r="AN3521" s="2">
        <v>0.15</v>
      </c>
      <c r="AO3521" t="s">
        <v>11563</v>
      </c>
      <c r="AP3521" t="s">
        <v>11821</v>
      </c>
      <c r="AQ3521" t="s">
        <v>11820</v>
      </c>
    </row>
    <row r="3522" spans="1:43" x14ac:dyDescent="0.2">
      <c r="A3522" t="s">
        <v>12664</v>
      </c>
      <c r="B3522" t="s">
        <v>10900</v>
      </c>
      <c r="C3522" t="s">
        <v>11033</v>
      </c>
      <c r="D3522" t="s">
        <v>11822</v>
      </c>
      <c r="E3522" t="s">
        <v>11823</v>
      </c>
      <c r="F3522" t="s">
        <v>11822</v>
      </c>
      <c r="G3522" s="1">
        <v>1700000</v>
      </c>
      <c r="H3522" s="2">
        <v>1700000</v>
      </c>
      <c r="I3522" s="2">
        <v>1686857.21</v>
      </c>
      <c r="J3522" s="2">
        <v>19128.03</v>
      </c>
      <c r="K3522" s="2">
        <v>0</v>
      </c>
      <c r="L3522" s="2">
        <v>1705985.24</v>
      </c>
      <c r="M3522" s="3">
        <v>6.4745299999999997</v>
      </c>
      <c r="N3522" s="4">
        <v>3.8812999999999999E-3</v>
      </c>
      <c r="O3522" s="5">
        <v>44693</v>
      </c>
      <c r="P3522" s="5">
        <v>45242</v>
      </c>
      <c r="Q3522" s="1">
        <v>5.867</v>
      </c>
      <c r="R3522" s="2">
        <v>0.05</v>
      </c>
      <c r="S3522" s="6">
        <v>1.5942423563000001E-2</v>
      </c>
      <c r="T3522" t="s">
        <v>111</v>
      </c>
      <c r="U3522" t="s">
        <v>111</v>
      </c>
      <c r="V3522" t="s">
        <v>11189</v>
      </c>
      <c r="W3522" t="s">
        <v>43</v>
      </c>
      <c r="X3522" t="s">
        <v>11034</v>
      </c>
      <c r="Y3522" t="s">
        <v>44</v>
      </c>
      <c r="Z3522" t="s">
        <v>44</v>
      </c>
      <c r="AA3522" t="s">
        <v>10979</v>
      </c>
      <c r="AB3522" t="s">
        <v>44</v>
      </c>
      <c r="AC3522" s="4">
        <v>6.5793283799999998</v>
      </c>
      <c r="AD3522" s="4">
        <v>6.3888862499999997</v>
      </c>
      <c r="AE3522" s="2">
        <v>6.58</v>
      </c>
      <c r="AF3522" s="4">
        <v>6.3888862499999997</v>
      </c>
      <c r="AG3522" s="2">
        <v>0.71</v>
      </c>
      <c r="AH3522" s="2">
        <v>1705985.24</v>
      </c>
      <c r="AI3522" s="2">
        <v>0</v>
      </c>
      <c r="AJ3522" s="5">
        <v>44673</v>
      </c>
      <c r="AK3522" t="s">
        <v>12665</v>
      </c>
      <c r="AL3522" s="2">
        <v>6.47</v>
      </c>
      <c r="AM3522" s="2">
        <v>5.87</v>
      </c>
      <c r="AN3522" s="2">
        <v>0.02</v>
      </c>
      <c r="AO3522" t="s">
        <v>11824</v>
      </c>
      <c r="AP3522" t="s">
        <v>11825</v>
      </c>
      <c r="AQ3522" t="s">
        <v>11823</v>
      </c>
    </row>
    <row r="3523" spans="1:43" x14ac:dyDescent="0.2">
      <c r="A3523" t="s">
        <v>12664</v>
      </c>
      <c r="B3523" t="s">
        <v>10900</v>
      </c>
      <c r="C3523" t="s">
        <v>11033</v>
      </c>
      <c r="D3523" t="s">
        <v>12968</v>
      </c>
      <c r="E3523" t="s">
        <v>12969</v>
      </c>
      <c r="F3523" t="s">
        <v>12968</v>
      </c>
      <c r="G3523" s="1">
        <v>3500000</v>
      </c>
      <c r="H3523" s="2">
        <v>3500000</v>
      </c>
      <c r="I3523" s="2">
        <v>3500080.52</v>
      </c>
      <c r="J3523" s="2">
        <v>7333.6</v>
      </c>
      <c r="K3523" s="2">
        <v>0</v>
      </c>
      <c r="L3523" s="2">
        <v>3507414.12</v>
      </c>
      <c r="M3523" s="3">
        <v>5.7981850000000001</v>
      </c>
      <c r="N3523" s="4">
        <v>7.9797400000000008E-3</v>
      </c>
      <c r="O3523" s="5">
        <v>44754</v>
      </c>
      <c r="P3523" s="5">
        <v>45759</v>
      </c>
      <c r="Q3523" s="1">
        <v>5.883</v>
      </c>
      <c r="R3523" s="2">
        <v>0.21</v>
      </c>
      <c r="S3523" s="6">
        <v>0.17647470644900001</v>
      </c>
      <c r="T3523" t="s">
        <v>111</v>
      </c>
      <c r="U3523" t="s">
        <v>111</v>
      </c>
      <c r="V3523" t="s">
        <v>11189</v>
      </c>
      <c r="W3523" t="s">
        <v>43</v>
      </c>
      <c r="X3523" t="s">
        <v>11034</v>
      </c>
      <c r="Y3523" t="s">
        <v>44</v>
      </c>
      <c r="Z3523" t="s">
        <v>44</v>
      </c>
      <c r="AA3523" t="s">
        <v>44</v>
      </c>
      <c r="AB3523" t="s">
        <v>44</v>
      </c>
      <c r="AC3523" s="4">
        <v>5.8822328199999996</v>
      </c>
      <c r="AD3523" s="4">
        <v>5.7293618799999999</v>
      </c>
      <c r="AE3523" s="2">
        <v>5.88</v>
      </c>
      <c r="AF3523" s="4">
        <v>5.7293618799999999</v>
      </c>
      <c r="AG3523" s="2">
        <v>1.46</v>
      </c>
      <c r="AH3523" s="2">
        <v>3507414.12</v>
      </c>
      <c r="AI3523" s="2">
        <v>0.01</v>
      </c>
      <c r="AJ3523" s="5">
        <v>44673</v>
      </c>
      <c r="AK3523" t="s">
        <v>12665</v>
      </c>
      <c r="AL3523" s="2">
        <v>5.8</v>
      </c>
      <c r="AM3523" s="2">
        <v>5.88</v>
      </c>
      <c r="AN3523" s="2">
        <v>0.18</v>
      </c>
      <c r="AO3523" t="s">
        <v>11527</v>
      </c>
      <c r="AP3523" t="s">
        <v>12970</v>
      </c>
      <c r="AQ3523" t="s">
        <v>12969</v>
      </c>
    </row>
    <row r="3524" spans="1:43" x14ac:dyDescent="0.2">
      <c r="A3524" t="s">
        <v>12664</v>
      </c>
      <c r="B3524" t="s">
        <v>10900</v>
      </c>
      <c r="C3524" t="s">
        <v>11033</v>
      </c>
      <c r="D3524" t="s">
        <v>12390</v>
      </c>
      <c r="E3524" t="s">
        <v>12391</v>
      </c>
      <c r="F3524" t="s">
        <v>12390</v>
      </c>
      <c r="G3524" s="1">
        <v>4000000</v>
      </c>
      <c r="H3524" s="2">
        <v>4000000</v>
      </c>
      <c r="I3524" s="2">
        <v>4004807.88</v>
      </c>
      <c r="J3524" s="2">
        <v>60369.53</v>
      </c>
      <c r="K3524" s="2">
        <v>0</v>
      </c>
      <c r="L3524" s="2">
        <v>4065177.41</v>
      </c>
      <c r="M3524" s="3">
        <v>6.4902220000000002</v>
      </c>
      <c r="N3524" s="4">
        <v>9.2487200000000002E-3</v>
      </c>
      <c r="O3524" s="5">
        <v>44680</v>
      </c>
      <c r="P3524" s="5">
        <v>45136</v>
      </c>
      <c r="Q3524" s="1">
        <v>6.5579999999999998</v>
      </c>
      <c r="R3524" s="2">
        <v>0.01</v>
      </c>
      <c r="S3524" s="6">
        <v>-8.1043672139999995E-3</v>
      </c>
      <c r="T3524" t="s">
        <v>111</v>
      </c>
      <c r="U3524" t="s">
        <v>111</v>
      </c>
      <c r="V3524" t="s">
        <v>11189</v>
      </c>
      <c r="W3524" t="s">
        <v>43</v>
      </c>
      <c r="X3524" t="s">
        <v>11034</v>
      </c>
      <c r="Y3524" t="s">
        <v>44</v>
      </c>
      <c r="Z3524" t="s">
        <v>44</v>
      </c>
      <c r="AA3524" t="s">
        <v>11035</v>
      </c>
      <c r="AB3524" t="s">
        <v>44</v>
      </c>
      <c r="AC3524" s="4">
        <v>6.5955293700000004</v>
      </c>
      <c r="AD3524" s="4">
        <v>6.4041669900000002</v>
      </c>
      <c r="AE3524" s="2">
        <v>6.6</v>
      </c>
      <c r="AF3524" s="4">
        <v>6.4041669900000002</v>
      </c>
      <c r="AG3524" s="2">
        <v>1.7</v>
      </c>
      <c r="AH3524" s="2">
        <v>4065177.41</v>
      </c>
      <c r="AI3524" s="2">
        <v>0.01</v>
      </c>
      <c r="AJ3524" s="5">
        <v>44673</v>
      </c>
      <c r="AK3524" t="s">
        <v>12665</v>
      </c>
      <c r="AL3524" s="2">
        <v>6.49</v>
      </c>
      <c r="AM3524" s="2">
        <v>6.56</v>
      </c>
      <c r="AN3524" s="2">
        <v>-0.01</v>
      </c>
      <c r="AO3524" t="s">
        <v>11437</v>
      </c>
      <c r="AP3524" t="s">
        <v>12392</v>
      </c>
      <c r="AQ3524" t="s">
        <v>12391</v>
      </c>
    </row>
    <row r="3525" spans="1:43" x14ac:dyDescent="0.2">
      <c r="A3525" t="s">
        <v>12664</v>
      </c>
      <c r="B3525" t="s">
        <v>10900</v>
      </c>
      <c r="C3525" t="s">
        <v>11033</v>
      </c>
      <c r="D3525" t="s">
        <v>11832</v>
      </c>
      <c r="E3525" t="s">
        <v>11833</v>
      </c>
      <c r="F3525" t="s">
        <v>11832</v>
      </c>
      <c r="G3525" s="1">
        <v>1100000</v>
      </c>
      <c r="H3525" s="2">
        <v>1100000</v>
      </c>
      <c r="I3525" s="2">
        <v>1100432.17</v>
      </c>
      <c r="J3525" s="2">
        <v>991.45</v>
      </c>
      <c r="K3525" s="2">
        <v>0</v>
      </c>
      <c r="L3525" s="2">
        <v>1101423.6200000001</v>
      </c>
      <c r="M3525" s="3">
        <v>5.3938800000000002</v>
      </c>
      <c r="N3525" s="4">
        <v>2.5058599999999999E-3</v>
      </c>
      <c r="O3525" s="5">
        <v>44757</v>
      </c>
      <c r="P3525" s="5">
        <v>45397</v>
      </c>
      <c r="Q3525" s="1">
        <v>5.4829999999999997</v>
      </c>
      <c r="R3525" s="2">
        <v>0.22</v>
      </c>
      <c r="S3525" s="6">
        <v>0.19846818724099999</v>
      </c>
      <c r="T3525" t="s">
        <v>111</v>
      </c>
      <c r="U3525" t="s">
        <v>111</v>
      </c>
      <c r="V3525" t="s">
        <v>11189</v>
      </c>
      <c r="W3525" t="s">
        <v>43</v>
      </c>
      <c r="X3525" t="s">
        <v>11034</v>
      </c>
      <c r="Y3525" t="s">
        <v>44</v>
      </c>
      <c r="Z3525" t="s">
        <v>44</v>
      </c>
      <c r="AA3525" t="s">
        <v>11035</v>
      </c>
      <c r="AB3525" t="s">
        <v>44</v>
      </c>
      <c r="AC3525" s="4">
        <v>5.4666152800000001</v>
      </c>
      <c r="AD3525" s="4">
        <v>5.3342482999999996</v>
      </c>
      <c r="AE3525" s="2">
        <v>5.47</v>
      </c>
      <c r="AF3525" s="4">
        <v>5.3342482999999996</v>
      </c>
      <c r="AG3525" s="2">
        <v>0.46</v>
      </c>
      <c r="AH3525" s="2">
        <v>1101423.6200000001</v>
      </c>
      <c r="AI3525" s="2">
        <v>0</v>
      </c>
      <c r="AJ3525" s="5">
        <v>44673</v>
      </c>
      <c r="AK3525" t="s">
        <v>12665</v>
      </c>
      <c r="AL3525" s="2">
        <v>5.39</v>
      </c>
      <c r="AM3525" s="2">
        <v>5.48</v>
      </c>
      <c r="AN3525" s="2">
        <v>0.2</v>
      </c>
      <c r="AO3525" t="s">
        <v>11036</v>
      </c>
      <c r="AP3525" t="s">
        <v>11834</v>
      </c>
      <c r="AQ3525" t="s">
        <v>11833</v>
      </c>
    </row>
    <row r="3526" spans="1:43" x14ac:dyDescent="0.2">
      <c r="A3526" t="s">
        <v>12664</v>
      </c>
      <c r="B3526" t="s">
        <v>10900</v>
      </c>
      <c r="C3526" t="s">
        <v>11033</v>
      </c>
      <c r="D3526" t="s">
        <v>11838</v>
      </c>
      <c r="E3526" t="s">
        <v>11839</v>
      </c>
      <c r="F3526" t="s">
        <v>11838</v>
      </c>
      <c r="G3526" s="1">
        <v>1100000</v>
      </c>
      <c r="H3526" s="2">
        <v>1100000</v>
      </c>
      <c r="I3526" s="2">
        <v>1100022.1000000001</v>
      </c>
      <c r="J3526" s="2">
        <v>4912.3</v>
      </c>
      <c r="K3526" s="2">
        <v>0</v>
      </c>
      <c r="L3526" s="2">
        <v>1104934.3999999999</v>
      </c>
      <c r="M3526" s="3">
        <v>5.9270630000000004</v>
      </c>
      <c r="N3526" s="4">
        <v>2.5138399999999998E-3</v>
      </c>
      <c r="O3526" s="5">
        <v>44741</v>
      </c>
      <c r="P3526" s="5">
        <v>45380</v>
      </c>
      <c r="Q3526" s="1">
        <v>6.0369999999999999</v>
      </c>
      <c r="R3526" s="2">
        <v>0.18</v>
      </c>
      <c r="S3526" s="6">
        <v>0.14918711395799999</v>
      </c>
      <c r="T3526" t="s">
        <v>111</v>
      </c>
      <c r="U3526" t="s">
        <v>111</v>
      </c>
      <c r="V3526" t="s">
        <v>11189</v>
      </c>
      <c r="W3526" t="s">
        <v>43</v>
      </c>
      <c r="X3526" t="s">
        <v>11840</v>
      </c>
      <c r="Y3526" t="s">
        <v>44</v>
      </c>
      <c r="Z3526" t="s">
        <v>44</v>
      </c>
      <c r="AA3526" t="s">
        <v>10979</v>
      </c>
      <c r="AB3526" t="s">
        <v>44</v>
      </c>
      <c r="AC3526" s="4">
        <v>6.0148877399999998</v>
      </c>
      <c r="AD3526" s="4">
        <v>5.8551731699999996</v>
      </c>
      <c r="AE3526" s="2">
        <v>6.01</v>
      </c>
      <c r="AF3526" s="4">
        <v>5.8551731699999996</v>
      </c>
      <c r="AG3526" s="2">
        <v>0.46</v>
      </c>
      <c r="AH3526" s="2">
        <v>1104934.3999999999</v>
      </c>
      <c r="AI3526" s="2">
        <v>0</v>
      </c>
      <c r="AJ3526" s="5">
        <v>44673</v>
      </c>
      <c r="AK3526" t="s">
        <v>12665</v>
      </c>
      <c r="AL3526" s="2">
        <v>5.93</v>
      </c>
      <c r="AM3526" s="2">
        <v>6.04</v>
      </c>
      <c r="AN3526" s="2">
        <v>0.15</v>
      </c>
      <c r="AO3526" t="s">
        <v>11841</v>
      </c>
      <c r="AP3526" t="s">
        <v>11842</v>
      </c>
      <c r="AQ3526" t="s">
        <v>11839</v>
      </c>
    </row>
    <row r="3527" spans="1:43" x14ac:dyDescent="0.2">
      <c r="A3527" t="s">
        <v>12664</v>
      </c>
      <c r="B3527" t="s">
        <v>10900</v>
      </c>
      <c r="C3527" t="s">
        <v>11033</v>
      </c>
      <c r="D3527" t="s">
        <v>11192</v>
      </c>
      <c r="E3527" t="s">
        <v>11193</v>
      </c>
      <c r="F3527" t="s">
        <v>11192</v>
      </c>
      <c r="G3527" s="1">
        <v>600000</v>
      </c>
      <c r="H3527" s="2">
        <v>621042.63</v>
      </c>
      <c r="I3527" s="2">
        <v>623553.93999999994</v>
      </c>
      <c r="J3527" s="2">
        <v>3602.88</v>
      </c>
      <c r="K3527" s="2">
        <v>0</v>
      </c>
      <c r="L3527" s="2">
        <v>627156.81999999995</v>
      </c>
      <c r="M3527" s="3">
        <v>6.4487519999999998</v>
      </c>
      <c r="N3527" s="4">
        <v>1.4268499999999999E-3</v>
      </c>
      <c r="O3527" s="5">
        <v>44742</v>
      </c>
      <c r="P3527" s="5">
        <v>45379</v>
      </c>
      <c r="Q3527" s="1">
        <v>8.7669999999999995</v>
      </c>
      <c r="R3527" s="2">
        <v>0.18</v>
      </c>
      <c r="S3527" s="6">
        <v>0.176703783398</v>
      </c>
      <c r="T3527" t="s">
        <v>111</v>
      </c>
      <c r="U3527" t="s">
        <v>111</v>
      </c>
      <c r="V3527" t="s">
        <v>11189</v>
      </c>
      <c r="W3527" t="s">
        <v>43</v>
      </c>
      <c r="X3527" t="s">
        <v>11034</v>
      </c>
      <c r="Y3527" t="s">
        <v>44</v>
      </c>
      <c r="Z3527" t="s">
        <v>44</v>
      </c>
      <c r="AA3527" t="s">
        <v>10979</v>
      </c>
      <c r="AB3527" t="s">
        <v>44</v>
      </c>
      <c r="AC3527" s="4">
        <v>6.5527180200000004</v>
      </c>
      <c r="AD3527" s="4">
        <v>6.3637827900000001</v>
      </c>
      <c r="AE3527" s="2">
        <v>6.55</v>
      </c>
      <c r="AF3527" s="4">
        <v>6.3637827900000001</v>
      </c>
      <c r="AG3527" s="2">
        <v>0.26</v>
      </c>
      <c r="AH3527" s="2">
        <v>627156.81999999995</v>
      </c>
      <c r="AI3527" s="2">
        <v>0</v>
      </c>
      <c r="AJ3527" s="5">
        <v>44673</v>
      </c>
      <c r="AK3527" t="s">
        <v>12665</v>
      </c>
      <c r="AL3527" s="2">
        <v>6.45</v>
      </c>
      <c r="AM3527" s="2">
        <v>8.77</v>
      </c>
      <c r="AN3527" s="2">
        <v>0.18</v>
      </c>
      <c r="AO3527" t="s">
        <v>11179</v>
      </c>
      <c r="AP3527" t="s">
        <v>11194</v>
      </c>
      <c r="AQ3527" t="s">
        <v>11193</v>
      </c>
    </row>
    <row r="3528" spans="1:43" x14ac:dyDescent="0.2">
      <c r="A3528" t="s">
        <v>12664</v>
      </c>
      <c r="B3528" t="s">
        <v>10900</v>
      </c>
      <c r="C3528" t="s">
        <v>11033</v>
      </c>
      <c r="D3528" t="s">
        <v>11843</v>
      </c>
      <c r="E3528" t="s">
        <v>11844</v>
      </c>
      <c r="F3528" t="s">
        <v>11843</v>
      </c>
      <c r="G3528" s="1">
        <v>4900000</v>
      </c>
      <c r="H3528" s="2">
        <v>4900000</v>
      </c>
      <c r="I3528" s="2">
        <v>4877894.2699999996</v>
      </c>
      <c r="J3528" s="2">
        <v>5463.57</v>
      </c>
      <c r="K3528" s="2">
        <v>0</v>
      </c>
      <c r="L3528" s="2">
        <v>4883357.84</v>
      </c>
      <c r="M3528" s="3">
        <v>6.9820180000000001</v>
      </c>
      <c r="N3528" s="4">
        <v>1.1110159999999999E-2</v>
      </c>
      <c r="O3528" s="5">
        <v>44760</v>
      </c>
      <c r="P3528" s="5">
        <v>45398</v>
      </c>
      <c r="Q3528" s="1">
        <v>6.7830000000000004</v>
      </c>
      <c r="R3528" s="2">
        <v>0.23</v>
      </c>
      <c r="S3528" s="6">
        <v>0.182016060841</v>
      </c>
      <c r="T3528" t="s">
        <v>111</v>
      </c>
      <c r="U3528" t="s">
        <v>111</v>
      </c>
      <c r="V3528" t="s">
        <v>11189</v>
      </c>
      <c r="W3528" t="s">
        <v>43</v>
      </c>
      <c r="X3528" t="s">
        <v>11034</v>
      </c>
      <c r="Y3528" t="s">
        <v>44</v>
      </c>
      <c r="Z3528" t="s">
        <v>44</v>
      </c>
      <c r="AA3528" t="s">
        <v>10979</v>
      </c>
      <c r="AB3528" t="s">
        <v>44</v>
      </c>
      <c r="AC3528" s="4">
        <v>7.1038890300000004</v>
      </c>
      <c r="AD3528" s="4">
        <v>6.8825725699999998</v>
      </c>
      <c r="AE3528" s="2">
        <v>7.1</v>
      </c>
      <c r="AF3528" s="4">
        <v>6.8825725699999998</v>
      </c>
      <c r="AG3528" s="2">
        <v>2.04</v>
      </c>
      <c r="AH3528" s="2">
        <v>4883357.84</v>
      </c>
      <c r="AI3528" s="2">
        <v>0.01</v>
      </c>
      <c r="AJ3528" s="5">
        <v>44673</v>
      </c>
      <c r="AK3528" t="s">
        <v>12665</v>
      </c>
      <c r="AL3528" s="2">
        <v>6.98</v>
      </c>
      <c r="AM3528" s="2">
        <v>6.78</v>
      </c>
      <c r="AN3528" s="2">
        <v>0.18</v>
      </c>
      <c r="AO3528" t="s">
        <v>11179</v>
      </c>
      <c r="AP3528" t="s">
        <v>11845</v>
      </c>
      <c r="AQ3528" t="s">
        <v>11844</v>
      </c>
    </row>
    <row r="3529" spans="1:43" x14ac:dyDescent="0.2">
      <c r="A3529" t="s">
        <v>12664</v>
      </c>
      <c r="B3529" t="s">
        <v>10900</v>
      </c>
      <c r="C3529" t="s">
        <v>10943</v>
      </c>
      <c r="D3529" t="s">
        <v>11852</v>
      </c>
      <c r="E3529" t="s">
        <v>11853</v>
      </c>
      <c r="F3529" t="s">
        <v>11852</v>
      </c>
      <c r="G3529" s="1">
        <v>1800000</v>
      </c>
      <c r="H3529" s="2">
        <v>1799521.04</v>
      </c>
      <c r="I3529" s="2">
        <v>1904373.73</v>
      </c>
      <c r="J3529" s="2">
        <v>12395.24</v>
      </c>
      <c r="K3529" s="2">
        <v>0</v>
      </c>
      <c r="L3529" s="2">
        <v>1916768.97</v>
      </c>
      <c r="M3529" s="3">
        <v>5.9243709999999998</v>
      </c>
      <c r="N3529" s="4">
        <v>4.3608600000000003E-3</v>
      </c>
      <c r="O3529" s="5">
        <v>44739</v>
      </c>
      <c r="P3529" s="5">
        <v>45833</v>
      </c>
      <c r="Q3529" s="1">
        <v>8.1080000000000005</v>
      </c>
      <c r="R3529" s="2">
        <v>0.17</v>
      </c>
      <c r="S3529" s="6">
        <v>0.20785827684899999</v>
      </c>
      <c r="T3529" t="s">
        <v>111</v>
      </c>
      <c r="U3529" t="s">
        <v>111</v>
      </c>
      <c r="V3529" t="s">
        <v>11189</v>
      </c>
      <c r="W3529" t="s">
        <v>43</v>
      </c>
      <c r="X3529" t="s">
        <v>11034</v>
      </c>
      <c r="Y3529" t="s">
        <v>44</v>
      </c>
      <c r="Z3529" t="s">
        <v>44</v>
      </c>
      <c r="AA3529" t="s">
        <v>10979</v>
      </c>
      <c r="AB3529" t="s">
        <v>44</v>
      </c>
      <c r="AC3529" s="4">
        <v>6.0121162500000001</v>
      </c>
      <c r="AD3529" s="4">
        <v>5.8525461400000003</v>
      </c>
      <c r="AE3529" s="2">
        <v>6.01</v>
      </c>
      <c r="AF3529" s="4">
        <v>5.8525461400000003</v>
      </c>
      <c r="AG3529" s="2">
        <v>0.8</v>
      </c>
      <c r="AH3529" s="2">
        <v>1916768.97</v>
      </c>
      <c r="AI3529" s="2">
        <v>0</v>
      </c>
      <c r="AJ3529" s="5">
        <v>44673</v>
      </c>
      <c r="AK3529" t="s">
        <v>12665</v>
      </c>
      <c r="AL3529" s="2">
        <v>5.92</v>
      </c>
      <c r="AM3529" s="2">
        <v>8.11</v>
      </c>
      <c r="AN3529" s="2">
        <v>0.21</v>
      </c>
      <c r="AO3529" t="s">
        <v>11179</v>
      </c>
      <c r="AP3529" t="s">
        <v>11854</v>
      </c>
      <c r="AQ3529" t="s">
        <v>11853</v>
      </c>
    </row>
    <row r="3530" spans="1:43" x14ac:dyDescent="0.2">
      <c r="A3530" t="s">
        <v>12664</v>
      </c>
      <c r="B3530" t="s">
        <v>45</v>
      </c>
      <c r="C3530" t="s">
        <v>11000</v>
      </c>
      <c r="D3530" t="s">
        <v>11421</v>
      </c>
      <c r="E3530" t="s">
        <v>11422</v>
      </c>
      <c r="F3530" t="s">
        <v>11421</v>
      </c>
      <c r="G3530" s="1">
        <v>1000000</v>
      </c>
      <c r="H3530" s="2">
        <v>1000000</v>
      </c>
      <c r="I3530" s="2">
        <v>1000000</v>
      </c>
      <c r="J3530" s="2">
        <v>4832.87</v>
      </c>
      <c r="K3530" s="2">
        <v>0</v>
      </c>
      <c r="L3530" s="2">
        <v>1004832.87</v>
      </c>
      <c r="M3530" s="3">
        <v>4.2</v>
      </c>
      <c r="N3530" s="4">
        <v>2.2861000000000001E-3</v>
      </c>
      <c r="O3530" s="5" t="s">
        <v>44</v>
      </c>
      <c r="P3530" s="5">
        <v>55153</v>
      </c>
      <c r="Q3530" s="1">
        <v>4.2</v>
      </c>
      <c r="R3530" s="2">
        <v>0.08</v>
      </c>
      <c r="S3530" s="6">
        <v>2.5947269999999998E-3</v>
      </c>
      <c r="T3530" t="s">
        <v>112</v>
      </c>
      <c r="U3530" t="s">
        <v>46</v>
      </c>
      <c r="V3530" t="s">
        <v>11270</v>
      </c>
      <c r="W3530" t="s">
        <v>43</v>
      </c>
      <c r="X3530" t="s">
        <v>44</v>
      </c>
      <c r="Y3530" t="s">
        <v>44</v>
      </c>
      <c r="Z3530" t="s">
        <v>44</v>
      </c>
      <c r="AA3530" t="s">
        <v>10913</v>
      </c>
      <c r="AB3530" t="s">
        <v>44</v>
      </c>
      <c r="AC3530" s="4">
        <v>4.2819052299999996</v>
      </c>
      <c r="AD3530" s="4">
        <v>4.20010057</v>
      </c>
      <c r="AE3530" s="2">
        <v>4.28</v>
      </c>
      <c r="AF3530" s="4">
        <v>4.20010057</v>
      </c>
      <c r="AG3530" s="2">
        <v>0.42</v>
      </c>
      <c r="AH3530" s="2">
        <v>1004832.87</v>
      </c>
      <c r="AI3530" s="2">
        <v>0</v>
      </c>
      <c r="AJ3530" s="5">
        <v>44673</v>
      </c>
      <c r="AK3530" t="s">
        <v>12665</v>
      </c>
      <c r="AL3530" s="2">
        <v>4.24</v>
      </c>
      <c r="AM3530" s="2">
        <v>4.2</v>
      </c>
      <c r="AN3530" s="2">
        <v>0</v>
      </c>
      <c r="AO3530" t="s">
        <v>11423</v>
      </c>
      <c r="AP3530" t="s">
        <v>44</v>
      </c>
      <c r="AQ3530" t="s">
        <v>11422</v>
      </c>
    </row>
    <row r="3531" spans="1:43" x14ac:dyDescent="0.2">
      <c r="A3531" t="s">
        <v>12664</v>
      </c>
      <c r="B3531" t="s">
        <v>45</v>
      </c>
      <c r="C3531" t="s">
        <v>11000</v>
      </c>
      <c r="D3531" t="s">
        <v>11424</v>
      </c>
      <c r="E3531" t="s">
        <v>11425</v>
      </c>
      <c r="F3531" t="s">
        <v>11424</v>
      </c>
      <c r="G3531" s="1">
        <v>0</v>
      </c>
      <c r="H3531" s="2">
        <v>0</v>
      </c>
      <c r="I3531" s="2">
        <v>0</v>
      </c>
      <c r="J3531" s="2">
        <v>3452.05</v>
      </c>
      <c r="K3531" s="2">
        <v>0</v>
      </c>
      <c r="L3531" s="2">
        <v>3452.05</v>
      </c>
      <c r="M3531" s="3">
        <v>4.2</v>
      </c>
      <c r="N3531" s="4">
        <v>7.8499999999999994E-6</v>
      </c>
      <c r="O3531" s="5" t="s">
        <v>44</v>
      </c>
      <c r="P3531" s="5">
        <v>55153</v>
      </c>
      <c r="Q3531" s="1">
        <v>4.2</v>
      </c>
      <c r="R3531" s="2">
        <v>0.08</v>
      </c>
      <c r="S3531" s="6">
        <v>2.5986049999999999E-3</v>
      </c>
      <c r="T3531" t="s">
        <v>112</v>
      </c>
      <c r="U3531" t="s">
        <v>46</v>
      </c>
      <c r="V3531" t="s">
        <v>11270</v>
      </c>
      <c r="W3531" t="s">
        <v>43</v>
      </c>
      <c r="X3531" t="s">
        <v>44</v>
      </c>
      <c r="Y3531" t="s">
        <v>44</v>
      </c>
      <c r="Z3531" t="s">
        <v>44</v>
      </c>
      <c r="AA3531" t="s">
        <v>11035</v>
      </c>
      <c r="AB3531" t="s">
        <v>44</v>
      </c>
      <c r="AC3531" s="4">
        <v>4.2819052299999996</v>
      </c>
      <c r="AD3531" s="4">
        <v>4.20010057</v>
      </c>
      <c r="AE3531" s="2">
        <v>4.28</v>
      </c>
      <c r="AF3531" s="4">
        <v>4.20010057</v>
      </c>
      <c r="AG3531" s="2">
        <v>0</v>
      </c>
      <c r="AH3531" s="2">
        <v>3452.05</v>
      </c>
      <c r="AI3531" s="2">
        <v>0</v>
      </c>
      <c r="AJ3531" s="5">
        <v>44673</v>
      </c>
      <c r="AK3531" t="s">
        <v>12665</v>
      </c>
      <c r="AL3531" s="2">
        <v>4.24</v>
      </c>
      <c r="AM3531" s="2">
        <v>4.2</v>
      </c>
      <c r="AN3531" s="2">
        <v>0</v>
      </c>
      <c r="AO3531" t="s">
        <v>11053</v>
      </c>
      <c r="AP3531" t="s">
        <v>44</v>
      </c>
      <c r="AQ3531" t="s">
        <v>11425</v>
      </c>
    </row>
    <row r="3532" spans="1:43" x14ac:dyDescent="0.2">
      <c r="A3532" t="s">
        <v>12664</v>
      </c>
      <c r="B3532" t="s">
        <v>45</v>
      </c>
      <c r="C3532" t="s">
        <v>11000</v>
      </c>
      <c r="D3532" t="s">
        <v>12666</v>
      </c>
      <c r="E3532" t="s">
        <v>12667</v>
      </c>
      <c r="F3532" t="s">
        <v>12666</v>
      </c>
      <c r="G3532" s="1">
        <v>1425600</v>
      </c>
      <c r="H3532" s="2">
        <v>1425600</v>
      </c>
      <c r="I3532" s="2">
        <v>1425600</v>
      </c>
      <c r="J3532" s="2">
        <v>0</v>
      </c>
      <c r="K3532" s="2">
        <v>0</v>
      </c>
      <c r="L3532" s="2">
        <v>1425600</v>
      </c>
      <c r="M3532" s="3">
        <v>0</v>
      </c>
      <c r="N3532" s="4">
        <v>3.2433900000000001E-3</v>
      </c>
      <c r="O3532" s="5" t="s">
        <v>44</v>
      </c>
      <c r="P3532" s="5">
        <v>47848</v>
      </c>
      <c r="Q3532" s="1">
        <v>0</v>
      </c>
      <c r="R3532" s="2">
        <v>0.08</v>
      </c>
      <c r="S3532" s="6"/>
      <c r="T3532" t="s">
        <v>112</v>
      </c>
      <c r="U3532" t="s">
        <v>46</v>
      </c>
      <c r="V3532" t="s">
        <v>11270</v>
      </c>
      <c r="W3532" t="s">
        <v>43</v>
      </c>
      <c r="X3532" t="s">
        <v>44</v>
      </c>
      <c r="Y3532" t="s">
        <v>44</v>
      </c>
      <c r="Z3532" t="s">
        <v>44</v>
      </c>
      <c r="AA3532" t="s">
        <v>10979</v>
      </c>
      <c r="AB3532" t="s">
        <v>44</v>
      </c>
      <c r="AC3532" s="4">
        <v>0</v>
      </c>
      <c r="AD3532" s="4">
        <v>0</v>
      </c>
      <c r="AE3532" s="2">
        <v>0</v>
      </c>
      <c r="AF3532" s="4">
        <v>0</v>
      </c>
      <c r="AG3532" s="2">
        <v>0.59</v>
      </c>
      <c r="AH3532" s="2">
        <v>1425600</v>
      </c>
      <c r="AI3532" s="2">
        <v>0</v>
      </c>
      <c r="AJ3532" s="5">
        <v>44673</v>
      </c>
      <c r="AK3532" t="s">
        <v>12665</v>
      </c>
      <c r="AL3532" s="2">
        <v>0</v>
      </c>
      <c r="AM3532" s="2">
        <v>0</v>
      </c>
      <c r="AN3532" s="2">
        <v>0</v>
      </c>
      <c r="AO3532" t="s">
        <v>10980</v>
      </c>
      <c r="AP3532" t="s">
        <v>44</v>
      </c>
      <c r="AQ3532" t="s">
        <v>12667</v>
      </c>
    </row>
    <row r="3533" spans="1:43" x14ac:dyDescent="0.2">
      <c r="A3533" t="s">
        <v>12664</v>
      </c>
      <c r="B3533" t="s">
        <v>45</v>
      </c>
      <c r="C3533" t="s">
        <v>47</v>
      </c>
      <c r="D3533" t="s">
        <v>48</v>
      </c>
      <c r="E3533" t="s">
        <v>49</v>
      </c>
      <c r="F3533" t="s">
        <v>50</v>
      </c>
      <c r="G3533" s="1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3916.43</v>
      </c>
      <c r="M3533" s="3"/>
      <c r="N3533" s="4">
        <v>8.9099999999999994E-6</v>
      </c>
      <c r="O3533" s="5" t="s">
        <v>44</v>
      </c>
      <c r="P3533" s="5" t="s">
        <v>44</v>
      </c>
      <c r="Q3533" s="1"/>
      <c r="R3533" s="2">
        <v>0.08</v>
      </c>
      <c r="S3533" s="6"/>
      <c r="T3533" t="s">
        <v>45</v>
      </c>
      <c r="U3533" t="s">
        <v>46</v>
      </c>
      <c r="V3533" t="s">
        <v>44</v>
      </c>
      <c r="W3533" t="s">
        <v>43</v>
      </c>
      <c r="X3533" t="s">
        <v>44</v>
      </c>
      <c r="Y3533" t="s">
        <v>44</v>
      </c>
      <c r="Z3533" t="s">
        <v>44</v>
      </c>
      <c r="AA3533" t="s">
        <v>44</v>
      </c>
      <c r="AB3533" t="s">
        <v>44</v>
      </c>
      <c r="AC3533" s="4">
        <v>5.1163389600000002</v>
      </c>
      <c r="AD3533" s="4">
        <v>5.0001424999999999</v>
      </c>
      <c r="AE3533" s="2">
        <v>5.12</v>
      </c>
      <c r="AF3533" s="4">
        <v>5.0001424999999999</v>
      </c>
      <c r="AG3533" s="2">
        <v>0</v>
      </c>
      <c r="AH3533" s="2">
        <v>3916.43</v>
      </c>
      <c r="AI3533" s="2">
        <v>0</v>
      </c>
      <c r="AJ3533" s="5">
        <v>44673</v>
      </c>
      <c r="AK3533" t="s">
        <v>12665</v>
      </c>
      <c r="AL3533" s="2">
        <v>5.05</v>
      </c>
      <c r="AM3533" s="2">
        <v>0</v>
      </c>
      <c r="AN3533" s="2">
        <v>0</v>
      </c>
      <c r="AO3533" t="s">
        <v>44</v>
      </c>
      <c r="AP3533" t="s">
        <v>44</v>
      </c>
      <c r="AQ3533" t="s">
        <v>44</v>
      </c>
    </row>
    <row r="3534" spans="1:43" x14ac:dyDescent="0.2">
      <c r="A3534" t="s">
        <v>12664</v>
      </c>
      <c r="B3534" t="s">
        <v>45</v>
      </c>
      <c r="C3534" t="s">
        <v>47</v>
      </c>
      <c r="D3534" t="s">
        <v>51</v>
      </c>
      <c r="E3534" t="s">
        <v>52</v>
      </c>
      <c r="F3534" t="s">
        <v>51</v>
      </c>
      <c r="G3534" s="1">
        <v>1561248.68</v>
      </c>
      <c r="H3534" s="2">
        <v>1561248.68</v>
      </c>
      <c r="I3534" s="2">
        <v>1561248.68</v>
      </c>
      <c r="J3534" s="2">
        <v>0</v>
      </c>
      <c r="K3534" s="2">
        <v>0</v>
      </c>
      <c r="L3534" s="2">
        <v>1561248.68</v>
      </c>
      <c r="M3534" s="3"/>
      <c r="N3534" s="4">
        <v>3.55201E-3</v>
      </c>
      <c r="O3534" s="5" t="s">
        <v>44</v>
      </c>
      <c r="P3534" s="5" t="s">
        <v>44</v>
      </c>
      <c r="Q3534" s="1"/>
      <c r="R3534" s="2">
        <v>0.08</v>
      </c>
      <c r="S3534" s="6"/>
      <c r="T3534" t="s">
        <v>45</v>
      </c>
      <c r="U3534" t="s">
        <v>53</v>
      </c>
      <c r="V3534" t="s">
        <v>44</v>
      </c>
      <c r="W3534" t="s">
        <v>43</v>
      </c>
      <c r="X3534" t="s">
        <v>44</v>
      </c>
      <c r="Y3534" t="s">
        <v>44</v>
      </c>
      <c r="Z3534" t="s">
        <v>44</v>
      </c>
      <c r="AA3534" t="s">
        <v>44</v>
      </c>
      <c r="AB3534" t="s">
        <v>44</v>
      </c>
      <c r="AC3534" s="4">
        <v>5.1163389600000002</v>
      </c>
      <c r="AD3534" s="4">
        <v>5.0001424999999999</v>
      </c>
      <c r="AE3534" s="2">
        <v>5.12</v>
      </c>
      <c r="AF3534" s="4">
        <v>5.0001424999999999</v>
      </c>
      <c r="AG3534" s="2">
        <v>0.65</v>
      </c>
      <c r="AH3534" s="2">
        <v>1561248.68</v>
      </c>
      <c r="AI3534" s="2">
        <v>0</v>
      </c>
      <c r="AJ3534" s="5">
        <v>44673</v>
      </c>
      <c r="AK3534" t="s">
        <v>12665</v>
      </c>
      <c r="AL3534" s="2">
        <v>5.05</v>
      </c>
      <c r="AM3534" s="2">
        <v>0</v>
      </c>
      <c r="AN3534" s="2">
        <v>0</v>
      </c>
      <c r="AO3534" t="s">
        <v>44</v>
      </c>
      <c r="AP3534" t="s">
        <v>44</v>
      </c>
      <c r="AQ3534" t="s">
        <v>43</v>
      </c>
    </row>
    <row r="3535" spans="1:43" x14ac:dyDescent="0.2">
      <c r="A3535" t="s">
        <v>12664</v>
      </c>
      <c r="B3535" t="s">
        <v>11608</v>
      </c>
      <c r="C3535" t="s">
        <v>11608</v>
      </c>
      <c r="D3535" t="s">
        <v>12396</v>
      </c>
      <c r="E3535" t="s">
        <v>12397</v>
      </c>
      <c r="F3535" t="s">
        <v>12396</v>
      </c>
      <c r="G3535" s="1">
        <v>142000000</v>
      </c>
      <c r="H3535" s="2">
        <v>0</v>
      </c>
      <c r="I3535" s="2">
        <v>102375.73</v>
      </c>
      <c r="J3535" s="2">
        <v>0</v>
      </c>
      <c r="K3535" s="2">
        <v>0</v>
      </c>
      <c r="L3535" s="2">
        <v>102375.73</v>
      </c>
      <c r="M3535" s="3">
        <v>7.2095999999999993E-2</v>
      </c>
      <c r="N3535" s="4">
        <v>2.3292000000000001E-4</v>
      </c>
      <c r="O3535" s="5" t="s">
        <v>44</v>
      </c>
      <c r="P3535" s="5">
        <v>44910</v>
      </c>
      <c r="Q3535" s="1">
        <v>0</v>
      </c>
      <c r="R3535" s="2"/>
      <c r="S3535" s="6">
        <v>0.4</v>
      </c>
      <c r="T3535" t="s">
        <v>11412</v>
      </c>
      <c r="U3535" t="s">
        <v>11413</v>
      </c>
      <c r="V3535" t="s">
        <v>9802</v>
      </c>
      <c r="W3535" t="s">
        <v>43</v>
      </c>
      <c r="X3535" t="s">
        <v>44</v>
      </c>
      <c r="Y3535" t="s">
        <v>44</v>
      </c>
      <c r="Z3535" t="s">
        <v>44</v>
      </c>
      <c r="AA3535" t="s">
        <v>11035</v>
      </c>
      <c r="AB3535" t="s">
        <v>44</v>
      </c>
      <c r="AC3535" s="4"/>
      <c r="AD3535" s="4"/>
      <c r="AE3535" s="2">
        <v>0</v>
      </c>
      <c r="AF3535" s="4">
        <v>0</v>
      </c>
      <c r="AG3535" s="2">
        <v>0.04</v>
      </c>
      <c r="AH3535" s="2">
        <v>102375.73</v>
      </c>
      <c r="AI3535" s="2">
        <v>0</v>
      </c>
      <c r="AJ3535" s="5">
        <v>44673</v>
      </c>
      <c r="AK3535" t="s">
        <v>12665</v>
      </c>
      <c r="AL3535" s="2">
        <v>0</v>
      </c>
      <c r="AM3535" s="2">
        <v>0</v>
      </c>
      <c r="AN3535" s="2">
        <v>0.4</v>
      </c>
      <c r="AO3535" t="s">
        <v>11036</v>
      </c>
      <c r="AP3535" t="s">
        <v>44</v>
      </c>
      <c r="AQ3535" t="s">
        <v>44</v>
      </c>
    </row>
    <row r="3536" spans="1:43" x14ac:dyDescent="0.2">
      <c r="A3536" t="s">
        <v>12664</v>
      </c>
      <c r="B3536" t="s">
        <v>11608</v>
      </c>
      <c r="C3536" t="s">
        <v>11608</v>
      </c>
      <c r="D3536" t="s">
        <v>12398</v>
      </c>
      <c r="E3536" t="s">
        <v>12397</v>
      </c>
      <c r="F3536" t="s">
        <v>12398</v>
      </c>
      <c r="G3536" s="1">
        <v>-142000000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3"/>
      <c r="N3536" s="4">
        <v>0</v>
      </c>
      <c r="O3536" s="5" t="s">
        <v>44</v>
      </c>
      <c r="P3536" s="5">
        <v>44910</v>
      </c>
      <c r="Q3536" s="1">
        <v>0</v>
      </c>
      <c r="R3536" s="2"/>
      <c r="S3536" s="6"/>
      <c r="T3536" t="s">
        <v>11412</v>
      </c>
      <c r="U3536" t="s">
        <v>11413</v>
      </c>
      <c r="V3536" t="s">
        <v>9802</v>
      </c>
      <c r="W3536" t="s">
        <v>43</v>
      </c>
      <c r="X3536" t="s">
        <v>44</v>
      </c>
      <c r="Y3536" t="s">
        <v>44</v>
      </c>
      <c r="Z3536" t="s">
        <v>44</v>
      </c>
      <c r="AA3536" t="s">
        <v>11035</v>
      </c>
      <c r="AB3536" t="s">
        <v>44</v>
      </c>
      <c r="AC3536" s="4"/>
      <c r="AD3536" s="4"/>
      <c r="AE3536" s="2">
        <v>0</v>
      </c>
      <c r="AF3536" s="4">
        <v>0</v>
      </c>
      <c r="AG3536" s="2">
        <v>0</v>
      </c>
      <c r="AH3536" s="2">
        <v>0</v>
      </c>
      <c r="AI3536" s="2">
        <v>0</v>
      </c>
      <c r="AJ3536" s="5">
        <v>44673</v>
      </c>
      <c r="AK3536" t="s">
        <v>12665</v>
      </c>
      <c r="AL3536" s="2">
        <v>0</v>
      </c>
      <c r="AM3536" s="2">
        <v>0</v>
      </c>
      <c r="AN3536" s="2">
        <v>0</v>
      </c>
      <c r="AO3536" t="s">
        <v>11036</v>
      </c>
      <c r="AP3536" t="s">
        <v>44</v>
      </c>
      <c r="AQ3536" t="s">
        <v>44</v>
      </c>
    </row>
    <row r="3537" spans="1:43" x14ac:dyDescent="0.2">
      <c r="A3537" t="s">
        <v>12664</v>
      </c>
      <c r="B3537" t="s">
        <v>11608</v>
      </c>
      <c r="C3537" t="s">
        <v>11608</v>
      </c>
      <c r="D3537" t="s">
        <v>12399</v>
      </c>
      <c r="E3537" t="s">
        <v>12397</v>
      </c>
      <c r="F3537" t="s">
        <v>12399</v>
      </c>
      <c r="G3537" s="1">
        <v>142000000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3"/>
      <c r="N3537" s="4">
        <v>0</v>
      </c>
      <c r="O3537" s="5" t="s">
        <v>44</v>
      </c>
      <c r="P3537" s="5">
        <v>44910</v>
      </c>
      <c r="Q3537" s="1">
        <v>5.68</v>
      </c>
      <c r="R3537" s="2"/>
      <c r="S3537" s="6"/>
      <c r="T3537" t="s">
        <v>11412</v>
      </c>
      <c r="U3537" t="s">
        <v>11413</v>
      </c>
      <c r="V3537" t="s">
        <v>9802</v>
      </c>
      <c r="W3537" t="s">
        <v>43</v>
      </c>
      <c r="X3537" t="s">
        <v>44</v>
      </c>
      <c r="Y3537" t="s">
        <v>44</v>
      </c>
      <c r="Z3537" t="s">
        <v>44</v>
      </c>
      <c r="AA3537" t="s">
        <v>11035</v>
      </c>
      <c r="AB3537" t="s">
        <v>44</v>
      </c>
      <c r="AC3537" s="4"/>
      <c r="AD3537" s="4"/>
      <c r="AE3537" s="2">
        <v>0</v>
      </c>
      <c r="AF3537" s="4">
        <v>0</v>
      </c>
      <c r="AG3537" s="2">
        <v>0</v>
      </c>
      <c r="AH3537" s="2">
        <v>0</v>
      </c>
      <c r="AI3537" s="2">
        <v>0</v>
      </c>
      <c r="AJ3537" s="5">
        <v>44673</v>
      </c>
      <c r="AK3537" t="s">
        <v>12665</v>
      </c>
      <c r="AL3537" s="2">
        <v>0</v>
      </c>
      <c r="AM3537" s="2">
        <v>5.68</v>
      </c>
      <c r="AN3537" s="2">
        <v>0</v>
      </c>
      <c r="AO3537" t="s">
        <v>11036</v>
      </c>
      <c r="AP3537" t="s">
        <v>44</v>
      </c>
      <c r="AQ3537" t="s">
        <v>44</v>
      </c>
    </row>
    <row r="3538" spans="1:43" x14ac:dyDescent="0.2">
      <c r="A3538" t="s">
        <v>12664</v>
      </c>
      <c r="B3538" t="s">
        <v>11038</v>
      </c>
      <c r="C3538" t="s">
        <v>11870</v>
      </c>
      <c r="D3538" t="s">
        <v>11056</v>
      </c>
      <c r="E3538" t="s">
        <v>11057</v>
      </c>
      <c r="F3538" t="s">
        <v>11056</v>
      </c>
      <c r="G3538" s="1">
        <v>5855498</v>
      </c>
      <c r="H3538" s="2">
        <v>5854229.9500000002</v>
      </c>
      <c r="I3538" s="2">
        <v>5855498</v>
      </c>
      <c r="J3538" s="2">
        <v>155123.85</v>
      </c>
      <c r="K3538" s="2">
        <v>0</v>
      </c>
      <c r="L3538" s="2">
        <v>6010621.8499999996</v>
      </c>
      <c r="M3538" s="3"/>
      <c r="N3538" s="4">
        <v>1.3674810000000001E-2</v>
      </c>
      <c r="O3538" s="5">
        <v>44692</v>
      </c>
      <c r="P3538" s="5">
        <v>44692</v>
      </c>
      <c r="Q3538" s="1">
        <v>13.067</v>
      </c>
      <c r="R3538" s="2"/>
      <c r="S3538" s="6"/>
      <c r="T3538" t="s">
        <v>111</v>
      </c>
      <c r="U3538" t="s">
        <v>11040</v>
      </c>
      <c r="V3538" t="s">
        <v>115</v>
      </c>
      <c r="W3538" t="s">
        <v>43</v>
      </c>
      <c r="X3538" t="s">
        <v>44</v>
      </c>
      <c r="Y3538" t="s">
        <v>44</v>
      </c>
      <c r="Z3538" t="s">
        <v>44</v>
      </c>
      <c r="AA3538" t="s">
        <v>10979</v>
      </c>
      <c r="AB3538" t="s">
        <v>44</v>
      </c>
      <c r="AC3538" s="4"/>
      <c r="AD3538" s="4"/>
      <c r="AE3538" s="2">
        <v>0</v>
      </c>
      <c r="AF3538" s="4">
        <v>0</v>
      </c>
      <c r="AG3538" s="2">
        <v>2.5099999999999998</v>
      </c>
      <c r="AH3538" s="2">
        <v>6010621.8499999996</v>
      </c>
      <c r="AI3538" s="2">
        <v>0.01</v>
      </c>
      <c r="AJ3538" s="5">
        <v>44673</v>
      </c>
      <c r="AK3538" t="s">
        <v>12665</v>
      </c>
      <c r="AL3538" s="2">
        <v>0</v>
      </c>
      <c r="AM3538" s="2">
        <v>13.07</v>
      </c>
      <c r="AN3538" s="2">
        <v>0</v>
      </c>
      <c r="AO3538" t="s">
        <v>10980</v>
      </c>
      <c r="AP3538" t="s">
        <v>11058</v>
      </c>
      <c r="AQ3538" t="s">
        <v>11057</v>
      </c>
    </row>
    <row r="3539" spans="1:43" x14ac:dyDescent="0.2">
      <c r="A3539" t="s">
        <v>12664</v>
      </c>
      <c r="B3539" t="s">
        <v>11038</v>
      </c>
      <c r="C3539" t="s">
        <v>11055</v>
      </c>
      <c r="D3539" t="s">
        <v>12668</v>
      </c>
      <c r="E3539" t="s">
        <v>12669</v>
      </c>
      <c r="F3539" t="s">
        <v>12668</v>
      </c>
      <c r="G3539" s="1">
        <v>4000000</v>
      </c>
      <c r="H3539" s="2">
        <v>4000000</v>
      </c>
      <c r="I3539" s="2">
        <v>4000639.15</v>
      </c>
      <c r="J3539" s="2">
        <v>27322.52</v>
      </c>
      <c r="K3539" s="2">
        <v>0</v>
      </c>
      <c r="L3539" s="2">
        <v>4027961.67</v>
      </c>
      <c r="M3539" s="3">
        <v>4.4355760000000002</v>
      </c>
      <c r="N3539" s="4">
        <v>9.16405E-3</v>
      </c>
      <c r="O3539" s="5">
        <v>44714</v>
      </c>
      <c r="P3539" s="5">
        <v>44714</v>
      </c>
      <c r="Q3539" s="1">
        <v>4.617</v>
      </c>
      <c r="R3539" s="2">
        <v>0.1</v>
      </c>
      <c r="S3539" s="6">
        <v>9.9637528274999998E-2</v>
      </c>
      <c r="T3539" t="s">
        <v>111</v>
      </c>
      <c r="U3539" t="s">
        <v>11040</v>
      </c>
      <c r="V3539" t="s">
        <v>11189</v>
      </c>
      <c r="W3539" t="s">
        <v>43</v>
      </c>
      <c r="X3539" t="s">
        <v>11034</v>
      </c>
      <c r="Y3539" t="s">
        <v>44</v>
      </c>
      <c r="Z3539" t="s">
        <v>44</v>
      </c>
      <c r="AA3539" t="s">
        <v>10979</v>
      </c>
      <c r="AB3539" t="s">
        <v>44</v>
      </c>
      <c r="AC3539" s="4">
        <v>4.5247458800000002</v>
      </c>
      <c r="AD3539" s="4">
        <v>4.4335359900000002</v>
      </c>
      <c r="AE3539" s="2">
        <v>4.5199999999999996</v>
      </c>
      <c r="AF3539" s="4">
        <v>4.4335359900000002</v>
      </c>
      <c r="AG3539" s="2">
        <v>1.68</v>
      </c>
      <c r="AH3539" s="2">
        <v>4027961.67</v>
      </c>
      <c r="AI3539" s="2">
        <v>0.01</v>
      </c>
      <c r="AJ3539" s="5">
        <v>44673</v>
      </c>
      <c r="AK3539" t="s">
        <v>12665</v>
      </c>
      <c r="AL3539" s="2">
        <v>4.47</v>
      </c>
      <c r="AM3539" s="2">
        <v>4.62</v>
      </c>
      <c r="AN3539" s="2">
        <v>0.1</v>
      </c>
      <c r="AO3539" t="s">
        <v>11165</v>
      </c>
      <c r="AP3539" t="s">
        <v>12670</v>
      </c>
      <c r="AQ3539" t="s">
        <v>12669</v>
      </c>
    </row>
    <row r="3540" spans="1:43" x14ac:dyDescent="0.2">
      <c r="A3540" t="s">
        <v>12664</v>
      </c>
      <c r="B3540" t="s">
        <v>11038</v>
      </c>
      <c r="C3540" t="s">
        <v>11052</v>
      </c>
      <c r="D3540" t="s">
        <v>12402</v>
      </c>
      <c r="E3540" t="s">
        <v>12403</v>
      </c>
      <c r="F3540" t="s">
        <v>12402</v>
      </c>
      <c r="G3540" s="1">
        <v>2600000</v>
      </c>
      <c r="H3540" s="2">
        <v>2600000</v>
      </c>
      <c r="I3540" s="2">
        <v>2604091.1800000002</v>
      </c>
      <c r="J3540" s="2">
        <v>34186.44</v>
      </c>
      <c r="K3540" s="2">
        <v>0</v>
      </c>
      <c r="L3540" s="2">
        <v>2638277.62</v>
      </c>
      <c r="M3540" s="3">
        <v>5.3989140000000004</v>
      </c>
      <c r="N3540" s="4">
        <v>6.0023699999999999E-3</v>
      </c>
      <c r="O3540" s="5">
        <v>44684</v>
      </c>
      <c r="P3540" s="5">
        <v>44776</v>
      </c>
      <c r="Q3540" s="1">
        <v>5.9249999999999998</v>
      </c>
      <c r="R3540" s="2">
        <v>0.02</v>
      </c>
      <c r="S3540" s="6">
        <v>1.8996198525000001E-2</v>
      </c>
      <c r="T3540" t="s">
        <v>111</v>
      </c>
      <c r="U3540" t="s">
        <v>11040</v>
      </c>
      <c r="V3540" t="s">
        <v>11189</v>
      </c>
      <c r="W3540" t="s">
        <v>43</v>
      </c>
      <c r="X3540" t="s">
        <v>11034</v>
      </c>
      <c r="Y3540" t="s">
        <v>44</v>
      </c>
      <c r="Z3540" t="s">
        <v>44</v>
      </c>
      <c r="AA3540" t="s">
        <v>11441</v>
      </c>
      <c r="AB3540" t="s">
        <v>44</v>
      </c>
      <c r="AC3540" s="4">
        <v>5.5439446300000004</v>
      </c>
      <c r="AD3540" s="4">
        <v>5.4078706499999996</v>
      </c>
      <c r="AE3540" s="2">
        <v>5.54</v>
      </c>
      <c r="AF3540" s="4">
        <v>5.4078706499999996</v>
      </c>
      <c r="AG3540" s="2">
        <v>1.1000000000000001</v>
      </c>
      <c r="AH3540" s="2">
        <v>2638277.62</v>
      </c>
      <c r="AI3540" s="2">
        <v>0.01</v>
      </c>
      <c r="AJ3540" s="5">
        <v>44673</v>
      </c>
      <c r="AK3540" t="s">
        <v>12665</v>
      </c>
      <c r="AL3540" s="2">
        <v>5.47</v>
      </c>
      <c r="AM3540" s="2">
        <v>5.92</v>
      </c>
      <c r="AN3540" s="2">
        <v>0.02</v>
      </c>
      <c r="AO3540" t="s">
        <v>11455</v>
      </c>
      <c r="AP3540" t="s">
        <v>12404</v>
      </c>
      <c r="AQ3540" t="s">
        <v>12403</v>
      </c>
    </row>
    <row r="3541" spans="1:43" x14ac:dyDescent="0.2">
      <c r="A3541" t="s">
        <v>12664</v>
      </c>
      <c r="B3541" t="s">
        <v>11038</v>
      </c>
      <c r="C3541" t="s">
        <v>11052</v>
      </c>
      <c r="D3541" t="s">
        <v>12345</v>
      </c>
      <c r="E3541" t="s">
        <v>12346</v>
      </c>
      <c r="F3541" t="s">
        <v>12345</v>
      </c>
      <c r="G3541" s="1">
        <v>2200000</v>
      </c>
      <c r="H3541" s="2">
        <v>2141633.73</v>
      </c>
      <c r="I3541" s="2">
        <v>2141633.73</v>
      </c>
      <c r="J3541" s="2">
        <v>0</v>
      </c>
      <c r="K3541" s="2">
        <v>0</v>
      </c>
      <c r="L3541" s="2">
        <v>2141633.73</v>
      </c>
      <c r="M3541" s="3">
        <v>5.2109949999999996</v>
      </c>
      <c r="N3541" s="4">
        <v>4.8724500000000004E-3</v>
      </c>
      <c r="O3541" s="5" t="s">
        <v>44</v>
      </c>
      <c r="P3541" s="5">
        <v>44853</v>
      </c>
      <c r="Q3541" s="1">
        <v>0</v>
      </c>
      <c r="R3541" s="2">
        <v>0.48</v>
      </c>
      <c r="S3541" s="6">
        <v>0.47297943272999998</v>
      </c>
      <c r="T3541" t="s">
        <v>112</v>
      </c>
      <c r="U3541" t="s">
        <v>11040</v>
      </c>
      <c r="V3541" t="s">
        <v>11238</v>
      </c>
      <c r="W3541" t="s">
        <v>43</v>
      </c>
      <c r="X3541" t="s">
        <v>44</v>
      </c>
      <c r="Y3541" t="s">
        <v>44</v>
      </c>
      <c r="Z3541" t="s">
        <v>44</v>
      </c>
      <c r="AA3541" t="s">
        <v>10913</v>
      </c>
      <c r="AB3541" t="s">
        <v>44</v>
      </c>
      <c r="AC3541" s="4">
        <v>5.2809629999999999</v>
      </c>
      <c r="AD3541" s="4">
        <v>5.1572935700000002</v>
      </c>
      <c r="AE3541" s="2">
        <v>5.28</v>
      </c>
      <c r="AF3541" s="4">
        <v>5.1572935700000002</v>
      </c>
      <c r="AG3541" s="2">
        <v>0.89</v>
      </c>
      <c r="AH3541" s="2">
        <v>2141633.73</v>
      </c>
      <c r="AI3541" s="2">
        <v>0</v>
      </c>
      <c r="AJ3541" s="5">
        <v>44673</v>
      </c>
      <c r="AK3541" t="s">
        <v>12665</v>
      </c>
      <c r="AL3541" s="2">
        <v>5.21</v>
      </c>
      <c r="AM3541" s="2">
        <v>0</v>
      </c>
      <c r="AN3541" s="2">
        <v>0.47</v>
      </c>
      <c r="AO3541" t="s">
        <v>10922</v>
      </c>
      <c r="AP3541" t="s">
        <v>12347</v>
      </c>
      <c r="AQ3541" t="s">
        <v>12346</v>
      </c>
    </row>
    <row r="3542" spans="1:43" x14ac:dyDescent="0.2">
      <c r="A3542" t="s">
        <v>12664</v>
      </c>
      <c r="B3542" t="s">
        <v>11038</v>
      </c>
      <c r="C3542" t="s">
        <v>11052</v>
      </c>
      <c r="D3542" t="s">
        <v>11875</v>
      </c>
      <c r="E3542" t="s">
        <v>11876</v>
      </c>
      <c r="F3542" t="s">
        <v>11875</v>
      </c>
      <c r="G3542" s="1">
        <v>3800000</v>
      </c>
      <c r="H3542" s="2">
        <v>3800000</v>
      </c>
      <c r="I3542" s="2">
        <v>3802148.15</v>
      </c>
      <c r="J3542" s="2">
        <v>52883.72</v>
      </c>
      <c r="K3542" s="2">
        <v>0</v>
      </c>
      <c r="L3542" s="2">
        <v>3855031.87</v>
      </c>
      <c r="M3542" s="3">
        <v>5.8453989999999996</v>
      </c>
      <c r="N3542" s="4">
        <v>8.7706099999999999E-3</v>
      </c>
      <c r="O3542" s="5">
        <v>44676</v>
      </c>
      <c r="P3542" s="5">
        <v>44765</v>
      </c>
      <c r="Q3542" s="1">
        <v>5.5819999999999999</v>
      </c>
      <c r="R3542" s="2">
        <v>0.25</v>
      </c>
      <c r="S3542" s="6">
        <v>-2.4241619880000002E-3</v>
      </c>
      <c r="T3542" t="s">
        <v>111</v>
      </c>
      <c r="U3542" t="s">
        <v>11040</v>
      </c>
      <c r="V3542" t="s">
        <v>114</v>
      </c>
      <c r="W3542" t="s">
        <v>43</v>
      </c>
      <c r="X3542" t="s">
        <v>10988</v>
      </c>
      <c r="Y3542" t="s">
        <v>44</v>
      </c>
      <c r="Z3542" t="s">
        <v>44</v>
      </c>
      <c r="AA3542" t="s">
        <v>10979</v>
      </c>
      <c r="AB3542" t="s">
        <v>44</v>
      </c>
      <c r="AC3542" s="4">
        <v>5.9749057099999998</v>
      </c>
      <c r="AD3542" s="4">
        <v>5.8172689999999996</v>
      </c>
      <c r="AE3542" s="2">
        <v>5.97</v>
      </c>
      <c r="AF3542" s="4">
        <v>5.8172689999999996</v>
      </c>
      <c r="AG3542" s="2">
        <v>1.61</v>
      </c>
      <c r="AH3542" s="2">
        <v>3855031.87</v>
      </c>
      <c r="AI3542" s="2">
        <v>0.01</v>
      </c>
      <c r="AJ3542" s="5">
        <v>44673</v>
      </c>
      <c r="AK3542" t="s">
        <v>12665</v>
      </c>
      <c r="AL3542" s="2">
        <v>5.89</v>
      </c>
      <c r="AM3542" s="2">
        <v>5.58</v>
      </c>
      <c r="AN3542" s="2">
        <v>0</v>
      </c>
      <c r="AO3542" t="s">
        <v>11048</v>
      </c>
      <c r="AP3542" t="s">
        <v>11877</v>
      </c>
      <c r="AQ3542" t="s">
        <v>11876</v>
      </c>
    </row>
    <row r="3543" spans="1:43" x14ac:dyDescent="0.2">
      <c r="A3543" t="s">
        <v>12664</v>
      </c>
      <c r="B3543" t="s">
        <v>11038</v>
      </c>
      <c r="C3543" t="s">
        <v>11039</v>
      </c>
      <c r="D3543" t="s">
        <v>12674</v>
      </c>
      <c r="E3543" t="s">
        <v>12675</v>
      </c>
      <c r="F3543" t="s">
        <v>12674</v>
      </c>
      <c r="G3543" s="1">
        <v>3000000</v>
      </c>
      <c r="H3543" s="2">
        <v>3000000</v>
      </c>
      <c r="I3543" s="2">
        <v>3040026.4</v>
      </c>
      <c r="J3543" s="2">
        <v>24409.73</v>
      </c>
      <c r="K3543" s="2">
        <v>0</v>
      </c>
      <c r="L3543" s="2">
        <v>3064436.13</v>
      </c>
      <c r="M3543" s="3">
        <v>6.0468339999999996</v>
      </c>
      <c r="N3543" s="4">
        <v>6.9719200000000004E-3</v>
      </c>
      <c r="O3543" s="5">
        <v>44823</v>
      </c>
      <c r="P3543" s="5">
        <v>45002</v>
      </c>
      <c r="Q3543" s="1">
        <v>7.6150000000000002</v>
      </c>
      <c r="R3543" s="2">
        <v>0.87</v>
      </c>
      <c r="S3543" s="6">
        <v>0.84928458789000005</v>
      </c>
      <c r="T3543" t="s">
        <v>111</v>
      </c>
      <c r="U3543" t="s">
        <v>11040</v>
      </c>
      <c r="V3543" t="s">
        <v>11041</v>
      </c>
      <c r="W3543" t="s">
        <v>43</v>
      </c>
      <c r="X3543" t="s">
        <v>44</v>
      </c>
      <c r="Y3543" t="s">
        <v>44</v>
      </c>
      <c r="Z3543" t="s">
        <v>44</v>
      </c>
      <c r="AA3543" t="s">
        <v>10979</v>
      </c>
      <c r="AB3543" t="s">
        <v>44</v>
      </c>
      <c r="AC3543" s="4">
        <v>6.1382449899999996</v>
      </c>
      <c r="AD3543" s="4">
        <v>5.9720370300000001</v>
      </c>
      <c r="AE3543" s="2">
        <v>6.14</v>
      </c>
      <c r="AF3543" s="4">
        <v>5.9720370300000001</v>
      </c>
      <c r="AG3543" s="2">
        <v>1.28</v>
      </c>
      <c r="AH3543" s="2">
        <v>3064436.13</v>
      </c>
      <c r="AI3543" s="2">
        <v>0.01</v>
      </c>
      <c r="AJ3543" s="5">
        <v>44673</v>
      </c>
      <c r="AK3543" t="s">
        <v>12665</v>
      </c>
      <c r="AL3543" s="2">
        <v>6.05</v>
      </c>
      <c r="AM3543" s="2">
        <v>7.62</v>
      </c>
      <c r="AN3543" s="2">
        <v>0.85</v>
      </c>
      <c r="AO3543" t="s">
        <v>11165</v>
      </c>
      <c r="AP3543" t="s">
        <v>12676</v>
      </c>
      <c r="AQ3543" t="s">
        <v>12675</v>
      </c>
    </row>
    <row r="3544" spans="1:43" x14ac:dyDescent="0.2">
      <c r="A3544" t="s">
        <v>12664</v>
      </c>
      <c r="B3544" t="s">
        <v>11038</v>
      </c>
      <c r="C3544" t="s">
        <v>11039</v>
      </c>
      <c r="D3544" t="s">
        <v>12986</v>
      </c>
      <c r="E3544" t="s">
        <v>12987</v>
      </c>
      <c r="F3544" t="s">
        <v>12986</v>
      </c>
      <c r="G3544" s="1">
        <v>7000000</v>
      </c>
      <c r="H3544" s="2">
        <v>7000000</v>
      </c>
      <c r="I3544" s="2">
        <v>7003625.04</v>
      </c>
      <c r="J3544" s="2">
        <v>11144.96</v>
      </c>
      <c r="K3544" s="2">
        <v>0</v>
      </c>
      <c r="L3544" s="2">
        <v>7014770</v>
      </c>
      <c r="M3544" s="3">
        <v>5.1642010000000003</v>
      </c>
      <c r="N3544" s="4">
        <v>1.5959359999999999E-2</v>
      </c>
      <c r="O3544" s="5">
        <v>44756</v>
      </c>
      <c r="P3544" s="5">
        <v>45030</v>
      </c>
      <c r="Q3544" s="1">
        <v>5.2830000000000004</v>
      </c>
      <c r="R3544" s="2">
        <v>0.22</v>
      </c>
      <c r="S3544" s="6">
        <v>0.204057278988</v>
      </c>
      <c r="T3544" t="s">
        <v>111</v>
      </c>
      <c r="U3544" t="s">
        <v>11040</v>
      </c>
      <c r="V3544" t="s">
        <v>11189</v>
      </c>
      <c r="W3544" t="s">
        <v>43</v>
      </c>
      <c r="X3544" t="s">
        <v>11034</v>
      </c>
      <c r="Y3544" t="s">
        <v>44</v>
      </c>
      <c r="Z3544" t="s">
        <v>44</v>
      </c>
      <c r="AA3544" t="s">
        <v>10979</v>
      </c>
      <c r="AB3544" t="s">
        <v>44</v>
      </c>
      <c r="AC3544" s="4">
        <v>5.2693311999999999</v>
      </c>
      <c r="AD3544" s="4">
        <v>5.1461971799999997</v>
      </c>
      <c r="AE3544" s="2">
        <v>5.27</v>
      </c>
      <c r="AF3544" s="4">
        <v>5.1461971799999997</v>
      </c>
      <c r="AG3544" s="2">
        <v>2.93</v>
      </c>
      <c r="AH3544" s="2">
        <v>7014770</v>
      </c>
      <c r="AI3544" s="2">
        <v>0.02</v>
      </c>
      <c r="AJ3544" s="5">
        <v>44673</v>
      </c>
      <c r="AK3544" t="s">
        <v>12665</v>
      </c>
      <c r="AL3544" s="2">
        <v>5.2</v>
      </c>
      <c r="AM3544" s="2">
        <v>5.28</v>
      </c>
      <c r="AN3544" s="2">
        <v>0.2</v>
      </c>
      <c r="AO3544" t="s">
        <v>11165</v>
      </c>
      <c r="AP3544" t="s">
        <v>12988</v>
      </c>
      <c r="AQ3544" t="s">
        <v>12987</v>
      </c>
    </row>
    <row r="3545" spans="1:43" x14ac:dyDescent="0.2">
      <c r="A3545" t="s">
        <v>12664</v>
      </c>
      <c r="B3545" t="s">
        <v>11038</v>
      </c>
      <c r="C3545" t="s">
        <v>11039</v>
      </c>
      <c r="D3545" t="s">
        <v>11878</v>
      </c>
      <c r="E3545" t="s">
        <v>11879</v>
      </c>
      <c r="F3545" t="s">
        <v>11878</v>
      </c>
      <c r="G3545" s="1">
        <v>800000</v>
      </c>
      <c r="H3545" s="2">
        <v>800000</v>
      </c>
      <c r="I3545" s="2">
        <v>799930.42</v>
      </c>
      <c r="J3545" s="2">
        <v>5549.04</v>
      </c>
      <c r="K3545" s="2">
        <v>0</v>
      </c>
      <c r="L3545" s="2">
        <v>805479.46</v>
      </c>
      <c r="M3545" s="3">
        <v>6.1553490000000002</v>
      </c>
      <c r="N3545" s="4">
        <v>1.8325500000000001E-3</v>
      </c>
      <c r="O3545" s="5">
        <v>44727</v>
      </c>
      <c r="P3545" s="5">
        <v>45000</v>
      </c>
      <c r="Q3545" s="1">
        <v>6.1749999999999998</v>
      </c>
      <c r="R3545" s="2">
        <v>0.14000000000000001</v>
      </c>
      <c r="S3545" s="6">
        <v>0.121958312463</v>
      </c>
      <c r="T3545" t="s">
        <v>111</v>
      </c>
      <c r="U3545" t="s">
        <v>11040</v>
      </c>
      <c r="V3545" t="s">
        <v>114</v>
      </c>
      <c r="W3545" t="s">
        <v>43</v>
      </c>
      <c r="X3545" t="s">
        <v>10988</v>
      </c>
      <c r="Y3545" t="s">
        <v>44</v>
      </c>
      <c r="Z3545" t="s">
        <v>44</v>
      </c>
      <c r="AA3545" t="s">
        <v>10979</v>
      </c>
      <c r="AB3545" t="s">
        <v>44</v>
      </c>
      <c r="AC3545" s="4">
        <v>6.3207521</v>
      </c>
      <c r="AD3545" s="4">
        <v>6.1447089999999998</v>
      </c>
      <c r="AE3545" s="2">
        <v>6.32</v>
      </c>
      <c r="AF3545" s="4">
        <v>6.1447089999999998</v>
      </c>
      <c r="AG3545" s="2">
        <v>0.34</v>
      </c>
      <c r="AH3545" s="2">
        <v>805479.46</v>
      </c>
      <c r="AI3545" s="2">
        <v>0</v>
      </c>
      <c r="AJ3545" s="5">
        <v>44673</v>
      </c>
      <c r="AK3545" t="s">
        <v>12665</v>
      </c>
      <c r="AL3545" s="2">
        <v>6.22</v>
      </c>
      <c r="AM3545" s="2">
        <v>6.17</v>
      </c>
      <c r="AN3545" s="2">
        <v>0.12</v>
      </c>
      <c r="AO3545" t="s">
        <v>11567</v>
      </c>
      <c r="AP3545" t="s">
        <v>11880</v>
      </c>
      <c r="AQ3545" t="s">
        <v>11879</v>
      </c>
    </row>
    <row r="3546" spans="1:43" x14ac:dyDescent="0.2">
      <c r="A3546" t="s">
        <v>12664</v>
      </c>
      <c r="B3546" t="s">
        <v>11038</v>
      </c>
      <c r="C3546" t="s">
        <v>11039</v>
      </c>
      <c r="D3546" t="s">
        <v>11881</v>
      </c>
      <c r="E3546" t="s">
        <v>11882</v>
      </c>
      <c r="F3546" t="s">
        <v>11881</v>
      </c>
      <c r="G3546" s="1">
        <v>800000</v>
      </c>
      <c r="H3546" s="2">
        <v>800000</v>
      </c>
      <c r="I3546" s="2">
        <v>799930.42</v>
      </c>
      <c r="J3546" s="2">
        <v>5549.04</v>
      </c>
      <c r="K3546" s="2">
        <v>0</v>
      </c>
      <c r="L3546" s="2">
        <v>805479.46</v>
      </c>
      <c r="M3546" s="3">
        <v>6.1553490000000002</v>
      </c>
      <c r="N3546" s="4">
        <v>1.8325500000000001E-3</v>
      </c>
      <c r="O3546" s="5">
        <v>44727</v>
      </c>
      <c r="P3546" s="5">
        <v>45000</v>
      </c>
      <c r="Q3546" s="1">
        <v>6.1749999999999998</v>
      </c>
      <c r="R3546" s="2">
        <v>0.14000000000000001</v>
      </c>
      <c r="S3546" s="6">
        <v>0.121958312463</v>
      </c>
      <c r="T3546" t="s">
        <v>111</v>
      </c>
      <c r="U3546" t="s">
        <v>11040</v>
      </c>
      <c r="V3546" t="s">
        <v>114</v>
      </c>
      <c r="W3546" t="s">
        <v>43</v>
      </c>
      <c r="X3546" t="s">
        <v>10988</v>
      </c>
      <c r="Y3546" t="s">
        <v>44</v>
      </c>
      <c r="Z3546" t="s">
        <v>44</v>
      </c>
      <c r="AA3546" t="s">
        <v>10979</v>
      </c>
      <c r="AB3546" t="s">
        <v>44</v>
      </c>
      <c r="AC3546" s="4">
        <v>6.3207521</v>
      </c>
      <c r="AD3546" s="4">
        <v>6.1447089999999998</v>
      </c>
      <c r="AE3546" s="2">
        <v>6.32</v>
      </c>
      <c r="AF3546" s="4">
        <v>6.1447089999999998</v>
      </c>
      <c r="AG3546" s="2">
        <v>0.34</v>
      </c>
      <c r="AH3546" s="2">
        <v>805479.46</v>
      </c>
      <c r="AI3546" s="2">
        <v>0</v>
      </c>
      <c r="AJ3546" s="5">
        <v>44673</v>
      </c>
      <c r="AK3546" t="s">
        <v>12665</v>
      </c>
      <c r="AL3546" s="2">
        <v>6.22</v>
      </c>
      <c r="AM3546" s="2">
        <v>6.17</v>
      </c>
      <c r="AN3546" s="2">
        <v>0.12</v>
      </c>
      <c r="AO3546" t="s">
        <v>11567</v>
      </c>
      <c r="AP3546" t="s">
        <v>11883</v>
      </c>
      <c r="AQ3546" t="s">
        <v>11882</v>
      </c>
    </row>
    <row r="3547" spans="1:43" x14ac:dyDescent="0.2">
      <c r="A3547" t="s">
        <v>12664</v>
      </c>
      <c r="B3547" t="s">
        <v>11038</v>
      </c>
      <c r="C3547" t="s">
        <v>11039</v>
      </c>
      <c r="D3547" t="s">
        <v>11387</v>
      </c>
      <c r="E3547" t="s">
        <v>11388</v>
      </c>
      <c r="F3547" t="s">
        <v>11387</v>
      </c>
      <c r="G3547" s="1">
        <v>3000000</v>
      </c>
      <c r="H3547" s="2">
        <v>3000000</v>
      </c>
      <c r="I3547" s="2">
        <v>2995535.56</v>
      </c>
      <c r="J3547" s="2">
        <v>63912.33</v>
      </c>
      <c r="K3547" s="2">
        <v>0</v>
      </c>
      <c r="L3547" s="2">
        <v>3059447.89</v>
      </c>
      <c r="M3547" s="3">
        <v>5.5360769999999997</v>
      </c>
      <c r="N3547" s="4">
        <v>6.9605700000000001E-3</v>
      </c>
      <c r="O3547" s="5">
        <v>44897</v>
      </c>
      <c r="P3547" s="5">
        <v>44897</v>
      </c>
      <c r="Q3547" s="1">
        <v>5.4</v>
      </c>
      <c r="R3547" s="2">
        <v>0.61</v>
      </c>
      <c r="S3547" s="6">
        <v>0.58584213564999998</v>
      </c>
      <c r="T3547" t="s">
        <v>111</v>
      </c>
      <c r="U3547" t="s">
        <v>11040</v>
      </c>
      <c r="V3547" t="s">
        <v>11041</v>
      </c>
      <c r="W3547" t="s">
        <v>43</v>
      </c>
      <c r="X3547" t="s">
        <v>11034</v>
      </c>
      <c r="Y3547" t="s">
        <v>44</v>
      </c>
      <c r="Z3547" t="s">
        <v>44</v>
      </c>
      <c r="AA3547" t="s">
        <v>10979</v>
      </c>
      <c r="AB3547" t="s">
        <v>44</v>
      </c>
      <c r="AC3547" s="4">
        <v>5.5963009100000001</v>
      </c>
      <c r="AD3547" s="4">
        <v>5.4576890300000001</v>
      </c>
      <c r="AE3547" s="2">
        <v>5.6</v>
      </c>
      <c r="AF3547" s="4">
        <v>5.4576890300000001</v>
      </c>
      <c r="AG3547" s="2">
        <v>1.28</v>
      </c>
      <c r="AH3547" s="2">
        <v>3059447.89</v>
      </c>
      <c r="AI3547" s="2">
        <v>0.01</v>
      </c>
      <c r="AJ3547" s="5">
        <v>44673</v>
      </c>
      <c r="AK3547" t="s">
        <v>12665</v>
      </c>
      <c r="AL3547" s="2">
        <v>5.52</v>
      </c>
      <c r="AM3547" s="2">
        <v>5.4</v>
      </c>
      <c r="AN3547" s="2">
        <v>0.59</v>
      </c>
      <c r="AO3547" t="s">
        <v>11165</v>
      </c>
      <c r="AP3547" t="s">
        <v>11389</v>
      </c>
      <c r="AQ3547" t="s">
        <v>11388</v>
      </c>
    </row>
    <row r="3548" spans="1:43" x14ac:dyDescent="0.2">
      <c r="A3548" t="s">
        <v>12664</v>
      </c>
      <c r="B3548" t="s">
        <v>11038</v>
      </c>
      <c r="C3548" t="s">
        <v>11039</v>
      </c>
      <c r="D3548" t="s">
        <v>11216</v>
      </c>
      <c r="E3548" t="s">
        <v>11217</v>
      </c>
      <c r="F3548" t="s">
        <v>11216</v>
      </c>
      <c r="G3548" s="1">
        <v>10000000</v>
      </c>
      <c r="H3548" s="2">
        <v>10000000</v>
      </c>
      <c r="I3548" s="2">
        <v>9988325.8399999999</v>
      </c>
      <c r="J3548" s="2">
        <v>101068.49</v>
      </c>
      <c r="K3548" s="2">
        <v>0</v>
      </c>
      <c r="L3548" s="2">
        <v>10089394.33</v>
      </c>
      <c r="M3548" s="3">
        <v>6.0366650000000002</v>
      </c>
      <c r="N3548" s="4">
        <v>2.2954459999999999E-2</v>
      </c>
      <c r="O3548" s="5">
        <v>44979</v>
      </c>
      <c r="P3548" s="5">
        <v>44979</v>
      </c>
      <c r="Q3548" s="1">
        <v>5.95</v>
      </c>
      <c r="R3548" s="2">
        <v>0.83</v>
      </c>
      <c r="S3548" s="6">
        <v>0.79052188852000005</v>
      </c>
      <c r="T3548" t="s">
        <v>111</v>
      </c>
      <c r="U3548" t="s">
        <v>11040</v>
      </c>
      <c r="V3548" t="s">
        <v>11041</v>
      </c>
      <c r="W3548" t="s">
        <v>43</v>
      </c>
      <c r="X3548" t="s">
        <v>11034</v>
      </c>
      <c r="Y3548" t="s">
        <v>44</v>
      </c>
      <c r="Z3548" t="s">
        <v>44</v>
      </c>
      <c r="AA3548" t="s">
        <v>10979</v>
      </c>
      <c r="AB3548" t="s">
        <v>44</v>
      </c>
      <c r="AC3548" s="4">
        <v>6.0672128599999997</v>
      </c>
      <c r="AD3548" s="4">
        <v>5.9047591700000002</v>
      </c>
      <c r="AE3548" s="2">
        <v>6.07</v>
      </c>
      <c r="AF3548" s="4">
        <v>5.9047591700000002</v>
      </c>
      <c r="AG3548" s="2">
        <v>4.21</v>
      </c>
      <c r="AH3548" s="2">
        <v>10089394.33</v>
      </c>
      <c r="AI3548" s="2">
        <v>0.02</v>
      </c>
      <c r="AJ3548" s="5">
        <v>44673</v>
      </c>
      <c r="AK3548" t="s">
        <v>12665</v>
      </c>
      <c r="AL3548" s="2">
        <v>5.98</v>
      </c>
      <c r="AM3548" s="2">
        <v>5.95</v>
      </c>
      <c r="AN3548" s="2">
        <v>0.79</v>
      </c>
      <c r="AO3548" t="s">
        <v>11165</v>
      </c>
      <c r="AP3548" t="s">
        <v>11218</v>
      </c>
      <c r="AQ3548" t="s">
        <v>11217</v>
      </c>
    </row>
    <row r="3549" spans="1:43" x14ac:dyDescent="0.2">
      <c r="A3549" t="s">
        <v>12664</v>
      </c>
      <c r="B3549" t="s">
        <v>11038</v>
      </c>
      <c r="C3549" t="s">
        <v>11039</v>
      </c>
      <c r="D3549" t="s">
        <v>11927</v>
      </c>
      <c r="E3549" t="s">
        <v>11928</v>
      </c>
      <c r="F3549" t="s">
        <v>11927</v>
      </c>
      <c r="G3549" s="1">
        <v>9000000</v>
      </c>
      <c r="H3549" s="2">
        <v>9000000</v>
      </c>
      <c r="I3549" s="2">
        <v>8994460.2599999998</v>
      </c>
      <c r="J3549" s="2">
        <v>83539.73</v>
      </c>
      <c r="K3549" s="2">
        <v>0</v>
      </c>
      <c r="L3549" s="2">
        <v>9077999.9900000002</v>
      </c>
      <c r="M3549" s="3">
        <v>6.0701000000000001</v>
      </c>
      <c r="N3549" s="4">
        <v>2.065343E-2</v>
      </c>
      <c r="O3549" s="5">
        <v>44985</v>
      </c>
      <c r="P3549" s="5">
        <v>44985</v>
      </c>
      <c r="Q3549" s="1">
        <v>6.05</v>
      </c>
      <c r="R3549" s="2">
        <v>0.85</v>
      </c>
      <c r="S3549" s="6">
        <v>0.80519785741000005</v>
      </c>
      <c r="T3549" t="s">
        <v>111</v>
      </c>
      <c r="U3549" t="s">
        <v>11040</v>
      </c>
      <c r="V3549" t="s">
        <v>11041</v>
      </c>
      <c r="W3549" t="s">
        <v>43</v>
      </c>
      <c r="X3549" t="s">
        <v>11034</v>
      </c>
      <c r="Y3549" t="s">
        <v>44</v>
      </c>
      <c r="Z3549" t="s">
        <v>44</v>
      </c>
      <c r="AA3549" t="s">
        <v>10979</v>
      </c>
      <c r="AB3549" t="s">
        <v>44</v>
      </c>
      <c r="AC3549" s="4">
        <v>6.0979783599999999</v>
      </c>
      <c r="AD3549" s="4">
        <v>5.9339036900000002</v>
      </c>
      <c r="AE3549" s="2">
        <v>6.1</v>
      </c>
      <c r="AF3549" s="4">
        <v>5.9339036900000002</v>
      </c>
      <c r="AG3549" s="2">
        <v>3.79</v>
      </c>
      <c r="AH3549" s="2">
        <v>9077999.9900000002</v>
      </c>
      <c r="AI3549" s="2">
        <v>0.02</v>
      </c>
      <c r="AJ3549" s="5">
        <v>44673</v>
      </c>
      <c r="AK3549" t="s">
        <v>12665</v>
      </c>
      <c r="AL3549" s="2">
        <v>6.01</v>
      </c>
      <c r="AM3549" s="2">
        <v>6.05</v>
      </c>
      <c r="AN3549" s="2">
        <v>0.81</v>
      </c>
      <c r="AO3549" t="s">
        <v>11165</v>
      </c>
      <c r="AP3549" t="s">
        <v>11929</v>
      </c>
      <c r="AQ3549" t="s">
        <v>11928</v>
      </c>
    </row>
    <row r="3550" spans="1:43" x14ac:dyDescent="0.2">
      <c r="A3550" t="s">
        <v>12664</v>
      </c>
      <c r="B3550" t="s">
        <v>11038</v>
      </c>
      <c r="C3550" t="s">
        <v>11039</v>
      </c>
      <c r="D3550" t="s">
        <v>12090</v>
      </c>
      <c r="E3550" t="s">
        <v>12091</v>
      </c>
      <c r="F3550" t="s">
        <v>12090</v>
      </c>
      <c r="G3550" s="1">
        <v>6000000</v>
      </c>
      <c r="H3550" s="2">
        <v>6000000</v>
      </c>
      <c r="I3550" s="2">
        <v>5998175.29</v>
      </c>
      <c r="J3550" s="2">
        <v>53145.21</v>
      </c>
      <c r="K3550" s="2">
        <v>0</v>
      </c>
      <c r="L3550" s="2">
        <v>6051320.5</v>
      </c>
      <c r="M3550" s="3">
        <v>6.0835429999999997</v>
      </c>
      <c r="N3550" s="4">
        <v>1.3767410000000001E-2</v>
      </c>
      <c r="O3550" s="5">
        <v>44988</v>
      </c>
      <c r="P3550" s="5">
        <v>44988</v>
      </c>
      <c r="Q3550" s="1">
        <v>6.1</v>
      </c>
      <c r="R3550" s="2">
        <v>0.85</v>
      </c>
      <c r="S3550" s="6">
        <v>0.81254093581999998</v>
      </c>
      <c r="T3550" t="s">
        <v>111</v>
      </c>
      <c r="U3550" t="s">
        <v>11040</v>
      </c>
      <c r="V3550" t="s">
        <v>11041</v>
      </c>
      <c r="W3550" t="s">
        <v>43</v>
      </c>
      <c r="X3550" t="s">
        <v>11034</v>
      </c>
      <c r="Y3550" t="s">
        <v>44</v>
      </c>
      <c r="Z3550" t="s">
        <v>44</v>
      </c>
      <c r="AA3550" t="s">
        <v>10979</v>
      </c>
      <c r="AB3550" t="s">
        <v>44</v>
      </c>
      <c r="AC3550" s="4">
        <v>6.1100351799999997</v>
      </c>
      <c r="AD3550" s="4">
        <v>5.9453231400000002</v>
      </c>
      <c r="AE3550" s="2">
        <v>6.11</v>
      </c>
      <c r="AF3550" s="4">
        <v>5.9453231400000002</v>
      </c>
      <c r="AG3550" s="2">
        <v>2.5299999999999998</v>
      </c>
      <c r="AH3550" s="2">
        <v>6051320.5</v>
      </c>
      <c r="AI3550" s="2">
        <v>0.01</v>
      </c>
      <c r="AJ3550" s="5">
        <v>44673</v>
      </c>
      <c r="AK3550" t="s">
        <v>12665</v>
      </c>
      <c r="AL3550" s="2">
        <v>6.02</v>
      </c>
      <c r="AM3550" s="2">
        <v>6.1</v>
      </c>
      <c r="AN3550" s="2">
        <v>0.81</v>
      </c>
      <c r="AO3550" t="s">
        <v>11165</v>
      </c>
      <c r="AP3550" t="s">
        <v>12092</v>
      </c>
      <c r="AQ3550" t="s">
        <v>12091</v>
      </c>
    </row>
    <row r="3551" spans="1:43" x14ac:dyDescent="0.2">
      <c r="A3551" t="s">
        <v>12664</v>
      </c>
      <c r="B3551" t="s">
        <v>11038</v>
      </c>
      <c r="C3551" t="s">
        <v>11039</v>
      </c>
      <c r="D3551" t="s">
        <v>12844</v>
      </c>
      <c r="E3551" t="s">
        <v>12845</v>
      </c>
      <c r="F3551" t="s">
        <v>12844</v>
      </c>
      <c r="G3551" s="1">
        <v>6000000</v>
      </c>
      <c r="H3551" s="2">
        <v>6000000</v>
      </c>
      <c r="I3551" s="2">
        <v>6006258.9400000004</v>
      </c>
      <c r="J3551" s="2">
        <v>26095.89</v>
      </c>
      <c r="K3551" s="2">
        <v>0</v>
      </c>
      <c r="L3551" s="2">
        <v>6032354.8300000001</v>
      </c>
      <c r="M3551" s="3">
        <v>6.2045560000000002</v>
      </c>
      <c r="N3551" s="4">
        <v>1.372426E-2</v>
      </c>
      <c r="O3551" s="5">
        <v>45016</v>
      </c>
      <c r="P3551" s="5">
        <v>45016</v>
      </c>
      <c r="Q3551" s="1">
        <v>6.35</v>
      </c>
      <c r="R3551" s="2">
        <v>0.93</v>
      </c>
      <c r="S3551" s="6">
        <v>0.88061116438999998</v>
      </c>
      <c r="T3551" t="s">
        <v>111</v>
      </c>
      <c r="U3551" t="s">
        <v>11040</v>
      </c>
      <c r="V3551" t="s">
        <v>11041</v>
      </c>
      <c r="W3551" t="s">
        <v>43</v>
      </c>
      <c r="X3551" t="s">
        <v>11034</v>
      </c>
      <c r="Y3551" t="s">
        <v>44</v>
      </c>
      <c r="Z3551" t="s">
        <v>44</v>
      </c>
      <c r="AA3551" t="s">
        <v>11035</v>
      </c>
      <c r="AB3551" t="s">
        <v>44</v>
      </c>
      <c r="AC3551" s="4">
        <v>6.2175109700000002</v>
      </c>
      <c r="AD3551" s="4">
        <v>6.0470648499999999</v>
      </c>
      <c r="AE3551" s="2">
        <v>6.22</v>
      </c>
      <c r="AF3551" s="4">
        <v>6.0470648499999999</v>
      </c>
      <c r="AG3551" s="2">
        <v>2.52</v>
      </c>
      <c r="AH3551" s="2">
        <v>6032354.8300000001</v>
      </c>
      <c r="AI3551" s="2">
        <v>0.01</v>
      </c>
      <c r="AJ3551" s="5">
        <v>44673</v>
      </c>
      <c r="AK3551" t="s">
        <v>12665</v>
      </c>
      <c r="AL3551" s="2">
        <v>6.12</v>
      </c>
      <c r="AM3551" s="2">
        <v>6.35</v>
      </c>
      <c r="AN3551" s="2">
        <v>0.88</v>
      </c>
      <c r="AO3551" t="s">
        <v>11036</v>
      </c>
      <c r="AP3551" t="s">
        <v>12846</v>
      </c>
      <c r="AQ3551" t="s">
        <v>12845</v>
      </c>
    </row>
    <row r="3552" spans="1:43" x14ac:dyDescent="0.2">
      <c r="A3552" t="s">
        <v>12664</v>
      </c>
      <c r="B3552" t="s">
        <v>11038</v>
      </c>
      <c r="C3552" t="s">
        <v>11039</v>
      </c>
      <c r="D3552" t="s">
        <v>12408</v>
      </c>
      <c r="E3552" t="s">
        <v>12409</v>
      </c>
      <c r="F3552" t="s">
        <v>12408</v>
      </c>
      <c r="G3552" s="1">
        <v>12700000</v>
      </c>
      <c r="H3552" s="2">
        <v>12372045.619999999</v>
      </c>
      <c r="I3552" s="2">
        <v>12372045.619999999</v>
      </c>
      <c r="J3552" s="2">
        <v>0</v>
      </c>
      <c r="K3552" s="2">
        <v>0</v>
      </c>
      <c r="L3552" s="2">
        <v>12372045.619999999</v>
      </c>
      <c r="M3552" s="3">
        <v>5.266508</v>
      </c>
      <c r="N3552" s="4">
        <v>2.8147740000000001E-2</v>
      </c>
      <c r="O3552" s="5" t="s">
        <v>44</v>
      </c>
      <c r="P3552" s="5">
        <v>44860</v>
      </c>
      <c r="Q3552" s="1">
        <v>0</v>
      </c>
      <c r="R3552" s="2">
        <v>0.5</v>
      </c>
      <c r="S3552" s="6">
        <v>0.49107213009</v>
      </c>
      <c r="T3552" t="s">
        <v>112</v>
      </c>
      <c r="U3552" t="s">
        <v>11040</v>
      </c>
      <c r="V3552" t="s">
        <v>11238</v>
      </c>
      <c r="W3552" t="s">
        <v>43</v>
      </c>
      <c r="X3552" t="s">
        <v>44</v>
      </c>
      <c r="Y3552" t="s">
        <v>44</v>
      </c>
      <c r="Z3552" t="s">
        <v>44</v>
      </c>
      <c r="AA3552" t="s">
        <v>10913</v>
      </c>
      <c r="AB3552" t="s">
        <v>44</v>
      </c>
      <c r="AC3552" s="4">
        <v>5.3352679900000002</v>
      </c>
      <c r="AD3552" s="4">
        <v>5.2090840299999996</v>
      </c>
      <c r="AE3552" s="2">
        <v>5.34</v>
      </c>
      <c r="AF3552" s="4">
        <v>5.2090840299999996</v>
      </c>
      <c r="AG3552" s="2">
        <v>5.16</v>
      </c>
      <c r="AH3552" s="2">
        <v>12372045.619999999</v>
      </c>
      <c r="AI3552" s="2">
        <v>0.03</v>
      </c>
      <c r="AJ3552" s="5">
        <v>44673</v>
      </c>
      <c r="AK3552" t="s">
        <v>12665</v>
      </c>
      <c r="AL3552" s="2">
        <v>5.27</v>
      </c>
      <c r="AM3552" s="2">
        <v>0</v>
      </c>
      <c r="AN3552" s="2">
        <v>0.49</v>
      </c>
      <c r="AO3552" t="s">
        <v>10922</v>
      </c>
      <c r="AP3552" t="s">
        <v>12410</v>
      </c>
      <c r="AQ3552" t="s">
        <v>12409</v>
      </c>
    </row>
    <row r="3553" spans="1:43" x14ac:dyDescent="0.2">
      <c r="A3553" t="s">
        <v>12664</v>
      </c>
      <c r="B3553" t="s">
        <v>11038</v>
      </c>
      <c r="C3553" t="s">
        <v>11039</v>
      </c>
      <c r="D3553" t="s">
        <v>12671</v>
      </c>
      <c r="E3553" t="s">
        <v>12672</v>
      </c>
      <c r="F3553" t="s">
        <v>12671</v>
      </c>
      <c r="G3553" s="1">
        <v>5000000</v>
      </c>
      <c r="H3553" s="2">
        <v>5000000</v>
      </c>
      <c r="I3553" s="2">
        <v>4990532.37</v>
      </c>
      <c r="J3553" s="2">
        <v>60386.99</v>
      </c>
      <c r="K3553" s="2">
        <v>0</v>
      </c>
      <c r="L3553" s="2">
        <v>5050919.3600000003</v>
      </c>
      <c r="M3553" s="3">
        <v>5.9048439999999998</v>
      </c>
      <c r="N3553" s="4">
        <v>1.1491390000000001E-2</v>
      </c>
      <c r="O3553" s="5">
        <v>44964</v>
      </c>
      <c r="P3553" s="5">
        <v>44964</v>
      </c>
      <c r="Q3553" s="1">
        <v>5.7249999999999996</v>
      </c>
      <c r="R3553" s="2">
        <v>0.79</v>
      </c>
      <c r="S3553" s="6">
        <v>0.75391495755000004</v>
      </c>
      <c r="T3553" t="s">
        <v>111</v>
      </c>
      <c r="U3553" t="s">
        <v>11040</v>
      </c>
      <c r="V3553" t="s">
        <v>11041</v>
      </c>
      <c r="W3553" t="s">
        <v>43</v>
      </c>
      <c r="X3553" t="s">
        <v>11034</v>
      </c>
      <c r="Y3553" t="s">
        <v>44</v>
      </c>
      <c r="Z3553" t="s">
        <v>44</v>
      </c>
      <c r="AA3553" t="s">
        <v>10979</v>
      </c>
      <c r="AB3553" t="s">
        <v>44</v>
      </c>
      <c r="AC3553" s="4">
        <v>5.9412114300000001</v>
      </c>
      <c r="AD3553" s="4">
        <v>5.7853156300000004</v>
      </c>
      <c r="AE3553" s="2">
        <v>5.94</v>
      </c>
      <c r="AF3553" s="4">
        <v>5.7853156300000004</v>
      </c>
      <c r="AG3553" s="2">
        <v>2.11</v>
      </c>
      <c r="AH3553" s="2">
        <v>5050919.3600000003</v>
      </c>
      <c r="AI3553" s="2">
        <v>0.01</v>
      </c>
      <c r="AJ3553" s="5">
        <v>44673</v>
      </c>
      <c r="AK3553" t="s">
        <v>12665</v>
      </c>
      <c r="AL3553" s="2">
        <v>5.86</v>
      </c>
      <c r="AM3553" s="2">
        <v>5.72</v>
      </c>
      <c r="AN3553" s="2">
        <v>0.75</v>
      </c>
      <c r="AO3553" t="s">
        <v>11179</v>
      </c>
      <c r="AP3553" t="s">
        <v>12673</v>
      </c>
      <c r="AQ3553" t="s">
        <v>12672</v>
      </c>
    </row>
    <row r="3554" spans="1:43" x14ac:dyDescent="0.2">
      <c r="A3554" t="s">
        <v>12664</v>
      </c>
      <c r="B3554" t="s">
        <v>11038</v>
      </c>
      <c r="C3554" t="s">
        <v>11039</v>
      </c>
      <c r="D3554" t="s">
        <v>11884</v>
      </c>
      <c r="E3554" t="s">
        <v>11885</v>
      </c>
      <c r="F3554" t="s">
        <v>11884</v>
      </c>
      <c r="G3554" s="1">
        <v>2500000</v>
      </c>
      <c r="H3554" s="2">
        <v>2500000</v>
      </c>
      <c r="I3554" s="2">
        <v>2502501.4300000002</v>
      </c>
      <c r="J3554" s="2">
        <v>34013.42</v>
      </c>
      <c r="K3554" s="2">
        <v>0</v>
      </c>
      <c r="L3554" s="2">
        <v>2536514.85</v>
      </c>
      <c r="M3554" s="3">
        <v>5.529731</v>
      </c>
      <c r="N3554" s="4">
        <v>5.7708400000000002E-3</v>
      </c>
      <c r="O3554" s="5">
        <v>44679</v>
      </c>
      <c r="P3554" s="5">
        <v>44862</v>
      </c>
      <c r="Q3554" s="1">
        <v>5.7080000000000002</v>
      </c>
      <c r="R3554" s="2">
        <v>0.01</v>
      </c>
      <c r="S3554" s="6">
        <v>3.323205444E-3</v>
      </c>
      <c r="T3554" t="s">
        <v>111</v>
      </c>
      <c r="U3554" t="s">
        <v>11040</v>
      </c>
      <c r="V3554" t="s">
        <v>114</v>
      </c>
      <c r="W3554" t="s">
        <v>43</v>
      </c>
      <c r="X3554" t="s">
        <v>10988</v>
      </c>
      <c r="Y3554" t="s">
        <v>44</v>
      </c>
      <c r="Z3554" t="s">
        <v>44</v>
      </c>
      <c r="AA3554" t="s">
        <v>11465</v>
      </c>
      <c r="AB3554" t="s">
        <v>44</v>
      </c>
      <c r="AC3554" s="4">
        <v>5.6841506900000001</v>
      </c>
      <c r="AD3554" s="4">
        <v>5.5412295399999998</v>
      </c>
      <c r="AE3554" s="2">
        <v>5.68</v>
      </c>
      <c r="AF3554" s="4">
        <v>5.5412295399999998</v>
      </c>
      <c r="AG3554" s="2">
        <v>1.06</v>
      </c>
      <c r="AH3554" s="2">
        <v>2536514.85</v>
      </c>
      <c r="AI3554" s="2">
        <v>0.01</v>
      </c>
      <c r="AJ3554" s="5">
        <v>44673</v>
      </c>
      <c r="AK3554" t="s">
        <v>12665</v>
      </c>
      <c r="AL3554" s="2">
        <v>5.61</v>
      </c>
      <c r="AM3554" s="2">
        <v>5.71</v>
      </c>
      <c r="AN3554" s="2">
        <v>0</v>
      </c>
      <c r="AO3554" t="s">
        <v>11886</v>
      </c>
      <c r="AP3554" t="s">
        <v>11887</v>
      </c>
      <c r="AQ3554" t="s">
        <v>11885</v>
      </c>
    </row>
    <row r="3555" spans="1:43" x14ac:dyDescent="0.2">
      <c r="A3555" t="s">
        <v>12664</v>
      </c>
      <c r="B3555" t="s">
        <v>11038</v>
      </c>
      <c r="C3555" t="s">
        <v>11222</v>
      </c>
      <c r="D3555" t="s">
        <v>12411</v>
      </c>
      <c r="E3555" t="s">
        <v>12412</v>
      </c>
      <c r="F3555" t="s">
        <v>12411</v>
      </c>
      <c r="G3555" s="1">
        <v>3000000</v>
      </c>
      <c r="H3555" s="2">
        <v>2998295.3</v>
      </c>
      <c r="I3555" s="2">
        <v>2927937.52</v>
      </c>
      <c r="J3555" s="2">
        <v>21840</v>
      </c>
      <c r="K3555" s="2">
        <v>0</v>
      </c>
      <c r="L3555" s="2">
        <v>2949777.52</v>
      </c>
      <c r="M3555" s="3">
        <v>6.6384730000000003</v>
      </c>
      <c r="N3555" s="4">
        <v>6.7110599999999996E-3</v>
      </c>
      <c r="O3555" s="5">
        <v>44802</v>
      </c>
      <c r="P3555" s="5">
        <v>45166</v>
      </c>
      <c r="Q3555" s="1">
        <v>4.7450000000000001</v>
      </c>
      <c r="R3555" s="2">
        <v>1.31</v>
      </c>
      <c r="S3555" s="6">
        <v>1.2656391004</v>
      </c>
      <c r="T3555" t="s">
        <v>111</v>
      </c>
      <c r="U3555" t="s">
        <v>11040</v>
      </c>
      <c r="V3555" t="s">
        <v>11041</v>
      </c>
      <c r="W3555" t="s">
        <v>43</v>
      </c>
      <c r="X3555" t="s">
        <v>11034</v>
      </c>
      <c r="Y3555" t="s">
        <v>44</v>
      </c>
      <c r="Z3555" t="s">
        <v>44</v>
      </c>
      <c r="AA3555" t="s">
        <v>10979</v>
      </c>
      <c r="AB3555" t="s">
        <v>44</v>
      </c>
      <c r="AC3555" s="4">
        <v>6.7486467699999997</v>
      </c>
      <c r="AD3555" s="4">
        <v>6.5484819600000002</v>
      </c>
      <c r="AE3555" s="2">
        <v>6.75</v>
      </c>
      <c r="AF3555" s="4">
        <v>6.5484819600000002</v>
      </c>
      <c r="AG3555" s="2">
        <v>1.23</v>
      </c>
      <c r="AH3555" s="2">
        <v>2949777.52</v>
      </c>
      <c r="AI3555" s="2">
        <v>0.01</v>
      </c>
      <c r="AJ3555" s="5">
        <v>44673</v>
      </c>
      <c r="AK3555" t="s">
        <v>12665</v>
      </c>
      <c r="AL3555" s="2">
        <v>6.64</v>
      </c>
      <c r="AM3555" s="2">
        <v>4.75</v>
      </c>
      <c r="AN3555" s="2">
        <v>1.27</v>
      </c>
      <c r="AO3555" t="s">
        <v>11165</v>
      </c>
      <c r="AP3555" t="s">
        <v>12413</v>
      </c>
      <c r="AQ3555" t="s">
        <v>12412</v>
      </c>
    </row>
    <row r="3556" spans="1:43" x14ac:dyDescent="0.2">
      <c r="A3556" t="s">
        <v>12664</v>
      </c>
      <c r="B3556" t="s">
        <v>11038</v>
      </c>
      <c r="C3556" t="s">
        <v>11222</v>
      </c>
      <c r="D3556" t="s">
        <v>12414</v>
      </c>
      <c r="E3556" t="s">
        <v>12415</v>
      </c>
      <c r="F3556" t="s">
        <v>12414</v>
      </c>
      <c r="G3556" s="1">
        <v>8000000</v>
      </c>
      <c r="H3556" s="2">
        <v>8000000</v>
      </c>
      <c r="I3556" s="2">
        <v>7878958.3700000001</v>
      </c>
      <c r="J3556" s="2">
        <v>125930.96</v>
      </c>
      <c r="K3556" s="2">
        <v>0</v>
      </c>
      <c r="L3556" s="2">
        <v>8004889.3300000001</v>
      </c>
      <c r="M3556" s="3">
        <v>6.4641299999999999</v>
      </c>
      <c r="N3556" s="4">
        <v>1.8211990000000001E-2</v>
      </c>
      <c r="O3556" s="5">
        <v>44746</v>
      </c>
      <c r="P3556" s="5">
        <v>45110</v>
      </c>
      <c r="Q3556" s="1">
        <v>5.13</v>
      </c>
      <c r="R3556" s="2">
        <v>1.1499999999999999</v>
      </c>
      <c r="S3556" s="6">
        <v>1.1156024281500001</v>
      </c>
      <c r="T3556" t="s">
        <v>111</v>
      </c>
      <c r="U3556" t="s">
        <v>11040</v>
      </c>
      <c r="V3556" t="s">
        <v>11041</v>
      </c>
      <c r="W3556" t="s">
        <v>43</v>
      </c>
      <c r="X3556" t="s">
        <v>44</v>
      </c>
      <c r="Y3556" t="s">
        <v>44</v>
      </c>
      <c r="Z3556" t="s">
        <v>44</v>
      </c>
      <c r="AA3556" t="s">
        <v>10979</v>
      </c>
      <c r="AB3556" t="s">
        <v>44</v>
      </c>
      <c r="AC3556" s="4">
        <v>6.5685925300000001</v>
      </c>
      <c r="AD3556" s="4">
        <v>6.3787590500000002</v>
      </c>
      <c r="AE3556" s="2">
        <v>6.57</v>
      </c>
      <c r="AF3556" s="4">
        <v>6.3787590500000002</v>
      </c>
      <c r="AG3556" s="2">
        <v>3.34</v>
      </c>
      <c r="AH3556" s="2">
        <v>8004889.3300000001</v>
      </c>
      <c r="AI3556" s="2">
        <v>0.02</v>
      </c>
      <c r="AJ3556" s="5">
        <v>44673</v>
      </c>
      <c r="AK3556" t="s">
        <v>12665</v>
      </c>
      <c r="AL3556" s="2">
        <v>6.46</v>
      </c>
      <c r="AM3556" s="2">
        <v>5.13</v>
      </c>
      <c r="AN3556" s="2">
        <v>1.1200000000000001</v>
      </c>
      <c r="AO3556" t="s">
        <v>11165</v>
      </c>
      <c r="AP3556" t="s">
        <v>12416</v>
      </c>
      <c r="AQ3556" t="s">
        <v>12415</v>
      </c>
    </row>
    <row r="3557" spans="1:43" x14ac:dyDescent="0.2">
      <c r="A3557" t="s">
        <v>12664</v>
      </c>
      <c r="B3557" t="s">
        <v>11038</v>
      </c>
      <c r="C3557" t="s">
        <v>11222</v>
      </c>
      <c r="D3557" t="s">
        <v>12626</v>
      </c>
      <c r="E3557" t="s">
        <v>12627</v>
      </c>
      <c r="F3557" t="s">
        <v>12626</v>
      </c>
      <c r="G3557" s="1">
        <v>2000000</v>
      </c>
      <c r="H3557" s="2">
        <v>2000000</v>
      </c>
      <c r="I3557" s="2">
        <v>1964082.24</v>
      </c>
      <c r="J3557" s="2">
        <v>15555.07</v>
      </c>
      <c r="K3557" s="2">
        <v>0</v>
      </c>
      <c r="L3557" s="2">
        <v>1979637.31</v>
      </c>
      <c r="M3557" s="3">
        <v>7.0709489999999997</v>
      </c>
      <c r="N3557" s="4">
        <v>4.50389E-3</v>
      </c>
      <c r="O3557" s="5">
        <v>44813</v>
      </c>
      <c r="P3557" s="5">
        <v>45362</v>
      </c>
      <c r="Q3557" s="1">
        <v>6.04</v>
      </c>
      <c r="R3557" s="2">
        <v>1.79</v>
      </c>
      <c r="S3557" s="6">
        <v>1.7303939900900001</v>
      </c>
      <c r="T3557" t="s">
        <v>111</v>
      </c>
      <c r="U3557" t="s">
        <v>11040</v>
      </c>
      <c r="V3557" t="s">
        <v>11041</v>
      </c>
      <c r="W3557" t="s">
        <v>43</v>
      </c>
      <c r="X3557" t="s">
        <v>44</v>
      </c>
      <c r="Y3557" t="s">
        <v>44</v>
      </c>
      <c r="Z3557" t="s">
        <v>44</v>
      </c>
      <c r="AA3557" t="s">
        <v>10979</v>
      </c>
      <c r="AB3557" t="s">
        <v>44</v>
      </c>
      <c r="AC3557" s="4">
        <v>7.1959444499999998</v>
      </c>
      <c r="AD3557" s="4">
        <v>6.9689811400000004</v>
      </c>
      <c r="AE3557" s="2">
        <v>7.2</v>
      </c>
      <c r="AF3557" s="4">
        <v>6.9689811400000004</v>
      </c>
      <c r="AG3557" s="2">
        <v>0.83</v>
      </c>
      <c r="AH3557" s="2">
        <v>1979637.31</v>
      </c>
      <c r="AI3557" s="2">
        <v>0</v>
      </c>
      <c r="AJ3557" s="5">
        <v>44673</v>
      </c>
      <c r="AK3557" t="s">
        <v>12665</v>
      </c>
      <c r="AL3557" s="2">
        <v>7.07</v>
      </c>
      <c r="AM3557" s="2">
        <v>6.04</v>
      </c>
      <c r="AN3557" s="2">
        <v>1.73</v>
      </c>
      <c r="AO3557" t="s">
        <v>11165</v>
      </c>
      <c r="AP3557" t="s">
        <v>12628</v>
      </c>
      <c r="AQ3557" t="s">
        <v>12627</v>
      </c>
    </row>
    <row r="3558" spans="1:43" x14ac:dyDescent="0.2">
      <c r="A3558" t="s">
        <v>12664</v>
      </c>
      <c r="B3558" t="s">
        <v>11038</v>
      </c>
      <c r="C3558" t="s">
        <v>11222</v>
      </c>
      <c r="D3558" t="s">
        <v>11933</v>
      </c>
      <c r="E3558" t="s">
        <v>11934</v>
      </c>
      <c r="F3558" t="s">
        <v>11933</v>
      </c>
      <c r="G3558" s="1">
        <v>5000000</v>
      </c>
      <c r="H3558" s="2">
        <v>4980235.82</v>
      </c>
      <c r="I3558" s="2">
        <v>4875916.1399999997</v>
      </c>
      <c r="J3558" s="2">
        <v>124043.84</v>
      </c>
      <c r="K3558" s="2">
        <v>0</v>
      </c>
      <c r="L3558" s="2">
        <v>4999959.9800000004</v>
      </c>
      <c r="M3558" s="3">
        <v>7.1876509999999998</v>
      </c>
      <c r="N3558" s="4">
        <v>1.137545E-2</v>
      </c>
      <c r="O3558" s="5">
        <v>44701</v>
      </c>
      <c r="P3558" s="5">
        <v>45432</v>
      </c>
      <c r="Q3558" s="1">
        <v>5.88</v>
      </c>
      <c r="R3558" s="2">
        <v>1.93</v>
      </c>
      <c r="S3558" s="6">
        <v>1.86378459163</v>
      </c>
      <c r="T3558" t="s">
        <v>111</v>
      </c>
      <c r="U3558" t="s">
        <v>11040</v>
      </c>
      <c r="V3558" t="s">
        <v>11041</v>
      </c>
      <c r="W3558" t="s">
        <v>43</v>
      </c>
      <c r="X3558" t="s">
        <v>44</v>
      </c>
      <c r="Y3558" t="s">
        <v>44</v>
      </c>
      <c r="Z3558" t="s">
        <v>44</v>
      </c>
      <c r="AA3558" t="s">
        <v>10979</v>
      </c>
      <c r="AB3558" t="s">
        <v>44</v>
      </c>
      <c r="AC3558" s="4">
        <v>7.3168070500000004</v>
      </c>
      <c r="AD3558" s="4">
        <v>7.0823266</v>
      </c>
      <c r="AE3558" s="2">
        <v>7.32</v>
      </c>
      <c r="AF3558" s="4">
        <v>7.0823266</v>
      </c>
      <c r="AG3558" s="2">
        <v>2.09</v>
      </c>
      <c r="AH3558" s="2">
        <v>4999959.9800000004</v>
      </c>
      <c r="AI3558" s="2">
        <v>0.01</v>
      </c>
      <c r="AJ3558" s="5">
        <v>44673</v>
      </c>
      <c r="AK3558" t="s">
        <v>12665</v>
      </c>
      <c r="AL3558" s="2">
        <v>7.19</v>
      </c>
      <c r="AM3558" s="2">
        <v>5.88</v>
      </c>
      <c r="AN3558" s="2">
        <v>1.86</v>
      </c>
      <c r="AO3558" t="s">
        <v>11054</v>
      </c>
      <c r="AP3558" t="s">
        <v>11935</v>
      </c>
      <c r="AQ3558" t="s">
        <v>11934</v>
      </c>
    </row>
    <row r="3559" spans="1:43" x14ac:dyDescent="0.2">
      <c r="A3559" t="s">
        <v>12664</v>
      </c>
      <c r="B3559" t="s">
        <v>11038</v>
      </c>
      <c r="C3559" t="s">
        <v>11222</v>
      </c>
      <c r="D3559" t="s">
        <v>12363</v>
      </c>
      <c r="E3559" t="s">
        <v>12364</v>
      </c>
      <c r="F3559" t="s">
        <v>12363</v>
      </c>
      <c r="G3559" s="1">
        <v>8000000</v>
      </c>
      <c r="H3559" s="2">
        <v>7964579.0499999998</v>
      </c>
      <c r="I3559" s="2">
        <v>7773024.4900000002</v>
      </c>
      <c r="J3559" s="2">
        <v>73521.100000000006</v>
      </c>
      <c r="K3559" s="2">
        <v>0</v>
      </c>
      <c r="L3559" s="2">
        <v>7846545.5899999999</v>
      </c>
      <c r="M3559" s="3">
        <v>7.3248699999999998</v>
      </c>
      <c r="N3559" s="4">
        <v>1.7851740000000001E-2</v>
      </c>
      <c r="O3559" s="5">
        <v>44802</v>
      </c>
      <c r="P3559" s="5">
        <v>45531</v>
      </c>
      <c r="Q3559" s="1">
        <v>5.99</v>
      </c>
      <c r="R3559" s="2">
        <v>2.2000000000000002</v>
      </c>
      <c r="S3559" s="6">
        <v>2.1214710781399999</v>
      </c>
      <c r="T3559" t="s">
        <v>111</v>
      </c>
      <c r="U3559" t="s">
        <v>11040</v>
      </c>
      <c r="V3559" t="s">
        <v>11041</v>
      </c>
      <c r="W3559" t="s">
        <v>43</v>
      </c>
      <c r="X3559" t="s">
        <v>44</v>
      </c>
      <c r="Y3559" t="s">
        <v>44</v>
      </c>
      <c r="Z3559" t="s">
        <v>44</v>
      </c>
      <c r="AA3559" t="s">
        <v>10979</v>
      </c>
      <c r="AB3559" t="s">
        <v>44</v>
      </c>
      <c r="AC3559" s="4">
        <v>7.4590046399999999</v>
      </c>
      <c r="AD3559" s="4">
        <v>7.2155303799999997</v>
      </c>
      <c r="AE3559" s="2">
        <v>7.46</v>
      </c>
      <c r="AF3559" s="4">
        <v>7.2155303799999997</v>
      </c>
      <c r="AG3559" s="2">
        <v>3.27</v>
      </c>
      <c r="AH3559" s="2">
        <v>7846545.5899999999</v>
      </c>
      <c r="AI3559" s="2">
        <v>0.02</v>
      </c>
      <c r="AJ3559" s="5">
        <v>44673</v>
      </c>
      <c r="AK3559" t="s">
        <v>12665</v>
      </c>
      <c r="AL3559" s="2">
        <v>7.32</v>
      </c>
      <c r="AM3559" s="2">
        <v>5.99</v>
      </c>
      <c r="AN3559" s="2">
        <v>2.12</v>
      </c>
      <c r="AO3559" t="s">
        <v>11054</v>
      </c>
      <c r="AP3559" t="s">
        <v>12365</v>
      </c>
      <c r="AQ3559" t="s">
        <v>12364</v>
      </c>
    </row>
    <row r="3560" spans="1:43" x14ac:dyDescent="0.2">
      <c r="A3560" t="s">
        <v>12664</v>
      </c>
      <c r="B3560" t="s">
        <v>11038</v>
      </c>
      <c r="C3560" t="s">
        <v>11222</v>
      </c>
      <c r="D3560" t="s">
        <v>12677</v>
      </c>
      <c r="E3560" t="s">
        <v>12678</v>
      </c>
      <c r="F3560" t="s">
        <v>12677</v>
      </c>
      <c r="G3560" s="1">
        <v>6000000</v>
      </c>
      <c r="H3560" s="2">
        <v>5973637.2800000003</v>
      </c>
      <c r="I3560" s="2">
        <v>5834292.9299999997</v>
      </c>
      <c r="J3560" s="2">
        <v>41907.949999999997</v>
      </c>
      <c r="K3560" s="2">
        <v>0</v>
      </c>
      <c r="L3560" s="2">
        <v>5876200.8799999999</v>
      </c>
      <c r="M3560" s="3">
        <v>7.3468239999999998</v>
      </c>
      <c r="N3560" s="4">
        <v>1.3368990000000001E-2</v>
      </c>
      <c r="O3560" s="5">
        <v>44817</v>
      </c>
      <c r="P3560" s="5">
        <v>45548</v>
      </c>
      <c r="Q3560" s="1">
        <v>6.07</v>
      </c>
      <c r="R3560" s="2">
        <v>2.2400000000000002</v>
      </c>
      <c r="S3560" s="6">
        <v>2.1636362157</v>
      </c>
      <c r="T3560" t="s">
        <v>111</v>
      </c>
      <c r="U3560" t="s">
        <v>11040</v>
      </c>
      <c r="V3560" t="s">
        <v>11041</v>
      </c>
      <c r="W3560" t="s">
        <v>43</v>
      </c>
      <c r="X3560" t="s">
        <v>44</v>
      </c>
      <c r="Y3560" t="s">
        <v>44</v>
      </c>
      <c r="Z3560" t="s">
        <v>44</v>
      </c>
      <c r="AA3560" t="s">
        <v>10979</v>
      </c>
      <c r="AB3560" t="s">
        <v>44</v>
      </c>
      <c r="AC3560" s="4">
        <v>7.4817640000000001</v>
      </c>
      <c r="AD3560" s="4">
        <v>7.2368352299999996</v>
      </c>
      <c r="AE3560" s="2">
        <v>7.48</v>
      </c>
      <c r="AF3560" s="4">
        <v>7.2368352299999996</v>
      </c>
      <c r="AG3560" s="2">
        <v>2.4500000000000002</v>
      </c>
      <c r="AH3560" s="2">
        <v>5876200.8799999999</v>
      </c>
      <c r="AI3560" s="2">
        <v>0.01</v>
      </c>
      <c r="AJ3560" s="5">
        <v>44673</v>
      </c>
      <c r="AK3560" t="s">
        <v>12665</v>
      </c>
      <c r="AL3560" s="2">
        <v>7.35</v>
      </c>
      <c r="AM3560" s="2">
        <v>6.07</v>
      </c>
      <c r="AN3560" s="2">
        <v>2.16</v>
      </c>
      <c r="AO3560" t="s">
        <v>11054</v>
      </c>
      <c r="AP3560" t="s">
        <v>12679</v>
      </c>
      <c r="AQ3560" t="s">
        <v>12678</v>
      </c>
    </row>
    <row r="3561" spans="1:43" x14ac:dyDescent="0.2">
      <c r="A3561" t="s">
        <v>12664</v>
      </c>
      <c r="B3561" t="s">
        <v>11038</v>
      </c>
      <c r="C3561" t="s">
        <v>11222</v>
      </c>
      <c r="D3561" t="s">
        <v>11888</v>
      </c>
      <c r="E3561" t="s">
        <v>11889</v>
      </c>
      <c r="F3561" t="s">
        <v>11888</v>
      </c>
      <c r="G3561" s="1">
        <v>1500000</v>
      </c>
      <c r="H3561" s="2">
        <v>1500000</v>
      </c>
      <c r="I3561" s="2">
        <v>1505106.05</v>
      </c>
      <c r="J3561" s="2">
        <v>11915.05</v>
      </c>
      <c r="K3561" s="2">
        <v>0</v>
      </c>
      <c r="L3561" s="2">
        <v>1517021.1</v>
      </c>
      <c r="M3561" s="3">
        <v>5.6397240000000002</v>
      </c>
      <c r="N3561" s="4">
        <v>3.4513899999999999E-3</v>
      </c>
      <c r="O3561" s="5">
        <v>44718</v>
      </c>
      <c r="P3561" s="5">
        <v>45083</v>
      </c>
      <c r="Q3561" s="1">
        <v>5.9169999999999998</v>
      </c>
      <c r="R3561" s="2">
        <v>0.12</v>
      </c>
      <c r="S3561" s="6">
        <v>0.10153073584699999</v>
      </c>
      <c r="T3561" t="s">
        <v>111</v>
      </c>
      <c r="U3561" t="s">
        <v>11040</v>
      </c>
      <c r="V3561" t="s">
        <v>114</v>
      </c>
      <c r="W3561" t="s">
        <v>43</v>
      </c>
      <c r="X3561" t="s">
        <v>10988</v>
      </c>
      <c r="Y3561" t="s">
        <v>44</v>
      </c>
      <c r="Z3561" t="s">
        <v>44</v>
      </c>
      <c r="AA3561" t="s">
        <v>10913</v>
      </c>
      <c r="AB3561" t="s">
        <v>44</v>
      </c>
      <c r="AC3561" s="4">
        <v>5.7825122599999998</v>
      </c>
      <c r="AD3561" s="4">
        <v>5.63469072</v>
      </c>
      <c r="AE3561" s="2">
        <v>5.78</v>
      </c>
      <c r="AF3561" s="4">
        <v>5.63469072</v>
      </c>
      <c r="AG3561" s="2">
        <v>0.63</v>
      </c>
      <c r="AH3561" s="2">
        <v>1517021.1</v>
      </c>
      <c r="AI3561" s="2">
        <v>0</v>
      </c>
      <c r="AJ3561" s="5">
        <v>44673</v>
      </c>
      <c r="AK3561" t="s">
        <v>12665</v>
      </c>
      <c r="AL3561" s="2">
        <v>5.7</v>
      </c>
      <c r="AM3561" s="2">
        <v>5.92</v>
      </c>
      <c r="AN3561" s="2">
        <v>0.1</v>
      </c>
      <c r="AO3561" t="s">
        <v>11563</v>
      </c>
      <c r="AP3561" t="s">
        <v>11890</v>
      </c>
      <c r="AQ3561" t="s">
        <v>11889</v>
      </c>
    </row>
    <row r="3562" spans="1:43" x14ac:dyDescent="0.2">
      <c r="A3562" t="s">
        <v>12664</v>
      </c>
      <c r="B3562" t="s">
        <v>11038</v>
      </c>
      <c r="C3562" t="s">
        <v>11222</v>
      </c>
      <c r="D3562" t="s">
        <v>12680</v>
      </c>
      <c r="E3562" t="s">
        <v>12681</v>
      </c>
      <c r="F3562" t="s">
        <v>12680</v>
      </c>
      <c r="G3562" s="1">
        <v>2000000</v>
      </c>
      <c r="H3562" s="2">
        <v>2000000</v>
      </c>
      <c r="I3562" s="2">
        <v>1962705.43</v>
      </c>
      <c r="J3562" s="2">
        <v>15123.29</v>
      </c>
      <c r="K3562" s="2">
        <v>0</v>
      </c>
      <c r="L3562" s="2">
        <v>1977828.72</v>
      </c>
      <c r="M3562" s="3">
        <v>7.0709569999999999</v>
      </c>
      <c r="N3562" s="4">
        <v>4.4997700000000002E-3</v>
      </c>
      <c r="O3562" s="5">
        <v>44816</v>
      </c>
      <c r="P3562" s="5">
        <v>45362</v>
      </c>
      <c r="Q3562" s="1">
        <v>6</v>
      </c>
      <c r="R3562" s="2">
        <v>1.79</v>
      </c>
      <c r="S3562" s="6">
        <v>1.73112911671</v>
      </c>
      <c r="T3562" t="s">
        <v>111</v>
      </c>
      <c r="U3562" t="s">
        <v>11040</v>
      </c>
      <c r="V3562" t="s">
        <v>11041</v>
      </c>
      <c r="W3562" t="s">
        <v>43</v>
      </c>
      <c r="X3562" t="s">
        <v>44</v>
      </c>
      <c r="Y3562" t="s">
        <v>44</v>
      </c>
      <c r="Z3562" t="s">
        <v>44</v>
      </c>
      <c r="AA3562" t="s">
        <v>11035</v>
      </c>
      <c r="AB3562" t="s">
        <v>44</v>
      </c>
      <c r="AC3562" s="4">
        <v>7.1959530999999997</v>
      </c>
      <c r="AD3562" s="4">
        <v>6.9689892599999999</v>
      </c>
      <c r="AE3562" s="2">
        <v>7.2</v>
      </c>
      <c r="AF3562" s="4">
        <v>6.9689892599999999</v>
      </c>
      <c r="AG3562" s="2">
        <v>0.83</v>
      </c>
      <c r="AH3562" s="2">
        <v>1977828.72</v>
      </c>
      <c r="AI3562" s="2">
        <v>0</v>
      </c>
      <c r="AJ3562" s="5">
        <v>44673</v>
      </c>
      <c r="AK3562" t="s">
        <v>12665</v>
      </c>
      <c r="AL3562" s="2">
        <v>7.07</v>
      </c>
      <c r="AM3562" s="2">
        <v>6</v>
      </c>
      <c r="AN3562" s="2">
        <v>1.73</v>
      </c>
      <c r="AO3562" t="s">
        <v>11036</v>
      </c>
      <c r="AP3562" t="s">
        <v>12682</v>
      </c>
      <c r="AQ3562" t="s">
        <v>12681</v>
      </c>
    </row>
    <row r="3563" spans="1:43" x14ac:dyDescent="0.2">
      <c r="A3563" t="s">
        <v>12664</v>
      </c>
      <c r="B3563" t="s">
        <v>11038</v>
      </c>
      <c r="C3563" t="s">
        <v>11222</v>
      </c>
      <c r="D3563" t="s">
        <v>12683</v>
      </c>
      <c r="E3563" t="s">
        <v>12684</v>
      </c>
      <c r="F3563" t="s">
        <v>12683</v>
      </c>
      <c r="G3563" s="1">
        <v>8000000</v>
      </c>
      <c r="H3563" s="2">
        <v>8000000</v>
      </c>
      <c r="I3563" s="2">
        <v>7763139.1699999999</v>
      </c>
      <c r="J3563" s="2">
        <v>102750.68</v>
      </c>
      <c r="K3563" s="2">
        <v>0</v>
      </c>
      <c r="L3563" s="2">
        <v>7865889.8499999996</v>
      </c>
      <c r="M3563" s="3">
        <v>7.2904710000000001</v>
      </c>
      <c r="N3563" s="4">
        <v>1.7895749999999998E-2</v>
      </c>
      <c r="O3563" s="5">
        <v>44777</v>
      </c>
      <c r="P3563" s="5">
        <v>45506</v>
      </c>
      <c r="Q3563" s="1">
        <v>5.86</v>
      </c>
      <c r="R3563" s="2">
        <v>2.13</v>
      </c>
      <c r="S3563" s="6">
        <v>2.05870973064</v>
      </c>
      <c r="T3563" t="s">
        <v>111</v>
      </c>
      <c r="U3563" t="s">
        <v>11040</v>
      </c>
      <c r="V3563" t="s">
        <v>11041</v>
      </c>
      <c r="W3563" t="s">
        <v>43</v>
      </c>
      <c r="X3563" t="s">
        <v>44</v>
      </c>
      <c r="Y3563" t="s">
        <v>44</v>
      </c>
      <c r="Z3563" t="s">
        <v>44</v>
      </c>
      <c r="AA3563" t="s">
        <v>11035</v>
      </c>
      <c r="AB3563" t="s">
        <v>44</v>
      </c>
      <c r="AC3563" s="4">
        <v>7.4233486400000004</v>
      </c>
      <c r="AD3563" s="4">
        <v>7.1821447599999999</v>
      </c>
      <c r="AE3563" s="2">
        <v>7.42</v>
      </c>
      <c r="AF3563" s="4">
        <v>7.1821447599999999</v>
      </c>
      <c r="AG3563" s="2">
        <v>3.28</v>
      </c>
      <c r="AH3563" s="2">
        <v>7865889.8499999996</v>
      </c>
      <c r="AI3563" s="2">
        <v>0.02</v>
      </c>
      <c r="AJ3563" s="5">
        <v>44673</v>
      </c>
      <c r="AK3563" t="s">
        <v>12665</v>
      </c>
      <c r="AL3563" s="2">
        <v>7.29</v>
      </c>
      <c r="AM3563" s="2">
        <v>5.86</v>
      </c>
      <c r="AN3563" s="2">
        <v>2.06</v>
      </c>
      <c r="AO3563" t="s">
        <v>11036</v>
      </c>
      <c r="AP3563" t="s">
        <v>12685</v>
      </c>
      <c r="AQ3563" t="s">
        <v>12684</v>
      </c>
    </row>
    <row r="3564" spans="1:43" x14ac:dyDescent="0.2">
      <c r="A3564" t="s">
        <v>12664</v>
      </c>
      <c r="B3564" t="s">
        <v>11038</v>
      </c>
      <c r="C3564" t="s">
        <v>11222</v>
      </c>
      <c r="D3564" t="s">
        <v>12300</v>
      </c>
      <c r="E3564" t="s">
        <v>12301</v>
      </c>
      <c r="F3564" t="s">
        <v>12300</v>
      </c>
      <c r="G3564" s="1">
        <v>10000000</v>
      </c>
      <c r="H3564" s="2">
        <v>10000000</v>
      </c>
      <c r="I3564" s="2">
        <v>9720655.4299999997</v>
      </c>
      <c r="J3564" s="2">
        <v>136241.1</v>
      </c>
      <c r="K3564" s="2">
        <v>0</v>
      </c>
      <c r="L3564" s="2">
        <v>9856896.5299999993</v>
      </c>
      <c r="M3564" s="3">
        <v>7.2799759999999996</v>
      </c>
      <c r="N3564" s="4">
        <v>2.2425500000000001E-2</v>
      </c>
      <c r="O3564" s="5">
        <v>44771</v>
      </c>
      <c r="P3564" s="5">
        <v>45499</v>
      </c>
      <c r="Q3564" s="1">
        <v>5.92</v>
      </c>
      <c r="R3564" s="2">
        <v>2.11</v>
      </c>
      <c r="S3564" s="6">
        <v>2.0400044886500002</v>
      </c>
      <c r="T3564" t="s">
        <v>111</v>
      </c>
      <c r="U3564" t="s">
        <v>11040</v>
      </c>
      <c r="V3564" t="s">
        <v>11041</v>
      </c>
      <c r="W3564" t="s">
        <v>43</v>
      </c>
      <c r="X3564" t="s">
        <v>11034</v>
      </c>
      <c r="Y3564" t="s">
        <v>44</v>
      </c>
      <c r="Z3564" t="s">
        <v>44</v>
      </c>
      <c r="AA3564" t="s">
        <v>11035</v>
      </c>
      <c r="AB3564" t="s">
        <v>44</v>
      </c>
      <c r="AC3564" s="4">
        <v>7.4124711999999997</v>
      </c>
      <c r="AD3564" s="4">
        <v>7.1719579199999997</v>
      </c>
      <c r="AE3564" s="2">
        <v>7.41</v>
      </c>
      <c r="AF3564" s="4">
        <v>7.1719579199999997</v>
      </c>
      <c r="AG3564" s="2">
        <v>4.1100000000000003</v>
      </c>
      <c r="AH3564" s="2">
        <v>9856896.5299999993</v>
      </c>
      <c r="AI3564" s="2">
        <v>0.02</v>
      </c>
      <c r="AJ3564" s="5">
        <v>44673</v>
      </c>
      <c r="AK3564" t="s">
        <v>12665</v>
      </c>
      <c r="AL3564" s="2">
        <v>7.28</v>
      </c>
      <c r="AM3564" s="2">
        <v>5.92</v>
      </c>
      <c r="AN3564" s="2">
        <v>2.04</v>
      </c>
      <c r="AO3564" t="s">
        <v>11036</v>
      </c>
      <c r="AP3564" t="s">
        <v>12302</v>
      </c>
      <c r="AQ3564" t="s">
        <v>12301</v>
      </c>
    </row>
    <row r="3565" spans="1:43" x14ac:dyDescent="0.2">
      <c r="A3565" t="s">
        <v>12664</v>
      </c>
      <c r="B3565" t="s">
        <v>11038</v>
      </c>
      <c r="C3565" t="s">
        <v>11222</v>
      </c>
      <c r="D3565" t="s">
        <v>12686</v>
      </c>
      <c r="E3565" t="s">
        <v>12687</v>
      </c>
      <c r="F3565" t="s">
        <v>12686</v>
      </c>
      <c r="G3565" s="1">
        <v>2000000</v>
      </c>
      <c r="H3565" s="2">
        <v>2000000</v>
      </c>
      <c r="I3565" s="2">
        <v>1943256.12</v>
      </c>
      <c r="J3565" s="2">
        <v>18380.27</v>
      </c>
      <c r="K3565" s="2">
        <v>0</v>
      </c>
      <c r="L3565" s="2">
        <v>1961636.39</v>
      </c>
      <c r="M3565" s="3">
        <v>7.3248699999999998</v>
      </c>
      <c r="N3565" s="4">
        <v>4.4629300000000004E-3</v>
      </c>
      <c r="O3565" s="5">
        <v>44802</v>
      </c>
      <c r="P3565" s="5">
        <v>45531</v>
      </c>
      <c r="Q3565" s="1">
        <v>5.99</v>
      </c>
      <c r="R3565" s="2">
        <v>2.2000000000000002</v>
      </c>
      <c r="S3565" s="6">
        <v>2.1214710781399999</v>
      </c>
      <c r="T3565" t="s">
        <v>111</v>
      </c>
      <c r="U3565" t="s">
        <v>11040</v>
      </c>
      <c r="V3565" t="s">
        <v>11041</v>
      </c>
      <c r="W3565" t="s">
        <v>43</v>
      </c>
      <c r="X3565" t="s">
        <v>44</v>
      </c>
      <c r="Y3565" t="s">
        <v>44</v>
      </c>
      <c r="Z3565" t="s">
        <v>44</v>
      </c>
      <c r="AA3565" t="s">
        <v>11035</v>
      </c>
      <c r="AB3565" t="s">
        <v>44</v>
      </c>
      <c r="AC3565" s="4">
        <v>7.4590046399999999</v>
      </c>
      <c r="AD3565" s="4">
        <v>7.2155303799999997</v>
      </c>
      <c r="AE3565" s="2">
        <v>7.46</v>
      </c>
      <c r="AF3565" s="4">
        <v>7.2155303799999997</v>
      </c>
      <c r="AG3565" s="2">
        <v>0.82</v>
      </c>
      <c r="AH3565" s="2">
        <v>1961636.39</v>
      </c>
      <c r="AI3565" s="2">
        <v>0</v>
      </c>
      <c r="AJ3565" s="5">
        <v>44673</v>
      </c>
      <c r="AK3565" t="s">
        <v>12665</v>
      </c>
      <c r="AL3565" s="2">
        <v>7.32</v>
      </c>
      <c r="AM3565" s="2">
        <v>5.99</v>
      </c>
      <c r="AN3565" s="2">
        <v>2.12</v>
      </c>
      <c r="AO3565" t="s">
        <v>11036</v>
      </c>
      <c r="AP3565" t="s">
        <v>12688</v>
      </c>
      <c r="AQ3565" t="s">
        <v>12687</v>
      </c>
    </row>
    <row r="3566" spans="1:43" x14ac:dyDescent="0.2">
      <c r="A3566" t="s">
        <v>12664</v>
      </c>
      <c r="B3566" t="s">
        <v>11038</v>
      </c>
      <c r="C3566" t="s">
        <v>11222</v>
      </c>
      <c r="D3566" t="s">
        <v>12417</v>
      </c>
      <c r="E3566" t="s">
        <v>12418</v>
      </c>
      <c r="F3566" t="s">
        <v>12417</v>
      </c>
      <c r="G3566" s="1">
        <v>4000000</v>
      </c>
      <c r="H3566" s="2">
        <v>3878259.66</v>
      </c>
      <c r="I3566" s="2">
        <v>3884134.49</v>
      </c>
      <c r="J3566" s="2">
        <v>30246.58</v>
      </c>
      <c r="K3566" s="2">
        <v>0</v>
      </c>
      <c r="L3566" s="2">
        <v>3914381.07</v>
      </c>
      <c r="M3566" s="3">
        <v>7.3431670000000002</v>
      </c>
      <c r="N3566" s="4">
        <v>8.9056399999999994E-3</v>
      </c>
      <c r="O3566" s="5">
        <v>44816</v>
      </c>
      <c r="P3566" s="5">
        <v>45545</v>
      </c>
      <c r="Q3566" s="1">
        <v>6</v>
      </c>
      <c r="R3566" s="2">
        <v>2.2400000000000002</v>
      </c>
      <c r="S3566" s="6">
        <v>2.1568737250600001</v>
      </c>
      <c r="T3566" t="s">
        <v>111</v>
      </c>
      <c r="U3566" t="s">
        <v>11040</v>
      </c>
      <c r="V3566" t="s">
        <v>11041</v>
      </c>
      <c r="W3566" t="s">
        <v>43</v>
      </c>
      <c r="X3566" t="s">
        <v>44</v>
      </c>
      <c r="Y3566" t="s">
        <v>44</v>
      </c>
      <c r="Z3566" t="s">
        <v>44</v>
      </c>
      <c r="AA3566" t="s">
        <v>11035</v>
      </c>
      <c r="AB3566" t="s">
        <v>44</v>
      </c>
      <c r="AC3566" s="4">
        <v>7.4779723000000002</v>
      </c>
      <c r="AD3566" s="4">
        <v>7.2332861399999997</v>
      </c>
      <c r="AE3566" s="2">
        <v>7.48</v>
      </c>
      <c r="AF3566" s="4">
        <v>7.2332861399999997</v>
      </c>
      <c r="AG3566" s="2">
        <v>1.63</v>
      </c>
      <c r="AH3566" s="2">
        <v>3914381.07</v>
      </c>
      <c r="AI3566" s="2">
        <v>0.01</v>
      </c>
      <c r="AJ3566" s="5">
        <v>44673</v>
      </c>
      <c r="AK3566" t="s">
        <v>12665</v>
      </c>
      <c r="AL3566" s="2">
        <v>7.34</v>
      </c>
      <c r="AM3566" s="2">
        <v>6</v>
      </c>
      <c r="AN3566" s="2">
        <v>2.16</v>
      </c>
      <c r="AO3566" t="s">
        <v>11036</v>
      </c>
      <c r="AP3566" t="s">
        <v>12419</v>
      </c>
      <c r="AQ3566" t="s">
        <v>12418</v>
      </c>
    </row>
    <row r="3567" spans="1:43" x14ac:dyDescent="0.2">
      <c r="A3567" t="s">
        <v>12664</v>
      </c>
      <c r="B3567" t="s">
        <v>11038</v>
      </c>
      <c r="C3567" t="s">
        <v>11222</v>
      </c>
      <c r="D3567" t="s">
        <v>12303</v>
      </c>
      <c r="E3567" t="s">
        <v>12304</v>
      </c>
      <c r="F3567" t="s">
        <v>12303</v>
      </c>
      <c r="G3567" s="1">
        <v>5000000</v>
      </c>
      <c r="H3567" s="2">
        <v>5000000</v>
      </c>
      <c r="I3567" s="2">
        <v>4878717.99</v>
      </c>
      <c r="J3567" s="2">
        <v>78290.41</v>
      </c>
      <c r="K3567" s="2">
        <v>0</v>
      </c>
      <c r="L3567" s="2">
        <v>4957008.4000000004</v>
      </c>
      <c r="M3567" s="3">
        <v>7.2687010000000001</v>
      </c>
      <c r="N3567" s="4">
        <v>1.127773E-2</v>
      </c>
      <c r="O3567" s="5">
        <v>44763</v>
      </c>
      <c r="P3567" s="5">
        <v>45492</v>
      </c>
      <c r="Q3567" s="1">
        <v>6.08</v>
      </c>
      <c r="R3567" s="2">
        <v>2.09</v>
      </c>
      <c r="S3567" s="6">
        <v>2.0175874409699999</v>
      </c>
      <c r="T3567" t="s">
        <v>111</v>
      </c>
      <c r="U3567" t="s">
        <v>11040</v>
      </c>
      <c r="V3567" t="s">
        <v>11041</v>
      </c>
      <c r="W3567" t="s">
        <v>43</v>
      </c>
      <c r="X3567" t="s">
        <v>11034</v>
      </c>
      <c r="Y3567" t="s">
        <v>44</v>
      </c>
      <c r="Z3567" t="s">
        <v>44</v>
      </c>
      <c r="AA3567" t="s">
        <v>11035</v>
      </c>
      <c r="AB3567" t="s">
        <v>44</v>
      </c>
      <c r="AC3567" s="4">
        <v>7.40078573</v>
      </c>
      <c r="AD3567" s="4">
        <v>7.1610132799999997</v>
      </c>
      <c r="AE3567" s="2">
        <v>7.4</v>
      </c>
      <c r="AF3567" s="4">
        <v>7.1610132799999997</v>
      </c>
      <c r="AG3567" s="2">
        <v>2.0699999999999998</v>
      </c>
      <c r="AH3567" s="2">
        <v>4957008.4000000004</v>
      </c>
      <c r="AI3567" s="2">
        <v>0.01</v>
      </c>
      <c r="AJ3567" s="5">
        <v>44673</v>
      </c>
      <c r="AK3567" t="s">
        <v>12665</v>
      </c>
      <c r="AL3567" s="2">
        <v>7.27</v>
      </c>
      <c r="AM3567" s="2">
        <v>6.08</v>
      </c>
      <c r="AN3567" s="2">
        <v>2.02</v>
      </c>
      <c r="AO3567" t="s">
        <v>11036</v>
      </c>
      <c r="AP3567" t="s">
        <v>12305</v>
      </c>
      <c r="AQ3567" t="s">
        <v>12304</v>
      </c>
    </row>
    <row r="3568" spans="1:43" x14ac:dyDescent="0.2">
      <c r="A3568" t="s">
        <v>12664</v>
      </c>
      <c r="B3568" t="s">
        <v>11038</v>
      </c>
      <c r="C3568" t="s">
        <v>11222</v>
      </c>
      <c r="D3568" t="s">
        <v>11648</v>
      </c>
      <c r="E3568" t="s">
        <v>11649</v>
      </c>
      <c r="F3568" t="s">
        <v>11648</v>
      </c>
      <c r="G3568" s="1">
        <v>2600000</v>
      </c>
      <c r="H3568" s="2">
        <v>2600000</v>
      </c>
      <c r="I3568" s="2">
        <v>2607540.64</v>
      </c>
      <c r="J3568" s="2">
        <v>24600.42</v>
      </c>
      <c r="K3568" s="2">
        <v>0</v>
      </c>
      <c r="L3568" s="2">
        <v>2632141.06</v>
      </c>
      <c r="M3568" s="3">
        <v>6.0302819999999997</v>
      </c>
      <c r="N3568" s="4">
        <v>5.9883999999999996E-3</v>
      </c>
      <c r="O3568" s="5">
        <v>44712</v>
      </c>
      <c r="P3568" s="5">
        <v>45260</v>
      </c>
      <c r="Q3568" s="1">
        <v>6.1669999999999998</v>
      </c>
      <c r="R3568" s="2">
        <v>0.1</v>
      </c>
      <c r="S3568" s="6">
        <v>7.8177650525999995E-2</v>
      </c>
      <c r="T3568" t="s">
        <v>111</v>
      </c>
      <c r="U3568" t="s">
        <v>11040</v>
      </c>
      <c r="V3568" t="s">
        <v>114</v>
      </c>
      <c r="W3568" t="s">
        <v>43</v>
      </c>
      <c r="X3568" t="s">
        <v>10988</v>
      </c>
      <c r="Y3568" t="s">
        <v>44</v>
      </c>
      <c r="Z3568" t="s">
        <v>44</v>
      </c>
      <c r="AA3568" t="s">
        <v>10979</v>
      </c>
      <c r="AB3568" t="s">
        <v>44</v>
      </c>
      <c r="AC3568" s="4">
        <v>6.1968427300000002</v>
      </c>
      <c r="AD3568" s="4">
        <v>6.0275066400000004</v>
      </c>
      <c r="AE3568" s="2">
        <v>6.2</v>
      </c>
      <c r="AF3568" s="4">
        <v>6.0275066400000004</v>
      </c>
      <c r="AG3568" s="2">
        <v>1.1000000000000001</v>
      </c>
      <c r="AH3568" s="2">
        <v>2632141.06</v>
      </c>
      <c r="AI3568" s="2">
        <v>0.01</v>
      </c>
      <c r="AJ3568" s="5">
        <v>44673</v>
      </c>
      <c r="AK3568" t="s">
        <v>12665</v>
      </c>
      <c r="AL3568" s="2">
        <v>6.1</v>
      </c>
      <c r="AM3568" s="2">
        <v>6.17</v>
      </c>
      <c r="AN3568" s="2">
        <v>0.08</v>
      </c>
      <c r="AO3568" t="s">
        <v>11048</v>
      </c>
      <c r="AP3568" t="s">
        <v>11650</v>
      </c>
      <c r="AQ3568" t="s">
        <v>11649</v>
      </c>
    </row>
    <row r="3569" spans="1:43" x14ac:dyDescent="0.2">
      <c r="A3569" t="s">
        <v>12664</v>
      </c>
      <c r="B3569" t="s">
        <v>11038</v>
      </c>
      <c r="C3569" t="s">
        <v>11222</v>
      </c>
      <c r="D3569" t="s">
        <v>11894</v>
      </c>
      <c r="E3569" t="s">
        <v>11895</v>
      </c>
      <c r="F3569" t="s">
        <v>11894</v>
      </c>
      <c r="G3569" s="1">
        <v>1000000</v>
      </c>
      <c r="H3569" s="2">
        <v>1000000</v>
      </c>
      <c r="I3569" s="2">
        <v>999910.72</v>
      </c>
      <c r="J3569" s="2">
        <v>7104.79</v>
      </c>
      <c r="K3569" s="2">
        <v>0</v>
      </c>
      <c r="L3569" s="2">
        <v>1007015.51</v>
      </c>
      <c r="M3569" s="3">
        <v>6.3053489999999996</v>
      </c>
      <c r="N3569" s="4">
        <v>2.2910700000000001E-3</v>
      </c>
      <c r="O3569" s="5">
        <v>44727</v>
      </c>
      <c r="P3569" s="5">
        <v>45366</v>
      </c>
      <c r="Q3569" s="1">
        <v>6.3250000000000002</v>
      </c>
      <c r="R3569" s="2">
        <v>0.14000000000000001</v>
      </c>
      <c r="S3569" s="6">
        <v>0.10845508335</v>
      </c>
      <c r="T3569" t="s">
        <v>111</v>
      </c>
      <c r="U3569" t="s">
        <v>11040</v>
      </c>
      <c r="V3569" t="s">
        <v>114</v>
      </c>
      <c r="W3569" t="s">
        <v>43</v>
      </c>
      <c r="X3569" t="s">
        <v>10988</v>
      </c>
      <c r="Y3569" t="s">
        <v>44</v>
      </c>
      <c r="Z3569" t="s">
        <v>44</v>
      </c>
      <c r="AA3569" t="s">
        <v>10979</v>
      </c>
      <c r="AB3569" t="s">
        <v>44</v>
      </c>
      <c r="AC3569" s="4">
        <v>6.4789744799999998</v>
      </c>
      <c r="AD3569" s="4">
        <v>6.2941851800000004</v>
      </c>
      <c r="AE3569" s="2">
        <v>6.48</v>
      </c>
      <c r="AF3569" s="4">
        <v>6.2941851800000004</v>
      </c>
      <c r="AG3569" s="2">
        <v>0.42</v>
      </c>
      <c r="AH3569" s="2">
        <v>1007015.51</v>
      </c>
      <c r="AI3569" s="2">
        <v>0</v>
      </c>
      <c r="AJ3569" s="5">
        <v>44673</v>
      </c>
      <c r="AK3569" t="s">
        <v>12665</v>
      </c>
      <c r="AL3569" s="2">
        <v>6.38</v>
      </c>
      <c r="AM3569" s="2">
        <v>6.33</v>
      </c>
      <c r="AN3569" s="2">
        <v>0.11</v>
      </c>
      <c r="AO3569" t="s">
        <v>11567</v>
      </c>
      <c r="AP3569" t="s">
        <v>11896</v>
      </c>
      <c r="AQ3569" t="s">
        <v>11895</v>
      </c>
    </row>
    <row r="3570" spans="1:43" x14ac:dyDescent="0.2">
      <c r="A3570" t="s">
        <v>12664</v>
      </c>
      <c r="B3570" t="s">
        <v>11038</v>
      </c>
      <c r="C3570" t="s">
        <v>11222</v>
      </c>
      <c r="D3570" t="s">
        <v>11900</v>
      </c>
      <c r="E3570" t="s">
        <v>11901</v>
      </c>
      <c r="F3570" t="s">
        <v>11900</v>
      </c>
      <c r="G3570" s="1">
        <v>6100000</v>
      </c>
      <c r="H3570" s="2">
        <v>6100000</v>
      </c>
      <c r="I3570" s="2">
        <v>6120168.2699999996</v>
      </c>
      <c r="J3570" s="2">
        <v>79485.17</v>
      </c>
      <c r="K3570" s="2">
        <v>0</v>
      </c>
      <c r="L3570" s="2">
        <v>6199653.4400000004</v>
      </c>
      <c r="M3570" s="3">
        <v>6.1260430000000001</v>
      </c>
      <c r="N3570" s="4">
        <v>1.410488E-2</v>
      </c>
      <c r="O3570" s="5">
        <v>44690</v>
      </c>
      <c r="P3570" s="5">
        <v>45330</v>
      </c>
      <c r="Q3570" s="1">
        <v>6.258</v>
      </c>
      <c r="R3570" s="2">
        <v>0.04</v>
      </c>
      <c r="S3570" s="6">
        <v>1.7773178866000001E-2</v>
      </c>
      <c r="T3570" t="s">
        <v>111</v>
      </c>
      <c r="U3570" t="s">
        <v>11040</v>
      </c>
      <c r="V3570" t="s">
        <v>114</v>
      </c>
      <c r="W3570" t="s">
        <v>43</v>
      </c>
      <c r="X3570" t="s">
        <v>10988</v>
      </c>
      <c r="Y3570" t="s">
        <v>44</v>
      </c>
      <c r="Z3570" t="s">
        <v>44</v>
      </c>
      <c r="AA3570" t="s">
        <v>10979</v>
      </c>
      <c r="AB3570" t="s">
        <v>44</v>
      </c>
      <c r="AC3570" s="4">
        <v>6.3099366400000001</v>
      </c>
      <c r="AD3570" s="4">
        <v>6.1344839599999998</v>
      </c>
      <c r="AE3570" s="2">
        <v>6.31</v>
      </c>
      <c r="AF3570" s="4">
        <v>6.1344839599999998</v>
      </c>
      <c r="AG3570" s="2">
        <v>2.59</v>
      </c>
      <c r="AH3570" s="2">
        <v>6199653.4400000004</v>
      </c>
      <c r="AI3570" s="2">
        <v>0.01</v>
      </c>
      <c r="AJ3570" s="5">
        <v>44673</v>
      </c>
      <c r="AK3570" t="s">
        <v>12665</v>
      </c>
      <c r="AL3570" s="2">
        <v>6.21</v>
      </c>
      <c r="AM3570" s="2">
        <v>6.26</v>
      </c>
      <c r="AN3570" s="2">
        <v>0.02</v>
      </c>
      <c r="AO3570" t="s">
        <v>11824</v>
      </c>
      <c r="AP3570" t="s">
        <v>11902</v>
      </c>
      <c r="AQ3570" t="s">
        <v>11901</v>
      </c>
    </row>
    <row r="3571" spans="1:43" x14ac:dyDescent="0.2">
      <c r="A3571" t="s">
        <v>12664</v>
      </c>
      <c r="B3571" t="s">
        <v>11038</v>
      </c>
      <c r="C3571" t="s">
        <v>11222</v>
      </c>
      <c r="D3571" t="s">
        <v>11906</v>
      </c>
      <c r="E3571" t="s">
        <v>11907</v>
      </c>
      <c r="F3571" t="s">
        <v>11906</v>
      </c>
      <c r="G3571" s="1">
        <v>5000000</v>
      </c>
      <c r="H3571" s="2">
        <v>5000000</v>
      </c>
      <c r="I3571" s="2">
        <v>5007235.8499999996</v>
      </c>
      <c r="J3571" s="2">
        <v>49554.25</v>
      </c>
      <c r="K3571" s="2">
        <v>0</v>
      </c>
      <c r="L3571" s="2">
        <v>5056790.0999999996</v>
      </c>
      <c r="M3571" s="3">
        <v>5.7430570000000003</v>
      </c>
      <c r="N3571" s="4">
        <v>1.1504739999999999E-2</v>
      </c>
      <c r="O3571" s="5">
        <v>44704</v>
      </c>
      <c r="P3571" s="5">
        <v>45343</v>
      </c>
      <c r="Q3571" s="1">
        <v>5.742</v>
      </c>
      <c r="R3571" s="2">
        <v>0.08</v>
      </c>
      <c r="S3571" s="6">
        <v>5.7362487435999997E-2</v>
      </c>
      <c r="T3571" t="s">
        <v>111</v>
      </c>
      <c r="U3571" t="s">
        <v>11040</v>
      </c>
      <c r="V3571" t="s">
        <v>114</v>
      </c>
      <c r="W3571" t="s">
        <v>43</v>
      </c>
      <c r="X3571" t="s">
        <v>10988</v>
      </c>
      <c r="Y3571" t="s">
        <v>44</v>
      </c>
      <c r="Z3571" t="s">
        <v>44</v>
      </c>
      <c r="AA3571" t="s">
        <v>11035</v>
      </c>
      <c r="AB3571" t="s">
        <v>44</v>
      </c>
      <c r="AC3571" s="4">
        <v>5.8978146699999998</v>
      </c>
      <c r="AD3571" s="4">
        <v>5.7441473600000004</v>
      </c>
      <c r="AE3571" s="2">
        <v>5.9</v>
      </c>
      <c r="AF3571" s="4">
        <v>5.7441473600000004</v>
      </c>
      <c r="AG3571" s="2">
        <v>2.11</v>
      </c>
      <c r="AH3571" s="2">
        <v>5056790.0999999996</v>
      </c>
      <c r="AI3571" s="2">
        <v>0.01</v>
      </c>
      <c r="AJ3571" s="5">
        <v>44673</v>
      </c>
      <c r="AK3571" t="s">
        <v>12665</v>
      </c>
      <c r="AL3571" s="2">
        <v>5.81</v>
      </c>
      <c r="AM3571" s="2">
        <v>5.74</v>
      </c>
      <c r="AN3571" s="2">
        <v>0.06</v>
      </c>
      <c r="AO3571" t="s">
        <v>11036</v>
      </c>
      <c r="AP3571" t="s">
        <v>11908</v>
      </c>
      <c r="AQ3571" t="s">
        <v>11907</v>
      </c>
    </row>
    <row r="3572" spans="1:43" x14ac:dyDescent="0.2">
      <c r="A3572" t="s">
        <v>12689</v>
      </c>
      <c r="B3572" t="s">
        <v>10900</v>
      </c>
      <c r="C3572" t="s">
        <v>10943</v>
      </c>
      <c r="D3572" t="s">
        <v>10977</v>
      </c>
      <c r="E3572" t="s">
        <v>10978</v>
      </c>
      <c r="F3572" t="s">
        <v>10977</v>
      </c>
      <c r="G3572" s="1">
        <v>2138400</v>
      </c>
      <c r="H3572" s="2">
        <v>2159257.0699999998</v>
      </c>
      <c r="I3572" s="2">
        <v>2009822.71</v>
      </c>
      <c r="J3572" s="2">
        <v>98415.32</v>
      </c>
      <c r="K3572" s="2">
        <v>0</v>
      </c>
      <c r="L3572" s="2">
        <v>2108238.0299999998</v>
      </c>
      <c r="M3572" s="3">
        <v>11.88</v>
      </c>
      <c r="N3572" s="4">
        <v>4.7964699999999997E-3</v>
      </c>
      <c r="O3572" s="5">
        <v>44697</v>
      </c>
      <c r="P3572" s="5">
        <v>46888</v>
      </c>
      <c r="Q3572" s="1">
        <v>10.565</v>
      </c>
      <c r="R3572" s="2">
        <v>4.7300000000000004</v>
      </c>
      <c r="S3572" s="6">
        <v>4.4668326030000003</v>
      </c>
      <c r="T3572" t="s">
        <v>111</v>
      </c>
      <c r="U3572" t="s">
        <v>111</v>
      </c>
      <c r="V3572" t="s">
        <v>10944</v>
      </c>
      <c r="W3572" t="s">
        <v>43</v>
      </c>
      <c r="X3572" t="s">
        <v>44</v>
      </c>
      <c r="Y3572" t="s">
        <v>44</v>
      </c>
      <c r="Z3572" t="s">
        <v>44</v>
      </c>
      <c r="AA3572" t="s">
        <v>10979</v>
      </c>
      <c r="AB3572" t="s">
        <v>44</v>
      </c>
      <c r="AC3572" s="4">
        <v>12.232836000000001</v>
      </c>
      <c r="AD3572" s="4">
        <v>11.596213730000001</v>
      </c>
      <c r="AE3572" s="2">
        <v>12.23</v>
      </c>
      <c r="AF3572" s="4">
        <v>11.596213730000001</v>
      </c>
      <c r="AG3572" s="2">
        <v>1.01</v>
      </c>
      <c r="AH3572" s="2">
        <v>2108238.0299999998</v>
      </c>
      <c r="AI3572" s="2">
        <v>0</v>
      </c>
      <c r="AJ3572" s="5">
        <v>44673</v>
      </c>
      <c r="AK3572" t="s">
        <v>12690</v>
      </c>
      <c r="AL3572" s="2">
        <v>11.88</v>
      </c>
      <c r="AM3572" s="2">
        <v>10.56</v>
      </c>
      <c r="AN3572" s="2">
        <v>4.47</v>
      </c>
      <c r="AO3572" t="s">
        <v>10980</v>
      </c>
      <c r="AP3572" t="s">
        <v>10981</v>
      </c>
      <c r="AQ3572" t="s">
        <v>10978</v>
      </c>
    </row>
    <row r="3573" spans="1:43" x14ac:dyDescent="0.2">
      <c r="A3573" t="s">
        <v>12689</v>
      </c>
      <c r="B3573" t="s">
        <v>45</v>
      </c>
      <c r="C3573" t="s">
        <v>11000</v>
      </c>
      <c r="D3573" t="s">
        <v>11001</v>
      </c>
      <c r="E3573" t="s">
        <v>11002</v>
      </c>
      <c r="F3573" t="s">
        <v>11001</v>
      </c>
      <c r="G3573" s="1">
        <v>2662784.41</v>
      </c>
      <c r="H3573" s="2">
        <v>2662784.4300000002</v>
      </c>
      <c r="I3573" s="2">
        <v>2662784.4300000002</v>
      </c>
      <c r="J3573" s="2">
        <v>11528.69</v>
      </c>
      <c r="K3573" s="2">
        <v>0</v>
      </c>
      <c r="L3573" s="2">
        <v>2674313.12</v>
      </c>
      <c r="M3573" s="3"/>
      <c r="N3573" s="4">
        <v>6.0843499999999997E-3</v>
      </c>
      <c r="O3573" s="5">
        <v>40756</v>
      </c>
      <c r="P3573" s="5">
        <v>73020</v>
      </c>
      <c r="Q3573" s="1">
        <v>0</v>
      </c>
      <c r="R3573" s="2"/>
      <c r="S3573" s="6"/>
      <c r="T3573" t="s">
        <v>111</v>
      </c>
      <c r="U3573" t="s">
        <v>11003</v>
      </c>
      <c r="V3573" t="s">
        <v>46</v>
      </c>
      <c r="W3573" t="s">
        <v>43</v>
      </c>
      <c r="X3573" t="s">
        <v>44</v>
      </c>
      <c r="Y3573" t="s">
        <v>44</v>
      </c>
      <c r="Z3573" t="s">
        <v>44</v>
      </c>
      <c r="AA3573" t="s">
        <v>44</v>
      </c>
      <c r="AB3573" t="s">
        <v>44</v>
      </c>
      <c r="AC3573" s="4"/>
      <c r="AD3573" s="4"/>
      <c r="AE3573" s="2">
        <v>0</v>
      </c>
      <c r="AF3573" s="4">
        <v>0</v>
      </c>
      <c r="AG3573" s="2">
        <v>1.28</v>
      </c>
      <c r="AH3573" s="2">
        <v>2674313.12</v>
      </c>
      <c r="AI3573" s="2">
        <v>0.01</v>
      </c>
      <c r="AJ3573" s="5">
        <v>44673</v>
      </c>
      <c r="AK3573" t="s">
        <v>12690</v>
      </c>
      <c r="AL3573" s="2">
        <v>0</v>
      </c>
      <c r="AM3573" s="2">
        <v>0</v>
      </c>
      <c r="AN3573" s="2">
        <v>0</v>
      </c>
      <c r="AO3573" t="s">
        <v>44</v>
      </c>
      <c r="AP3573" t="s">
        <v>11004</v>
      </c>
      <c r="AQ3573" t="s">
        <v>11002</v>
      </c>
    </row>
    <row r="3574" spans="1:43" x14ac:dyDescent="0.2">
      <c r="A3574" t="s">
        <v>12689</v>
      </c>
      <c r="B3574" t="s">
        <v>45</v>
      </c>
      <c r="C3574" t="s">
        <v>11144</v>
      </c>
      <c r="D3574" t="s">
        <v>11145</v>
      </c>
      <c r="E3574" t="s">
        <v>11146</v>
      </c>
      <c r="F3574" t="s">
        <v>11147</v>
      </c>
      <c r="G3574" s="1">
        <v>5773774</v>
      </c>
      <c r="H3574" s="2">
        <v>5773774</v>
      </c>
      <c r="I3574" s="2">
        <v>5773774</v>
      </c>
      <c r="J3574" s="2">
        <v>15459.78</v>
      </c>
      <c r="K3574" s="2">
        <v>0</v>
      </c>
      <c r="L3574" s="2">
        <v>5789233.7800000003</v>
      </c>
      <c r="M3574" s="3">
        <v>6.88</v>
      </c>
      <c r="N3574" s="4">
        <v>1.317113E-2</v>
      </c>
      <c r="O3574" s="5" t="s">
        <v>44</v>
      </c>
      <c r="P3574" s="5">
        <v>55153</v>
      </c>
      <c r="Q3574" s="1">
        <v>6.88</v>
      </c>
      <c r="R3574" s="2">
        <v>0.08</v>
      </c>
      <c r="S3574" s="6">
        <v>2.6006750000000002E-3</v>
      </c>
      <c r="T3574" t="s">
        <v>112</v>
      </c>
      <c r="U3574" t="s">
        <v>46</v>
      </c>
      <c r="V3574" t="s">
        <v>11148</v>
      </c>
      <c r="W3574" t="s">
        <v>43</v>
      </c>
      <c r="X3574" t="s">
        <v>44</v>
      </c>
      <c r="Y3574" t="s">
        <v>44</v>
      </c>
      <c r="Z3574" t="s">
        <v>44</v>
      </c>
      <c r="AA3574" t="s">
        <v>44</v>
      </c>
      <c r="AB3574" t="s">
        <v>44</v>
      </c>
      <c r="AC3574" s="4"/>
      <c r="AD3574" s="4"/>
      <c r="AE3574" s="2">
        <v>0</v>
      </c>
      <c r="AF3574" s="4">
        <v>0</v>
      </c>
      <c r="AG3574" s="2">
        <v>2.78</v>
      </c>
      <c r="AH3574" s="2">
        <v>5789233.7800000003</v>
      </c>
      <c r="AI3574" s="2">
        <v>0.01</v>
      </c>
      <c r="AJ3574" s="5">
        <v>44673</v>
      </c>
      <c r="AK3574" t="s">
        <v>12690</v>
      </c>
      <c r="AL3574" s="2">
        <v>0</v>
      </c>
      <c r="AM3574" s="2">
        <v>6.88</v>
      </c>
      <c r="AN3574" s="2">
        <v>0</v>
      </c>
      <c r="AO3574" t="s">
        <v>11146</v>
      </c>
      <c r="AP3574" t="s">
        <v>44</v>
      </c>
      <c r="AQ3574" t="s">
        <v>11146</v>
      </c>
    </row>
    <row r="3575" spans="1:43" x14ac:dyDescent="0.2">
      <c r="A3575" t="s">
        <v>12689</v>
      </c>
      <c r="B3575" t="s">
        <v>45</v>
      </c>
      <c r="C3575" t="s">
        <v>47</v>
      </c>
      <c r="D3575" t="s">
        <v>48</v>
      </c>
      <c r="E3575" t="s">
        <v>49</v>
      </c>
      <c r="F3575" t="s">
        <v>50</v>
      </c>
      <c r="G3575" s="1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2070.66</v>
      </c>
      <c r="M3575" s="3"/>
      <c r="N3575" s="4">
        <v>4.7099999999999998E-6</v>
      </c>
      <c r="O3575" s="5" t="s">
        <v>44</v>
      </c>
      <c r="P3575" s="5" t="s">
        <v>44</v>
      </c>
      <c r="Q3575" s="1"/>
      <c r="R3575" s="2">
        <v>0.08</v>
      </c>
      <c r="S3575" s="6"/>
      <c r="T3575" t="s">
        <v>45</v>
      </c>
      <c r="U3575" t="s">
        <v>46</v>
      </c>
      <c r="V3575" t="s">
        <v>44</v>
      </c>
      <c r="W3575" t="s">
        <v>43</v>
      </c>
      <c r="X3575" t="s">
        <v>44</v>
      </c>
      <c r="Y3575" t="s">
        <v>44</v>
      </c>
      <c r="Z3575" t="s">
        <v>44</v>
      </c>
      <c r="AA3575" t="s">
        <v>44</v>
      </c>
      <c r="AB3575" t="s">
        <v>44</v>
      </c>
      <c r="AC3575" s="4">
        <v>5.1163389600000002</v>
      </c>
      <c r="AD3575" s="4">
        <v>5.0001424999999999</v>
      </c>
      <c r="AE3575" s="2">
        <v>5.12</v>
      </c>
      <c r="AF3575" s="4">
        <v>5.0001424999999999</v>
      </c>
      <c r="AG3575" s="2">
        <v>0</v>
      </c>
      <c r="AH3575" s="2">
        <v>2070.66</v>
      </c>
      <c r="AI3575" s="2">
        <v>0</v>
      </c>
      <c r="AJ3575" s="5">
        <v>44673</v>
      </c>
      <c r="AK3575" t="s">
        <v>12690</v>
      </c>
      <c r="AL3575" s="2">
        <v>5.05</v>
      </c>
      <c r="AM3575" s="2">
        <v>0</v>
      </c>
      <c r="AN3575" s="2">
        <v>0</v>
      </c>
      <c r="AO3575" t="s">
        <v>44</v>
      </c>
      <c r="AP3575" t="s">
        <v>44</v>
      </c>
      <c r="AQ3575" t="s">
        <v>44</v>
      </c>
    </row>
    <row r="3576" spans="1:43" x14ac:dyDescent="0.2">
      <c r="A3576" t="s">
        <v>12689</v>
      </c>
      <c r="B3576" t="s">
        <v>45</v>
      </c>
      <c r="C3576" t="s">
        <v>47</v>
      </c>
      <c r="D3576" t="s">
        <v>51</v>
      </c>
      <c r="E3576" t="s">
        <v>52</v>
      </c>
      <c r="F3576" t="s">
        <v>51</v>
      </c>
      <c r="G3576" s="1">
        <v>562779.25</v>
      </c>
      <c r="H3576" s="2">
        <v>562779.25</v>
      </c>
      <c r="I3576" s="2">
        <v>562779.25</v>
      </c>
      <c r="J3576" s="2">
        <v>0</v>
      </c>
      <c r="K3576" s="2">
        <v>0</v>
      </c>
      <c r="L3576" s="2">
        <v>562779.25</v>
      </c>
      <c r="M3576" s="3"/>
      <c r="N3576" s="4">
        <v>1.28038E-3</v>
      </c>
      <c r="O3576" s="5" t="s">
        <v>44</v>
      </c>
      <c r="P3576" s="5" t="s">
        <v>44</v>
      </c>
      <c r="Q3576" s="1"/>
      <c r="R3576" s="2">
        <v>0.08</v>
      </c>
      <c r="S3576" s="6"/>
      <c r="T3576" t="s">
        <v>45</v>
      </c>
      <c r="U3576" t="s">
        <v>53</v>
      </c>
      <c r="V3576" t="s">
        <v>44</v>
      </c>
      <c r="W3576" t="s">
        <v>43</v>
      </c>
      <c r="X3576" t="s">
        <v>44</v>
      </c>
      <c r="Y3576" t="s">
        <v>44</v>
      </c>
      <c r="Z3576" t="s">
        <v>44</v>
      </c>
      <c r="AA3576" t="s">
        <v>44</v>
      </c>
      <c r="AB3576" t="s">
        <v>44</v>
      </c>
      <c r="AC3576" s="4">
        <v>5.1163389600000002</v>
      </c>
      <c r="AD3576" s="4">
        <v>5.0001424999999999</v>
      </c>
      <c r="AE3576" s="2">
        <v>5.12</v>
      </c>
      <c r="AF3576" s="4">
        <v>5.0001424999999999</v>
      </c>
      <c r="AG3576" s="2">
        <v>0.27</v>
      </c>
      <c r="AH3576" s="2">
        <v>562779.25</v>
      </c>
      <c r="AI3576" s="2">
        <v>0</v>
      </c>
      <c r="AJ3576" s="5">
        <v>44673</v>
      </c>
      <c r="AK3576" t="s">
        <v>12690</v>
      </c>
      <c r="AL3576" s="2">
        <v>5.05</v>
      </c>
      <c r="AM3576" s="2">
        <v>0</v>
      </c>
      <c r="AN3576" s="2">
        <v>0</v>
      </c>
      <c r="AO3576" t="s">
        <v>44</v>
      </c>
      <c r="AP3576" t="s">
        <v>44</v>
      </c>
      <c r="AQ3576" t="s">
        <v>43</v>
      </c>
    </row>
    <row r="3577" spans="1:43" x14ac:dyDescent="0.2">
      <c r="A3577" t="s">
        <v>12689</v>
      </c>
      <c r="B3577" t="s">
        <v>45</v>
      </c>
      <c r="C3577" t="s">
        <v>11005</v>
      </c>
      <c r="D3577" t="s">
        <v>11149</v>
      </c>
      <c r="E3577" t="s">
        <v>11150</v>
      </c>
      <c r="F3577" t="s">
        <v>44</v>
      </c>
      <c r="G3577" s="1">
        <v>-604590</v>
      </c>
      <c r="H3577" s="2">
        <v>-604590</v>
      </c>
      <c r="I3577" s="2">
        <v>-604590</v>
      </c>
      <c r="J3577" s="2">
        <v>0</v>
      </c>
      <c r="K3577" s="2"/>
      <c r="L3577" s="2">
        <v>-604590</v>
      </c>
      <c r="M3577" s="3"/>
      <c r="N3577" s="4">
        <v>-1.3755099999999999E-3</v>
      </c>
      <c r="O3577" s="5" t="s">
        <v>44</v>
      </c>
      <c r="P3577" s="5">
        <v>73051</v>
      </c>
      <c r="Q3577" s="1">
        <v>0</v>
      </c>
      <c r="R3577" s="2">
        <v>0.08</v>
      </c>
      <c r="S3577" s="6"/>
      <c r="T3577" t="s">
        <v>45</v>
      </c>
      <c r="U3577" t="s">
        <v>44</v>
      </c>
      <c r="V3577" t="s">
        <v>44</v>
      </c>
      <c r="W3577" t="s">
        <v>43</v>
      </c>
      <c r="X3577" t="s">
        <v>44</v>
      </c>
      <c r="Y3577" t="s">
        <v>44</v>
      </c>
      <c r="Z3577" t="s">
        <v>44</v>
      </c>
      <c r="AA3577" t="s">
        <v>44</v>
      </c>
      <c r="AB3577" t="s">
        <v>44</v>
      </c>
      <c r="AC3577" s="4">
        <v>5.1163389600000002</v>
      </c>
      <c r="AD3577" s="4">
        <v>5.0001424999999999</v>
      </c>
      <c r="AE3577" s="2">
        <v>5.12</v>
      </c>
      <c r="AF3577" s="4">
        <v>5.0001424999999999</v>
      </c>
      <c r="AG3577" s="2">
        <v>-0.28999999999999998</v>
      </c>
      <c r="AH3577" s="2">
        <v>-604590</v>
      </c>
      <c r="AI3577" s="2">
        <v>0</v>
      </c>
      <c r="AJ3577" s="5">
        <v>44673</v>
      </c>
      <c r="AK3577" t="s">
        <v>12690</v>
      </c>
      <c r="AL3577" s="2">
        <v>5.05</v>
      </c>
      <c r="AM3577" s="2">
        <v>0</v>
      </c>
      <c r="AN3577" s="2">
        <v>0</v>
      </c>
      <c r="AO3577" t="s">
        <v>44</v>
      </c>
      <c r="AP3577" t="s">
        <v>44</v>
      </c>
      <c r="AQ3577" t="s">
        <v>44</v>
      </c>
    </row>
    <row r="3578" spans="1:43" x14ac:dyDescent="0.2">
      <c r="A3578" t="s">
        <v>12689</v>
      </c>
      <c r="B3578" t="s">
        <v>11013</v>
      </c>
      <c r="C3578" t="s">
        <v>11014</v>
      </c>
      <c r="D3578" t="s">
        <v>11965</v>
      </c>
      <c r="E3578" t="s">
        <v>11966</v>
      </c>
      <c r="F3578" t="s">
        <v>11965</v>
      </c>
      <c r="G3578" s="1">
        <v>38931500.8785</v>
      </c>
      <c r="H3578" s="2">
        <v>42303386.539999999</v>
      </c>
      <c r="I3578" s="2">
        <v>40905327.969999999</v>
      </c>
      <c r="J3578" s="2">
        <v>0</v>
      </c>
      <c r="K3578" s="2">
        <v>0</v>
      </c>
      <c r="L3578" s="2">
        <v>40905327.969999999</v>
      </c>
      <c r="M3578" s="3">
        <v>1.0507</v>
      </c>
      <c r="N3578" s="4">
        <v>9.3064030000000006E-2</v>
      </c>
      <c r="O3578" s="5" t="s">
        <v>44</v>
      </c>
      <c r="P3578" s="5" t="s">
        <v>44</v>
      </c>
      <c r="Q3578" s="1"/>
      <c r="R3578" s="2"/>
      <c r="S3578" s="6"/>
      <c r="T3578" t="s">
        <v>10902</v>
      </c>
      <c r="U3578" t="s">
        <v>11003</v>
      </c>
      <c r="V3578" t="s">
        <v>11003</v>
      </c>
      <c r="W3578" t="s">
        <v>43</v>
      </c>
      <c r="X3578" t="s">
        <v>44</v>
      </c>
      <c r="Y3578" t="s">
        <v>44</v>
      </c>
      <c r="Z3578" t="s">
        <v>44</v>
      </c>
      <c r="AA3578" t="s">
        <v>44</v>
      </c>
      <c r="AB3578" t="s">
        <v>44</v>
      </c>
      <c r="AC3578" s="4"/>
      <c r="AD3578" s="4"/>
      <c r="AE3578" s="2">
        <v>0</v>
      </c>
      <c r="AF3578" s="4">
        <v>0</v>
      </c>
      <c r="AG3578" s="2">
        <v>19.649999999999999</v>
      </c>
      <c r="AH3578" s="2">
        <v>40905327.969999999</v>
      </c>
      <c r="AI3578" s="2">
        <v>0.09</v>
      </c>
      <c r="AJ3578" s="5">
        <v>44673</v>
      </c>
      <c r="AK3578" t="s">
        <v>12690</v>
      </c>
      <c r="AL3578" s="2">
        <v>0</v>
      </c>
      <c r="AM3578" s="2">
        <v>0</v>
      </c>
      <c r="AN3578" s="2">
        <v>0</v>
      </c>
      <c r="AO3578" t="s">
        <v>44</v>
      </c>
      <c r="AP3578" t="s">
        <v>11967</v>
      </c>
      <c r="AQ3578" t="s">
        <v>11966</v>
      </c>
    </row>
    <row r="3579" spans="1:43" x14ac:dyDescent="0.2">
      <c r="A3579" t="s">
        <v>12689</v>
      </c>
      <c r="B3579" t="s">
        <v>11013</v>
      </c>
      <c r="C3579" t="s">
        <v>11014</v>
      </c>
      <c r="D3579" t="s">
        <v>11015</v>
      </c>
      <c r="E3579" t="s">
        <v>11016</v>
      </c>
      <c r="F3579" t="s">
        <v>11015</v>
      </c>
      <c r="G3579" s="1">
        <v>39171942.013300002</v>
      </c>
      <c r="H3579" s="2">
        <v>40791117.399999999</v>
      </c>
      <c r="I3579" s="2">
        <v>40687896.170000002</v>
      </c>
      <c r="J3579" s="2">
        <v>0</v>
      </c>
      <c r="K3579" s="2">
        <v>0</v>
      </c>
      <c r="L3579" s="2">
        <v>40687896.170000002</v>
      </c>
      <c r="M3579" s="3">
        <v>1.0387</v>
      </c>
      <c r="N3579" s="4">
        <v>9.256934E-2</v>
      </c>
      <c r="O3579" s="5" t="s">
        <v>44</v>
      </c>
      <c r="P3579" s="5" t="s">
        <v>44</v>
      </c>
      <c r="Q3579" s="1"/>
      <c r="R3579" s="2"/>
      <c r="S3579" s="6"/>
      <c r="T3579" t="s">
        <v>10902</v>
      </c>
      <c r="U3579" t="s">
        <v>11003</v>
      </c>
      <c r="V3579" t="s">
        <v>11003</v>
      </c>
      <c r="W3579" t="s">
        <v>43</v>
      </c>
      <c r="X3579" t="s">
        <v>44</v>
      </c>
      <c r="Y3579" t="s">
        <v>44</v>
      </c>
      <c r="Z3579" t="s">
        <v>44</v>
      </c>
      <c r="AA3579" t="s">
        <v>44</v>
      </c>
      <c r="AB3579" t="s">
        <v>44</v>
      </c>
      <c r="AC3579" s="4"/>
      <c r="AD3579" s="4"/>
      <c r="AE3579" s="2">
        <v>0</v>
      </c>
      <c r="AF3579" s="4">
        <v>0</v>
      </c>
      <c r="AG3579" s="2">
        <v>19.54</v>
      </c>
      <c r="AH3579" s="2">
        <v>40687896.170000002</v>
      </c>
      <c r="AI3579" s="2">
        <v>0.09</v>
      </c>
      <c r="AJ3579" s="5">
        <v>44673</v>
      </c>
      <c r="AK3579" t="s">
        <v>12690</v>
      </c>
      <c r="AL3579" s="2">
        <v>0</v>
      </c>
      <c r="AM3579" s="2">
        <v>0</v>
      </c>
      <c r="AN3579" s="2">
        <v>0</v>
      </c>
      <c r="AO3579" t="s">
        <v>44</v>
      </c>
      <c r="AP3579" t="s">
        <v>11017</v>
      </c>
      <c r="AQ3579" t="s">
        <v>11016</v>
      </c>
    </row>
    <row r="3580" spans="1:43" x14ac:dyDescent="0.2">
      <c r="A3580" t="s">
        <v>12689</v>
      </c>
      <c r="B3580" t="s">
        <v>11013</v>
      </c>
      <c r="C3580" t="s">
        <v>11014</v>
      </c>
      <c r="D3580" t="s">
        <v>11018</v>
      </c>
      <c r="E3580" t="s">
        <v>11019</v>
      </c>
      <c r="F3580" t="s">
        <v>11018</v>
      </c>
      <c r="G3580" s="1">
        <v>40421886.547200002</v>
      </c>
      <c r="H3580" s="2">
        <v>40612987.68</v>
      </c>
      <c r="I3580" s="2">
        <v>40648249.109999999</v>
      </c>
      <c r="J3580" s="2">
        <v>0</v>
      </c>
      <c r="K3580" s="2">
        <v>0</v>
      </c>
      <c r="L3580" s="2">
        <v>40648249.109999999</v>
      </c>
      <c r="M3580" s="3">
        <v>1.0056</v>
      </c>
      <c r="N3580" s="4">
        <v>9.2479140000000001E-2</v>
      </c>
      <c r="O3580" s="5" t="s">
        <v>44</v>
      </c>
      <c r="P3580" s="5" t="s">
        <v>44</v>
      </c>
      <c r="Q3580" s="1"/>
      <c r="R3580" s="2"/>
      <c r="S3580" s="6"/>
      <c r="T3580" t="s">
        <v>10902</v>
      </c>
      <c r="U3580" t="s">
        <v>11003</v>
      </c>
      <c r="V3580" t="s">
        <v>11003</v>
      </c>
      <c r="W3580" t="s">
        <v>43</v>
      </c>
      <c r="X3580" t="s">
        <v>44</v>
      </c>
      <c r="Y3580" t="s">
        <v>44</v>
      </c>
      <c r="Z3580" t="s">
        <v>44</v>
      </c>
      <c r="AA3580" t="s">
        <v>44</v>
      </c>
      <c r="AB3580" t="s">
        <v>44</v>
      </c>
      <c r="AC3580" s="4"/>
      <c r="AD3580" s="4"/>
      <c r="AE3580" s="2">
        <v>0</v>
      </c>
      <c r="AF3580" s="4">
        <v>0</v>
      </c>
      <c r="AG3580" s="2">
        <v>19.52</v>
      </c>
      <c r="AH3580" s="2">
        <v>40648249.109999999</v>
      </c>
      <c r="AI3580" s="2">
        <v>0.09</v>
      </c>
      <c r="AJ3580" s="5">
        <v>44673</v>
      </c>
      <c r="AK3580" t="s">
        <v>12690</v>
      </c>
      <c r="AL3580" s="2">
        <v>0</v>
      </c>
      <c r="AM3580" s="2">
        <v>0</v>
      </c>
      <c r="AN3580" s="2">
        <v>0</v>
      </c>
      <c r="AO3580" t="s">
        <v>44</v>
      </c>
      <c r="AP3580" t="s">
        <v>11020</v>
      </c>
      <c r="AQ3580" t="s">
        <v>11019</v>
      </c>
    </row>
    <row r="3581" spans="1:43" x14ac:dyDescent="0.2">
      <c r="A3581" t="s">
        <v>12689</v>
      </c>
      <c r="B3581" t="s">
        <v>11024</v>
      </c>
      <c r="C3581" t="s">
        <v>57</v>
      </c>
      <c r="D3581" t="s">
        <v>11754</v>
      </c>
      <c r="E3581" t="s">
        <v>11754</v>
      </c>
      <c r="F3581" t="s">
        <v>11754</v>
      </c>
      <c r="G3581" s="1">
        <v>148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3">
        <v>20012</v>
      </c>
      <c r="N3581" s="4">
        <v>0</v>
      </c>
      <c r="O3581" s="5" t="s">
        <v>44</v>
      </c>
      <c r="P3581" s="5">
        <v>44727</v>
      </c>
      <c r="Q3581" s="1"/>
      <c r="R3581" s="2"/>
      <c r="S3581" s="6"/>
      <c r="T3581" t="s">
        <v>11026</v>
      </c>
      <c r="U3581" t="s">
        <v>11025</v>
      </c>
      <c r="V3581" t="s">
        <v>11027</v>
      </c>
      <c r="W3581" t="s">
        <v>43</v>
      </c>
      <c r="X3581" t="s">
        <v>44</v>
      </c>
      <c r="Y3581" t="s">
        <v>44</v>
      </c>
      <c r="Z3581" t="s">
        <v>44</v>
      </c>
      <c r="AA3581" t="s">
        <v>44</v>
      </c>
      <c r="AB3581" t="s">
        <v>44</v>
      </c>
      <c r="AC3581" s="4"/>
      <c r="AD3581" s="4"/>
      <c r="AE3581" s="2">
        <v>0</v>
      </c>
      <c r="AF3581" s="4">
        <v>0</v>
      </c>
      <c r="AG3581" s="2">
        <v>0</v>
      </c>
      <c r="AH3581" s="2">
        <v>29617760</v>
      </c>
      <c r="AI3581" s="2">
        <v>7.0000000000000007E-2</v>
      </c>
      <c r="AJ3581" s="5">
        <v>44673</v>
      </c>
      <c r="AK3581" t="s">
        <v>12690</v>
      </c>
      <c r="AL3581" s="2">
        <v>0</v>
      </c>
      <c r="AM3581" s="2">
        <v>0</v>
      </c>
      <c r="AN3581" s="2">
        <v>0</v>
      </c>
      <c r="AO3581" t="s">
        <v>44</v>
      </c>
      <c r="AP3581" t="s">
        <v>11755</v>
      </c>
      <c r="AQ3581" t="s">
        <v>11754</v>
      </c>
    </row>
    <row r="3582" spans="1:43" x14ac:dyDescent="0.2">
      <c r="A3582" t="s">
        <v>12689</v>
      </c>
      <c r="B3582" t="s">
        <v>11024</v>
      </c>
      <c r="C3582" t="s">
        <v>57</v>
      </c>
      <c r="D3582" t="s">
        <v>11756</v>
      </c>
      <c r="E3582" t="s">
        <v>11756</v>
      </c>
      <c r="F3582" t="s">
        <v>11756</v>
      </c>
      <c r="G3582" s="1">
        <v>85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3">
        <v>29067</v>
      </c>
      <c r="N3582" s="4">
        <v>0</v>
      </c>
      <c r="O3582" s="5" t="s">
        <v>44</v>
      </c>
      <c r="P3582" s="5">
        <v>44727</v>
      </c>
      <c r="Q3582" s="1"/>
      <c r="R3582" s="2"/>
      <c r="S3582" s="6"/>
      <c r="T3582" t="s">
        <v>11026</v>
      </c>
      <c r="U3582" t="s">
        <v>11025</v>
      </c>
      <c r="V3582" t="s">
        <v>11027</v>
      </c>
      <c r="W3582" t="s">
        <v>43</v>
      </c>
      <c r="X3582" t="s">
        <v>44</v>
      </c>
      <c r="Y3582" t="s">
        <v>44</v>
      </c>
      <c r="Z3582" t="s">
        <v>44</v>
      </c>
      <c r="AA3582" t="s">
        <v>44</v>
      </c>
      <c r="AB3582" t="s">
        <v>44</v>
      </c>
      <c r="AC3582" s="4"/>
      <c r="AD3582" s="4"/>
      <c r="AE3582" s="2">
        <v>0</v>
      </c>
      <c r="AF3582" s="4">
        <v>0</v>
      </c>
      <c r="AG3582" s="2">
        <v>0</v>
      </c>
      <c r="AH3582" s="2">
        <v>24706950</v>
      </c>
      <c r="AI3582" s="2">
        <v>0.06</v>
      </c>
      <c r="AJ3582" s="5">
        <v>44673</v>
      </c>
      <c r="AK3582" t="s">
        <v>12690</v>
      </c>
      <c r="AL3582" s="2">
        <v>0</v>
      </c>
      <c r="AM3582" s="2">
        <v>0</v>
      </c>
      <c r="AN3582" s="2">
        <v>0</v>
      </c>
      <c r="AO3582" t="s">
        <v>44</v>
      </c>
      <c r="AP3582" t="s">
        <v>11757</v>
      </c>
      <c r="AQ3582" t="s">
        <v>11756</v>
      </c>
    </row>
    <row r="3583" spans="1:43" x14ac:dyDescent="0.2">
      <c r="A3583" t="s">
        <v>12689</v>
      </c>
      <c r="B3583" t="s">
        <v>11038</v>
      </c>
      <c r="C3583" t="s">
        <v>11039</v>
      </c>
      <c r="D3583" t="s">
        <v>12691</v>
      </c>
      <c r="E3583" t="s">
        <v>12692</v>
      </c>
      <c r="F3583" t="s">
        <v>12691</v>
      </c>
      <c r="G3583" s="1">
        <v>35000000</v>
      </c>
      <c r="H3583" s="2">
        <v>35000000</v>
      </c>
      <c r="I3583" s="2">
        <v>34962230.920000002</v>
      </c>
      <c r="J3583" s="2">
        <v>299178.08</v>
      </c>
      <c r="K3583" s="2">
        <v>0</v>
      </c>
      <c r="L3583" s="2">
        <v>35261409</v>
      </c>
      <c r="M3583" s="3">
        <v>6.0792450000000002</v>
      </c>
      <c r="N3583" s="4">
        <v>8.0223500000000003E-2</v>
      </c>
      <c r="O3583" s="5">
        <v>44987</v>
      </c>
      <c r="P3583" s="5">
        <v>44987</v>
      </c>
      <c r="Q3583" s="1">
        <v>6</v>
      </c>
      <c r="R3583" s="2">
        <v>0.85</v>
      </c>
      <c r="S3583" s="6">
        <v>0.81009318236000005</v>
      </c>
      <c r="T3583" t="s">
        <v>111</v>
      </c>
      <c r="U3583" t="s">
        <v>11040</v>
      </c>
      <c r="V3583" t="s">
        <v>11041</v>
      </c>
      <c r="W3583" t="s">
        <v>43</v>
      </c>
      <c r="X3583" t="s">
        <v>11034</v>
      </c>
      <c r="Y3583" t="s">
        <v>44</v>
      </c>
      <c r="Z3583" t="s">
        <v>44</v>
      </c>
      <c r="AA3583" t="s">
        <v>11035</v>
      </c>
      <c r="AB3583" t="s">
        <v>44</v>
      </c>
      <c r="AC3583" s="4">
        <v>6.1062023600000002</v>
      </c>
      <c r="AD3583" s="4">
        <v>5.9416930600000004</v>
      </c>
      <c r="AE3583" s="2">
        <v>6.11</v>
      </c>
      <c r="AF3583" s="4">
        <v>5.9416930600000004</v>
      </c>
      <c r="AG3583" s="2">
        <v>16.940000000000001</v>
      </c>
      <c r="AH3583" s="2">
        <v>35261409</v>
      </c>
      <c r="AI3583" s="2">
        <v>0.08</v>
      </c>
      <c r="AJ3583" s="5">
        <v>44673</v>
      </c>
      <c r="AK3583" t="s">
        <v>12690</v>
      </c>
      <c r="AL3583" s="2">
        <v>6.02</v>
      </c>
      <c r="AM3583" s="2">
        <v>6</v>
      </c>
      <c r="AN3583" s="2">
        <v>0.81</v>
      </c>
      <c r="AO3583" t="s">
        <v>11036</v>
      </c>
      <c r="AP3583" t="s">
        <v>12693</v>
      </c>
      <c r="AQ3583" t="s">
        <v>12692</v>
      </c>
    </row>
    <row r="3584" spans="1:43" x14ac:dyDescent="0.2">
      <c r="A3584" t="s">
        <v>12689</v>
      </c>
      <c r="B3584" t="s">
        <v>11038</v>
      </c>
      <c r="C3584" t="s">
        <v>11039</v>
      </c>
      <c r="D3584" t="s">
        <v>11396</v>
      </c>
      <c r="E3584" t="s">
        <v>11397</v>
      </c>
      <c r="F3584" t="s">
        <v>11396</v>
      </c>
      <c r="G3584" s="1">
        <v>3000000</v>
      </c>
      <c r="H3584" s="2">
        <v>2877763.36</v>
      </c>
      <c r="I3584" s="2">
        <v>2877763.36</v>
      </c>
      <c r="J3584" s="2">
        <v>0</v>
      </c>
      <c r="K3584" s="2">
        <v>0</v>
      </c>
      <c r="L3584" s="2">
        <v>2877763.36</v>
      </c>
      <c r="M3584" s="3">
        <v>5.9260000000000002</v>
      </c>
      <c r="N3584" s="4">
        <v>6.5472200000000003E-3</v>
      </c>
      <c r="O3584" s="5" t="s">
        <v>44</v>
      </c>
      <c r="P3584" s="5">
        <v>44937</v>
      </c>
      <c r="Q3584" s="1">
        <v>0</v>
      </c>
      <c r="R3584" s="2">
        <v>0.72</v>
      </c>
      <c r="S3584" s="6">
        <v>0.68599929861999998</v>
      </c>
      <c r="T3584" t="s">
        <v>112</v>
      </c>
      <c r="U3584" t="s">
        <v>11040</v>
      </c>
      <c r="V3584" t="s">
        <v>11238</v>
      </c>
      <c r="W3584" t="s">
        <v>43</v>
      </c>
      <c r="X3584" t="s">
        <v>44</v>
      </c>
      <c r="Y3584" t="s">
        <v>44</v>
      </c>
      <c r="Z3584" t="s">
        <v>44</v>
      </c>
      <c r="AA3584" t="s">
        <v>10913</v>
      </c>
      <c r="AB3584" t="s">
        <v>44</v>
      </c>
      <c r="AC3584" s="4">
        <v>5.9756128500000001</v>
      </c>
      <c r="AD3584" s="4">
        <v>5.8179395100000004</v>
      </c>
      <c r="AE3584" s="2">
        <v>5.98</v>
      </c>
      <c r="AF3584" s="4">
        <v>5.8179395100000004</v>
      </c>
      <c r="AG3584" s="2">
        <v>1.38</v>
      </c>
      <c r="AH3584" s="2">
        <v>2877763.36</v>
      </c>
      <c r="AI3584" s="2">
        <v>0.01</v>
      </c>
      <c r="AJ3584" s="5">
        <v>44673</v>
      </c>
      <c r="AK3584" t="s">
        <v>12690</v>
      </c>
      <c r="AL3584" s="2">
        <v>5.89</v>
      </c>
      <c r="AM3584" s="2">
        <v>0</v>
      </c>
      <c r="AN3584" s="2">
        <v>0.69</v>
      </c>
      <c r="AO3584" t="s">
        <v>10922</v>
      </c>
      <c r="AP3584" t="s">
        <v>11398</v>
      </c>
      <c r="AQ3584" t="s">
        <v>11397</v>
      </c>
    </row>
    <row r="3585" spans="1:43" x14ac:dyDescent="0.2">
      <c r="A3585" t="s">
        <v>12689</v>
      </c>
      <c r="B3585" t="s">
        <v>11038</v>
      </c>
      <c r="C3585" t="s">
        <v>11039</v>
      </c>
      <c r="D3585" t="s">
        <v>11405</v>
      </c>
      <c r="E3585" t="s">
        <v>11406</v>
      </c>
      <c r="F3585" t="s">
        <v>11405</v>
      </c>
      <c r="G3585" s="1">
        <v>9000000</v>
      </c>
      <c r="H3585" s="2">
        <v>8719094.7200000007</v>
      </c>
      <c r="I3585" s="2">
        <v>8719094.7200000007</v>
      </c>
      <c r="J3585" s="2">
        <v>0</v>
      </c>
      <c r="K3585" s="2">
        <v>0</v>
      </c>
      <c r="L3585" s="2">
        <v>8719094.7200000007</v>
      </c>
      <c r="M3585" s="3">
        <v>5.5672899999999998</v>
      </c>
      <c r="N3585" s="4">
        <v>1.9836880000000001E-2</v>
      </c>
      <c r="O3585" s="5" t="s">
        <v>44</v>
      </c>
      <c r="P3585" s="5">
        <v>44888</v>
      </c>
      <c r="Q3585" s="1">
        <v>0</v>
      </c>
      <c r="R3585" s="2">
        <v>0.57999999999999996</v>
      </c>
      <c r="S3585" s="6">
        <v>0.56262873229999999</v>
      </c>
      <c r="T3585" t="s">
        <v>112</v>
      </c>
      <c r="U3585" t="s">
        <v>11040</v>
      </c>
      <c r="V3585" t="s">
        <v>11238</v>
      </c>
      <c r="W3585" t="s">
        <v>43</v>
      </c>
      <c r="X3585" t="s">
        <v>44</v>
      </c>
      <c r="Y3585" t="s">
        <v>44</v>
      </c>
      <c r="Z3585" t="s">
        <v>44</v>
      </c>
      <c r="AA3585" t="s">
        <v>10913</v>
      </c>
      <c r="AB3585" t="s">
        <v>44</v>
      </c>
      <c r="AC3585" s="4">
        <v>5.6320586500000003</v>
      </c>
      <c r="AD3585" s="4">
        <v>5.4917004399999998</v>
      </c>
      <c r="AE3585" s="2">
        <v>5.63</v>
      </c>
      <c r="AF3585" s="4">
        <v>5.4917004399999998</v>
      </c>
      <c r="AG3585" s="2">
        <v>4.1900000000000004</v>
      </c>
      <c r="AH3585" s="2">
        <v>8719094.7200000007</v>
      </c>
      <c r="AI3585" s="2">
        <v>0.02</v>
      </c>
      <c r="AJ3585" s="5">
        <v>44673</v>
      </c>
      <c r="AK3585" t="s">
        <v>12690</v>
      </c>
      <c r="AL3585" s="2">
        <v>5.55</v>
      </c>
      <c r="AM3585" s="2">
        <v>0</v>
      </c>
      <c r="AN3585" s="2">
        <v>0.56000000000000005</v>
      </c>
      <c r="AO3585" t="s">
        <v>10922</v>
      </c>
      <c r="AP3585" t="s">
        <v>11407</v>
      </c>
      <c r="AQ3585" t="s">
        <v>11406</v>
      </c>
    </row>
    <row r="3586" spans="1:43" x14ac:dyDescent="0.2">
      <c r="A3586" t="s">
        <v>12689</v>
      </c>
      <c r="B3586" t="s">
        <v>11160</v>
      </c>
      <c r="C3586" t="s">
        <v>11161</v>
      </c>
      <c r="D3586" t="s">
        <v>11162</v>
      </c>
      <c r="E3586" t="s">
        <v>11163</v>
      </c>
      <c r="F3586" t="s">
        <v>11162</v>
      </c>
      <c r="G3586" s="1">
        <v>5107</v>
      </c>
      <c r="H3586" s="2">
        <v>3327538.14</v>
      </c>
      <c r="I3586" s="2">
        <v>4596300</v>
      </c>
      <c r="J3586" s="2">
        <v>0</v>
      </c>
      <c r="K3586" s="2">
        <v>127374.18</v>
      </c>
      <c r="L3586" s="2">
        <v>4723674.18</v>
      </c>
      <c r="M3586" s="3">
        <v>90000</v>
      </c>
      <c r="N3586" s="4">
        <v>1.074687E-2</v>
      </c>
      <c r="O3586" s="5" t="s">
        <v>44</v>
      </c>
      <c r="P3586" s="5" t="s">
        <v>44</v>
      </c>
      <c r="Q3586" s="1"/>
      <c r="R3586" s="2"/>
      <c r="S3586" s="6"/>
      <c r="T3586" t="s">
        <v>10902</v>
      </c>
      <c r="U3586" t="s">
        <v>10902</v>
      </c>
      <c r="V3586" t="s">
        <v>11164</v>
      </c>
      <c r="W3586" t="s">
        <v>43</v>
      </c>
      <c r="X3586" t="s">
        <v>44</v>
      </c>
      <c r="Y3586" t="s">
        <v>44</v>
      </c>
      <c r="Z3586" t="s">
        <v>44</v>
      </c>
      <c r="AA3586" t="s">
        <v>10979</v>
      </c>
      <c r="AB3586" t="s">
        <v>44</v>
      </c>
      <c r="AC3586" s="4"/>
      <c r="AD3586" s="4"/>
      <c r="AE3586" s="2">
        <v>0</v>
      </c>
      <c r="AF3586" s="4">
        <v>0</v>
      </c>
      <c r="AG3586" s="2">
        <v>2.27</v>
      </c>
      <c r="AH3586" s="2">
        <v>4723674.18</v>
      </c>
      <c r="AI3586" s="2">
        <v>0.01</v>
      </c>
      <c r="AJ3586" s="5">
        <v>44673</v>
      </c>
      <c r="AK3586" t="s">
        <v>12690</v>
      </c>
      <c r="AL3586" s="2">
        <v>0</v>
      </c>
      <c r="AM3586" s="2">
        <v>0</v>
      </c>
      <c r="AN3586" s="2">
        <v>0</v>
      </c>
      <c r="AO3586" t="s">
        <v>11165</v>
      </c>
      <c r="AP3586" t="s">
        <v>11166</v>
      </c>
      <c r="AQ3586" t="s">
        <v>11163</v>
      </c>
    </row>
    <row r="3587" spans="1:43" x14ac:dyDescent="0.2">
      <c r="A3587" t="s">
        <v>12689</v>
      </c>
      <c r="B3587" t="s">
        <v>11160</v>
      </c>
      <c r="C3587" t="s">
        <v>11161</v>
      </c>
      <c r="D3587" t="s">
        <v>11167</v>
      </c>
      <c r="E3587" t="s">
        <v>11168</v>
      </c>
      <c r="F3587" t="s">
        <v>11167</v>
      </c>
      <c r="G3587" s="1">
        <v>72356</v>
      </c>
      <c r="H3587" s="2">
        <v>6382235.1100000003</v>
      </c>
      <c r="I3587" s="2">
        <v>6993207.4000000004</v>
      </c>
      <c r="J3587" s="2">
        <v>0</v>
      </c>
      <c r="K3587" s="2">
        <v>0</v>
      </c>
      <c r="L3587" s="2">
        <v>6993207.4000000004</v>
      </c>
      <c r="M3587" s="3">
        <v>9665</v>
      </c>
      <c r="N3587" s="4">
        <v>1.5910299999999999E-2</v>
      </c>
      <c r="O3587" s="5" t="s">
        <v>44</v>
      </c>
      <c r="P3587" s="5" t="s">
        <v>44</v>
      </c>
      <c r="Q3587" s="1"/>
      <c r="R3587" s="2"/>
      <c r="S3587" s="6"/>
      <c r="T3587" t="s">
        <v>10902</v>
      </c>
      <c r="U3587" t="s">
        <v>10902</v>
      </c>
      <c r="V3587" t="s">
        <v>11164</v>
      </c>
      <c r="W3587" t="s">
        <v>43</v>
      </c>
      <c r="X3587" t="s">
        <v>11164</v>
      </c>
      <c r="Y3587" t="s">
        <v>44</v>
      </c>
      <c r="Z3587" t="s">
        <v>44</v>
      </c>
      <c r="AA3587" t="s">
        <v>44</v>
      </c>
      <c r="AB3587" t="s">
        <v>44</v>
      </c>
      <c r="AC3587" s="4"/>
      <c r="AD3587" s="4"/>
      <c r="AE3587" s="2">
        <v>0</v>
      </c>
      <c r="AF3587" s="4">
        <v>0</v>
      </c>
      <c r="AG3587" s="2">
        <v>3.36</v>
      </c>
      <c r="AH3587" s="2">
        <v>6993207.4000000004</v>
      </c>
      <c r="AI3587" s="2">
        <v>0.02</v>
      </c>
      <c r="AJ3587" s="5">
        <v>44673</v>
      </c>
      <c r="AK3587" t="s">
        <v>12690</v>
      </c>
      <c r="AL3587" s="2">
        <v>0</v>
      </c>
      <c r="AM3587" s="2">
        <v>0</v>
      </c>
      <c r="AN3587" s="2">
        <v>0</v>
      </c>
      <c r="AO3587" t="s">
        <v>44</v>
      </c>
      <c r="AP3587" t="s">
        <v>11169</v>
      </c>
      <c r="AQ3587" t="s">
        <v>11168</v>
      </c>
    </row>
    <row r="3588" spans="1:43" x14ac:dyDescent="0.2">
      <c r="A3588" t="s">
        <v>12689</v>
      </c>
      <c r="B3588" t="s">
        <v>11160</v>
      </c>
      <c r="C3588" t="s">
        <v>11161</v>
      </c>
      <c r="D3588" t="s">
        <v>11170</v>
      </c>
      <c r="E3588" t="s">
        <v>11171</v>
      </c>
      <c r="F3588" t="s">
        <v>11170</v>
      </c>
      <c r="G3588" s="1">
        <v>15826</v>
      </c>
      <c r="H3588" s="2">
        <v>1191091.1100000001</v>
      </c>
      <c r="I3588" s="2">
        <v>1524676.84</v>
      </c>
      <c r="J3588" s="2">
        <v>0</v>
      </c>
      <c r="K3588" s="2">
        <v>0</v>
      </c>
      <c r="L3588" s="2">
        <v>1524676.84</v>
      </c>
      <c r="M3588" s="3">
        <v>9634</v>
      </c>
      <c r="N3588" s="4">
        <v>3.4688000000000002E-3</v>
      </c>
      <c r="O3588" s="5" t="s">
        <v>44</v>
      </c>
      <c r="P3588" s="5" t="s">
        <v>44</v>
      </c>
      <c r="Q3588" s="1"/>
      <c r="R3588" s="2"/>
      <c r="S3588" s="6"/>
      <c r="T3588" t="s">
        <v>10902</v>
      </c>
      <c r="U3588" t="s">
        <v>10902</v>
      </c>
      <c r="V3588" t="s">
        <v>11164</v>
      </c>
      <c r="W3588" t="s">
        <v>43</v>
      </c>
      <c r="X3588" t="s">
        <v>44</v>
      </c>
      <c r="Y3588" t="s">
        <v>44</v>
      </c>
      <c r="Z3588" t="s">
        <v>44</v>
      </c>
      <c r="AA3588" t="s">
        <v>44</v>
      </c>
      <c r="AB3588" t="s">
        <v>44</v>
      </c>
      <c r="AC3588" s="4"/>
      <c r="AD3588" s="4"/>
      <c r="AE3588" s="2">
        <v>0</v>
      </c>
      <c r="AF3588" s="4">
        <v>0</v>
      </c>
      <c r="AG3588" s="2">
        <v>0.73</v>
      </c>
      <c r="AH3588" s="2">
        <v>1524676.84</v>
      </c>
      <c r="AI3588" s="2">
        <v>0</v>
      </c>
      <c r="AJ3588" s="5">
        <v>44673</v>
      </c>
      <c r="AK3588" t="s">
        <v>12690</v>
      </c>
      <c r="AL3588" s="2">
        <v>0</v>
      </c>
      <c r="AM3588" s="2">
        <v>0</v>
      </c>
      <c r="AN3588" s="2">
        <v>0</v>
      </c>
      <c r="AO3588" t="s">
        <v>44</v>
      </c>
      <c r="AP3588" t="s">
        <v>11172</v>
      </c>
      <c r="AQ3588" t="s">
        <v>11171</v>
      </c>
    </row>
    <row r="3589" spans="1:43" x14ac:dyDescent="0.2">
      <c r="A3589" t="s">
        <v>12689</v>
      </c>
      <c r="B3589" t="s">
        <v>11160</v>
      </c>
      <c r="C3589" t="s">
        <v>11161</v>
      </c>
      <c r="D3589" t="s">
        <v>11173</v>
      </c>
      <c r="E3589" t="s">
        <v>11174</v>
      </c>
      <c r="F3589" t="s">
        <v>11173</v>
      </c>
      <c r="G3589" s="1">
        <v>66094</v>
      </c>
      <c r="H3589" s="2">
        <v>4938114.96</v>
      </c>
      <c r="I3589" s="2">
        <v>5684084</v>
      </c>
      <c r="J3589" s="2">
        <v>0</v>
      </c>
      <c r="K3589" s="2">
        <v>0</v>
      </c>
      <c r="L3589" s="2">
        <v>5684084</v>
      </c>
      <c r="M3589" s="3">
        <v>8600</v>
      </c>
      <c r="N3589" s="4">
        <v>1.29319E-2</v>
      </c>
      <c r="O3589" s="5" t="s">
        <v>44</v>
      </c>
      <c r="P3589" s="5" t="s">
        <v>44</v>
      </c>
      <c r="Q3589" s="1"/>
      <c r="R3589" s="2"/>
      <c r="S3589" s="6"/>
      <c r="T3589" t="s">
        <v>10902</v>
      </c>
      <c r="U3589" t="s">
        <v>10902</v>
      </c>
      <c r="V3589" t="s">
        <v>11164</v>
      </c>
      <c r="W3589" t="s">
        <v>43</v>
      </c>
      <c r="X3589" t="s">
        <v>44</v>
      </c>
      <c r="Y3589" t="s">
        <v>44</v>
      </c>
      <c r="Z3589" t="s">
        <v>44</v>
      </c>
      <c r="AA3589" t="s">
        <v>44</v>
      </c>
      <c r="AB3589" t="s">
        <v>44</v>
      </c>
      <c r="AC3589" s="4"/>
      <c r="AD3589" s="4"/>
      <c r="AE3589" s="2">
        <v>0</v>
      </c>
      <c r="AF3589" s="4">
        <v>0</v>
      </c>
      <c r="AG3589" s="2">
        <v>2.73</v>
      </c>
      <c r="AH3589" s="2">
        <v>5684084</v>
      </c>
      <c r="AI3589" s="2">
        <v>0.01</v>
      </c>
      <c r="AJ3589" s="5">
        <v>44673</v>
      </c>
      <c r="AK3589" t="s">
        <v>12690</v>
      </c>
      <c r="AL3589" s="2">
        <v>0</v>
      </c>
      <c r="AM3589" s="2">
        <v>0</v>
      </c>
      <c r="AN3589" s="2">
        <v>0</v>
      </c>
      <c r="AO3589" t="s">
        <v>44</v>
      </c>
      <c r="AP3589" t="s">
        <v>11175</v>
      </c>
      <c r="AQ3589" t="s">
        <v>11174</v>
      </c>
    </row>
    <row r="3590" spans="1:43" x14ac:dyDescent="0.2">
      <c r="A3590" t="s">
        <v>12689</v>
      </c>
      <c r="B3590" t="s">
        <v>10951</v>
      </c>
      <c r="C3590" t="s">
        <v>10952</v>
      </c>
      <c r="D3590" t="s">
        <v>11028</v>
      </c>
      <c r="E3590" t="s">
        <v>11029</v>
      </c>
      <c r="F3590" t="s">
        <v>11028</v>
      </c>
      <c r="G3590" s="1">
        <v>10179116.9277</v>
      </c>
      <c r="H3590" s="2">
        <v>10193205.810000001</v>
      </c>
      <c r="I3590" s="2">
        <v>10192349.779999999</v>
      </c>
      <c r="J3590" s="2">
        <v>0</v>
      </c>
      <c r="K3590" s="2">
        <v>0</v>
      </c>
      <c r="L3590" s="2">
        <v>10192349.779999999</v>
      </c>
      <c r="M3590" s="3">
        <v>1.0013000000000001</v>
      </c>
      <c r="N3590" s="4">
        <v>2.3188690000000001E-2</v>
      </c>
      <c r="O3590" s="5" t="s">
        <v>44</v>
      </c>
      <c r="P3590" s="5" t="s">
        <v>44</v>
      </c>
      <c r="Q3590" s="1"/>
      <c r="R3590" s="2"/>
      <c r="S3590" s="6"/>
      <c r="T3590" t="s">
        <v>10902</v>
      </c>
      <c r="U3590" t="s">
        <v>10953</v>
      </c>
      <c r="V3590" t="s">
        <v>10954</v>
      </c>
      <c r="W3590" t="s">
        <v>43</v>
      </c>
      <c r="X3590" t="s">
        <v>44</v>
      </c>
      <c r="Y3590" t="s">
        <v>44</v>
      </c>
      <c r="Z3590" t="s">
        <v>44</v>
      </c>
      <c r="AA3590" t="s">
        <v>44</v>
      </c>
      <c r="AB3590" t="s">
        <v>44</v>
      </c>
      <c r="AC3590" s="4"/>
      <c r="AD3590" s="4"/>
      <c r="AE3590" s="2">
        <v>0</v>
      </c>
      <c r="AF3590" s="4">
        <v>0</v>
      </c>
      <c r="AG3590" s="2">
        <v>4.9000000000000004</v>
      </c>
      <c r="AH3590" s="2">
        <v>10192349.779999999</v>
      </c>
      <c r="AI3590" s="2">
        <v>0.02</v>
      </c>
      <c r="AJ3590" s="5">
        <v>44673</v>
      </c>
      <c r="AK3590" t="s">
        <v>12690</v>
      </c>
      <c r="AL3590" s="2">
        <v>0</v>
      </c>
      <c r="AM3590" s="2">
        <v>0</v>
      </c>
      <c r="AN3590" s="2">
        <v>0</v>
      </c>
      <c r="AO3590" t="s">
        <v>44</v>
      </c>
      <c r="AP3590" t="s">
        <v>44</v>
      </c>
      <c r="AQ3590" t="s">
        <v>11029</v>
      </c>
    </row>
    <row r="3591" spans="1:43" x14ac:dyDescent="0.2">
      <c r="A3591" t="s">
        <v>12689</v>
      </c>
      <c r="B3591" t="s">
        <v>11030</v>
      </c>
      <c r="C3591" t="s">
        <v>11030</v>
      </c>
      <c r="D3591" t="s">
        <v>11775</v>
      </c>
      <c r="E3591" t="s">
        <v>11754</v>
      </c>
      <c r="F3591" t="s">
        <v>11775</v>
      </c>
      <c r="G3591" s="1">
        <v>148</v>
      </c>
      <c r="H3591" s="2"/>
      <c r="I3591" s="2">
        <v>0</v>
      </c>
      <c r="J3591" s="2"/>
      <c r="K3591" s="2"/>
      <c r="L3591" s="2">
        <v>0</v>
      </c>
      <c r="M3591" s="3"/>
      <c r="N3591" s="4">
        <v>0</v>
      </c>
      <c r="O3591" s="5" t="s">
        <v>44</v>
      </c>
      <c r="P3591" s="5" t="s">
        <v>44</v>
      </c>
      <c r="Q3591" s="1"/>
      <c r="R3591" s="2"/>
      <c r="S3591" s="6"/>
      <c r="T3591" t="s">
        <v>11031</v>
      </c>
      <c r="U3591" t="s">
        <v>11032</v>
      </c>
      <c r="V3591" t="s">
        <v>45</v>
      </c>
      <c r="W3591" t="s">
        <v>43</v>
      </c>
      <c r="X3591" t="s">
        <v>44</v>
      </c>
      <c r="Y3591" t="s">
        <v>44</v>
      </c>
      <c r="Z3591" t="s">
        <v>44</v>
      </c>
      <c r="AA3591" t="s">
        <v>44</v>
      </c>
      <c r="AB3591" t="s">
        <v>44</v>
      </c>
      <c r="AC3591" s="4"/>
      <c r="AD3591" s="4"/>
      <c r="AE3591" s="2">
        <v>0</v>
      </c>
      <c r="AF3591" s="4">
        <v>0</v>
      </c>
      <c r="AG3591" s="2">
        <v>0</v>
      </c>
      <c r="AH3591" s="2">
        <v>-29617760</v>
      </c>
      <c r="AI3591" s="2">
        <v>-7.0000000000000007E-2</v>
      </c>
      <c r="AJ3591" s="5">
        <v>44673</v>
      </c>
      <c r="AK3591" t="s">
        <v>12690</v>
      </c>
      <c r="AL3591" s="2">
        <v>0</v>
      </c>
      <c r="AM3591" s="2">
        <v>0</v>
      </c>
      <c r="AN3591" s="2">
        <v>0</v>
      </c>
      <c r="AO3591" t="s">
        <v>44</v>
      </c>
      <c r="AP3591" t="s">
        <v>44</v>
      </c>
      <c r="AQ3591" t="s">
        <v>11182</v>
      </c>
    </row>
    <row r="3592" spans="1:43" x14ac:dyDescent="0.2">
      <c r="A3592" t="s">
        <v>12689</v>
      </c>
      <c r="B3592" t="s">
        <v>11030</v>
      </c>
      <c r="C3592" t="s">
        <v>11030</v>
      </c>
      <c r="D3592" t="s">
        <v>11776</v>
      </c>
      <c r="E3592" t="s">
        <v>11756</v>
      </c>
      <c r="F3592" t="s">
        <v>11776</v>
      </c>
      <c r="G3592" s="1">
        <v>85</v>
      </c>
      <c r="H3592" s="2"/>
      <c r="I3592" s="2">
        <v>0</v>
      </c>
      <c r="J3592" s="2"/>
      <c r="K3592" s="2"/>
      <c r="L3592" s="2">
        <v>0</v>
      </c>
      <c r="M3592" s="3"/>
      <c r="N3592" s="4">
        <v>0</v>
      </c>
      <c r="O3592" s="5" t="s">
        <v>44</v>
      </c>
      <c r="P3592" s="5" t="s">
        <v>44</v>
      </c>
      <c r="Q3592" s="1"/>
      <c r="R3592" s="2"/>
      <c r="S3592" s="6"/>
      <c r="T3592" t="s">
        <v>11031</v>
      </c>
      <c r="U3592" t="s">
        <v>11032</v>
      </c>
      <c r="V3592" t="s">
        <v>45</v>
      </c>
      <c r="W3592" t="s">
        <v>43</v>
      </c>
      <c r="X3592" t="s">
        <v>44</v>
      </c>
      <c r="Y3592" t="s">
        <v>44</v>
      </c>
      <c r="Z3592" t="s">
        <v>44</v>
      </c>
      <c r="AA3592" t="s">
        <v>44</v>
      </c>
      <c r="AB3592" t="s">
        <v>44</v>
      </c>
      <c r="AC3592" s="4"/>
      <c r="AD3592" s="4"/>
      <c r="AE3592" s="2">
        <v>0</v>
      </c>
      <c r="AF3592" s="4">
        <v>0</v>
      </c>
      <c r="AG3592" s="2">
        <v>0</v>
      </c>
      <c r="AH3592" s="2">
        <v>-24706950</v>
      </c>
      <c r="AI3592" s="2">
        <v>-0.06</v>
      </c>
      <c r="AJ3592" s="5">
        <v>44673</v>
      </c>
      <c r="AK3592" t="s">
        <v>12690</v>
      </c>
      <c r="AL3592" s="2">
        <v>0</v>
      </c>
      <c r="AM3592" s="2">
        <v>0</v>
      </c>
      <c r="AN3592" s="2">
        <v>0</v>
      </c>
      <c r="AO3592" t="s">
        <v>44</v>
      </c>
      <c r="AP3592" t="s">
        <v>44</v>
      </c>
      <c r="AQ3592" t="s">
        <v>11182</v>
      </c>
    </row>
    <row r="3593" spans="1:43" x14ac:dyDescent="0.2">
      <c r="A3593" t="s">
        <v>12694</v>
      </c>
      <c r="B3593" t="s">
        <v>45</v>
      </c>
      <c r="C3593" t="s">
        <v>11000</v>
      </c>
      <c r="D3593" t="s">
        <v>11268</v>
      </c>
      <c r="E3593" t="s">
        <v>11269</v>
      </c>
      <c r="F3593" t="s">
        <v>11268</v>
      </c>
      <c r="G3593" s="1">
        <v>6142436.9699999997</v>
      </c>
      <c r="H3593" s="2">
        <v>6142436.9699999997</v>
      </c>
      <c r="I3593" s="2">
        <v>6142436.9699999997</v>
      </c>
      <c r="J3593" s="2">
        <v>19732.2</v>
      </c>
      <c r="K3593" s="2">
        <v>0</v>
      </c>
      <c r="L3593" s="2">
        <v>6162169.1699999999</v>
      </c>
      <c r="M3593" s="3">
        <v>4.617</v>
      </c>
      <c r="N3593" s="4">
        <v>1.40196E-2</v>
      </c>
      <c r="O3593" s="5" t="s">
        <v>44</v>
      </c>
      <c r="P3593" s="5">
        <v>47848</v>
      </c>
      <c r="Q3593" s="1">
        <v>4.617</v>
      </c>
      <c r="R3593" s="2">
        <v>0.08</v>
      </c>
      <c r="S3593" s="6"/>
      <c r="T3593" t="s">
        <v>112</v>
      </c>
      <c r="U3593" t="s">
        <v>46</v>
      </c>
      <c r="V3593" t="s">
        <v>11270</v>
      </c>
      <c r="W3593" t="s">
        <v>43</v>
      </c>
      <c r="X3593" t="s">
        <v>44</v>
      </c>
      <c r="Y3593" t="s">
        <v>44</v>
      </c>
      <c r="Z3593" t="s">
        <v>44</v>
      </c>
      <c r="AA3593" t="s">
        <v>44</v>
      </c>
      <c r="AB3593" t="s">
        <v>44</v>
      </c>
      <c r="AC3593" s="4">
        <v>4.7160921900000004</v>
      </c>
      <c r="AD3593" s="4">
        <v>4.6171215200000004</v>
      </c>
      <c r="AE3593" s="2">
        <v>4.72</v>
      </c>
      <c r="AF3593" s="4">
        <v>4.6171215200000004</v>
      </c>
      <c r="AG3593" s="2">
        <v>2.12</v>
      </c>
      <c r="AH3593" s="2">
        <v>6162169.1699999999</v>
      </c>
      <c r="AI3593" s="2">
        <v>0.01</v>
      </c>
      <c r="AJ3593" s="5">
        <v>44673</v>
      </c>
      <c r="AK3593" t="s">
        <v>12695</v>
      </c>
      <c r="AL3593" s="2">
        <v>4.66</v>
      </c>
      <c r="AM3593" s="2">
        <v>4.62</v>
      </c>
      <c r="AN3593" s="2">
        <v>0</v>
      </c>
      <c r="AO3593" t="s">
        <v>44</v>
      </c>
      <c r="AP3593" t="s">
        <v>44</v>
      </c>
      <c r="AQ3593" t="s">
        <v>11269</v>
      </c>
    </row>
    <row r="3594" spans="1:43" x14ac:dyDescent="0.2">
      <c r="A3594" t="s">
        <v>12694</v>
      </c>
      <c r="B3594" t="s">
        <v>45</v>
      </c>
      <c r="C3594" t="s">
        <v>11000</v>
      </c>
      <c r="D3594" t="s">
        <v>11271</v>
      </c>
      <c r="E3594" t="s">
        <v>11272</v>
      </c>
      <c r="F3594" t="s">
        <v>11271</v>
      </c>
      <c r="G3594" s="1">
        <v>6020000</v>
      </c>
      <c r="H3594" s="2">
        <v>6020000</v>
      </c>
      <c r="I3594" s="2">
        <v>6020000</v>
      </c>
      <c r="J3594" s="2">
        <v>19338.88</v>
      </c>
      <c r="K3594" s="2">
        <v>0</v>
      </c>
      <c r="L3594" s="2">
        <v>6039338.8799999999</v>
      </c>
      <c r="M3594" s="3">
        <v>4.617</v>
      </c>
      <c r="N3594" s="4">
        <v>1.374015E-2</v>
      </c>
      <c r="O3594" s="5" t="s">
        <v>44</v>
      </c>
      <c r="P3594" s="5">
        <v>47848</v>
      </c>
      <c r="Q3594" s="1">
        <v>4.617</v>
      </c>
      <c r="R3594" s="2">
        <v>0.08</v>
      </c>
      <c r="S3594" s="6"/>
      <c r="T3594" t="s">
        <v>112</v>
      </c>
      <c r="U3594" t="s">
        <v>46</v>
      </c>
      <c r="V3594" t="s">
        <v>11270</v>
      </c>
      <c r="W3594" t="s">
        <v>43</v>
      </c>
      <c r="X3594" t="s">
        <v>44</v>
      </c>
      <c r="Y3594" t="s">
        <v>44</v>
      </c>
      <c r="Z3594" t="s">
        <v>44</v>
      </c>
      <c r="AA3594" t="s">
        <v>44</v>
      </c>
      <c r="AB3594" t="s">
        <v>44</v>
      </c>
      <c r="AC3594" s="4">
        <v>4.7160921900000004</v>
      </c>
      <c r="AD3594" s="4">
        <v>4.6171215200000004</v>
      </c>
      <c r="AE3594" s="2">
        <v>4.72</v>
      </c>
      <c r="AF3594" s="4">
        <v>4.6171215200000004</v>
      </c>
      <c r="AG3594" s="2">
        <v>2.08</v>
      </c>
      <c r="AH3594" s="2">
        <v>6039338.8799999999</v>
      </c>
      <c r="AI3594" s="2">
        <v>0.01</v>
      </c>
      <c r="AJ3594" s="5">
        <v>44673</v>
      </c>
      <c r="AK3594" t="s">
        <v>12695</v>
      </c>
      <c r="AL3594" s="2">
        <v>4.66</v>
      </c>
      <c r="AM3594" s="2">
        <v>4.62</v>
      </c>
      <c r="AN3594" s="2">
        <v>0</v>
      </c>
      <c r="AO3594" t="s">
        <v>44</v>
      </c>
      <c r="AP3594" t="s">
        <v>44</v>
      </c>
      <c r="AQ3594" t="s">
        <v>11272</v>
      </c>
    </row>
    <row r="3595" spans="1:43" x14ac:dyDescent="0.2">
      <c r="A3595" t="s">
        <v>12694</v>
      </c>
      <c r="B3595" t="s">
        <v>45</v>
      </c>
      <c r="C3595" t="s">
        <v>11000</v>
      </c>
      <c r="D3595" t="s">
        <v>11001</v>
      </c>
      <c r="E3595" t="s">
        <v>11002</v>
      </c>
      <c r="F3595" t="s">
        <v>11001</v>
      </c>
      <c r="G3595" s="1">
        <v>25225579.34</v>
      </c>
      <c r="H3595" s="2">
        <v>25225579.329999998</v>
      </c>
      <c r="I3595" s="2">
        <v>25225579.329999998</v>
      </c>
      <c r="J3595" s="2">
        <v>74285.59</v>
      </c>
      <c r="K3595" s="2">
        <v>0</v>
      </c>
      <c r="L3595" s="2">
        <v>25299864.920000002</v>
      </c>
      <c r="M3595" s="3"/>
      <c r="N3595" s="4">
        <v>5.7559920000000001E-2</v>
      </c>
      <c r="O3595" s="5">
        <v>40756</v>
      </c>
      <c r="P3595" s="5">
        <v>73020</v>
      </c>
      <c r="Q3595" s="1">
        <v>0</v>
      </c>
      <c r="R3595" s="2"/>
      <c r="S3595" s="6"/>
      <c r="T3595" t="s">
        <v>111</v>
      </c>
      <c r="U3595" t="s">
        <v>11003</v>
      </c>
      <c r="V3595" t="s">
        <v>46</v>
      </c>
      <c r="W3595" t="s">
        <v>43</v>
      </c>
      <c r="X3595" t="s">
        <v>44</v>
      </c>
      <c r="Y3595" t="s">
        <v>44</v>
      </c>
      <c r="Z3595" t="s">
        <v>44</v>
      </c>
      <c r="AA3595" t="s">
        <v>44</v>
      </c>
      <c r="AB3595" t="s">
        <v>44</v>
      </c>
      <c r="AC3595" s="4"/>
      <c r="AD3595" s="4"/>
      <c r="AE3595" s="2">
        <v>0</v>
      </c>
      <c r="AF3595" s="4">
        <v>0</v>
      </c>
      <c r="AG3595" s="2">
        <v>8.7100000000000009</v>
      </c>
      <c r="AH3595" s="2">
        <v>25299864.920000002</v>
      </c>
      <c r="AI3595" s="2">
        <v>0.06</v>
      </c>
      <c r="AJ3595" s="5">
        <v>44673</v>
      </c>
      <c r="AK3595" t="s">
        <v>12695</v>
      </c>
      <c r="AL3595" s="2">
        <v>0</v>
      </c>
      <c r="AM3595" s="2">
        <v>0</v>
      </c>
      <c r="AN3595" s="2">
        <v>0</v>
      </c>
      <c r="AO3595" t="s">
        <v>44</v>
      </c>
      <c r="AP3595" t="s">
        <v>11004</v>
      </c>
      <c r="AQ3595" t="s">
        <v>11002</v>
      </c>
    </row>
    <row r="3596" spans="1:43" x14ac:dyDescent="0.2">
      <c r="A3596" t="s">
        <v>12694</v>
      </c>
      <c r="B3596" t="s">
        <v>45</v>
      </c>
      <c r="C3596" t="s">
        <v>11144</v>
      </c>
      <c r="D3596" t="s">
        <v>11145</v>
      </c>
      <c r="E3596" t="s">
        <v>11146</v>
      </c>
      <c r="F3596" t="s">
        <v>11147</v>
      </c>
      <c r="G3596" s="1">
        <v>4428340</v>
      </c>
      <c r="H3596" s="2">
        <v>4428340</v>
      </c>
      <c r="I3596" s="2">
        <v>4428340</v>
      </c>
      <c r="J3596" s="2">
        <v>11753.52</v>
      </c>
      <c r="K3596" s="2">
        <v>0</v>
      </c>
      <c r="L3596" s="2">
        <v>4440093.5199999996</v>
      </c>
      <c r="M3596" s="3">
        <v>6.88</v>
      </c>
      <c r="N3596" s="4">
        <v>1.010169E-2</v>
      </c>
      <c r="O3596" s="5" t="s">
        <v>44</v>
      </c>
      <c r="P3596" s="5">
        <v>55153</v>
      </c>
      <c r="Q3596" s="1">
        <v>6.88</v>
      </c>
      <c r="R3596" s="2">
        <v>0.08</v>
      </c>
      <c r="S3596" s="6">
        <v>2.6006750000000002E-3</v>
      </c>
      <c r="T3596" t="s">
        <v>112</v>
      </c>
      <c r="U3596" t="s">
        <v>46</v>
      </c>
      <c r="V3596" t="s">
        <v>11148</v>
      </c>
      <c r="W3596" t="s">
        <v>43</v>
      </c>
      <c r="X3596" t="s">
        <v>44</v>
      </c>
      <c r="Y3596" t="s">
        <v>44</v>
      </c>
      <c r="Z3596" t="s">
        <v>44</v>
      </c>
      <c r="AA3596" t="s">
        <v>44</v>
      </c>
      <c r="AB3596" t="s">
        <v>44</v>
      </c>
      <c r="AC3596" s="4"/>
      <c r="AD3596" s="4"/>
      <c r="AE3596" s="2">
        <v>0</v>
      </c>
      <c r="AF3596" s="4">
        <v>0</v>
      </c>
      <c r="AG3596" s="2">
        <v>1.53</v>
      </c>
      <c r="AH3596" s="2">
        <v>4440093.5199999996</v>
      </c>
      <c r="AI3596" s="2">
        <v>0.01</v>
      </c>
      <c r="AJ3596" s="5">
        <v>44673</v>
      </c>
      <c r="AK3596" t="s">
        <v>12695</v>
      </c>
      <c r="AL3596" s="2">
        <v>0</v>
      </c>
      <c r="AM3596" s="2">
        <v>6.88</v>
      </c>
      <c r="AN3596" s="2">
        <v>0</v>
      </c>
      <c r="AO3596" t="s">
        <v>11146</v>
      </c>
      <c r="AP3596" t="s">
        <v>44</v>
      </c>
      <c r="AQ3596" t="s">
        <v>11146</v>
      </c>
    </row>
    <row r="3597" spans="1:43" x14ac:dyDescent="0.2">
      <c r="A3597" t="s">
        <v>12694</v>
      </c>
      <c r="B3597" t="s">
        <v>45</v>
      </c>
      <c r="C3597" t="s">
        <v>47</v>
      </c>
      <c r="D3597" t="s">
        <v>48</v>
      </c>
      <c r="E3597" t="s">
        <v>49</v>
      </c>
      <c r="F3597" t="s">
        <v>50</v>
      </c>
      <c r="G3597" s="1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4677.34</v>
      </c>
      <c r="M3597" s="3"/>
      <c r="N3597" s="4">
        <v>1.064E-5</v>
      </c>
      <c r="O3597" s="5" t="s">
        <v>44</v>
      </c>
      <c r="P3597" s="5" t="s">
        <v>44</v>
      </c>
      <c r="Q3597" s="1"/>
      <c r="R3597" s="2">
        <v>0.08</v>
      </c>
      <c r="S3597" s="6"/>
      <c r="T3597" t="s">
        <v>45</v>
      </c>
      <c r="U3597" t="s">
        <v>46</v>
      </c>
      <c r="V3597" t="s">
        <v>44</v>
      </c>
      <c r="W3597" t="s">
        <v>43</v>
      </c>
      <c r="X3597" t="s">
        <v>44</v>
      </c>
      <c r="Y3597" t="s">
        <v>44</v>
      </c>
      <c r="Z3597" t="s">
        <v>44</v>
      </c>
      <c r="AA3597" t="s">
        <v>44</v>
      </c>
      <c r="AB3597" t="s">
        <v>44</v>
      </c>
      <c r="AC3597" s="4">
        <v>5.1163389600000002</v>
      </c>
      <c r="AD3597" s="4">
        <v>5.0001424999999999</v>
      </c>
      <c r="AE3597" s="2">
        <v>5.12</v>
      </c>
      <c r="AF3597" s="4">
        <v>5.0001424999999999</v>
      </c>
      <c r="AG3597" s="2">
        <v>0</v>
      </c>
      <c r="AH3597" s="2">
        <v>4677.34</v>
      </c>
      <c r="AI3597" s="2">
        <v>0</v>
      </c>
      <c r="AJ3597" s="5">
        <v>44673</v>
      </c>
      <c r="AK3597" t="s">
        <v>12695</v>
      </c>
      <c r="AL3597" s="2">
        <v>5.05</v>
      </c>
      <c r="AM3597" s="2">
        <v>0</v>
      </c>
      <c r="AN3597" s="2">
        <v>0</v>
      </c>
      <c r="AO3597" t="s">
        <v>44</v>
      </c>
      <c r="AP3597" t="s">
        <v>44</v>
      </c>
      <c r="AQ3597" t="s">
        <v>44</v>
      </c>
    </row>
    <row r="3598" spans="1:43" x14ac:dyDescent="0.2">
      <c r="A3598" t="s">
        <v>12694</v>
      </c>
      <c r="B3598" t="s">
        <v>45</v>
      </c>
      <c r="C3598" t="s">
        <v>47</v>
      </c>
      <c r="D3598" t="s">
        <v>51</v>
      </c>
      <c r="E3598" t="s">
        <v>52</v>
      </c>
      <c r="F3598" t="s">
        <v>51</v>
      </c>
      <c r="G3598" s="1">
        <v>420471.1</v>
      </c>
      <c r="H3598" s="2">
        <v>420471.1</v>
      </c>
      <c r="I3598" s="2">
        <v>420471.1</v>
      </c>
      <c r="J3598" s="2">
        <v>0</v>
      </c>
      <c r="K3598" s="2">
        <v>0</v>
      </c>
      <c r="L3598" s="2">
        <v>420471.1</v>
      </c>
      <c r="M3598" s="3"/>
      <c r="N3598" s="4">
        <v>9.5662000000000004E-4</v>
      </c>
      <c r="O3598" s="5" t="s">
        <v>44</v>
      </c>
      <c r="P3598" s="5" t="s">
        <v>44</v>
      </c>
      <c r="Q3598" s="1"/>
      <c r="R3598" s="2">
        <v>0.08</v>
      </c>
      <c r="S3598" s="6"/>
      <c r="T3598" t="s">
        <v>45</v>
      </c>
      <c r="U3598" t="s">
        <v>53</v>
      </c>
      <c r="V3598" t="s">
        <v>44</v>
      </c>
      <c r="W3598" t="s">
        <v>43</v>
      </c>
      <c r="X3598" t="s">
        <v>44</v>
      </c>
      <c r="Y3598" t="s">
        <v>44</v>
      </c>
      <c r="Z3598" t="s">
        <v>44</v>
      </c>
      <c r="AA3598" t="s">
        <v>44</v>
      </c>
      <c r="AB3598" t="s">
        <v>44</v>
      </c>
      <c r="AC3598" s="4">
        <v>5.1163389600000002</v>
      </c>
      <c r="AD3598" s="4">
        <v>5.0001424999999999</v>
      </c>
      <c r="AE3598" s="2">
        <v>5.12</v>
      </c>
      <c r="AF3598" s="4">
        <v>5.0001424999999999</v>
      </c>
      <c r="AG3598" s="2">
        <v>0.14000000000000001</v>
      </c>
      <c r="AH3598" s="2">
        <v>420471.1</v>
      </c>
      <c r="AI3598" s="2">
        <v>0</v>
      </c>
      <c r="AJ3598" s="5">
        <v>44673</v>
      </c>
      <c r="AK3598" t="s">
        <v>12695</v>
      </c>
      <c r="AL3598" s="2">
        <v>5.05</v>
      </c>
      <c r="AM3598" s="2">
        <v>0</v>
      </c>
      <c r="AN3598" s="2">
        <v>0</v>
      </c>
      <c r="AO3598" t="s">
        <v>44</v>
      </c>
      <c r="AP3598" t="s">
        <v>44</v>
      </c>
      <c r="AQ3598" t="s">
        <v>43</v>
      </c>
    </row>
    <row r="3599" spans="1:43" x14ac:dyDescent="0.2">
      <c r="A3599" t="s">
        <v>12694</v>
      </c>
      <c r="B3599" t="s">
        <v>45</v>
      </c>
      <c r="C3599" t="s">
        <v>11005</v>
      </c>
      <c r="D3599" t="s">
        <v>11149</v>
      </c>
      <c r="E3599" t="s">
        <v>11150</v>
      </c>
      <c r="F3599" t="s">
        <v>44</v>
      </c>
      <c r="G3599" s="1">
        <v>-437570</v>
      </c>
      <c r="H3599" s="2">
        <v>-437570</v>
      </c>
      <c r="I3599" s="2">
        <v>-437570</v>
      </c>
      <c r="J3599" s="2">
        <v>0</v>
      </c>
      <c r="K3599" s="2"/>
      <c r="L3599" s="2">
        <v>-437570</v>
      </c>
      <c r="M3599" s="3"/>
      <c r="N3599" s="4">
        <v>-9.9551999999999996E-4</v>
      </c>
      <c r="O3599" s="5" t="s">
        <v>44</v>
      </c>
      <c r="P3599" s="5">
        <v>73051</v>
      </c>
      <c r="Q3599" s="1">
        <v>0</v>
      </c>
      <c r="R3599" s="2">
        <v>0.08</v>
      </c>
      <c r="S3599" s="6"/>
      <c r="T3599" t="s">
        <v>45</v>
      </c>
      <c r="U3599" t="s">
        <v>44</v>
      </c>
      <c r="V3599" t="s">
        <v>44</v>
      </c>
      <c r="W3599" t="s">
        <v>43</v>
      </c>
      <c r="X3599" t="s">
        <v>44</v>
      </c>
      <c r="Y3599" t="s">
        <v>44</v>
      </c>
      <c r="Z3599" t="s">
        <v>44</v>
      </c>
      <c r="AA3599" t="s">
        <v>44</v>
      </c>
      <c r="AB3599" t="s">
        <v>44</v>
      </c>
      <c r="AC3599" s="4">
        <v>5.1163389600000002</v>
      </c>
      <c r="AD3599" s="4">
        <v>5.0001424999999999</v>
      </c>
      <c r="AE3599" s="2">
        <v>5.12</v>
      </c>
      <c r="AF3599" s="4">
        <v>5.0001424999999999</v>
      </c>
      <c r="AG3599" s="2">
        <v>-0.15</v>
      </c>
      <c r="AH3599" s="2">
        <v>-437570</v>
      </c>
      <c r="AI3599" s="2">
        <v>0</v>
      </c>
      <c r="AJ3599" s="5">
        <v>44673</v>
      </c>
      <c r="AK3599" t="s">
        <v>12695</v>
      </c>
      <c r="AL3599" s="2">
        <v>5.05</v>
      </c>
      <c r="AM3599" s="2">
        <v>0</v>
      </c>
      <c r="AN3599" s="2">
        <v>0</v>
      </c>
      <c r="AO3599" t="s">
        <v>44</v>
      </c>
      <c r="AP3599" t="s">
        <v>44</v>
      </c>
      <c r="AQ3599" t="s">
        <v>44</v>
      </c>
    </row>
    <row r="3600" spans="1:43" x14ac:dyDescent="0.2">
      <c r="A3600" t="s">
        <v>12694</v>
      </c>
      <c r="B3600" t="s">
        <v>11013</v>
      </c>
      <c r="C3600" t="s">
        <v>11014</v>
      </c>
      <c r="D3600" t="s">
        <v>11751</v>
      </c>
      <c r="E3600" t="s">
        <v>11752</v>
      </c>
      <c r="F3600" t="s">
        <v>11751</v>
      </c>
      <c r="G3600" s="1">
        <v>209736985.8804</v>
      </c>
      <c r="H3600" s="2">
        <v>215683922.21000001</v>
      </c>
      <c r="I3600" s="2">
        <v>208080063.69</v>
      </c>
      <c r="J3600" s="2">
        <v>0</v>
      </c>
      <c r="K3600" s="2">
        <v>0</v>
      </c>
      <c r="L3600" s="2">
        <v>208080063.69</v>
      </c>
      <c r="M3600" s="3">
        <v>0.99209999999999998</v>
      </c>
      <c r="N3600" s="4">
        <v>0.47340454999999998</v>
      </c>
      <c r="O3600" s="5" t="s">
        <v>44</v>
      </c>
      <c r="P3600" s="5" t="s">
        <v>44</v>
      </c>
      <c r="Q3600" s="1"/>
      <c r="R3600" s="2"/>
      <c r="S3600" s="6"/>
      <c r="T3600" t="s">
        <v>10902</v>
      </c>
      <c r="U3600" t="s">
        <v>11003</v>
      </c>
      <c r="V3600" t="s">
        <v>11003</v>
      </c>
      <c r="W3600" t="s">
        <v>43</v>
      </c>
      <c r="X3600" t="s">
        <v>44</v>
      </c>
      <c r="Y3600" t="s">
        <v>44</v>
      </c>
      <c r="Z3600" t="s">
        <v>44</v>
      </c>
      <c r="AA3600" t="s">
        <v>44</v>
      </c>
      <c r="AB3600" t="s">
        <v>44</v>
      </c>
      <c r="AC3600" s="4"/>
      <c r="AD3600" s="4"/>
      <c r="AE3600" s="2">
        <v>0</v>
      </c>
      <c r="AF3600" s="4">
        <v>0</v>
      </c>
      <c r="AG3600" s="2">
        <v>71.650000000000006</v>
      </c>
      <c r="AH3600" s="2">
        <v>208080063.69</v>
      </c>
      <c r="AI3600" s="2">
        <v>0.47</v>
      </c>
      <c r="AJ3600" s="5">
        <v>44673</v>
      </c>
      <c r="AK3600" t="s">
        <v>12695</v>
      </c>
      <c r="AL3600" s="2">
        <v>0</v>
      </c>
      <c r="AM3600" s="2">
        <v>0</v>
      </c>
      <c r="AN3600" s="2">
        <v>0</v>
      </c>
      <c r="AO3600" t="s">
        <v>44</v>
      </c>
      <c r="AP3600" t="s">
        <v>11753</v>
      </c>
      <c r="AQ3600" t="s">
        <v>11752</v>
      </c>
    </row>
    <row r="3601" spans="1:43" x14ac:dyDescent="0.2">
      <c r="A3601" t="s">
        <v>12694</v>
      </c>
      <c r="B3601" t="s">
        <v>11024</v>
      </c>
      <c r="C3601" t="s">
        <v>57</v>
      </c>
      <c r="D3601" t="s">
        <v>12210</v>
      </c>
      <c r="E3601" t="s">
        <v>12210</v>
      </c>
      <c r="F3601" t="s">
        <v>12210</v>
      </c>
      <c r="G3601" s="1">
        <v>329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3">
        <v>12631</v>
      </c>
      <c r="N3601" s="4">
        <v>0</v>
      </c>
      <c r="O3601" s="5" t="s">
        <v>44</v>
      </c>
      <c r="P3601" s="5">
        <v>44727</v>
      </c>
      <c r="Q3601" s="1"/>
      <c r="R3601" s="2"/>
      <c r="S3601" s="6"/>
      <c r="T3601" t="s">
        <v>11026</v>
      </c>
      <c r="U3601" t="s">
        <v>11025</v>
      </c>
      <c r="V3601" t="s">
        <v>11027</v>
      </c>
      <c r="W3601" t="s">
        <v>43</v>
      </c>
      <c r="X3601" t="s">
        <v>44</v>
      </c>
      <c r="Y3601" t="s">
        <v>44</v>
      </c>
      <c r="Z3601" t="s">
        <v>44</v>
      </c>
      <c r="AA3601" t="s">
        <v>44</v>
      </c>
      <c r="AB3601" t="s">
        <v>44</v>
      </c>
      <c r="AC3601" s="4"/>
      <c r="AD3601" s="4"/>
      <c r="AE3601" s="2">
        <v>0</v>
      </c>
      <c r="AF3601" s="4">
        <v>0</v>
      </c>
      <c r="AG3601" s="2">
        <v>0</v>
      </c>
      <c r="AH3601" s="2">
        <v>41555990</v>
      </c>
      <c r="AI3601" s="2">
        <v>0.09</v>
      </c>
      <c r="AJ3601" s="5">
        <v>44673</v>
      </c>
      <c r="AK3601" t="s">
        <v>12695</v>
      </c>
      <c r="AL3601" s="2">
        <v>0</v>
      </c>
      <c r="AM3601" s="2">
        <v>0</v>
      </c>
      <c r="AN3601" s="2">
        <v>0</v>
      </c>
      <c r="AO3601" t="s">
        <v>44</v>
      </c>
      <c r="AP3601" t="s">
        <v>12211</v>
      </c>
      <c r="AQ3601" t="s">
        <v>12210</v>
      </c>
    </row>
    <row r="3602" spans="1:43" x14ac:dyDescent="0.2">
      <c r="A3602" t="s">
        <v>12694</v>
      </c>
      <c r="B3602" t="s">
        <v>11037</v>
      </c>
      <c r="C3602" t="s">
        <v>11276</v>
      </c>
      <c r="D3602" t="s">
        <v>6473</v>
      </c>
      <c r="E3602" t="s">
        <v>4464</v>
      </c>
      <c r="F3602" t="s">
        <v>6473</v>
      </c>
      <c r="G3602" s="1">
        <v>5562</v>
      </c>
      <c r="H3602" s="2">
        <v>594993.09</v>
      </c>
      <c r="I3602" s="2">
        <v>556200</v>
      </c>
      <c r="J3602" s="2">
        <v>0</v>
      </c>
      <c r="K3602" s="2">
        <v>0</v>
      </c>
      <c r="L3602" s="2">
        <v>556200</v>
      </c>
      <c r="M3602" s="3">
        <v>10000</v>
      </c>
      <c r="N3602" s="4">
        <v>1.26541E-3</v>
      </c>
      <c r="O3602" s="5" t="s">
        <v>44</v>
      </c>
      <c r="P3602" s="5" t="s">
        <v>44</v>
      </c>
      <c r="Q3602" s="1"/>
      <c r="R3602" s="2"/>
      <c r="S3602" s="6"/>
      <c r="T3602" t="s">
        <v>10902</v>
      </c>
      <c r="U3602" t="s">
        <v>10902</v>
      </c>
      <c r="V3602" t="s">
        <v>10902</v>
      </c>
      <c r="W3602" t="s">
        <v>43</v>
      </c>
      <c r="X3602" t="s">
        <v>11277</v>
      </c>
      <c r="Y3602" t="s">
        <v>11277</v>
      </c>
      <c r="Z3602" t="s">
        <v>11276</v>
      </c>
      <c r="AA3602" t="s">
        <v>44</v>
      </c>
      <c r="AB3602" t="s">
        <v>44</v>
      </c>
      <c r="AC3602" s="4"/>
      <c r="AD3602" s="4"/>
      <c r="AE3602" s="2">
        <v>0</v>
      </c>
      <c r="AF3602" s="4">
        <v>0</v>
      </c>
      <c r="AG3602" s="2">
        <v>0.19</v>
      </c>
      <c r="AH3602" s="2">
        <v>556200</v>
      </c>
      <c r="AI3602" s="2">
        <v>0</v>
      </c>
      <c r="AJ3602" s="5">
        <v>44673</v>
      </c>
      <c r="AK3602" t="s">
        <v>12695</v>
      </c>
      <c r="AL3602" s="2">
        <v>0</v>
      </c>
      <c r="AM3602" s="2">
        <v>0</v>
      </c>
      <c r="AN3602" s="2">
        <v>0</v>
      </c>
      <c r="AO3602" t="s">
        <v>44</v>
      </c>
      <c r="AP3602" t="s">
        <v>11278</v>
      </c>
      <c r="AQ3602" t="s">
        <v>4464</v>
      </c>
    </row>
    <row r="3603" spans="1:43" x14ac:dyDescent="0.2">
      <c r="A3603" t="s">
        <v>12694</v>
      </c>
      <c r="B3603" t="s">
        <v>11037</v>
      </c>
      <c r="C3603" t="s">
        <v>11276</v>
      </c>
      <c r="D3603" t="s">
        <v>6316</v>
      </c>
      <c r="E3603" t="s">
        <v>4585</v>
      </c>
      <c r="F3603" t="s">
        <v>6316</v>
      </c>
      <c r="G3603" s="1">
        <v>5005</v>
      </c>
      <c r="H3603" s="2">
        <v>569726.57999999996</v>
      </c>
      <c r="I3603" s="2">
        <v>1213812.6000000001</v>
      </c>
      <c r="J3603" s="2">
        <v>0</v>
      </c>
      <c r="K3603" s="2">
        <v>0</v>
      </c>
      <c r="L3603" s="2">
        <v>1213812.6000000001</v>
      </c>
      <c r="M3603" s="3">
        <v>24252</v>
      </c>
      <c r="N3603" s="4">
        <v>2.7615500000000002E-3</v>
      </c>
      <c r="O3603" s="5" t="s">
        <v>44</v>
      </c>
      <c r="P3603" s="5" t="s">
        <v>44</v>
      </c>
      <c r="Q3603" s="1"/>
      <c r="R3603" s="2"/>
      <c r="S3603" s="6"/>
      <c r="T3603" t="s">
        <v>10902</v>
      </c>
      <c r="U3603" t="s">
        <v>10902</v>
      </c>
      <c r="V3603" t="s">
        <v>10902</v>
      </c>
      <c r="W3603" t="s">
        <v>43</v>
      </c>
      <c r="X3603" t="s">
        <v>11279</v>
      </c>
      <c r="Y3603" t="s">
        <v>11280</v>
      </c>
      <c r="Z3603" t="s">
        <v>11276</v>
      </c>
      <c r="AA3603" t="s">
        <v>44</v>
      </c>
      <c r="AB3603" t="s">
        <v>44</v>
      </c>
      <c r="AC3603" s="4"/>
      <c r="AD3603" s="4"/>
      <c r="AE3603" s="2">
        <v>0</v>
      </c>
      <c r="AF3603" s="4">
        <v>0</v>
      </c>
      <c r="AG3603" s="2">
        <v>0.42</v>
      </c>
      <c r="AH3603" s="2">
        <v>1213812.6000000001</v>
      </c>
      <c r="AI3603" s="2">
        <v>0</v>
      </c>
      <c r="AJ3603" s="5">
        <v>44673</v>
      </c>
      <c r="AK3603" t="s">
        <v>12695</v>
      </c>
      <c r="AL3603" s="2">
        <v>0</v>
      </c>
      <c r="AM3603" s="2">
        <v>0</v>
      </c>
      <c r="AN3603" s="2">
        <v>0</v>
      </c>
      <c r="AO3603" t="s">
        <v>44</v>
      </c>
      <c r="AP3603" t="s">
        <v>11281</v>
      </c>
      <c r="AQ3603" t="s">
        <v>4585</v>
      </c>
    </row>
    <row r="3604" spans="1:43" x14ac:dyDescent="0.2">
      <c r="A3604" t="s">
        <v>12694</v>
      </c>
      <c r="B3604" t="s">
        <v>11037</v>
      </c>
      <c r="C3604" t="s">
        <v>11276</v>
      </c>
      <c r="D3604" t="s">
        <v>11736</v>
      </c>
      <c r="E3604" t="s">
        <v>11737</v>
      </c>
      <c r="F3604" t="s">
        <v>985</v>
      </c>
      <c r="G3604" s="1">
        <v>317</v>
      </c>
      <c r="H3604" s="2">
        <v>163255</v>
      </c>
      <c r="I3604" s="2">
        <v>171506.51</v>
      </c>
      <c r="J3604" s="2">
        <v>0</v>
      </c>
      <c r="K3604" s="2">
        <v>0</v>
      </c>
      <c r="L3604" s="2">
        <v>171506.51</v>
      </c>
      <c r="M3604" s="3">
        <v>54103</v>
      </c>
      <c r="N3604" s="4">
        <v>3.902E-4</v>
      </c>
      <c r="O3604" s="5" t="s">
        <v>44</v>
      </c>
      <c r="P3604" s="5" t="s">
        <v>44</v>
      </c>
      <c r="Q3604" s="1"/>
      <c r="R3604" s="2"/>
      <c r="S3604" s="6"/>
      <c r="T3604" t="s">
        <v>10902</v>
      </c>
      <c r="U3604" t="s">
        <v>10902</v>
      </c>
      <c r="V3604" t="s">
        <v>10902</v>
      </c>
      <c r="W3604" t="s">
        <v>43</v>
      </c>
      <c r="X3604" t="s">
        <v>11279</v>
      </c>
      <c r="Y3604" t="s">
        <v>11280</v>
      </c>
      <c r="Z3604" t="s">
        <v>11276</v>
      </c>
      <c r="AA3604" t="s">
        <v>44</v>
      </c>
      <c r="AB3604" t="s">
        <v>44</v>
      </c>
      <c r="AC3604" s="4"/>
      <c r="AD3604" s="4"/>
      <c r="AE3604" s="2">
        <v>0</v>
      </c>
      <c r="AF3604" s="4">
        <v>0</v>
      </c>
      <c r="AG3604" s="2">
        <v>0.06</v>
      </c>
      <c r="AH3604" s="2">
        <v>171506.51</v>
      </c>
      <c r="AI3604" s="2">
        <v>0</v>
      </c>
      <c r="AJ3604" s="5">
        <v>44673</v>
      </c>
      <c r="AK3604" t="s">
        <v>12695</v>
      </c>
      <c r="AL3604" s="2">
        <v>0</v>
      </c>
      <c r="AM3604" s="2">
        <v>0</v>
      </c>
      <c r="AN3604" s="2">
        <v>0</v>
      </c>
      <c r="AO3604" t="s">
        <v>44</v>
      </c>
      <c r="AP3604" t="s">
        <v>990</v>
      </c>
      <c r="AQ3604" t="s">
        <v>11737</v>
      </c>
    </row>
    <row r="3605" spans="1:43" x14ac:dyDescent="0.2">
      <c r="A3605" t="s">
        <v>12694</v>
      </c>
      <c r="B3605" t="s">
        <v>11037</v>
      </c>
      <c r="C3605" t="s">
        <v>11276</v>
      </c>
      <c r="D3605" t="s">
        <v>11284</v>
      </c>
      <c r="E3605" t="s">
        <v>4506</v>
      </c>
      <c r="F3605" t="s">
        <v>11284</v>
      </c>
      <c r="G3605" s="1">
        <v>16844</v>
      </c>
      <c r="H3605" s="2">
        <v>746255.59</v>
      </c>
      <c r="I3605" s="2">
        <v>1107998.32</v>
      </c>
      <c r="J3605" s="2">
        <v>0</v>
      </c>
      <c r="K3605" s="2">
        <v>0</v>
      </c>
      <c r="L3605" s="2">
        <v>1107998.32</v>
      </c>
      <c r="M3605" s="3">
        <v>6578</v>
      </c>
      <c r="N3605" s="4">
        <v>2.52082E-3</v>
      </c>
      <c r="O3605" s="5" t="s">
        <v>44</v>
      </c>
      <c r="P3605" s="5" t="s">
        <v>44</v>
      </c>
      <c r="Q3605" s="1"/>
      <c r="R3605" s="2"/>
      <c r="S3605" s="6"/>
      <c r="T3605" t="s">
        <v>10902</v>
      </c>
      <c r="U3605" t="s">
        <v>10902</v>
      </c>
      <c r="V3605" t="s">
        <v>10902</v>
      </c>
      <c r="W3605" t="s">
        <v>43</v>
      </c>
      <c r="X3605" t="s">
        <v>11279</v>
      </c>
      <c r="Y3605" t="s">
        <v>11280</v>
      </c>
      <c r="Z3605" t="s">
        <v>11276</v>
      </c>
      <c r="AA3605" t="s">
        <v>44</v>
      </c>
      <c r="AB3605" t="s">
        <v>44</v>
      </c>
      <c r="AC3605" s="4"/>
      <c r="AD3605" s="4"/>
      <c r="AE3605" s="2">
        <v>0</v>
      </c>
      <c r="AF3605" s="4">
        <v>0</v>
      </c>
      <c r="AG3605" s="2">
        <v>0.38</v>
      </c>
      <c r="AH3605" s="2">
        <v>1107998.32</v>
      </c>
      <c r="AI3605" s="2">
        <v>0</v>
      </c>
      <c r="AJ3605" s="5">
        <v>44673</v>
      </c>
      <c r="AK3605" t="s">
        <v>12695</v>
      </c>
      <c r="AL3605" s="2">
        <v>0</v>
      </c>
      <c r="AM3605" s="2">
        <v>0</v>
      </c>
      <c r="AN3605" s="2">
        <v>0</v>
      </c>
      <c r="AO3605" t="s">
        <v>44</v>
      </c>
      <c r="AP3605" t="s">
        <v>11285</v>
      </c>
      <c r="AQ3605" t="s">
        <v>4506</v>
      </c>
    </row>
    <row r="3606" spans="1:43" x14ac:dyDescent="0.2">
      <c r="A3606" t="s">
        <v>12694</v>
      </c>
      <c r="B3606" t="s">
        <v>11037</v>
      </c>
      <c r="C3606" t="s">
        <v>11276</v>
      </c>
      <c r="D3606" t="s">
        <v>6278</v>
      </c>
      <c r="E3606" t="s">
        <v>4640</v>
      </c>
      <c r="F3606" t="s">
        <v>6278</v>
      </c>
      <c r="G3606" s="1">
        <v>2760</v>
      </c>
      <c r="H3606" s="2">
        <v>624990.55000000005</v>
      </c>
      <c r="I3606" s="2">
        <v>1398492</v>
      </c>
      <c r="J3606" s="2">
        <v>0</v>
      </c>
      <c r="K3606" s="2">
        <v>0</v>
      </c>
      <c r="L3606" s="2">
        <v>1398492</v>
      </c>
      <c r="M3606" s="3">
        <v>50670</v>
      </c>
      <c r="N3606" s="4">
        <v>3.1817199999999999E-3</v>
      </c>
      <c r="O3606" s="5" t="s">
        <v>44</v>
      </c>
      <c r="P3606" s="5" t="s">
        <v>44</v>
      </c>
      <c r="Q3606" s="1"/>
      <c r="R3606" s="2"/>
      <c r="S3606" s="6"/>
      <c r="T3606" t="s">
        <v>10902</v>
      </c>
      <c r="U3606" t="s">
        <v>10902</v>
      </c>
      <c r="V3606" t="s">
        <v>10902</v>
      </c>
      <c r="W3606" t="s">
        <v>43</v>
      </c>
      <c r="X3606" t="s">
        <v>11286</v>
      </c>
      <c r="Y3606" t="s">
        <v>11280</v>
      </c>
      <c r="Z3606" t="s">
        <v>11276</v>
      </c>
      <c r="AA3606" t="s">
        <v>44</v>
      </c>
      <c r="AB3606" t="s">
        <v>44</v>
      </c>
      <c r="AC3606" s="4"/>
      <c r="AD3606" s="4"/>
      <c r="AE3606" s="2">
        <v>0</v>
      </c>
      <c r="AF3606" s="4">
        <v>0</v>
      </c>
      <c r="AG3606" s="2">
        <v>0.48</v>
      </c>
      <c r="AH3606" s="2">
        <v>1398492</v>
      </c>
      <c r="AI3606" s="2">
        <v>0</v>
      </c>
      <c r="AJ3606" s="5">
        <v>44673</v>
      </c>
      <c r="AK3606" t="s">
        <v>12695</v>
      </c>
      <c r="AL3606" s="2">
        <v>0</v>
      </c>
      <c r="AM3606" s="2">
        <v>0</v>
      </c>
      <c r="AN3606" s="2">
        <v>0</v>
      </c>
      <c r="AO3606" t="s">
        <v>44</v>
      </c>
      <c r="AP3606" t="s">
        <v>11287</v>
      </c>
      <c r="AQ3606" t="s">
        <v>4640</v>
      </c>
    </row>
    <row r="3607" spans="1:43" x14ac:dyDescent="0.2">
      <c r="A3607" t="s">
        <v>12694</v>
      </c>
      <c r="B3607" t="s">
        <v>11037</v>
      </c>
      <c r="C3607" t="s">
        <v>11276</v>
      </c>
      <c r="D3607" t="s">
        <v>11290</v>
      </c>
      <c r="E3607" t="s">
        <v>4478</v>
      </c>
      <c r="F3607" t="s">
        <v>11290</v>
      </c>
      <c r="G3607" s="1">
        <v>3000</v>
      </c>
      <c r="H3607" s="2">
        <v>141322.26999999999</v>
      </c>
      <c r="I3607" s="2">
        <v>235200</v>
      </c>
      <c r="J3607" s="2">
        <v>0</v>
      </c>
      <c r="K3607" s="2">
        <v>0</v>
      </c>
      <c r="L3607" s="2">
        <v>235200</v>
      </c>
      <c r="M3607" s="3">
        <v>7840</v>
      </c>
      <c r="N3607" s="4">
        <v>5.3510999999999999E-4</v>
      </c>
      <c r="O3607" s="5" t="s">
        <v>44</v>
      </c>
      <c r="P3607" s="5" t="s">
        <v>44</v>
      </c>
      <c r="Q3607" s="1"/>
      <c r="R3607" s="2"/>
      <c r="S3607" s="6"/>
      <c r="T3607" t="s">
        <v>10902</v>
      </c>
      <c r="U3607" t="s">
        <v>10902</v>
      </c>
      <c r="V3607" t="s">
        <v>10902</v>
      </c>
      <c r="W3607" t="s">
        <v>43</v>
      </c>
      <c r="X3607" t="s">
        <v>11277</v>
      </c>
      <c r="Y3607" t="s">
        <v>11277</v>
      </c>
      <c r="Z3607" t="s">
        <v>11276</v>
      </c>
      <c r="AA3607" t="s">
        <v>44</v>
      </c>
      <c r="AB3607" t="s">
        <v>44</v>
      </c>
      <c r="AC3607" s="4"/>
      <c r="AD3607" s="4"/>
      <c r="AE3607" s="2">
        <v>0</v>
      </c>
      <c r="AF3607" s="4">
        <v>0</v>
      </c>
      <c r="AG3607" s="2">
        <v>0.08</v>
      </c>
      <c r="AH3607" s="2">
        <v>235200</v>
      </c>
      <c r="AI3607" s="2">
        <v>0</v>
      </c>
      <c r="AJ3607" s="5">
        <v>44673</v>
      </c>
      <c r="AK3607" t="s">
        <v>12695</v>
      </c>
      <c r="AL3607" s="2">
        <v>0</v>
      </c>
      <c r="AM3607" s="2">
        <v>0</v>
      </c>
      <c r="AN3607" s="2">
        <v>0</v>
      </c>
      <c r="AO3607" t="s">
        <v>44</v>
      </c>
      <c r="AP3607" t="s">
        <v>11291</v>
      </c>
      <c r="AQ3607" t="s">
        <v>4478</v>
      </c>
    </row>
    <row r="3608" spans="1:43" x14ac:dyDescent="0.2">
      <c r="A3608" t="s">
        <v>12694</v>
      </c>
      <c r="B3608" t="s">
        <v>11037</v>
      </c>
      <c r="C3608" t="s">
        <v>11276</v>
      </c>
      <c r="D3608" t="s">
        <v>11292</v>
      </c>
      <c r="E3608" t="s">
        <v>4513</v>
      </c>
      <c r="F3608" t="s">
        <v>11292</v>
      </c>
      <c r="G3608" s="1">
        <v>30000</v>
      </c>
      <c r="H3608" s="2">
        <v>172288.66</v>
      </c>
      <c r="I3608" s="2">
        <v>128700</v>
      </c>
      <c r="J3608" s="2">
        <v>0</v>
      </c>
      <c r="K3608" s="2">
        <v>0</v>
      </c>
      <c r="L3608" s="2">
        <v>128700</v>
      </c>
      <c r="M3608" s="3">
        <v>429</v>
      </c>
      <c r="N3608" s="4">
        <v>2.9281000000000001E-4</v>
      </c>
      <c r="O3608" s="5" t="s">
        <v>44</v>
      </c>
      <c r="P3608" s="5" t="s">
        <v>44</v>
      </c>
      <c r="Q3608" s="1"/>
      <c r="R3608" s="2"/>
      <c r="S3608" s="6"/>
      <c r="T3608" t="s">
        <v>10902</v>
      </c>
      <c r="U3608" t="s">
        <v>10902</v>
      </c>
      <c r="V3608" t="s">
        <v>10902</v>
      </c>
      <c r="W3608" t="s">
        <v>43</v>
      </c>
      <c r="X3608" t="s">
        <v>11279</v>
      </c>
      <c r="Y3608" t="s">
        <v>11280</v>
      </c>
      <c r="Z3608" t="s">
        <v>11276</v>
      </c>
      <c r="AA3608" t="s">
        <v>44</v>
      </c>
      <c r="AB3608" t="s">
        <v>44</v>
      </c>
      <c r="AC3608" s="4"/>
      <c r="AD3608" s="4"/>
      <c r="AE3608" s="2">
        <v>0</v>
      </c>
      <c r="AF3608" s="4">
        <v>0</v>
      </c>
      <c r="AG3608" s="2">
        <v>0.04</v>
      </c>
      <c r="AH3608" s="2">
        <v>128700</v>
      </c>
      <c r="AI3608" s="2">
        <v>0</v>
      </c>
      <c r="AJ3608" s="5">
        <v>44673</v>
      </c>
      <c r="AK3608" t="s">
        <v>12695</v>
      </c>
      <c r="AL3608" s="2">
        <v>0</v>
      </c>
      <c r="AM3608" s="2">
        <v>0</v>
      </c>
      <c r="AN3608" s="2">
        <v>0</v>
      </c>
      <c r="AO3608" t="s">
        <v>44</v>
      </c>
      <c r="AP3608" t="s">
        <v>11293</v>
      </c>
      <c r="AQ3608" t="s">
        <v>4513</v>
      </c>
    </row>
    <row r="3609" spans="1:43" x14ac:dyDescent="0.2">
      <c r="A3609" t="s">
        <v>12694</v>
      </c>
      <c r="B3609" t="s">
        <v>11037</v>
      </c>
      <c r="C3609" t="s">
        <v>11276</v>
      </c>
      <c r="D3609" t="s">
        <v>6743</v>
      </c>
      <c r="E3609" t="s">
        <v>4570</v>
      </c>
      <c r="F3609" t="s">
        <v>6743</v>
      </c>
      <c r="G3609" s="1">
        <v>4425</v>
      </c>
      <c r="H3609" s="2">
        <v>307944.39</v>
      </c>
      <c r="I3609" s="2">
        <v>683795.25</v>
      </c>
      <c r="J3609" s="2">
        <v>0</v>
      </c>
      <c r="K3609" s="2">
        <v>0</v>
      </c>
      <c r="L3609" s="2">
        <v>683795.25</v>
      </c>
      <c r="M3609" s="3">
        <v>15453</v>
      </c>
      <c r="N3609" s="4">
        <v>1.5557100000000001E-3</v>
      </c>
      <c r="O3609" s="5" t="s">
        <v>44</v>
      </c>
      <c r="P3609" s="5" t="s">
        <v>44</v>
      </c>
      <c r="Q3609" s="1"/>
      <c r="R3609" s="2"/>
      <c r="S3609" s="6"/>
      <c r="T3609" t="s">
        <v>10902</v>
      </c>
      <c r="U3609" t="s">
        <v>10902</v>
      </c>
      <c r="V3609" t="s">
        <v>10902</v>
      </c>
      <c r="W3609" t="s">
        <v>43</v>
      </c>
      <c r="X3609" t="s">
        <v>11279</v>
      </c>
      <c r="Y3609" t="s">
        <v>11280</v>
      </c>
      <c r="Z3609" t="s">
        <v>11276</v>
      </c>
      <c r="AA3609" t="s">
        <v>44</v>
      </c>
      <c r="AB3609" t="s">
        <v>44</v>
      </c>
      <c r="AC3609" s="4"/>
      <c r="AD3609" s="4"/>
      <c r="AE3609" s="2">
        <v>0</v>
      </c>
      <c r="AF3609" s="4">
        <v>0</v>
      </c>
      <c r="AG3609" s="2">
        <v>0.24</v>
      </c>
      <c r="AH3609" s="2">
        <v>683795.25</v>
      </c>
      <c r="AI3609" s="2">
        <v>0</v>
      </c>
      <c r="AJ3609" s="5">
        <v>44673</v>
      </c>
      <c r="AK3609" t="s">
        <v>12695</v>
      </c>
      <c r="AL3609" s="2">
        <v>0</v>
      </c>
      <c r="AM3609" s="2">
        <v>0</v>
      </c>
      <c r="AN3609" s="2">
        <v>0</v>
      </c>
      <c r="AO3609" t="s">
        <v>44</v>
      </c>
      <c r="AP3609" t="s">
        <v>11294</v>
      </c>
      <c r="AQ3609" t="s">
        <v>4570</v>
      </c>
    </row>
    <row r="3610" spans="1:43" x14ac:dyDescent="0.2">
      <c r="A3610" t="s">
        <v>12694</v>
      </c>
      <c r="B3610" t="s">
        <v>11037</v>
      </c>
      <c r="C3610" t="s">
        <v>11276</v>
      </c>
      <c r="D3610" t="s">
        <v>6209</v>
      </c>
      <c r="E3610" t="s">
        <v>520</v>
      </c>
      <c r="F3610" t="s">
        <v>6209</v>
      </c>
      <c r="G3610" s="1">
        <v>26971</v>
      </c>
      <c r="H3610" s="2">
        <v>1045254.1</v>
      </c>
      <c r="I3610" s="2">
        <v>1470998.34</v>
      </c>
      <c r="J3610" s="2">
        <v>0</v>
      </c>
      <c r="K3610" s="2">
        <v>0</v>
      </c>
      <c r="L3610" s="2">
        <v>1470998.34</v>
      </c>
      <c r="M3610" s="3">
        <v>5454</v>
      </c>
      <c r="N3610" s="4">
        <v>3.3466799999999999E-3</v>
      </c>
      <c r="O3610" s="5" t="s">
        <v>44</v>
      </c>
      <c r="P3610" s="5" t="s">
        <v>44</v>
      </c>
      <c r="Q3610" s="1"/>
      <c r="R3610" s="2"/>
      <c r="S3610" s="6"/>
      <c r="T3610" t="s">
        <v>10902</v>
      </c>
      <c r="U3610" t="s">
        <v>10902</v>
      </c>
      <c r="V3610" t="s">
        <v>10902</v>
      </c>
      <c r="W3610" t="s">
        <v>43</v>
      </c>
      <c r="X3610" t="s">
        <v>11289</v>
      </c>
      <c r="Y3610" t="s">
        <v>11280</v>
      </c>
      <c r="Z3610" t="s">
        <v>11276</v>
      </c>
      <c r="AA3610" t="s">
        <v>44</v>
      </c>
      <c r="AB3610" t="s">
        <v>44</v>
      </c>
      <c r="AC3610" s="4"/>
      <c r="AD3610" s="4"/>
      <c r="AE3610" s="2">
        <v>0</v>
      </c>
      <c r="AF3610" s="4">
        <v>0</v>
      </c>
      <c r="AG3610" s="2">
        <v>0.51</v>
      </c>
      <c r="AH3610" s="2">
        <v>1470998.34</v>
      </c>
      <c r="AI3610" s="2">
        <v>0</v>
      </c>
      <c r="AJ3610" s="5">
        <v>44673</v>
      </c>
      <c r="AK3610" t="s">
        <v>12695</v>
      </c>
      <c r="AL3610" s="2">
        <v>0</v>
      </c>
      <c r="AM3610" s="2">
        <v>0</v>
      </c>
      <c r="AN3610" s="2">
        <v>0</v>
      </c>
      <c r="AO3610" t="s">
        <v>44</v>
      </c>
      <c r="AP3610" t="s">
        <v>11295</v>
      </c>
      <c r="AQ3610" t="s">
        <v>520</v>
      </c>
    </row>
    <row r="3611" spans="1:43" x14ac:dyDescent="0.2">
      <c r="A3611" t="s">
        <v>12694</v>
      </c>
      <c r="B3611" t="s">
        <v>11037</v>
      </c>
      <c r="C3611" t="s">
        <v>11276</v>
      </c>
      <c r="D3611" t="s">
        <v>5894</v>
      </c>
      <c r="E3611" t="s">
        <v>4484</v>
      </c>
      <c r="F3611" t="s">
        <v>5894</v>
      </c>
      <c r="G3611" s="1">
        <v>435</v>
      </c>
      <c r="H3611" s="2">
        <v>189012.15</v>
      </c>
      <c r="I3611" s="2">
        <v>165978.6</v>
      </c>
      <c r="J3611" s="2">
        <v>0</v>
      </c>
      <c r="K3611" s="2">
        <v>0</v>
      </c>
      <c r="L3611" s="2">
        <v>165978.6</v>
      </c>
      <c r="M3611" s="3">
        <v>38156</v>
      </c>
      <c r="N3611" s="4">
        <v>3.7762000000000001E-4</v>
      </c>
      <c r="O3611" s="5" t="s">
        <v>44</v>
      </c>
      <c r="P3611" s="5" t="s">
        <v>44</v>
      </c>
      <c r="Q3611" s="1"/>
      <c r="R3611" s="2"/>
      <c r="S3611" s="6"/>
      <c r="T3611" t="s">
        <v>10902</v>
      </c>
      <c r="U3611" t="s">
        <v>10902</v>
      </c>
      <c r="V3611" t="s">
        <v>10902</v>
      </c>
      <c r="W3611" t="s">
        <v>43</v>
      </c>
      <c r="X3611" t="s">
        <v>11279</v>
      </c>
      <c r="Y3611" t="s">
        <v>11280</v>
      </c>
      <c r="Z3611" t="s">
        <v>11276</v>
      </c>
      <c r="AA3611" t="s">
        <v>44</v>
      </c>
      <c r="AB3611" t="s">
        <v>44</v>
      </c>
      <c r="AC3611" s="4"/>
      <c r="AD3611" s="4"/>
      <c r="AE3611" s="2">
        <v>0</v>
      </c>
      <c r="AF3611" s="4">
        <v>0</v>
      </c>
      <c r="AG3611" s="2">
        <v>0.06</v>
      </c>
      <c r="AH3611" s="2">
        <v>165978.6</v>
      </c>
      <c r="AI3611" s="2">
        <v>0</v>
      </c>
      <c r="AJ3611" s="5">
        <v>44673</v>
      </c>
      <c r="AK3611" t="s">
        <v>12695</v>
      </c>
      <c r="AL3611" s="2">
        <v>0</v>
      </c>
      <c r="AM3611" s="2">
        <v>0</v>
      </c>
      <c r="AN3611" s="2">
        <v>0</v>
      </c>
      <c r="AO3611" t="s">
        <v>44</v>
      </c>
      <c r="AP3611" t="s">
        <v>11674</v>
      </c>
      <c r="AQ3611" t="s">
        <v>4484</v>
      </c>
    </row>
    <row r="3612" spans="1:43" x14ac:dyDescent="0.2">
      <c r="A3612" t="s">
        <v>12694</v>
      </c>
      <c r="B3612" t="s">
        <v>11037</v>
      </c>
      <c r="C3612" t="s">
        <v>11276</v>
      </c>
      <c r="D3612" t="s">
        <v>11678</v>
      </c>
      <c r="E3612" t="s">
        <v>11679</v>
      </c>
      <c r="F3612" t="s">
        <v>11680</v>
      </c>
      <c r="G3612" s="1">
        <v>4200</v>
      </c>
      <c r="H3612" s="2">
        <v>670593.48</v>
      </c>
      <c r="I3612" s="2">
        <v>987924</v>
      </c>
      <c r="J3612" s="2">
        <v>0</v>
      </c>
      <c r="K3612" s="2">
        <v>0</v>
      </c>
      <c r="L3612" s="2">
        <v>987924</v>
      </c>
      <c r="M3612" s="3">
        <v>23522</v>
      </c>
      <c r="N3612" s="4">
        <v>2.24763E-3</v>
      </c>
      <c r="O3612" s="5" t="s">
        <v>44</v>
      </c>
      <c r="P3612" s="5" t="s">
        <v>44</v>
      </c>
      <c r="Q3612" s="1"/>
      <c r="R3612" s="2"/>
      <c r="S3612" s="6"/>
      <c r="T3612" t="s">
        <v>10902</v>
      </c>
      <c r="U3612" t="s">
        <v>10902</v>
      </c>
      <c r="V3612" t="s">
        <v>10902</v>
      </c>
      <c r="W3612" t="s">
        <v>43</v>
      </c>
      <c r="X3612" t="s">
        <v>11279</v>
      </c>
      <c r="Y3612" t="s">
        <v>11280</v>
      </c>
      <c r="Z3612" t="s">
        <v>11276</v>
      </c>
      <c r="AA3612" t="s">
        <v>44</v>
      </c>
      <c r="AB3612" t="s">
        <v>44</v>
      </c>
      <c r="AC3612" s="4"/>
      <c r="AD3612" s="4"/>
      <c r="AE3612" s="2">
        <v>0</v>
      </c>
      <c r="AF3612" s="4">
        <v>0</v>
      </c>
      <c r="AG3612" s="2">
        <v>0.34</v>
      </c>
      <c r="AH3612" s="2">
        <v>987924</v>
      </c>
      <c r="AI3612" s="2">
        <v>0</v>
      </c>
      <c r="AJ3612" s="5">
        <v>44673</v>
      </c>
      <c r="AK3612" t="s">
        <v>12695</v>
      </c>
      <c r="AL3612" s="2">
        <v>0</v>
      </c>
      <c r="AM3612" s="2">
        <v>0</v>
      </c>
      <c r="AN3612" s="2">
        <v>0</v>
      </c>
      <c r="AO3612" t="s">
        <v>44</v>
      </c>
      <c r="AP3612" t="s">
        <v>11681</v>
      </c>
      <c r="AQ3612" t="s">
        <v>11679</v>
      </c>
    </row>
    <row r="3613" spans="1:43" x14ac:dyDescent="0.2">
      <c r="A3613" t="s">
        <v>12694</v>
      </c>
      <c r="B3613" t="s">
        <v>11037</v>
      </c>
      <c r="C3613" t="s">
        <v>11296</v>
      </c>
      <c r="D3613" t="s">
        <v>6200</v>
      </c>
      <c r="E3613" t="s">
        <v>5051</v>
      </c>
      <c r="F3613" t="s">
        <v>6200</v>
      </c>
      <c r="G3613" s="1">
        <v>18500</v>
      </c>
      <c r="H3613" s="2">
        <v>1625627.12</v>
      </c>
      <c r="I3613" s="2">
        <v>1269100</v>
      </c>
      <c r="J3613" s="2">
        <v>0</v>
      </c>
      <c r="K3613" s="2">
        <v>0</v>
      </c>
      <c r="L3613" s="2">
        <v>1269100</v>
      </c>
      <c r="M3613" s="3">
        <v>6860</v>
      </c>
      <c r="N3613" s="4">
        <v>2.88734E-3</v>
      </c>
      <c r="O3613" s="5" t="s">
        <v>44</v>
      </c>
      <c r="P3613" s="5" t="s">
        <v>44</v>
      </c>
      <c r="Q3613" s="1"/>
      <c r="R3613" s="2"/>
      <c r="S3613" s="6"/>
      <c r="T3613" t="s">
        <v>10902</v>
      </c>
      <c r="U3613" t="s">
        <v>10902</v>
      </c>
      <c r="V3613" t="s">
        <v>10902</v>
      </c>
      <c r="W3613" t="s">
        <v>43</v>
      </c>
      <c r="X3613" t="s">
        <v>11300</v>
      </c>
      <c r="Y3613" t="s">
        <v>11299</v>
      </c>
      <c r="Z3613" t="s">
        <v>11296</v>
      </c>
      <c r="AA3613" t="s">
        <v>44</v>
      </c>
      <c r="AB3613" t="s">
        <v>44</v>
      </c>
      <c r="AC3613" s="4"/>
      <c r="AD3613" s="4"/>
      <c r="AE3613" s="2">
        <v>0</v>
      </c>
      <c r="AF3613" s="4">
        <v>0</v>
      </c>
      <c r="AG3613" s="2">
        <v>0.44</v>
      </c>
      <c r="AH3613" s="2">
        <v>1269100</v>
      </c>
      <c r="AI3613" s="2">
        <v>0</v>
      </c>
      <c r="AJ3613" s="5">
        <v>44673</v>
      </c>
      <c r="AK3613" t="s">
        <v>12695</v>
      </c>
      <c r="AL3613" s="2">
        <v>0</v>
      </c>
      <c r="AM3613" s="2">
        <v>0</v>
      </c>
      <c r="AN3613" s="2">
        <v>0</v>
      </c>
      <c r="AO3613" t="s">
        <v>44</v>
      </c>
      <c r="AP3613" t="s">
        <v>11301</v>
      </c>
      <c r="AQ3613" t="s">
        <v>5051</v>
      </c>
    </row>
    <row r="3614" spans="1:43" x14ac:dyDescent="0.2">
      <c r="A3614" t="s">
        <v>12694</v>
      </c>
      <c r="B3614" t="s">
        <v>11037</v>
      </c>
      <c r="C3614" t="s">
        <v>11296</v>
      </c>
      <c r="D3614" t="s">
        <v>6458</v>
      </c>
      <c r="E3614" t="s">
        <v>5402</v>
      </c>
      <c r="F3614" t="s">
        <v>11302</v>
      </c>
      <c r="G3614" s="1">
        <v>5047</v>
      </c>
      <c r="H3614" s="2">
        <v>763345.85</v>
      </c>
      <c r="I3614" s="2">
        <v>873131</v>
      </c>
      <c r="J3614" s="2">
        <v>0</v>
      </c>
      <c r="K3614" s="2">
        <v>0</v>
      </c>
      <c r="L3614" s="2">
        <v>873131</v>
      </c>
      <c r="M3614" s="3">
        <v>17300</v>
      </c>
      <c r="N3614" s="4">
        <v>1.9864700000000002E-3</v>
      </c>
      <c r="O3614" s="5" t="s">
        <v>44</v>
      </c>
      <c r="P3614" s="5" t="s">
        <v>44</v>
      </c>
      <c r="Q3614" s="1"/>
      <c r="R3614" s="2"/>
      <c r="S3614" s="6"/>
      <c r="T3614" t="s">
        <v>10902</v>
      </c>
      <c r="U3614" t="s">
        <v>10902</v>
      </c>
      <c r="V3614" t="s">
        <v>10902</v>
      </c>
      <c r="W3614" t="s">
        <v>43</v>
      </c>
      <c r="X3614" t="s">
        <v>11298</v>
      </c>
      <c r="Y3614" t="s">
        <v>11299</v>
      </c>
      <c r="Z3614" t="s">
        <v>11296</v>
      </c>
      <c r="AA3614" t="s">
        <v>44</v>
      </c>
      <c r="AB3614" t="s">
        <v>44</v>
      </c>
      <c r="AC3614" s="4"/>
      <c r="AD3614" s="4"/>
      <c r="AE3614" s="2">
        <v>0</v>
      </c>
      <c r="AF3614" s="4">
        <v>0</v>
      </c>
      <c r="AG3614" s="2">
        <v>0.3</v>
      </c>
      <c r="AH3614" s="2">
        <v>873131</v>
      </c>
      <c r="AI3614" s="2">
        <v>0</v>
      </c>
      <c r="AJ3614" s="5">
        <v>44673</v>
      </c>
      <c r="AK3614" t="s">
        <v>12695</v>
      </c>
      <c r="AL3614" s="2">
        <v>0</v>
      </c>
      <c r="AM3614" s="2">
        <v>0</v>
      </c>
      <c r="AN3614" s="2">
        <v>0</v>
      </c>
      <c r="AO3614" t="s">
        <v>44</v>
      </c>
      <c r="AP3614" t="s">
        <v>11303</v>
      </c>
      <c r="AQ3614" t="s">
        <v>5402</v>
      </c>
    </row>
    <row r="3615" spans="1:43" x14ac:dyDescent="0.2">
      <c r="A3615" t="s">
        <v>12694</v>
      </c>
      <c r="B3615" t="s">
        <v>11037</v>
      </c>
      <c r="C3615" t="s">
        <v>11296</v>
      </c>
      <c r="D3615" t="s">
        <v>6137</v>
      </c>
      <c r="E3615" t="s">
        <v>4926</v>
      </c>
      <c r="F3615" t="s">
        <v>6137</v>
      </c>
      <c r="G3615" s="1">
        <v>9815</v>
      </c>
      <c r="H3615" s="2">
        <v>1714013.53</v>
      </c>
      <c r="I3615" s="2">
        <v>1528588.1</v>
      </c>
      <c r="J3615" s="2">
        <v>0</v>
      </c>
      <c r="K3615" s="2">
        <v>0</v>
      </c>
      <c r="L3615" s="2">
        <v>1528588.1</v>
      </c>
      <c r="M3615" s="3">
        <v>15574</v>
      </c>
      <c r="N3615" s="4">
        <v>3.4776999999999998E-3</v>
      </c>
      <c r="O3615" s="5" t="s">
        <v>44</v>
      </c>
      <c r="P3615" s="5" t="s">
        <v>44</v>
      </c>
      <c r="Q3615" s="1"/>
      <c r="R3615" s="2"/>
      <c r="S3615" s="6"/>
      <c r="T3615" t="s">
        <v>10902</v>
      </c>
      <c r="U3615" t="s">
        <v>10902</v>
      </c>
      <c r="V3615" t="s">
        <v>10902</v>
      </c>
      <c r="W3615" t="s">
        <v>43</v>
      </c>
      <c r="X3615" t="s">
        <v>11300</v>
      </c>
      <c r="Y3615" t="s">
        <v>11299</v>
      </c>
      <c r="Z3615" t="s">
        <v>11296</v>
      </c>
      <c r="AA3615" t="s">
        <v>44</v>
      </c>
      <c r="AB3615" t="s">
        <v>44</v>
      </c>
      <c r="AC3615" s="4"/>
      <c r="AD3615" s="4"/>
      <c r="AE3615" s="2">
        <v>0</v>
      </c>
      <c r="AF3615" s="4">
        <v>0</v>
      </c>
      <c r="AG3615" s="2">
        <v>0.53</v>
      </c>
      <c r="AH3615" s="2">
        <v>1528588.1</v>
      </c>
      <c r="AI3615" s="2">
        <v>0</v>
      </c>
      <c r="AJ3615" s="5">
        <v>44673</v>
      </c>
      <c r="AK3615" t="s">
        <v>12695</v>
      </c>
      <c r="AL3615" s="2">
        <v>0</v>
      </c>
      <c r="AM3615" s="2">
        <v>0</v>
      </c>
      <c r="AN3615" s="2">
        <v>0</v>
      </c>
      <c r="AO3615" t="s">
        <v>44</v>
      </c>
      <c r="AP3615" t="s">
        <v>11304</v>
      </c>
      <c r="AQ3615" t="s">
        <v>4926</v>
      </c>
    </row>
    <row r="3616" spans="1:43" x14ac:dyDescent="0.2">
      <c r="A3616" t="s">
        <v>12694</v>
      </c>
      <c r="B3616" t="s">
        <v>11037</v>
      </c>
      <c r="C3616" t="s">
        <v>11305</v>
      </c>
      <c r="D3616" t="s">
        <v>6592</v>
      </c>
      <c r="E3616" t="s">
        <v>5424</v>
      </c>
      <c r="F3616" t="s">
        <v>6592</v>
      </c>
      <c r="G3616" s="1">
        <v>30000</v>
      </c>
      <c r="H3616" s="2">
        <v>376543.02</v>
      </c>
      <c r="I3616" s="2">
        <v>521100</v>
      </c>
      <c r="J3616" s="2">
        <v>0</v>
      </c>
      <c r="K3616" s="2">
        <v>0</v>
      </c>
      <c r="L3616" s="2">
        <v>521100</v>
      </c>
      <c r="M3616" s="3">
        <v>1737</v>
      </c>
      <c r="N3616" s="4">
        <v>1.18556E-3</v>
      </c>
      <c r="O3616" s="5" t="s">
        <v>44</v>
      </c>
      <c r="P3616" s="5" t="s">
        <v>44</v>
      </c>
      <c r="Q3616" s="1"/>
      <c r="R3616" s="2"/>
      <c r="S3616" s="6"/>
      <c r="T3616" t="s">
        <v>10902</v>
      </c>
      <c r="U3616" t="s">
        <v>10902</v>
      </c>
      <c r="V3616" t="s">
        <v>10902</v>
      </c>
      <c r="W3616" t="s">
        <v>43</v>
      </c>
      <c r="X3616" t="s">
        <v>11306</v>
      </c>
      <c r="Y3616" t="s">
        <v>11307</v>
      </c>
      <c r="Z3616" t="s">
        <v>11305</v>
      </c>
      <c r="AA3616" t="s">
        <v>44</v>
      </c>
      <c r="AB3616" t="s">
        <v>44</v>
      </c>
      <c r="AC3616" s="4"/>
      <c r="AD3616" s="4"/>
      <c r="AE3616" s="2">
        <v>0</v>
      </c>
      <c r="AF3616" s="4">
        <v>0</v>
      </c>
      <c r="AG3616" s="2">
        <v>0.18</v>
      </c>
      <c r="AH3616" s="2">
        <v>521100</v>
      </c>
      <c r="AI3616" s="2">
        <v>0</v>
      </c>
      <c r="AJ3616" s="5">
        <v>44673</v>
      </c>
      <c r="AK3616" t="s">
        <v>12695</v>
      </c>
      <c r="AL3616" s="2">
        <v>0</v>
      </c>
      <c r="AM3616" s="2">
        <v>0</v>
      </c>
      <c r="AN3616" s="2">
        <v>0</v>
      </c>
      <c r="AO3616" t="s">
        <v>44</v>
      </c>
      <c r="AP3616" t="s">
        <v>11308</v>
      </c>
      <c r="AQ3616" t="s">
        <v>5424</v>
      </c>
    </row>
    <row r="3617" spans="1:43" x14ac:dyDescent="0.2">
      <c r="A3617" t="s">
        <v>12694</v>
      </c>
      <c r="B3617" t="s">
        <v>11037</v>
      </c>
      <c r="C3617" t="s">
        <v>11305</v>
      </c>
      <c r="D3617" t="s">
        <v>11309</v>
      </c>
      <c r="E3617" t="s">
        <v>5389</v>
      </c>
      <c r="F3617" t="s">
        <v>11309</v>
      </c>
      <c r="G3617" s="1">
        <v>22775</v>
      </c>
      <c r="H3617" s="2">
        <v>631219.62</v>
      </c>
      <c r="I3617" s="2">
        <v>857251</v>
      </c>
      <c r="J3617" s="2">
        <v>0</v>
      </c>
      <c r="K3617" s="2">
        <v>0</v>
      </c>
      <c r="L3617" s="2">
        <v>857251</v>
      </c>
      <c r="M3617" s="3">
        <v>3764</v>
      </c>
      <c r="N3617" s="4">
        <v>1.9503400000000001E-3</v>
      </c>
      <c r="O3617" s="5" t="s">
        <v>44</v>
      </c>
      <c r="P3617" s="5" t="s">
        <v>44</v>
      </c>
      <c r="Q3617" s="1"/>
      <c r="R3617" s="2"/>
      <c r="S3617" s="6"/>
      <c r="T3617" t="s">
        <v>10902</v>
      </c>
      <c r="U3617" t="s">
        <v>10902</v>
      </c>
      <c r="V3617" t="s">
        <v>10902</v>
      </c>
      <c r="W3617" t="s">
        <v>43</v>
      </c>
      <c r="X3617" t="s">
        <v>11310</v>
      </c>
      <c r="Y3617" t="s">
        <v>11307</v>
      </c>
      <c r="Z3617" t="s">
        <v>11305</v>
      </c>
      <c r="AA3617" t="s">
        <v>44</v>
      </c>
      <c r="AB3617" t="s">
        <v>44</v>
      </c>
      <c r="AC3617" s="4"/>
      <c r="AD3617" s="4"/>
      <c r="AE3617" s="2">
        <v>0</v>
      </c>
      <c r="AF3617" s="4">
        <v>0</v>
      </c>
      <c r="AG3617" s="2">
        <v>0.3</v>
      </c>
      <c r="AH3617" s="2">
        <v>857251</v>
      </c>
      <c r="AI3617" s="2">
        <v>0</v>
      </c>
      <c r="AJ3617" s="5">
        <v>44673</v>
      </c>
      <c r="AK3617" t="s">
        <v>12695</v>
      </c>
      <c r="AL3617" s="2">
        <v>0</v>
      </c>
      <c r="AM3617" s="2">
        <v>0</v>
      </c>
      <c r="AN3617" s="2">
        <v>0</v>
      </c>
      <c r="AO3617" t="s">
        <v>44</v>
      </c>
      <c r="AP3617" t="s">
        <v>11311</v>
      </c>
      <c r="AQ3617" t="s">
        <v>5389</v>
      </c>
    </row>
    <row r="3618" spans="1:43" x14ac:dyDescent="0.2">
      <c r="A3618" t="s">
        <v>12694</v>
      </c>
      <c r="B3618" t="s">
        <v>11037</v>
      </c>
      <c r="C3618" t="s">
        <v>11305</v>
      </c>
      <c r="D3618" t="s">
        <v>6372</v>
      </c>
      <c r="E3618" t="s">
        <v>6607</v>
      </c>
      <c r="F3618" t="s">
        <v>6372</v>
      </c>
      <c r="G3618" s="1">
        <v>7300</v>
      </c>
      <c r="H3618" s="2">
        <v>629628.41</v>
      </c>
      <c r="I3618" s="2">
        <v>815629</v>
      </c>
      <c r="J3618" s="2">
        <v>0</v>
      </c>
      <c r="K3618" s="2">
        <v>0</v>
      </c>
      <c r="L3618" s="2">
        <v>815629</v>
      </c>
      <c r="M3618" s="3">
        <v>11173</v>
      </c>
      <c r="N3618" s="4">
        <v>1.85564E-3</v>
      </c>
      <c r="O3618" s="5" t="s">
        <v>44</v>
      </c>
      <c r="P3618" s="5" t="s">
        <v>44</v>
      </c>
      <c r="Q3618" s="1"/>
      <c r="R3618" s="2"/>
      <c r="S3618" s="6"/>
      <c r="T3618" t="s">
        <v>10902</v>
      </c>
      <c r="U3618" t="s">
        <v>10902</v>
      </c>
      <c r="V3618" t="s">
        <v>10902</v>
      </c>
      <c r="W3618" t="s">
        <v>43</v>
      </c>
      <c r="X3618" t="s">
        <v>11306</v>
      </c>
      <c r="Y3618" t="s">
        <v>11307</v>
      </c>
      <c r="Z3618" t="s">
        <v>11305</v>
      </c>
      <c r="AA3618" t="s">
        <v>44</v>
      </c>
      <c r="AB3618" t="s">
        <v>44</v>
      </c>
      <c r="AC3618" s="4"/>
      <c r="AD3618" s="4"/>
      <c r="AE3618" s="2">
        <v>0</v>
      </c>
      <c r="AF3618" s="4">
        <v>0</v>
      </c>
      <c r="AG3618" s="2">
        <v>0.28000000000000003</v>
      </c>
      <c r="AH3618" s="2">
        <v>815629</v>
      </c>
      <c r="AI3618" s="2">
        <v>0</v>
      </c>
      <c r="AJ3618" s="5">
        <v>44673</v>
      </c>
      <c r="AK3618" t="s">
        <v>12695</v>
      </c>
      <c r="AL3618" s="2">
        <v>0</v>
      </c>
      <c r="AM3618" s="2">
        <v>0</v>
      </c>
      <c r="AN3618" s="2">
        <v>0</v>
      </c>
      <c r="AO3618" t="s">
        <v>44</v>
      </c>
      <c r="AP3618" t="s">
        <v>11313</v>
      </c>
      <c r="AQ3618" t="s">
        <v>6607</v>
      </c>
    </row>
    <row r="3619" spans="1:43" x14ac:dyDescent="0.2">
      <c r="A3619" t="s">
        <v>12694</v>
      </c>
      <c r="B3619" t="s">
        <v>11037</v>
      </c>
      <c r="C3619" t="s">
        <v>11305</v>
      </c>
      <c r="D3619" t="s">
        <v>11694</v>
      </c>
      <c r="E3619" t="s">
        <v>6518</v>
      </c>
      <c r="F3619" t="s">
        <v>11694</v>
      </c>
      <c r="G3619" s="1">
        <v>93</v>
      </c>
      <c r="H3619" s="2">
        <v>9867.2999999999993</v>
      </c>
      <c r="I3619" s="2">
        <v>11965.38</v>
      </c>
      <c r="J3619" s="2">
        <v>0</v>
      </c>
      <c r="K3619" s="2">
        <v>0</v>
      </c>
      <c r="L3619" s="2">
        <v>11965.38</v>
      </c>
      <c r="M3619" s="3">
        <v>12866</v>
      </c>
      <c r="N3619" s="4">
        <v>2.722E-5</v>
      </c>
      <c r="O3619" s="5" t="s">
        <v>44</v>
      </c>
      <c r="P3619" s="5" t="s">
        <v>44</v>
      </c>
      <c r="Q3619" s="1"/>
      <c r="R3619" s="2"/>
      <c r="S3619" s="6"/>
      <c r="T3619" t="s">
        <v>10902</v>
      </c>
      <c r="U3619" t="s">
        <v>10902</v>
      </c>
      <c r="V3619" t="s">
        <v>10902</v>
      </c>
      <c r="W3619" t="s">
        <v>43</v>
      </c>
      <c r="X3619" t="s">
        <v>44</v>
      </c>
      <c r="Y3619" t="s">
        <v>11695</v>
      </c>
      <c r="Z3619" t="s">
        <v>11305</v>
      </c>
      <c r="AA3619" t="s">
        <v>44</v>
      </c>
      <c r="AB3619" t="s">
        <v>44</v>
      </c>
      <c r="AC3619" s="4"/>
      <c r="AD3619" s="4"/>
      <c r="AE3619" s="2">
        <v>0</v>
      </c>
      <c r="AF3619" s="4">
        <v>0</v>
      </c>
      <c r="AG3619" s="2">
        <v>0</v>
      </c>
      <c r="AH3619" s="2">
        <v>11965.38</v>
      </c>
      <c r="AI3619" s="2">
        <v>0</v>
      </c>
      <c r="AJ3619" s="5">
        <v>44673</v>
      </c>
      <c r="AK3619" t="s">
        <v>12695</v>
      </c>
      <c r="AL3619" s="2">
        <v>0</v>
      </c>
      <c r="AM3619" s="2">
        <v>0</v>
      </c>
      <c r="AN3619" s="2">
        <v>0</v>
      </c>
      <c r="AO3619" t="s">
        <v>44</v>
      </c>
      <c r="AP3619" t="s">
        <v>11696</v>
      </c>
      <c r="AQ3619" t="s">
        <v>6518</v>
      </c>
    </row>
    <row r="3620" spans="1:43" x14ac:dyDescent="0.2">
      <c r="A3620" t="s">
        <v>12694</v>
      </c>
      <c r="B3620" t="s">
        <v>11037</v>
      </c>
      <c r="C3620" t="s">
        <v>11305</v>
      </c>
      <c r="D3620" t="s">
        <v>11314</v>
      </c>
      <c r="E3620" t="s">
        <v>6750</v>
      </c>
      <c r="F3620" t="s">
        <v>11314</v>
      </c>
      <c r="G3620" s="1">
        <v>97117</v>
      </c>
      <c r="H3620" s="2">
        <v>1798914.76</v>
      </c>
      <c r="I3620" s="2">
        <v>2118121.77</v>
      </c>
      <c r="J3620" s="2">
        <v>0</v>
      </c>
      <c r="K3620" s="2">
        <v>0</v>
      </c>
      <c r="L3620" s="2">
        <v>2118121.77</v>
      </c>
      <c r="M3620" s="3">
        <v>2181</v>
      </c>
      <c r="N3620" s="4">
        <v>4.8189599999999997E-3</v>
      </c>
      <c r="O3620" s="5" t="s">
        <v>44</v>
      </c>
      <c r="P3620" s="5" t="s">
        <v>44</v>
      </c>
      <c r="Q3620" s="1"/>
      <c r="R3620" s="2"/>
      <c r="S3620" s="6"/>
      <c r="T3620" t="s">
        <v>10902</v>
      </c>
      <c r="U3620" t="s">
        <v>10902</v>
      </c>
      <c r="V3620" t="s">
        <v>10902</v>
      </c>
      <c r="W3620" t="s">
        <v>43</v>
      </c>
      <c r="X3620" t="s">
        <v>11306</v>
      </c>
      <c r="Y3620" t="s">
        <v>11307</v>
      </c>
      <c r="Z3620" t="s">
        <v>11305</v>
      </c>
      <c r="AA3620" t="s">
        <v>44</v>
      </c>
      <c r="AB3620" t="s">
        <v>44</v>
      </c>
      <c r="AC3620" s="4"/>
      <c r="AD3620" s="4"/>
      <c r="AE3620" s="2">
        <v>0</v>
      </c>
      <c r="AF3620" s="4">
        <v>0</v>
      </c>
      <c r="AG3620" s="2">
        <v>0.73</v>
      </c>
      <c r="AH3620" s="2">
        <v>2118121.77</v>
      </c>
      <c r="AI3620" s="2">
        <v>0</v>
      </c>
      <c r="AJ3620" s="5">
        <v>44673</v>
      </c>
      <c r="AK3620" t="s">
        <v>12695</v>
      </c>
      <c r="AL3620" s="2">
        <v>0</v>
      </c>
      <c r="AM3620" s="2">
        <v>0</v>
      </c>
      <c r="AN3620" s="2">
        <v>0</v>
      </c>
      <c r="AO3620" t="s">
        <v>44</v>
      </c>
      <c r="AP3620" t="s">
        <v>11315</v>
      </c>
      <c r="AQ3620" t="s">
        <v>6750</v>
      </c>
    </row>
    <row r="3621" spans="1:43" x14ac:dyDescent="0.2">
      <c r="A3621" t="s">
        <v>12694</v>
      </c>
      <c r="B3621" t="s">
        <v>11037</v>
      </c>
      <c r="C3621" t="s">
        <v>11305</v>
      </c>
      <c r="D3621" t="s">
        <v>11316</v>
      </c>
      <c r="E3621" t="s">
        <v>5173</v>
      </c>
      <c r="F3621" t="s">
        <v>11316</v>
      </c>
      <c r="G3621" s="1">
        <v>21291</v>
      </c>
      <c r="H3621" s="2">
        <v>1366604.86</v>
      </c>
      <c r="I3621" s="2">
        <v>1273414.71</v>
      </c>
      <c r="J3621" s="2">
        <v>0</v>
      </c>
      <c r="K3621" s="2">
        <v>0</v>
      </c>
      <c r="L3621" s="2">
        <v>1273414.71</v>
      </c>
      <c r="M3621" s="3">
        <v>5981</v>
      </c>
      <c r="N3621" s="4">
        <v>2.8971600000000002E-3</v>
      </c>
      <c r="O3621" s="5" t="s">
        <v>44</v>
      </c>
      <c r="P3621" s="5" t="s">
        <v>44</v>
      </c>
      <c r="Q3621" s="1"/>
      <c r="R3621" s="2"/>
      <c r="S3621" s="6"/>
      <c r="T3621" t="s">
        <v>10902</v>
      </c>
      <c r="U3621" t="s">
        <v>10902</v>
      </c>
      <c r="V3621" t="s">
        <v>10902</v>
      </c>
      <c r="W3621" t="s">
        <v>43</v>
      </c>
      <c r="X3621" t="s">
        <v>11310</v>
      </c>
      <c r="Y3621" t="s">
        <v>11307</v>
      </c>
      <c r="Z3621" t="s">
        <v>11305</v>
      </c>
      <c r="AA3621" t="s">
        <v>44</v>
      </c>
      <c r="AB3621" t="s">
        <v>44</v>
      </c>
      <c r="AC3621" s="4"/>
      <c r="AD3621" s="4"/>
      <c r="AE3621" s="2">
        <v>0</v>
      </c>
      <c r="AF3621" s="4">
        <v>0</v>
      </c>
      <c r="AG3621" s="2">
        <v>0.44</v>
      </c>
      <c r="AH3621" s="2">
        <v>1273414.71</v>
      </c>
      <c r="AI3621" s="2">
        <v>0</v>
      </c>
      <c r="AJ3621" s="5">
        <v>44673</v>
      </c>
      <c r="AK3621" t="s">
        <v>12695</v>
      </c>
      <c r="AL3621" s="2">
        <v>0</v>
      </c>
      <c r="AM3621" s="2">
        <v>0</v>
      </c>
      <c r="AN3621" s="2">
        <v>0</v>
      </c>
      <c r="AO3621" t="s">
        <v>44</v>
      </c>
      <c r="AP3621" t="s">
        <v>11317</v>
      </c>
      <c r="AQ3621" t="s">
        <v>5173</v>
      </c>
    </row>
    <row r="3622" spans="1:43" x14ac:dyDescent="0.2">
      <c r="A3622" t="s">
        <v>12694</v>
      </c>
      <c r="B3622" t="s">
        <v>11037</v>
      </c>
      <c r="C3622" t="s">
        <v>11305</v>
      </c>
      <c r="D3622" t="s">
        <v>11698</v>
      </c>
      <c r="E3622" t="s">
        <v>4919</v>
      </c>
      <c r="F3622" t="s">
        <v>11698</v>
      </c>
      <c r="G3622" s="1">
        <v>11894</v>
      </c>
      <c r="H3622" s="2">
        <v>1919198.79</v>
      </c>
      <c r="I3622" s="2">
        <v>1976782.8</v>
      </c>
      <c r="J3622" s="2">
        <v>0</v>
      </c>
      <c r="K3622" s="2">
        <v>0</v>
      </c>
      <c r="L3622" s="2">
        <v>1976782.8</v>
      </c>
      <c r="M3622" s="3">
        <v>16620</v>
      </c>
      <c r="N3622" s="4">
        <v>4.4973900000000004E-3</v>
      </c>
      <c r="O3622" s="5" t="s">
        <v>44</v>
      </c>
      <c r="P3622" s="5" t="s">
        <v>44</v>
      </c>
      <c r="Q3622" s="1"/>
      <c r="R3622" s="2"/>
      <c r="S3622" s="6"/>
      <c r="T3622" t="s">
        <v>10902</v>
      </c>
      <c r="U3622" t="s">
        <v>10902</v>
      </c>
      <c r="V3622" t="s">
        <v>10902</v>
      </c>
      <c r="W3622" t="s">
        <v>43</v>
      </c>
      <c r="X3622" t="s">
        <v>11310</v>
      </c>
      <c r="Y3622" t="s">
        <v>11307</v>
      </c>
      <c r="Z3622" t="s">
        <v>11305</v>
      </c>
      <c r="AA3622" t="s">
        <v>44</v>
      </c>
      <c r="AB3622" t="s">
        <v>44</v>
      </c>
      <c r="AC3622" s="4"/>
      <c r="AD3622" s="4"/>
      <c r="AE3622" s="2">
        <v>0</v>
      </c>
      <c r="AF3622" s="4">
        <v>0</v>
      </c>
      <c r="AG3622" s="2">
        <v>0.68</v>
      </c>
      <c r="AH3622" s="2">
        <v>1976782.8</v>
      </c>
      <c r="AI3622" s="2">
        <v>0</v>
      </c>
      <c r="AJ3622" s="5">
        <v>44673</v>
      </c>
      <c r="AK3622" t="s">
        <v>12695</v>
      </c>
      <c r="AL3622" s="2">
        <v>0</v>
      </c>
      <c r="AM3622" s="2">
        <v>0</v>
      </c>
      <c r="AN3622" s="2">
        <v>0</v>
      </c>
      <c r="AO3622" t="s">
        <v>44</v>
      </c>
      <c r="AP3622" t="s">
        <v>11699</v>
      </c>
      <c r="AQ3622" t="s">
        <v>4919</v>
      </c>
    </row>
    <row r="3623" spans="1:43" x14ac:dyDescent="0.2">
      <c r="A3623" t="s">
        <v>12694</v>
      </c>
      <c r="B3623" t="s">
        <v>11037</v>
      </c>
      <c r="C3623" t="s">
        <v>11305</v>
      </c>
      <c r="D3623" t="s">
        <v>6224</v>
      </c>
      <c r="E3623" t="s">
        <v>3901</v>
      </c>
      <c r="F3623" t="s">
        <v>6224</v>
      </c>
      <c r="G3623" s="1">
        <v>24650</v>
      </c>
      <c r="H3623" s="2">
        <v>1309796.69</v>
      </c>
      <c r="I3623" s="2">
        <v>1373498</v>
      </c>
      <c r="J3623" s="2">
        <v>0</v>
      </c>
      <c r="K3623" s="2">
        <v>0</v>
      </c>
      <c r="L3623" s="2">
        <v>1373498</v>
      </c>
      <c r="M3623" s="3">
        <v>5572</v>
      </c>
      <c r="N3623" s="4">
        <v>3.1248600000000001E-3</v>
      </c>
      <c r="O3623" s="5" t="s">
        <v>44</v>
      </c>
      <c r="P3623" s="5" t="s">
        <v>44</v>
      </c>
      <c r="Q3623" s="1"/>
      <c r="R3623" s="2"/>
      <c r="S3623" s="6"/>
      <c r="T3623" t="s">
        <v>10902</v>
      </c>
      <c r="U3623" t="s">
        <v>10902</v>
      </c>
      <c r="V3623" t="s">
        <v>10902</v>
      </c>
      <c r="W3623" t="s">
        <v>43</v>
      </c>
      <c r="X3623" t="s">
        <v>11306</v>
      </c>
      <c r="Y3623" t="s">
        <v>11307</v>
      </c>
      <c r="Z3623" t="s">
        <v>11305</v>
      </c>
      <c r="AA3623" t="s">
        <v>44</v>
      </c>
      <c r="AB3623" t="s">
        <v>44</v>
      </c>
      <c r="AC3623" s="4"/>
      <c r="AD3623" s="4"/>
      <c r="AE3623" s="2">
        <v>0</v>
      </c>
      <c r="AF3623" s="4">
        <v>0</v>
      </c>
      <c r="AG3623" s="2">
        <v>0.47</v>
      </c>
      <c r="AH3623" s="2">
        <v>1373498</v>
      </c>
      <c r="AI3623" s="2">
        <v>0</v>
      </c>
      <c r="AJ3623" s="5">
        <v>44673</v>
      </c>
      <c r="AK3623" t="s">
        <v>12695</v>
      </c>
      <c r="AL3623" s="2">
        <v>0</v>
      </c>
      <c r="AM3623" s="2">
        <v>0</v>
      </c>
      <c r="AN3623" s="2">
        <v>0</v>
      </c>
      <c r="AO3623" t="s">
        <v>44</v>
      </c>
      <c r="AP3623" t="s">
        <v>11320</v>
      </c>
      <c r="AQ3623" t="s">
        <v>3901</v>
      </c>
    </row>
    <row r="3624" spans="1:43" x14ac:dyDescent="0.2">
      <c r="A3624" t="s">
        <v>12694</v>
      </c>
      <c r="B3624" t="s">
        <v>11037</v>
      </c>
      <c r="C3624" t="s">
        <v>11195</v>
      </c>
      <c r="D3624" t="s">
        <v>6419</v>
      </c>
      <c r="E3624" t="s">
        <v>5072</v>
      </c>
      <c r="F3624" t="s">
        <v>6419</v>
      </c>
      <c r="G3624" s="1">
        <v>17642</v>
      </c>
      <c r="H3624" s="2">
        <v>1014972.74</v>
      </c>
      <c r="I3624" s="2">
        <v>740258.32</v>
      </c>
      <c r="J3624" s="2">
        <v>0</v>
      </c>
      <c r="K3624" s="2">
        <v>0</v>
      </c>
      <c r="L3624" s="2">
        <v>740258.32</v>
      </c>
      <c r="M3624" s="3">
        <v>4196</v>
      </c>
      <c r="N3624" s="4">
        <v>1.68417E-3</v>
      </c>
      <c r="O3624" s="5" t="s">
        <v>44</v>
      </c>
      <c r="P3624" s="5" t="s">
        <v>44</v>
      </c>
      <c r="Q3624" s="1"/>
      <c r="R3624" s="2"/>
      <c r="S3624" s="6"/>
      <c r="T3624" t="s">
        <v>10902</v>
      </c>
      <c r="U3624" t="s">
        <v>10902</v>
      </c>
      <c r="V3624" t="s">
        <v>10902</v>
      </c>
      <c r="W3624" t="s">
        <v>43</v>
      </c>
      <c r="X3624" t="s">
        <v>11327</v>
      </c>
      <c r="Y3624" t="s">
        <v>11198</v>
      </c>
      <c r="Z3624" t="s">
        <v>11195</v>
      </c>
      <c r="AA3624" t="s">
        <v>44</v>
      </c>
      <c r="AB3624" t="s">
        <v>44</v>
      </c>
      <c r="AC3624" s="4"/>
      <c r="AD3624" s="4"/>
      <c r="AE3624" s="2">
        <v>0</v>
      </c>
      <c r="AF3624" s="4">
        <v>0</v>
      </c>
      <c r="AG3624" s="2">
        <v>0.25</v>
      </c>
      <c r="AH3624" s="2">
        <v>740258.32</v>
      </c>
      <c r="AI3624" s="2">
        <v>0</v>
      </c>
      <c r="AJ3624" s="5">
        <v>44673</v>
      </c>
      <c r="AK3624" t="s">
        <v>12695</v>
      </c>
      <c r="AL3624" s="2">
        <v>0</v>
      </c>
      <c r="AM3624" s="2">
        <v>0</v>
      </c>
      <c r="AN3624" s="2">
        <v>0</v>
      </c>
      <c r="AO3624" t="s">
        <v>44</v>
      </c>
      <c r="AP3624" t="s">
        <v>11328</v>
      </c>
      <c r="AQ3624" t="s">
        <v>5072</v>
      </c>
    </row>
    <row r="3625" spans="1:43" x14ac:dyDescent="0.2">
      <c r="A3625" t="s">
        <v>12694</v>
      </c>
      <c r="B3625" t="s">
        <v>11037</v>
      </c>
      <c r="C3625" t="s">
        <v>11195</v>
      </c>
      <c r="D3625" t="s">
        <v>11704</v>
      </c>
      <c r="E3625" t="s">
        <v>3205</v>
      </c>
      <c r="F3625" t="s">
        <v>11704</v>
      </c>
      <c r="G3625" s="1">
        <v>5095</v>
      </c>
      <c r="H3625" s="2">
        <v>613848.46</v>
      </c>
      <c r="I3625" s="2">
        <v>838637</v>
      </c>
      <c r="J3625" s="2">
        <v>0</v>
      </c>
      <c r="K3625" s="2">
        <v>0</v>
      </c>
      <c r="L3625" s="2">
        <v>838637</v>
      </c>
      <c r="M3625" s="3">
        <v>16460</v>
      </c>
      <c r="N3625" s="4">
        <v>1.90799E-3</v>
      </c>
      <c r="O3625" s="5" t="s">
        <v>44</v>
      </c>
      <c r="P3625" s="5" t="s">
        <v>44</v>
      </c>
      <c r="Q3625" s="1"/>
      <c r="R3625" s="2"/>
      <c r="S3625" s="6"/>
      <c r="T3625" t="s">
        <v>10902</v>
      </c>
      <c r="U3625" t="s">
        <v>10902</v>
      </c>
      <c r="V3625" t="s">
        <v>10902</v>
      </c>
      <c r="W3625" t="s">
        <v>43</v>
      </c>
      <c r="X3625" t="s">
        <v>11334</v>
      </c>
      <c r="Y3625" t="s">
        <v>11335</v>
      </c>
      <c r="Z3625" t="s">
        <v>11195</v>
      </c>
      <c r="AA3625" t="s">
        <v>44</v>
      </c>
      <c r="AB3625" t="s">
        <v>44</v>
      </c>
      <c r="AC3625" s="4"/>
      <c r="AD3625" s="4"/>
      <c r="AE3625" s="2">
        <v>0</v>
      </c>
      <c r="AF3625" s="4">
        <v>0</v>
      </c>
      <c r="AG3625" s="2">
        <v>0.28999999999999998</v>
      </c>
      <c r="AH3625" s="2">
        <v>838637</v>
      </c>
      <c r="AI3625" s="2">
        <v>0</v>
      </c>
      <c r="AJ3625" s="5">
        <v>44673</v>
      </c>
      <c r="AK3625" t="s">
        <v>12695</v>
      </c>
      <c r="AL3625" s="2">
        <v>0</v>
      </c>
      <c r="AM3625" s="2">
        <v>0</v>
      </c>
      <c r="AN3625" s="2">
        <v>0</v>
      </c>
      <c r="AO3625" t="s">
        <v>44</v>
      </c>
      <c r="AP3625" t="s">
        <v>11705</v>
      </c>
      <c r="AQ3625" t="s">
        <v>3205</v>
      </c>
    </row>
    <row r="3626" spans="1:43" x14ac:dyDescent="0.2">
      <c r="A3626" t="s">
        <v>12694</v>
      </c>
      <c r="B3626" t="s">
        <v>11037</v>
      </c>
      <c r="C3626" t="s">
        <v>11195</v>
      </c>
      <c r="D3626" t="s">
        <v>11196</v>
      </c>
      <c r="E3626" t="s">
        <v>5755</v>
      </c>
      <c r="F3626" t="s">
        <v>11196</v>
      </c>
      <c r="G3626" s="1">
        <v>29153</v>
      </c>
      <c r="H3626" s="2">
        <v>604246.6</v>
      </c>
      <c r="I3626" s="2">
        <v>629121.74</v>
      </c>
      <c r="J3626" s="2">
        <v>0</v>
      </c>
      <c r="K3626" s="2">
        <v>0</v>
      </c>
      <c r="L3626" s="2">
        <v>629121.74</v>
      </c>
      <c r="M3626" s="3">
        <v>2158</v>
      </c>
      <c r="N3626" s="4">
        <v>1.43132E-3</v>
      </c>
      <c r="O3626" s="5" t="s">
        <v>44</v>
      </c>
      <c r="P3626" s="5" t="s">
        <v>44</v>
      </c>
      <c r="Q3626" s="1"/>
      <c r="R3626" s="2"/>
      <c r="S3626" s="6"/>
      <c r="T3626" t="s">
        <v>10902</v>
      </c>
      <c r="U3626" t="s">
        <v>10902</v>
      </c>
      <c r="V3626" t="s">
        <v>10902</v>
      </c>
      <c r="W3626" t="s">
        <v>43</v>
      </c>
      <c r="X3626" t="s">
        <v>11197</v>
      </c>
      <c r="Y3626" t="s">
        <v>11198</v>
      </c>
      <c r="Z3626" t="s">
        <v>11195</v>
      </c>
      <c r="AA3626" t="s">
        <v>44</v>
      </c>
      <c r="AB3626" t="s">
        <v>44</v>
      </c>
      <c r="AC3626" s="4"/>
      <c r="AD3626" s="4"/>
      <c r="AE3626" s="2">
        <v>0</v>
      </c>
      <c r="AF3626" s="4">
        <v>0</v>
      </c>
      <c r="AG3626" s="2">
        <v>0.22</v>
      </c>
      <c r="AH3626" s="2">
        <v>629121.74</v>
      </c>
      <c r="AI3626" s="2">
        <v>0</v>
      </c>
      <c r="AJ3626" s="5">
        <v>44673</v>
      </c>
      <c r="AK3626" t="s">
        <v>12695</v>
      </c>
      <c r="AL3626" s="2">
        <v>0</v>
      </c>
      <c r="AM3626" s="2">
        <v>0</v>
      </c>
      <c r="AN3626" s="2">
        <v>0</v>
      </c>
      <c r="AO3626" t="s">
        <v>44</v>
      </c>
      <c r="AP3626" t="s">
        <v>11199</v>
      </c>
      <c r="AQ3626" t="s">
        <v>5755</v>
      </c>
    </row>
    <row r="3627" spans="1:43" x14ac:dyDescent="0.2">
      <c r="A3627" t="s">
        <v>12694</v>
      </c>
      <c r="B3627" t="s">
        <v>11037</v>
      </c>
      <c r="C3627" t="s">
        <v>11195</v>
      </c>
      <c r="D3627" t="s">
        <v>11200</v>
      </c>
      <c r="E3627" t="s">
        <v>5277</v>
      </c>
      <c r="F3627" t="s">
        <v>11200</v>
      </c>
      <c r="G3627" s="1">
        <v>79399</v>
      </c>
      <c r="H3627" s="2">
        <v>1197840.1599999999</v>
      </c>
      <c r="I3627" s="2">
        <v>990105.53</v>
      </c>
      <c r="J3627" s="2">
        <v>0</v>
      </c>
      <c r="K3627" s="2">
        <v>0</v>
      </c>
      <c r="L3627" s="2">
        <v>990105.53</v>
      </c>
      <c r="M3627" s="3">
        <v>1247</v>
      </c>
      <c r="N3627" s="4">
        <v>2.2526E-3</v>
      </c>
      <c r="O3627" s="5" t="s">
        <v>44</v>
      </c>
      <c r="P3627" s="5" t="s">
        <v>44</v>
      </c>
      <c r="Q3627" s="1"/>
      <c r="R3627" s="2"/>
      <c r="S3627" s="6"/>
      <c r="T3627" t="s">
        <v>10902</v>
      </c>
      <c r="U3627" t="s">
        <v>10902</v>
      </c>
      <c r="V3627" t="s">
        <v>10902</v>
      </c>
      <c r="W3627" t="s">
        <v>43</v>
      </c>
      <c r="X3627" t="s">
        <v>11197</v>
      </c>
      <c r="Y3627" t="s">
        <v>11198</v>
      </c>
      <c r="Z3627" t="s">
        <v>11195</v>
      </c>
      <c r="AA3627" t="s">
        <v>44</v>
      </c>
      <c r="AB3627" t="s">
        <v>44</v>
      </c>
      <c r="AC3627" s="4"/>
      <c r="AD3627" s="4"/>
      <c r="AE3627" s="2">
        <v>0</v>
      </c>
      <c r="AF3627" s="4">
        <v>0</v>
      </c>
      <c r="AG3627" s="2">
        <v>0.34</v>
      </c>
      <c r="AH3627" s="2">
        <v>990105.53</v>
      </c>
      <c r="AI3627" s="2">
        <v>0</v>
      </c>
      <c r="AJ3627" s="5">
        <v>44673</v>
      </c>
      <c r="AK3627" t="s">
        <v>12695</v>
      </c>
      <c r="AL3627" s="2">
        <v>0</v>
      </c>
      <c r="AM3627" s="2">
        <v>0</v>
      </c>
      <c r="AN3627" s="2">
        <v>0</v>
      </c>
      <c r="AO3627" t="s">
        <v>44</v>
      </c>
      <c r="AP3627" t="s">
        <v>11201</v>
      </c>
      <c r="AQ3627" t="s">
        <v>5277</v>
      </c>
    </row>
    <row r="3628" spans="1:43" x14ac:dyDescent="0.2">
      <c r="A3628" t="s">
        <v>12694</v>
      </c>
      <c r="B3628" t="s">
        <v>11037</v>
      </c>
      <c r="C3628" t="s">
        <v>11195</v>
      </c>
      <c r="D3628" t="s">
        <v>6332</v>
      </c>
      <c r="E3628" t="s">
        <v>3152</v>
      </c>
      <c r="F3628" t="s">
        <v>6332</v>
      </c>
      <c r="G3628" s="1">
        <v>13524</v>
      </c>
      <c r="H3628" s="2">
        <v>395122.09</v>
      </c>
      <c r="I3628" s="2">
        <v>487945.92</v>
      </c>
      <c r="J3628" s="2">
        <v>0</v>
      </c>
      <c r="K3628" s="2">
        <v>0</v>
      </c>
      <c r="L3628" s="2">
        <v>487945.92</v>
      </c>
      <c r="M3628" s="3">
        <v>3608</v>
      </c>
      <c r="N3628" s="4">
        <v>1.11013E-3</v>
      </c>
      <c r="O3628" s="5" t="s">
        <v>44</v>
      </c>
      <c r="P3628" s="5" t="s">
        <v>44</v>
      </c>
      <c r="Q3628" s="1"/>
      <c r="R3628" s="2"/>
      <c r="S3628" s="6"/>
      <c r="T3628" t="s">
        <v>10902</v>
      </c>
      <c r="U3628" t="s">
        <v>10902</v>
      </c>
      <c r="V3628" t="s">
        <v>10902</v>
      </c>
      <c r="W3628" t="s">
        <v>43</v>
      </c>
      <c r="X3628" t="s">
        <v>11197</v>
      </c>
      <c r="Y3628" t="s">
        <v>11198</v>
      </c>
      <c r="Z3628" t="s">
        <v>11195</v>
      </c>
      <c r="AA3628" t="s">
        <v>44</v>
      </c>
      <c r="AB3628" t="s">
        <v>44</v>
      </c>
      <c r="AC3628" s="4"/>
      <c r="AD3628" s="4"/>
      <c r="AE3628" s="2">
        <v>0</v>
      </c>
      <c r="AF3628" s="4">
        <v>0</v>
      </c>
      <c r="AG3628" s="2">
        <v>0.17</v>
      </c>
      <c r="AH3628" s="2">
        <v>487945.92</v>
      </c>
      <c r="AI3628" s="2">
        <v>0</v>
      </c>
      <c r="AJ3628" s="5">
        <v>44673</v>
      </c>
      <c r="AK3628" t="s">
        <v>12695</v>
      </c>
      <c r="AL3628" s="2">
        <v>0</v>
      </c>
      <c r="AM3628" s="2">
        <v>0</v>
      </c>
      <c r="AN3628" s="2">
        <v>0</v>
      </c>
      <c r="AO3628" t="s">
        <v>44</v>
      </c>
      <c r="AP3628" t="s">
        <v>11203</v>
      </c>
      <c r="AQ3628" t="s">
        <v>3152</v>
      </c>
    </row>
    <row r="3629" spans="1:43" x14ac:dyDescent="0.2">
      <c r="A3629" t="s">
        <v>12694</v>
      </c>
      <c r="B3629" t="s">
        <v>11037</v>
      </c>
      <c r="C3629" t="s">
        <v>11195</v>
      </c>
      <c r="D3629" t="s">
        <v>12123</v>
      </c>
      <c r="E3629" t="s">
        <v>12124</v>
      </c>
      <c r="F3629" t="s">
        <v>12123</v>
      </c>
      <c r="G3629" s="1">
        <v>24737</v>
      </c>
      <c r="H3629" s="2">
        <v>1148727.77</v>
      </c>
      <c r="I3629" s="2">
        <v>7173.73</v>
      </c>
      <c r="J3629" s="2">
        <v>0</v>
      </c>
      <c r="K3629" s="2">
        <v>0</v>
      </c>
      <c r="L3629" s="2">
        <v>7173.73</v>
      </c>
      <c r="M3629" s="3">
        <v>29</v>
      </c>
      <c r="N3629" s="4">
        <v>1.632E-5</v>
      </c>
      <c r="O3629" s="5" t="s">
        <v>44</v>
      </c>
      <c r="P3629" s="5" t="s">
        <v>44</v>
      </c>
      <c r="Q3629" s="1"/>
      <c r="R3629" s="2"/>
      <c r="S3629" s="6"/>
      <c r="T3629" t="s">
        <v>10902</v>
      </c>
      <c r="U3629" t="s">
        <v>10902</v>
      </c>
      <c r="V3629" t="s">
        <v>10902</v>
      </c>
      <c r="W3629" t="s">
        <v>43</v>
      </c>
      <c r="X3629" t="s">
        <v>11197</v>
      </c>
      <c r="Y3629" t="s">
        <v>11198</v>
      </c>
      <c r="Z3629" t="s">
        <v>11195</v>
      </c>
      <c r="AA3629" t="s">
        <v>44</v>
      </c>
      <c r="AB3629" t="s">
        <v>44</v>
      </c>
      <c r="AC3629" s="4"/>
      <c r="AD3629" s="4"/>
      <c r="AE3629" s="2">
        <v>0</v>
      </c>
      <c r="AF3629" s="4">
        <v>0</v>
      </c>
      <c r="AG3629" s="2">
        <v>0</v>
      </c>
      <c r="AH3629" s="2">
        <v>7173.73</v>
      </c>
      <c r="AI3629" s="2">
        <v>0</v>
      </c>
      <c r="AJ3629" s="5">
        <v>44673</v>
      </c>
      <c r="AK3629" t="s">
        <v>12695</v>
      </c>
      <c r="AL3629" s="2">
        <v>0</v>
      </c>
      <c r="AM3629" s="2">
        <v>0</v>
      </c>
      <c r="AN3629" s="2">
        <v>0</v>
      </c>
      <c r="AO3629" t="s">
        <v>44</v>
      </c>
      <c r="AP3629" t="s">
        <v>12125</v>
      </c>
      <c r="AQ3629" t="s">
        <v>12124</v>
      </c>
    </row>
    <row r="3630" spans="1:43" x14ac:dyDescent="0.2">
      <c r="A3630" t="s">
        <v>12694</v>
      </c>
      <c r="B3630" t="s">
        <v>11037</v>
      </c>
      <c r="C3630" t="s">
        <v>11195</v>
      </c>
      <c r="D3630" t="s">
        <v>6450</v>
      </c>
      <c r="E3630" t="s">
        <v>5121</v>
      </c>
      <c r="F3630" t="s">
        <v>6450</v>
      </c>
      <c r="G3630" s="1">
        <v>5077</v>
      </c>
      <c r="H3630" s="2">
        <v>650058.23999999999</v>
      </c>
      <c r="I3630" s="2">
        <v>562988.53</v>
      </c>
      <c r="J3630" s="2">
        <v>0</v>
      </c>
      <c r="K3630" s="2">
        <v>0</v>
      </c>
      <c r="L3630" s="2">
        <v>562988.53</v>
      </c>
      <c r="M3630" s="3">
        <v>11089</v>
      </c>
      <c r="N3630" s="4">
        <v>1.28086E-3</v>
      </c>
      <c r="O3630" s="5" t="s">
        <v>44</v>
      </c>
      <c r="P3630" s="5" t="s">
        <v>44</v>
      </c>
      <c r="Q3630" s="1"/>
      <c r="R3630" s="2"/>
      <c r="S3630" s="6"/>
      <c r="T3630" t="s">
        <v>10902</v>
      </c>
      <c r="U3630" t="s">
        <v>10902</v>
      </c>
      <c r="V3630" t="s">
        <v>10902</v>
      </c>
      <c r="W3630" t="s">
        <v>43</v>
      </c>
      <c r="X3630" t="s">
        <v>11327</v>
      </c>
      <c r="Y3630" t="s">
        <v>11198</v>
      </c>
      <c r="Z3630" t="s">
        <v>11195</v>
      </c>
      <c r="AA3630" t="s">
        <v>44</v>
      </c>
      <c r="AB3630" t="s">
        <v>44</v>
      </c>
      <c r="AC3630" s="4"/>
      <c r="AD3630" s="4"/>
      <c r="AE3630" s="2">
        <v>0</v>
      </c>
      <c r="AF3630" s="4">
        <v>0</v>
      </c>
      <c r="AG3630" s="2">
        <v>0.19</v>
      </c>
      <c r="AH3630" s="2">
        <v>562988.53</v>
      </c>
      <c r="AI3630" s="2">
        <v>0</v>
      </c>
      <c r="AJ3630" s="5">
        <v>44673</v>
      </c>
      <c r="AK3630" t="s">
        <v>12695</v>
      </c>
      <c r="AL3630" s="2">
        <v>0</v>
      </c>
      <c r="AM3630" s="2">
        <v>0</v>
      </c>
      <c r="AN3630" s="2">
        <v>0</v>
      </c>
      <c r="AO3630" t="s">
        <v>44</v>
      </c>
      <c r="AP3630" t="s">
        <v>11331</v>
      </c>
      <c r="AQ3630" t="s">
        <v>5121</v>
      </c>
    </row>
    <row r="3631" spans="1:43" x14ac:dyDescent="0.2">
      <c r="A3631" t="s">
        <v>12694</v>
      </c>
      <c r="B3631" t="s">
        <v>11037</v>
      </c>
      <c r="C3631" t="s">
        <v>11195</v>
      </c>
      <c r="D3631" t="s">
        <v>11332</v>
      </c>
      <c r="E3631" t="s">
        <v>11333</v>
      </c>
      <c r="F3631" t="s">
        <v>11332</v>
      </c>
      <c r="G3631" s="1">
        <v>78657</v>
      </c>
      <c r="H3631" s="2">
        <v>1428521.65</v>
      </c>
      <c r="I3631" s="2">
        <v>1328516.73</v>
      </c>
      <c r="J3631" s="2">
        <v>0</v>
      </c>
      <c r="K3631" s="2">
        <v>0</v>
      </c>
      <c r="L3631" s="2">
        <v>1328516.73</v>
      </c>
      <c r="M3631" s="3">
        <v>1689</v>
      </c>
      <c r="N3631" s="4">
        <v>3.0225199999999999E-3</v>
      </c>
      <c r="O3631" s="5" t="s">
        <v>44</v>
      </c>
      <c r="P3631" s="5" t="s">
        <v>44</v>
      </c>
      <c r="Q3631" s="1"/>
      <c r="R3631" s="2"/>
      <c r="S3631" s="6"/>
      <c r="T3631" t="s">
        <v>10902</v>
      </c>
      <c r="U3631" t="s">
        <v>10902</v>
      </c>
      <c r="V3631" t="s">
        <v>10902</v>
      </c>
      <c r="W3631" t="s">
        <v>43</v>
      </c>
      <c r="X3631" t="s">
        <v>11334</v>
      </c>
      <c r="Y3631" t="s">
        <v>11335</v>
      </c>
      <c r="Z3631" t="s">
        <v>11195</v>
      </c>
      <c r="AA3631" t="s">
        <v>44</v>
      </c>
      <c r="AB3631" t="s">
        <v>44</v>
      </c>
      <c r="AC3631" s="4"/>
      <c r="AD3631" s="4"/>
      <c r="AE3631" s="2">
        <v>0</v>
      </c>
      <c r="AF3631" s="4">
        <v>0</v>
      </c>
      <c r="AG3631" s="2">
        <v>0.46</v>
      </c>
      <c r="AH3631" s="2">
        <v>1328516.73</v>
      </c>
      <c r="AI3631" s="2">
        <v>0</v>
      </c>
      <c r="AJ3631" s="5">
        <v>44673</v>
      </c>
      <c r="AK3631" t="s">
        <v>12695</v>
      </c>
      <c r="AL3631" s="2">
        <v>0</v>
      </c>
      <c r="AM3631" s="2">
        <v>0</v>
      </c>
      <c r="AN3631" s="2">
        <v>0</v>
      </c>
      <c r="AO3631" t="s">
        <v>44</v>
      </c>
      <c r="AP3631" t="s">
        <v>11336</v>
      </c>
      <c r="AQ3631" t="s">
        <v>11333</v>
      </c>
    </row>
    <row r="3632" spans="1:43" x14ac:dyDescent="0.2">
      <c r="A3632" t="s">
        <v>12694</v>
      </c>
      <c r="B3632" t="s">
        <v>11037</v>
      </c>
      <c r="C3632" t="s">
        <v>11195</v>
      </c>
      <c r="D3632" t="s">
        <v>11337</v>
      </c>
      <c r="E3632" t="s">
        <v>11338</v>
      </c>
      <c r="F3632" t="s">
        <v>11339</v>
      </c>
      <c r="G3632" s="1">
        <v>7000</v>
      </c>
      <c r="H3632" s="2">
        <v>207220.47</v>
      </c>
      <c r="I3632" s="2">
        <v>354060</v>
      </c>
      <c r="J3632" s="2">
        <v>0</v>
      </c>
      <c r="K3632" s="2">
        <v>0</v>
      </c>
      <c r="L3632" s="2">
        <v>354060</v>
      </c>
      <c r="M3632" s="3">
        <v>5058</v>
      </c>
      <c r="N3632" s="4">
        <v>8.0552E-4</v>
      </c>
      <c r="O3632" s="5" t="s">
        <v>44</v>
      </c>
      <c r="P3632" s="5" t="s">
        <v>44</v>
      </c>
      <c r="Q3632" s="1"/>
      <c r="R3632" s="2"/>
      <c r="S3632" s="6"/>
      <c r="T3632" t="s">
        <v>10902</v>
      </c>
      <c r="U3632" t="s">
        <v>10902</v>
      </c>
      <c r="V3632" t="s">
        <v>10902</v>
      </c>
      <c r="W3632" t="s">
        <v>43</v>
      </c>
      <c r="X3632" t="s">
        <v>11327</v>
      </c>
      <c r="Y3632" t="s">
        <v>11198</v>
      </c>
      <c r="Z3632" t="s">
        <v>11195</v>
      </c>
      <c r="AA3632" t="s">
        <v>44</v>
      </c>
      <c r="AB3632" t="s">
        <v>44</v>
      </c>
      <c r="AC3632" s="4"/>
      <c r="AD3632" s="4"/>
      <c r="AE3632" s="2">
        <v>0</v>
      </c>
      <c r="AF3632" s="4">
        <v>0</v>
      </c>
      <c r="AG3632" s="2">
        <v>0.12</v>
      </c>
      <c r="AH3632" s="2">
        <v>354060</v>
      </c>
      <c r="AI3632" s="2">
        <v>0</v>
      </c>
      <c r="AJ3632" s="5">
        <v>44673</v>
      </c>
      <c r="AK3632" t="s">
        <v>12695</v>
      </c>
      <c r="AL3632" s="2">
        <v>0</v>
      </c>
      <c r="AM3632" s="2">
        <v>0</v>
      </c>
      <c r="AN3632" s="2">
        <v>0</v>
      </c>
      <c r="AO3632" t="s">
        <v>44</v>
      </c>
      <c r="AP3632" t="s">
        <v>11340</v>
      </c>
      <c r="AQ3632" t="s">
        <v>11338</v>
      </c>
    </row>
    <row r="3633" spans="1:43" x14ac:dyDescent="0.2">
      <c r="A3633" t="s">
        <v>12694</v>
      </c>
      <c r="B3633" t="s">
        <v>11037</v>
      </c>
      <c r="C3633" t="s">
        <v>11195</v>
      </c>
      <c r="D3633" t="s">
        <v>11341</v>
      </c>
      <c r="E3633" t="s">
        <v>11342</v>
      </c>
      <c r="F3633" t="s">
        <v>11341</v>
      </c>
      <c r="G3633" s="1">
        <v>13000</v>
      </c>
      <c r="H3633" s="2">
        <v>456085.7</v>
      </c>
      <c r="I3633" s="2">
        <v>678080</v>
      </c>
      <c r="J3633" s="2">
        <v>0</v>
      </c>
      <c r="K3633" s="2">
        <v>0</v>
      </c>
      <c r="L3633" s="2">
        <v>678080</v>
      </c>
      <c r="M3633" s="3">
        <v>5216</v>
      </c>
      <c r="N3633" s="4">
        <v>1.5427100000000001E-3</v>
      </c>
      <c r="O3633" s="5" t="s">
        <v>44</v>
      </c>
      <c r="P3633" s="5" t="s">
        <v>44</v>
      </c>
      <c r="Q3633" s="1"/>
      <c r="R3633" s="2"/>
      <c r="S3633" s="6"/>
      <c r="T3633" t="s">
        <v>10902</v>
      </c>
      <c r="U3633" t="s">
        <v>10902</v>
      </c>
      <c r="V3633" t="s">
        <v>10902</v>
      </c>
      <c r="W3633" t="s">
        <v>43</v>
      </c>
      <c r="X3633" t="s">
        <v>11327</v>
      </c>
      <c r="Y3633" t="s">
        <v>11198</v>
      </c>
      <c r="Z3633" t="s">
        <v>11195</v>
      </c>
      <c r="AA3633" t="s">
        <v>44</v>
      </c>
      <c r="AB3633" t="s">
        <v>44</v>
      </c>
      <c r="AC3633" s="4"/>
      <c r="AD3633" s="4"/>
      <c r="AE3633" s="2">
        <v>0</v>
      </c>
      <c r="AF3633" s="4">
        <v>0</v>
      </c>
      <c r="AG3633" s="2">
        <v>0.23</v>
      </c>
      <c r="AH3633" s="2">
        <v>678080</v>
      </c>
      <c r="AI3633" s="2">
        <v>0</v>
      </c>
      <c r="AJ3633" s="5">
        <v>44673</v>
      </c>
      <c r="AK3633" t="s">
        <v>12695</v>
      </c>
      <c r="AL3633" s="2">
        <v>0</v>
      </c>
      <c r="AM3633" s="2">
        <v>0</v>
      </c>
      <c r="AN3633" s="2">
        <v>0</v>
      </c>
      <c r="AO3633" t="s">
        <v>44</v>
      </c>
      <c r="AP3633" t="s">
        <v>11343</v>
      </c>
      <c r="AQ3633" t="s">
        <v>11342</v>
      </c>
    </row>
    <row r="3634" spans="1:43" x14ac:dyDescent="0.2">
      <c r="A3634" t="s">
        <v>12694</v>
      </c>
      <c r="B3634" t="s">
        <v>11037</v>
      </c>
      <c r="C3634" t="s">
        <v>11195</v>
      </c>
      <c r="D3634" t="s">
        <v>6128</v>
      </c>
      <c r="E3634" t="s">
        <v>6759</v>
      </c>
      <c r="F3634" t="s">
        <v>6128</v>
      </c>
      <c r="G3634" s="1">
        <v>8330</v>
      </c>
      <c r="H3634" s="2">
        <v>418140.67</v>
      </c>
      <c r="I3634" s="2">
        <v>803845</v>
      </c>
      <c r="J3634" s="2">
        <v>0</v>
      </c>
      <c r="K3634" s="2">
        <v>0</v>
      </c>
      <c r="L3634" s="2">
        <v>803845</v>
      </c>
      <c r="M3634" s="3">
        <v>9650</v>
      </c>
      <c r="N3634" s="4">
        <v>1.82883E-3</v>
      </c>
      <c r="O3634" s="5" t="s">
        <v>44</v>
      </c>
      <c r="P3634" s="5" t="s">
        <v>44</v>
      </c>
      <c r="Q3634" s="1"/>
      <c r="R3634" s="2"/>
      <c r="S3634" s="6"/>
      <c r="T3634" t="s">
        <v>10902</v>
      </c>
      <c r="U3634" t="s">
        <v>10902</v>
      </c>
      <c r="V3634" t="s">
        <v>10902</v>
      </c>
      <c r="W3634" t="s">
        <v>43</v>
      </c>
      <c r="X3634" t="s">
        <v>11327</v>
      </c>
      <c r="Y3634" t="s">
        <v>11198</v>
      </c>
      <c r="Z3634" t="s">
        <v>11195</v>
      </c>
      <c r="AA3634" t="s">
        <v>44</v>
      </c>
      <c r="AB3634" t="s">
        <v>44</v>
      </c>
      <c r="AC3634" s="4"/>
      <c r="AD3634" s="4"/>
      <c r="AE3634" s="2">
        <v>0</v>
      </c>
      <c r="AF3634" s="4">
        <v>0</v>
      </c>
      <c r="AG3634" s="2">
        <v>0.28000000000000003</v>
      </c>
      <c r="AH3634" s="2">
        <v>803845</v>
      </c>
      <c r="AI3634" s="2">
        <v>0</v>
      </c>
      <c r="AJ3634" s="5">
        <v>44673</v>
      </c>
      <c r="AK3634" t="s">
        <v>12695</v>
      </c>
      <c r="AL3634" s="2">
        <v>0</v>
      </c>
      <c r="AM3634" s="2">
        <v>0</v>
      </c>
      <c r="AN3634" s="2">
        <v>0</v>
      </c>
      <c r="AO3634" t="s">
        <v>44</v>
      </c>
      <c r="AP3634" t="s">
        <v>11344</v>
      </c>
      <c r="AQ3634" t="s">
        <v>6759</v>
      </c>
    </row>
    <row r="3635" spans="1:43" x14ac:dyDescent="0.2">
      <c r="A3635" t="s">
        <v>12694</v>
      </c>
      <c r="B3635" t="s">
        <v>11037</v>
      </c>
      <c r="C3635" t="s">
        <v>11195</v>
      </c>
      <c r="D3635" t="s">
        <v>11345</v>
      </c>
      <c r="E3635" t="s">
        <v>5409</v>
      </c>
      <c r="F3635" t="s">
        <v>11345</v>
      </c>
      <c r="G3635" s="1">
        <v>60000</v>
      </c>
      <c r="H3635" s="2">
        <v>1926591.3</v>
      </c>
      <c r="I3635" s="2">
        <v>1656000</v>
      </c>
      <c r="J3635" s="2">
        <v>0</v>
      </c>
      <c r="K3635" s="2">
        <v>46955.94</v>
      </c>
      <c r="L3635" s="2">
        <v>1702955.94</v>
      </c>
      <c r="M3635" s="3">
        <v>2760</v>
      </c>
      <c r="N3635" s="4">
        <v>3.87441E-3</v>
      </c>
      <c r="O3635" s="5" t="s">
        <v>44</v>
      </c>
      <c r="P3635" s="5" t="s">
        <v>44</v>
      </c>
      <c r="Q3635" s="1"/>
      <c r="R3635" s="2"/>
      <c r="S3635" s="6"/>
      <c r="T3635" t="s">
        <v>10902</v>
      </c>
      <c r="U3635" t="s">
        <v>10902</v>
      </c>
      <c r="V3635" t="s">
        <v>10902</v>
      </c>
      <c r="W3635" t="s">
        <v>43</v>
      </c>
      <c r="X3635" t="s">
        <v>11327</v>
      </c>
      <c r="Y3635" t="s">
        <v>11198</v>
      </c>
      <c r="Z3635" t="s">
        <v>11195</v>
      </c>
      <c r="AA3635" t="s">
        <v>44</v>
      </c>
      <c r="AB3635" t="s">
        <v>44</v>
      </c>
      <c r="AC3635" s="4"/>
      <c r="AD3635" s="4"/>
      <c r="AE3635" s="2">
        <v>0</v>
      </c>
      <c r="AF3635" s="4">
        <v>0</v>
      </c>
      <c r="AG3635" s="2">
        <v>0.59</v>
      </c>
      <c r="AH3635" s="2">
        <v>1702955.94</v>
      </c>
      <c r="AI3635" s="2">
        <v>0</v>
      </c>
      <c r="AJ3635" s="5">
        <v>44673</v>
      </c>
      <c r="AK3635" t="s">
        <v>12695</v>
      </c>
      <c r="AL3635" s="2">
        <v>0</v>
      </c>
      <c r="AM3635" s="2">
        <v>0</v>
      </c>
      <c r="AN3635" s="2">
        <v>0</v>
      </c>
      <c r="AO3635" t="s">
        <v>44</v>
      </c>
      <c r="AP3635" t="s">
        <v>11346</v>
      </c>
      <c r="AQ3635" t="s">
        <v>5409</v>
      </c>
    </row>
    <row r="3636" spans="1:43" x14ac:dyDescent="0.2">
      <c r="A3636" t="s">
        <v>12694</v>
      </c>
      <c r="B3636" t="s">
        <v>11037</v>
      </c>
      <c r="C3636" t="s">
        <v>11195</v>
      </c>
      <c r="D3636" t="s">
        <v>6263</v>
      </c>
      <c r="E3636" t="s">
        <v>6850</v>
      </c>
      <c r="F3636" t="s">
        <v>6263</v>
      </c>
      <c r="G3636" s="1">
        <v>46669</v>
      </c>
      <c r="H3636" s="2">
        <v>953074.54</v>
      </c>
      <c r="I3636" s="2">
        <v>1236261.81</v>
      </c>
      <c r="J3636" s="2">
        <v>0</v>
      </c>
      <c r="K3636" s="2">
        <v>77237.2</v>
      </c>
      <c r="L3636" s="2">
        <v>1313499.01</v>
      </c>
      <c r="M3636" s="3">
        <v>2649</v>
      </c>
      <c r="N3636" s="4">
        <v>2.9883499999999999E-3</v>
      </c>
      <c r="O3636" s="5" t="s">
        <v>44</v>
      </c>
      <c r="P3636" s="5" t="s">
        <v>44</v>
      </c>
      <c r="Q3636" s="1"/>
      <c r="R3636" s="2"/>
      <c r="S3636" s="6"/>
      <c r="T3636" t="s">
        <v>10902</v>
      </c>
      <c r="U3636" t="s">
        <v>10902</v>
      </c>
      <c r="V3636" t="s">
        <v>10902</v>
      </c>
      <c r="W3636" t="s">
        <v>43</v>
      </c>
      <c r="X3636" t="s">
        <v>11347</v>
      </c>
      <c r="Y3636" t="s">
        <v>11348</v>
      </c>
      <c r="Z3636" t="s">
        <v>11195</v>
      </c>
      <c r="AA3636" t="s">
        <v>44</v>
      </c>
      <c r="AB3636" t="s">
        <v>44</v>
      </c>
      <c r="AC3636" s="4"/>
      <c r="AD3636" s="4"/>
      <c r="AE3636" s="2">
        <v>0</v>
      </c>
      <c r="AF3636" s="4">
        <v>0</v>
      </c>
      <c r="AG3636" s="2">
        <v>0.45</v>
      </c>
      <c r="AH3636" s="2">
        <v>1313499.01</v>
      </c>
      <c r="AI3636" s="2">
        <v>0</v>
      </c>
      <c r="AJ3636" s="5">
        <v>44673</v>
      </c>
      <c r="AK3636" t="s">
        <v>12695</v>
      </c>
      <c r="AL3636" s="2">
        <v>0</v>
      </c>
      <c r="AM3636" s="2">
        <v>0</v>
      </c>
      <c r="AN3636" s="2">
        <v>0</v>
      </c>
      <c r="AO3636" t="s">
        <v>44</v>
      </c>
      <c r="AP3636" t="s">
        <v>11349</v>
      </c>
      <c r="AQ3636" t="s">
        <v>6850</v>
      </c>
    </row>
    <row r="3637" spans="1:43" x14ac:dyDescent="0.2">
      <c r="A3637" t="s">
        <v>12694</v>
      </c>
      <c r="B3637" t="s">
        <v>11037</v>
      </c>
      <c r="C3637" t="s">
        <v>11195</v>
      </c>
      <c r="D3637" t="s">
        <v>11208</v>
      </c>
      <c r="E3637" t="s">
        <v>3160</v>
      </c>
      <c r="F3637" t="s">
        <v>11208</v>
      </c>
      <c r="G3637" s="1">
        <v>337671</v>
      </c>
      <c r="H3637" s="2">
        <v>986974.34</v>
      </c>
      <c r="I3637" s="2">
        <v>1495882.53</v>
      </c>
      <c r="J3637" s="2">
        <v>0</v>
      </c>
      <c r="K3637" s="2">
        <v>0</v>
      </c>
      <c r="L3637" s="2">
        <v>1495882.53</v>
      </c>
      <c r="M3637" s="3">
        <v>443</v>
      </c>
      <c r="N3637" s="4">
        <v>3.4032899999999998E-3</v>
      </c>
      <c r="O3637" s="5" t="s">
        <v>44</v>
      </c>
      <c r="P3637" s="5" t="s">
        <v>44</v>
      </c>
      <c r="Q3637" s="1"/>
      <c r="R3637" s="2"/>
      <c r="S3637" s="6"/>
      <c r="T3637" t="s">
        <v>10902</v>
      </c>
      <c r="U3637" t="s">
        <v>10902</v>
      </c>
      <c r="V3637" t="s">
        <v>10902</v>
      </c>
      <c r="W3637" t="s">
        <v>43</v>
      </c>
      <c r="X3637" t="s">
        <v>11197</v>
      </c>
      <c r="Y3637" t="s">
        <v>11198</v>
      </c>
      <c r="Z3637" t="s">
        <v>11195</v>
      </c>
      <c r="AA3637" t="s">
        <v>44</v>
      </c>
      <c r="AB3637" t="s">
        <v>44</v>
      </c>
      <c r="AC3637" s="4"/>
      <c r="AD3637" s="4"/>
      <c r="AE3637" s="2">
        <v>0</v>
      </c>
      <c r="AF3637" s="4">
        <v>0</v>
      </c>
      <c r="AG3637" s="2">
        <v>0.52</v>
      </c>
      <c r="AH3637" s="2">
        <v>1495882.53</v>
      </c>
      <c r="AI3637" s="2">
        <v>0</v>
      </c>
      <c r="AJ3637" s="5">
        <v>44673</v>
      </c>
      <c r="AK3637" t="s">
        <v>12695</v>
      </c>
      <c r="AL3637" s="2">
        <v>0</v>
      </c>
      <c r="AM3637" s="2">
        <v>0</v>
      </c>
      <c r="AN3637" s="2">
        <v>0</v>
      </c>
      <c r="AO3637" t="s">
        <v>44</v>
      </c>
      <c r="AP3637" t="s">
        <v>11209</v>
      </c>
      <c r="AQ3637" t="s">
        <v>3160</v>
      </c>
    </row>
    <row r="3638" spans="1:43" x14ac:dyDescent="0.2">
      <c r="A3638" t="s">
        <v>12694</v>
      </c>
      <c r="B3638" t="s">
        <v>11037</v>
      </c>
      <c r="C3638" t="s">
        <v>11195</v>
      </c>
      <c r="D3638" t="s">
        <v>11714</v>
      </c>
      <c r="E3638" t="s">
        <v>5012</v>
      </c>
      <c r="F3638" t="s">
        <v>11714</v>
      </c>
      <c r="G3638" s="1">
        <v>8300</v>
      </c>
      <c r="H3638" s="2">
        <v>2602905.92</v>
      </c>
      <c r="I3638" s="2">
        <v>2654755</v>
      </c>
      <c r="J3638" s="2">
        <v>0</v>
      </c>
      <c r="K3638" s="2">
        <v>0</v>
      </c>
      <c r="L3638" s="2">
        <v>2654755</v>
      </c>
      <c r="M3638" s="3">
        <v>31985</v>
      </c>
      <c r="N3638" s="4">
        <v>6.0398500000000003E-3</v>
      </c>
      <c r="O3638" s="5" t="s">
        <v>44</v>
      </c>
      <c r="P3638" s="5" t="s">
        <v>44</v>
      </c>
      <c r="Q3638" s="1"/>
      <c r="R3638" s="2"/>
      <c r="S3638" s="6"/>
      <c r="T3638" t="s">
        <v>10902</v>
      </c>
      <c r="U3638" t="s">
        <v>10902</v>
      </c>
      <c r="V3638" t="s">
        <v>10902</v>
      </c>
      <c r="W3638" t="s">
        <v>43</v>
      </c>
      <c r="X3638" t="s">
        <v>11327</v>
      </c>
      <c r="Y3638" t="s">
        <v>11198</v>
      </c>
      <c r="Z3638" t="s">
        <v>11195</v>
      </c>
      <c r="AA3638" t="s">
        <v>44</v>
      </c>
      <c r="AB3638" t="s">
        <v>44</v>
      </c>
      <c r="AC3638" s="4"/>
      <c r="AD3638" s="4"/>
      <c r="AE3638" s="2">
        <v>0</v>
      </c>
      <c r="AF3638" s="4">
        <v>0</v>
      </c>
      <c r="AG3638" s="2">
        <v>0.91</v>
      </c>
      <c r="AH3638" s="2">
        <v>2654755</v>
      </c>
      <c r="AI3638" s="2">
        <v>0.01</v>
      </c>
      <c r="AJ3638" s="5">
        <v>44673</v>
      </c>
      <c r="AK3638" t="s">
        <v>12695</v>
      </c>
      <c r="AL3638" s="2">
        <v>0</v>
      </c>
      <c r="AM3638" s="2">
        <v>0</v>
      </c>
      <c r="AN3638" s="2">
        <v>0</v>
      </c>
      <c r="AO3638" t="s">
        <v>44</v>
      </c>
      <c r="AP3638" t="s">
        <v>11715</v>
      </c>
      <c r="AQ3638" t="s">
        <v>5012</v>
      </c>
    </row>
    <row r="3639" spans="1:43" x14ac:dyDescent="0.2">
      <c r="A3639" t="s">
        <v>12694</v>
      </c>
      <c r="B3639" t="s">
        <v>11037</v>
      </c>
      <c r="C3639" t="s">
        <v>11195</v>
      </c>
      <c r="D3639" t="s">
        <v>11210</v>
      </c>
      <c r="E3639" t="s">
        <v>3167</v>
      </c>
      <c r="F3639" t="s">
        <v>11211</v>
      </c>
      <c r="G3639" s="1">
        <v>21967</v>
      </c>
      <c r="H3639" s="2">
        <v>1260099.6599999999</v>
      </c>
      <c r="I3639" s="2">
        <v>1285069.5</v>
      </c>
      <c r="J3639" s="2">
        <v>0</v>
      </c>
      <c r="K3639" s="2">
        <v>0</v>
      </c>
      <c r="L3639" s="2">
        <v>1285069.5</v>
      </c>
      <c r="M3639" s="3">
        <v>5850</v>
      </c>
      <c r="N3639" s="4">
        <v>2.9236700000000002E-3</v>
      </c>
      <c r="O3639" s="5" t="s">
        <v>44</v>
      </c>
      <c r="P3639" s="5" t="s">
        <v>44</v>
      </c>
      <c r="Q3639" s="1"/>
      <c r="R3639" s="2"/>
      <c r="S3639" s="6"/>
      <c r="T3639" t="s">
        <v>10902</v>
      </c>
      <c r="U3639" t="s">
        <v>10902</v>
      </c>
      <c r="V3639" t="s">
        <v>11212</v>
      </c>
      <c r="W3639" t="s">
        <v>43</v>
      </c>
      <c r="X3639" t="s">
        <v>11197</v>
      </c>
      <c r="Y3639" t="s">
        <v>11198</v>
      </c>
      <c r="Z3639" t="s">
        <v>11195</v>
      </c>
      <c r="AA3639" t="s">
        <v>44</v>
      </c>
      <c r="AB3639" t="s">
        <v>44</v>
      </c>
      <c r="AC3639" s="4"/>
      <c r="AD3639" s="4"/>
      <c r="AE3639" s="2">
        <v>0</v>
      </c>
      <c r="AF3639" s="4">
        <v>0</v>
      </c>
      <c r="AG3639" s="2">
        <v>0.44</v>
      </c>
      <c r="AH3639" s="2">
        <v>1285069.5</v>
      </c>
      <c r="AI3639" s="2">
        <v>0</v>
      </c>
      <c r="AJ3639" s="5">
        <v>44673</v>
      </c>
      <c r="AK3639" t="s">
        <v>12695</v>
      </c>
      <c r="AL3639" s="2">
        <v>0</v>
      </c>
      <c r="AM3639" s="2">
        <v>0</v>
      </c>
      <c r="AN3639" s="2">
        <v>0</v>
      </c>
      <c r="AO3639" t="s">
        <v>44</v>
      </c>
      <c r="AP3639" t="s">
        <v>11213</v>
      </c>
      <c r="AQ3639" t="s">
        <v>3167</v>
      </c>
    </row>
    <row r="3640" spans="1:43" x14ac:dyDescent="0.2">
      <c r="A3640" t="s">
        <v>12694</v>
      </c>
      <c r="B3640" t="s">
        <v>11037</v>
      </c>
      <c r="C3640" t="s">
        <v>11195</v>
      </c>
      <c r="D3640" t="s">
        <v>6379</v>
      </c>
      <c r="E3640" t="s">
        <v>5199</v>
      </c>
      <c r="F3640" t="s">
        <v>6379</v>
      </c>
      <c r="G3640" s="1">
        <v>2310</v>
      </c>
      <c r="H3640" s="2">
        <v>596274.19999999995</v>
      </c>
      <c r="I3640" s="2">
        <v>674520</v>
      </c>
      <c r="J3640" s="2">
        <v>0</v>
      </c>
      <c r="K3640" s="2">
        <v>0</v>
      </c>
      <c r="L3640" s="2">
        <v>674520</v>
      </c>
      <c r="M3640" s="3">
        <v>29200</v>
      </c>
      <c r="N3640" s="4">
        <v>1.5346100000000001E-3</v>
      </c>
      <c r="O3640" s="5" t="s">
        <v>44</v>
      </c>
      <c r="P3640" s="5" t="s">
        <v>44</v>
      </c>
      <c r="Q3640" s="1"/>
      <c r="R3640" s="2"/>
      <c r="S3640" s="6"/>
      <c r="T3640" t="s">
        <v>10902</v>
      </c>
      <c r="U3640" t="s">
        <v>10902</v>
      </c>
      <c r="V3640" t="s">
        <v>10902</v>
      </c>
      <c r="W3640" t="s">
        <v>43</v>
      </c>
      <c r="X3640" t="s">
        <v>11350</v>
      </c>
      <c r="Y3640" t="s">
        <v>11335</v>
      </c>
      <c r="Z3640" t="s">
        <v>11195</v>
      </c>
      <c r="AA3640" t="s">
        <v>44</v>
      </c>
      <c r="AB3640" t="s">
        <v>44</v>
      </c>
      <c r="AC3640" s="4"/>
      <c r="AD3640" s="4"/>
      <c r="AE3640" s="2">
        <v>0</v>
      </c>
      <c r="AF3640" s="4">
        <v>0</v>
      </c>
      <c r="AG3640" s="2">
        <v>0.23</v>
      </c>
      <c r="AH3640" s="2">
        <v>674520</v>
      </c>
      <c r="AI3640" s="2">
        <v>0</v>
      </c>
      <c r="AJ3640" s="5">
        <v>44673</v>
      </c>
      <c r="AK3640" t="s">
        <v>12695</v>
      </c>
      <c r="AL3640" s="2">
        <v>0</v>
      </c>
      <c r="AM3640" s="2">
        <v>0</v>
      </c>
      <c r="AN3640" s="2">
        <v>0</v>
      </c>
      <c r="AO3640" t="s">
        <v>44</v>
      </c>
      <c r="AP3640" t="s">
        <v>11351</v>
      </c>
      <c r="AQ3640" t="s">
        <v>5199</v>
      </c>
    </row>
    <row r="3641" spans="1:43" x14ac:dyDescent="0.2">
      <c r="A3641" t="s">
        <v>12694</v>
      </c>
      <c r="B3641" t="s">
        <v>11037</v>
      </c>
      <c r="C3641" t="s">
        <v>11195</v>
      </c>
      <c r="D3641" t="s">
        <v>5876</v>
      </c>
      <c r="E3641" t="s">
        <v>4893</v>
      </c>
      <c r="F3641" t="s">
        <v>5876</v>
      </c>
      <c r="G3641" s="1">
        <v>1615</v>
      </c>
      <c r="H3641" s="2">
        <v>291487.95</v>
      </c>
      <c r="I3641" s="2">
        <v>276068.09999999998</v>
      </c>
      <c r="J3641" s="2">
        <v>0</v>
      </c>
      <c r="K3641" s="2">
        <v>0</v>
      </c>
      <c r="L3641" s="2">
        <v>276068.09999999998</v>
      </c>
      <c r="M3641" s="3">
        <v>17094</v>
      </c>
      <c r="N3641" s="4">
        <v>6.2808000000000004E-4</v>
      </c>
      <c r="O3641" s="5" t="s">
        <v>44</v>
      </c>
      <c r="P3641" s="5" t="s">
        <v>44</v>
      </c>
      <c r="Q3641" s="1"/>
      <c r="R3641" s="2"/>
      <c r="S3641" s="6"/>
      <c r="T3641" t="s">
        <v>10902</v>
      </c>
      <c r="U3641" t="s">
        <v>10902</v>
      </c>
      <c r="V3641" t="s">
        <v>10902</v>
      </c>
      <c r="W3641" t="s">
        <v>43</v>
      </c>
      <c r="X3641" t="s">
        <v>11034</v>
      </c>
      <c r="Y3641" t="s">
        <v>11034</v>
      </c>
      <c r="Z3641" t="s">
        <v>11195</v>
      </c>
      <c r="AA3641" t="s">
        <v>44</v>
      </c>
      <c r="AB3641" t="s">
        <v>44</v>
      </c>
      <c r="AC3641" s="4"/>
      <c r="AD3641" s="4"/>
      <c r="AE3641" s="2">
        <v>0</v>
      </c>
      <c r="AF3641" s="4">
        <v>0</v>
      </c>
      <c r="AG3641" s="2">
        <v>0.1</v>
      </c>
      <c r="AH3641" s="2">
        <v>276068.09999999998</v>
      </c>
      <c r="AI3641" s="2">
        <v>0</v>
      </c>
      <c r="AJ3641" s="5">
        <v>44673</v>
      </c>
      <c r="AK3641" t="s">
        <v>12695</v>
      </c>
      <c r="AL3641" s="2">
        <v>0</v>
      </c>
      <c r="AM3641" s="2">
        <v>0</v>
      </c>
      <c r="AN3641" s="2">
        <v>0</v>
      </c>
      <c r="AO3641" t="s">
        <v>44</v>
      </c>
      <c r="AP3641" t="s">
        <v>11352</v>
      </c>
      <c r="AQ3641" t="s">
        <v>4893</v>
      </c>
    </row>
    <row r="3642" spans="1:43" x14ac:dyDescent="0.2">
      <c r="A3642" t="s">
        <v>12694</v>
      </c>
      <c r="B3642" t="s">
        <v>11037</v>
      </c>
      <c r="C3642" t="s">
        <v>11195</v>
      </c>
      <c r="D3642" t="s">
        <v>11353</v>
      </c>
      <c r="E3642" t="s">
        <v>5706</v>
      </c>
      <c r="F3642" t="s">
        <v>11353</v>
      </c>
      <c r="G3642" s="1">
        <v>35000</v>
      </c>
      <c r="H3642" s="2">
        <v>775554.42</v>
      </c>
      <c r="I3642" s="2">
        <v>1750000</v>
      </c>
      <c r="J3642" s="2">
        <v>0</v>
      </c>
      <c r="K3642" s="2">
        <v>0</v>
      </c>
      <c r="L3642" s="2">
        <v>1750000</v>
      </c>
      <c r="M3642" s="3">
        <v>5000</v>
      </c>
      <c r="N3642" s="4">
        <v>3.9814400000000002E-3</v>
      </c>
      <c r="O3642" s="5" t="s">
        <v>44</v>
      </c>
      <c r="P3642" s="5" t="s">
        <v>44</v>
      </c>
      <c r="Q3642" s="1"/>
      <c r="R3642" s="2"/>
      <c r="S3642" s="6"/>
      <c r="T3642" t="s">
        <v>10902</v>
      </c>
      <c r="U3642" t="s">
        <v>10902</v>
      </c>
      <c r="V3642" t="s">
        <v>10902</v>
      </c>
      <c r="W3642" t="s">
        <v>43</v>
      </c>
      <c r="X3642" t="s">
        <v>11327</v>
      </c>
      <c r="Y3642" t="s">
        <v>11198</v>
      </c>
      <c r="Z3642" t="s">
        <v>11195</v>
      </c>
      <c r="AA3642" t="s">
        <v>44</v>
      </c>
      <c r="AB3642" t="s">
        <v>44</v>
      </c>
      <c r="AC3642" s="4"/>
      <c r="AD3642" s="4"/>
      <c r="AE3642" s="2">
        <v>0</v>
      </c>
      <c r="AF3642" s="4">
        <v>0</v>
      </c>
      <c r="AG3642" s="2">
        <v>0.6</v>
      </c>
      <c r="AH3642" s="2">
        <v>1750000</v>
      </c>
      <c r="AI3642" s="2">
        <v>0</v>
      </c>
      <c r="AJ3642" s="5">
        <v>44673</v>
      </c>
      <c r="AK3642" t="s">
        <v>12695</v>
      </c>
      <c r="AL3642" s="2">
        <v>0</v>
      </c>
      <c r="AM3642" s="2">
        <v>0</v>
      </c>
      <c r="AN3642" s="2">
        <v>0</v>
      </c>
      <c r="AO3642" t="s">
        <v>44</v>
      </c>
      <c r="AP3642" t="s">
        <v>11354</v>
      </c>
      <c r="AQ3642" t="s">
        <v>5706</v>
      </c>
    </row>
    <row r="3643" spans="1:43" x14ac:dyDescent="0.2">
      <c r="A3643" t="s">
        <v>12694</v>
      </c>
      <c r="B3643" t="s">
        <v>11037</v>
      </c>
      <c r="C3643" t="s">
        <v>11195</v>
      </c>
      <c r="D3643" t="s">
        <v>6348</v>
      </c>
      <c r="E3643" t="s">
        <v>5241</v>
      </c>
      <c r="F3643" t="s">
        <v>6348</v>
      </c>
      <c r="G3643" s="1">
        <v>60000</v>
      </c>
      <c r="H3643" s="2">
        <v>712303.69</v>
      </c>
      <c r="I3643" s="2">
        <v>804000</v>
      </c>
      <c r="J3643" s="2">
        <v>0</v>
      </c>
      <c r="K3643" s="2">
        <v>0</v>
      </c>
      <c r="L3643" s="2">
        <v>804000</v>
      </c>
      <c r="M3643" s="3">
        <v>1340</v>
      </c>
      <c r="N3643" s="4">
        <v>1.8291900000000001E-3</v>
      </c>
      <c r="O3643" s="5" t="s">
        <v>44</v>
      </c>
      <c r="P3643" s="5" t="s">
        <v>44</v>
      </c>
      <c r="Q3643" s="1"/>
      <c r="R3643" s="2"/>
      <c r="S3643" s="6"/>
      <c r="T3643" t="s">
        <v>10902</v>
      </c>
      <c r="U3643" t="s">
        <v>10902</v>
      </c>
      <c r="V3643" t="s">
        <v>10902</v>
      </c>
      <c r="W3643" t="s">
        <v>43</v>
      </c>
      <c r="X3643" t="s">
        <v>11197</v>
      </c>
      <c r="Y3643" t="s">
        <v>11198</v>
      </c>
      <c r="Z3643" t="s">
        <v>11195</v>
      </c>
      <c r="AA3643" t="s">
        <v>44</v>
      </c>
      <c r="AB3643" t="s">
        <v>44</v>
      </c>
      <c r="AC3643" s="4"/>
      <c r="AD3643" s="4"/>
      <c r="AE3643" s="2">
        <v>0</v>
      </c>
      <c r="AF3643" s="4">
        <v>0</v>
      </c>
      <c r="AG3643" s="2">
        <v>0.28000000000000003</v>
      </c>
      <c r="AH3643" s="2">
        <v>804000</v>
      </c>
      <c r="AI3643" s="2">
        <v>0</v>
      </c>
      <c r="AJ3643" s="5">
        <v>44673</v>
      </c>
      <c r="AK3643" t="s">
        <v>12695</v>
      </c>
      <c r="AL3643" s="2">
        <v>0</v>
      </c>
      <c r="AM3643" s="2">
        <v>0</v>
      </c>
      <c r="AN3643" s="2">
        <v>0</v>
      </c>
      <c r="AO3643" t="s">
        <v>44</v>
      </c>
      <c r="AP3643" t="s">
        <v>11215</v>
      </c>
      <c r="AQ3643" t="s">
        <v>5241</v>
      </c>
    </row>
    <row r="3644" spans="1:43" x14ac:dyDescent="0.2">
      <c r="A3644" t="s">
        <v>12694</v>
      </c>
      <c r="B3644" t="s">
        <v>11037</v>
      </c>
      <c r="C3644" t="s">
        <v>11355</v>
      </c>
      <c r="D3644" t="s">
        <v>11356</v>
      </c>
      <c r="E3644" t="s">
        <v>4971</v>
      </c>
      <c r="F3644" t="s">
        <v>6192</v>
      </c>
      <c r="G3644" s="1">
        <v>73865</v>
      </c>
      <c r="H3644" s="2">
        <v>1633089.62</v>
      </c>
      <c r="I3644" s="2">
        <v>1664178.45</v>
      </c>
      <c r="J3644" s="2">
        <v>0</v>
      </c>
      <c r="K3644" s="2">
        <v>0</v>
      </c>
      <c r="L3644" s="2">
        <v>1664178.45</v>
      </c>
      <c r="M3644" s="3">
        <v>2253</v>
      </c>
      <c r="N3644" s="4">
        <v>3.78619E-3</v>
      </c>
      <c r="O3644" s="5" t="s">
        <v>44</v>
      </c>
      <c r="P3644" s="5" t="s">
        <v>44</v>
      </c>
      <c r="Q3644" s="1"/>
      <c r="R3644" s="2"/>
      <c r="S3644" s="6"/>
      <c r="T3644" t="s">
        <v>10902</v>
      </c>
      <c r="U3644" t="s">
        <v>10902</v>
      </c>
      <c r="V3644" t="s">
        <v>10902</v>
      </c>
      <c r="W3644" t="s">
        <v>43</v>
      </c>
      <c r="X3644" t="s">
        <v>11357</v>
      </c>
      <c r="Y3644" t="s">
        <v>11358</v>
      </c>
      <c r="Z3644" t="s">
        <v>11355</v>
      </c>
      <c r="AA3644" t="s">
        <v>44</v>
      </c>
      <c r="AB3644" t="s">
        <v>44</v>
      </c>
      <c r="AC3644" s="4"/>
      <c r="AD3644" s="4"/>
      <c r="AE3644" s="2">
        <v>0</v>
      </c>
      <c r="AF3644" s="4">
        <v>0</v>
      </c>
      <c r="AG3644" s="2">
        <v>0.56999999999999995</v>
      </c>
      <c r="AH3644" s="2">
        <v>1664178.45</v>
      </c>
      <c r="AI3644" s="2">
        <v>0</v>
      </c>
      <c r="AJ3644" s="5">
        <v>44673</v>
      </c>
      <c r="AK3644" t="s">
        <v>12695</v>
      </c>
      <c r="AL3644" s="2">
        <v>0</v>
      </c>
      <c r="AM3644" s="2">
        <v>0</v>
      </c>
      <c r="AN3644" s="2">
        <v>0</v>
      </c>
      <c r="AO3644" t="s">
        <v>44</v>
      </c>
      <c r="AP3644" t="s">
        <v>11359</v>
      </c>
      <c r="AQ3644" t="s">
        <v>4971</v>
      </c>
    </row>
    <row r="3645" spans="1:43" x14ac:dyDescent="0.2">
      <c r="A3645" t="s">
        <v>12694</v>
      </c>
      <c r="B3645" t="s">
        <v>11037</v>
      </c>
      <c r="C3645" t="s">
        <v>11355</v>
      </c>
      <c r="D3645" t="s">
        <v>11360</v>
      </c>
      <c r="E3645" t="s">
        <v>4991</v>
      </c>
      <c r="F3645" t="s">
        <v>11360</v>
      </c>
      <c r="G3645" s="1">
        <v>19604</v>
      </c>
      <c r="H3645" s="2">
        <v>1175741.8500000001</v>
      </c>
      <c r="I3645" s="2">
        <v>1482650.52</v>
      </c>
      <c r="J3645" s="2">
        <v>0</v>
      </c>
      <c r="K3645" s="2">
        <v>0</v>
      </c>
      <c r="L3645" s="2">
        <v>1482650.52</v>
      </c>
      <c r="M3645" s="3">
        <v>7563</v>
      </c>
      <c r="N3645" s="4">
        <v>3.3731899999999999E-3</v>
      </c>
      <c r="O3645" s="5" t="s">
        <v>44</v>
      </c>
      <c r="P3645" s="5" t="s">
        <v>44</v>
      </c>
      <c r="Q3645" s="1"/>
      <c r="R3645" s="2"/>
      <c r="S3645" s="6"/>
      <c r="T3645" t="s">
        <v>10902</v>
      </c>
      <c r="U3645" t="s">
        <v>10902</v>
      </c>
      <c r="V3645" t="s">
        <v>10902</v>
      </c>
      <c r="W3645" t="s">
        <v>43</v>
      </c>
      <c r="X3645" t="s">
        <v>11357</v>
      </c>
      <c r="Y3645" t="s">
        <v>11358</v>
      </c>
      <c r="Z3645" t="s">
        <v>11355</v>
      </c>
      <c r="AA3645" t="s">
        <v>44</v>
      </c>
      <c r="AB3645" t="s">
        <v>44</v>
      </c>
      <c r="AC3645" s="4"/>
      <c r="AD3645" s="4"/>
      <c r="AE3645" s="2">
        <v>0</v>
      </c>
      <c r="AF3645" s="4">
        <v>0</v>
      </c>
      <c r="AG3645" s="2">
        <v>0.51</v>
      </c>
      <c r="AH3645" s="2">
        <v>1482650.52</v>
      </c>
      <c r="AI3645" s="2">
        <v>0</v>
      </c>
      <c r="AJ3645" s="5">
        <v>44673</v>
      </c>
      <c r="AK3645" t="s">
        <v>12695</v>
      </c>
      <c r="AL3645" s="2">
        <v>0</v>
      </c>
      <c r="AM3645" s="2">
        <v>0</v>
      </c>
      <c r="AN3645" s="2">
        <v>0</v>
      </c>
      <c r="AO3645" t="s">
        <v>44</v>
      </c>
      <c r="AP3645" t="s">
        <v>11361</v>
      </c>
      <c r="AQ3645" t="s">
        <v>4991</v>
      </c>
    </row>
    <row r="3646" spans="1:43" x14ac:dyDescent="0.2">
      <c r="A3646" t="s">
        <v>12694</v>
      </c>
      <c r="B3646" t="s">
        <v>11037</v>
      </c>
      <c r="C3646" t="s">
        <v>11355</v>
      </c>
      <c r="D3646" t="s">
        <v>11362</v>
      </c>
      <c r="E3646" t="s">
        <v>4862</v>
      </c>
      <c r="F3646" t="s">
        <v>11362</v>
      </c>
      <c r="G3646" s="1">
        <v>68028</v>
      </c>
      <c r="H3646" s="2">
        <v>1232070.43</v>
      </c>
      <c r="I3646" s="2">
        <v>1088448</v>
      </c>
      <c r="J3646" s="2">
        <v>0</v>
      </c>
      <c r="K3646" s="2">
        <v>0</v>
      </c>
      <c r="L3646" s="2">
        <v>1088448</v>
      </c>
      <c r="M3646" s="3">
        <v>1600</v>
      </c>
      <c r="N3646" s="4">
        <v>2.4763400000000001E-3</v>
      </c>
      <c r="O3646" s="5" t="s">
        <v>44</v>
      </c>
      <c r="P3646" s="5" t="s">
        <v>44</v>
      </c>
      <c r="Q3646" s="1"/>
      <c r="R3646" s="2"/>
      <c r="S3646" s="6"/>
      <c r="T3646" t="s">
        <v>10902</v>
      </c>
      <c r="U3646" t="s">
        <v>10902</v>
      </c>
      <c r="V3646" t="s">
        <v>10902</v>
      </c>
      <c r="W3646" t="s">
        <v>43</v>
      </c>
      <c r="X3646" t="s">
        <v>11357</v>
      </c>
      <c r="Y3646" t="s">
        <v>11358</v>
      </c>
      <c r="Z3646" t="s">
        <v>11355</v>
      </c>
      <c r="AA3646" t="s">
        <v>44</v>
      </c>
      <c r="AB3646" t="s">
        <v>44</v>
      </c>
      <c r="AC3646" s="4"/>
      <c r="AD3646" s="4"/>
      <c r="AE3646" s="2">
        <v>0</v>
      </c>
      <c r="AF3646" s="4">
        <v>0</v>
      </c>
      <c r="AG3646" s="2">
        <v>0.37</v>
      </c>
      <c r="AH3646" s="2">
        <v>1088448</v>
      </c>
      <c r="AI3646" s="2">
        <v>0</v>
      </c>
      <c r="AJ3646" s="5">
        <v>44673</v>
      </c>
      <c r="AK3646" t="s">
        <v>12695</v>
      </c>
      <c r="AL3646" s="2">
        <v>0</v>
      </c>
      <c r="AM3646" s="2">
        <v>0</v>
      </c>
      <c r="AN3646" s="2">
        <v>0</v>
      </c>
      <c r="AO3646" t="s">
        <v>44</v>
      </c>
      <c r="AP3646" t="s">
        <v>11363</v>
      </c>
      <c r="AQ3646" t="s">
        <v>4862</v>
      </c>
    </row>
    <row r="3647" spans="1:43" x14ac:dyDescent="0.2">
      <c r="A3647" t="s">
        <v>12694</v>
      </c>
      <c r="B3647" t="s">
        <v>11037</v>
      </c>
      <c r="C3647" t="s">
        <v>11364</v>
      </c>
      <c r="D3647" t="s">
        <v>6240</v>
      </c>
      <c r="E3647" t="s">
        <v>5065</v>
      </c>
      <c r="F3647" t="s">
        <v>6240</v>
      </c>
      <c r="G3647" s="1">
        <v>14291</v>
      </c>
      <c r="H3647" s="2">
        <v>1593564.52</v>
      </c>
      <c r="I3647" s="2">
        <v>1652754.15</v>
      </c>
      <c r="J3647" s="2">
        <v>0</v>
      </c>
      <c r="K3647" s="2">
        <v>0</v>
      </c>
      <c r="L3647" s="2">
        <v>1652754.15</v>
      </c>
      <c r="M3647" s="3">
        <v>11565</v>
      </c>
      <c r="N3647" s="4">
        <v>3.7601900000000001E-3</v>
      </c>
      <c r="O3647" s="5" t="s">
        <v>44</v>
      </c>
      <c r="P3647" s="5" t="s">
        <v>44</v>
      </c>
      <c r="Q3647" s="1"/>
      <c r="R3647" s="2"/>
      <c r="S3647" s="6"/>
      <c r="T3647" t="s">
        <v>10902</v>
      </c>
      <c r="U3647" t="s">
        <v>10902</v>
      </c>
      <c r="V3647" t="s">
        <v>10902</v>
      </c>
      <c r="W3647" t="s">
        <v>43</v>
      </c>
      <c r="X3647" t="s">
        <v>11369</v>
      </c>
      <c r="Y3647" t="s">
        <v>11367</v>
      </c>
      <c r="Z3647" t="s">
        <v>11364</v>
      </c>
      <c r="AA3647" t="s">
        <v>44</v>
      </c>
      <c r="AB3647" t="s">
        <v>44</v>
      </c>
      <c r="AC3647" s="4"/>
      <c r="AD3647" s="4"/>
      <c r="AE3647" s="2">
        <v>0</v>
      </c>
      <c r="AF3647" s="4">
        <v>0</v>
      </c>
      <c r="AG3647" s="2">
        <v>0.56999999999999995</v>
      </c>
      <c r="AH3647" s="2">
        <v>1652754.15</v>
      </c>
      <c r="AI3647" s="2">
        <v>0</v>
      </c>
      <c r="AJ3647" s="5">
        <v>44673</v>
      </c>
      <c r="AK3647" t="s">
        <v>12695</v>
      </c>
      <c r="AL3647" s="2">
        <v>0</v>
      </c>
      <c r="AM3647" s="2">
        <v>0</v>
      </c>
      <c r="AN3647" s="2">
        <v>0</v>
      </c>
      <c r="AO3647" t="s">
        <v>44</v>
      </c>
      <c r="AP3647" t="s">
        <v>11370</v>
      </c>
      <c r="AQ3647" t="s">
        <v>5065</v>
      </c>
    </row>
    <row r="3648" spans="1:43" x14ac:dyDescent="0.2">
      <c r="A3648" t="s">
        <v>12694</v>
      </c>
      <c r="B3648" t="s">
        <v>11037</v>
      </c>
      <c r="C3648" t="s">
        <v>11364</v>
      </c>
      <c r="D3648" t="s">
        <v>11371</v>
      </c>
      <c r="E3648" t="s">
        <v>5127</v>
      </c>
      <c r="F3648" t="s">
        <v>11371</v>
      </c>
      <c r="G3648" s="1">
        <v>187404</v>
      </c>
      <c r="H3648" s="2">
        <v>1028519.23</v>
      </c>
      <c r="I3648" s="2">
        <v>965130.6</v>
      </c>
      <c r="J3648" s="2">
        <v>0</v>
      </c>
      <c r="K3648" s="2">
        <v>0</v>
      </c>
      <c r="L3648" s="2">
        <v>965130.6</v>
      </c>
      <c r="M3648" s="3">
        <v>515</v>
      </c>
      <c r="N3648" s="4">
        <v>2.19578E-3</v>
      </c>
      <c r="O3648" s="5" t="s">
        <v>44</v>
      </c>
      <c r="P3648" s="5" t="s">
        <v>44</v>
      </c>
      <c r="Q3648" s="1"/>
      <c r="R3648" s="2"/>
      <c r="S3648" s="6"/>
      <c r="T3648" t="s">
        <v>10902</v>
      </c>
      <c r="U3648" t="s">
        <v>10902</v>
      </c>
      <c r="V3648" t="s">
        <v>10902</v>
      </c>
      <c r="W3648" t="s">
        <v>43</v>
      </c>
      <c r="X3648" t="s">
        <v>11369</v>
      </c>
      <c r="Y3648" t="s">
        <v>11367</v>
      </c>
      <c r="Z3648" t="s">
        <v>11364</v>
      </c>
      <c r="AA3648" t="s">
        <v>44</v>
      </c>
      <c r="AB3648" t="s">
        <v>44</v>
      </c>
      <c r="AC3648" s="4"/>
      <c r="AD3648" s="4"/>
      <c r="AE3648" s="2">
        <v>0</v>
      </c>
      <c r="AF3648" s="4">
        <v>0</v>
      </c>
      <c r="AG3648" s="2">
        <v>0.33</v>
      </c>
      <c r="AH3648" s="2">
        <v>965130.6</v>
      </c>
      <c r="AI3648" s="2">
        <v>0</v>
      </c>
      <c r="AJ3648" s="5">
        <v>44673</v>
      </c>
      <c r="AK3648" t="s">
        <v>12695</v>
      </c>
      <c r="AL3648" s="2">
        <v>0</v>
      </c>
      <c r="AM3648" s="2">
        <v>0</v>
      </c>
      <c r="AN3648" s="2">
        <v>0</v>
      </c>
      <c r="AO3648" t="s">
        <v>44</v>
      </c>
      <c r="AP3648" t="s">
        <v>11372</v>
      </c>
      <c r="AQ3648" t="s">
        <v>5127</v>
      </c>
    </row>
    <row r="3649" spans="1:43" x14ac:dyDescent="0.2">
      <c r="A3649" t="s">
        <v>12694</v>
      </c>
      <c r="B3649" t="s">
        <v>11037</v>
      </c>
      <c r="C3649" t="s">
        <v>11364</v>
      </c>
      <c r="D3649" t="s">
        <v>5973</v>
      </c>
      <c r="E3649" t="s">
        <v>4873</v>
      </c>
      <c r="F3649" t="s">
        <v>5973</v>
      </c>
      <c r="G3649" s="1">
        <v>933</v>
      </c>
      <c r="H3649" s="2">
        <v>211554.4</v>
      </c>
      <c r="I3649" s="2">
        <v>135891.45000000001</v>
      </c>
      <c r="J3649" s="2">
        <v>0</v>
      </c>
      <c r="K3649" s="2">
        <v>466.5</v>
      </c>
      <c r="L3649" s="2">
        <v>136357.95000000001</v>
      </c>
      <c r="M3649" s="3">
        <v>14565</v>
      </c>
      <c r="N3649" s="4">
        <v>3.1022999999999999E-4</v>
      </c>
      <c r="O3649" s="5" t="s">
        <v>44</v>
      </c>
      <c r="P3649" s="5" t="s">
        <v>44</v>
      </c>
      <c r="Q3649" s="1"/>
      <c r="R3649" s="2"/>
      <c r="S3649" s="6"/>
      <c r="T3649" t="s">
        <v>10902</v>
      </c>
      <c r="U3649" t="s">
        <v>10902</v>
      </c>
      <c r="V3649" t="s">
        <v>10902</v>
      </c>
      <c r="W3649" t="s">
        <v>43</v>
      </c>
      <c r="X3649" t="s">
        <v>11369</v>
      </c>
      <c r="Y3649" t="s">
        <v>11367</v>
      </c>
      <c r="Z3649" t="s">
        <v>11364</v>
      </c>
      <c r="AA3649" t="s">
        <v>44</v>
      </c>
      <c r="AB3649" t="s">
        <v>44</v>
      </c>
      <c r="AC3649" s="4"/>
      <c r="AD3649" s="4"/>
      <c r="AE3649" s="2">
        <v>0</v>
      </c>
      <c r="AF3649" s="4">
        <v>0</v>
      </c>
      <c r="AG3649" s="2">
        <v>0.05</v>
      </c>
      <c r="AH3649" s="2">
        <v>136357.95000000001</v>
      </c>
      <c r="AI3649" s="2">
        <v>0</v>
      </c>
      <c r="AJ3649" s="5">
        <v>44673</v>
      </c>
      <c r="AK3649" t="s">
        <v>12695</v>
      </c>
      <c r="AL3649" s="2">
        <v>0</v>
      </c>
      <c r="AM3649" s="2">
        <v>0</v>
      </c>
      <c r="AN3649" s="2">
        <v>0</v>
      </c>
      <c r="AO3649" t="s">
        <v>44</v>
      </c>
      <c r="AP3649" t="s">
        <v>11723</v>
      </c>
      <c r="AQ3649" t="s">
        <v>4873</v>
      </c>
    </row>
    <row r="3650" spans="1:43" x14ac:dyDescent="0.2">
      <c r="A3650" t="s">
        <v>12694</v>
      </c>
      <c r="B3650" t="s">
        <v>11037</v>
      </c>
      <c r="C3650" t="s">
        <v>11364</v>
      </c>
      <c r="D3650" t="s">
        <v>6443</v>
      </c>
      <c r="E3650" t="s">
        <v>5186</v>
      </c>
      <c r="F3650" t="s">
        <v>6443</v>
      </c>
      <c r="G3650" s="1">
        <v>10571</v>
      </c>
      <c r="H3650" s="2">
        <v>766364.56</v>
      </c>
      <c r="I3650" s="2">
        <v>466815.36</v>
      </c>
      <c r="J3650" s="2">
        <v>0</v>
      </c>
      <c r="K3650" s="2">
        <v>0</v>
      </c>
      <c r="L3650" s="2">
        <v>466815.36</v>
      </c>
      <c r="M3650" s="3">
        <v>4416</v>
      </c>
      <c r="N3650" s="4">
        <v>1.0620600000000001E-3</v>
      </c>
      <c r="O3650" s="5" t="s">
        <v>44</v>
      </c>
      <c r="P3650" s="5" t="s">
        <v>44</v>
      </c>
      <c r="Q3650" s="1"/>
      <c r="R3650" s="2"/>
      <c r="S3650" s="6"/>
      <c r="T3650" t="s">
        <v>10902</v>
      </c>
      <c r="U3650" t="s">
        <v>10902</v>
      </c>
      <c r="V3650" t="s">
        <v>10902</v>
      </c>
      <c r="W3650" t="s">
        <v>43</v>
      </c>
      <c r="X3650" t="s">
        <v>11366</v>
      </c>
      <c r="Y3650" t="s">
        <v>11367</v>
      </c>
      <c r="Z3650" t="s">
        <v>11364</v>
      </c>
      <c r="AA3650" t="s">
        <v>44</v>
      </c>
      <c r="AB3650" t="s">
        <v>44</v>
      </c>
      <c r="AC3650" s="4"/>
      <c r="AD3650" s="4"/>
      <c r="AE3650" s="2">
        <v>0</v>
      </c>
      <c r="AF3650" s="4">
        <v>0</v>
      </c>
      <c r="AG3650" s="2">
        <v>0.16</v>
      </c>
      <c r="AH3650" s="2">
        <v>466815.36</v>
      </c>
      <c r="AI3650" s="2">
        <v>0</v>
      </c>
      <c r="AJ3650" s="5">
        <v>44673</v>
      </c>
      <c r="AK3650" t="s">
        <v>12695</v>
      </c>
      <c r="AL3650" s="2">
        <v>0</v>
      </c>
      <c r="AM3650" s="2">
        <v>0</v>
      </c>
      <c r="AN3650" s="2">
        <v>0</v>
      </c>
      <c r="AO3650" t="s">
        <v>44</v>
      </c>
      <c r="AP3650" t="s">
        <v>11373</v>
      </c>
      <c r="AQ3650" t="s">
        <v>5186</v>
      </c>
    </row>
    <row r="3651" spans="1:43" x14ac:dyDescent="0.2">
      <c r="A3651" t="s">
        <v>12694</v>
      </c>
      <c r="B3651" t="s">
        <v>11037</v>
      </c>
      <c r="C3651" t="s">
        <v>11364</v>
      </c>
      <c r="D3651" t="s">
        <v>11374</v>
      </c>
      <c r="E3651" t="s">
        <v>1786</v>
      </c>
      <c r="F3651" t="s">
        <v>11374</v>
      </c>
      <c r="G3651" s="1">
        <v>23838</v>
      </c>
      <c r="H3651" s="2">
        <v>886456.47</v>
      </c>
      <c r="I3651" s="2">
        <v>643626</v>
      </c>
      <c r="J3651" s="2">
        <v>0</v>
      </c>
      <c r="K3651" s="2">
        <v>0</v>
      </c>
      <c r="L3651" s="2">
        <v>643626</v>
      </c>
      <c r="M3651" s="3">
        <v>2700</v>
      </c>
      <c r="N3651" s="4">
        <v>1.4643200000000001E-3</v>
      </c>
      <c r="O3651" s="5" t="s">
        <v>44</v>
      </c>
      <c r="P3651" s="5" t="s">
        <v>44</v>
      </c>
      <c r="Q3651" s="1"/>
      <c r="R3651" s="2"/>
      <c r="S3651" s="6"/>
      <c r="T3651" t="s">
        <v>10902</v>
      </c>
      <c r="U3651" t="s">
        <v>10902</v>
      </c>
      <c r="V3651" t="s">
        <v>10902</v>
      </c>
      <c r="W3651" t="s">
        <v>43</v>
      </c>
      <c r="X3651" t="s">
        <v>11375</v>
      </c>
      <c r="Y3651" t="s">
        <v>11367</v>
      </c>
      <c r="Z3651" t="s">
        <v>11364</v>
      </c>
      <c r="AA3651" t="s">
        <v>44</v>
      </c>
      <c r="AB3651" t="s">
        <v>44</v>
      </c>
      <c r="AC3651" s="4"/>
      <c r="AD3651" s="4"/>
      <c r="AE3651" s="2">
        <v>0</v>
      </c>
      <c r="AF3651" s="4">
        <v>0</v>
      </c>
      <c r="AG3651" s="2">
        <v>0.22</v>
      </c>
      <c r="AH3651" s="2">
        <v>643626</v>
      </c>
      <c r="AI3651" s="2">
        <v>0</v>
      </c>
      <c r="AJ3651" s="5">
        <v>44673</v>
      </c>
      <c r="AK3651" t="s">
        <v>12695</v>
      </c>
      <c r="AL3651" s="2">
        <v>0</v>
      </c>
      <c r="AM3651" s="2">
        <v>0</v>
      </c>
      <c r="AN3651" s="2">
        <v>0</v>
      </c>
      <c r="AO3651" t="s">
        <v>44</v>
      </c>
      <c r="AP3651" t="s">
        <v>11376</v>
      </c>
      <c r="AQ3651" t="s">
        <v>1786</v>
      </c>
    </row>
    <row r="3652" spans="1:43" x14ac:dyDescent="0.2">
      <c r="A3652" t="s">
        <v>12694</v>
      </c>
      <c r="B3652" t="s">
        <v>11037</v>
      </c>
      <c r="C3652" t="s">
        <v>11364</v>
      </c>
      <c r="D3652" t="s">
        <v>11377</v>
      </c>
      <c r="E3652" t="s">
        <v>5599</v>
      </c>
      <c r="F3652" t="s">
        <v>11378</v>
      </c>
      <c r="G3652" s="1">
        <v>1300</v>
      </c>
      <c r="H3652" s="2">
        <v>300398.15000000002</v>
      </c>
      <c r="I3652" s="2">
        <v>702897</v>
      </c>
      <c r="J3652" s="2">
        <v>0</v>
      </c>
      <c r="K3652" s="2">
        <v>0</v>
      </c>
      <c r="L3652" s="2">
        <v>702897</v>
      </c>
      <c r="M3652" s="3">
        <v>54069</v>
      </c>
      <c r="N3652" s="4">
        <v>1.59917E-3</v>
      </c>
      <c r="O3652" s="5" t="s">
        <v>44</v>
      </c>
      <c r="P3652" s="5" t="s">
        <v>44</v>
      </c>
      <c r="Q3652" s="1"/>
      <c r="R3652" s="2"/>
      <c r="S3652" s="6"/>
      <c r="T3652" t="s">
        <v>10902</v>
      </c>
      <c r="U3652" t="s">
        <v>10902</v>
      </c>
      <c r="V3652" t="s">
        <v>10902</v>
      </c>
      <c r="W3652" t="s">
        <v>43</v>
      </c>
      <c r="X3652" t="s">
        <v>11375</v>
      </c>
      <c r="Y3652" t="s">
        <v>11367</v>
      </c>
      <c r="Z3652" t="s">
        <v>11364</v>
      </c>
      <c r="AA3652" t="s">
        <v>44</v>
      </c>
      <c r="AB3652" t="s">
        <v>44</v>
      </c>
      <c r="AC3652" s="4"/>
      <c r="AD3652" s="4"/>
      <c r="AE3652" s="2">
        <v>0</v>
      </c>
      <c r="AF3652" s="4">
        <v>0</v>
      </c>
      <c r="AG3652" s="2">
        <v>0.24</v>
      </c>
      <c r="AH3652" s="2">
        <v>702897</v>
      </c>
      <c r="AI3652" s="2">
        <v>0</v>
      </c>
      <c r="AJ3652" s="5">
        <v>44673</v>
      </c>
      <c r="AK3652" t="s">
        <v>12695</v>
      </c>
      <c r="AL3652" s="2">
        <v>0</v>
      </c>
      <c r="AM3652" s="2">
        <v>0</v>
      </c>
      <c r="AN3652" s="2">
        <v>0</v>
      </c>
      <c r="AO3652" t="s">
        <v>44</v>
      </c>
      <c r="AP3652" t="s">
        <v>11379</v>
      </c>
      <c r="AQ3652" t="s">
        <v>5599</v>
      </c>
    </row>
    <row r="3653" spans="1:43" x14ac:dyDescent="0.2">
      <c r="A3653" t="s">
        <v>12694</v>
      </c>
      <c r="B3653" t="s">
        <v>11037</v>
      </c>
      <c r="C3653" t="s">
        <v>11380</v>
      </c>
      <c r="D3653" t="s">
        <v>11381</v>
      </c>
      <c r="E3653" t="s">
        <v>5221</v>
      </c>
      <c r="F3653" t="s">
        <v>11381</v>
      </c>
      <c r="G3653" s="1">
        <v>11344</v>
      </c>
      <c r="H3653" s="2">
        <v>771123.86</v>
      </c>
      <c r="I3653" s="2">
        <v>504808</v>
      </c>
      <c r="J3653" s="2">
        <v>0</v>
      </c>
      <c r="K3653" s="2">
        <v>0</v>
      </c>
      <c r="L3653" s="2">
        <v>504808</v>
      </c>
      <c r="M3653" s="3">
        <v>4450</v>
      </c>
      <c r="N3653" s="4">
        <v>1.1484900000000001E-3</v>
      </c>
      <c r="O3653" s="5" t="s">
        <v>44</v>
      </c>
      <c r="P3653" s="5" t="s">
        <v>44</v>
      </c>
      <c r="Q3653" s="1"/>
      <c r="R3653" s="2"/>
      <c r="S3653" s="6"/>
      <c r="T3653" t="s">
        <v>10902</v>
      </c>
      <c r="U3653" t="s">
        <v>10902</v>
      </c>
      <c r="V3653" t="s">
        <v>10902</v>
      </c>
      <c r="W3653" t="s">
        <v>43</v>
      </c>
      <c r="X3653" t="s">
        <v>11382</v>
      </c>
      <c r="Y3653" t="s">
        <v>11380</v>
      </c>
      <c r="Z3653" t="s">
        <v>11380</v>
      </c>
      <c r="AA3653" t="s">
        <v>44</v>
      </c>
      <c r="AB3653" t="s">
        <v>44</v>
      </c>
      <c r="AC3653" s="4"/>
      <c r="AD3653" s="4"/>
      <c r="AE3653" s="2">
        <v>0</v>
      </c>
      <c r="AF3653" s="4">
        <v>0</v>
      </c>
      <c r="AG3653" s="2">
        <v>0.17</v>
      </c>
      <c r="AH3653" s="2">
        <v>504808</v>
      </c>
      <c r="AI3653" s="2">
        <v>0</v>
      </c>
      <c r="AJ3653" s="5">
        <v>44673</v>
      </c>
      <c r="AK3653" t="s">
        <v>12695</v>
      </c>
      <c r="AL3653" s="2">
        <v>0</v>
      </c>
      <c r="AM3653" s="2">
        <v>0</v>
      </c>
      <c r="AN3653" s="2">
        <v>0</v>
      </c>
      <c r="AO3653" t="s">
        <v>44</v>
      </c>
      <c r="AP3653" t="s">
        <v>11383</v>
      </c>
      <c r="AQ3653" t="s">
        <v>5221</v>
      </c>
    </row>
    <row r="3654" spans="1:43" x14ac:dyDescent="0.2">
      <c r="A3654" t="s">
        <v>12694</v>
      </c>
      <c r="B3654" t="s">
        <v>11037</v>
      </c>
      <c r="C3654" t="s">
        <v>11743</v>
      </c>
      <c r="D3654" t="s">
        <v>11744</v>
      </c>
      <c r="E3654" t="s">
        <v>11745</v>
      </c>
      <c r="F3654" t="s">
        <v>11746</v>
      </c>
      <c r="G3654" s="1">
        <v>1750</v>
      </c>
      <c r="H3654" s="2">
        <v>338524.47</v>
      </c>
      <c r="I3654" s="2">
        <v>285197.5</v>
      </c>
      <c r="J3654" s="2">
        <v>0</v>
      </c>
      <c r="K3654" s="2">
        <v>0</v>
      </c>
      <c r="L3654" s="2">
        <v>285197.5</v>
      </c>
      <c r="M3654" s="3">
        <v>16297</v>
      </c>
      <c r="N3654" s="4">
        <v>6.4886000000000002E-4</v>
      </c>
      <c r="O3654" s="5" t="s">
        <v>44</v>
      </c>
      <c r="P3654" s="5" t="s">
        <v>44</v>
      </c>
      <c r="Q3654" s="1"/>
      <c r="R3654" s="2"/>
      <c r="S3654" s="6"/>
      <c r="T3654" t="s">
        <v>10902</v>
      </c>
      <c r="U3654" t="s">
        <v>10902</v>
      </c>
      <c r="V3654" t="s">
        <v>10902</v>
      </c>
      <c r="W3654" t="s">
        <v>43</v>
      </c>
      <c r="X3654" t="s">
        <v>11747</v>
      </c>
      <c r="Y3654" t="s">
        <v>11743</v>
      </c>
      <c r="Z3654" t="s">
        <v>11743</v>
      </c>
      <c r="AA3654" t="s">
        <v>44</v>
      </c>
      <c r="AB3654" t="s">
        <v>44</v>
      </c>
      <c r="AC3654" s="4"/>
      <c r="AD3654" s="4"/>
      <c r="AE3654" s="2">
        <v>0</v>
      </c>
      <c r="AF3654" s="4">
        <v>0</v>
      </c>
      <c r="AG3654" s="2">
        <v>0.1</v>
      </c>
      <c r="AH3654" s="2">
        <v>285197.5</v>
      </c>
      <c r="AI3654" s="2">
        <v>0</v>
      </c>
      <c r="AJ3654" s="5">
        <v>44673</v>
      </c>
      <c r="AK3654" t="s">
        <v>12695</v>
      </c>
      <c r="AL3654" s="2">
        <v>0</v>
      </c>
      <c r="AM3654" s="2">
        <v>0</v>
      </c>
      <c r="AN3654" s="2">
        <v>0</v>
      </c>
      <c r="AO3654" t="s">
        <v>44</v>
      </c>
      <c r="AP3654" t="s">
        <v>11748</v>
      </c>
      <c r="AQ3654" t="s">
        <v>11745</v>
      </c>
    </row>
    <row r="3655" spans="1:43" x14ac:dyDescent="0.2">
      <c r="A3655" t="s">
        <v>12694</v>
      </c>
      <c r="B3655" t="s">
        <v>11038</v>
      </c>
      <c r="C3655" t="s">
        <v>11870</v>
      </c>
      <c r="D3655" t="s">
        <v>11056</v>
      </c>
      <c r="E3655" t="s">
        <v>11057</v>
      </c>
      <c r="F3655" t="s">
        <v>11056</v>
      </c>
      <c r="G3655" s="1">
        <v>731938</v>
      </c>
      <c r="H3655" s="2">
        <v>731818.92</v>
      </c>
      <c r="I3655" s="2">
        <v>731938</v>
      </c>
      <c r="J3655" s="2">
        <v>18866.43</v>
      </c>
      <c r="K3655" s="2">
        <v>0</v>
      </c>
      <c r="L3655" s="2">
        <v>750804.43</v>
      </c>
      <c r="M3655" s="3"/>
      <c r="N3655" s="4">
        <v>1.70816E-3</v>
      </c>
      <c r="O3655" s="5">
        <v>44692</v>
      </c>
      <c r="P3655" s="5">
        <v>44692</v>
      </c>
      <c r="Q3655" s="1">
        <v>13.067</v>
      </c>
      <c r="R3655" s="2"/>
      <c r="S3655" s="6"/>
      <c r="T3655" t="s">
        <v>111</v>
      </c>
      <c r="U3655" t="s">
        <v>11040</v>
      </c>
      <c r="V3655" t="s">
        <v>115</v>
      </c>
      <c r="W3655" t="s">
        <v>43</v>
      </c>
      <c r="X3655" t="s">
        <v>44</v>
      </c>
      <c r="Y3655" t="s">
        <v>44</v>
      </c>
      <c r="Z3655" t="s">
        <v>44</v>
      </c>
      <c r="AA3655" t="s">
        <v>10979</v>
      </c>
      <c r="AB3655" t="s">
        <v>44</v>
      </c>
      <c r="AC3655" s="4"/>
      <c r="AD3655" s="4"/>
      <c r="AE3655" s="2">
        <v>0</v>
      </c>
      <c r="AF3655" s="4">
        <v>0</v>
      </c>
      <c r="AG3655" s="2">
        <v>0.26</v>
      </c>
      <c r="AH3655" s="2">
        <v>750804.43</v>
      </c>
      <c r="AI3655" s="2">
        <v>0</v>
      </c>
      <c r="AJ3655" s="5">
        <v>44673</v>
      </c>
      <c r="AK3655" t="s">
        <v>12695</v>
      </c>
      <c r="AL3655" s="2">
        <v>0</v>
      </c>
      <c r="AM3655" s="2">
        <v>13.07</v>
      </c>
      <c r="AN3655" s="2">
        <v>0</v>
      </c>
      <c r="AO3655" t="s">
        <v>10980</v>
      </c>
      <c r="AP3655" t="s">
        <v>11058</v>
      </c>
      <c r="AQ3655" t="s">
        <v>11057</v>
      </c>
    </row>
    <row r="3656" spans="1:43" x14ac:dyDescent="0.2">
      <c r="A3656" t="s">
        <v>12694</v>
      </c>
      <c r="B3656" t="s">
        <v>11408</v>
      </c>
      <c r="C3656" t="s">
        <v>11408</v>
      </c>
      <c r="D3656" t="s">
        <v>12696</v>
      </c>
      <c r="E3656" t="s">
        <v>12697</v>
      </c>
      <c r="F3656" t="s">
        <v>12698</v>
      </c>
      <c r="G3656" s="1">
        <v>4331.2043000000003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3"/>
      <c r="N3656" s="4">
        <v>0</v>
      </c>
      <c r="O3656" s="5" t="s">
        <v>44</v>
      </c>
      <c r="P3656" s="5">
        <v>44777</v>
      </c>
      <c r="Q3656" s="1">
        <v>0</v>
      </c>
      <c r="R3656" s="2"/>
      <c r="S3656" s="6"/>
      <c r="T3656" t="s">
        <v>11412</v>
      </c>
      <c r="U3656" t="s">
        <v>11413</v>
      </c>
      <c r="V3656" t="s">
        <v>11414</v>
      </c>
      <c r="W3656" t="s">
        <v>43</v>
      </c>
      <c r="X3656" t="s">
        <v>44</v>
      </c>
      <c r="Y3656" t="s">
        <v>44</v>
      </c>
      <c r="Z3656" t="s">
        <v>44</v>
      </c>
      <c r="AA3656" t="s">
        <v>10979</v>
      </c>
      <c r="AB3656" t="s">
        <v>44</v>
      </c>
      <c r="AC3656" s="4"/>
      <c r="AD3656" s="4"/>
      <c r="AE3656" s="2">
        <v>0</v>
      </c>
      <c r="AF3656" s="4">
        <v>0</v>
      </c>
      <c r="AG3656" s="2">
        <v>0</v>
      </c>
      <c r="AH3656" s="2">
        <v>0</v>
      </c>
      <c r="AI3656" s="2">
        <v>0</v>
      </c>
      <c r="AJ3656" s="5">
        <v>44673</v>
      </c>
      <c r="AK3656" t="s">
        <v>12695</v>
      </c>
      <c r="AL3656" s="2">
        <v>0</v>
      </c>
      <c r="AM3656" s="2">
        <v>0</v>
      </c>
      <c r="AN3656" s="2">
        <v>0</v>
      </c>
      <c r="AO3656" t="s">
        <v>11165</v>
      </c>
      <c r="AP3656" t="s">
        <v>44</v>
      </c>
      <c r="AQ3656" t="s">
        <v>44</v>
      </c>
    </row>
    <row r="3657" spans="1:43" x14ac:dyDescent="0.2">
      <c r="A3657" t="s">
        <v>12694</v>
      </c>
      <c r="B3657" t="s">
        <v>11408</v>
      </c>
      <c r="C3657" t="s">
        <v>11408</v>
      </c>
      <c r="D3657" t="s">
        <v>12224</v>
      </c>
      <c r="E3657" t="s">
        <v>12225</v>
      </c>
      <c r="F3657" t="s">
        <v>12226</v>
      </c>
      <c r="G3657" s="1">
        <v>522.57449999999994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3"/>
      <c r="N3657" s="4">
        <v>0</v>
      </c>
      <c r="O3657" s="5" t="s">
        <v>44</v>
      </c>
      <c r="P3657" s="5">
        <v>44777</v>
      </c>
      <c r="Q3657" s="1">
        <v>0</v>
      </c>
      <c r="R3657" s="2"/>
      <c r="S3657" s="6"/>
      <c r="T3657" t="s">
        <v>11412</v>
      </c>
      <c r="U3657" t="s">
        <v>11413</v>
      </c>
      <c r="V3657" t="s">
        <v>11414</v>
      </c>
      <c r="W3657" t="s">
        <v>43</v>
      </c>
      <c r="X3657" t="s">
        <v>44</v>
      </c>
      <c r="Y3657" t="s">
        <v>44</v>
      </c>
      <c r="Z3657" t="s">
        <v>44</v>
      </c>
      <c r="AA3657" t="s">
        <v>10979</v>
      </c>
      <c r="AB3657" t="s">
        <v>44</v>
      </c>
      <c r="AC3657" s="4"/>
      <c r="AD3657" s="4"/>
      <c r="AE3657" s="2">
        <v>0</v>
      </c>
      <c r="AF3657" s="4">
        <v>0</v>
      </c>
      <c r="AG3657" s="2">
        <v>0</v>
      </c>
      <c r="AH3657" s="2">
        <v>0</v>
      </c>
      <c r="AI3657" s="2">
        <v>0</v>
      </c>
      <c r="AJ3657" s="5">
        <v>44673</v>
      </c>
      <c r="AK3657" t="s">
        <v>12695</v>
      </c>
      <c r="AL3657" s="2">
        <v>0</v>
      </c>
      <c r="AM3657" s="2">
        <v>0</v>
      </c>
      <c r="AN3657" s="2">
        <v>0</v>
      </c>
      <c r="AO3657" t="s">
        <v>11165</v>
      </c>
      <c r="AP3657" t="s">
        <v>44</v>
      </c>
      <c r="AQ3657" t="s">
        <v>44</v>
      </c>
    </row>
    <row r="3658" spans="1:43" x14ac:dyDescent="0.2">
      <c r="A3658" t="s">
        <v>12694</v>
      </c>
      <c r="B3658" t="s">
        <v>11408</v>
      </c>
      <c r="C3658" t="s">
        <v>11408</v>
      </c>
      <c r="D3658" t="s">
        <v>12227</v>
      </c>
      <c r="E3658" t="s">
        <v>12225</v>
      </c>
      <c r="F3658" t="s">
        <v>12228</v>
      </c>
      <c r="G3658" s="1">
        <v>-12759592.75</v>
      </c>
      <c r="H3658" s="2">
        <v>0</v>
      </c>
      <c r="I3658" s="2">
        <v>0</v>
      </c>
      <c r="J3658" s="2">
        <v>-33507.040000000001</v>
      </c>
      <c r="K3658" s="2">
        <v>0</v>
      </c>
      <c r="L3658" s="2">
        <v>-33507.040000000001</v>
      </c>
      <c r="M3658" s="3"/>
      <c r="N3658" s="4">
        <v>-7.6229999999999994E-5</v>
      </c>
      <c r="O3658" s="5" t="s">
        <v>44</v>
      </c>
      <c r="P3658" s="5">
        <v>44777</v>
      </c>
      <c r="Q3658" s="1">
        <v>0</v>
      </c>
      <c r="R3658" s="2"/>
      <c r="S3658" s="6"/>
      <c r="T3658" t="s">
        <v>11412</v>
      </c>
      <c r="U3658" t="s">
        <v>11413</v>
      </c>
      <c r="V3658" t="s">
        <v>11414</v>
      </c>
      <c r="W3658" t="s">
        <v>43</v>
      </c>
      <c r="X3658" t="s">
        <v>44</v>
      </c>
      <c r="Y3658" t="s">
        <v>44</v>
      </c>
      <c r="Z3658" t="s">
        <v>44</v>
      </c>
      <c r="AA3658" t="s">
        <v>10979</v>
      </c>
      <c r="AB3658" t="s">
        <v>44</v>
      </c>
      <c r="AC3658" s="4"/>
      <c r="AD3658" s="4"/>
      <c r="AE3658" s="2">
        <v>0</v>
      </c>
      <c r="AF3658" s="4">
        <v>0</v>
      </c>
      <c r="AG3658" s="2">
        <v>-0.01</v>
      </c>
      <c r="AH3658" s="2">
        <v>-12793099.789999999</v>
      </c>
      <c r="AI3658" s="2">
        <v>-0.03</v>
      </c>
      <c r="AJ3658" s="5">
        <v>44673</v>
      </c>
      <c r="AK3658" t="s">
        <v>12695</v>
      </c>
      <c r="AL3658" s="2">
        <v>0</v>
      </c>
      <c r="AM3658" s="2">
        <v>0</v>
      </c>
      <c r="AN3658" s="2">
        <v>0</v>
      </c>
      <c r="AO3658" t="s">
        <v>11165</v>
      </c>
      <c r="AP3658" t="s">
        <v>44</v>
      </c>
      <c r="AQ3658" t="s">
        <v>44</v>
      </c>
    </row>
    <row r="3659" spans="1:43" x14ac:dyDescent="0.2">
      <c r="A3659" t="s">
        <v>12694</v>
      </c>
      <c r="B3659" t="s">
        <v>11408</v>
      </c>
      <c r="C3659" t="s">
        <v>11408</v>
      </c>
      <c r="D3659" t="s">
        <v>12229</v>
      </c>
      <c r="E3659" t="s">
        <v>12225</v>
      </c>
      <c r="F3659" t="s">
        <v>12230</v>
      </c>
      <c r="G3659" s="1">
        <v>522.57449999999994</v>
      </c>
      <c r="H3659" s="2">
        <v>0</v>
      </c>
      <c r="I3659" s="2">
        <v>-602361.21</v>
      </c>
      <c r="J3659" s="2">
        <v>0</v>
      </c>
      <c r="K3659" s="2">
        <v>0</v>
      </c>
      <c r="L3659" s="2">
        <v>-602361.21</v>
      </c>
      <c r="M3659" s="3">
        <v>23264.11</v>
      </c>
      <c r="N3659" s="4">
        <v>-1.3704399999999999E-3</v>
      </c>
      <c r="O3659" s="5" t="s">
        <v>44</v>
      </c>
      <c r="P3659" s="5">
        <v>44777</v>
      </c>
      <c r="Q3659" s="1">
        <v>0</v>
      </c>
      <c r="R3659" s="2"/>
      <c r="S3659" s="6"/>
      <c r="T3659" t="s">
        <v>11412</v>
      </c>
      <c r="U3659" t="s">
        <v>11413</v>
      </c>
      <c r="V3659" t="s">
        <v>11414</v>
      </c>
      <c r="W3659" t="s">
        <v>43</v>
      </c>
      <c r="X3659" t="s">
        <v>44</v>
      </c>
      <c r="Y3659" t="s">
        <v>44</v>
      </c>
      <c r="Z3659" t="s">
        <v>44</v>
      </c>
      <c r="AA3659" t="s">
        <v>10979</v>
      </c>
      <c r="AB3659" t="s">
        <v>44</v>
      </c>
      <c r="AC3659" s="4"/>
      <c r="AD3659" s="4"/>
      <c r="AE3659" s="2">
        <v>0</v>
      </c>
      <c r="AF3659" s="4">
        <v>0</v>
      </c>
      <c r="AG3659" s="2">
        <v>-0.21</v>
      </c>
      <c r="AH3659" s="2">
        <v>12157231.539999999</v>
      </c>
      <c r="AI3659" s="2">
        <v>0.03</v>
      </c>
      <c r="AJ3659" s="5">
        <v>44673</v>
      </c>
      <c r="AK3659" t="s">
        <v>12695</v>
      </c>
      <c r="AL3659" s="2">
        <v>0</v>
      </c>
      <c r="AM3659" s="2">
        <v>0</v>
      </c>
      <c r="AN3659" s="2">
        <v>0</v>
      </c>
      <c r="AO3659" t="s">
        <v>11165</v>
      </c>
      <c r="AP3659" t="s">
        <v>44</v>
      </c>
      <c r="AQ3659" t="s">
        <v>44</v>
      </c>
    </row>
    <row r="3660" spans="1:43" x14ac:dyDescent="0.2">
      <c r="A3660" t="s">
        <v>12694</v>
      </c>
      <c r="B3660" t="s">
        <v>11408</v>
      </c>
      <c r="C3660" t="s">
        <v>11408</v>
      </c>
      <c r="D3660" t="s">
        <v>12699</v>
      </c>
      <c r="E3660" t="s">
        <v>12697</v>
      </c>
      <c r="F3660" t="s">
        <v>12700</v>
      </c>
      <c r="G3660" s="1">
        <v>-105754105.98999999</v>
      </c>
      <c r="H3660" s="2">
        <v>0</v>
      </c>
      <c r="I3660" s="2">
        <v>0</v>
      </c>
      <c r="J3660" s="2">
        <v>-280320.82</v>
      </c>
      <c r="K3660" s="2">
        <v>0</v>
      </c>
      <c r="L3660" s="2">
        <v>-280320.82</v>
      </c>
      <c r="M3660" s="3"/>
      <c r="N3660" s="4">
        <v>-6.3776000000000002E-4</v>
      </c>
      <c r="O3660" s="5" t="s">
        <v>44</v>
      </c>
      <c r="P3660" s="5">
        <v>44777</v>
      </c>
      <c r="Q3660" s="1">
        <v>0</v>
      </c>
      <c r="R3660" s="2"/>
      <c r="S3660" s="6"/>
      <c r="T3660" t="s">
        <v>11412</v>
      </c>
      <c r="U3660" t="s">
        <v>11413</v>
      </c>
      <c r="V3660" t="s">
        <v>11414</v>
      </c>
      <c r="W3660" t="s">
        <v>43</v>
      </c>
      <c r="X3660" t="s">
        <v>44</v>
      </c>
      <c r="Y3660" t="s">
        <v>44</v>
      </c>
      <c r="Z3660" t="s">
        <v>44</v>
      </c>
      <c r="AA3660" t="s">
        <v>10979</v>
      </c>
      <c r="AB3660" t="s">
        <v>44</v>
      </c>
      <c r="AC3660" s="4"/>
      <c r="AD3660" s="4"/>
      <c r="AE3660" s="2">
        <v>0</v>
      </c>
      <c r="AF3660" s="4">
        <v>0</v>
      </c>
      <c r="AG3660" s="2">
        <v>-0.1</v>
      </c>
      <c r="AH3660" s="2">
        <v>-106034426.81</v>
      </c>
      <c r="AI3660" s="2">
        <v>-0.24</v>
      </c>
      <c r="AJ3660" s="5">
        <v>44673</v>
      </c>
      <c r="AK3660" t="s">
        <v>12695</v>
      </c>
      <c r="AL3660" s="2">
        <v>0</v>
      </c>
      <c r="AM3660" s="2">
        <v>0</v>
      </c>
      <c r="AN3660" s="2">
        <v>0</v>
      </c>
      <c r="AO3660" t="s">
        <v>11165</v>
      </c>
      <c r="AP3660" t="s">
        <v>44</v>
      </c>
      <c r="AQ3660" t="s">
        <v>44</v>
      </c>
    </row>
    <row r="3661" spans="1:43" x14ac:dyDescent="0.2">
      <c r="A3661" t="s">
        <v>12694</v>
      </c>
      <c r="B3661" t="s">
        <v>11408</v>
      </c>
      <c r="C3661" t="s">
        <v>11408</v>
      </c>
      <c r="D3661" t="s">
        <v>12701</v>
      </c>
      <c r="E3661" t="s">
        <v>12697</v>
      </c>
      <c r="F3661" t="s">
        <v>12702</v>
      </c>
      <c r="G3661" s="1">
        <v>4331.2043000000003</v>
      </c>
      <c r="H3661" s="2">
        <v>0</v>
      </c>
      <c r="I3661" s="2">
        <v>-4992492.58</v>
      </c>
      <c r="J3661" s="2">
        <v>0</v>
      </c>
      <c r="K3661" s="2">
        <v>0</v>
      </c>
      <c r="L3661" s="2">
        <v>-4992492.58</v>
      </c>
      <c r="M3661" s="3">
        <v>23264.11</v>
      </c>
      <c r="N3661" s="4">
        <v>-1.1358460000000001E-2</v>
      </c>
      <c r="O3661" s="5" t="s">
        <v>44</v>
      </c>
      <c r="P3661" s="5">
        <v>44777</v>
      </c>
      <c r="Q3661" s="1">
        <v>0</v>
      </c>
      <c r="R3661" s="2"/>
      <c r="S3661" s="6"/>
      <c r="T3661" t="s">
        <v>11412</v>
      </c>
      <c r="U3661" t="s">
        <v>11413</v>
      </c>
      <c r="V3661" t="s">
        <v>11414</v>
      </c>
      <c r="W3661" t="s">
        <v>43</v>
      </c>
      <c r="X3661" t="s">
        <v>44</v>
      </c>
      <c r="Y3661" t="s">
        <v>44</v>
      </c>
      <c r="Z3661" t="s">
        <v>44</v>
      </c>
      <c r="AA3661" t="s">
        <v>10979</v>
      </c>
      <c r="AB3661" t="s">
        <v>44</v>
      </c>
      <c r="AC3661" s="4"/>
      <c r="AD3661" s="4"/>
      <c r="AE3661" s="2">
        <v>0</v>
      </c>
      <c r="AF3661" s="4">
        <v>0</v>
      </c>
      <c r="AG3661" s="2">
        <v>-1.72</v>
      </c>
      <c r="AH3661" s="2">
        <v>100761613.41</v>
      </c>
      <c r="AI3661" s="2">
        <v>0.23</v>
      </c>
      <c r="AJ3661" s="5">
        <v>44673</v>
      </c>
      <c r="AK3661" t="s">
        <v>12695</v>
      </c>
      <c r="AL3661" s="2">
        <v>0</v>
      </c>
      <c r="AM3661" s="2">
        <v>0</v>
      </c>
      <c r="AN3661" s="2">
        <v>0</v>
      </c>
      <c r="AO3661" t="s">
        <v>11165</v>
      </c>
      <c r="AP3661" t="s">
        <v>44</v>
      </c>
      <c r="AQ3661" t="s">
        <v>44</v>
      </c>
    </row>
    <row r="3662" spans="1:43" x14ac:dyDescent="0.2">
      <c r="A3662" t="s">
        <v>12694</v>
      </c>
      <c r="B3662" t="s">
        <v>11408</v>
      </c>
      <c r="C3662" t="s">
        <v>11408</v>
      </c>
      <c r="D3662" t="s">
        <v>12231</v>
      </c>
      <c r="E3662" t="s">
        <v>12232</v>
      </c>
      <c r="F3662" t="s">
        <v>12233</v>
      </c>
      <c r="G3662" s="1">
        <v>3618.2689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3"/>
      <c r="N3662" s="4">
        <v>0</v>
      </c>
      <c r="O3662" s="5" t="s">
        <v>44</v>
      </c>
      <c r="P3662" s="5">
        <v>44809</v>
      </c>
      <c r="Q3662" s="1">
        <v>0</v>
      </c>
      <c r="R3662" s="2"/>
      <c r="S3662" s="6"/>
      <c r="T3662" t="s">
        <v>11412</v>
      </c>
      <c r="U3662" t="s">
        <v>11413</v>
      </c>
      <c r="V3662" t="s">
        <v>11414</v>
      </c>
      <c r="W3662" t="s">
        <v>43</v>
      </c>
      <c r="X3662" t="s">
        <v>44</v>
      </c>
      <c r="Y3662" t="s">
        <v>44</v>
      </c>
      <c r="Z3662" t="s">
        <v>44</v>
      </c>
      <c r="AA3662" t="s">
        <v>11035</v>
      </c>
      <c r="AB3662" t="s">
        <v>44</v>
      </c>
      <c r="AC3662" s="4"/>
      <c r="AD3662" s="4"/>
      <c r="AE3662" s="2">
        <v>0</v>
      </c>
      <c r="AF3662" s="4">
        <v>0</v>
      </c>
      <c r="AG3662" s="2">
        <v>0</v>
      </c>
      <c r="AH3662" s="2">
        <v>0</v>
      </c>
      <c r="AI3662" s="2">
        <v>0</v>
      </c>
      <c r="AJ3662" s="5">
        <v>44673</v>
      </c>
      <c r="AK3662" t="s">
        <v>12695</v>
      </c>
      <c r="AL3662" s="2">
        <v>0</v>
      </c>
      <c r="AM3662" s="2">
        <v>0</v>
      </c>
      <c r="AN3662" s="2">
        <v>0</v>
      </c>
      <c r="AO3662" t="s">
        <v>11053</v>
      </c>
      <c r="AP3662" t="s">
        <v>44</v>
      </c>
      <c r="AQ3662" t="s">
        <v>44</v>
      </c>
    </row>
    <row r="3663" spans="1:43" x14ac:dyDescent="0.2">
      <c r="A3663" t="s">
        <v>12694</v>
      </c>
      <c r="B3663" t="s">
        <v>11408</v>
      </c>
      <c r="C3663" t="s">
        <v>11408</v>
      </c>
      <c r="D3663" t="s">
        <v>12234</v>
      </c>
      <c r="E3663" t="s">
        <v>12232</v>
      </c>
      <c r="F3663" t="s">
        <v>12235</v>
      </c>
      <c r="G3663" s="1">
        <v>-88346511.890000001</v>
      </c>
      <c r="H3663" s="2">
        <v>0</v>
      </c>
      <c r="I3663" s="2">
        <v>0</v>
      </c>
      <c r="J3663" s="2">
        <v>-232329.54</v>
      </c>
      <c r="K3663" s="2">
        <v>0</v>
      </c>
      <c r="L3663" s="2">
        <v>-232329.54</v>
      </c>
      <c r="M3663" s="3"/>
      <c r="N3663" s="4">
        <v>-5.2857000000000002E-4</v>
      </c>
      <c r="O3663" s="5" t="s">
        <v>44</v>
      </c>
      <c r="P3663" s="5">
        <v>44809</v>
      </c>
      <c r="Q3663" s="1">
        <v>0</v>
      </c>
      <c r="R3663" s="2"/>
      <c r="S3663" s="6"/>
      <c r="T3663" t="s">
        <v>11412</v>
      </c>
      <c r="U3663" t="s">
        <v>11413</v>
      </c>
      <c r="V3663" t="s">
        <v>11414</v>
      </c>
      <c r="W3663" t="s">
        <v>43</v>
      </c>
      <c r="X3663" t="s">
        <v>44</v>
      </c>
      <c r="Y3663" t="s">
        <v>44</v>
      </c>
      <c r="Z3663" t="s">
        <v>44</v>
      </c>
      <c r="AA3663" t="s">
        <v>11035</v>
      </c>
      <c r="AB3663" t="s">
        <v>44</v>
      </c>
      <c r="AC3663" s="4"/>
      <c r="AD3663" s="4"/>
      <c r="AE3663" s="2">
        <v>0</v>
      </c>
      <c r="AF3663" s="4">
        <v>0</v>
      </c>
      <c r="AG3663" s="2">
        <v>-0.08</v>
      </c>
      <c r="AH3663" s="2">
        <v>-88578841.430000007</v>
      </c>
      <c r="AI3663" s="2">
        <v>-0.2</v>
      </c>
      <c r="AJ3663" s="5">
        <v>44673</v>
      </c>
      <c r="AK3663" t="s">
        <v>12695</v>
      </c>
      <c r="AL3663" s="2">
        <v>0</v>
      </c>
      <c r="AM3663" s="2">
        <v>0</v>
      </c>
      <c r="AN3663" s="2">
        <v>0</v>
      </c>
      <c r="AO3663" t="s">
        <v>11053</v>
      </c>
      <c r="AP3663" t="s">
        <v>44</v>
      </c>
      <c r="AQ3663" t="s">
        <v>44</v>
      </c>
    </row>
    <row r="3664" spans="1:43" x14ac:dyDescent="0.2">
      <c r="A3664" t="s">
        <v>12694</v>
      </c>
      <c r="B3664" t="s">
        <v>11408</v>
      </c>
      <c r="C3664" t="s">
        <v>11408</v>
      </c>
      <c r="D3664" t="s">
        <v>12236</v>
      </c>
      <c r="E3664" t="s">
        <v>12232</v>
      </c>
      <c r="F3664" t="s">
        <v>12237</v>
      </c>
      <c r="G3664" s="1">
        <v>3618.2689</v>
      </c>
      <c r="H3664" s="2">
        <v>0</v>
      </c>
      <c r="I3664" s="2">
        <v>-4170706.19</v>
      </c>
      <c r="J3664" s="2">
        <v>0</v>
      </c>
      <c r="K3664" s="2">
        <v>0</v>
      </c>
      <c r="L3664" s="2">
        <v>-4170706.19</v>
      </c>
      <c r="M3664" s="3">
        <v>23264.11</v>
      </c>
      <c r="N3664" s="4">
        <v>-9.4888100000000003E-3</v>
      </c>
      <c r="O3664" s="5" t="s">
        <v>44</v>
      </c>
      <c r="P3664" s="5">
        <v>44809</v>
      </c>
      <c r="Q3664" s="1">
        <v>0</v>
      </c>
      <c r="R3664" s="2"/>
      <c r="S3664" s="6"/>
      <c r="T3664" t="s">
        <v>11412</v>
      </c>
      <c r="U3664" t="s">
        <v>11413</v>
      </c>
      <c r="V3664" t="s">
        <v>11414</v>
      </c>
      <c r="W3664" t="s">
        <v>43</v>
      </c>
      <c r="X3664" t="s">
        <v>44</v>
      </c>
      <c r="Y3664" t="s">
        <v>44</v>
      </c>
      <c r="Z3664" t="s">
        <v>44</v>
      </c>
      <c r="AA3664" t="s">
        <v>11035</v>
      </c>
      <c r="AB3664" t="s">
        <v>44</v>
      </c>
      <c r="AC3664" s="4"/>
      <c r="AD3664" s="4"/>
      <c r="AE3664" s="2">
        <v>0</v>
      </c>
      <c r="AF3664" s="4">
        <v>0</v>
      </c>
      <c r="AG3664" s="2">
        <v>-1.44</v>
      </c>
      <c r="AH3664" s="2">
        <v>84175805.700000003</v>
      </c>
      <c r="AI3664" s="2">
        <v>0.19</v>
      </c>
      <c r="AJ3664" s="5">
        <v>44673</v>
      </c>
      <c r="AK3664" t="s">
        <v>12695</v>
      </c>
      <c r="AL3664" s="2">
        <v>0</v>
      </c>
      <c r="AM3664" s="2">
        <v>0</v>
      </c>
      <c r="AN3664" s="2">
        <v>0</v>
      </c>
      <c r="AO3664" t="s">
        <v>11053</v>
      </c>
      <c r="AP3664" t="s">
        <v>44</v>
      </c>
      <c r="AQ3664" t="s">
        <v>44</v>
      </c>
    </row>
    <row r="3665" spans="1:43" x14ac:dyDescent="0.2">
      <c r="A3665" t="s">
        <v>12694</v>
      </c>
      <c r="B3665" t="s">
        <v>11030</v>
      </c>
      <c r="C3665" t="s">
        <v>11030</v>
      </c>
      <c r="D3665" t="s">
        <v>12238</v>
      </c>
      <c r="E3665" t="s">
        <v>12210</v>
      </c>
      <c r="F3665" t="s">
        <v>12238</v>
      </c>
      <c r="G3665" s="1">
        <v>329</v>
      </c>
      <c r="H3665" s="2"/>
      <c r="I3665" s="2">
        <v>0</v>
      </c>
      <c r="J3665" s="2"/>
      <c r="K3665" s="2"/>
      <c r="L3665" s="2">
        <v>0</v>
      </c>
      <c r="M3665" s="3"/>
      <c r="N3665" s="4">
        <v>0</v>
      </c>
      <c r="O3665" s="5" t="s">
        <v>44</v>
      </c>
      <c r="P3665" s="5" t="s">
        <v>44</v>
      </c>
      <c r="Q3665" s="1"/>
      <c r="R3665" s="2"/>
      <c r="S3665" s="6"/>
      <c r="T3665" t="s">
        <v>11031</v>
      </c>
      <c r="U3665" t="s">
        <v>11032</v>
      </c>
      <c r="V3665" t="s">
        <v>45</v>
      </c>
      <c r="W3665" t="s">
        <v>43</v>
      </c>
      <c r="X3665" t="s">
        <v>44</v>
      </c>
      <c r="Y3665" t="s">
        <v>44</v>
      </c>
      <c r="Z3665" t="s">
        <v>44</v>
      </c>
      <c r="AA3665" t="s">
        <v>44</v>
      </c>
      <c r="AB3665" t="s">
        <v>44</v>
      </c>
      <c r="AC3665" s="4"/>
      <c r="AD3665" s="4"/>
      <c r="AE3665" s="2">
        <v>0</v>
      </c>
      <c r="AF3665" s="4">
        <v>0</v>
      </c>
      <c r="AG3665" s="2">
        <v>0</v>
      </c>
      <c r="AH3665" s="2">
        <v>-41555990</v>
      </c>
      <c r="AI3665" s="2">
        <v>-0.09</v>
      </c>
      <c r="AJ3665" s="5">
        <v>44673</v>
      </c>
      <c r="AK3665" t="s">
        <v>12695</v>
      </c>
      <c r="AL3665" s="2">
        <v>0</v>
      </c>
      <c r="AM3665" s="2">
        <v>0</v>
      </c>
      <c r="AN3665" s="2">
        <v>0</v>
      </c>
      <c r="AO3665" t="s">
        <v>44</v>
      </c>
      <c r="AP3665" t="s">
        <v>44</v>
      </c>
      <c r="AQ3665" t="s">
        <v>11182</v>
      </c>
    </row>
    <row r="3666" spans="1:43" x14ac:dyDescent="0.2">
      <c r="A3666" t="s">
        <v>12703</v>
      </c>
      <c r="B3666" t="s">
        <v>10900</v>
      </c>
      <c r="C3666" t="s">
        <v>11033</v>
      </c>
      <c r="D3666" t="s">
        <v>11187</v>
      </c>
      <c r="E3666" t="s">
        <v>11188</v>
      </c>
      <c r="F3666" t="s">
        <v>11187</v>
      </c>
      <c r="G3666" s="1">
        <v>5930000</v>
      </c>
      <c r="H3666" s="2">
        <v>6030947.0999999996</v>
      </c>
      <c r="I3666" s="2">
        <v>6165381.2599999998</v>
      </c>
      <c r="J3666" s="2">
        <v>5772.73</v>
      </c>
      <c r="K3666" s="2">
        <v>0</v>
      </c>
      <c r="L3666" s="2">
        <v>6171153.9900000002</v>
      </c>
      <c r="M3666" s="3">
        <v>7.1638799999999998</v>
      </c>
      <c r="N3666" s="4">
        <v>1.404004E-2</v>
      </c>
      <c r="O3666" s="5">
        <v>44757</v>
      </c>
      <c r="P3666" s="5">
        <v>45672</v>
      </c>
      <c r="Q3666" s="1">
        <v>8.8829999999999991</v>
      </c>
      <c r="R3666" s="2">
        <v>0.22</v>
      </c>
      <c r="S3666" s="6">
        <v>0.20744314818000001</v>
      </c>
      <c r="T3666" t="s">
        <v>111</v>
      </c>
      <c r="U3666" t="s">
        <v>111</v>
      </c>
      <c r="V3666" t="s">
        <v>11189</v>
      </c>
      <c r="W3666" t="s">
        <v>43</v>
      </c>
      <c r="X3666" t="s">
        <v>11034</v>
      </c>
      <c r="Y3666" t="s">
        <v>44</v>
      </c>
      <c r="Z3666" t="s">
        <v>44</v>
      </c>
      <c r="AA3666" t="s">
        <v>11035</v>
      </c>
      <c r="AB3666" t="s">
        <v>44</v>
      </c>
      <c r="AC3666" s="4">
        <v>7.2921833700000001</v>
      </c>
      <c r="AD3666" s="4">
        <v>7.0592439100000002</v>
      </c>
      <c r="AE3666" s="2">
        <v>7.29</v>
      </c>
      <c r="AF3666" s="4">
        <v>7.0592439100000002</v>
      </c>
      <c r="AG3666" s="2">
        <v>5.04</v>
      </c>
      <c r="AH3666" s="2">
        <v>6171153.9900000002</v>
      </c>
      <c r="AI3666" s="2">
        <v>0.01</v>
      </c>
      <c r="AJ3666" s="5">
        <v>44673</v>
      </c>
      <c r="AK3666" t="s">
        <v>12704</v>
      </c>
      <c r="AL3666" s="2">
        <v>7.16</v>
      </c>
      <c r="AM3666" s="2">
        <v>8.8800000000000008</v>
      </c>
      <c r="AN3666" s="2">
        <v>0.21</v>
      </c>
      <c r="AO3666" t="s">
        <v>11036</v>
      </c>
      <c r="AP3666" t="s">
        <v>11191</v>
      </c>
      <c r="AQ3666" t="s">
        <v>11188</v>
      </c>
    </row>
    <row r="3667" spans="1:43" x14ac:dyDescent="0.2">
      <c r="A3667" t="s">
        <v>12703</v>
      </c>
      <c r="B3667" t="s">
        <v>10900</v>
      </c>
      <c r="C3667" t="s">
        <v>10943</v>
      </c>
      <c r="D3667" t="s">
        <v>10977</v>
      </c>
      <c r="E3667" t="s">
        <v>10978</v>
      </c>
      <c r="F3667" t="s">
        <v>10977</v>
      </c>
      <c r="G3667" s="1">
        <v>4134240</v>
      </c>
      <c r="H3667" s="2">
        <v>4195222.1399999997</v>
      </c>
      <c r="I3667" s="2">
        <v>3885657.24</v>
      </c>
      <c r="J3667" s="2">
        <v>190269.62</v>
      </c>
      <c r="K3667" s="2">
        <v>0</v>
      </c>
      <c r="L3667" s="2">
        <v>4075926.86</v>
      </c>
      <c r="M3667" s="3">
        <v>11.88</v>
      </c>
      <c r="N3667" s="4">
        <v>9.2731700000000007E-3</v>
      </c>
      <c r="O3667" s="5">
        <v>44697</v>
      </c>
      <c r="P3667" s="5">
        <v>46888</v>
      </c>
      <c r="Q3667" s="1">
        <v>10.565</v>
      </c>
      <c r="R3667" s="2">
        <v>4.7300000000000004</v>
      </c>
      <c r="S3667" s="6">
        <v>4.4668326030000003</v>
      </c>
      <c r="T3667" t="s">
        <v>111</v>
      </c>
      <c r="U3667" t="s">
        <v>111</v>
      </c>
      <c r="V3667" t="s">
        <v>10944</v>
      </c>
      <c r="W3667" t="s">
        <v>43</v>
      </c>
      <c r="X3667" t="s">
        <v>44</v>
      </c>
      <c r="Y3667" t="s">
        <v>44</v>
      </c>
      <c r="Z3667" t="s">
        <v>44</v>
      </c>
      <c r="AA3667" t="s">
        <v>10979</v>
      </c>
      <c r="AB3667" t="s">
        <v>44</v>
      </c>
      <c r="AC3667" s="4">
        <v>12.232836000000001</v>
      </c>
      <c r="AD3667" s="4">
        <v>11.596213730000001</v>
      </c>
      <c r="AE3667" s="2">
        <v>12.23</v>
      </c>
      <c r="AF3667" s="4">
        <v>11.596213730000001</v>
      </c>
      <c r="AG3667" s="2">
        <v>3.33</v>
      </c>
      <c r="AH3667" s="2">
        <v>4075926.86</v>
      </c>
      <c r="AI3667" s="2">
        <v>0.01</v>
      </c>
      <c r="AJ3667" s="5">
        <v>44673</v>
      </c>
      <c r="AK3667" t="s">
        <v>12704</v>
      </c>
      <c r="AL3667" s="2">
        <v>11.88</v>
      </c>
      <c r="AM3667" s="2">
        <v>10.56</v>
      </c>
      <c r="AN3667" s="2">
        <v>4.47</v>
      </c>
      <c r="AO3667" t="s">
        <v>10980</v>
      </c>
      <c r="AP3667" t="s">
        <v>10981</v>
      </c>
      <c r="AQ3667" t="s">
        <v>10978</v>
      </c>
    </row>
    <row r="3668" spans="1:43" x14ac:dyDescent="0.2">
      <c r="A3668" t="s">
        <v>12703</v>
      </c>
      <c r="B3668" t="s">
        <v>10900</v>
      </c>
      <c r="C3668" t="s">
        <v>10943</v>
      </c>
      <c r="D3668" t="s">
        <v>11135</v>
      </c>
      <c r="E3668" t="s">
        <v>10946</v>
      </c>
      <c r="F3668" t="s">
        <v>11135</v>
      </c>
      <c r="G3668" s="1">
        <v>22300000</v>
      </c>
      <c r="H3668" s="2">
        <v>24862570.399999999</v>
      </c>
      <c r="I3668" s="2">
        <v>24227377.850000001</v>
      </c>
      <c r="J3668" s="2">
        <v>789053.42</v>
      </c>
      <c r="K3668" s="2">
        <v>0</v>
      </c>
      <c r="L3668" s="2">
        <v>25016431.27</v>
      </c>
      <c r="M3668" s="3">
        <v>8.2249999999999996</v>
      </c>
      <c r="N3668" s="4">
        <v>5.6915069999999998E-2</v>
      </c>
      <c r="O3668" s="5">
        <v>44733</v>
      </c>
      <c r="P3668" s="5">
        <v>46377</v>
      </c>
      <c r="Q3668" s="1">
        <v>10.5</v>
      </c>
      <c r="R3668" s="2">
        <v>3.72</v>
      </c>
      <c r="S3668" s="6">
        <v>3.572672968</v>
      </c>
      <c r="T3668" t="s">
        <v>111</v>
      </c>
      <c r="U3668" t="s">
        <v>111</v>
      </c>
      <c r="V3668" t="s">
        <v>10944</v>
      </c>
      <c r="W3668" t="s">
        <v>43</v>
      </c>
      <c r="X3668" t="s">
        <v>10945</v>
      </c>
      <c r="Y3668" t="s">
        <v>44</v>
      </c>
      <c r="Z3668" t="s">
        <v>44</v>
      </c>
      <c r="AA3668" t="s">
        <v>10913</v>
      </c>
      <c r="AB3668" t="s">
        <v>44</v>
      </c>
      <c r="AC3668" s="4">
        <v>8.3941265600000001</v>
      </c>
      <c r="AD3668" s="4">
        <v>8.0875032299999994</v>
      </c>
      <c r="AE3668" s="2">
        <v>8.39</v>
      </c>
      <c r="AF3668" s="4">
        <v>8.0875032299999994</v>
      </c>
      <c r="AG3668" s="2">
        <v>20.41</v>
      </c>
      <c r="AH3668" s="2">
        <v>25016431.27</v>
      </c>
      <c r="AI3668" s="2">
        <v>0.06</v>
      </c>
      <c r="AJ3668" s="5">
        <v>44673</v>
      </c>
      <c r="AK3668" t="s">
        <v>12704</v>
      </c>
      <c r="AL3668" s="2">
        <v>8.23</v>
      </c>
      <c r="AM3668" s="2">
        <v>10.5</v>
      </c>
      <c r="AN3668" s="2">
        <v>3.57</v>
      </c>
      <c r="AO3668" t="s">
        <v>10922</v>
      </c>
      <c r="AP3668" t="s">
        <v>11136</v>
      </c>
      <c r="AQ3668" t="s">
        <v>10946</v>
      </c>
    </row>
    <row r="3669" spans="1:43" x14ac:dyDescent="0.2">
      <c r="A3669" t="s">
        <v>12703</v>
      </c>
      <c r="B3669" t="s">
        <v>10900</v>
      </c>
      <c r="C3669" t="s">
        <v>10943</v>
      </c>
      <c r="D3669" t="s">
        <v>12863</v>
      </c>
      <c r="E3669" t="s">
        <v>12864</v>
      </c>
      <c r="F3669" t="s">
        <v>12863</v>
      </c>
      <c r="G3669" s="1">
        <v>2600000</v>
      </c>
      <c r="H3669" s="2">
        <v>2600000</v>
      </c>
      <c r="I3669" s="2">
        <v>2602953.33</v>
      </c>
      <c r="J3669" s="2">
        <v>9296.75</v>
      </c>
      <c r="K3669" s="2">
        <v>0</v>
      </c>
      <c r="L3669" s="2">
        <v>2612250.08</v>
      </c>
      <c r="M3669" s="3">
        <v>8.0409749999999995</v>
      </c>
      <c r="N3669" s="4">
        <v>5.9431500000000003E-3</v>
      </c>
      <c r="O3669" s="5">
        <v>44750</v>
      </c>
      <c r="P3669" s="5">
        <v>46485</v>
      </c>
      <c r="Q3669" s="1">
        <v>8.157</v>
      </c>
      <c r="R3669" s="2">
        <v>0.2</v>
      </c>
      <c r="S3669" s="6">
        <v>9.4975697833E-2</v>
      </c>
      <c r="T3669" t="s">
        <v>111</v>
      </c>
      <c r="U3669" t="s">
        <v>111</v>
      </c>
      <c r="V3669" t="s">
        <v>11189</v>
      </c>
      <c r="W3669" t="s">
        <v>43</v>
      </c>
      <c r="X3669" t="s">
        <v>11034</v>
      </c>
      <c r="Y3669" t="s">
        <v>44</v>
      </c>
      <c r="Z3669" t="s">
        <v>44</v>
      </c>
      <c r="AA3669" t="s">
        <v>11035</v>
      </c>
      <c r="AB3669" t="s">
        <v>44</v>
      </c>
      <c r="AC3669" s="4">
        <v>8.2026182599999995</v>
      </c>
      <c r="AD3669" s="4">
        <v>7.9094905600000001</v>
      </c>
      <c r="AE3669" s="2">
        <v>8.1999999999999993</v>
      </c>
      <c r="AF3669" s="4">
        <v>7.9094905600000001</v>
      </c>
      <c r="AG3669" s="2">
        <v>2.13</v>
      </c>
      <c r="AH3669" s="2">
        <v>2612250.08</v>
      </c>
      <c r="AI3669" s="2">
        <v>0.01</v>
      </c>
      <c r="AJ3669" s="5">
        <v>44673</v>
      </c>
      <c r="AK3669" t="s">
        <v>12704</v>
      </c>
      <c r="AL3669" s="2">
        <v>8.0399999999999991</v>
      </c>
      <c r="AM3669" s="2">
        <v>8.16</v>
      </c>
      <c r="AN3669" s="2">
        <v>0.09</v>
      </c>
      <c r="AO3669" t="s">
        <v>11496</v>
      </c>
      <c r="AP3669" t="s">
        <v>12865</v>
      </c>
      <c r="AQ3669" t="s">
        <v>12864</v>
      </c>
    </row>
    <row r="3670" spans="1:43" x14ac:dyDescent="0.2">
      <c r="A3670" t="s">
        <v>12703</v>
      </c>
      <c r="B3670" t="s">
        <v>10900</v>
      </c>
      <c r="C3670" t="s">
        <v>11137</v>
      </c>
      <c r="D3670" t="s">
        <v>11138</v>
      </c>
      <c r="E3670" t="s">
        <v>11139</v>
      </c>
      <c r="F3670" t="s">
        <v>11138</v>
      </c>
      <c r="G3670" s="1">
        <v>1070000</v>
      </c>
      <c r="H3670" s="2">
        <v>1053606.99</v>
      </c>
      <c r="I3670" s="2">
        <v>1023124.16</v>
      </c>
      <c r="J3670" s="2">
        <v>3693.7</v>
      </c>
      <c r="K3670" s="2">
        <v>0</v>
      </c>
      <c r="L3670" s="2">
        <v>1026817.86</v>
      </c>
      <c r="M3670" s="3">
        <v>11.316000000000001</v>
      </c>
      <c r="N3670" s="4">
        <v>2.3361200000000001E-3</v>
      </c>
      <c r="O3670" s="5">
        <v>44844</v>
      </c>
      <c r="P3670" s="5">
        <v>47765</v>
      </c>
      <c r="Q3670" s="1">
        <v>10.5</v>
      </c>
      <c r="R3670" s="2">
        <v>5.71</v>
      </c>
      <c r="S3670" s="6">
        <v>5.4077134439999996</v>
      </c>
      <c r="T3670" t="s">
        <v>111</v>
      </c>
      <c r="U3670" t="s">
        <v>111</v>
      </c>
      <c r="V3670" t="s">
        <v>10944</v>
      </c>
      <c r="W3670" t="s">
        <v>43</v>
      </c>
      <c r="X3670" t="s">
        <v>44</v>
      </c>
      <c r="Y3670" t="s">
        <v>44</v>
      </c>
      <c r="Z3670" t="s">
        <v>44</v>
      </c>
      <c r="AA3670" t="s">
        <v>10979</v>
      </c>
      <c r="AB3670" t="s">
        <v>44</v>
      </c>
      <c r="AC3670" s="4">
        <v>11.63612964</v>
      </c>
      <c r="AD3670" s="4">
        <v>11.058095140000001</v>
      </c>
      <c r="AE3670" s="2">
        <v>11.64</v>
      </c>
      <c r="AF3670" s="4">
        <v>11.058095140000001</v>
      </c>
      <c r="AG3670" s="2">
        <v>0.84</v>
      </c>
      <c r="AH3670" s="2">
        <v>1026817.86</v>
      </c>
      <c r="AI3670" s="2">
        <v>0</v>
      </c>
      <c r="AJ3670" s="5">
        <v>44673</v>
      </c>
      <c r="AK3670" t="s">
        <v>12704</v>
      </c>
      <c r="AL3670" s="2">
        <v>11.32</v>
      </c>
      <c r="AM3670" s="2">
        <v>10.5</v>
      </c>
      <c r="AN3670" s="2">
        <v>5.41</v>
      </c>
      <c r="AO3670" t="s">
        <v>10982</v>
      </c>
      <c r="AP3670" t="s">
        <v>11140</v>
      </c>
      <c r="AQ3670" t="s">
        <v>11139</v>
      </c>
    </row>
    <row r="3671" spans="1:43" x14ac:dyDescent="0.2">
      <c r="A3671" t="s">
        <v>12703</v>
      </c>
      <c r="B3671" t="s">
        <v>10900</v>
      </c>
      <c r="C3671" t="s">
        <v>10950</v>
      </c>
      <c r="D3671" t="s">
        <v>11141</v>
      </c>
      <c r="E3671" t="s">
        <v>11142</v>
      </c>
      <c r="F3671" t="s">
        <v>11141</v>
      </c>
      <c r="G3671" s="1">
        <v>2700000</v>
      </c>
      <c r="H3671" s="2">
        <v>2173852.59</v>
      </c>
      <c r="I3671" s="2">
        <v>2219363.2799999998</v>
      </c>
      <c r="J3671" s="2">
        <v>35743.17</v>
      </c>
      <c r="K3671" s="2">
        <v>0</v>
      </c>
      <c r="L3671" s="2">
        <v>2255106.4500000002</v>
      </c>
      <c r="M3671" s="3">
        <v>10.805</v>
      </c>
      <c r="N3671" s="4">
        <v>5.1306099999999999E-3</v>
      </c>
      <c r="O3671" s="5">
        <v>44804</v>
      </c>
      <c r="P3671" s="5">
        <v>54116</v>
      </c>
      <c r="Q3671" s="1">
        <v>8.75</v>
      </c>
      <c r="R3671" s="2">
        <v>9.2200000000000006</v>
      </c>
      <c r="S3671" s="6">
        <v>8.7507641760000006</v>
      </c>
      <c r="T3671" t="s">
        <v>111</v>
      </c>
      <c r="U3671" t="s">
        <v>111</v>
      </c>
      <c r="V3671" t="s">
        <v>10944</v>
      </c>
      <c r="W3671" t="s">
        <v>43</v>
      </c>
      <c r="X3671" t="s">
        <v>10945</v>
      </c>
      <c r="Y3671" t="s">
        <v>44</v>
      </c>
      <c r="Z3671" t="s">
        <v>44</v>
      </c>
      <c r="AA3671" t="s">
        <v>10913</v>
      </c>
      <c r="AB3671" t="s">
        <v>44</v>
      </c>
      <c r="AC3671" s="4">
        <v>11.096870060000001</v>
      </c>
      <c r="AD3671" s="4">
        <v>10.56950999</v>
      </c>
      <c r="AE3671" s="2">
        <v>11.1</v>
      </c>
      <c r="AF3671" s="4">
        <v>10.56950999</v>
      </c>
      <c r="AG3671" s="2">
        <v>1.84</v>
      </c>
      <c r="AH3671" s="2">
        <v>2255106.4500000002</v>
      </c>
      <c r="AI3671" s="2">
        <v>0.01</v>
      </c>
      <c r="AJ3671" s="5">
        <v>44673</v>
      </c>
      <c r="AK3671" t="s">
        <v>12704</v>
      </c>
      <c r="AL3671" s="2">
        <v>10.8</v>
      </c>
      <c r="AM3671" s="2">
        <v>8.75</v>
      </c>
      <c r="AN3671" s="2">
        <v>8.75</v>
      </c>
      <c r="AO3671" t="s">
        <v>10922</v>
      </c>
      <c r="AP3671" t="s">
        <v>11143</v>
      </c>
      <c r="AQ3671" t="s">
        <v>11142</v>
      </c>
    </row>
    <row r="3672" spans="1:43" x14ac:dyDescent="0.2">
      <c r="A3672" t="s">
        <v>12703</v>
      </c>
      <c r="B3672" t="s">
        <v>10900</v>
      </c>
      <c r="C3672" t="s">
        <v>10950</v>
      </c>
      <c r="D3672" t="s">
        <v>10983</v>
      </c>
      <c r="E3672" t="s">
        <v>10984</v>
      </c>
      <c r="F3672" t="s">
        <v>10983</v>
      </c>
      <c r="G3672" s="1">
        <v>2500000</v>
      </c>
      <c r="H3672" s="2">
        <v>2074419.31</v>
      </c>
      <c r="I3672" s="2">
        <v>2090331.25</v>
      </c>
      <c r="J3672" s="2">
        <v>46971.26</v>
      </c>
      <c r="K3672" s="2">
        <v>0</v>
      </c>
      <c r="L3672" s="2">
        <v>2137302.5099999998</v>
      </c>
      <c r="M3672" s="3">
        <v>10.734999999999999</v>
      </c>
      <c r="N3672" s="4">
        <v>4.86259E-3</v>
      </c>
      <c r="O3672" s="5">
        <v>44774</v>
      </c>
      <c r="P3672" s="5">
        <v>50071</v>
      </c>
      <c r="Q3672" s="1">
        <v>8.5</v>
      </c>
      <c r="R3672" s="2">
        <v>7.91</v>
      </c>
      <c r="S3672" s="6">
        <v>7.5106016819999999</v>
      </c>
      <c r="T3672" t="s">
        <v>111</v>
      </c>
      <c r="U3672" t="s">
        <v>111</v>
      </c>
      <c r="V3672" t="s">
        <v>10944</v>
      </c>
      <c r="W3672" t="s">
        <v>43</v>
      </c>
      <c r="X3672" t="s">
        <v>10945</v>
      </c>
      <c r="Y3672" t="s">
        <v>44</v>
      </c>
      <c r="Z3672" t="s">
        <v>44</v>
      </c>
      <c r="AA3672" t="s">
        <v>10913</v>
      </c>
      <c r="AB3672" t="s">
        <v>44</v>
      </c>
      <c r="AC3672" s="4">
        <v>11.02310056</v>
      </c>
      <c r="AD3672" s="4">
        <v>10.50250368</v>
      </c>
      <c r="AE3672" s="2">
        <v>11.02</v>
      </c>
      <c r="AF3672" s="4">
        <v>10.50250368</v>
      </c>
      <c r="AG3672" s="2">
        <v>1.74</v>
      </c>
      <c r="AH3672" s="2">
        <v>2137302.5099999998</v>
      </c>
      <c r="AI3672" s="2">
        <v>0</v>
      </c>
      <c r="AJ3672" s="5">
        <v>44673</v>
      </c>
      <c r="AK3672" t="s">
        <v>12704</v>
      </c>
      <c r="AL3672" s="2">
        <v>10.73</v>
      </c>
      <c r="AM3672" s="2">
        <v>8.5</v>
      </c>
      <c r="AN3672" s="2">
        <v>7.51</v>
      </c>
      <c r="AO3672" t="s">
        <v>10922</v>
      </c>
      <c r="AP3672" t="s">
        <v>10985</v>
      </c>
      <c r="AQ3672" t="s">
        <v>10984</v>
      </c>
    </row>
    <row r="3673" spans="1:43" x14ac:dyDescent="0.2">
      <c r="A3673" t="s">
        <v>12703</v>
      </c>
      <c r="B3673" t="s">
        <v>10900</v>
      </c>
      <c r="C3673" t="s">
        <v>10950</v>
      </c>
      <c r="D3673" t="s">
        <v>10986</v>
      </c>
      <c r="E3673" t="s">
        <v>10987</v>
      </c>
      <c r="F3673" t="s">
        <v>10986</v>
      </c>
      <c r="G3673" s="1">
        <v>3150000</v>
      </c>
      <c r="H3673" s="2">
        <v>2907678.01</v>
      </c>
      <c r="I3673" s="2">
        <v>2848942.22</v>
      </c>
      <c r="J3673" s="2">
        <v>12988.36</v>
      </c>
      <c r="K3673" s="2">
        <v>0</v>
      </c>
      <c r="L3673" s="2">
        <v>2861930.58</v>
      </c>
      <c r="M3673" s="3">
        <v>12.05</v>
      </c>
      <c r="N3673" s="4">
        <v>6.5112E-3</v>
      </c>
      <c r="O3673" s="5">
        <v>44844</v>
      </c>
      <c r="P3673" s="5">
        <v>51418</v>
      </c>
      <c r="Q3673" s="1">
        <v>10.75</v>
      </c>
      <c r="R3673" s="2">
        <v>7.89</v>
      </c>
      <c r="S3673" s="6">
        <v>7.4432483840000003</v>
      </c>
      <c r="T3673" t="s">
        <v>111</v>
      </c>
      <c r="U3673" t="s">
        <v>111</v>
      </c>
      <c r="V3673" t="s">
        <v>10944</v>
      </c>
      <c r="W3673" t="s">
        <v>43</v>
      </c>
      <c r="X3673" t="s">
        <v>10988</v>
      </c>
      <c r="Y3673" t="s">
        <v>44</v>
      </c>
      <c r="Z3673" t="s">
        <v>44</v>
      </c>
      <c r="AA3673" t="s">
        <v>10979</v>
      </c>
      <c r="AB3673" t="s">
        <v>44</v>
      </c>
      <c r="AC3673" s="4">
        <v>12.41300625</v>
      </c>
      <c r="AD3673" s="4">
        <v>11.758178470000001</v>
      </c>
      <c r="AE3673" s="2">
        <v>12.41</v>
      </c>
      <c r="AF3673" s="4">
        <v>11.758178470000001</v>
      </c>
      <c r="AG3673" s="2">
        <v>2.34</v>
      </c>
      <c r="AH3673" s="2">
        <v>2861930.58</v>
      </c>
      <c r="AI3673" s="2">
        <v>0.01</v>
      </c>
      <c r="AJ3673" s="5">
        <v>44673</v>
      </c>
      <c r="AK3673" t="s">
        <v>12704</v>
      </c>
      <c r="AL3673" s="2">
        <v>12.05</v>
      </c>
      <c r="AM3673" s="2">
        <v>10.75</v>
      </c>
      <c r="AN3673" s="2">
        <v>7.44</v>
      </c>
      <c r="AO3673" t="s">
        <v>10982</v>
      </c>
      <c r="AP3673" t="s">
        <v>10989</v>
      </c>
      <c r="AQ3673" t="s">
        <v>10987</v>
      </c>
    </row>
    <row r="3674" spans="1:43" x14ac:dyDescent="0.2">
      <c r="A3674" t="s">
        <v>12703</v>
      </c>
      <c r="B3674" t="s">
        <v>10900</v>
      </c>
      <c r="C3674" t="s">
        <v>10990</v>
      </c>
      <c r="D3674" t="s">
        <v>10991</v>
      </c>
      <c r="E3674" t="s">
        <v>1153</v>
      </c>
      <c r="F3674" t="s">
        <v>10991</v>
      </c>
      <c r="G3674" s="1">
        <v>2360000</v>
      </c>
      <c r="H3674" s="2">
        <v>3039085.8</v>
      </c>
      <c r="I3674" s="2">
        <v>3051735.06</v>
      </c>
      <c r="J3674" s="2">
        <v>19114.14</v>
      </c>
      <c r="K3674" s="2">
        <v>0</v>
      </c>
      <c r="L3674" s="2">
        <v>3070849.2</v>
      </c>
      <c r="M3674" s="3">
        <v>3.9</v>
      </c>
      <c r="N3674" s="4">
        <v>6.9865099999999996E-3</v>
      </c>
      <c r="O3674" s="5">
        <v>44774</v>
      </c>
      <c r="P3674" s="5">
        <v>50436</v>
      </c>
      <c r="Q3674" s="1">
        <v>2.25</v>
      </c>
      <c r="R3674" s="2">
        <v>12.94</v>
      </c>
      <c r="S3674" s="6">
        <v>12.689805079999999</v>
      </c>
      <c r="T3674" t="s">
        <v>111</v>
      </c>
      <c r="U3674" t="s">
        <v>111</v>
      </c>
      <c r="V3674" t="s">
        <v>10992</v>
      </c>
      <c r="W3674" t="s">
        <v>43</v>
      </c>
      <c r="X3674" t="s">
        <v>10945</v>
      </c>
      <c r="Y3674" t="s">
        <v>44</v>
      </c>
      <c r="Z3674" t="s">
        <v>44</v>
      </c>
      <c r="AA3674" t="s">
        <v>10913</v>
      </c>
      <c r="AB3674" t="s">
        <v>44</v>
      </c>
      <c r="AC3674" s="4">
        <v>3.9380250000000001</v>
      </c>
      <c r="AD3674" s="4">
        <v>3.8686849699999999</v>
      </c>
      <c r="AE3674" s="2">
        <v>3.94</v>
      </c>
      <c r="AF3674" s="4">
        <v>3.8686849699999999</v>
      </c>
      <c r="AG3674" s="2">
        <v>2.5099999999999998</v>
      </c>
      <c r="AH3674" s="2">
        <v>3070849.2</v>
      </c>
      <c r="AI3674" s="2">
        <v>0.01</v>
      </c>
      <c r="AJ3674" s="5">
        <v>44673</v>
      </c>
      <c r="AK3674" t="s">
        <v>12704</v>
      </c>
      <c r="AL3674" s="2">
        <v>3.9</v>
      </c>
      <c r="AM3674" s="2">
        <v>2.25</v>
      </c>
      <c r="AN3674" s="2">
        <v>12.69</v>
      </c>
      <c r="AO3674" t="s">
        <v>10922</v>
      </c>
      <c r="AP3674" t="s">
        <v>10993</v>
      </c>
      <c r="AQ3674" t="s">
        <v>1153</v>
      </c>
    </row>
    <row r="3675" spans="1:43" x14ac:dyDescent="0.2">
      <c r="A3675" t="s">
        <v>12703</v>
      </c>
      <c r="B3675" t="s">
        <v>10900</v>
      </c>
      <c r="C3675" t="s">
        <v>10990</v>
      </c>
      <c r="D3675" t="s">
        <v>10994</v>
      </c>
      <c r="E3675" t="s">
        <v>1190</v>
      </c>
      <c r="F3675" t="s">
        <v>10994</v>
      </c>
      <c r="G3675" s="1">
        <v>2560000</v>
      </c>
      <c r="H3675" s="2">
        <v>3009782.9</v>
      </c>
      <c r="I3675" s="2">
        <v>3028826.17</v>
      </c>
      <c r="J3675" s="2">
        <v>6090.34</v>
      </c>
      <c r="K3675" s="2">
        <v>0</v>
      </c>
      <c r="L3675" s="2">
        <v>3034916.51</v>
      </c>
      <c r="M3675" s="3">
        <v>3.9</v>
      </c>
      <c r="N3675" s="4">
        <v>6.9047600000000002E-3</v>
      </c>
      <c r="O3675" s="5">
        <v>44834</v>
      </c>
      <c r="P3675" s="5">
        <v>53417</v>
      </c>
      <c r="Q3675" s="1">
        <v>2.5</v>
      </c>
      <c r="R3675" s="2">
        <v>17.22</v>
      </c>
      <c r="S3675" s="6">
        <v>16.886631569999999</v>
      </c>
      <c r="T3675" t="s">
        <v>111</v>
      </c>
      <c r="U3675" t="s">
        <v>111</v>
      </c>
      <c r="V3675" t="s">
        <v>10992</v>
      </c>
      <c r="W3675" t="s">
        <v>43</v>
      </c>
      <c r="X3675" t="s">
        <v>10945</v>
      </c>
      <c r="Y3675" t="s">
        <v>44</v>
      </c>
      <c r="Z3675" t="s">
        <v>44</v>
      </c>
      <c r="AA3675" t="s">
        <v>10913</v>
      </c>
      <c r="AB3675" t="s">
        <v>44</v>
      </c>
      <c r="AC3675" s="4">
        <v>3.9380250000000001</v>
      </c>
      <c r="AD3675" s="4">
        <v>3.8686849699999999</v>
      </c>
      <c r="AE3675" s="2">
        <v>3.94</v>
      </c>
      <c r="AF3675" s="4">
        <v>3.8686849699999999</v>
      </c>
      <c r="AG3675" s="2">
        <v>2.48</v>
      </c>
      <c r="AH3675" s="2">
        <v>3034916.51</v>
      </c>
      <c r="AI3675" s="2">
        <v>0.01</v>
      </c>
      <c r="AJ3675" s="5">
        <v>44673</v>
      </c>
      <c r="AK3675" t="s">
        <v>12704</v>
      </c>
      <c r="AL3675" s="2">
        <v>3.9</v>
      </c>
      <c r="AM3675" s="2">
        <v>2.5</v>
      </c>
      <c r="AN3675" s="2">
        <v>16.89</v>
      </c>
      <c r="AO3675" t="s">
        <v>10922</v>
      </c>
      <c r="AP3675" t="s">
        <v>10995</v>
      </c>
      <c r="AQ3675" t="s">
        <v>1190</v>
      </c>
    </row>
    <row r="3676" spans="1:43" x14ac:dyDescent="0.2">
      <c r="A3676" t="s">
        <v>12703</v>
      </c>
      <c r="B3676" t="s">
        <v>10900</v>
      </c>
      <c r="C3676" t="s">
        <v>10990</v>
      </c>
      <c r="D3676" t="s">
        <v>10996</v>
      </c>
      <c r="E3676" t="s">
        <v>1160</v>
      </c>
      <c r="F3676" t="s">
        <v>10996</v>
      </c>
      <c r="G3676" s="1">
        <v>2830000</v>
      </c>
      <c r="H3676" s="2">
        <v>3425594.2</v>
      </c>
      <c r="I3676" s="2">
        <v>3441307.43</v>
      </c>
      <c r="J3676" s="2">
        <v>35063.22</v>
      </c>
      <c r="K3676" s="2">
        <v>0</v>
      </c>
      <c r="L3676" s="2">
        <v>3476370.65</v>
      </c>
      <c r="M3676" s="3">
        <v>3.9</v>
      </c>
      <c r="N3676" s="4">
        <v>7.9091200000000004E-3</v>
      </c>
      <c r="O3676" s="5">
        <v>44742</v>
      </c>
      <c r="P3676" s="5">
        <v>55153</v>
      </c>
      <c r="Q3676" s="1">
        <v>2.5</v>
      </c>
      <c r="R3676" s="2">
        <v>19.05</v>
      </c>
      <c r="S3676" s="6">
        <v>18.689623709999999</v>
      </c>
      <c r="T3676" t="s">
        <v>111</v>
      </c>
      <c r="U3676" t="s">
        <v>111</v>
      </c>
      <c r="V3676" t="s">
        <v>10992</v>
      </c>
      <c r="W3676" t="s">
        <v>43</v>
      </c>
      <c r="X3676" t="s">
        <v>10945</v>
      </c>
      <c r="Y3676" t="s">
        <v>44</v>
      </c>
      <c r="Z3676" t="s">
        <v>44</v>
      </c>
      <c r="AA3676" t="s">
        <v>10913</v>
      </c>
      <c r="AB3676" t="s">
        <v>44</v>
      </c>
      <c r="AC3676" s="4">
        <v>3.9380250000000001</v>
      </c>
      <c r="AD3676" s="4">
        <v>3.8686849699999999</v>
      </c>
      <c r="AE3676" s="2">
        <v>3.94</v>
      </c>
      <c r="AF3676" s="4">
        <v>3.8686849699999999</v>
      </c>
      <c r="AG3676" s="2">
        <v>2.84</v>
      </c>
      <c r="AH3676" s="2">
        <v>3476370.65</v>
      </c>
      <c r="AI3676" s="2">
        <v>0.01</v>
      </c>
      <c r="AJ3676" s="5">
        <v>44673</v>
      </c>
      <c r="AK3676" t="s">
        <v>12704</v>
      </c>
      <c r="AL3676" s="2">
        <v>3.9</v>
      </c>
      <c r="AM3676" s="2">
        <v>2.5</v>
      </c>
      <c r="AN3676" s="2">
        <v>18.690000000000001</v>
      </c>
      <c r="AO3676" t="s">
        <v>10922</v>
      </c>
      <c r="AP3676" t="s">
        <v>10997</v>
      </c>
      <c r="AQ3676" t="s">
        <v>1160</v>
      </c>
    </row>
    <row r="3677" spans="1:43" x14ac:dyDescent="0.2">
      <c r="A3677" t="s">
        <v>12703</v>
      </c>
      <c r="B3677" t="s">
        <v>10900</v>
      </c>
      <c r="C3677" t="s">
        <v>10990</v>
      </c>
      <c r="D3677" t="s">
        <v>10998</v>
      </c>
      <c r="E3677" t="s">
        <v>1197</v>
      </c>
      <c r="F3677" t="s">
        <v>10998</v>
      </c>
      <c r="G3677" s="1">
        <v>2680000</v>
      </c>
      <c r="H3677" s="2">
        <v>3041786.13</v>
      </c>
      <c r="I3677" s="2">
        <v>3033047.5</v>
      </c>
      <c r="J3677" s="2">
        <v>10154.73</v>
      </c>
      <c r="K3677" s="2">
        <v>0</v>
      </c>
      <c r="L3677" s="2">
        <v>3043202.23</v>
      </c>
      <c r="M3677" s="3">
        <v>3.82</v>
      </c>
      <c r="N3677" s="4">
        <v>6.9236100000000002E-3</v>
      </c>
      <c r="O3677" s="5">
        <v>44804</v>
      </c>
      <c r="P3677" s="5">
        <v>48638</v>
      </c>
      <c r="Q3677" s="1">
        <v>1.875</v>
      </c>
      <c r="R3677" s="2">
        <v>9.7100000000000009</v>
      </c>
      <c r="S3677" s="6">
        <v>9.5277218819999998</v>
      </c>
      <c r="T3677" t="s">
        <v>111</v>
      </c>
      <c r="U3677" t="s">
        <v>111</v>
      </c>
      <c r="V3677" t="s">
        <v>10992</v>
      </c>
      <c r="W3677" t="s">
        <v>43</v>
      </c>
      <c r="X3677" t="s">
        <v>10945</v>
      </c>
      <c r="Y3677" t="s">
        <v>44</v>
      </c>
      <c r="Z3677" t="s">
        <v>44</v>
      </c>
      <c r="AA3677" t="s">
        <v>10913</v>
      </c>
      <c r="AB3677" t="s">
        <v>44</v>
      </c>
      <c r="AC3677" s="4">
        <v>3.856481</v>
      </c>
      <c r="AD3677" s="4">
        <v>3.7899492800000001</v>
      </c>
      <c r="AE3677" s="2">
        <v>3.86</v>
      </c>
      <c r="AF3677" s="4">
        <v>3.7899492800000001</v>
      </c>
      <c r="AG3677" s="2">
        <v>2.48</v>
      </c>
      <c r="AH3677" s="2">
        <v>3043202.23</v>
      </c>
      <c r="AI3677" s="2">
        <v>0.01</v>
      </c>
      <c r="AJ3677" s="5">
        <v>44673</v>
      </c>
      <c r="AK3677" t="s">
        <v>12704</v>
      </c>
      <c r="AL3677" s="2">
        <v>3.82</v>
      </c>
      <c r="AM3677" s="2">
        <v>1.88</v>
      </c>
      <c r="AN3677" s="2">
        <v>9.5299999999999994</v>
      </c>
      <c r="AO3677" t="s">
        <v>10922</v>
      </c>
      <c r="AP3677" t="s">
        <v>10999</v>
      </c>
      <c r="AQ3677" t="s">
        <v>1197</v>
      </c>
    </row>
    <row r="3678" spans="1:43" x14ac:dyDescent="0.2">
      <c r="A3678" t="s">
        <v>12703</v>
      </c>
      <c r="B3678" t="s">
        <v>45</v>
      </c>
      <c r="C3678" t="s">
        <v>11000</v>
      </c>
      <c r="D3678" t="s">
        <v>11001</v>
      </c>
      <c r="E3678" t="s">
        <v>11002</v>
      </c>
      <c r="F3678" t="s">
        <v>11001</v>
      </c>
      <c r="G3678" s="1">
        <v>3212460.18</v>
      </c>
      <c r="H3678" s="2">
        <v>3212460.19</v>
      </c>
      <c r="I3678" s="2">
        <v>3212460.19</v>
      </c>
      <c r="J3678" s="2">
        <v>11147.43</v>
      </c>
      <c r="K3678" s="2">
        <v>0</v>
      </c>
      <c r="L3678" s="2">
        <v>3223607.62</v>
      </c>
      <c r="M3678" s="3"/>
      <c r="N3678" s="4">
        <v>7.3340499999999999E-3</v>
      </c>
      <c r="O3678" s="5">
        <v>40756</v>
      </c>
      <c r="P3678" s="5">
        <v>73020</v>
      </c>
      <c r="Q3678" s="1">
        <v>0</v>
      </c>
      <c r="R3678" s="2"/>
      <c r="S3678" s="6"/>
      <c r="T3678" t="s">
        <v>111</v>
      </c>
      <c r="U3678" t="s">
        <v>11003</v>
      </c>
      <c r="V3678" t="s">
        <v>46</v>
      </c>
      <c r="W3678" t="s">
        <v>43</v>
      </c>
      <c r="X3678" t="s">
        <v>44</v>
      </c>
      <c r="Y3678" t="s">
        <v>44</v>
      </c>
      <c r="Z3678" t="s">
        <v>44</v>
      </c>
      <c r="AA3678" t="s">
        <v>44</v>
      </c>
      <c r="AB3678" t="s">
        <v>44</v>
      </c>
      <c r="AC3678" s="4"/>
      <c r="AD3678" s="4"/>
      <c r="AE3678" s="2">
        <v>0</v>
      </c>
      <c r="AF3678" s="4">
        <v>0</v>
      </c>
      <c r="AG3678" s="2">
        <v>2.63</v>
      </c>
      <c r="AH3678" s="2">
        <v>3223607.62</v>
      </c>
      <c r="AI3678" s="2">
        <v>0.01</v>
      </c>
      <c r="AJ3678" s="5">
        <v>44673</v>
      </c>
      <c r="AK3678" t="s">
        <v>12704</v>
      </c>
      <c r="AL3678" s="2">
        <v>0</v>
      </c>
      <c r="AM3678" s="2">
        <v>0</v>
      </c>
      <c r="AN3678" s="2">
        <v>0</v>
      </c>
      <c r="AO3678" t="s">
        <v>44</v>
      </c>
      <c r="AP3678" t="s">
        <v>11004</v>
      </c>
      <c r="AQ3678" t="s">
        <v>11002</v>
      </c>
    </row>
    <row r="3679" spans="1:43" x14ac:dyDescent="0.2">
      <c r="A3679" t="s">
        <v>12703</v>
      </c>
      <c r="B3679" t="s">
        <v>45</v>
      </c>
      <c r="C3679" t="s">
        <v>11144</v>
      </c>
      <c r="D3679" t="s">
        <v>11145</v>
      </c>
      <c r="E3679" t="s">
        <v>11146</v>
      </c>
      <c r="F3679" t="s">
        <v>11147</v>
      </c>
      <c r="G3679" s="1">
        <v>4084782</v>
      </c>
      <c r="H3679" s="2">
        <v>4084782</v>
      </c>
      <c r="I3679" s="2">
        <v>4084782</v>
      </c>
      <c r="J3679" s="2">
        <v>13515.55</v>
      </c>
      <c r="K3679" s="2">
        <v>0</v>
      </c>
      <c r="L3679" s="2">
        <v>4098297.55</v>
      </c>
      <c r="M3679" s="3">
        <v>6.88</v>
      </c>
      <c r="N3679" s="4">
        <v>9.3240700000000003E-3</v>
      </c>
      <c r="O3679" s="5" t="s">
        <v>44</v>
      </c>
      <c r="P3679" s="5">
        <v>55153</v>
      </c>
      <c r="Q3679" s="1">
        <v>6.88</v>
      </c>
      <c r="R3679" s="2">
        <v>0.08</v>
      </c>
      <c r="S3679" s="6">
        <v>2.6006750000000002E-3</v>
      </c>
      <c r="T3679" t="s">
        <v>112</v>
      </c>
      <c r="U3679" t="s">
        <v>46</v>
      </c>
      <c r="V3679" t="s">
        <v>11148</v>
      </c>
      <c r="W3679" t="s">
        <v>43</v>
      </c>
      <c r="X3679" t="s">
        <v>44</v>
      </c>
      <c r="Y3679" t="s">
        <v>44</v>
      </c>
      <c r="Z3679" t="s">
        <v>44</v>
      </c>
      <c r="AA3679" t="s">
        <v>44</v>
      </c>
      <c r="AB3679" t="s">
        <v>44</v>
      </c>
      <c r="AC3679" s="4"/>
      <c r="AD3679" s="4"/>
      <c r="AE3679" s="2">
        <v>0</v>
      </c>
      <c r="AF3679" s="4">
        <v>0</v>
      </c>
      <c r="AG3679" s="2">
        <v>3.34</v>
      </c>
      <c r="AH3679" s="2">
        <v>4098297.55</v>
      </c>
      <c r="AI3679" s="2">
        <v>0.01</v>
      </c>
      <c r="AJ3679" s="5">
        <v>44673</v>
      </c>
      <c r="AK3679" t="s">
        <v>12704</v>
      </c>
      <c r="AL3679" s="2">
        <v>0</v>
      </c>
      <c r="AM3679" s="2">
        <v>6.88</v>
      </c>
      <c r="AN3679" s="2">
        <v>0</v>
      </c>
      <c r="AO3679" t="s">
        <v>11146</v>
      </c>
      <c r="AP3679" t="s">
        <v>44</v>
      </c>
      <c r="AQ3679" t="s">
        <v>11146</v>
      </c>
    </row>
    <row r="3680" spans="1:43" x14ac:dyDescent="0.2">
      <c r="A3680" t="s">
        <v>12703</v>
      </c>
      <c r="B3680" t="s">
        <v>45</v>
      </c>
      <c r="C3680" t="s">
        <v>47</v>
      </c>
      <c r="D3680" t="s">
        <v>48</v>
      </c>
      <c r="E3680" t="s">
        <v>49</v>
      </c>
      <c r="F3680" t="s">
        <v>50</v>
      </c>
      <c r="G3680" s="1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1094.72</v>
      </c>
      <c r="M3680" s="3"/>
      <c r="N3680" s="4">
        <v>2.4899999999999999E-6</v>
      </c>
      <c r="O3680" s="5" t="s">
        <v>44</v>
      </c>
      <c r="P3680" s="5" t="s">
        <v>44</v>
      </c>
      <c r="Q3680" s="1"/>
      <c r="R3680" s="2">
        <v>0.08</v>
      </c>
      <c r="S3680" s="6"/>
      <c r="T3680" t="s">
        <v>45</v>
      </c>
      <c r="U3680" t="s">
        <v>46</v>
      </c>
      <c r="V3680" t="s">
        <v>44</v>
      </c>
      <c r="W3680" t="s">
        <v>43</v>
      </c>
      <c r="X3680" t="s">
        <v>44</v>
      </c>
      <c r="Y3680" t="s">
        <v>44</v>
      </c>
      <c r="Z3680" t="s">
        <v>44</v>
      </c>
      <c r="AA3680" t="s">
        <v>44</v>
      </c>
      <c r="AB3680" t="s">
        <v>44</v>
      </c>
      <c r="AC3680" s="4">
        <v>5.1163389600000002</v>
      </c>
      <c r="AD3680" s="4">
        <v>5.0001424999999999</v>
      </c>
      <c r="AE3680" s="2">
        <v>5.12</v>
      </c>
      <c r="AF3680" s="4">
        <v>5.0001424999999999</v>
      </c>
      <c r="AG3680" s="2">
        <v>0</v>
      </c>
      <c r="AH3680" s="2">
        <v>1094.72</v>
      </c>
      <c r="AI3680" s="2">
        <v>0</v>
      </c>
      <c r="AJ3680" s="5">
        <v>44673</v>
      </c>
      <c r="AK3680" t="s">
        <v>12704</v>
      </c>
      <c r="AL3680" s="2">
        <v>5.05</v>
      </c>
      <c r="AM3680" s="2">
        <v>0</v>
      </c>
      <c r="AN3680" s="2">
        <v>0</v>
      </c>
      <c r="AO3680" t="s">
        <v>44</v>
      </c>
      <c r="AP3680" t="s">
        <v>44</v>
      </c>
      <c r="AQ3680" t="s">
        <v>44</v>
      </c>
    </row>
    <row r="3681" spans="1:43" x14ac:dyDescent="0.2">
      <c r="A3681" t="s">
        <v>12703</v>
      </c>
      <c r="B3681" t="s">
        <v>45</v>
      </c>
      <c r="C3681" t="s">
        <v>47</v>
      </c>
      <c r="D3681" t="s">
        <v>51</v>
      </c>
      <c r="E3681" t="s">
        <v>52</v>
      </c>
      <c r="F3681" t="s">
        <v>51</v>
      </c>
      <c r="G3681" s="1">
        <v>1066038.1100000001</v>
      </c>
      <c r="H3681" s="2">
        <v>1066038.1100000001</v>
      </c>
      <c r="I3681" s="2">
        <v>1066038.1100000001</v>
      </c>
      <c r="J3681" s="2">
        <v>0</v>
      </c>
      <c r="K3681" s="2">
        <v>0</v>
      </c>
      <c r="L3681" s="2">
        <v>1066038.1100000001</v>
      </c>
      <c r="M3681" s="3"/>
      <c r="N3681" s="4">
        <v>2.4253500000000002E-3</v>
      </c>
      <c r="O3681" s="5" t="s">
        <v>44</v>
      </c>
      <c r="P3681" s="5" t="s">
        <v>44</v>
      </c>
      <c r="Q3681" s="1"/>
      <c r="R3681" s="2">
        <v>0.08</v>
      </c>
      <c r="S3681" s="6"/>
      <c r="T3681" t="s">
        <v>45</v>
      </c>
      <c r="U3681" t="s">
        <v>53</v>
      </c>
      <c r="V3681" t="s">
        <v>44</v>
      </c>
      <c r="W3681" t="s">
        <v>43</v>
      </c>
      <c r="X3681" t="s">
        <v>44</v>
      </c>
      <c r="Y3681" t="s">
        <v>44</v>
      </c>
      <c r="Z3681" t="s">
        <v>44</v>
      </c>
      <c r="AA3681" t="s">
        <v>44</v>
      </c>
      <c r="AB3681" t="s">
        <v>44</v>
      </c>
      <c r="AC3681" s="4">
        <v>5.1163389600000002</v>
      </c>
      <c r="AD3681" s="4">
        <v>5.0001424999999999</v>
      </c>
      <c r="AE3681" s="2">
        <v>5.12</v>
      </c>
      <c r="AF3681" s="4">
        <v>5.0001424999999999</v>
      </c>
      <c r="AG3681" s="2">
        <v>0.87</v>
      </c>
      <c r="AH3681" s="2">
        <v>1066038.1100000001</v>
      </c>
      <c r="AI3681" s="2">
        <v>0</v>
      </c>
      <c r="AJ3681" s="5">
        <v>44673</v>
      </c>
      <c r="AK3681" t="s">
        <v>12704</v>
      </c>
      <c r="AL3681" s="2">
        <v>5.05</v>
      </c>
      <c r="AM3681" s="2">
        <v>0</v>
      </c>
      <c r="AN3681" s="2">
        <v>0</v>
      </c>
      <c r="AO3681" t="s">
        <v>44</v>
      </c>
      <c r="AP3681" t="s">
        <v>44</v>
      </c>
      <c r="AQ3681" t="s">
        <v>43</v>
      </c>
    </row>
    <row r="3682" spans="1:43" x14ac:dyDescent="0.2">
      <c r="A3682" t="s">
        <v>12703</v>
      </c>
      <c r="B3682" t="s">
        <v>45</v>
      </c>
      <c r="C3682" t="s">
        <v>11005</v>
      </c>
      <c r="D3682" t="s">
        <v>11149</v>
      </c>
      <c r="E3682" t="s">
        <v>11150</v>
      </c>
      <c r="F3682" t="s">
        <v>44</v>
      </c>
      <c r="G3682" s="1">
        <v>-1108842.92</v>
      </c>
      <c r="H3682" s="2">
        <v>-1108842.92</v>
      </c>
      <c r="I3682" s="2">
        <v>-1108842.92</v>
      </c>
      <c r="J3682" s="2">
        <v>0</v>
      </c>
      <c r="K3682" s="2"/>
      <c r="L3682" s="2">
        <v>-1108842.92</v>
      </c>
      <c r="M3682" s="3"/>
      <c r="N3682" s="4">
        <v>-2.5227399999999999E-3</v>
      </c>
      <c r="O3682" s="5" t="s">
        <v>44</v>
      </c>
      <c r="P3682" s="5">
        <v>73051</v>
      </c>
      <c r="Q3682" s="1">
        <v>0</v>
      </c>
      <c r="R3682" s="2">
        <v>0.08</v>
      </c>
      <c r="S3682" s="6"/>
      <c r="T3682" t="s">
        <v>45</v>
      </c>
      <c r="U3682" t="s">
        <v>44</v>
      </c>
      <c r="V3682" t="s">
        <v>44</v>
      </c>
      <c r="W3682" t="s">
        <v>43</v>
      </c>
      <c r="X3682" t="s">
        <v>44</v>
      </c>
      <c r="Y3682" t="s">
        <v>44</v>
      </c>
      <c r="Z3682" t="s">
        <v>44</v>
      </c>
      <c r="AA3682" t="s">
        <v>44</v>
      </c>
      <c r="AB3682" t="s">
        <v>44</v>
      </c>
      <c r="AC3682" s="4">
        <v>5.1163389600000002</v>
      </c>
      <c r="AD3682" s="4">
        <v>5.0001424999999999</v>
      </c>
      <c r="AE3682" s="2">
        <v>5.12</v>
      </c>
      <c r="AF3682" s="4">
        <v>5.0001424999999999</v>
      </c>
      <c r="AG3682" s="2">
        <v>-0.9</v>
      </c>
      <c r="AH3682" s="2">
        <v>-1108842.92</v>
      </c>
      <c r="AI3682" s="2">
        <v>0</v>
      </c>
      <c r="AJ3682" s="5">
        <v>44673</v>
      </c>
      <c r="AK3682" t="s">
        <v>12704</v>
      </c>
      <c r="AL3682" s="2">
        <v>5.05</v>
      </c>
      <c r="AM3682" s="2">
        <v>0</v>
      </c>
      <c r="AN3682" s="2">
        <v>0</v>
      </c>
      <c r="AO3682" t="s">
        <v>44</v>
      </c>
      <c r="AP3682" t="s">
        <v>44</v>
      </c>
      <c r="AQ3682" t="s">
        <v>44</v>
      </c>
    </row>
    <row r="3683" spans="1:43" x14ac:dyDescent="0.2">
      <c r="A3683" t="s">
        <v>12703</v>
      </c>
      <c r="B3683" t="s">
        <v>11013</v>
      </c>
      <c r="C3683" t="s">
        <v>11014</v>
      </c>
      <c r="D3683" t="s">
        <v>11015</v>
      </c>
      <c r="E3683" t="s">
        <v>11016</v>
      </c>
      <c r="F3683" t="s">
        <v>11015</v>
      </c>
      <c r="G3683" s="1">
        <v>21826753.000100002</v>
      </c>
      <c r="H3683" s="2">
        <v>22958655.600000001</v>
      </c>
      <c r="I3683" s="2">
        <v>22671448.34</v>
      </c>
      <c r="J3683" s="2">
        <v>0</v>
      </c>
      <c r="K3683" s="2">
        <v>0</v>
      </c>
      <c r="L3683" s="2">
        <v>22671448.34</v>
      </c>
      <c r="M3683" s="3">
        <v>1.0387</v>
      </c>
      <c r="N3683" s="4">
        <v>5.1579989999999999E-2</v>
      </c>
      <c r="O3683" s="5" t="s">
        <v>44</v>
      </c>
      <c r="P3683" s="5" t="s">
        <v>44</v>
      </c>
      <c r="Q3683" s="1"/>
      <c r="R3683" s="2"/>
      <c r="S3683" s="6"/>
      <c r="T3683" t="s">
        <v>10902</v>
      </c>
      <c r="U3683" t="s">
        <v>11003</v>
      </c>
      <c r="V3683" t="s">
        <v>11003</v>
      </c>
      <c r="W3683" t="s">
        <v>43</v>
      </c>
      <c r="X3683" t="s">
        <v>44</v>
      </c>
      <c r="Y3683" t="s">
        <v>44</v>
      </c>
      <c r="Z3683" t="s">
        <v>44</v>
      </c>
      <c r="AA3683" t="s">
        <v>44</v>
      </c>
      <c r="AB3683" t="s">
        <v>44</v>
      </c>
      <c r="AC3683" s="4"/>
      <c r="AD3683" s="4"/>
      <c r="AE3683" s="2">
        <v>0</v>
      </c>
      <c r="AF3683" s="4">
        <v>0</v>
      </c>
      <c r="AG3683" s="2">
        <v>18.5</v>
      </c>
      <c r="AH3683" s="2">
        <v>22671448.34</v>
      </c>
      <c r="AI3683" s="2">
        <v>0.05</v>
      </c>
      <c r="AJ3683" s="5">
        <v>44673</v>
      </c>
      <c r="AK3683" t="s">
        <v>12704</v>
      </c>
      <c r="AL3683" s="2">
        <v>0</v>
      </c>
      <c r="AM3683" s="2">
        <v>0</v>
      </c>
      <c r="AN3683" s="2">
        <v>0</v>
      </c>
      <c r="AO3683" t="s">
        <v>44</v>
      </c>
      <c r="AP3683" t="s">
        <v>11017</v>
      </c>
      <c r="AQ3683" t="s">
        <v>11016</v>
      </c>
    </row>
    <row r="3684" spans="1:43" x14ac:dyDescent="0.2">
      <c r="A3684" t="s">
        <v>12703</v>
      </c>
      <c r="B3684" t="s">
        <v>11013</v>
      </c>
      <c r="C3684" t="s">
        <v>11014</v>
      </c>
      <c r="D3684" t="s">
        <v>11021</v>
      </c>
      <c r="E3684" t="s">
        <v>11022</v>
      </c>
      <c r="F3684" t="s">
        <v>11021</v>
      </c>
      <c r="G3684" s="1">
        <v>9881249.1234000009</v>
      </c>
      <c r="H3684" s="2">
        <v>8053395.2300000004</v>
      </c>
      <c r="I3684" s="2">
        <v>9920774.1199999992</v>
      </c>
      <c r="J3684" s="2">
        <v>0</v>
      </c>
      <c r="K3684" s="2">
        <v>0</v>
      </c>
      <c r="L3684" s="2">
        <v>9920774.1199999992</v>
      </c>
      <c r="M3684" s="3">
        <v>1.004</v>
      </c>
      <c r="N3684" s="4">
        <v>2.257083E-2</v>
      </c>
      <c r="O3684" s="5" t="s">
        <v>44</v>
      </c>
      <c r="P3684" s="5" t="s">
        <v>44</v>
      </c>
      <c r="Q3684" s="1"/>
      <c r="R3684" s="2"/>
      <c r="S3684" s="6"/>
      <c r="T3684" t="s">
        <v>10902</v>
      </c>
      <c r="U3684" t="s">
        <v>11003</v>
      </c>
      <c r="V3684" t="s">
        <v>11003</v>
      </c>
      <c r="W3684" t="s">
        <v>43</v>
      </c>
      <c r="X3684" t="s">
        <v>44</v>
      </c>
      <c r="Y3684" t="s">
        <v>44</v>
      </c>
      <c r="Z3684" t="s">
        <v>44</v>
      </c>
      <c r="AA3684" t="s">
        <v>44</v>
      </c>
      <c r="AB3684" t="s">
        <v>44</v>
      </c>
      <c r="AC3684" s="4"/>
      <c r="AD3684" s="4"/>
      <c r="AE3684" s="2">
        <v>0</v>
      </c>
      <c r="AF3684" s="4">
        <v>0</v>
      </c>
      <c r="AG3684" s="2">
        <v>8.09</v>
      </c>
      <c r="AH3684" s="2">
        <v>9920774.1199999992</v>
      </c>
      <c r="AI3684" s="2">
        <v>0.02</v>
      </c>
      <c r="AJ3684" s="5">
        <v>44673</v>
      </c>
      <c r="AK3684" t="s">
        <v>12704</v>
      </c>
      <c r="AL3684" s="2">
        <v>0</v>
      </c>
      <c r="AM3684" s="2">
        <v>0</v>
      </c>
      <c r="AN3684" s="2">
        <v>0</v>
      </c>
      <c r="AO3684" t="s">
        <v>44</v>
      </c>
      <c r="AP3684" t="s">
        <v>11023</v>
      </c>
      <c r="AQ3684" t="s">
        <v>11022</v>
      </c>
    </row>
    <row r="3685" spans="1:43" x14ac:dyDescent="0.2">
      <c r="A3685" t="s">
        <v>12703</v>
      </c>
      <c r="B3685" t="s">
        <v>11024</v>
      </c>
      <c r="C3685" t="s">
        <v>57</v>
      </c>
      <c r="D3685" t="s">
        <v>12717</v>
      </c>
      <c r="E3685" t="s">
        <v>12717</v>
      </c>
      <c r="F3685" t="s">
        <v>12717</v>
      </c>
      <c r="G3685" s="1">
        <v>-37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3">
        <v>65943</v>
      </c>
      <c r="N3685" s="4">
        <v>0</v>
      </c>
      <c r="O3685" s="5" t="s">
        <v>44</v>
      </c>
      <c r="P3685" s="5">
        <v>44910</v>
      </c>
      <c r="Q3685" s="1"/>
      <c r="R3685" s="2"/>
      <c r="S3685" s="6"/>
      <c r="T3685" t="s">
        <v>11026</v>
      </c>
      <c r="U3685" t="s">
        <v>11025</v>
      </c>
      <c r="V3685" t="s">
        <v>11027</v>
      </c>
      <c r="W3685" t="s">
        <v>43</v>
      </c>
      <c r="X3685" t="s">
        <v>44</v>
      </c>
      <c r="Y3685" t="s">
        <v>44</v>
      </c>
      <c r="Z3685" t="s">
        <v>44</v>
      </c>
      <c r="AA3685" t="s">
        <v>44</v>
      </c>
      <c r="AB3685" t="s">
        <v>44</v>
      </c>
      <c r="AC3685" s="4"/>
      <c r="AD3685" s="4"/>
      <c r="AE3685" s="2">
        <v>0</v>
      </c>
      <c r="AF3685" s="4">
        <v>0</v>
      </c>
      <c r="AG3685" s="2">
        <v>0</v>
      </c>
      <c r="AH3685" s="2">
        <v>-24398910</v>
      </c>
      <c r="AI3685" s="2">
        <v>-0.06</v>
      </c>
      <c r="AJ3685" s="5">
        <v>44673</v>
      </c>
      <c r="AK3685" t="s">
        <v>12704</v>
      </c>
      <c r="AL3685" s="2">
        <v>0</v>
      </c>
      <c r="AM3685" s="2">
        <v>0</v>
      </c>
      <c r="AN3685" s="2">
        <v>0</v>
      </c>
      <c r="AO3685" t="s">
        <v>44</v>
      </c>
      <c r="AP3685" t="s">
        <v>12718</v>
      </c>
      <c r="AQ3685" t="s">
        <v>12717</v>
      </c>
    </row>
    <row r="3686" spans="1:43" x14ac:dyDescent="0.2">
      <c r="A3686" t="s">
        <v>12703</v>
      </c>
      <c r="B3686" t="s">
        <v>11024</v>
      </c>
      <c r="C3686" t="s">
        <v>57</v>
      </c>
      <c r="D3686" t="s">
        <v>12719</v>
      </c>
      <c r="E3686" t="s">
        <v>12719</v>
      </c>
      <c r="F3686" t="s">
        <v>12719</v>
      </c>
      <c r="G3686" s="1">
        <v>68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3">
        <v>23175</v>
      </c>
      <c r="N3686" s="4">
        <v>0</v>
      </c>
      <c r="O3686" s="5" t="s">
        <v>44</v>
      </c>
      <c r="P3686" s="5">
        <v>44910</v>
      </c>
      <c r="Q3686" s="1"/>
      <c r="R3686" s="2"/>
      <c r="S3686" s="6"/>
      <c r="T3686" t="s">
        <v>11153</v>
      </c>
      <c r="U3686" t="s">
        <v>11025</v>
      </c>
      <c r="V3686" t="s">
        <v>11154</v>
      </c>
      <c r="W3686" t="s">
        <v>43</v>
      </c>
      <c r="X3686" t="s">
        <v>44</v>
      </c>
      <c r="Y3686" t="s">
        <v>44</v>
      </c>
      <c r="Z3686" t="s">
        <v>44</v>
      </c>
      <c r="AA3686" t="s">
        <v>44</v>
      </c>
      <c r="AB3686" t="s">
        <v>44</v>
      </c>
      <c r="AC3686" s="4"/>
      <c r="AD3686" s="4"/>
      <c r="AE3686" s="2">
        <v>0</v>
      </c>
      <c r="AF3686" s="4">
        <v>0</v>
      </c>
      <c r="AG3686" s="2">
        <v>0</v>
      </c>
      <c r="AH3686" s="2">
        <v>16665892.529999999</v>
      </c>
      <c r="AI3686" s="2">
        <v>0.04</v>
      </c>
      <c r="AJ3686" s="5">
        <v>44673</v>
      </c>
      <c r="AK3686" t="s">
        <v>12704</v>
      </c>
      <c r="AL3686" s="2">
        <v>0</v>
      </c>
      <c r="AM3686" s="2">
        <v>0</v>
      </c>
      <c r="AN3686" s="2">
        <v>0</v>
      </c>
      <c r="AO3686" t="s">
        <v>44</v>
      </c>
      <c r="AP3686" t="s">
        <v>12720</v>
      </c>
      <c r="AQ3686" t="s">
        <v>12719</v>
      </c>
    </row>
    <row r="3687" spans="1:43" x14ac:dyDescent="0.2">
      <c r="A3687" t="s">
        <v>12703</v>
      </c>
      <c r="B3687" t="s">
        <v>11024</v>
      </c>
      <c r="C3687" t="s">
        <v>57</v>
      </c>
      <c r="D3687" t="s">
        <v>11151</v>
      </c>
      <c r="E3687" t="s">
        <v>11151</v>
      </c>
      <c r="F3687" t="s">
        <v>11151</v>
      </c>
      <c r="G3687" s="1">
        <v>60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3">
        <v>65704</v>
      </c>
      <c r="N3687" s="4">
        <v>0</v>
      </c>
      <c r="O3687" s="5" t="s">
        <v>44</v>
      </c>
      <c r="P3687" s="5">
        <v>44727</v>
      </c>
      <c r="Q3687" s="1"/>
      <c r="R3687" s="2"/>
      <c r="S3687" s="6"/>
      <c r="T3687" t="s">
        <v>11026</v>
      </c>
      <c r="U3687" t="s">
        <v>11025</v>
      </c>
      <c r="V3687" t="s">
        <v>11027</v>
      </c>
      <c r="W3687" t="s">
        <v>43</v>
      </c>
      <c r="X3687" t="s">
        <v>44</v>
      </c>
      <c r="Y3687" t="s">
        <v>44</v>
      </c>
      <c r="Z3687" t="s">
        <v>44</v>
      </c>
      <c r="AA3687" t="s">
        <v>44</v>
      </c>
      <c r="AB3687" t="s">
        <v>44</v>
      </c>
      <c r="AC3687" s="4"/>
      <c r="AD3687" s="4"/>
      <c r="AE3687" s="2">
        <v>0</v>
      </c>
      <c r="AF3687" s="4">
        <v>0</v>
      </c>
      <c r="AG3687" s="2">
        <v>0</v>
      </c>
      <c r="AH3687" s="2">
        <v>39422400</v>
      </c>
      <c r="AI3687" s="2">
        <v>0.09</v>
      </c>
      <c r="AJ3687" s="5">
        <v>44673</v>
      </c>
      <c r="AK3687" t="s">
        <v>12704</v>
      </c>
      <c r="AL3687" s="2">
        <v>0</v>
      </c>
      <c r="AM3687" s="2">
        <v>0</v>
      </c>
      <c r="AN3687" s="2">
        <v>0</v>
      </c>
      <c r="AO3687" t="s">
        <v>44</v>
      </c>
      <c r="AP3687" t="s">
        <v>11152</v>
      </c>
      <c r="AQ3687" t="s">
        <v>11151</v>
      </c>
    </row>
    <row r="3688" spans="1:43" x14ac:dyDescent="0.2">
      <c r="A3688" t="s">
        <v>12703</v>
      </c>
      <c r="B3688" t="s">
        <v>11024</v>
      </c>
      <c r="C3688" t="s">
        <v>57</v>
      </c>
      <c r="D3688" t="s">
        <v>12995</v>
      </c>
      <c r="E3688" t="s">
        <v>12995</v>
      </c>
      <c r="F3688" t="s">
        <v>12995</v>
      </c>
      <c r="G3688" s="1">
        <v>-19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3">
        <v>11809</v>
      </c>
      <c r="N3688" s="4">
        <v>0</v>
      </c>
      <c r="O3688" s="5" t="s">
        <v>44</v>
      </c>
      <c r="P3688" s="5">
        <v>44727</v>
      </c>
      <c r="Q3688" s="1"/>
      <c r="R3688" s="2"/>
      <c r="S3688" s="6"/>
      <c r="T3688" t="s">
        <v>11153</v>
      </c>
      <c r="U3688" t="s">
        <v>11025</v>
      </c>
      <c r="V3688" t="s">
        <v>11154</v>
      </c>
      <c r="W3688" t="s">
        <v>43</v>
      </c>
      <c r="X3688" t="s">
        <v>44</v>
      </c>
      <c r="Y3688" t="s">
        <v>44</v>
      </c>
      <c r="Z3688" t="s">
        <v>44</v>
      </c>
      <c r="AA3688" t="s">
        <v>44</v>
      </c>
      <c r="AB3688" t="s">
        <v>44</v>
      </c>
      <c r="AC3688" s="4"/>
      <c r="AD3688" s="4"/>
      <c r="AE3688" s="2">
        <v>0</v>
      </c>
      <c r="AF3688" s="4">
        <v>0</v>
      </c>
      <c r="AG3688" s="2">
        <v>0</v>
      </c>
      <c r="AH3688" s="2">
        <v>3777733.13</v>
      </c>
      <c r="AI3688" s="2">
        <v>0.01</v>
      </c>
      <c r="AJ3688" s="5">
        <v>44673</v>
      </c>
      <c r="AK3688" t="s">
        <v>12704</v>
      </c>
      <c r="AL3688" s="2">
        <v>0</v>
      </c>
      <c r="AM3688" s="2">
        <v>0</v>
      </c>
      <c r="AN3688" s="2">
        <v>0</v>
      </c>
      <c r="AO3688" t="s">
        <v>44</v>
      </c>
      <c r="AP3688" t="s">
        <v>12999</v>
      </c>
      <c r="AQ3688" t="s">
        <v>12995</v>
      </c>
    </row>
    <row r="3689" spans="1:43" x14ac:dyDescent="0.2">
      <c r="A3689" t="s">
        <v>12703</v>
      </c>
      <c r="B3689" t="s">
        <v>11024</v>
      </c>
      <c r="C3689" t="s">
        <v>57</v>
      </c>
      <c r="D3689" t="s">
        <v>11155</v>
      </c>
      <c r="E3689" t="s">
        <v>11155</v>
      </c>
      <c r="F3689" t="s">
        <v>11155</v>
      </c>
      <c r="G3689" s="1">
        <v>-51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3">
        <v>615</v>
      </c>
      <c r="N3689" s="4">
        <v>0</v>
      </c>
      <c r="O3689" s="5" t="s">
        <v>44</v>
      </c>
      <c r="P3689" s="5">
        <v>44727</v>
      </c>
      <c r="Q3689" s="1"/>
      <c r="R3689" s="2"/>
      <c r="S3689" s="6"/>
      <c r="T3689" t="s">
        <v>11153</v>
      </c>
      <c r="U3689" t="s">
        <v>11025</v>
      </c>
      <c r="V3689" t="s">
        <v>11154</v>
      </c>
      <c r="W3689" t="s">
        <v>43</v>
      </c>
      <c r="X3689" t="s">
        <v>44</v>
      </c>
      <c r="Y3689" t="s">
        <v>44</v>
      </c>
      <c r="Z3689" t="s">
        <v>44</v>
      </c>
      <c r="AA3689" t="s">
        <v>44</v>
      </c>
      <c r="AB3689" t="s">
        <v>44</v>
      </c>
      <c r="AC3689" s="4"/>
      <c r="AD3689" s="4"/>
      <c r="AE3689" s="2">
        <v>0</v>
      </c>
      <c r="AF3689" s="4">
        <v>0</v>
      </c>
      <c r="AG3689" s="2">
        <v>0</v>
      </c>
      <c r="AH3689" s="2">
        <v>-1233592.77</v>
      </c>
      <c r="AI3689" s="2">
        <v>0</v>
      </c>
      <c r="AJ3689" s="5">
        <v>44673</v>
      </c>
      <c r="AK3689" t="s">
        <v>12704</v>
      </c>
      <c r="AL3689" s="2">
        <v>0</v>
      </c>
      <c r="AM3689" s="2">
        <v>0</v>
      </c>
      <c r="AN3689" s="2">
        <v>0</v>
      </c>
      <c r="AO3689" t="s">
        <v>44</v>
      </c>
      <c r="AP3689" t="s">
        <v>11156</v>
      </c>
      <c r="AQ3689" t="s">
        <v>11155</v>
      </c>
    </row>
    <row r="3690" spans="1:43" x14ac:dyDescent="0.2">
      <c r="A3690" t="s">
        <v>12703</v>
      </c>
      <c r="B3690" t="s">
        <v>11024</v>
      </c>
      <c r="C3690" t="s">
        <v>57</v>
      </c>
      <c r="D3690" t="s">
        <v>11157</v>
      </c>
      <c r="E3690" t="s">
        <v>11157</v>
      </c>
      <c r="F3690" t="s">
        <v>11157</v>
      </c>
      <c r="G3690" s="1">
        <v>-23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3">
        <v>65741</v>
      </c>
      <c r="N3690" s="4">
        <v>0</v>
      </c>
      <c r="O3690" s="5" t="s">
        <v>44</v>
      </c>
      <c r="P3690" s="5">
        <v>44819</v>
      </c>
      <c r="Q3690" s="1"/>
      <c r="R3690" s="2"/>
      <c r="S3690" s="6"/>
      <c r="T3690" t="s">
        <v>11026</v>
      </c>
      <c r="U3690" t="s">
        <v>11025</v>
      </c>
      <c r="V3690" t="s">
        <v>11027</v>
      </c>
      <c r="W3690" t="s">
        <v>43</v>
      </c>
      <c r="X3690" t="s">
        <v>44</v>
      </c>
      <c r="Y3690" t="s">
        <v>44</v>
      </c>
      <c r="Z3690" t="s">
        <v>44</v>
      </c>
      <c r="AA3690" t="s">
        <v>44</v>
      </c>
      <c r="AB3690" t="s">
        <v>44</v>
      </c>
      <c r="AC3690" s="4"/>
      <c r="AD3690" s="4"/>
      <c r="AE3690" s="2">
        <v>0</v>
      </c>
      <c r="AF3690" s="4">
        <v>0</v>
      </c>
      <c r="AG3690" s="2">
        <v>0</v>
      </c>
      <c r="AH3690" s="2">
        <v>-15120430</v>
      </c>
      <c r="AI3690" s="2">
        <v>-0.03</v>
      </c>
      <c r="AJ3690" s="5">
        <v>44673</v>
      </c>
      <c r="AK3690" t="s">
        <v>12704</v>
      </c>
      <c r="AL3690" s="2">
        <v>0</v>
      </c>
      <c r="AM3690" s="2">
        <v>0</v>
      </c>
      <c r="AN3690" s="2">
        <v>0</v>
      </c>
      <c r="AO3690" t="s">
        <v>44</v>
      </c>
      <c r="AP3690" t="s">
        <v>11158</v>
      </c>
      <c r="AQ3690" t="s">
        <v>11157</v>
      </c>
    </row>
    <row r="3691" spans="1:43" x14ac:dyDescent="0.2">
      <c r="A3691" t="s">
        <v>12703</v>
      </c>
      <c r="B3691" t="s">
        <v>11024</v>
      </c>
      <c r="C3691" t="s">
        <v>57</v>
      </c>
      <c r="D3691" t="s">
        <v>12738</v>
      </c>
      <c r="E3691" t="s">
        <v>12738</v>
      </c>
      <c r="F3691" t="s">
        <v>12738</v>
      </c>
      <c r="G3691" s="1">
        <v>59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3">
        <v>17668</v>
      </c>
      <c r="N3691" s="4">
        <v>0</v>
      </c>
      <c r="O3691" s="5" t="s">
        <v>44</v>
      </c>
      <c r="P3691" s="5">
        <v>44819</v>
      </c>
      <c r="Q3691" s="1"/>
      <c r="R3691" s="2"/>
      <c r="S3691" s="6"/>
      <c r="T3691" t="s">
        <v>11153</v>
      </c>
      <c r="U3691" t="s">
        <v>11025</v>
      </c>
      <c r="V3691" t="s">
        <v>11154</v>
      </c>
      <c r="W3691" t="s">
        <v>43</v>
      </c>
      <c r="X3691" t="s">
        <v>44</v>
      </c>
      <c r="Y3691" t="s">
        <v>44</v>
      </c>
      <c r="Z3691" t="s">
        <v>44</v>
      </c>
      <c r="AA3691" t="s">
        <v>44</v>
      </c>
      <c r="AB3691" t="s">
        <v>44</v>
      </c>
      <c r="AC3691" s="4"/>
      <c r="AD3691" s="4"/>
      <c r="AE3691" s="2">
        <v>0</v>
      </c>
      <c r="AF3691" s="4">
        <v>0</v>
      </c>
      <c r="AG3691" s="2">
        <v>0</v>
      </c>
      <c r="AH3691" s="2">
        <v>13986527.82</v>
      </c>
      <c r="AI3691" s="2">
        <v>0.03</v>
      </c>
      <c r="AJ3691" s="5">
        <v>44673</v>
      </c>
      <c r="AK3691" t="s">
        <v>12704</v>
      </c>
      <c r="AL3691" s="2">
        <v>0</v>
      </c>
      <c r="AM3691" s="2">
        <v>0</v>
      </c>
      <c r="AN3691" s="2">
        <v>0</v>
      </c>
      <c r="AO3691" t="s">
        <v>44</v>
      </c>
      <c r="AP3691" t="s">
        <v>12741</v>
      </c>
      <c r="AQ3691" t="s">
        <v>12738</v>
      </c>
    </row>
    <row r="3692" spans="1:43" x14ac:dyDescent="0.2">
      <c r="A3692" t="s">
        <v>12703</v>
      </c>
      <c r="B3692" t="s">
        <v>11024</v>
      </c>
      <c r="C3692" t="s">
        <v>57</v>
      </c>
      <c r="D3692" t="s">
        <v>12722</v>
      </c>
      <c r="E3692" t="s">
        <v>12722</v>
      </c>
      <c r="F3692" t="s">
        <v>12722</v>
      </c>
      <c r="G3692" s="1">
        <v>60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3">
        <v>14076</v>
      </c>
      <c r="N3692" s="4">
        <v>0</v>
      </c>
      <c r="O3692" s="5" t="s">
        <v>44</v>
      </c>
      <c r="P3692" s="5">
        <v>44819</v>
      </c>
      <c r="Q3692" s="1"/>
      <c r="R3692" s="2"/>
      <c r="S3692" s="6"/>
      <c r="T3692" t="s">
        <v>11153</v>
      </c>
      <c r="U3692" t="s">
        <v>11025</v>
      </c>
      <c r="V3692" t="s">
        <v>11154</v>
      </c>
      <c r="W3692" t="s">
        <v>43</v>
      </c>
      <c r="X3692" t="s">
        <v>44</v>
      </c>
      <c r="Y3692" t="s">
        <v>44</v>
      </c>
      <c r="Z3692" t="s">
        <v>44</v>
      </c>
      <c r="AA3692" t="s">
        <v>44</v>
      </c>
      <c r="AB3692" t="s">
        <v>44</v>
      </c>
      <c r="AC3692" s="4"/>
      <c r="AD3692" s="4"/>
      <c r="AE3692" s="2">
        <v>0</v>
      </c>
      <c r="AF3692" s="4">
        <v>0</v>
      </c>
      <c r="AG3692" s="2">
        <v>0</v>
      </c>
      <c r="AH3692" s="2">
        <v>12247435.07</v>
      </c>
      <c r="AI3692" s="2">
        <v>0.03</v>
      </c>
      <c r="AJ3692" s="5">
        <v>44673</v>
      </c>
      <c r="AK3692" t="s">
        <v>12704</v>
      </c>
      <c r="AL3692" s="2">
        <v>0</v>
      </c>
      <c r="AM3692" s="2">
        <v>0</v>
      </c>
      <c r="AN3692" s="2">
        <v>0</v>
      </c>
      <c r="AO3692" t="s">
        <v>44</v>
      </c>
      <c r="AP3692" t="s">
        <v>12723</v>
      </c>
      <c r="AQ3692" t="s">
        <v>12722</v>
      </c>
    </row>
    <row r="3693" spans="1:43" x14ac:dyDescent="0.2">
      <c r="A3693" t="s">
        <v>12703</v>
      </c>
      <c r="B3693" t="s">
        <v>11024</v>
      </c>
      <c r="C3693" t="s">
        <v>57</v>
      </c>
      <c r="D3693" t="s">
        <v>12996</v>
      </c>
      <c r="E3693" t="s">
        <v>12996</v>
      </c>
      <c r="F3693" t="s">
        <v>12996</v>
      </c>
      <c r="G3693" s="1">
        <v>-46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3">
        <v>5097</v>
      </c>
      <c r="N3693" s="4">
        <v>0</v>
      </c>
      <c r="O3693" s="5" t="s">
        <v>44</v>
      </c>
      <c r="P3693" s="5">
        <v>44819</v>
      </c>
      <c r="Q3693" s="1"/>
      <c r="R3693" s="2"/>
      <c r="S3693" s="6"/>
      <c r="T3693" t="s">
        <v>11153</v>
      </c>
      <c r="U3693" t="s">
        <v>11025</v>
      </c>
      <c r="V3693" t="s">
        <v>11154</v>
      </c>
      <c r="W3693" t="s">
        <v>43</v>
      </c>
      <c r="X3693" t="s">
        <v>44</v>
      </c>
      <c r="Y3693" t="s">
        <v>44</v>
      </c>
      <c r="Z3693" t="s">
        <v>44</v>
      </c>
      <c r="AA3693" t="s">
        <v>44</v>
      </c>
      <c r="AB3693" t="s">
        <v>44</v>
      </c>
      <c r="AC3693" s="4"/>
      <c r="AD3693" s="4"/>
      <c r="AE3693" s="2">
        <v>0</v>
      </c>
      <c r="AF3693" s="4">
        <v>0</v>
      </c>
      <c r="AG3693" s="2">
        <v>0</v>
      </c>
      <c r="AH3693" s="2">
        <v>-4444000.58</v>
      </c>
      <c r="AI3693" s="2">
        <v>-0.01</v>
      </c>
      <c r="AJ3693" s="5">
        <v>44673</v>
      </c>
      <c r="AK3693" t="s">
        <v>12704</v>
      </c>
      <c r="AL3693" s="2">
        <v>0</v>
      </c>
      <c r="AM3693" s="2">
        <v>0</v>
      </c>
      <c r="AN3693" s="2">
        <v>0</v>
      </c>
      <c r="AO3693" t="s">
        <v>44</v>
      </c>
      <c r="AP3693" t="s">
        <v>13000</v>
      </c>
      <c r="AQ3693" t="s">
        <v>12996</v>
      </c>
    </row>
    <row r="3694" spans="1:43" x14ac:dyDescent="0.2">
      <c r="A3694" t="s">
        <v>12703</v>
      </c>
      <c r="B3694" t="s">
        <v>11024</v>
      </c>
      <c r="C3694" t="s">
        <v>57</v>
      </c>
      <c r="D3694" t="s">
        <v>12739</v>
      </c>
      <c r="E3694" t="s">
        <v>12739</v>
      </c>
      <c r="F3694" t="s">
        <v>12739</v>
      </c>
      <c r="G3694" s="1">
        <v>-46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3">
        <v>2268</v>
      </c>
      <c r="N3694" s="4">
        <v>0</v>
      </c>
      <c r="O3694" s="5" t="s">
        <v>44</v>
      </c>
      <c r="P3694" s="5">
        <v>44819</v>
      </c>
      <c r="Q3694" s="1"/>
      <c r="R3694" s="2"/>
      <c r="S3694" s="6"/>
      <c r="T3694" t="s">
        <v>11153</v>
      </c>
      <c r="U3694" t="s">
        <v>11025</v>
      </c>
      <c r="V3694" t="s">
        <v>11154</v>
      </c>
      <c r="W3694" t="s">
        <v>43</v>
      </c>
      <c r="X3694" t="s">
        <v>44</v>
      </c>
      <c r="Y3694" t="s">
        <v>44</v>
      </c>
      <c r="Z3694" t="s">
        <v>44</v>
      </c>
      <c r="AA3694" t="s">
        <v>44</v>
      </c>
      <c r="AB3694" t="s">
        <v>44</v>
      </c>
      <c r="AC3694" s="4"/>
      <c r="AD3694" s="4"/>
      <c r="AE3694" s="2">
        <v>0</v>
      </c>
      <c r="AF3694" s="4">
        <v>0</v>
      </c>
      <c r="AG3694" s="2">
        <v>0</v>
      </c>
      <c r="AH3694" s="2">
        <v>-2284223.52</v>
      </c>
      <c r="AI3694" s="2">
        <v>-0.01</v>
      </c>
      <c r="AJ3694" s="5">
        <v>44673</v>
      </c>
      <c r="AK3694" t="s">
        <v>12704</v>
      </c>
      <c r="AL3694" s="2">
        <v>0</v>
      </c>
      <c r="AM3694" s="2">
        <v>0</v>
      </c>
      <c r="AN3694" s="2">
        <v>0</v>
      </c>
      <c r="AO3694" t="s">
        <v>44</v>
      </c>
      <c r="AP3694" t="s">
        <v>12742</v>
      </c>
      <c r="AQ3694" t="s">
        <v>12739</v>
      </c>
    </row>
    <row r="3695" spans="1:43" x14ac:dyDescent="0.2">
      <c r="A3695" t="s">
        <v>12703</v>
      </c>
      <c r="B3695" t="s">
        <v>11038</v>
      </c>
      <c r="C3695" t="s">
        <v>11222</v>
      </c>
      <c r="D3695" t="s">
        <v>11223</v>
      </c>
      <c r="E3695" t="s">
        <v>11224</v>
      </c>
      <c r="F3695" t="s">
        <v>11223</v>
      </c>
      <c r="G3695" s="1">
        <v>3460000</v>
      </c>
      <c r="H3695" s="2">
        <v>3484902.35</v>
      </c>
      <c r="I3695" s="2">
        <v>3554969.54</v>
      </c>
      <c r="J3695" s="2">
        <v>54256.21</v>
      </c>
      <c r="K3695" s="2">
        <v>0</v>
      </c>
      <c r="L3695" s="2">
        <v>3609225.75</v>
      </c>
      <c r="M3695" s="3">
        <v>7.1645300000000001</v>
      </c>
      <c r="N3695" s="4">
        <v>8.2113800000000008E-3</v>
      </c>
      <c r="O3695" s="5">
        <v>44693</v>
      </c>
      <c r="P3695" s="5">
        <v>45516</v>
      </c>
      <c r="Q3695" s="1">
        <v>8.4169999999999998</v>
      </c>
      <c r="R3695" s="2">
        <v>0.05</v>
      </c>
      <c r="S3695" s="6">
        <v>3.2810324337999998E-2</v>
      </c>
      <c r="T3695" t="s">
        <v>111</v>
      </c>
      <c r="U3695" t="s">
        <v>11040</v>
      </c>
      <c r="V3695" t="s">
        <v>11189</v>
      </c>
      <c r="W3695" t="s">
        <v>43</v>
      </c>
      <c r="X3695" t="s">
        <v>11034</v>
      </c>
      <c r="Y3695" t="s">
        <v>44</v>
      </c>
      <c r="Z3695" t="s">
        <v>44</v>
      </c>
      <c r="AA3695" t="s">
        <v>11035</v>
      </c>
      <c r="AB3695" t="s">
        <v>11225</v>
      </c>
      <c r="AC3695" s="4">
        <v>7.41461039</v>
      </c>
      <c r="AD3695" s="4">
        <v>7.1739613599999998</v>
      </c>
      <c r="AE3695" s="2">
        <v>7.41</v>
      </c>
      <c r="AF3695" s="4">
        <v>7.1739613599999998</v>
      </c>
      <c r="AG3695" s="2">
        <v>2.94</v>
      </c>
      <c r="AH3695" s="2">
        <v>3609225.75</v>
      </c>
      <c r="AI3695" s="2">
        <v>0.01</v>
      </c>
      <c r="AJ3695" s="5">
        <v>44673</v>
      </c>
      <c r="AK3695" t="s">
        <v>12704</v>
      </c>
      <c r="AL3695" s="2">
        <v>7.28</v>
      </c>
      <c r="AM3695" s="2">
        <v>8.42</v>
      </c>
      <c r="AN3695" s="2">
        <v>0.03</v>
      </c>
      <c r="AO3695" t="s">
        <v>11226</v>
      </c>
      <c r="AP3695" t="s">
        <v>11227</v>
      </c>
      <c r="AQ3695" t="s">
        <v>11224</v>
      </c>
    </row>
    <row r="3696" spans="1:43" x14ac:dyDescent="0.2">
      <c r="A3696" t="s">
        <v>12703</v>
      </c>
      <c r="B3696" t="s">
        <v>11160</v>
      </c>
      <c r="C3696" t="s">
        <v>11161</v>
      </c>
      <c r="D3696" t="s">
        <v>11162</v>
      </c>
      <c r="E3696" t="s">
        <v>11163</v>
      </c>
      <c r="F3696" t="s">
        <v>11162</v>
      </c>
      <c r="G3696" s="1">
        <v>6099</v>
      </c>
      <c r="H3696" s="2">
        <v>4169813.54</v>
      </c>
      <c r="I3696" s="2">
        <v>5489100</v>
      </c>
      <c r="J3696" s="2">
        <v>0</v>
      </c>
      <c r="K3696" s="2">
        <v>152115.74</v>
      </c>
      <c r="L3696" s="2">
        <v>5641215.7400000002</v>
      </c>
      <c r="M3696" s="3">
        <v>90000</v>
      </c>
      <c r="N3696" s="4">
        <v>1.2834369999999999E-2</v>
      </c>
      <c r="O3696" s="5" t="s">
        <v>44</v>
      </c>
      <c r="P3696" s="5" t="s">
        <v>44</v>
      </c>
      <c r="Q3696" s="1"/>
      <c r="R3696" s="2"/>
      <c r="S3696" s="6"/>
      <c r="T3696" t="s">
        <v>10902</v>
      </c>
      <c r="U3696" t="s">
        <v>10902</v>
      </c>
      <c r="V3696" t="s">
        <v>11164</v>
      </c>
      <c r="W3696" t="s">
        <v>43</v>
      </c>
      <c r="X3696" t="s">
        <v>44</v>
      </c>
      <c r="Y3696" t="s">
        <v>44</v>
      </c>
      <c r="Z3696" t="s">
        <v>44</v>
      </c>
      <c r="AA3696" t="s">
        <v>10979</v>
      </c>
      <c r="AB3696" t="s">
        <v>44</v>
      </c>
      <c r="AC3696" s="4"/>
      <c r="AD3696" s="4"/>
      <c r="AE3696" s="2">
        <v>0</v>
      </c>
      <c r="AF3696" s="4">
        <v>0</v>
      </c>
      <c r="AG3696" s="2">
        <v>4.5999999999999996</v>
      </c>
      <c r="AH3696" s="2">
        <v>5641215.7400000002</v>
      </c>
      <c r="AI3696" s="2">
        <v>0.01</v>
      </c>
      <c r="AJ3696" s="5">
        <v>44673</v>
      </c>
      <c r="AK3696" t="s">
        <v>12704</v>
      </c>
      <c r="AL3696" s="2">
        <v>0</v>
      </c>
      <c r="AM3696" s="2">
        <v>0</v>
      </c>
      <c r="AN3696" s="2">
        <v>0</v>
      </c>
      <c r="AO3696" t="s">
        <v>11165</v>
      </c>
      <c r="AP3696" t="s">
        <v>11166</v>
      </c>
      <c r="AQ3696" t="s">
        <v>11163</v>
      </c>
    </row>
    <row r="3697" spans="1:43" x14ac:dyDescent="0.2">
      <c r="A3697" t="s">
        <v>12703</v>
      </c>
      <c r="B3697" t="s">
        <v>11160</v>
      </c>
      <c r="C3697" t="s">
        <v>11161</v>
      </c>
      <c r="D3697" t="s">
        <v>11167</v>
      </c>
      <c r="E3697" t="s">
        <v>11168</v>
      </c>
      <c r="F3697" t="s">
        <v>11167</v>
      </c>
      <c r="G3697" s="1">
        <v>41459</v>
      </c>
      <c r="H3697" s="2">
        <v>3810428.67</v>
      </c>
      <c r="I3697" s="2">
        <v>4007012.35</v>
      </c>
      <c r="J3697" s="2">
        <v>0</v>
      </c>
      <c r="K3697" s="2">
        <v>0</v>
      </c>
      <c r="L3697" s="2">
        <v>4007012.35</v>
      </c>
      <c r="M3697" s="3">
        <v>9665</v>
      </c>
      <c r="N3697" s="4">
        <v>9.1163800000000003E-3</v>
      </c>
      <c r="O3697" s="5" t="s">
        <v>44</v>
      </c>
      <c r="P3697" s="5" t="s">
        <v>44</v>
      </c>
      <c r="Q3697" s="1"/>
      <c r="R3697" s="2"/>
      <c r="S3697" s="6"/>
      <c r="T3697" t="s">
        <v>10902</v>
      </c>
      <c r="U3697" t="s">
        <v>10902</v>
      </c>
      <c r="V3697" t="s">
        <v>11164</v>
      </c>
      <c r="W3697" t="s">
        <v>43</v>
      </c>
      <c r="X3697" t="s">
        <v>11164</v>
      </c>
      <c r="Y3697" t="s">
        <v>44</v>
      </c>
      <c r="Z3697" t="s">
        <v>44</v>
      </c>
      <c r="AA3697" t="s">
        <v>44</v>
      </c>
      <c r="AB3697" t="s">
        <v>44</v>
      </c>
      <c r="AC3697" s="4"/>
      <c r="AD3697" s="4"/>
      <c r="AE3697" s="2">
        <v>0</v>
      </c>
      <c r="AF3697" s="4">
        <v>0</v>
      </c>
      <c r="AG3697" s="2">
        <v>3.27</v>
      </c>
      <c r="AH3697" s="2">
        <v>4007012.35</v>
      </c>
      <c r="AI3697" s="2">
        <v>0.01</v>
      </c>
      <c r="AJ3697" s="5">
        <v>44673</v>
      </c>
      <c r="AK3697" t="s">
        <v>12704</v>
      </c>
      <c r="AL3697" s="2">
        <v>0</v>
      </c>
      <c r="AM3697" s="2">
        <v>0</v>
      </c>
      <c r="AN3697" s="2">
        <v>0</v>
      </c>
      <c r="AO3697" t="s">
        <v>44</v>
      </c>
      <c r="AP3697" t="s">
        <v>11169</v>
      </c>
      <c r="AQ3697" t="s">
        <v>11168</v>
      </c>
    </row>
    <row r="3698" spans="1:43" x14ac:dyDescent="0.2">
      <c r="A3698" t="s">
        <v>12703</v>
      </c>
      <c r="B3698" t="s">
        <v>11160</v>
      </c>
      <c r="C3698" t="s">
        <v>11161</v>
      </c>
      <c r="D3698" t="s">
        <v>11170</v>
      </c>
      <c r="E3698" t="s">
        <v>11171</v>
      </c>
      <c r="F3698" t="s">
        <v>11170</v>
      </c>
      <c r="G3698" s="1">
        <v>29932</v>
      </c>
      <c r="H3698" s="2">
        <v>2222194.41</v>
      </c>
      <c r="I3698" s="2">
        <v>2883648.88</v>
      </c>
      <c r="J3698" s="2">
        <v>0</v>
      </c>
      <c r="K3698" s="2">
        <v>0</v>
      </c>
      <c r="L3698" s="2">
        <v>2883648.88</v>
      </c>
      <c r="M3698" s="3">
        <v>9634</v>
      </c>
      <c r="N3698" s="4">
        <v>6.5606099999999997E-3</v>
      </c>
      <c r="O3698" s="5" t="s">
        <v>44</v>
      </c>
      <c r="P3698" s="5" t="s">
        <v>44</v>
      </c>
      <c r="Q3698" s="1"/>
      <c r="R3698" s="2"/>
      <c r="S3698" s="6"/>
      <c r="T3698" t="s">
        <v>10902</v>
      </c>
      <c r="U3698" t="s">
        <v>10902</v>
      </c>
      <c r="V3698" t="s">
        <v>11164</v>
      </c>
      <c r="W3698" t="s">
        <v>43</v>
      </c>
      <c r="X3698" t="s">
        <v>44</v>
      </c>
      <c r="Y3698" t="s">
        <v>44</v>
      </c>
      <c r="Z3698" t="s">
        <v>44</v>
      </c>
      <c r="AA3698" t="s">
        <v>44</v>
      </c>
      <c r="AB3698" t="s">
        <v>44</v>
      </c>
      <c r="AC3698" s="4"/>
      <c r="AD3698" s="4"/>
      <c r="AE3698" s="2">
        <v>0</v>
      </c>
      <c r="AF3698" s="4">
        <v>0</v>
      </c>
      <c r="AG3698" s="2">
        <v>2.35</v>
      </c>
      <c r="AH3698" s="2">
        <v>2883648.88</v>
      </c>
      <c r="AI3698" s="2">
        <v>0.01</v>
      </c>
      <c r="AJ3698" s="5">
        <v>44673</v>
      </c>
      <c r="AK3698" t="s">
        <v>12704</v>
      </c>
      <c r="AL3698" s="2">
        <v>0</v>
      </c>
      <c r="AM3698" s="2">
        <v>0</v>
      </c>
      <c r="AN3698" s="2">
        <v>0</v>
      </c>
      <c r="AO3698" t="s">
        <v>44</v>
      </c>
      <c r="AP3698" t="s">
        <v>11172</v>
      </c>
      <c r="AQ3698" t="s">
        <v>11171</v>
      </c>
    </row>
    <row r="3699" spans="1:43" x14ac:dyDescent="0.2">
      <c r="A3699" t="s">
        <v>12703</v>
      </c>
      <c r="B3699" t="s">
        <v>11160</v>
      </c>
      <c r="C3699" t="s">
        <v>11161</v>
      </c>
      <c r="D3699" t="s">
        <v>11173</v>
      </c>
      <c r="E3699" t="s">
        <v>11174</v>
      </c>
      <c r="F3699" t="s">
        <v>11173</v>
      </c>
      <c r="G3699" s="1">
        <v>10523</v>
      </c>
      <c r="H3699" s="2">
        <v>832255.06</v>
      </c>
      <c r="I3699" s="2">
        <v>904978</v>
      </c>
      <c r="J3699" s="2">
        <v>0</v>
      </c>
      <c r="K3699" s="2">
        <v>0</v>
      </c>
      <c r="L3699" s="2">
        <v>904978</v>
      </c>
      <c r="M3699" s="3">
        <v>8600</v>
      </c>
      <c r="N3699" s="4">
        <v>2.0589200000000001E-3</v>
      </c>
      <c r="O3699" s="5" t="s">
        <v>44</v>
      </c>
      <c r="P3699" s="5" t="s">
        <v>44</v>
      </c>
      <c r="Q3699" s="1"/>
      <c r="R3699" s="2"/>
      <c r="S3699" s="6"/>
      <c r="T3699" t="s">
        <v>10902</v>
      </c>
      <c r="U3699" t="s">
        <v>10902</v>
      </c>
      <c r="V3699" t="s">
        <v>11164</v>
      </c>
      <c r="W3699" t="s">
        <v>43</v>
      </c>
      <c r="X3699" t="s">
        <v>44</v>
      </c>
      <c r="Y3699" t="s">
        <v>44</v>
      </c>
      <c r="Z3699" t="s">
        <v>44</v>
      </c>
      <c r="AA3699" t="s">
        <v>44</v>
      </c>
      <c r="AB3699" t="s">
        <v>44</v>
      </c>
      <c r="AC3699" s="4"/>
      <c r="AD3699" s="4"/>
      <c r="AE3699" s="2">
        <v>0</v>
      </c>
      <c r="AF3699" s="4">
        <v>0</v>
      </c>
      <c r="AG3699" s="2">
        <v>0.74</v>
      </c>
      <c r="AH3699" s="2">
        <v>904978</v>
      </c>
      <c r="AI3699" s="2">
        <v>0</v>
      </c>
      <c r="AJ3699" s="5">
        <v>44673</v>
      </c>
      <c r="AK3699" t="s">
        <v>12704</v>
      </c>
      <c r="AL3699" s="2">
        <v>0</v>
      </c>
      <c r="AM3699" s="2">
        <v>0</v>
      </c>
      <c r="AN3699" s="2">
        <v>0</v>
      </c>
      <c r="AO3699" t="s">
        <v>44</v>
      </c>
      <c r="AP3699" t="s">
        <v>11175</v>
      </c>
      <c r="AQ3699" t="s">
        <v>11174</v>
      </c>
    </row>
    <row r="3700" spans="1:43" x14ac:dyDescent="0.2">
      <c r="A3700" t="s">
        <v>12703</v>
      </c>
      <c r="B3700" t="s">
        <v>11160</v>
      </c>
      <c r="C3700" t="s">
        <v>11161</v>
      </c>
      <c r="D3700" t="s">
        <v>11176</v>
      </c>
      <c r="E3700" t="s">
        <v>11177</v>
      </c>
      <c r="F3700" t="s">
        <v>11178</v>
      </c>
      <c r="G3700" s="1">
        <v>22860</v>
      </c>
      <c r="H3700" s="2">
        <v>1739298.74</v>
      </c>
      <c r="I3700" s="2">
        <v>2112035.4</v>
      </c>
      <c r="J3700" s="2">
        <v>0</v>
      </c>
      <c r="K3700" s="2">
        <v>0</v>
      </c>
      <c r="L3700" s="2">
        <v>2112035.4</v>
      </c>
      <c r="M3700" s="3">
        <v>9239</v>
      </c>
      <c r="N3700" s="4">
        <v>4.8051099999999996E-3</v>
      </c>
      <c r="O3700" s="5" t="s">
        <v>44</v>
      </c>
      <c r="P3700" s="5" t="s">
        <v>44</v>
      </c>
      <c r="Q3700" s="1"/>
      <c r="R3700" s="2"/>
      <c r="S3700" s="6"/>
      <c r="T3700" t="s">
        <v>10902</v>
      </c>
      <c r="U3700" t="s">
        <v>10902</v>
      </c>
      <c r="V3700" t="s">
        <v>11164</v>
      </c>
      <c r="W3700" t="s">
        <v>43</v>
      </c>
      <c r="X3700" t="s">
        <v>44</v>
      </c>
      <c r="Y3700" t="s">
        <v>44</v>
      </c>
      <c r="Z3700" t="s">
        <v>44</v>
      </c>
      <c r="AA3700" t="s">
        <v>10979</v>
      </c>
      <c r="AB3700" t="s">
        <v>44</v>
      </c>
      <c r="AC3700" s="4"/>
      <c r="AD3700" s="4"/>
      <c r="AE3700" s="2">
        <v>0</v>
      </c>
      <c r="AF3700" s="4">
        <v>0</v>
      </c>
      <c r="AG3700" s="2">
        <v>1.72</v>
      </c>
      <c r="AH3700" s="2">
        <v>2112035.4</v>
      </c>
      <c r="AI3700" s="2">
        <v>0</v>
      </c>
      <c r="AJ3700" s="5">
        <v>44673</v>
      </c>
      <c r="AK3700" t="s">
        <v>12704</v>
      </c>
      <c r="AL3700" s="2">
        <v>0</v>
      </c>
      <c r="AM3700" s="2">
        <v>0</v>
      </c>
      <c r="AN3700" s="2">
        <v>0</v>
      </c>
      <c r="AO3700" t="s">
        <v>11179</v>
      </c>
      <c r="AP3700" t="s">
        <v>11180</v>
      </c>
      <c r="AQ3700" t="s">
        <v>11177</v>
      </c>
    </row>
    <row r="3701" spans="1:43" x14ac:dyDescent="0.2">
      <c r="A3701" t="s">
        <v>12703</v>
      </c>
      <c r="B3701" t="s">
        <v>10951</v>
      </c>
      <c r="C3701" t="s">
        <v>10952</v>
      </c>
      <c r="D3701" t="s">
        <v>11028</v>
      </c>
      <c r="E3701" t="s">
        <v>11029</v>
      </c>
      <c r="F3701" t="s">
        <v>11028</v>
      </c>
      <c r="G3701" s="1">
        <v>6138306.8498</v>
      </c>
      <c r="H3701" s="2">
        <v>6184049.5700000003</v>
      </c>
      <c r="I3701" s="2">
        <v>6146286.6500000004</v>
      </c>
      <c r="J3701" s="2">
        <v>0</v>
      </c>
      <c r="K3701" s="2">
        <v>0</v>
      </c>
      <c r="L3701" s="2">
        <v>6146286.6500000004</v>
      </c>
      <c r="M3701" s="3">
        <v>1.0013000000000001</v>
      </c>
      <c r="N3701" s="4">
        <v>1.398346E-2</v>
      </c>
      <c r="O3701" s="5" t="s">
        <v>44</v>
      </c>
      <c r="P3701" s="5" t="s">
        <v>44</v>
      </c>
      <c r="Q3701" s="1"/>
      <c r="R3701" s="2"/>
      <c r="S3701" s="6"/>
      <c r="T3701" t="s">
        <v>10902</v>
      </c>
      <c r="U3701" t="s">
        <v>10953</v>
      </c>
      <c r="V3701" t="s">
        <v>10954</v>
      </c>
      <c r="W3701" t="s">
        <v>43</v>
      </c>
      <c r="X3701" t="s">
        <v>44</v>
      </c>
      <c r="Y3701" t="s">
        <v>44</v>
      </c>
      <c r="Z3701" t="s">
        <v>44</v>
      </c>
      <c r="AA3701" t="s">
        <v>44</v>
      </c>
      <c r="AB3701" t="s">
        <v>44</v>
      </c>
      <c r="AC3701" s="4"/>
      <c r="AD3701" s="4"/>
      <c r="AE3701" s="2">
        <v>0</v>
      </c>
      <c r="AF3701" s="4">
        <v>0</v>
      </c>
      <c r="AG3701" s="2">
        <v>5.01</v>
      </c>
      <c r="AH3701" s="2">
        <v>6146286.6500000004</v>
      </c>
      <c r="AI3701" s="2">
        <v>0.01</v>
      </c>
      <c r="AJ3701" s="5">
        <v>44673</v>
      </c>
      <c r="AK3701" t="s">
        <v>12704</v>
      </c>
      <c r="AL3701" s="2">
        <v>0</v>
      </c>
      <c r="AM3701" s="2">
        <v>0</v>
      </c>
      <c r="AN3701" s="2">
        <v>0</v>
      </c>
      <c r="AO3701" t="s">
        <v>44</v>
      </c>
      <c r="AP3701" t="s">
        <v>44</v>
      </c>
      <c r="AQ3701" t="s">
        <v>11029</v>
      </c>
    </row>
    <row r="3702" spans="1:43" x14ac:dyDescent="0.2">
      <c r="A3702" t="s">
        <v>12703</v>
      </c>
      <c r="B3702" t="s">
        <v>11030</v>
      </c>
      <c r="C3702" t="s">
        <v>11030</v>
      </c>
      <c r="D3702" t="s">
        <v>12724</v>
      </c>
      <c r="E3702" t="s">
        <v>12717</v>
      </c>
      <c r="F3702" t="s">
        <v>12724</v>
      </c>
      <c r="G3702" s="1">
        <v>-37</v>
      </c>
      <c r="H3702" s="2"/>
      <c r="I3702" s="2">
        <v>0</v>
      </c>
      <c r="J3702" s="2"/>
      <c r="K3702" s="2"/>
      <c r="L3702" s="2">
        <v>0</v>
      </c>
      <c r="M3702" s="3"/>
      <c r="N3702" s="4">
        <v>0</v>
      </c>
      <c r="O3702" s="5" t="s">
        <v>44</v>
      </c>
      <c r="P3702" s="5" t="s">
        <v>44</v>
      </c>
      <c r="Q3702" s="1"/>
      <c r="R3702" s="2"/>
      <c r="S3702" s="6"/>
      <c r="T3702" t="s">
        <v>11031</v>
      </c>
      <c r="U3702" t="s">
        <v>11032</v>
      </c>
      <c r="V3702" t="s">
        <v>45</v>
      </c>
      <c r="W3702" t="s">
        <v>43</v>
      </c>
      <c r="X3702" t="s">
        <v>44</v>
      </c>
      <c r="Y3702" t="s">
        <v>44</v>
      </c>
      <c r="Z3702" t="s">
        <v>44</v>
      </c>
      <c r="AA3702" t="s">
        <v>44</v>
      </c>
      <c r="AB3702" t="s">
        <v>44</v>
      </c>
      <c r="AC3702" s="4"/>
      <c r="AD3702" s="4"/>
      <c r="AE3702" s="2">
        <v>0</v>
      </c>
      <c r="AF3702" s="4">
        <v>0</v>
      </c>
      <c r="AG3702" s="2">
        <v>0</v>
      </c>
      <c r="AH3702" s="2">
        <v>24398910</v>
      </c>
      <c r="AI3702" s="2">
        <v>0.06</v>
      </c>
      <c r="AJ3702" s="5">
        <v>44673</v>
      </c>
      <c r="AK3702" t="s">
        <v>12704</v>
      </c>
      <c r="AL3702" s="2">
        <v>0</v>
      </c>
      <c r="AM3702" s="2">
        <v>0</v>
      </c>
      <c r="AN3702" s="2">
        <v>0</v>
      </c>
      <c r="AO3702" t="s">
        <v>44</v>
      </c>
      <c r="AP3702" t="s">
        <v>44</v>
      </c>
      <c r="AQ3702" t="s">
        <v>11182</v>
      </c>
    </row>
    <row r="3703" spans="1:43" x14ac:dyDescent="0.2">
      <c r="A3703" t="s">
        <v>12703</v>
      </c>
      <c r="B3703" t="s">
        <v>11030</v>
      </c>
      <c r="C3703" t="s">
        <v>11030</v>
      </c>
      <c r="D3703" t="s">
        <v>12725</v>
      </c>
      <c r="E3703" t="s">
        <v>12719</v>
      </c>
      <c r="F3703" t="s">
        <v>12725</v>
      </c>
      <c r="G3703" s="1">
        <v>68</v>
      </c>
      <c r="H3703" s="2"/>
      <c r="I3703" s="2">
        <v>0</v>
      </c>
      <c r="J3703" s="2"/>
      <c r="K3703" s="2"/>
      <c r="L3703" s="2">
        <v>0</v>
      </c>
      <c r="M3703" s="3"/>
      <c r="N3703" s="4">
        <v>0</v>
      </c>
      <c r="O3703" s="5" t="s">
        <v>44</v>
      </c>
      <c r="P3703" s="5" t="s">
        <v>44</v>
      </c>
      <c r="Q3703" s="1"/>
      <c r="R3703" s="2"/>
      <c r="S3703" s="6"/>
      <c r="T3703" t="s">
        <v>11031</v>
      </c>
      <c r="U3703" t="s">
        <v>11183</v>
      </c>
      <c r="V3703" t="s">
        <v>45</v>
      </c>
      <c r="W3703" t="s">
        <v>43</v>
      </c>
      <c r="X3703" t="s">
        <v>44</v>
      </c>
      <c r="Y3703" t="s">
        <v>44</v>
      </c>
      <c r="Z3703" t="s">
        <v>44</v>
      </c>
      <c r="AA3703" t="s">
        <v>44</v>
      </c>
      <c r="AB3703" t="s">
        <v>44</v>
      </c>
      <c r="AC3703" s="4"/>
      <c r="AD3703" s="4"/>
      <c r="AE3703" s="2">
        <v>0</v>
      </c>
      <c r="AF3703" s="4">
        <v>0</v>
      </c>
      <c r="AG3703" s="2">
        <v>0</v>
      </c>
      <c r="AH3703" s="2">
        <v>-16665892.529999999</v>
      </c>
      <c r="AI3703" s="2">
        <v>-0.04</v>
      </c>
      <c r="AJ3703" s="5">
        <v>44673</v>
      </c>
      <c r="AK3703" t="s">
        <v>12704</v>
      </c>
      <c r="AL3703" s="2">
        <v>0</v>
      </c>
      <c r="AM3703" s="2">
        <v>0</v>
      </c>
      <c r="AN3703" s="2">
        <v>0</v>
      </c>
      <c r="AO3703" t="s">
        <v>44</v>
      </c>
      <c r="AP3703" t="s">
        <v>44</v>
      </c>
      <c r="AQ3703" t="s">
        <v>11182</v>
      </c>
    </row>
    <row r="3704" spans="1:43" x14ac:dyDescent="0.2">
      <c r="A3704" t="s">
        <v>12703</v>
      </c>
      <c r="B3704" t="s">
        <v>11030</v>
      </c>
      <c r="C3704" t="s">
        <v>11030</v>
      </c>
      <c r="D3704" t="s">
        <v>11181</v>
      </c>
      <c r="E3704" t="s">
        <v>11151</v>
      </c>
      <c r="F3704" t="s">
        <v>11181</v>
      </c>
      <c r="G3704" s="1">
        <v>60</v>
      </c>
      <c r="H3704" s="2"/>
      <c r="I3704" s="2">
        <v>0</v>
      </c>
      <c r="J3704" s="2"/>
      <c r="K3704" s="2"/>
      <c r="L3704" s="2">
        <v>0</v>
      </c>
      <c r="M3704" s="3"/>
      <c r="N3704" s="4">
        <v>0</v>
      </c>
      <c r="O3704" s="5" t="s">
        <v>44</v>
      </c>
      <c r="P3704" s="5" t="s">
        <v>44</v>
      </c>
      <c r="Q3704" s="1"/>
      <c r="R3704" s="2"/>
      <c r="S3704" s="6"/>
      <c r="T3704" t="s">
        <v>11031</v>
      </c>
      <c r="U3704" t="s">
        <v>11032</v>
      </c>
      <c r="V3704" t="s">
        <v>45</v>
      </c>
      <c r="W3704" t="s">
        <v>43</v>
      </c>
      <c r="X3704" t="s">
        <v>44</v>
      </c>
      <c r="Y3704" t="s">
        <v>44</v>
      </c>
      <c r="Z3704" t="s">
        <v>44</v>
      </c>
      <c r="AA3704" t="s">
        <v>44</v>
      </c>
      <c r="AB3704" t="s">
        <v>44</v>
      </c>
      <c r="AC3704" s="4"/>
      <c r="AD3704" s="4"/>
      <c r="AE3704" s="2">
        <v>0</v>
      </c>
      <c r="AF3704" s="4">
        <v>0</v>
      </c>
      <c r="AG3704" s="2">
        <v>0</v>
      </c>
      <c r="AH3704" s="2">
        <v>-39422400</v>
      </c>
      <c r="AI3704" s="2">
        <v>-0.09</v>
      </c>
      <c r="AJ3704" s="5">
        <v>44673</v>
      </c>
      <c r="AK3704" t="s">
        <v>12704</v>
      </c>
      <c r="AL3704" s="2">
        <v>0</v>
      </c>
      <c r="AM3704" s="2">
        <v>0</v>
      </c>
      <c r="AN3704" s="2">
        <v>0</v>
      </c>
      <c r="AO3704" t="s">
        <v>44</v>
      </c>
      <c r="AP3704" t="s">
        <v>44</v>
      </c>
      <c r="AQ3704" t="s">
        <v>11182</v>
      </c>
    </row>
    <row r="3705" spans="1:43" x14ac:dyDescent="0.2">
      <c r="A3705" t="s">
        <v>12703</v>
      </c>
      <c r="B3705" t="s">
        <v>11030</v>
      </c>
      <c r="C3705" t="s">
        <v>11030</v>
      </c>
      <c r="D3705" t="s">
        <v>13001</v>
      </c>
      <c r="E3705" t="s">
        <v>12995</v>
      </c>
      <c r="F3705" t="s">
        <v>13001</v>
      </c>
      <c r="G3705" s="1">
        <v>-19</v>
      </c>
      <c r="H3705" s="2"/>
      <c r="I3705" s="2">
        <v>0</v>
      </c>
      <c r="J3705" s="2"/>
      <c r="K3705" s="2"/>
      <c r="L3705" s="2">
        <v>0</v>
      </c>
      <c r="M3705" s="3"/>
      <c r="N3705" s="4">
        <v>0</v>
      </c>
      <c r="O3705" s="5" t="s">
        <v>44</v>
      </c>
      <c r="P3705" s="5" t="s">
        <v>44</v>
      </c>
      <c r="Q3705" s="1"/>
      <c r="R3705" s="2"/>
      <c r="S3705" s="6"/>
      <c r="T3705" t="s">
        <v>11031</v>
      </c>
      <c r="U3705" t="s">
        <v>11183</v>
      </c>
      <c r="V3705" t="s">
        <v>45</v>
      </c>
      <c r="W3705" t="s">
        <v>43</v>
      </c>
      <c r="X3705" t="s">
        <v>44</v>
      </c>
      <c r="Y3705" t="s">
        <v>44</v>
      </c>
      <c r="Z3705" t="s">
        <v>44</v>
      </c>
      <c r="AA3705" t="s">
        <v>44</v>
      </c>
      <c r="AB3705" t="s">
        <v>44</v>
      </c>
      <c r="AC3705" s="4"/>
      <c r="AD3705" s="4"/>
      <c r="AE3705" s="2">
        <v>0</v>
      </c>
      <c r="AF3705" s="4">
        <v>0</v>
      </c>
      <c r="AG3705" s="2">
        <v>0</v>
      </c>
      <c r="AH3705" s="2">
        <v>-3777733.13</v>
      </c>
      <c r="AI3705" s="2">
        <v>-0.01</v>
      </c>
      <c r="AJ3705" s="5">
        <v>44673</v>
      </c>
      <c r="AK3705" t="s">
        <v>12704</v>
      </c>
      <c r="AL3705" s="2">
        <v>0</v>
      </c>
      <c r="AM3705" s="2">
        <v>0</v>
      </c>
      <c r="AN3705" s="2">
        <v>0</v>
      </c>
      <c r="AO3705" t="s">
        <v>44</v>
      </c>
      <c r="AP3705" t="s">
        <v>44</v>
      </c>
      <c r="AQ3705" t="s">
        <v>11182</v>
      </c>
    </row>
    <row r="3706" spans="1:43" x14ac:dyDescent="0.2">
      <c r="A3706" t="s">
        <v>12703</v>
      </c>
      <c r="B3706" t="s">
        <v>11030</v>
      </c>
      <c r="C3706" t="s">
        <v>11030</v>
      </c>
      <c r="D3706" t="s">
        <v>11184</v>
      </c>
      <c r="E3706" t="s">
        <v>11155</v>
      </c>
      <c r="F3706" t="s">
        <v>11184</v>
      </c>
      <c r="G3706" s="1">
        <v>-51</v>
      </c>
      <c r="H3706" s="2"/>
      <c r="I3706" s="2">
        <v>0</v>
      </c>
      <c r="J3706" s="2"/>
      <c r="K3706" s="2"/>
      <c r="L3706" s="2">
        <v>0</v>
      </c>
      <c r="M3706" s="3"/>
      <c r="N3706" s="4">
        <v>0</v>
      </c>
      <c r="O3706" s="5" t="s">
        <v>44</v>
      </c>
      <c r="P3706" s="5" t="s">
        <v>44</v>
      </c>
      <c r="Q3706" s="1"/>
      <c r="R3706" s="2"/>
      <c r="S3706" s="6"/>
      <c r="T3706" t="s">
        <v>11031</v>
      </c>
      <c r="U3706" t="s">
        <v>11183</v>
      </c>
      <c r="V3706" t="s">
        <v>45</v>
      </c>
      <c r="W3706" t="s">
        <v>43</v>
      </c>
      <c r="X3706" t="s">
        <v>44</v>
      </c>
      <c r="Y3706" t="s">
        <v>44</v>
      </c>
      <c r="Z3706" t="s">
        <v>44</v>
      </c>
      <c r="AA3706" t="s">
        <v>44</v>
      </c>
      <c r="AB3706" t="s">
        <v>44</v>
      </c>
      <c r="AC3706" s="4"/>
      <c r="AD3706" s="4"/>
      <c r="AE3706" s="2">
        <v>0</v>
      </c>
      <c r="AF3706" s="4">
        <v>0</v>
      </c>
      <c r="AG3706" s="2">
        <v>0</v>
      </c>
      <c r="AH3706" s="2">
        <v>1233592.77</v>
      </c>
      <c r="AI3706" s="2">
        <v>0</v>
      </c>
      <c r="AJ3706" s="5">
        <v>44673</v>
      </c>
      <c r="AK3706" t="s">
        <v>12704</v>
      </c>
      <c r="AL3706" s="2">
        <v>0</v>
      </c>
      <c r="AM3706" s="2">
        <v>0</v>
      </c>
      <c r="AN3706" s="2">
        <v>0</v>
      </c>
      <c r="AO3706" t="s">
        <v>44</v>
      </c>
      <c r="AP3706" t="s">
        <v>44</v>
      </c>
      <c r="AQ3706" t="s">
        <v>11182</v>
      </c>
    </row>
    <row r="3707" spans="1:43" x14ac:dyDescent="0.2">
      <c r="A3707" t="s">
        <v>12703</v>
      </c>
      <c r="B3707" t="s">
        <v>11030</v>
      </c>
      <c r="C3707" t="s">
        <v>11030</v>
      </c>
      <c r="D3707" t="s">
        <v>11185</v>
      </c>
      <c r="E3707" t="s">
        <v>11157</v>
      </c>
      <c r="F3707" t="s">
        <v>11185</v>
      </c>
      <c r="G3707" s="1">
        <v>-23</v>
      </c>
      <c r="H3707" s="2"/>
      <c r="I3707" s="2">
        <v>0</v>
      </c>
      <c r="J3707" s="2"/>
      <c r="K3707" s="2"/>
      <c r="L3707" s="2">
        <v>0</v>
      </c>
      <c r="M3707" s="3"/>
      <c r="N3707" s="4">
        <v>0</v>
      </c>
      <c r="O3707" s="5" t="s">
        <v>44</v>
      </c>
      <c r="P3707" s="5" t="s">
        <v>44</v>
      </c>
      <c r="Q3707" s="1"/>
      <c r="R3707" s="2"/>
      <c r="S3707" s="6"/>
      <c r="T3707" t="s">
        <v>11031</v>
      </c>
      <c r="U3707" t="s">
        <v>11032</v>
      </c>
      <c r="V3707" t="s">
        <v>45</v>
      </c>
      <c r="W3707" t="s">
        <v>43</v>
      </c>
      <c r="X3707" t="s">
        <v>44</v>
      </c>
      <c r="Y3707" t="s">
        <v>44</v>
      </c>
      <c r="Z3707" t="s">
        <v>44</v>
      </c>
      <c r="AA3707" t="s">
        <v>44</v>
      </c>
      <c r="AB3707" t="s">
        <v>44</v>
      </c>
      <c r="AC3707" s="4"/>
      <c r="AD3707" s="4"/>
      <c r="AE3707" s="2">
        <v>0</v>
      </c>
      <c r="AF3707" s="4">
        <v>0</v>
      </c>
      <c r="AG3707" s="2">
        <v>0</v>
      </c>
      <c r="AH3707" s="2">
        <v>15120430</v>
      </c>
      <c r="AI3707" s="2">
        <v>0.03</v>
      </c>
      <c r="AJ3707" s="5">
        <v>44673</v>
      </c>
      <c r="AK3707" t="s">
        <v>12704</v>
      </c>
      <c r="AL3707" s="2">
        <v>0</v>
      </c>
      <c r="AM3707" s="2">
        <v>0</v>
      </c>
      <c r="AN3707" s="2">
        <v>0</v>
      </c>
      <c r="AO3707" t="s">
        <v>44</v>
      </c>
      <c r="AP3707" t="s">
        <v>44</v>
      </c>
      <c r="AQ3707" t="s">
        <v>11182</v>
      </c>
    </row>
    <row r="3708" spans="1:43" x14ac:dyDescent="0.2">
      <c r="A3708" t="s">
        <v>12703</v>
      </c>
      <c r="B3708" t="s">
        <v>11030</v>
      </c>
      <c r="C3708" t="s">
        <v>11030</v>
      </c>
      <c r="D3708" t="s">
        <v>12743</v>
      </c>
      <c r="E3708" t="s">
        <v>12738</v>
      </c>
      <c r="F3708" t="s">
        <v>12743</v>
      </c>
      <c r="G3708" s="1">
        <v>59</v>
      </c>
      <c r="H3708" s="2"/>
      <c r="I3708" s="2">
        <v>0</v>
      </c>
      <c r="J3708" s="2"/>
      <c r="K3708" s="2"/>
      <c r="L3708" s="2">
        <v>0</v>
      </c>
      <c r="M3708" s="3"/>
      <c r="N3708" s="4">
        <v>0</v>
      </c>
      <c r="O3708" s="5" t="s">
        <v>44</v>
      </c>
      <c r="P3708" s="5" t="s">
        <v>44</v>
      </c>
      <c r="Q3708" s="1"/>
      <c r="R3708" s="2"/>
      <c r="S3708" s="6"/>
      <c r="T3708" t="s">
        <v>11031</v>
      </c>
      <c r="U3708" t="s">
        <v>11183</v>
      </c>
      <c r="V3708" t="s">
        <v>45</v>
      </c>
      <c r="W3708" t="s">
        <v>43</v>
      </c>
      <c r="X3708" t="s">
        <v>44</v>
      </c>
      <c r="Y3708" t="s">
        <v>44</v>
      </c>
      <c r="Z3708" t="s">
        <v>44</v>
      </c>
      <c r="AA3708" t="s">
        <v>44</v>
      </c>
      <c r="AB3708" t="s">
        <v>44</v>
      </c>
      <c r="AC3708" s="4"/>
      <c r="AD3708" s="4"/>
      <c r="AE3708" s="2">
        <v>0</v>
      </c>
      <c r="AF3708" s="4">
        <v>0</v>
      </c>
      <c r="AG3708" s="2">
        <v>0</v>
      </c>
      <c r="AH3708" s="2">
        <v>-13986527.82</v>
      </c>
      <c r="AI3708" s="2">
        <v>-0.03</v>
      </c>
      <c r="AJ3708" s="5">
        <v>44673</v>
      </c>
      <c r="AK3708" t="s">
        <v>12704</v>
      </c>
      <c r="AL3708" s="2">
        <v>0</v>
      </c>
      <c r="AM3708" s="2">
        <v>0</v>
      </c>
      <c r="AN3708" s="2">
        <v>0</v>
      </c>
      <c r="AO3708" t="s">
        <v>44</v>
      </c>
      <c r="AP3708" t="s">
        <v>44</v>
      </c>
      <c r="AQ3708" t="s">
        <v>11182</v>
      </c>
    </row>
    <row r="3709" spans="1:43" x14ac:dyDescent="0.2">
      <c r="A3709" t="s">
        <v>12703</v>
      </c>
      <c r="B3709" t="s">
        <v>11030</v>
      </c>
      <c r="C3709" t="s">
        <v>11030</v>
      </c>
      <c r="D3709" t="s">
        <v>12726</v>
      </c>
      <c r="E3709" t="s">
        <v>12722</v>
      </c>
      <c r="F3709" t="s">
        <v>12726</v>
      </c>
      <c r="G3709" s="1">
        <v>60</v>
      </c>
      <c r="H3709" s="2"/>
      <c r="I3709" s="2">
        <v>0</v>
      </c>
      <c r="J3709" s="2"/>
      <c r="K3709" s="2"/>
      <c r="L3709" s="2">
        <v>0</v>
      </c>
      <c r="M3709" s="3"/>
      <c r="N3709" s="4">
        <v>0</v>
      </c>
      <c r="O3709" s="5" t="s">
        <v>44</v>
      </c>
      <c r="P3709" s="5" t="s">
        <v>44</v>
      </c>
      <c r="Q3709" s="1"/>
      <c r="R3709" s="2"/>
      <c r="S3709" s="6"/>
      <c r="T3709" t="s">
        <v>11031</v>
      </c>
      <c r="U3709" t="s">
        <v>11183</v>
      </c>
      <c r="V3709" t="s">
        <v>45</v>
      </c>
      <c r="W3709" t="s">
        <v>43</v>
      </c>
      <c r="X3709" t="s">
        <v>44</v>
      </c>
      <c r="Y3709" t="s">
        <v>44</v>
      </c>
      <c r="Z3709" t="s">
        <v>44</v>
      </c>
      <c r="AA3709" t="s">
        <v>44</v>
      </c>
      <c r="AB3709" t="s">
        <v>44</v>
      </c>
      <c r="AC3709" s="4"/>
      <c r="AD3709" s="4"/>
      <c r="AE3709" s="2">
        <v>0</v>
      </c>
      <c r="AF3709" s="4">
        <v>0</v>
      </c>
      <c r="AG3709" s="2">
        <v>0</v>
      </c>
      <c r="AH3709" s="2">
        <v>-12247435.07</v>
      </c>
      <c r="AI3709" s="2">
        <v>-0.03</v>
      </c>
      <c r="AJ3709" s="5">
        <v>44673</v>
      </c>
      <c r="AK3709" t="s">
        <v>12704</v>
      </c>
      <c r="AL3709" s="2">
        <v>0</v>
      </c>
      <c r="AM3709" s="2">
        <v>0</v>
      </c>
      <c r="AN3709" s="2">
        <v>0</v>
      </c>
      <c r="AO3709" t="s">
        <v>44</v>
      </c>
      <c r="AP3709" t="s">
        <v>44</v>
      </c>
      <c r="AQ3709" t="s">
        <v>11182</v>
      </c>
    </row>
    <row r="3710" spans="1:43" x14ac:dyDescent="0.2">
      <c r="A3710" t="s">
        <v>12703</v>
      </c>
      <c r="B3710" t="s">
        <v>11030</v>
      </c>
      <c r="C3710" t="s">
        <v>11030</v>
      </c>
      <c r="D3710" t="s">
        <v>13002</v>
      </c>
      <c r="E3710" t="s">
        <v>12996</v>
      </c>
      <c r="F3710" t="s">
        <v>13002</v>
      </c>
      <c r="G3710" s="1">
        <v>-46</v>
      </c>
      <c r="H3710" s="2"/>
      <c r="I3710" s="2">
        <v>0</v>
      </c>
      <c r="J3710" s="2"/>
      <c r="K3710" s="2"/>
      <c r="L3710" s="2">
        <v>0</v>
      </c>
      <c r="M3710" s="3"/>
      <c r="N3710" s="4">
        <v>0</v>
      </c>
      <c r="O3710" s="5" t="s">
        <v>44</v>
      </c>
      <c r="P3710" s="5" t="s">
        <v>44</v>
      </c>
      <c r="Q3710" s="1"/>
      <c r="R3710" s="2"/>
      <c r="S3710" s="6"/>
      <c r="T3710" t="s">
        <v>11031</v>
      </c>
      <c r="U3710" t="s">
        <v>11183</v>
      </c>
      <c r="V3710" t="s">
        <v>45</v>
      </c>
      <c r="W3710" t="s">
        <v>43</v>
      </c>
      <c r="X3710" t="s">
        <v>44</v>
      </c>
      <c r="Y3710" t="s">
        <v>44</v>
      </c>
      <c r="Z3710" t="s">
        <v>44</v>
      </c>
      <c r="AA3710" t="s">
        <v>44</v>
      </c>
      <c r="AB3710" t="s">
        <v>44</v>
      </c>
      <c r="AC3710" s="4"/>
      <c r="AD3710" s="4"/>
      <c r="AE3710" s="2">
        <v>0</v>
      </c>
      <c r="AF3710" s="4">
        <v>0</v>
      </c>
      <c r="AG3710" s="2">
        <v>0</v>
      </c>
      <c r="AH3710" s="2">
        <v>4444000.58</v>
      </c>
      <c r="AI3710" s="2">
        <v>0.01</v>
      </c>
      <c r="AJ3710" s="5">
        <v>44673</v>
      </c>
      <c r="AK3710" t="s">
        <v>12704</v>
      </c>
      <c r="AL3710" s="2">
        <v>0</v>
      </c>
      <c r="AM3710" s="2">
        <v>0</v>
      </c>
      <c r="AN3710" s="2">
        <v>0</v>
      </c>
      <c r="AO3710" t="s">
        <v>44</v>
      </c>
      <c r="AP3710" t="s">
        <v>44</v>
      </c>
      <c r="AQ3710" t="s">
        <v>11182</v>
      </c>
    </row>
    <row r="3711" spans="1:43" x14ac:dyDescent="0.2">
      <c r="A3711" t="s">
        <v>12703</v>
      </c>
      <c r="B3711" t="s">
        <v>11030</v>
      </c>
      <c r="C3711" t="s">
        <v>11030</v>
      </c>
      <c r="D3711" t="s">
        <v>12744</v>
      </c>
      <c r="E3711" t="s">
        <v>12739</v>
      </c>
      <c r="F3711" t="s">
        <v>12744</v>
      </c>
      <c r="G3711" s="1">
        <v>-46</v>
      </c>
      <c r="H3711" s="2"/>
      <c r="I3711" s="2">
        <v>0</v>
      </c>
      <c r="J3711" s="2"/>
      <c r="K3711" s="2"/>
      <c r="L3711" s="2">
        <v>0</v>
      </c>
      <c r="M3711" s="3"/>
      <c r="N3711" s="4">
        <v>0</v>
      </c>
      <c r="O3711" s="5" t="s">
        <v>44</v>
      </c>
      <c r="P3711" s="5" t="s">
        <v>44</v>
      </c>
      <c r="Q3711" s="1"/>
      <c r="R3711" s="2"/>
      <c r="S3711" s="6"/>
      <c r="T3711" t="s">
        <v>11031</v>
      </c>
      <c r="U3711" t="s">
        <v>11183</v>
      </c>
      <c r="V3711" t="s">
        <v>45</v>
      </c>
      <c r="W3711" t="s">
        <v>43</v>
      </c>
      <c r="X3711" t="s">
        <v>44</v>
      </c>
      <c r="Y3711" t="s">
        <v>44</v>
      </c>
      <c r="Z3711" t="s">
        <v>44</v>
      </c>
      <c r="AA3711" t="s">
        <v>44</v>
      </c>
      <c r="AB3711" t="s">
        <v>44</v>
      </c>
      <c r="AC3711" s="4"/>
      <c r="AD3711" s="4"/>
      <c r="AE3711" s="2">
        <v>0</v>
      </c>
      <c r="AF3711" s="4">
        <v>0</v>
      </c>
      <c r="AG3711" s="2">
        <v>0</v>
      </c>
      <c r="AH3711" s="2">
        <v>2284223.52</v>
      </c>
      <c r="AI3711" s="2">
        <v>0.01</v>
      </c>
      <c r="AJ3711" s="5">
        <v>44673</v>
      </c>
      <c r="AK3711" t="s">
        <v>12704</v>
      </c>
      <c r="AL3711" s="2">
        <v>0</v>
      </c>
      <c r="AM3711" s="2">
        <v>0</v>
      </c>
      <c r="AN3711" s="2">
        <v>0</v>
      </c>
      <c r="AO3711" t="s">
        <v>44</v>
      </c>
      <c r="AP3711" t="s">
        <v>44</v>
      </c>
      <c r="AQ3711" t="s">
        <v>11182</v>
      </c>
    </row>
    <row r="3712" spans="1:43" x14ac:dyDescent="0.2">
      <c r="A3712" t="s">
        <v>12705</v>
      </c>
      <c r="B3712" t="s">
        <v>45</v>
      </c>
      <c r="C3712" t="s">
        <v>11000</v>
      </c>
      <c r="D3712" t="s">
        <v>11268</v>
      </c>
      <c r="E3712" t="s">
        <v>11269</v>
      </c>
      <c r="F3712" t="s">
        <v>11268</v>
      </c>
      <c r="G3712" s="1">
        <v>20474790</v>
      </c>
      <c r="H3712" s="2">
        <v>20474790</v>
      </c>
      <c r="I3712" s="2">
        <v>20474790</v>
      </c>
      <c r="J3712" s="2">
        <v>65774</v>
      </c>
      <c r="K3712" s="2">
        <v>0</v>
      </c>
      <c r="L3712" s="2">
        <v>20540564</v>
      </c>
      <c r="M3712" s="3">
        <v>4.617</v>
      </c>
      <c r="N3712" s="4">
        <v>4.6731990000000001E-2</v>
      </c>
      <c r="O3712" s="5" t="s">
        <v>44</v>
      </c>
      <c r="P3712" s="5">
        <v>47848</v>
      </c>
      <c r="Q3712" s="1">
        <v>4.617</v>
      </c>
      <c r="R3712" s="2">
        <v>0.08</v>
      </c>
      <c r="S3712" s="6"/>
      <c r="T3712" t="s">
        <v>112</v>
      </c>
      <c r="U3712" t="s">
        <v>46</v>
      </c>
      <c r="V3712" t="s">
        <v>11270</v>
      </c>
      <c r="W3712" t="s">
        <v>43</v>
      </c>
      <c r="X3712" t="s">
        <v>44</v>
      </c>
      <c r="Y3712" t="s">
        <v>44</v>
      </c>
      <c r="Z3712" t="s">
        <v>44</v>
      </c>
      <c r="AA3712" t="s">
        <v>44</v>
      </c>
      <c r="AB3712" t="s">
        <v>44</v>
      </c>
      <c r="AC3712" s="4">
        <v>4.7160921900000004</v>
      </c>
      <c r="AD3712" s="4">
        <v>4.6171215200000004</v>
      </c>
      <c r="AE3712" s="2">
        <v>4.72</v>
      </c>
      <c r="AF3712" s="4">
        <v>4.6171215200000004</v>
      </c>
      <c r="AG3712" s="2">
        <v>3.76</v>
      </c>
      <c r="AH3712" s="2">
        <v>20540564</v>
      </c>
      <c r="AI3712" s="2">
        <v>0.05</v>
      </c>
      <c r="AJ3712" s="5">
        <v>44673</v>
      </c>
      <c r="AK3712" t="s">
        <v>12706</v>
      </c>
      <c r="AL3712" s="2">
        <v>4.66</v>
      </c>
      <c r="AM3712" s="2">
        <v>4.62</v>
      </c>
      <c r="AN3712" s="2">
        <v>0</v>
      </c>
      <c r="AO3712" t="s">
        <v>44</v>
      </c>
      <c r="AP3712" t="s">
        <v>44</v>
      </c>
      <c r="AQ3712" t="s">
        <v>11269</v>
      </c>
    </row>
    <row r="3713" spans="1:43" x14ac:dyDescent="0.2">
      <c r="A3713" t="s">
        <v>12705</v>
      </c>
      <c r="B3713" t="s">
        <v>45</v>
      </c>
      <c r="C3713" t="s">
        <v>11000</v>
      </c>
      <c r="D3713" t="s">
        <v>11271</v>
      </c>
      <c r="E3713" t="s">
        <v>11272</v>
      </c>
      <c r="F3713" t="s">
        <v>11271</v>
      </c>
      <c r="G3713" s="1">
        <v>20060000</v>
      </c>
      <c r="H3713" s="2">
        <v>20060000</v>
      </c>
      <c r="I3713" s="2">
        <v>20060000</v>
      </c>
      <c r="J3713" s="2">
        <v>64441.51</v>
      </c>
      <c r="K3713" s="2">
        <v>0</v>
      </c>
      <c r="L3713" s="2">
        <v>20124441.510000002</v>
      </c>
      <c r="M3713" s="3">
        <v>4.617</v>
      </c>
      <c r="N3713" s="4">
        <v>4.5785270000000003E-2</v>
      </c>
      <c r="O3713" s="5" t="s">
        <v>44</v>
      </c>
      <c r="P3713" s="5">
        <v>47848</v>
      </c>
      <c r="Q3713" s="1">
        <v>4.617</v>
      </c>
      <c r="R3713" s="2">
        <v>0.08</v>
      </c>
      <c r="S3713" s="6"/>
      <c r="T3713" t="s">
        <v>112</v>
      </c>
      <c r="U3713" t="s">
        <v>46</v>
      </c>
      <c r="V3713" t="s">
        <v>11270</v>
      </c>
      <c r="W3713" t="s">
        <v>43</v>
      </c>
      <c r="X3713" t="s">
        <v>44</v>
      </c>
      <c r="Y3713" t="s">
        <v>44</v>
      </c>
      <c r="Z3713" t="s">
        <v>44</v>
      </c>
      <c r="AA3713" t="s">
        <v>44</v>
      </c>
      <c r="AB3713" t="s">
        <v>44</v>
      </c>
      <c r="AC3713" s="4">
        <v>4.7160921900000004</v>
      </c>
      <c r="AD3713" s="4">
        <v>4.6171215200000004</v>
      </c>
      <c r="AE3713" s="2">
        <v>4.72</v>
      </c>
      <c r="AF3713" s="4">
        <v>4.6171215200000004</v>
      </c>
      <c r="AG3713" s="2">
        <v>3.68</v>
      </c>
      <c r="AH3713" s="2">
        <v>20124441.510000002</v>
      </c>
      <c r="AI3713" s="2">
        <v>0.05</v>
      </c>
      <c r="AJ3713" s="5">
        <v>44673</v>
      </c>
      <c r="AK3713" t="s">
        <v>12706</v>
      </c>
      <c r="AL3713" s="2">
        <v>4.66</v>
      </c>
      <c r="AM3713" s="2">
        <v>4.62</v>
      </c>
      <c r="AN3713" s="2">
        <v>0</v>
      </c>
      <c r="AO3713" t="s">
        <v>44</v>
      </c>
      <c r="AP3713" t="s">
        <v>44</v>
      </c>
      <c r="AQ3713" t="s">
        <v>11272</v>
      </c>
    </row>
    <row r="3714" spans="1:43" x14ac:dyDescent="0.2">
      <c r="A3714" t="s">
        <v>12705</v>
      </c>
      <c r="B3714" t="s">
        <v>45</v>
      </c>
      <c r="C3714" t="s">
        <v>11000</v>
      </c>
      <c r="D3714" t="s">
        <v>11001</v>
      </c>
      <c r="E3714" t="s">
        <v>11002</v>
      </c>
      <c r="F3714" t="s">
        <v>11001</v>
      </c>
      <c r="G3714" s="1">
        <v>87767838.849999994</v>
      </c>
      <c r="H3714" s="2">
        <v>87767838.859999999</v>
      </c>
      <c r="I3714" s="2">
        <v>87767838.859999999</v>
      </c>
      <c r="J3714" s="2">
        <v>277496.36</v>
      </c>
      <c r="K3714" s="2">
        <v>0</v>
      </c>
      <c r="L3714" s="2">
        <v>88045335.219999999</v>
      </c>
      <c r="M3714" s="3"/>
      <c r="N3714" s="4">
        <v>0.20031262</v>
      </c>
      <c r="O3714" s="5">
        <v>40756</v>
      </c>
      <c r="P3714" s="5">
        <v>73020</v>
      </c>
      <c r="Q3714" s="1">
        <v>0</v>
      </c>
      <c r="R3714" s="2"/>
      <c r="S3714" s="6"/>
      <c r="T3714" t="s">
        <v>111</v>
      </c>
      <c r="U3714" t="s">
        <v>11003</v>
      </c>
      <c r="V3714" t="s">
        <v>46</v>
      </c>
      <c r="W3714" t="s">
        <v>43</v>
      </c>
      <c r="X3714" t="s">
        <v>44</v>
      </c>
      <c r="Y3714" t="s">
        <v>44</v>
      </c>
      <c r="Z3714" t="s">
        <v>44</v>
      </c>
      <c r="AA3714" t="s">
        <v>44</v>
      </c>
      <c r="AB3714" t="s">
        <v>44</v>
      </c>
      <c r="AC3714" s="4"/>
      <c r="AD3714" s="4"/>
      <c r="AE3714" s="2">
        <v>0</v>
      </c>
      <c r="AF3714" s="4">
        <v>0</v>
      </c>
      <c r="AG3714" s="2">
        <v>16.12</v>
      </c>
      <c r="AH3714" s="2">
        <v>88045335.219999999</v>
      </c>
      <c r="AI3714" s="2">
        <v>0.2</v>
      </c>
      <c r="AJ3714" s="5">
        <v>44673</v>
      </c>
      <c r="AK3714" t="s">
        <v>12706</v>
      </c>
      <c r="AL3714" s="2">
        <v>0</v>
      </c>
      <c r="AM3714" s="2">
        <v>0</v>
      </c>
      <c r="AN3714" s="2">
        <v>0</v>
      </c>
      <c r="AO3714" t="s">
        <v>44</v>
      </c>
      <c r="AP3714" t="s">
        <v>11004</v>
      </c>
      <c r="AQ3714" t="s">
        <v>11002</v>
      </c>
    </row>
    <row r="3715" spans="1:43" x14ac:dyDescent="0.2">
      <c r="A3715" t="s">
        <v>12705</v>
      </c>
      <c r="B3715" t="s">
        <v>45</v>
      </c>
      <c r="C3715" t="s">
        <v>11144</v>
      </c>
      <c r="D3715" t="s">
        <v>11145</v>
      </c>
      <c r="E3715" t="s">
        <v>11146</v>
      </c>
      <c r="F3715" t="s">
        <v>11147</v>
      </c>
      <c r="G3715" s="1">
        <v>2853520</v>
      </c>
      <c r="H3715" s="2">
        <v>2853520</v>
      </c>
      <c r="I3715" s="2">
        <v>2853520</v>
      </c>
      <c r="J3715" s="2">
        <v>7654.57</v>
      </c>
      <c r="K3715" s="2">
        <v>0</v>
      </c>
      <c r="L3715" s="2">
        <v>2861174.57</v>
      </c>
      <c r="M3715" s="3">
        <v>6.88</v>
      </c>
      <c r="N3715" s="4">
        <v>6.5094799999999998E-3</v>
      </c>
      <c r="O3715" s="5" t="s">
        <v>44</v>
      </c>
      <c r="P3715" s="5">
        <v>55153</v>
      </c>
      <c r="Q3715" s="1">
        <v>6.88</v>
      </c>
      <c r="R3715" s="2">
        <v>0.08</v>
      </c>
      <c r="S3715" s="6">
        <v>2.6006750000000002E-3</v>
      </c>
      <c r="T3715" t="s">
        <v>112</v>
      </c>
      <c r="U3715" t="s">
        <v>46</v>
      </c>
      <c r="V3715" t="s">
        <v>11148</v>
      </c>
      <c r="W3715" t="s">
        <v>43</v>
      </c>
      <c r="X3715" t="s">
        <v>44</v>
      </c>
      <c r="Y3715" t="s">
        <v>44</v>
      </c>
      <c r="Z3715" t="s">
        <v>44</v>
      </c>
      <c r="AA3715" t="s">
        <v>44</v>
      </c>
      <c r="AB3715" t="s">
        <v>44</v>
      </c>
      <c r="AC3715" s="4"/>
      <c r="AD3715" s="4"/>
      <c r="AE3715" s="2">
        <v>0</v>
      </c>
      <c r="AF3715" s="4">
        <v>0</v>
      </c>
      <c r="AG3715" s="2">
        <v>0.52</v>
      </c>
      <c r="AH3715" s="2">
        <v>2861174.57</v>
      </c>
      <c r="AI3715" s="2">
        <v>0.01</v>
      </c>
      <c r="AJ3715" s="5">
        <v>44673</v>
      </c>
      <c r="AK3715" t="s">
        <v>12706</v>
      </c>
      <c r="AL3715" s="2">
        <v>0</v>
      </c>
      <c r="AM3715" s="2">
        <v>6.88</v>
      </c>
      <c r="AN3715" s="2">
        <v>0</v>
      </c>
      <c r="AO3715" t="s">
        <v>11146</v>
      </c>
      <c r="AP3715" t="s">
        <v>44</v>
      </c>
      <c r="AQ3715" t="s">
        <v>11146</v>
      </c>
    </row>
    <row r="3716" spans="1:43" x14ac:dyDescent="0.2">
      <c r="A3716" t="s">
        <v>12705</v>
      </c>
      <c r="B3716" t="s">
        <v>45</v>
      </c>
      <c r="C3716" t="s">
        <v>47</v>
      </c>
      <c r="D3716" t="s">
        <v>48</v>
      </c>
      <c r="E3716" t="s">
        <v>49</v>
      </c>
      <c r="F3716" t="s">
        <v>50</v>
      </c>
      <c r="G3716" s="1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6345.81</v>
      </c>
      <c r="M3716" s="3"/>
      <c r="N3716" s="4">
        <v>1.4440000000000001E-5</v>
      </c>
      <c r="O3716" s="5" t="s">
        <v>44</v>
      </c>
      <c r="P3716" s="5" t="s">
        <v>44</v>
      </c>
      <c r="Q3716" s="1"/>
      <c r="R3716" s="2">
        <v>0.08</v>
      </c>
      <c r="S3716" s="6"/>
      <c r="T3716" t="s">
        <v>45</v>
      </c>
      <c r="U3716" t="s">
        <v>46</v>
      </c>
      <c r="V3716" t="s">
        <v>44</v>
      </c>
      <c r="W3716" t="s">
        <v>43</v>
      </c>
      <c r="X3716" t="s">
        <v>44</v>
      </c>
      <c r="Y3716" t="s">
        <v>44</v>
      </c>
      <c r="Z3716" t="s">
        <v>44</v>
      </c>
      <c r="AA3716" t="s">
        <v>44</v>
      </c>
      <c r="AB3716" t="s">
        <v>44</v>
      </c>
      <c r="AC3716" s="4">
        <v>5.1163389600000002</v>
      </c>
      <c r="AD3716" s="4">
        <v>5.0001424999999999</v>
      </c>
      <c r="AE3716" s="2">
        <v>5.12</v>
      </c>
      <c r="AF3716" s="4">
        <v>5.0001424999999999</v>
      </c>
      <c r="AG3716" s="2">
        <v>0</v>
      </c>
      <c r="AH3716" s="2">
        <v>6345.81</v>
      </c>
      <c r="AI3716" s="2">
        <v>0</v>
      </c>
      <c r="AJ3716" s="5">
        <v>44673</v>
      </c>
      <c r="AK3716" t="s">
        <v>12706</v>
      </c>
      <c r="AL3716" s="2">
        <v>5.05</v>
      </c>
      <c r="AM3716" s="2">
        <v>0</v>
      </c>
      <c r="AN3716" s="2">
        <v>0</v>
      </c>
      <c r="AO3716" t="s">
        <v>44</v>
      </c>
      <c r="AP3716" t="s">
        <v>44</v>
      </c>
      <c r="AQ3716" t="s">
        <v>44</v>
      </c>
    </row>
    <row r="3717" spans="1:43" x14ac:dyDescent="0.2">
      <c r="A3717" t="s">
        <v>12705</v>
      </c>
      <c r="B3717" t="s">
        <v>45</v>
      </c>
      <c r="C3717" t="s">
        <v>47</v>
      </c>
      <c r="D3717" t="s">
        <v>51</v>
      </c>
      <c r="E3717" t="s">
        <v>52</v>
      </c>
      <c r="F3717" t="s">
        <v>51</v>
      </c>
      <c r="G3717" s="1">
        <v>690946.6</v>
      </c>
      <c r="H3717" s="2">
        <v>690946.6</v>
      </c>
      <c r="I3717" s="2">
        <v>690946.6</v>
      </c>
      <c r="J3717" s="2">
        <v>0</v>
      </c>
      <c r="K3717" s="2">
        <v>0</v>
      </c>
      <c r="L3717" s="2">
        <v>690946.6</v>
      </c>
      <c r="M3717" s="3"/>
      <c r="N3717" s="4">
        <v>1.5719799999999999E-3</v>
      </c>
      <c r="O3717" s="5" t="s">
        <v>44</v>
      </c>
      <c r="P3717" s="5" t="s">
        <v>44</v>
      </c>
      <c r="Q3717" s="1"/>
      <c r="R3717" s="2">
        <v>0.08</v>
      </c>
      <c r="S3717" s="6"/>
      <c r="T3717" t="s">
        <v>45</v>
      </c>
      <c r="U3717" t="s">
        <v>53</v>
      </c>
      <c r="V3717" t="s">
        <v>44</v>
      </c>
      <c r="W3717" t="s">
        <v>43</v>
      </c>
      <c r="X3717" t="s">
        <v>44</v>
      </c>
      <c r="Y3717" t="s">
        <v>44</v>
      </c>
      <c r="Z3717" t="s">
        <v>44</v>
      </c>
      <c r="AA3717" t="s">
        <v>44</v>
      </c>
      <c r="AB3717" t="s">
        <v>44</v>
      </c>
      <c r="AC3717" s="4">
        <v>5.1163389600000002</v>
      </c>
      <c r="AD3717" s="4">
        <v>5.0001424999999999</v>
      </c>
      <c r="AE3717" s="2">
        <v>5.12</v>
      </c>
      <c r="AF3717" s="4">
        <v>5.0001424999999999</v>
      </c>
      <c r="AG3717" s="2">
        <v>0.13</v>
      </c>
      <c r="AH3717" s="2">
        <v>690946.6</v>
      </c>
      <c r="AI3717" s="2">
        <v>0</v>
      </c>
      <c r="AJ3717" s="5">
        <v>44673</v>
      </c>
      <c r="AK3717" t="s">
        <v>12706</v>
      </c>
      <c r="AL3717" s="2">
        <v>5.05</v>
      </c>
      <c r="AM3717" s="2">
        <v>0</v>
      </c>
      <c r="AN3717" s="2">
        <v>0</v>
      </c>
      <c r="AO3717" t="s">
        <v>44</v>
      </c>
      <c r="AP3717" t="s">
        <v>44</v>
      </c>
      <c r="AQ3717" t="s">
        <v>43</v>
      </c>
    </row>
    <row r="3718" spans="1:43" x14ac:dyDescent="0.2">
      <c r="A3718" t="s">
        <v>12705</v>
      </c>
      <c r="B3718" t="s">
        <v>45</v>
      </c>
      <c r="C3718" t="s">
        <v>11005</v>
      </c>
      <c r="D3718" t="s">
        <v>11149</v>
      </c>
      <c r="E3718" t="s">
        <v>11150</v>
      </c>
      <c r="F3718" t="s">
        <v>44</v>
      </c>
      <c r="G3718" s="1">
        <v>-281960</v>
      </c>
      <c r="H3718" s="2">
        <v>-281960</v>
      </c>
      <c r="I3718" s="2">
        <v>-281960</v>
      </c>
      <c r="J3718" s="2">
        <v>0</v>
      </c>
      <c r="K3718" s="2"/>
      <c r="L3718" s="2">
        <v>-281960</v>
      </c>
      <c r="M3718" s="3"/>
      <c r="N3718" s="4">
        <v>-6.4148999999999999E-4</v>
      </c>
      <c r="O3718" s="5" t="s">
        <v>44</v>
      </c>
      <c r="P3718" s="5">
        <v>73051</v>
      </c>
      <c r="Q3718" s="1">
        <v>0</v>
      </c>
      <c r="R3718" s="2">
        <v>0.08</v>
      </c>
      <c r="S3718" s="6"/>
      <c r="T3718" t="s">
        <v>45</v>
      </c>
      <c r="U3718" t="s">
        <v>44</v>
      </c>
      <c r="V3718" t="s">
        <v>44</v>
      </c>
      <c r="W3718" t="s">
        <v>43</v>
      </c>
      <c r="X3718" t="s">
        <v>44</v>
      </c>
      <c r="Y3718" t="s">
        <v>44</v>
      </c>
      <c r="Z3718" t="s">
        <v>44</v>
      </c>
      <c r="AA3718" t="s">
        <v>44</v>
      </c>
      <c r="AB3718" t="s">
        <v>44</v>
      </c>
      <c r="AC3718" s="4">
        <v>5.1163389600000002</v>
      </c>
      <c r="AD3718" s="4">
        <v>5.0001424999999999</v>
      </c>
      <c r="AE3718" s="2">
        <v>5.12</v>
      </c>
      <c r="AF3718" s="4">
        <v>5.0001424999999999</v>
      </c>
      <c r="AG3718" s="2">
        <v>-0.05</v>
      </c>
      <c r="AH3718" s="2">
        <v>-281960</v>
      </c>
      <c r="AI3718" s="2">
        <v>0</v>
      </c>
      <c r="AJ3718" s="5">
        <v>44673</v>
      </c>
      <c r="AK3718" t="s">
        <v>12706</v>
      </c>
      <c r="AL3718" s="2">
        <v>5.05</v>
      </c>
      <c r="AM3718" s="2">
        <v>0</v>
      </c>
      <c r="AN3718" s="2">
        <v>0</v>
      </c>
      <c r="AO3718" t="s">
        <v>44</v>
      </c>
      <c r="AP3718" t="s">
        <v>44</v>
      </c>
      <c r="AQ3718" t="s">
        <v>44</v>
      </c>
    </row>
    <row r="3719" spans="1:43" x14ac:dyDescent="0.2">
      <c r="A3719" t="s">
        <v>12705</v>
      </c>
      <c r="B3719" t="s">
        <v>11013</v>
      </c>
      <c r="C3719" t="s">
        <v>11014</v>
      </c>
      <c r="D3719" t="s">
        <v>11751</v>
      </c>
      <c r="E3719" t="s">
        <v>11752</v>
      </c>
      <c r="F3719" t="s">
        <v>11751</v>
      </c>
      <c r="G3719" s="1">
        <v>280932604.33359998</v>
      </c>
      <c r="H3719" s="2">
        <v>289361222.57999998</v>
      </c>
      <c r="I3719" s="2">
        <v>278713236.75999999</v>
      </c>
      <c r="J3719" s="2">
        <v>0</v>
      </c>
      <c r="K3719" s="2">
        <v>0</v>
      </c>
      <c r="L3719" s="2">
        <v>278713236.75999999</v>
      </c>
      <c r="M3719" s="3">
        <v>0.99209999999999998</v>
      </c>
      <c r="N3719" s="4">
        <v>0.63410261999999995</v>
      </c>
      <c r="O3719" s="5" t="s">
        <v>44</v>
      </c>
      <c r="P3719" s="5" t="s">
        <v>44</v>
      </c>
      <c r="Q3719" s="1"/>
      <c r="R3719" s="2"/>
      <c r="S3719" s="6"/>
      <c r="T3719" t="s">
        <v>10902</v>
      </c>
      <c r="U3719" t="s">
        <v>11003</v>
      </c>
      <c r="V3719" t="s">
        <v>11003</v>
      </c>
      <c r="W3719" t="s">
        <v>43</v>
      </c>
      <c r="X3719" t="s">
        <v>44</v>
      </c>
      <c r="Y3719" t="s">
        <v>44</v>
      </c>
      <c r="Z3719" t="s">
        <v>44</v>
      </c>
      <c r="AA3719" t="s">
        <v>44</v>
      </c>
      <c r="AB3719" t="s">
        <v>44</v>
      </c>
      <c r="AC3719" s="4"/>
      <c r="AD3719" s="4"/>
      <c r="AE3719" s="2">
        <v>0</v>
      </c>
      <c r="AF3719" s="4">
        <v>0</v>
      </c>
      <c r="AG3719" s="2">
        <v>51.03</v>
      </c>
      <c r="AH3719" s="2">
        <v>278713236.75999999</v>
      </c>
      <c r="AI3719" s="2">
        <v>0.63</v>
      </c>
      <c r="AJ3719" s="5">
        <v>44673</v>
      </c>
      <c r="AK3719" t="s">
        <v>12706</v>
      </c>
      <c r="AL3719" s="2">
        <v>0</v>
      </c>
      <c r="AM3719" s="2">
        <v>0</v>
      </c>
      <c r="AN3719" s="2">
        <v>0</v>
      </c>
      <c r="AO3719" t="s">
        <v>44</v>
      </c>
      <c r="AP3719" t="s">
        <v>11753</v>
      </c>
      <c r="AQ3719" t="s">
        <v>11752</v>
      </c>
    </row>
    <row r="3720" spans="1:43" x14ac:dyDescent="0.2">
      <c r="A3720" t="s">
        <v>12705</v>
      </c>
      <c r="B3720" t="s">
        <v>11024</v>
      </c>
      <c r="C3720" t="s">
        <v>57</v>
      </c>
      <c r="D3720" t="s">
        <v>12210</v>
      </c>
      <c r="E3720" t="s">
        <v>12210</v>
      </c>
      <c r="F3720" t="s">
        <v>12210</v>
      </c>
      <c r="G3720" s="1">
        <v>212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3">
        <v>12631</v>
      </c>
      <c r="N3720" s="4">
        <v>0</v>
      </c>
      <c r="O3720" s="5" t="s">
        <v>44</v>
      </c>
      <c r="P3720" s="5">
        <v>44727</v>
      </c>
      <c r="Q3720" s="1"/>
      <c r="R3720" s="2"/>
      <c r="S3720" s="6"/>
      <c r="T3720" t="s">
        <v>11026</v>
      </c>
      <c r="U3720" t="s">
        <v>11025</v>
      </c>
      <c r="V3720" t="s">
        <v>11027</v>
      </c>
      <c r="W3720" t="s">
        <v>43</v>
      </c>
      <c r="X3720" t="s">
        <v>44</v>
      </c>
      <c r="Y3720" t="s">
        <v>44</v>
      </c>
      <c r="Z3720" t="s">
        <v>44</v>
      </c>
      <c r="AA3720" t="s">
        <v>44</v>
      </c>
      <c r="AB3720" t="s">
        <v>44</v>
      </c>
      <c r="AC3720" s="4"/>
      <c r="AD3720" s="4"/>
      <c r="AE3720" s="2">
        <v>0</v>
      </c>
      <c r="AF3720" s="4">
        <v>0</v>
      </c>
      <c r="AG3720" s="2">
        <v>0</v>
      </c>
      <c r="AH3720" s="2">
        <v>26777720</v>
      </c>
      <c r="AI3720" s="2">
        <v>0.06</v>
      </c>
      <c r="AJ3720" s="5">
        <v>44673</v>
      </c>
      <c r="AK3720" t="s">
        <v>12706</v>
      </c>
      <c r="AL3720" s="2">
        <v>0</v>
      </c>
      <c r="AM3720" s="2">
        <v>0</v>
      </c>
      <c r="AN3720" s="2">
        <v>0</v>
      </c>
      <c r="AO3720" t="s">
        <v>44</v>
      </c>
      <c r="AP3720" t="s">
        <v>12211</v>
      </c>
      <c r="AQ3720" t="s">
        <v>12210</v>
      </c>
    </row>
    <row r="3721" spans="1:43" x14ac:dyDescent="0.2">
      <c r="A3721" t="s">
        <v>12705</v>
      </c>
      <c r="B3721" t="s">
        <v>11037</v>
      </c>
      <c r="C3721" t="s">
        <v>11276</v>
      </c>
      <c r="D3721" t="s">
        <v>6473</v>
      </c>
      <c r="E3721" t="s">
        <v>4464</v>
      </c>
      <c r="F3721" t="s">
        <v>6473</v>
      </c>
      <c r="G3721" s="1">
        <v>10566</v>
      </c>
      <c r="H3721" s="2">
        <v>1040652.95</v>
      </c>
      <c r="I3721" s="2">
        <v>1056600</v>
      </c>
      <c r="J3721" s="2">
        <v>0</v>
      </c>
      <c r="K3721" s="2">
        <v>0</v>
      </c>
      <c r="L3721" s="2">
        <v>1056600</v>
      </c>
      <c r="M3721" s="3">
        <v>10000</v>
      </c>
      <c r="N3721" s="4">
        <v>2.4038800000000002E-3</v>
      </c>
      <c r="O3721" s="5" t="s">
        <v>44</v>
      </c>
      <c r="P3721" s="5" t="s">
        <v>44</v>
      </c>
      <c r="Q3721" s="1"/>
      <c r="R3721" s="2"/>
      <c r="S3721" s="6"/>
      <c r="T3721" t="s">
        <v>10902</v>
      </c>
      <c r="U3721" t="s">
        <v>10902</v>
      </c>
      <c r="V3721" t="s">
        <v>10902</v>
      </c>
      <c r="W3721" t="s">
        <v>43</v>
      </c>
      <c r="X3721" t="s">
        <v>11277</v>
      </c>
      <c r="Y3721" t="s">
        <v>11277</v>
      </c>
      <c r="Z3721" t="s">
        <v>11276</v>
      </c>
      <c r="AA3721" t="s">
        <v>44</v>
      </c>
      <c r="AB3721" t="s">
        <v>44</v>
      </c>
      <c r="AC3721" s="4"/>
      <c r="AD3721" s="4"/>
      <c r="AE3721" s="2">
        <v>0</v>
      </c>
      <c r="AF3721" s="4">
        <v>0</v>
      </c>
      <c r="AG3721" s="2">
        <v>0.19</v>
      </c>
      <c r="AH3721" s="2">
        <v>1056600</v>
      </c>
      <c r="AI3721" s="2">
        <v>0</v>
      </c>
      <c r="AJ3721" s="5">
        <v>44673</v>
      </c>
      <c r="AK3721" t="s">
        <v>12706</v>
      </c>
      <c r="AL3721" s="2">
        <v>0</v>
      </c>
      <c r="AM3721" s="2">
        <v>0</v>
      </c>
      <c r="AN3721" s="2">
        <v>0</v>
      </c>
      <c r="AO3721" t="s">
        <v>44</v>
      </c>
      <c r="AP3721" t="s">
        <v>11278</v>
      </c>
      <c r="AQ3721" t="s">
        <v>4464</v>
      </c>
    </row>
    <row r="3722" spans="1:43" x14ac:dyDescent="0.2">
      <c r="A3722" t="s">
        <v>12705</v>
      </c>
      <c r="B3722" t="s">
        <v>11037</v>
      </c>
      <c r="C3722" t="s">
        <v>11276</v>
      </c>
      <c r="D3722" t="s">
        <v>6316</v>
      </c>
      <c r="E3722" t="s">
        <v>4585</v>
      </c>
      <c r="F3722" t="s">
        <v>6316</v>
      </c>
      <c r="G3722" s="1">
        <v>9027</v>
      </c>
      <c r="H3722" s="2">
        <v>1568260.71</v>
      </c>
      <c r="I3722" s="2">
        <v>2189228.04</v>
      </c>
      <c r="J3722" s="2">
        <v>0</v>
      </c>
      <c r="K3722" s="2">
        <v>0</v>
      </c>
      <c r="L3722" s="2">
        <v>2189228.04</v>
      </c>
      <c r="M3722" s="3">
        <v>24252</v>
      </c>
      <c r="N3722" s="4">
        <v>4.9807300000000001E-3</v>
      </c>
      <c r="O3722" s="5" t="s">
        <v>44</v>
      </c>
      <c r="P3722" s="5" t="s">
        <v>44</v>
      </c>
      <c r="Q3722" s="1"/>
      <c r="R3722" s="2"/>
      <c r="S3722" s="6"/>
      <c r="T3722" t="s">
        <v>10902</v>
      </c>
      <c r="U3722" t="s">
        <v>10902</v>
      </c>
      <c r="V3722" t="s">
        <v>10902</v>
      </c>
      <c r="W3722" t="s">
        <v>43</v>
      </c>
      <c r="X3722" t="s">
        <v>11279</v>
      </c>
      <c r="Y3722" t="s">
        <v>11280</v>
      </c>
      <c r="Z3722" t="s">
        <v>11276</v>
      </c>
      <c r="AA3722" t="s">
        <v>44</v>
      </c>
      <c r="AB3722" t="s">
        <v>44</v>
      </c>
      <c r="AC3722" s="4"/>
      <c r="AD3722" s="4"/>
      <c r="AE3722" s="2">
        <v>0</v>
      </c>
      <c r="AF3722" s="4">
        <v>0</v>
      </c>
      <c r="AG3722" s="2">
        <v>0.4</v>
      </c>
      <c r="AH3722" s="2">
        <v>2189228.04</v>
      </c>
      <c r="AI3722" s="2">
        <v>0</v>
      </c>
      <c r="AJ3722" s="5">
        <v>44673</v>
      </c>
      <c r="AK3722" t="s">
        <v>12706</v>
      </c>
      <c r="AL3722" s="2">
        <v>0</v>
      </c>
      <c r="AM3722" s="2">
        <v>0</v>
      </c>
      <c r="AN3722" s="2">
        <v>0</v>
      </c>
      <c r="AO3722" t="s">
        <v>44</v>
      </c>
      <c r="AP3722" t="s">
        <v>11281</v>
      </c>
      <c r="AQ3722" t="s">
        <v>4585</v>
      </c>
    </row>
    <row r="3723" spans="1:43" x14ac:dyDescent="0.2">
      <c r="A3723" t="s">
        <v>12705</v>
      </c>
      <c r="B3723" t="s">
        <v>11037</v>
      </c>
      <c r="C3723" t="s">
        <v>11276</v>
      </c>
      <c r="D3723" t="s">
        <v>11284</v>
      </c>
      <c r="E3723" t="s">
        <v>4506</v>
      </c>
      <c r="F3723" t="s">
        <v>11284</v>
      </c>
      <c r="G3723" s="1">
        <v>38808</v>
      </c>
      <c r="H3723" s="2">
        <v>1386778.1</v>
      </c>
      <c r="I3723" s="2">
        <v>2552790.2400000002</v>
      </c>
      <c r="J3723" s="2">
        <v>0</v>
      </c>
      <c r="K3723" s="2">
        <v>0</v>
      </c>
      <c r="L3723" s="2">
        <v>2552790.2400000002</v>
      </c>
      <c r="M3723" s="3">
        <v>6578</v>
      </c>
      <c r="N3723" s="4">
        <v>5.8078699999999997E-3</v>
      </c>
      <c r="O3723" s="5" t="s">
        <v>44</v>
      </c>
      <c r="P3723" s="5" t="s">
        <v>44</v>
      </c>
      <c r="Q3723" s="1"/>
      <c r="R3723" s="2"/>
      <c r="S3723" s="6"/>
      <c r="T3723" t="s">
        <v>10902</v>
      </c>
      <c r="U3723" t="s">
        <v>10902</v>
      </c>
      <c r="V3723" t="s">
        <v>10902</v>
      </c>
      <c r="W3723" t="s">
        <v>43</v>
      </c>
      <c r="X3723" t="s">
        <v>11279</v>
      </c>
      <c r="Y3723" t="s">
        <v>11280</v>
      </c>
      <c r="Z3723" t="s">
        <v>11276</v>
      </c>
      <c r="AA3723" t="s">
        <v>44</v>
      </c>
      <c r="AB3723" t="s">
        <v>44</v>
      </c>
      <c r="AC3723" s="4"/>
      <c r="AD3723" s="4"/>
      <c r="AE3723" s="2">
        <v>0</v>
      </c>
      <c r="AF3723" s="4">
        <v>0</v>
      </c>
      <c r="AG3723" s="2">
        <v>0.47</v>
      </c>
      <c r="AH3723" s="2">
        <v>2552790.2400000002</v>
      </c>
      <c r="AI3723" s="2">
        <v>0.01</v>
      </c>
      <c r="AJ3723" s="5">
        <v>44673</v>
      </c>
      <c r="AK3723" t="s">
        <v>12706</v>
      </c>
      <c r="AL3723" s="2">
        <v>0</v>
      </c>
      <c r="AM3723" s="2">
        <v>0</v>
      </c>
      <c r="AN3723" s="2">
        <v>0</v>
      </c>
      <c r="AO3723" t="s">
        <v>44</v>
      </c>
      <c r="AP3723" t="s">
        <v>11285</v>
      </c>
      <c r="AQ3723" t="s">
        <v>4506</v>
      </c>
    </row>
    <row r="3724" spans="1:43" x14ac:dyDescent="0.2">
      <c r="A3724" t="s">
        <v>12705</v>
      </c>
      <c r="B3724" t="s">
        <v>11037</v>
      </c>
      <c r="C3724" t="s">
        <v>11276</v>
      </c>
      <c r="D3724" t="s">
        <v>6278</v>
      </c>
      <c r="E3724" t="s">
        <v>4640</v>
      </c>
      <c r="F3724" t="s">
        <v>6278</v>
      </c>
      <c r="G3724" s="1">
        <v>5195</v>
      </c>
      <c r="H3724" s="2">
        <v>2379574.4700000002</v>
      </c>
      <c r="I3724" s="2">
        <v>2632306.5</v>
      </c>
      <c r="J3724" s="2">
        <v>0</v>
      </c>
      <c r="K3724" s="2">
        <v>0</v>
      </c>
      <c r="L3724" s="2">
        <v>2632306.5</v>
      </c>
      <c r="M3724" s="3">
        <v>50670</v>
      </c>
      <c r="N3724" s="4">
        <v>5.98878E-3</v>
      </c>
      <c r="O3724" s="5" t="s">
        <v>44</v>
      </c>
      <c r="P3724" s="5" t="s">
        <v>44</v>
      </c>
      <c r="Q3724" s="1"/>
      <c r="R3724" s="2"/>
      <c r="S3724" s="6"/>
      <c r="T3724" t="s">
        <v>10902</v>
      </c>
      <c r="U3724" t="s">
        <v>10902</v>
      </c>
      <c r="V3724" t="s">
        <v>10902</v>
      </c>
      <c r="W3724" t="s">
        <v>43</v>
      </c>
      <c r="X3724" t="s">
        <v>11286</v>
      </c>
      <c r="Y3724" t="s">
        <v>11280</v>
      </c>
      <c r="Z3724" t="s">
        <v>11276</v>
      </c>
      <c r="AA3724" t="s">
        <v>44</v>
      </c>
      <c r="AB3724" t="s">
        <v>44</v>
      </c>
      <c r="AC3724" s="4"/>
      <c r="AD3724" s="4"/>
      <c r="AE3724" s="2">
        <v>0</v>
      </c>
      <c r="AF3724" s="4">
        <v>0</v>
      </c>
      <c r="AG3724" s="2">
        <v>0.48</v>
      </c>
      <c r="AH3724" s="2">
        <v>2632306.5</v>
      </c>
      <c r="AI3724" s="2">
        <v>0.01</v>
      </c>
      <c r="AJ3724" s="5">
        <v>44673</v>
      </c>
      <c r="AK3724" t="s">
        <v>12706</v>
      </c>
      <c r="AL3724" s="2">
        <v>0</v>
      </c>
      <c r="AM3724" s="2">
        <v>0</v>
      </c>
      <c r="AN3724" s="2">
        <v>0</v>
      </c>
      <c r="AO3724" t="s">
        <v>44</v>
      </c>
      <c r="AP3724" t="s">
        <v>11287</v>
      </c>
      <c r="AQ3724" t="s">
        <v>4640</v>
      </c>
    </row>
    <row r="3725" spans="1:43" x14ac:dyDescent="0.2">
      <c r="A3725" t="s">
        <v>12705</v>
      </c>
      <c r="B3725" t="s">
        <v>11037</v>
      </c>
      <c r="C3725" t="s">
        <v>11276</v>
      </c>
      <c r="D3725" t="s">
        <v>11290</v>
      </c>
      <c r="E3725" t="s">
        <v>4478</v>
      </c>
      <c r="F3725" t="s">
        <v>11290</v>
      </c>
      <c r="G3725" s="1">
        <v>15000</v>
      </c>
      <c r="H3725" s="2">
        <v>706610.7</v>
      </c>
      <c r="I3725" s="2">
        <v>1176000</v>
      </c>
      <c r="J3725" s="2">
        <v>0</v>
      </c>
      <c r="K3725" s="2">
        <v>0</v>
      </c>
      <c r="L3725" s="2">
        <v>1176000</v>
      </c>
      <c r="M3725" s="3">
        <v>7840</v>
      </c>
      <c r="N3725" s="4">
        <v>2.6755300000000002E-3</v>
      </c>
      <c r="O3725" s="5" t="s">
        <v>44</v>
      </c>
      <c r="P3725" s="5" t="s">
        <v>44</v>
      </c>
      <c r="Q3725" s="1"/>
      <c r="R3725" s="2"/>
      <c r="S3725" s="6"/>
      <c r="T3725" t="s">
        <v>10902</v>
      </c>
      <c r="U3725" t="s">
        <v>10902</v>
      </c>
      <c r="V3725" t="s">
        <v>10902</v>
      </c>
      <c r="W3725" t="s">
        <v>43</v>
      </c>
      <c r="X3725" t="s">
        <v>11277</v>
      </c>
      <c r="Y3725" t="s">
        <v>11277</v>
      </c>
      <c r="Z3725" t="s">
        <v>11276</v>
      </c>
      <c r="AA3725" t="s">
        <v>44</v>
      </c>
      <c r="AB3725" t="s">
        <v>44</v>
      </c>
      <c r="AC3725" s="4"/>
      <c r="AD3725" s="4"/>
      <c r="AE3725" s="2">
        <v>0</v>
      </c>
      <c r="AF3725" s="4">
        <v>0</v>
      </c>
      <c r="AG3725" s="2">
        <v>0.22</v>
      </c>
      <c r="AH3725" s="2">
        <v>1176000</v>
      </c>
      <c r="AI3725" s="2">
        <v>0</v>
      </c>
      <c r="AJ3725" s="5">
        <v>44673</v>
      </c>
      <c r="AK3725" t="s">
        <v>12706</v>
      </c>
      <c r="AL3725" s="2">
        <v>0</v>
      </c>
      <c r="AM3725" s="2">
        <v>0</v>
      </c>
      <c r="AN3725" s="2">
        <v>0</v>
      </c>
      <c r="AO3725" t="s">
        <v>44</v>
      </c>
      <c r="AP3725" t="s">
        <v>11291</v>
      </c>
      <c r="AQ3725" t="s">
        <v>4478</v>
      </c>
    </row>
    <row r="3726" spans="1:43" x14ac:dyDescent="0.2">
      <c r="A3726" t="s">
        <v>12705</v>
      </c>
      <c r="B3726" t="s">
        <v>11037</v>
      </c>
      <c r="C3726" t="s">
        <v>11276</v>
      </c>
      <c r="D3726" t="s">
        <v>6743</v>
      </c>
      <c r="E3726" t="s">
        <v>4570</v>
      </c>
      <c r="F3726" t="s">
        <v>6743</v>
      </c>
      <c r="G3726" s="1">
        <v>8003</v>
      </c>
      <c r="H3726" s="2">
        <v>590634.31999999995</v>
      </c>
      <c r="I3726" s="2">
        <v>1236703.5900000001</v>
      </c>
      <c r="J3726" s="2">
        <v>0</v>
      </c>
      <c r="K3726" s="2">
        <v>0</v>
      </c>
      <c r="L3726" s="2">
        <v>1236703.5900000001</v>
      </c>
      <c r="M3726" s="3">
        <v>15453</v>
      </c>
      <c r="N3726" s="4">
        <v>2.8136300000000001E-3</v>
      </c>
      <c r="O3726" s="5" t="s">
        <v>44</v>
      </c>
      <c r="P3726" s="5" t="s">
        <v>44</v>
      </c>
      <c r="Q3726" s="1"/>
      <c r="R3726" s="2"/>
      <c r="S3726" s="6"/>
      <c r="T3726" t="s">
        <v>10902</v>
      </c>
      <c r="U3726" t="s">
        <v>10902</v>
      </c>
      <c r="V3726" t="s">
        <v>10902</v>
      </c>
      <c r="W3726" t="s">
        <v>43</v>
      </c>
      <c r="X3726" t="s">
        <v>11279</v>
      </c>
      <c r="Y3726" t="s">
        <v>11280</v>
      </c>
      <c r="Z3726" t="s">
        <v>11276</v>
      </c>
      <c r="AA3726" t="s">
        <v>44</v>
      </c>
      <c r="AB3726" t="s">
        <v>44</v>
      </c>
      <c r="AC3726" s="4"/>
      <c r="AD3726" s="4"/>
      <c r="AE3726" s="2">
        <v>0</v>
      </c>
      <c r="AF3726" s="4">
        <v>0</v>
      </c>
      <c r="AG3726" s="2">
        <v>0.23</v>
      </c>
      <c r="AH3726" s="2">
        <v>1236703.5900000001</v>
      </c>
      <c r="AI3726" s="2">
        <v>0</v>
      </c>
      <c r="AJ3726" s="5">
        <v>44673</v>
      </c>
      <c r="AK3726" t="s">
        <v>12706</v>
      </c>
      <c r="AL3726" s="2">
        <v>0</v>
      </c>
      <c r="AM3726" s="2">
        <v>0</v>
      </c>
      <c r="AN3726" s="2">
        <v>0</v>
      </c>
      <c r="AO3726" t="s">
        <v>44</v>
      </c>
      <c r="AP3726" t="s">
        <v>11294</v>
      </c>
      <c r="AQ3726" t="s">
        <v>4570</v>
      </c>
    </row>
    <row r="3727" spans="1:43" x14ac:dyDescent="0.2">
      <c r="A3727" t="s">
        <v>12705</v>
      </c>
      <c r="B3727" t="s">
        <v>11037</v>
      </c>
      <c r="C3727" t="s">
        <v>11276</v>
      </c>
      <c r="D3727" t="s">
        <v>6209</v>
      </c>
      <c r="E3727" t="s">
        <v>520</v>
      </c>
      <c r="F3727" t="s">
        <v>6209</v>
      </c>
      <c r="G3727" s="1">
        <v>46759</v>
      </c>
      <c r="H3727" s="2">
        <v>1812070.34</v>
      </c>
      <c r="I3727" s="2">
        <v>2550235.86</v>
      </c>
      <c r="J3727" s="2">
        <v>0</v>
      </c>
      <c r="K3727" s="2">
        <v>0</v>
      </c>
      <c r="L3727" s="2">
        <v>2550235.86</v>
      </c>
      <c r="M3727" s="3">
        <v>5454</v>
      </c>
      <c r="N3727" s="4">
        <v>5.8020600000000004E-3</v>
      </c>
      <c r="O3727" s="5" t="s">
        <v>44</v>
      </c>
      <c r="P3727" s="5" t="s">
        <v>44</v>
      </c>
      <c r="Q3727" s="1"/>
      <c r="R3727" s="2"/>
      <c r="S3727" s="6"/>
      <c r="T3727" t="s">
        <v>10902</v>
      </c>
      <c r="U3727" t="s">
        <v>10902</v>
      </c>
      <c r="V3727" t="s">
        <v>10902</v>
      </c>
      <c r="W3727" t="s">
        <v>43</v>
      </c>
      <c r="X3727" t="s">
        <v>11289</v>
      </c>
      <c r="Y3727" t="s">
        <v>11280</v>
      </c>
      <c r="Z3727" t="s">
        <v>11276</v>
      </c>
      <c r="AA3727" t="s">
        <v>44</v>
      </c>
      <c r="AB3727" t="s">
        <v>44</v>
      </c>
      <c r="AC3727" s="4"/>
      <c r="AD3727" s="4"/>
      <c r="AE3727" s="2">
        <v>0</v>
      </c>
      <c r="AF3727" s="4">
        <v>0</v>
      </c>
      <c r="AG3727" s="2">
        <v>0.47</v>
      </c>
      <c r="AH3727" s="2">
        <v>2550235.86</v>
      </c>
      <c r="AI3727" s="2">
        <v>0.01</v>
      </c>
      <c r="AJ3727" s="5">
        <v>44673</v>
      </c>
      <c r="AK3727" t="s">
        <v>12706</v>
      </c>
      <c r="AL3727" s="2">
        <v>0</v>
      </c>
      <c r="AM3727" s="2">
        <v>0</v>
      </c>
      <c r="AN3727" s="2">
        <v>0</v>
      </c>
      <c r="AO3727" t="s">
        <v>44</v>
      </c>
      <c r="AP3727" t="s">
        <v>11295</v>
      </c>
      <c r="AQ3727" t="s">
        <v>520</v>
      </c>
    </row>
    <row r="3728" spans="1:43" x14ac:dyDescent="0.2">
      <c r="A3728" t="s">
        <v>12705</v>
      </c>
      <c r="B3728" t="s">
        <v>11037</v>
      </c>
      <c r="C3728" t="s">
        <v>11276</v>
      </c>
      <c r="D3728" t="s">
        <v>11678</v>
      </c>
      <c r="E3728" t="s">
        <v>11679</v>
      </c>
      <c r="F3728" t="s">
        <v>11680</v>
      </c>
      <c r="G3728" s="1">
        <v>7500</v>
      </c>
      <c r="H3728" s="2">
        <v>1197488.3500000001</v>
      </c>
      <c r="I3728" s="2">
        <v>1764150</v>
      </c>
      <c r="J3728" s="2">
        <v>0</v>
      </c>
      <c r="K3728" s="2">
        <v>0</v>
      </c>
      <c r="L3728" s="2">
        <v>1764150</v>
      </c>
      <c r="M3728" s="3">
        <v>23522</v>
      </c>
      <c r="N3728" s="4">
        <v>4.0136299999999998E-3</v>
      </c>
      <c r="O3728" s="5" t="s">
        <v>44</v>
      </c>
      <c r="P3728" s="5" t="s">
        <v>44</v>
      </c>
      <c r="Q3728" s="1"/>
      <c r="R3728" s="2"/>
      <c r="S3728" s="6"/>
      <c r="T3728" t="s">
        <v>10902</v>
      </c>
      <c r="U3728" t="s">
        <v>10902</v>
      </c>
      <c r="V3728" t="s">
        <v>10902</v>
      </c>
      <c r="W3728" t="s">
        <v>43</v>
      </c>
      <c r="X3728" t="s">
        <v>11279</v>
      </c>
      <c r="Y3728" t="s">
        <v>11280</v>
      </c>
      <c r="Z3728" t="s">
        <v>11276</v>
      </c>
      <c r="AA3728" t="s">
        <v>44</v>
      </c>
      <c r="AB3728" t="s">
        <v>44</v>
      </c>
      <c r="AC3728" s="4"/>
      <c r="AD3728" s="4"/>
      <c r="AE3728" s="2">
        <v>0</v>
      </c>
      <c r="AF3728" s="4">
        <v>0</v>
      </c>
      <c r="AG3728" s="2">
        <v>0.32</v>
      </c>
      <c r="AH3728" s="2">
        <v>1764150</v>
      </c>
      <c r="AI3728" s="2">
        <v>0</v>
      </c>
      <c r="AJ3728" s="5">
        <v>44673</v>
      </c>
      <c r="AK3728" t="s">
        <v>12706</v>
      </c>
      <c r="AL3728" s="2">
        <v>0</v>
      </c>
      <c r="AM3728" s="2">
        <v>0</v>
      </c>
      <c r="AN3728" s="2">
        <v>0</v>
      </c>
      <c r="AO3728" t="s">
        <v>44</v>
      </c>
      <c r="AP3728" t="s">
        <v>11681</v>
      </c>
      <c r="AQ3728" t="s">
        <v>11679</v>
      </c>
    </row>
    <row r="3729" spans="1:43" x14ac:dyDescent="0.2">
      <c r="A3729" t="s">
        <v>12705</v>
      </c>
      <c r="B3729" t="s">
        <v>11037</v>
      </c>
      <c r="C3729" t="s">
        <v>11296</v>
      </c>
      <c r="D3729" t="s">
        <v>6200</v>
      </c>
      <c r="E3729" t="s">
        <v>5051</v>
      </c>
      <c r="F3729" t="s">
        <v>6200</v>
      </c>
      <c r="G3729" s="1">
        <v>34226</v>
      </c>
      <c r="H3729" s="2">
        <v>3118763.09</v>
      </c>
      <c r="I3729" s="2">
        <v>2347903.6</v>
      </c>
      <c r="J3729" s="2">
        <v>0</v>
      </c>
      <c r="K3729" s="2">
        <v>0</v>
      </c>
      <c r="L3729" s="2">
        <v>2347903.6</v>
      </c>
      <c r="M3729" s="3">
        <v>6860</v>
      </c>
      <c r="N3729" s="4">
        <v>5.3417300000000003E-3</v>
      </c>
      <c r="O3729" s="5" t="s">
        <v>44</v>
      </c>
      <c r="P3729" s="5" t="s">
        <v>44</v>
      </c>
      <c r="Q3729" s="1"/>
      <c r="R3729" s="2"/>
      <c r="S3729" s="6"/>
      <c r="T3729" t="s">
        <v>10902</v>
      </c>
      <c r="U3729" t="s">
        <v>10902</v>
      </c>
      <c r="V3729" t="s">
        <v>10902</v>
      </c>
      <c r="W3729" t="s">
        <v>43</v>
      </c>
      <c r="X3729" t="s">
        <v>11300</v>
      </c>
      <c r="Y3729" t="s">
        <v>11299</v>
      </c>
      <c r="Z3729" t="s">
        <v>11296</v>
      </c>
      <c r="AA3729" t="s">
        <v>44</v>
      </c>
      <c r="AB3729" t="s">
        <v>44</v>
      </c>
      <c r="AC3729" s="4"/>
      <c r="AD3729" s="4"/>
      <c r="AE3729" s="2">
        <v>0</v>
      </c>
      <c r="AF3729" s="4">
        <v>0</v>
      </c>
      <c r="AG3729" s="2">
        <v>0.43</v>
      </c>
      <c r="AH3729" s="2">
        <v>2347903.6</v>
      </c>
      <c r="AI3729" s="2">
        <v>0.01</v>
      </c>
      <c r="AJ3729" s="5">
        <v>44673</v>
      </c>
      <c r="AK3729" t="s">
        <v>12706</v>
      </c>
      <c r="AL3729" s="2">
        <v>0</v>
      </c>
      <c r="AM3729" s="2">
        <v>0</v>
      </c>
      <c r="AN3729" s="2">
        <v>0</v>
      </c>
      <c r="AO3729" t="s">
        <v>44</v>
      </c>
      <c r="AP3729" t="s">
        <v>11301</v>
      </c>
      <c r="AQ3729" t="s">
        <v>5051</v>
      </c>
    </row>
    <row r="3730" spans="1:43" x14ac:dyDescent="0.2">
      <c r="A3730" t="s">
        <v>12705</v>
      </c>
      <c r="B3730" t="s">
        <v>11037</v>
      </c>
      <c r="C3730" t="s">
        <v>11296</v>
      </c>
      <c r="D3730" t="s">
        <v>6458</v>
      </c>
      <c r="E3730" t="s">
        <v>5402</v>
      </c>
      <c r="F3730" t="s">
        <v>11302</v>
      </c>
      <c r="G3730" s="1">
        <v>7777</v>
      </c>
      <c r="H3730" s="2">
        <v>1007121.5</v>
      </c>
      <c r="I3730" s="2">
        <v>1345421</v>
      </c>
      <c r="J3730" s="2">
        <v>0</v>
      </c>
      <c r="K3730" s="2">
        <v>0</v>
      </c>
      <c r="L3730" s="2">
        <v>1345421</v>
      </c>
      <c r="M3730" s="3">
        <v>17300</v>
      </c>
      <c r="N3730" s="4">
        <v>3.06098E-3</v>
      </c>
      <c r="O3730" s="5" t="s">
        <v>44</v>
      </c>
      <c r="P3730" s="5" t="s">
        <v>44</v>
      </c>
      <c r="Q3730" s="1"/>
      <c r="R3730" s="2"/>
      <c r="S3730" s="6"/>
      <c r="T3730" t="s">
        <v>10902</v>
      </c>
      <c r="U3730" t="s">
        <v>10902</v>
      </c>
      <c r="V3730" t="s">
        <v>10902</v>
      </c>
      <c r="W3730" t="s">
        <v>43</v>
      </c>
      <c r="X3730" t="s">
        <v>11298</v>
      </c>
      <c r="Y3730" t="s">
        <v>11299</v>
      </c>
      <c r="Z3730" t="s">
        <v>11296</v>
      </c>
      <c r="AA3730" t="s">
        <v>44</v>
      </c>
      <c r="AB3730" t="s">
        <v>44</v>
      </c>
      <c r="AC3730" s="4"/>
      <c r="AD3730" s="4"/>
      <c r="AE3730" s="2">
        <v>0</v>
      </c>
      <c r="AF3730" s="4">
        <v>0</v>
      </c>
      <c r="AG3730" s="2">
        <v>0.25</v>
      </c>
      <c r="AH3730" s="2">
        <v>1345421</v>
      </c>
      <c r="AI3730" s="2">
        <v>0</v>
      </c>
      <c r="AJ3730" s="5">
        <v>44673</v>
      </c>
      <c r="AK3730" t="s">
        <v>12706</v>
      </c>
      <c r="AL3730" s="2">
        <v>0</v>
      </c>
      <c r="AM3730" s="2">
        <v>0</v>
      </c>
      <c r="AN3730" s="2">
        <v>0</v>
      </c>
      <c r="AO3730" t="s">
        <v>44</v>
      </c>
      <c r="AP3730" t="s">
        <v>11303</v>
      </c>
      <c r="AQ3730" t="s">
        <v>5402</v>
      </c>
    </row>
    <row r="3731" spans="1:43" x14ac:dyDescent="0.2">
      <c r="A3731" t="s">
        <v>12705</v>
      </c>
      <c r="B3731" t="s">
        <v>11037</v>
      </c>
      <c r="C3731" t="s">
        <v>11296</v>
      </c>
      <c r="D3731" t="s">
        <v>6137</v>
      </c>
      <c r="E3731" t="s">
        <v>4926</v>
      </c>
      <c r="F3731" t="s">
        <v>6137</v>
      </c>
      <c r="G3731" s="1">
        <v>19613</v>
      </c>
      <c r="H3731" s="2">
        <v>3408608.29</v>
      </c>
      <c r="I3731" s="2">
        <v>3054528.62</v>
      </c>
      <c r="J3731" s="2">
        <v>0</v>
      </c>
      <c r="K3731" s="2">
        <v>0</v>
      </c>
      <c r="L3731" s="2">
        <v>3054528.62</v>
      </c>
      <c r="M3731" s="3">
        <v>15574</v>
      </c>
      <c r="N3731" s="4">
        <v>6.9493799999999998E-3</v>
      </c>
      <c r="O3731" s="5" t="s">
        <v>44</v>
      </c>
      <c r="P3731" s="5" t="s">
        <v>44</v>
      </c>
      <c r="Q3731" s="1"/>
      <c r="R3731" s="2"/>
      <c r="S3731" s="6"/>
      <c r="T3731" t="s">
        <v>10902</v>
      </c>
      <c r="U3731" t="s">
        <v>10902</v>
      </c>
      <c r="V3731" t="s">
        <v>10902</v>
      </c>
      <c r="W3731" t="s">
        <v>43</v>
      </c>
      <c r="X3731" t="s">
        <v>11300</v>
      </c>
      <c r="Y3731" t="s">
        <v>11299</v>
      </c>
      <c r="Z3731" t="s">
        <v>11296</v>
      </c>
      <c r="AA3731" t="s">
        <v>44</v>
      </c>
      <c r="AB3731" t="s">
        <v>44</v>
      </c>
      <c r="AC3731" s="4"/>
      <c r="AD3731" s="4"/>
      <c r="AE3731" s="2">
        <v>0</v>
      </c>
      <c r="AF3731" s="4">
        <v>0</v>
      </c>
      <c r="AG3731" s="2">
        <v>0.56000000000000005</v>
      </c>
      <c r="AH3731" s="2">
        <v>3054528.62</v>
      </c>
      <c r="AI3731" s="2">
        <v>0.01</v>
      </c>
      <c r="AJ3731" s="5">
        <v>44673</v>
      </c>
      <c r="AK3731" t="s">
        <v>12706</v>
      </c>
      <c r="AL3731" s="2">
        <v>0</v>
      </c>
      <c r="AM3731" s="2">
        <v>0</v>
      </c>
      <c r="AN3731" s="2">
        <v>0</v>
      </c>
      <c r="AO3731" t="s">
        <v>44</v>
      </c>
      <c r="AP3731" t="s">
        <v>11304</v>
      </c>
      <c r="AQ3731" t="s">
        <v>4926</v>
      </c>
    </row>
    <row r="3732" spans="1:43" x14ac:dyDescent="0.2">
      <c r="A3732" t="s">
        <v>12705</v>
      </c>
      <c r="B3732" t="s">
        <v>11037</v>
      </c>
      <c r="C3732" t="s">
        <v>11305</v>
      </c>
      <c r="D3732" t="s">
        <v>6592</v>
      </c>
      <c r="E3732" t="s">
        <v>5424</v>
      </c>
      <c r="F3732" t="s">
        <v>6592</v>
      </c>
      <c r="G3732" s="1">
        <v>59000</v>
      </c>
      <c r="H3732" s="2">
        <v>848855.14</v>
      </c>
      <c r="I3732" s="2">
        <v>1024830</v>
      </c>
      <c r="J3732" s="2">
        <v>0</v>
      </c>
      <c r="K3732" s="2">
        <v>0</v>
      </c>
      <c r="L3732" s="2">
        <v>1024830</v>
      </c>
      <c r="M3732" s="3">
        <v>1737</v>
      </c>
      <c r="N3732" s="4">
        <v>2.3316000000000001E-3</v>
      </c>
      <c r="O3732" s="5" t="s">
        <v>44</v>
      </c>
      <c r="P3732" s="5" t="s">
        <v>44</v>
      </c>
      <c r="Q3732" s="1"/>
      <c r="R3732" s="2"/>
      <c r="S3732" s="6"/>
      <c r="T3732" t="s">
        <v>10902</v>
      </c>
      <c r="U3732" t="s">
        <v>10902</v>
      </c>
      <c r="V3732" t="s">
        <v>10902</v>
      </c>
      <c r="W3732" t="s">
        <v>43</v>
      </c>
      <c r="X3732" t="s">
        <v>11306</v>
      </c>
      <c r="Y3732" t="s">
        <v>11307</v>
      </c>
      <c r="Z3732" t="s">
        <v>11305</v>
      </c>
      <c r="AA3732" t="s">
        <v>44</v>
      </c>
      <c r="AB3732" t="s">
        <v>44</v>
      </c>
      <c r="AC3732" s="4"/>
      <c r="AD3732" s="4"/>
      <c r="AE3732" s="2">
        <v>0</v>
      </c>
      <c r="AF3732" s="4">
        <v>0</v>
      </c>
      <c r="AG3732" s="2">
        <v>0.19</v>
      </c>
      <c r="AH3732" s="2">
        <v>1024830</v>
      </c>
      <c r="AI3732" s="2">
        <v>0</v>
      </c>
      <c r="AJ3732" s="5">
        <v>44673</v>
      </c>
      <c r="AK3732" t="s">
        <v>12706</v>
      </c>
      <c r="AL3732" s="2">
        <v>0</v>
      </c>
      <c r="AM3732" s="2">
        <v>0</v>
      </c>
      <c r="AN3732" s="2">
        <v>0</v>
      </c>
      <c r="AO3732" t="s">
        <v>44</v>
      </c>
      <c r="AP3732" t="s">
        <v>11308</v>
      </c>
      <c r="AQ3732" t="s">
        <v>5424</v>
      </c>
    </row>
    <row r="3733" spans="1:43" x14ac:dyDescent="0.2">
      <c r="A3733" t="s">
        <v>12705</v>
      </c>
      <c r="B3733" t="s">
        <v>11037</v>
      </c>
      <c r="C3733" t="s">
        <v>11305</v>
      </c>
      <c r="D3733" t="s">
        <v>11309</v>
      </c>
      <c r="E3733" t="s">
        <v>5389</v>
      </c>
      <c r="F3733" t="s">
        <v>11309</v>
      </c>
      <c r="G3733" s="1">
        <v>41847</v>
      </c>
      <c r="H3733" s="2">
        <v>1035713.25</v>
      </c>
      <c r="I3733" s="2">
        <v>1575121.08</v>
      </c>
      <c r="J3733" s="2">
        <v>0</v>
      </c>
      <c r="K3733" s="2">
        <v>0</v>
      </c>
      <c r="L3733" s="2">
        <v>1575121.08</v>
      </c>
      <c r="M3733" s="3">
        <v>3764</v>
      </c>
      <c r="N3733" s="4">
        <v>3.5835699999999999E-3</v>
      </c>
      <c r="O3733" s="5" t="s">
        <v>44</v>
      </c>
      <c r="P3733" s="5" t="s">
        <v>44</v>
      </c>
      <c r="Q3733" s="1"/>
      <c r="R3733" s="2"/>
      <c r="S3733" s="6"/>
      <c r="T3733" t="s">
        <v>10902</v>
      </c>
      <c r="U3733" t="s">
        <v>10902</v>
      </c>
      <c r="V3733" t="s">
        <v>10902</v>
      </c>
      <c r="W3733" t="s">
        <v>43</v>
      </c>
      <c r="X3733" t="s">
        <v>11310</v>
      </c>
      <c r="Y3733" t="s">
        <v>11307</v>
      </c>
      <c r="Z3733" t="s">
        <v>11305</v>
      </c>
      <c r="AA3733" t="s">
        <v>44</v>
      </c>
      <c r="AB3733" t="s">
        <v>44</v>
      </c>
      <c r="AC3733" s="4"/>
      <c r="AD3733" s="4"/>
      <c r="AE3733" s="2">
        <v>0</v>
      </c>
      <c r="AF3733" s="4">
        <v>0</v>
      </c>
      <c r="AG3733" s="2">
        <v>0.28999999999999998</v>
      </c>
      <c r="AH3733" s="2">
        <v>1575121.08</v>
      </c>
      <c r="AI3733" s="2">
        <v>0</v>
      </c>
      <c r="AJ3733" s="5">
        <v>44673</v>
      </c>
      <c r="AK3733" t="s">
        <v>12706</v>
      </c>
      <c r="AL3733" s="2">
        <v>0</v>
      </c>
      <c r="AM3733" s="2">
        <v>0</v>
      </c>
      <c r="AN3733" s="2">
        <v>0</v>
      </c>
      <c r="AO3733" t="s">
        <v>44</v>
      </c>
      <c r="AP3733" t="s">
        <v>11311</v>
      </c>
      <c r="AQ3733" t="s">
        <v>5389</v>
      </c>
    </row>
    <row r="3734" spans="1:43" x14ac:dyDescent="0.2">
      <c r="A3734" t="s">
        <v>12705</v>
      </c>
      <c r="B3734" t="s">
        <v>11037</v>
      </c>
      <c r="C3734" t="s">
        <v>11305</v>
      </c>
      <c r="D3734" t="s">
        <v>6609</v>
      </c>
      <c r="E3734" t="s">
        <v>5271</v>
      </c>
      <c r="F3734" t="s">
        <v>6609</v>
      </c>
      <c r="G3734" s="1">
        <v>69529</v>
      </c>
      <c r="H3734" s="2">
        <v>973406</v>
      </c>
      <c r="I3734" s="2">
        <v>1174344.81</v>
      </c>
      <c r="J3734" s="2">
        <v>0</v>
      </c>
      <c r="K3734" s="2">
        <v>0</v>
      </c>
      <c r="L3734" s="2">
        <v>1174344.81</v>
      </c>
      <c r="M3734" s="3">
        <v>1689</v>
      </c>
      <c r="N3734" s="4">
        <v>2.67176E-3</v>
      </c>
      <c r="O3734" s="5" t="s">
        <v>44</v>
      </c>
      <c r="P3734" s="5" t="s">
        <v>44</v>
      </c>
      <c r="Q3734" s="1"/>
      <c r="R3734" s="2"/>
      <c r="S3734" s="6"/>
      <c r="T3734" t="s">
        <v>10902</v>
      </c>
      <c r="U3734" t="s">
        <v>10902</v>
      </c>
      <c r="V3734" t="s">
        <v>10902</v>
      </c>
      <c r="W3734" t="s">
        <v>43</v>
      </c>
      <c r="X3734" t="s">
        <v>11306</v>
      </c>
      <c r="Y3734" t="s">
        <v>11307</v>
      </c>
      <c r="Z3734" t="s">
        <v>11305</v>
      </c>
      <c r="AA3734" t="s">
        <v>44</v>
      </c>
      <c r="AB3734" t="s">
        <v>44</v>
      </c>
      <c r="AC3734" s="4"/>
      <c r="AD3734" s="4"/>
      <c r="AE3734" s="2">
        <v>0</v>
      </c>
      <c r="AF3734" s="4">
        <v>0</v>
      </c>
      <c r="AG3734" s="2">
        <v>0.22</v>
      </c>
      <c r="AH3734" s="2">
        <v>1174344.81</v>
      </c>
      <c r="AI3734" s="2">
        <v>0</v>
      </c>
      <c r="AJ3734" s="5">
        <v>44673</v>
      </c>
      <c r="AK3734" t="s">
        <v>12706</v>
      </c>
      <c r="AL3734" s="2">
        <v>0</v>
      </c>
      <c r="AM3734" s="2">
        <v>0</v>
      </c>
      <c r="AN3734" s="2">
        <v>0</v>
      </c>
      <c r="AO3734" t="s">
        <v>44</v>
      </c>
      <c r="AP3734" t="s">
        <v>11312</v>
      </c>
      <c r="AQ3734" t="s">
        <v>5271</v>
      </c>
    </row>
    <row r="3735" spans="1:43" x14ac:dyDescent="0.2">
      <c r="A3735" t="s">
        <v>12705</v>
      </c>
      <c r="B3735" t="s">
        <v>11037</v>
      </c>
      <c r="C3735" t="s">
        <v>11305</v>
      </c>
      <c r="D3735" t="s">
        <v>6372</v>
      </c>
      <c r="E3735" t="s">
        <v>6607</v>
      </c>
      <c r="F3735" t="s">
        <v>6372</v>
      </c>
      <c r="G3735" s="1">
        <v>14435</v>
      </c>
      <c r="H3735" s="2">
        <v>1233759.45</v>
      </c>
      <c r="I3735" s="2">
        <v>1612822.55</v>
      </c>
      <c r="J3735" s="2">
        <v>0</v>
      </c>
      <c r="K3735" s="2">
        <v>0</v>
      </c>
      <c r="L3735" s="2">
        <v>1612822.55</v>
      </c>
      <c r="M3735" s="3">
        <v>11173</v>
      </c>
      <c r="N3735" s="4">
        <v>3.6693400000000001E-3</v>
      </c>
      <c r="O3735" s="5" t="s">
        <v>44</v>
      </c>
      <c r="P3735" s="5" t="s">
        <v>44</v>
      </c>
      <c r="Q3735" s="1"/>
      <c r="R3735" s="2"/>
      <c r="S3735" s="6"/>
      <c r="T3735" t="s">
        <v>10902</v>
      </c>
      <c r="U3735" t="s">
        <v>10902</v>
      </c>
      <c r="V3735" t="s">
        <v>10902</v>
      </c>
      <c r="W3735" t="s">
        <v>43</v>
      </c>
      <c r="X3735" t="s">
        <v>11306</v>
      </c>
      <c r="Y3735" t="s">
        <v>11307</v>
      </c>
      <c r="Z3735" t="s">
        <v>11305</v>
      </c>
      <c r="AA3735" t="s">
        <v>44</v>
      </c>
      <c r="AB3735" t="s">
        <v>44</v>
      </c>
      <c r="AC3735" s="4"/>
      <c r="AD3735" s="4"/>
      <c r="AE3735" s="2">
        <v>0</v>
      </c>
      <c r="AF3735" s="4">
        <v>0</v>
      </c>
      <c r="AG3735" s="2">
        <v>0.3</v>
      </c>
      <c r="AH3735" s="2">
        <v>1612822.55</v>
      </c>
      <c r="AI3735" s="2">
        <v>0</v>
      </c>
      <c r="AJ3735" s="5">
        <v>44673</v>
      </c>
      <c r="AK3735" t="s">
        <v>12706</v>
      </c>
      <c r="AL3735" s="2">
        <v>0</v>
      </c>
      <c r="AM3735" s="2">
        <v>0</v>
      </c>
      <c r="AN3735" s="2">
        <v>0</v>
      </c>
      <c r="AO3735" t="s">
        <v>44</v>
      </c>
      <c r="AP3735" t="s">
        <v>11313</v>
      </c>
      <c r="AQ3735" t="s">
        <v>6607</v>
      </c>
    </row>
    <row r="3736" spans="1:43" x14ac:dyDescent="0.2">
      <c r="A3736" t="s">
        <v>12705</v>
      </c>
      <c r="B3736" t="s">
        <v>11037</v>
      </c>
      <c r="C3736" t="s">
        <v>11305</v>
      </c>
      <c r="D3736" t="s">
        <v>11314</v>
      </c>
      <c r="E3736" t="s">
        <v>6750</v>
      </c>
      <c r="F3736" t="s">
        <v>11314</v>
      </c>
      <c r="G3736" s="1">
        <v>171436</v>
      </c>
      <c r="H3736" s="2">
        <v>3158384.65</v>
      </c>
      <c r="I3736" s="2">
        <v>3739019.16</v>
      </c>
      <c r="J3736" s="2">
        <v>0</v>
      </c>
      <c r="K3736" s="2">
        <v>0</v>
      </c>
      <c r="L3736" s="2">
        <v>3739019.16</v>
      </c>
      <c r="M3736" s="3">
        <v>2181</v>
      </c>
      <c r="N3736" s="4">
        <v>8.5066699999999992E-3</v>
      </c>
      <c r="O3736" s="5" t="s">
        <v>44</v>
      </c>
      <c r="P3736" s="5" t="s">
        <v>44</v>
      </c>
      <c r="Q3736" s="1"/>
      <c r="R3736" s="2"/>
      <c r="S3736" s="6"/>
      <c r="T3736" t="s">
        <v>10902</v>
      </c>
      <c r="U3736" t="s">
        <v>10902</v>
      </c>
      <c r="V3736" t="s">
        <v>10902</v>
      </c>
      <c r="W3736" t="s">
        <v>43</v>
      </c>
      <c r="X3736" t="s">
        <v>11306</v>
      </c>
      <c r="Y3736" t="s">
        <v>11307</v>
      </c>
      <c r="Z3736" t="s">
        <v>11305</v>
      </c>
      <c r="AA3736" t="s">
        <v>44</v>
      </c>
      <c r="AB3736" t="s">
        <v>44</v>
      </c>
      <c r="AC3736" s="4"/>
      <c r="AD3736" s="4"/>
      <c r="AE3736" s="2">
        <v>0</v>
      </c>
      <c r="AF3736" s="4">
        <v>0</v>
      </c>
      <c r="AG3736" s="2">
        <v>0.68</v>
      </c>
      <c r="AH3736" s="2">
        <v>3739019.16</v>
      </c>
      <c r="AI3736" s="2">
        <v>0.01</v>
      </c>
      <c r="AJ3736" s="5">
        <v>44673</v>
      </c>
      <c r="AK3736" t="s">
        <v>12706</v>
      </c>
      <c r="AL3736" s="2">
        <v>0</v>
      </c>
      <c r="AM3736" s="2">
        <v>0</v>
      </c>
      <c r="AN3736" s="2">
        <v>0</v>
      </c>
      <c r="AO3736" t="s">
        <v>44</v>
      </c>
      <c r="AP3736" t="s">
        <v>11315</v>
      </c>
      <c r="AQ3736" t="s">
        <v>6750</v>
      </c>
    </row>
    <row r="3737" spans="1:43" x14ac:dyDescent="0.2">
      <c r="A3737" t="s">
        <v>12705</v>
      </c>
      <c r="B3737" t="s">
        <v>11037</v>
      </c>
      <c r="C3737" t="s">
        <v>11305</v>
      </c>
      <c r="D3737" t="s">
        <v>11316</v>
      </c>
      <c r="E3737" t="s">
        <v>5173</v>
      </c>
      <c r="F3737" t="s">
        <v>11316</v>
      </c>
      <c r="G3737" s="1">
        <v>38713</v>
      </c>
      <c r="H3737" s="2">
        <v>2551186.7000000002</v>
      </c>
      <c r="I3737" s="2">
        <v>2315424.5299999998</v>
      </c>
      <c r="J3737" s="2">
        <v>0</v>
      </c>
      <c r="K3737" s="2">
        <v>0</v>
      </c>
      <c r="L3737" s="2">
        <v>2315424.5299999998</v>
      </c>
      <c r="M3737" s="3">
        <v>5981</v>
      </c>
      <c r="N3737" s="4">
        <v>5.2678400000000002E-3</v>
      </c>
      <c r="O3737" s="5" t="s">
        <v>44</v>
      </c>
      <c r="P3737" s="5" t="s">
        <v>44</v>
      </c>
      <c r="Q3737" s="1"/>
      <c r="R3737" s="2"/>
      <c r="S3737" s="6"/>
      <c r="T3737" t="s">
        <v>10902</v>
      </c>
      <c r="U3737" t="s">
        <v>10902</v>
      </c>
      <c r="V3737" t="s">
        <v>10902</v>
      </c>
      <c r="W3737" t="s">
        <v>43</v>
      </c>
      <c r="X3737" t="s">
        <v>11310</v>
      </c>
      <c r="Y3737" t="s">
        <v>11307</v>
      </c>
      <c r="Z3737" t="s">
        <v>11305</v>
      </c>
      <c r="AA3737" t="s">
        <v>44</v>
      </c>
      <c r="AB3737" t="s">
        <v>44</v>
      </c>
      <c r="AC3737" s="4"/>
      <c r="AD3737" s="4"/>
      <c r="AE3737" s="2">
        <v>0</v>
      </c>
      <c r="AF3737" s="4">
        <v>0</v>
      </c>
      <c r="AG3737" s="2">
        <v>0.42</v>
      </c>
      <c r="AH3737" s="2">
        <v>2315424.5299999998</v>
      </c>
      <c r="AI3737" s="2">
        <v>0.01</v>
      </c>
      <c r="AJ3737" s="5">
        <v>44673</v>
      </c>
      <c r="AK3737" t="s">
        <v>12706</v>
      </c>
      <c r="AL3737" s="2">
        <v>0</v>
      </c>
      <c r="AM3737" s="2">
        <v>0</v>
      </c>
      <c r="AN3737" s="2">
        <v>0</v>
      </c>
      <c r="AO3737" t="s">
        <v>44</v>
      </c>
      <c r="AP3737" t="s">
        <v>11317</v>
      </c>
      <c r="AQ3737" t="s">
        <v>5173</v>
      </c>
    </row>
    <row r="3738" spans="1:43" x14ac:dyDescent="0.2">
      <c r="A3738" t="s">
        <v>12705</v>
      </c>
      <c r="B3738" t="s">
        <v>11037</v>
      </c>
      <c r="C3738" t="s">
        <v>11305</v>
      </c>
      <c r="D3738" t="s">
        <v>11698</v>
      </c>
      <c r="E3738" t="s">
        <v>4919</v>
      </c>
      <c r="F3738" t="s">
        <v>11698</v>
      </c>
      <c r="G3738" s="1">
        <v>21000</v>
      </c>
      <c r="H3738" s="2">
        <v>3388463.82</v>
      </c>
      <c r="I3738" s="2">
        <v>3490200</v>
      </c>
      <c r="J3738" s="2">
        <v>0</v>
      </c>
      <c r="K3738" s="2">
        <v>0</v>
      </c>
      <c r="L3738" s="2">
        <v>3490200</v>
      </c>
      <c r="M3738" s="3">
        <v>16620</v>
      </c>
      <c r="N3738" s="4">
        <v>7.9405799999999992E-3</v>
      </c>
      <c r="O3738" s="5" t="s">
        <v>44</v>
      </c>
      <c r="P3738" s="5" t="s">
        <v>44</v>
      </c>
      <c r="Q3738" s="1"/>
      <c r="R3738" s="2"/>
      <c r="S3738" s="6"/>
      <c r="T3738" t="s">
        <v>10902</v>
      </c>
      <c r="U3738" t="s">
        <v>10902</v>
      </c>
      <c r="V3738" t="s">
        <v>10902</v>
      </c>
      <c r="W3738" t="s">
        <v>43</v>
      </c>
      <c r="X3738" t="s">
        <v>11310</v>
      </c>
      <c r="Y3738" t="s">
        <v>11307</v>
      </c>
      <c r="Z3738" t="s">
        <v>11305</v>
      </c>
      <c r="AA3738" t="s">
        <v>44</v>
      </c>
      <c r="AB3738" t="s">
        <v>44</v>
      </c>
      <c r="AC3738" s="4"/>
      <c r="AD3738" s="4"/>
      <c r="AE3738" s="2">
        <v>0</v>
      </c>
      <c r="AF3738" s="4">
        <v>0</v>
      </c>
      <c r="AG3738" s="2">
        <v>0.64</v>
      </c>
      <c r="AH3738" s="2">
        <v>3490200</v>
      </c>
      <c r="AI3738" s="2">
        <v>0.01</v>
      </c>
      <c r="AJ3738" s="5">
        <v>44673</v>
      </c>
      <c r="AK3738" t="s">
        <v>12706</v>
      </c>
      <c r="AL3738" s="2">
        <v>0</v>
      </c>
      <c r="AM3738" s="2">
        <v>0</v>
      </c>
      <c r="AN3738" s="2">
        <v>0</v>
      </c>
      <c r="AO3738" t="s">
        <v>44</v>
      </c>
      <c r="AP3738" t="s">
        <v>11699</v>
      </c>
      <c r="AQ3738" t="s">
        <v>4919</v>
      </c>
    </row>
    <row r="3739" spans="1:43" x14ac:dyDescent="0.2">
      <c r="A3739" t="s">
        <v>12705</v>
      </c>
      <c r="B3739" t="s">
        <v>11037</v>
      </c>
      <c r="C3739" t="s">
        <v>11305</v>
      </c>
      <c r="D3739" t="s">
        <v>6224</v>
      </c>
      <c r="E3739" t="s">
        <v>3901</v>
      </c>
      <c r="F3739" t="s">
        <v>6224</v>
      </c>
      <c r="G3739" s="1">
        <v>37707</v>
      </c>
      <c r="H3739" s="2">
        <v>2688509.1</v>
      </c>
      <c r="I3739" s="2">
        <v>2101034.04</v>
      </c>
      <c r="J3739" s="2">
        <v>0</v>
      </c>
      <c r="K3739" s="2">
        <v>0</v>
      </c>
      <c r="L3739" s="2">
        <v>2101034.04</v>
      </c>
      <c r="M3739" s="3">
        <v>5572</v>
      </c>
      <c r="N3739" s="4">
        <v>4.7800799999999999E-3</v>
      </c>
      <c r="O3739" s="5" t="s">
        <v>44</v>
      </c>
      <c r="P3739" s="5" t="s">
        <v>44</v>
      </c>
      <c r="Q3739" s="1"/>
      <c r="R3739" s="2"/>
      <c r="S3739" s="6"/>
      <c r="T3739" t="s">
        <v>10902</v>
      </c>
      <c r="U3739" t="s">
        <v>10902</v>
      </c>
      <c r="V3739" t="s">
        <v>10902</v>
      </c>
      <c r="W3739" t="s">
        <v>43</v>
      </c>
      <c r="X3739" t="s">
        <v>11306</v>
      </c>
      <c r="Y3739" t="s">
        <v>11307</v>
      </c>
      <c r="Z3739" t="s">
        <v>11305</v>
      </c>
      <c r="AA3739" t="s">
        <v>44</v>
      </c>
      <c r="AB3739" t="s">
        <v>44</v>
      </c>
      <c r="AC3739" s="4"/>
      <c r="AD3739" s="4"/>
      <c r="AE3739" s="2">
        <v>0</v>
      </c>
      <c r="AF3739" s="4">
        <v>0</v>
      </c>
      <c r="AG3739" s="2">
        <v>0.38</v>
      </c>
      <c r="AH3739" s="2">
        <v>2101034.04</v>
      </c>
      <c r="AI3739" s="2">
        <v>0</v>
      </c>
      <c r="AJ3739" s="5">
        <v>44673</v>
      </c>
      <c r="AK3739" t="s">
        <v>12706</v>
      </c>
      <c r="AL3739" s="2">
        <v>0</v>
      </c>
      <c r="AM3739" s="2">
        <v>0</v>
      </c>
      <c r="AN3739" s="2">
        <v>0</v>
      </c>
      <c r="AO3739" t="s">
        <v>44</v>
      </c>
      <c r="AP3739" t="s">
        <v>11320</v>
      </c>
      <c r="AQ3739" t="s">
        <v>3901</v>
      </c>
    </row>
    <row r="3740" spans="1:43" x14ac:dyDescent="0.2">
      <c r="A3740" t="s">
        <v>12705</v>
      </c>
      <c r="B3740" t="s">
        <v>11037</v>
      </c>
      <c r="C3740" t="s">
        <v>11050</v>
      </c>
      <c r="D3740" t="s">
        <v>12707</v>
      </c>
      <c r="E3740" t="s">
        <v>12708</v>
      </c>
      <c r="F3740" t="s">
        <v>12707</v>
      </c>
      <c r="G3740" s="1">
        <v>260000</v>
      </c>
      <c r="H3740" s="2">
        <v>26000000</v>
      </c>
      <c r="I3740" s="2">
        <v>28145000</v>
      </c>
      <c r="J3740" s="2">
        <v>0</v>
      </c>
      <c r="K3740" s="2">
        <v>0</v>
      </c>
      <c r="L3740" s="2">
        <v>28145000</v>
      </c>
      <c r="M3740" s="3">
        <v>108.25</v>
      </c>
      <c r="N3740" s="4">
        <v>6.4032909999999998E-2</v>
      </c>
      <c r="O3740" s="5" t="s">
        <v>44</v>
      </c>
      <c r="P3740" s="5" t="s">
        <v>44</v>
      </c>
      <c r="Q3740" s="1"/>
      <c r="R3740" s="2"/>
      <c r="S3740" s="6"/>
      <c r="T3740" t="s">
        <v>10902</v>
      </c>
      <c r="U3740" t="s">
        <v>10902</v>
      </c>
      <c r="V3740" t="s">
        <v>11051</v>
      </c>
      <c r="W3740" t="s">
        <v>43</v>
      </c>
      <c r="X3740" t="s">
        <v>11050</v>
      </c>
      <c r="Y3740" t="s">
        <v>44</v>
      </c>
      <c r="Z3740" t="s">
        <v>11050</v>
      </c>
      <c r="AA3740" t="s">
        <v>11035</v>
      </c>
      <c r="AB3740" t="s">
        <v>44</v>
      </c>
      <c r="AC3740" s="4"/>
      <c r="AD3740" s="4"/>
      <c r="AE3740" s="2">
        <v>0</v>
      </c>
      <c r="AF3740" s="4">
        <v>0</v>
      </c>
      <c r="AG3740" s="2">
        <v>5.15</v>
      </c>
      <c r="AH3740" s="2">
        <v>28145000</v>
      </c>
      <c r="AI3740" s="2">
        <v>0.06</v>
      </c>
      <c r="AJ3740" s="5">
        <v>44673</v>
      </c>
      <c r="AK3740" t="s">
        <v>12706</v>
      </c>
      <c r="AL3740" s="2">
        <v>0</v>
      </c>
      <c r="AM3740" s="2">
        <v>0</v>
      </c>
      <c r="AN3740" s="2">
        <v>0</v>
      </c>
      <c r="AO3740" t="s">
        <v>11053</v>
      </c>
      <c r="AP3740" t="s">
        <v>44</v>
      </c>
      <c r="AQ3740" t="s">
        <v>12708</v>
      </c>
    </row>
    <row r="3741" spans="1:43" x14ac:dyDescent="0.2">
      <c r="A3741" t="s">
        <v>12705</v>
      </c>
      <c r="B3741" t="s">
        <v>11037</v>
      </c>
      <c r="C3741" t="s">
        <v>11050</v>
      </c>
      <c r="D3741" t="s">
        <v>12709</v>
      </c>
      <c r="E3741" t="s">
        <v>12710</v>
      </c>
      <c r="F3741" t="s">
        <v>12709</v>
      </c>
      <c r="G3741" s="1">
        <v>26000000</v>
      </c>
      <c r="H3741" s="2">
        <v>26000000</v>
      </c>
      <c r="I3741" s="2">
        <v>28024162.870000001</v>
      </c>
      <c r="J3741" s="2">
        <v>0</v>
      </c>
      <c r="K3741" s="2">
        <v>0</v>
      </c>
      <c r="L3741" s="2">
        <v>28024162.870000001</v>
      </c>
      <c r="M3741" s="3">
        <v>107.785242</v>
      </c>
      <c r="N3741" s="4">
        <v>6.375799E-2</v>
      </c>
      <c r="O3741" s="5" t="s">
        <v>44</v>
      </c>
      <c r="P3741" s="5" t="s">
        <v>44</v>
      </c>
      <c r="Q3741" s="1"/>
      <c r="R3741" s="2"/>
      <c r="S3741" s="6"/>
      <c r="T3741" t="s">
        <v>10902</v>
      </c>
      <c r="U3741" t="s">
        <v>10902</v>
      </c>
      <c r="V3741" t="s">
        <v>11051</v>
      </c>
      <c r="W3741" t="s">
        <v>43</v>
      </c>
      <c r="X3741" t="s">
        <v>11050</v>
      </c>
      <c r="Y3741" t="s">
        <v>44</v>
      </c>
      <c r="Z3741" t="s">
        <v>11050</v>
      </c>
      <c r="AA3741" t="s">
        <v>11035</v>
      </c>
      <c r="AB3741" t="s">
        <v>44</v>
      </c>
      <c r="AC3741" s="4"/>
      <c r="AD3741" s="4"/>
      <c r="AE3741" s="2">
        <v>0</v>
      </c>
      <c r="AF3741" s="4">
        <v>0</v>
      </c>
      <c r="AG3741" s="2">
        <v>5.13</v>
      </c>
      <c r="AH3741" s="2">
        <v>28024162.870000001</v>
      </c>
      <c r="AI3741" s="2">
        <v>0.06</v>
      </c>
      <c r="AJ3741" s="5">
        <v>44673</v>
      </c>
      <c r="AK3741" t="s">
        <v>12706</v>
      </c>
      <c r="AL3741" s="2">
        <v>0</v>
      </c>
      <c r="AM3741" s="2">
        <v>0</v>
      </c>
      <c r="AN3741" s="2">
        <v>0</v>
      </c>
      <c r="AO3741" t="s">
        <v>11036</v>
      </c>
      <c r="AP3741" t="s">
        <v>44</v>
      </c>
      <c r="AQ3741" t="s">
        <v>12710</v>
      </c>
    </row>
    <row r="3742" spans="1:43" x14ac:dyDescent="0.2">
      <c r="A3742" t="s">
        <v>12705</v>
      </c>
      <c r="B3742" t="s">
        <v>11037</v>
      </c>
      <c r="C3742" t="s">
        <v>11195</v>
      </c>
      <c r="D3742" t="s">
        <v>6003</v>
      </c>
      <c r="E3742" t="s">
        <v>4789</v>
      </c>
      <c r="F3742" t="s">
        <v>6003</v>
      </c>
      <c r="G3742" s="1">
        <v>9</v>
      </c>
      <c r="H3742" s="2">
        <v>10483.280000000001</v>
      </c>
      <c r="I3742" s="2">
        <v>19292.759999999998</v>
      </c>
      <c r="J3742" s="2">
        <v>0</v>
      </c>
      <c r="K3742" s="2">
        <v>0</v>
      </c>
      <c r="L3742" s="2">
        <v>19292.759999999998</v>
      </c>
      <c r="M3742" s="3">
        <v>214364</v>
      </c>
      <c r="N3742" s="4">
        <v>4.3890000000000002E-5</v>
      </c>
      <c r="O3742" s="5" t="s">
        <v>44</v>
      </c>
      <c r="P3742" s="5" t="s">
        <v>44</v>
      </c>
      <c r="Q3742" s="1"/>
      <c r="R3742" s="2"/>
      <c r="S3742" s="6"/>
      <c r="T3742" t="s">
        <v>10902</v>
      </c>
      <c r="U3742" t="s">
        <v>10902</v>
      </c>
      <c r="V3742" t="s">
        <v>10902</v>
      </c>
      <c r="W3742" t="s">
        <v>43</v>
      </c>
      <c r="X3742" t="s">
        <v>11034</v>
      </c>
      <c r="Y3742" t="s">
        <v>11034</v>
      </c>
      <c r="Z3742" t="s">
        <v>11195</v>
      </c>
      <c r="AA3742" t="s">
        <v>44</v>
      </c>
      <c r="AB3742" t="s">
        <v>44</v>
      </c>
      <c r="AC3742" s="4"/>
      <c r="AD3742" s="4"/>
      <c r="AE3742" s="2">
        <v>0</v>
      </c>
      <c r="AF3742" s="4">
        <v>0</v>
      </c>
      <c r="AG3742" s="2">
        <v>0</v>
      </c>
      <c r="AH3742" s="2">
        <v>19292.759999999998</v>
      </c>
      <c r="AI3742" s="2">
        <v>0</v>
      </c>
      <c r="AJ3742" s="5">
        <v>44673</v>
      </c>
      <c r="AK3742" t="s">
        <v>12706</v>
      </c>
      <c r="AL3742" s="2">
        <v>0</v>
      </c>
      <c r="AM3742" s="2">
        <v>0</v>
      </c>
      <c r="AN3742" s="2">
        <v>0</v>
      </c>
      <c r="AO3742" t="s">
        <v>44</v>
      </c>
      <c r="AP3742" t="s">
        <v>11703</v>
      </c>
      <c r="AQ3742" t="s">
        <v>4789</v>
      </c>
    </row>
    <row r="3743" spans="1:43" x14ac:dyDescent="0.2">
      <c r="A3743" t="s">
        <v>12705</v>
      </c>
      <c r="B3743" t="s">
        <v>11037</v>
      </c>
      <c r="C3743" t="s">
        <v>11195</v>
      </c>
      <c r="D3743" t="s">
        <v>6419</v>
      </c>
      <c r="E3743" t="s">
        <v>5072</v>
      </c>
      <c r="F3743" t="s">
        <v>6419</v>
      </c>
      <c r="G3743" s="1">
        <v>33085</v>
      </c>
      <c r="H3743" s="2">
        <v>1621165</v>
      </c>
      <c r="I3743" s="2">
        <v>1388246.6</v>
      </c>
      <c r="J3743" s="2">
        <v>0</v>
      </c>
      <c r="K3743" s="2">
        <v>0</v>
      </c>
      <c r="L3743" s="2">
        <v>1388246.6</v>
      </c>
      <c r="M3743" s="3">
        <v>4196</v>
      </c>
      <c r="N3743" s="4">
        <v>3.15841E-3</v>
      </c>
      <c r="O3743" s="5" t="s">
        <v>44</v>
      </c>
      <c r="P3743" s="5" t="s">
        <v>44</v>
      </c>
      <c r="Q3743" s="1"/>
      <c r="R3743" s="2"/>
      <c r="S3743" s="6"/>
      <c r="T3743" t="s">
        <v>10902</v>
      </c>
      <c r="U3743" t="s">
        <v>10902</v>
      </c>
      <c r="V3743" t="s">
        <v>10902</v>
      </c>
      <c r="W3743" t="s">
        <v>43</v>
      </c>
      <c r="X3743" t="s">
        <v>11327</v>
      </c>
      <c r="Y3743" t="s">
        <v>11198</v>
      </c>
      <c r="Z3743" t="s">
        <v>11195</v>
      </c>
      <c r="AA3743" t="s">
        <v>44</v>
      </c>
      <c r="AB3743" t="s">
        <v>44</v>
      </c>
      <c r="AC3743" s="4"/>
      <c r="AD3743" s="4"/>
      <c r="AE3743" s="2">
        <v>0</v>
      </c>
      <c r="AF3743" s="4">
        <v>0</v>
      </c>
      <c r="AG3743" s="2">
        <v>0.25</v>
      </c>
      <c r="AH3743" s="2">
        <v>1388246.6</v>
      </c>
      <c r="AI3743" s="2">
        <v>0</v>
      </c>
      <c r="AJ3743" s="5">
        <v>44673</v>
      </c>
      <c r="AK3743" t="s">
        <v>12706</v>
      </c>
      <c r="AL3743" s="2">
        <v>0</v>
      </c>
      <c r="AM3743" s="2">
        <v>0</v>
      </c>
      <c r="AN3743" s="2">
        <v>0</v>
      </c>
      <c r="AO3743" t="s">
        <v>44</v>
      </c>
      <c r="AP3743" t="s">
        <v>11328</v>
      </c>
      <c r="AQ3743" t="s">
        <v>5072</v>
      </c>
    </row>
    <row r="3744" spans="1:43" x14ac:dyDescent="0.2">
      <c r="A3744" t="s">
        <v>12705</v>
      </c>
      <c r="B3744" t="s">
        <v>11037</v>
      </c>
      <c r="C3744" t="s">
        <v>11195</v>
      </c>
      <c r="D3744" t="s">
        <v>11704</v>
      </c>
      <c r="E3744" t="s">
        <v>3205</v>
      </c>
      <c r="F3744" t="s">
        <v>11704</v>
      </c>
      <c r="G3744" s="1">
        <v>9370</v>
      </c>
      <c r="H3744" s="2">
        <v>1073340.07</v>
      </c>
      <c r="I3744" s="2">
        <v>1542302</v>
      </c>
      <c r="J3744" s="2">
        <v>0</v>
      </c>
      <c r="K3744" s="2">
        <v>0</v>
      </c>
      <c r="L3744" s="2">
        <v>1542302</v>
      </c>
      <c r="M3744" s="3">
        <v>16460</v>
      </c>
      <c r="N3744" s="4">
        <v>3.5089000000000001E-3</v>
      </c>
      <c r="O3744" s="5" t="s">
        <v>44</v>
      </c>
      <c r="P3744" s="5" t="s">
        <v>44</v>
      </c>
      <c r="Q3744" s="1"/>
      <c r="R3744" s="2"/>
      <c r="S3744" s="6"/>
      <c r="T3744" t="s">
        <v>10902</v>
      </c>
      <c r="U3744" t="s">
        <v>10902</v>
      </c>
      <c r="V3744" t="s">
        <v>10902</v>
      </c>
      <c r="W3744" t="s">
        <v>43</v>
      </c>
      <c r="X3744" t="s">
        <v>11334</v>
      </c>
      <c r="Y3744" t="s">
        <v>11335</v>
      </c>
      <c r="Z3744" t="s">
        <v>11195</v>
      </c>
      <c r="AA3744" t="s">
        <v>44</v>
      </c>
      <c r="AB3744" t="s">
        <v>44</v>
      </c>
      <c r="AC3744" s="4"/>
      <c r="AD3744" s="4"/>
      <c r="AE3744" s="2">
        <v>0</v>
      </c>
      <c r="AF3744" s="4">
        <v>0</v>
      </c>
      <c r="AG3744" s="2">
        <v>0.28000000000000003</v>
      </c>
      <c r="AH3744" s="2">
        <v>1542302</v>
      </c>
      <c r="AI3744" s="2">
        <v>0</v>
      </c>
      <c r="AJ3744" s="5">
        <v>44673</v>
      </c>
      <c r="AK3744" t="s">
        <v>12706</v>
      </c>
      <c r="AL3744" s="2">
        <v>0</v>
      </c>
      <c r="AM3744" s="2">
        <v>0</v>
      </c>
      <c r="AN3744" s="2">
        <v>0</v>
      </c>
      <c r="AO3744" t="s">
        <v>44</v>
      </c>
      <c r="AP3744" t="s">
        <v>11705</v>
      </c>
      <c r="AQ3744" t="s">
        <v>3205</v>
      </c>
    </row>
    <row r="3745" spans="1:43" x14ac:dyDescent="0.2">
      <c r="A3745" t="s">
        <v>12705</v>
      </c>
      <c r="B3745" t="s">
        <v>11037</v>
      </c>
      <c r="C3745" t="s">
        <v>11195</v>
      </c>
      <c r="D3745" t="s">
        <v>11196</v>
      </c>
      <c r="E3745" t="s">
        <v>5755</v>
      </c>
      <c r="F3745" t="s">
        <v>11196</v>
      </c>
      <c r="G3745" s="1">
        <v>74382</v>
      </c>
      <c r="H3745" s="2">
        <v>1273552.43</v>
      </c>
      <c r="I3745" s="2">
        <v>1605163.56</v>
      </c>
      <c r="J3745" s="2">
        <v>0</v>
      </c>
      <c r="K3745" s="2">
        <v>0</v>
      </c>
      <c r="L3745" s="2">
        <v>1605163.56</v>
      </c>
      <c r="M3745" s="3">
        <v>2158</v>
      </c>
      <c r="N3745" s="4">
        <v>3.6519199999999999E-3</v>
      </c>
      <c r="O3745" s="5" t="s">
        <v>44</v>
      </c>
      <c r="P3745" s="5" t="s">
        <v>44</v>
      </c>
      <c r="Q3745" s="1"/>
      <c r="R3745" s="2"/>
      <c r="S3745" s="6"/>
      <c r="T3745" t="s">
        <v>10902</v>
      </c>
      <c r="U3745" t="s">
        <v>10902</v>
      </c>
      <c r="V3745" t="s">
        <v>10902</v>
      </c>
      <c r="W3745" t="s">
        <v>43</v>
      </c>
      <c r="X3745" t="s">
        <v>11197</v>
      </c>
      <c r="Y3745" t="s">
        <v>11198</v>
      </c>
      <c r="Z3745" t="s">
        <v>11195</v>
      </c>
      <c r="AA3745" t="s">
        <v>44</v>
      </c>
      <c r="AB3745" t="s">
        <v>44</v>
      </c>
      <c r="AC3745" s="4"/>
      <c r="AD3745" s="4"/>
      <c r="AE3745" s="2">
        <v>0</v>
      </c>
      <c r="AF3745" s="4">
        <v>0</v>
      </c>
      <c r="AG3745" s="2">
        <v>0.28999999999999998</v>
      </c>
      <c r="AH3745" s="2">
        <v>1605163.56</v>
      </c>
      <c r="AI3745" s="2">
        <v>0</v>
      </c>
      <c r="AJ3745" s="5">
        <v>44673</v>
      </c>
      <c r="AK3745" t="s">
        <v>12706</v>
      </c>
      <c r="AL3745" s="2">
        <v>0</v>
      </c>
      <c r="AM3745" s="2">
        <v>0</v>
      </c>
      <c r="AN3745" s="2">
        <v>0</v>
      </c>
      <c r="AO3745" t="s">
        <v>44</v>
      </c>
      <c r="AP3745" t="s">
        <v>11199</v>
      </c>
      <c r="AQ3745" t="s">
        <v>5755</v>
      </c>
    </row>
    <row r="3746" spans="1:43" x14ac:dyDescent="0.2">
      <c r="A3746" t="s">
        <v>12705</v>
      </c>
      <c r="B3746" t="s">
        <v>11037</v>
      </c>
      <c r="C3746" t="s">
        <v>11195</v>
      </c>
      <c r="D3746" t="s">
        <v>11200</v>
      </c>
      <c r="E3746" t="s">
        <v>5277</v>
      </c>
      <c r="F3746" t="s">
        <v>11200</v>
      </c>
      <c r="G3746" s="1">
        <v>112673</v>
      </c>
      <c r="H3746" s="2">
        <v>2073183.2</v>
      </c>
      <c r="I3746" s="2">
        <v>1405032.31</v>
      </c>
      <c r="J3746" s="2">
        <v>0</v>
      </c>
      <c r="K3746" s="2">
        <v>0</v>
      </c>
      <c r="L3746" s="2">
        <v>1405032.31</v>
      </c>
      <c r="M3746" s="3">
        <v>1247</v>
      </c>
      <c r="N3746" s="4">
        <v>3.1966E-3</v>
      </c>
      <c r="O3746" s="5" t="s">
        <v>44</v>
      </c>
      <c r="P3746" s="5" t="s">
        <v>44</v>
      </c>
      <c r="Q3746" s="1"/>
      <c r="R3746" s="2"/>
      <c r="S3746" s="6"/>
      <c r="T3746" t="s">
        <v>10902</v>
      </c>
      <c r="U3746" t="s">
        <v>10902</v>
      </c>
      <c r="V3746" t="s">
        <v>10902</v>
      </c>
      <c r="W3746" t="s">
        <v>43</v>
      </c>
      <c r="X3746" t="s">
        <v>11197</v>
      </c>
      <c r="Y3746" t="s">
        <v>11198</v>
      </c>
      <c r="Z3746" t="s">
        <v>11195</v>
      </c>
      <c r="AA3746" t="s">
        <v>44</v>
      </c>
      <c r="AB3746" t="s">
        <v>44</v>
      </c>
      <c r="AC3746" s="4"/>
      <c r="AD3746" s="4"/>
      <c r="AE3746" s="2">
        <v>0</v>
      </c>
      <c r="AF3746" s="4">
        <v>0</v>
      </c>
      <c r="AG3746" s="2">
        <v>0.26</v>
      </c>
      <c r="AH3746" s="2">
        <v>1405032.31</v>
      </c>
      <c r="AI3746" s="2">
        <v>0</v>
      </c>
      <c r="AJ3746" s="5">
        <v>44673</v>
      </c>
      <c r="AK3746" t="s">
        <v>12706</v>
      </c>
      <c r="AL3746" s="2">
        <v>0</v>
      </c>
      <c r="AM3746" s="2">
        <v>0</v>
      </c>
      <c r="AN3746" s="2">
        <v>0</v>
      </c>
      <c r="AO3746" t="s">
        <v>44</v>
      </c>
      <c r="AP3746" t="s">
        <v>11201</v>
      </c>
      <c r="AQ3746" t="s">
        <v>5277</v>
      </c>
    </row>
    <row r="3747" spans="1:43" x14ac:dyDescent="0.2">
      <c r="A3747" t="s">
        <v>12705</v>
      </c>
      <c r="B3747" t="s">
        <v>11037</v>
      </c>
      <c r="C3747" t="s">
        <v>11195</v>
      </c>
      <c r="D3747" t="s">
        <v>6332</v>
      </c>
      <c r="E3747" t="s">
        <v>3152</v>
      </c>
      <c r="F3747" t="s">
        <v>6332</v>
      </c>
      <c r="G3747" s="1">
        <v>20287</v>
      </c>
      <c r="H3747" s="2">
        <v>592300.24</v>
      </c>
      <c r="I3747" s="2">
        <v>731954.96</v>
      </c>
      <c r="J3747" s="2">
        <v>0</v>
      </c>
      <c r="K3747" s="2">
        <v>0</v>
      </c>
      <c r="L3747" s="2">
        <v>731954.96</v>
      </c>
      <c r="M3747" s="3">
        <v>3608</v>
      </c>
      <c r="N3747" s="4">
        <v>1.6652800000000001E-3</v>
      </c>
      <c r="O3747" s="5" t="s">
        <v>44</v>
      </c>
      <c r="P3747" s="5" t="s">
        <v>44</v>
      </c>
      <c r="Q3747" s="1"/>
      <c r="R3747" s="2"/>
      <c r="S3747" s="6"/>
      <c r="T3747" t="s">
        <v>10902</v>
      </c>
      <c r="U3747" t="s">
        <v>10902</v>
      </c>
      <c r="V3747" t="s">
        <v>10902</v>
      </c>
      <c r="W3747" t="s">
        <v>43</v>
      </c>
      <c r="X3747" t="s">
        <v>11197</v>
      </c>
      <c r="Y3747" t="s">
        <v>11198</v>
      </c>
      <c r="Z3747" t="s">
        <v>11195</v>
      </c>
      <c r="AA3747" t="s">
        <v>44</v>
      </c>
      <c r="AB3747" t="s">
        <v>44</v>
      </c>
      <c r="AC3747" s="4"/>
      <c r="AD3747" s="4"/>
      <c r="AE3747" s="2">
        <v>0</v>
      </c>
      <c r="AF3747" s="4">
        <v>0</v>
      </c>
      <c r="AG3747" s="2">
        <v>0.13</v>
      </c>
      <c r="AH3747" s="2">
        <v>731954.96</v>
      </c>
      <c r="AI3747" s="2">
        <v>0</v>
      </c>
      <c r="AJ3747" s="5">
        <v>44673</v>
      </c>
      <c r="AK3747" t="s">
        <v>12706</v>
      </c>
      <c r="AL3747" s="2">
        <v>0</v>
      </c>
      <c r="AM3747" s="2">
        <v>0</v>
      </c>
      <c r="AN3747" s="2">
        <v>0</v>
      </c>
      <c r="AO3747" t="s">
        <v>44</v>
      </c>
      <c r="AP3747" t="s">
        <v>11203</v>
      </c>
      <c r="AQ3747" t="s">
        <v>3152</v>
      </c>
    </row>
    <row r="3748" spans="1:43" x14ac:dyDescent="0.2">
      <c r="A3748" t="s">
        <v>12705</v>
      </c>
      <c r="B3748" t="s">
        <v>11037</v>
      </c>
      <c r="C3748" t="s">
        <v>11195</v>
      </c>
      <c r="D3748" t="s">
        <v>6450</v>
      </c>
      <c r="E3748" t="s">
        <v>5121</v>
      </c>
      <c r="F3748" t="s">
        <v>6450</v>
      </c>
      <c r="G3748" s="1">
        <v>10579</v>
      </c>
      <c r="H3748" s="2">
        <v>1450698.27</v>
      </c>
      <c r="I3748" s="2">
        <v>1173105.31</v>
      </c>
      <c r="J3748" s="2">
        <v>0</v>
      </c>
      <c r="K3748" s="2">
        <v>0</v>
      </c>
      <c r="L3748" s="2">
        <v>1173105.31</v>
      </c>
      <c r="M3748" s="3">
        <v>11089</v>
      </c>
      <c r="N3748" s="4">
        <v>2.6689399999999999E-3</v>
      </c>
      <c r="O3748" s="5" t="s">
        <v>44</v>
      </c>
      <c r="P3748" s="5" t="s">
        <v>44</v>
      </c>
      <c r="Q3748" s="1"/>
      <c r="R3748" s="2"/>
      <c r="S3748" s="6"/>
      <c r="T3748" t="s">
        <v>10902</v>
      </c>
      <c r="U3748" t="s">
        <v>10902</v>
      </c>
      <c r="V3748" t="s">
        <v>10902</v>
      </c>
      <c r="W3748" t="s">
        <v>43</v>
      </c>
      <c r="X3748" t="s">
        <v>11327</v>
      </c>
      <c r="Y3748" t="s">
        <v>11198</v>
      </c>
      <c r="Z3748" t="s">
        <v>11195</v>
      </c>
      <c r="AA3748" t="s">
        <v>44</v>
      </c>
      <c r="AB3748" t="s">
        <v>44</v>
      </c>
      <c r="AC3748" s="4"/>
      <c r="AD3748" s="4"/>
      <c r="AE3748" s="2">
        <v>0</v>
      </c>
      <c r="AF3748" s="4">
        <v>0</v>
      </c>
      <c r="AG3748" s="2">
        <v>0.21</v>
      </c>
      <c r="AH3748" s="2">
        <v>1173105.31</v>
      </c>
      <c r="AI3748" s="2">
        <v>0</v>
      </c>
      <c r="AJ3748" s="5">
        <v>44673</v>
      </c>
      <c r="AK3748" t="s">
        <v>12706</v>
      </c>
      <c r="AL3748" s="2">
        <v>0</v>
      </c>
      <c r="AM3748" s="2">
        <v>0</v>
      </c>
      <c r="AN3748" s="2">
        <v>0</v>
      </c>
      <c r="AO3748" t="s">
        <v>44</v>
      </c>
      <c r="AP3748" t="s">
        <v>11331</v>
      </c>
      <c r="AQ3748" t="s">
        <v>5121</v>
      </c>
    </row>
    <row r="3749" spans="1:43" x14ac:dyDescent="0.2">
      <c r="A3749" t="s">
        <v>12705</v>
      </c>
      <c r="B3749" t="s">
        <v>11037</v>
      </c>
      <c r="C3749" t="s">
        <v>11195</v>
      </c>
      <c r="D3749" t="s">
        <v>11204</v>
      </c>
      <c r="E3749" t="s">
        <v>5699</v>
      </c>
      <c r="F3749" t="s">
        <v>11204</v>
      </c>
      <c r="G3749" s="1">
        <v>46000</v>
      </c>
      <c r="H3749" s="2">
        <v>835504.83</v>
      </c>
      <c r="I3749" s="2">
        <v>1006480</v>
      </c>
      <c r="J3749" s="2">
        <v>0</v>
      </c>
      <c r="K3749" s="2">
        <v>0</v>
      </c>
      <c r="L3749" s="2">
        <v>1006480</v>
      </c>
      <c r="M3749" s="3">
        <v>2188</v>
      </c>
      <c r="N3749" s="4">
        <v>2.28985E-3</v>
      </c>
      <c r="O3749" s="5" t="s">
        <v>44</v>
      </c>
      <c r="P3749" s="5" t="s">
        <v>44</v>
      </c>
      <c r="Q3749" s="1"/>
      <c r="R3749" s="2"/>
      <c r="S3749" s="6"/>
      <c r="T3749" t="s">
        <v>10902</v>
      </c>
      <c r="U3749" t="s">
        <v>10902</v>
      </c>
      <c r="V3749" t="s">
        <v>10902</v>
      </c>
      <c r="W3749" t="s">
        <v>43</v>
      </c>
      <c r="X3749" t="s">
        <v>11197</v>
      </c>
      <c r="Y3749" t="s">
        <v>11198</v>
      </c>
      <c r="Z3749" t="s">
        <v>11195</v>
      </c>
      <c r="AA3749" t="s">
        <v>44</v>
      </c>
      <c r="AB3749" t="s">
        <v>44</v>
      </c>
      <c r="AC3749" s="4"/>
      <c r="AD3749" s="4"/>
      <c r="AE3749" s="2">
        <v>0</v>
      </c>
      <c r="AF3749" s="4">
        <v>0</v>
      </c>
      <c r="AG3749" s="2">
        <v>0.18</v>
      </c>
      <c r="AH3749" s="2">
        <v>1006480</v>
      </c>
      <c r="AI3749" s="2">
        <v>0</v>
      </c>
      <c r="AJ3749" s="5">
        <v>44673</v>
      </c>
      <c r="AK3749" t="s">
        <v>12706</v>
      </c>
      <c r="AL3749" s="2">
        <v>0</v>
      </c>
      <c r="AM3749" s="2">
        <v>0</v>
      </c>
      <c r="AN3749" s="2">
        <v>0</v>
      </c>
      <c r="AO3749" t="s">
        <v>44</v>
      </c>
      <c r="AP3749" t="s">
        <v>11205</v>
      </c>
      <c r="AQ3749" t="s">
        <v>5699</v>
      </c>
    </row>
    <row r="3750" spans="1:43" x14ac:dyDescent="0.2">
      <c r="A3750" t="s">
        <v>12705</v>
      </c>
      <c r="B3750" t="s">
        <v>11037</v>
      </c>
      <c r="C3750" t="s">
        <v>11195</v>
      </c>
      <c r="D3750" t="s">
        <v>11332</v>
      </c>
      <c r="E3750" t="s">
        <v>11333</v>
      </c>
      <c r="F3750" t="s">
        <v>11332</v>
      </c>
      <c r="G3750" s="1">
        <v>121999</v>
      </c>
      <c r="H3750" s="2">
        <v>1808397.65</v>
      </c>
      <c r="I3750" s="2">
        <v>2060563.11</v>
      </c>
      <c r="J3750" s="2">
        <v>0</v>
      </c>
      <c r="K3750" s="2">
        <v>0</v>
      </c>
      <c r="L3750" s="2">
        <v>2060563.11</v>
      </c>
      <c r="M3750" s="3">
        <v>1689</v>
      </c>
      <c r="N3750" s="4">
        <v>4.6880000000000003E-3</v>
      </c>
      <c r="O3750" s="5" t="s">
        <v>44</v>
      </c>
      <c r="P3750" s="5" t="s">
        <v>44</v>
      </c>
      <c r="Q3750" s="1"/>
      <c r="R3750" s="2"/>
      <c r="S3750" s="6"/>
      <c r="T3750" t="s">
        <v>10902</v>
      </c>
      <c r="U3750" t="s">
        <v>10902</v>
      </c>
      <c r="V3750" t="s">
        <v>10902</v>
      </c>
      <c r="W3750" t="s">
        <v>43</v>
      </c>
      <c r="X3750" t="s">
        <v>11334</v>
      </c>
      <c r="Y3750" t="s">
        <v>11335</v>
      </c>
      <c r="Z3750" t="s">
        <v>11195</v>
      </c>
      <c r="AA3750" t="s">
        <v>44</v>
      </c>
      <c r="AB3750" t="s">
        <v>44</v>
      </c>
      <c r="AC3750" s="4"/>
      <c r="AD3750" s="4"/>
      <c r="AE3750" s="2">
        <v>0</v>
      </c>
      <c r="AF3750" s="4">
        <v>0</v>
      </c>
      <c r="AG3750" s="2">
        <v>0.38</v>
      </c>
      <c r="AH3750" s="2">
        <v>2060563.11</v>
      </c>
      <c r="AI3750" s="2">
        <v>0</v>
      </c>
      <c r="AJ3750" s="5">
        <v>44673</v>
      </c>
      <c r="AK3750" t="s">
        <v>12706</v>
      </c>
      <c r="AL3750" s="2">
        <v>0</v>
      </c>
      <c r="AM3750" s="2">
        <v>0</v>
      </c>
      <c r="AN3750" s="2">
        <v>0</v>
      </c>
      <c r="AO3750" t="s">
        <v>44</v>
      </c>
      <c r="AP3750" t="s">
        <v>11336</v>
      </c>
      <c r="AQ3750" t="s">
        <v>11333</v>
      </c>
    </row>
    <row r="3751" spans="1:43" x14ac:dyDescent="0.2">
      <c r="A3751" t="s">
        <v>12705</v>
      </c>
      <c r="B3751" t="s">
        <v>11037</v>
      </c>
      <c r="C3751" t="s">
        <v>11195</v>
      </c>
      <c r="D3751" t="s">
        <v>11337</v>
      </c>
      <c r="E3751" t="s">
        <v>11338</v>
      </c>
      <c r="F3751" t="s">
        <v>11339</v>
      </c>
      <c r="G3751" s="1">
        <v>21209</v>
      </c>
      <c r="H3751" s="2">
        <v>627848.38</v>
      </c>
      <c r="I3751" s="2">
        <v>1072751.22</v>
      </c>
      <c r="J3751" s="2">
        <v>0</v>
      </c>
      <c r="K3751" s="2">
        <v>0</v>
      </c>
      <c r="L3751" s="2">
        <v>1072751.22</v>
      </c>
      <c r="M3751" s="3">
        <v>5058</v>
      </c>
      <c r="N3751" s="4">
        <v>2.4406200000000001E-3</v>
      </c>
      <c r="O3751" s="5" t="s">
        <v>44</v>
      </c>
      <c r="P3751" s="5" t="s">
        <v>44</v>
      </c>
      <c r="Q3751" s="1"/>
      <c r="R3751" s="2"/>
      <c r="S3751" s="6"/>
      <c r="T3751" t="s">
        <v>10902</v>
      </c>
      <c r="U3751" t="s">
        <v>10902</v>
      </c>
      <c r="V3751" t="s">
        <v>10902</v>
      </c>
      <c r="W3751" t="s">
        <v>43</v>
      </c>
      <c r="X3751" t="s">
        <v>11327</v>
      </c>
      <c r="Y3751" t="s">
        <v>11198</v>
      </c>
      <c r="Z3751" t="s">
        <v>11195</v>
      </c>
      <c r="AA3751" t="s">
        <v>44</v>
      </c>
      <c r="AB3751" t="s">
        <v>44</v>
      </c>
      <c r="AC3751" s="4"/>
      <c r="AD3751" s="4"/>
      <c r="AE3751" s="2">
        <v>0</v>
      </c>
      <c r="AF3751" s="4">
        <v>0</v>
      </c>
      <c r="AG3751" s="2">
        <v>0.2</v>
      </c>
      <c r="AH3751" s="2">
        <v>1072751.22</v>
      </c>
      <c r="AI3751" s="2">
        <v>0</v>
      </c>
      <c r="AJ3751" s="5">
        <v>44673</v>
      </c>
      <c r="AK3751" t="s">
        <v>12706</v>
      </c>
      <c r="AL3751" s="2">
        <v>0</v>
      </c>
      <c r="AM3751" s="2">
        <v>0</v>
      </c>
      <c r="AN3751" s="2">
        <v>0</v>
      </c>
      <c r="AO3751" t="s">
        <v>44</v>
      </c>
      <c r="AP3751" t="s">
        <v>11340</v>
      </c>
      <c r="AQ3751" t="s">
        <v>11338</v>
      </c>
    </row>
    <row r="3752" spans="1:43" x14ac:dyDescent="0.2">
      <c r="A3752" t="s">
        <v>12705</v>
      </c>
      <c r="B3752" t="s">
        <v>11037</v>
      </c>
      <c r="C3752" t="s">
        <v>11195</v>
      </c>
      <c r="D3752" t="s">
        <v>11341</v>
      </c>
      <c r="E3752" t="s">
        <v>11342</v>
      </c>
      <c r="F3752" t="s">
        <v>11341</v>
      </c>
      <c r="G3752" s="1">
        <v>26187</v>
      </c>
      <c r="H3752" s="2">
        <v>775211.72</v>
      </c>
      <c r="I3752" s="2">
        <v>1365913.92</v>
      </c>
      <c r="J3752" s="2">
        <v>0</v>
      </c>
      <c r="K3752" s="2">
        <v>0</v>
      </c>
      <c r="L3752" s="2">
        <v>1365913.92</v>
      </c>
      <c r="M3752" s="3">
        <v>5216</v>
      </c>
      <c r="N3752" s="4">
        <v>3.1075999999999999E-3</v>
      </c>
      <c r="O3752" s="5" t="s">
        <v>44</v>
      </c>
      <c r="P3752" s="5" t="s">
        <v>44</v>
      </c>
      <c r="Q3752" s="1"/>
      <c r="R3752" s="2"/>
      <c r="S3752" s="6"/>
      <c r="T3752" t="s">
        <v>10902</v>
      </c>
      <c r="U3752" t="s">
        <v>10902</v>
      </c>
      <c r="V3752" t="s">
        <v>10902</v>
      </c>
      <c r="W3752" t="s">
        <v>43</v>
      </c>
      <c r="X3752" t="s">
        <v>11327</v>
      </c>
      <c r="Y3752" t="s">
        <v>11198</v>
      </c>
      <c r="Z3752" t="s">
        <v>11195</v>
      </c>
      <c r="AA3752" t="s">
        <v>44</v>
      </c>
      <c r="AB3752" t="s">
        <v>44</v>
      </c>
      <c r="AC3752" s="4"/>
      <c r="AD3752" s="4"/>
      <c r="AE3752" s="2">
        <v>0</v>
      </c>
      <c r="AF3752" s="4">
        <v>0</v>
      </c>
      <c r="AG3752" s="2">
        <v>0.25</v>
      </c>
      <c r="AH3752" s="2">
        <v>1365913.92</v>
      </c>
      <c r="AI3752" s="2">
        <v>0</v>
      </c>
      <c r="AJ3752" s="5">
        <v>44673</v>
      </c>
      <c r="AK3752" t="s">
        <v>12706</v>
      </c>
      <c r="AL3752" s="2">
        <v>0</v>
      </c>
      <c r="AM3752" s="2">
        <v>0</v>
      </c>
      <c r="AN3752" s="2">
        <v>0</v>
      </c>
      <c r="AO3752" t="s">
        <v>44</v>
      </c>
      <c r="AP3752" t="s">
        <v>11343</v>
      </c>
      <c r="AQ3752" t="s">
        <v>11342</v>
      </c>
    </row>
    <row r="3753" spans="1:43" x14ac:dyDescent="0.2">
      <c r="A3753" t="s">
        <v>12705</v>
      </c>
      <c r="B3753" t="s">
        <v>11037</v>
      </c>
      <c r="C3753" t="s">
        <v>11195</v>
      </c>
      <c r="D3753" t="s">
        <v>6128</v>
      </c>
      <c r="E3753" t="s">
        <v>6759</v>
      </c>
      <c r="F3753" t="s">
        <v>6128</v>
      </c>
      <c r="G3753" s="1">
        <v>18740</v>
      </c>
      <c r="H3753" s="2">
        <v>940659.37</v>
      </c>
      <c r="I3753" s="2">
        <v>1808410</v>
      </c>
      <c r="J3753" s="2">
        <v>0</v>
      </c>
      <c r="K3753" s="2">
        <v>0</v>
      </c>
      <c r="L3753" s="2">
        <v>1808410</v>
      </c>
      <c r="M3753" s="3">
        <v>9650</v>
      </c>
      <c r="N3753" s="4">
        <v>4.1143300000000002E-3</v>
      </c>
      <c r="O3753" s="5" t="s">
        <v>44</v>
      </c>
      <c r="P3753" s="5" t="s">
        <v>44</v>
      </c>
      <c r="Q3753" s="1"/>
      <c r="R3753" s="2"/>
      <c r="S3753" s="6"/>
      <c r="T3753" t="s">
        <v>10902</v>
      </c>
      <c r="U3753" t="s">
        <v>10902</v>
      </c>
      <c r="V3753" t="s">
        <v>10902</v>
      </c>
      <c r="W3753" t="s">
        <v>43</v>
      </c>
      <c r="X3753" t="s">
        <v>11327</v>
      </c>
      <c r="Y3753" t="s">
        <v>11198</v>
      </c>
      <c r="Z3753" t="s">
        <v>11195</v>
      </c>
      <c r="AA3753" t="s">
        <v>44</v>
      </c>
      <c r="AB3753" t="s">
        <v>44</v>
      </c>
      <c r="AC3753" s="4"/>
      <c r="AD3753" s="4"/>
      <c r="AE3753" s="2">
        <v>0</v>
      </c>
      <c r="AF3753" s="4">
        <v>0</v>
      </c>
      <c r="AG3753" s="2">
        <v>0.33</v>
      </c>
      <c r="AH3753" s="2">
        <v>1808410</v>
      </c>
      <c r="AI3753" s="2">
        <v>0</v>
      </c>
      <c r="AJ3753" s="5">
        <v>44673</v>
      </c>
      <c r="AK3753" t="s">
        <v>12706</v>
      </c>
      <c r="AL3753" s="2">
        <v>0</v>
      </c>
      <c r="AM3753" s="2">
        <v>0</v>
      </c>
      <c r="AN3753" s="2">
        <v>0</v>
      </c>
      <c r="AO3753" t="s">
        <v>44</v>
      </c>
      <c r="AP3753" t="s">
        <v>11344</v>
      </c>
      <c r="AQ3753" t="s">
        <v>6759</v>
      </c>
    </row>
    <row r="3754" spans="1:43" x14ac:dyDescent="0.2">
      <c r="A3754" t="s">
        <v>12705</v>
      </c>
      <c r="B3754" t="s">
        <v>11037</v>
      </c>
      <c r="C3754" t="s">
        <v>11195</v>
      </c>
      <c r="D3754" t="s">
        <v>11345</v>
      </c>
      <c r="E3754" t="s">
        <v>5409</v>
      </c>
      <c r="F3754" t="s">
        <v>11345</v>
      </c>
      <c r="G3754" s="1">
        <v>100000</v>
      </c>
      <c r="H3754" s="2">
        <v>3210913.9</v>
      </c>
      <c r="I3754" s="2">
        <v>2760000</v>
      </c>
      <c r="J3754" s="2">
        <v>0</v>
      </c>
      <c r="K3754" s="2">
        <v>78259.899999999994</v>
      </c>
      <c r="L3754" s="2">
        <v>2838259.9</v>
      </c>
      <c r="M3754" s="3">
        <v>2760</v>
      </c>
      <c r="N3754" s="4">
        <v>6.4573499999999997E-3</v>
      </c>
      <c r="O3754" s="5" t="s">
        <v>44</v>
      </c>
      <c r="P3754" s="5" t="s">
        <v>44</v>
      </c>
      <c r="Q3754" s="1"/>
      <c r="R3754" s="2"/>
      <c r="S3754" s="6"/>
      <c r="T3754" t="s">
        <v>10902</v>
      </c>
      <c r="U3754" t="s">
        <v>10902</v>
      </c>
      <c r="V3754" t="s">
        <v>10902</v>
      </c>
      <c r="W3754" t="s">
        <v>43</v>
      </c>
      <c r="X3754" t="s">
        <v>11327</v>
      </c>
      <c r="Y3754" t="s">
        <v>11198</v>
      </c>
      <c r="Z3754" t="s">
        <v>11195</v>
      </c>
      <c r="AA3754" t="s">
        <v>44</v>
      </c>
      <c r="AB3754" t="s">
        <v>44</v>
      </c>
      <c r="AC3754" s="4"/>
      <c r="AD3754" s="4"/>
      <c r="AE3754" s="2">
        <v>0</v>
      </c>
      <c r="AF3754" s="4">
        <v>0</v>
      </c>
      <c r="AG3754" s="2">
        <v>0.52</v>
      </c>
      <c r="AH3754" s="2">
        <v>2838259.9</v>
      </c>
      <c r="AI3754" s="2">
        <v>0.01</v>
      </c>
      <c r="AJ3754" s="5">
        <v>44673</v>
      </c>
      <c r="AK3754" t="s">
        <v>12706</v>
      </c>
      <c r="AL3754" s="2">
        <v>0</v>
      </c>
      <c r="AM3754" s="2">
        <v>0</v>
      </c>
      <c r="AN3754" s="2">
        <v>0</v>
      </c>
      <c r="AO3754" t="s">
        <v>44</v>
      </c>
      <c r="AP3754" t="s">
        <v>11346</v>
      </c>
      <c r="AQ3754" t="s">
        <v>5409</v>
      </c>
    </row>
    <row r="3755" spans="1:43" x14ac:dyDescent="0.2">
      <c r="A3755" t="s">
        <v>12705</v>
      </c>
      <c r="B3755" t="s">
        <v>11037</v>
      </c>
      <c r="C3755" t="s">
        <v>11195</v>
      </c>
      <c r="D3755" t="s">
        <v>6263</v>
      </c>
      <c r="E3755" t="s">
        <v>6850</v>
      </c>
      <c r="F3755" t="s">
        <v>6263</v>
      </c>
      <c r="G3755" s="1">
        <v>85829</v>
      </c>
      <c r="H3755" s="2">
        <v>1666491.26</v>
      </c>
      <c r="I3755" s="2">
        <v>2273610.21</v>
      </c>
      <c r="J3755" s="2">
        <v>0</v>
      </c>
      <c r="K3755" s="2">
        <v>142047</v>
      </c>
      <c r="L3755" s="2">
        <v>2415657.21</v>
      </c>
      <c r="M3755" s="3">
        <v>2649</v>
      </c>
      <c r="N3755" s="4">
        <v>5.4958799999999999E-3</v>
      </c>
      <c r="O3755" s="5" t="s">
        <v>44</v>
      </c>
      <c r="P3755" s="5" t="s">
        <v>44</v>
      </c>
      <c r="Q3755" s="1"/>
      <c r="R3755" s="2"/>
      <c r="S3755" s="6"/>
      <c r="T3755" t="s">
        <v>10902</v>
      </c>
      <c r="U3755" t="s">
        <v>10902</v>
      </c>
      <c r="V3755" t="s">
        <v>10902</v>
      </c>
      <c r="W3755" t="s">
        <v>43</v>
      </c>
      <c r="X3755" t="s">
        <v>11347</v>
      </c>
      <c r="Y3755" t="s">
        <v>11348</v>
      </c>
      <c r="Z3755" t="s">
        <v>11195</v>
      </c>
      <c r="AA3755" t="s">
        <v>44</v>
      </c>
      <c r="AB3755" t="s">
        <v>44</v>
      </c>
      <c r="AC3755" s="4"/>
      <c r="AD3755" s="4"/>
      <c r="AE3755" s="2">
        <v>0</v>
      </c>
      <c r="AF3755" s="4">
        <v>0</v>
      </c>
      <c r="AG3755" s="2">
        <v>0.44</v>
      </c>
      <c r="AH3755" s="2">
        <v>2415657.21</v>
      </c>
      <c r="AI3755" s="2">
        <v>0.01</v>
      </c>
      <c r="AJ3755" s="5">
        <v>44673</v>
      </c>
      <c r="AK3755" t="s">
        <v>12706</v>
      </c>
      <c r="AL3755" s="2">
        <v>0</v>
      </c>
      <c r="AM3755" s="2">
        <v>0</v>
      </c>
      <c r="AN3755" s="2">
        <v>0</v>
      </c>
      <c r="AO3755" t="s">
        <v>44</v>
      </c>
      <c r="AP3755" t="s">
        <v>11349</v>
      </c>
      <c r="AQ3755" t="s">
        <v>6850</v>
      </c>
    </row>
    <row r="3756" spans="1:43" x14ac:dyDescent="0.2">
      <c r="A3756" t="s">
        <v>12705</v>
      </c>
      <c r="B3756" t="s">
        <v>11037</v>
      </c>
      <c r="C3756" t="s">
        <v>11195</v>
      </c>
      <c r="D3756" t="s">
        <v>11208</v>
      </c>
      <c r="E3756" t="s">
        <v>3160</v>
      </c>
      <c r="F3756" t="s">
        <v>11208</v>
      </c>
      <c r="G3756" s="1">
        <v>650000</v>
      </c>
      <c r="H3756" s="2">
        <v>1899852.79</v>
      </c>
      <c r="I3756" s="2">
        <v>2879500</v>
      </c>
      <c r="J3756" s="2">
        <v>0</v>
      </c>
      <c r="K3756" s="2">
        <v>0</v>
      </c>
      <c r="L3756" s="2">
        <v>2879500</v>
      </c>
      <c r="M3756" s="3">
        <v>443</v>
      </c>
      <c r="N3756" s="4">
        <v>6.5511700000000003E-3</v>
      </c>
      <c r="O3756" s="5" t="s">
        <v>44</v>
      </c>
      <c r="P3756" s="5" t="s">
        <v>44</v>
      </c>
      <c r="Q3756" s="1"/>
      <c r="R3756" s="2"/>
      <c r="S3756" s="6"/>
      <c r="T3756" t="s">
        <v>10902</v>
      </c>
      <c r="U3756" t="s">
        <v>10902</v>
      </c>
      <c r="V3756" t="s">
        <v>10902</v>
      </c>
      <c r="W3756" t="s">
        <v>43</v>
      </c>
      <c r="X3756" t="s">
        <v>11197</v>
      </c>
      <c r="Y3756" t="s">
        <v>11198</v>
      </c>
      <c r="Z3756" t="s">
        <v>11195</v>
      </c>
      <c r="AA3756" t="s">
        <v>44</v>
      </c>
      <c r="AB3756" t="s">
        <v>44</v>
      </c>
      <c r="AC3756" s="4"/>
      <c r="AD3756" s="4"/>
      <c r="AE3756" s="2">
        <v>0</v>
      </c>
      <c r="AF3756" s="4">
        <v>0</v>
      </c>
      <c r="AG3756" s="2">
        <v>0.53</v>
      </c>
      <c r="AH3756" s="2">
        <v>2879500</v>
      </c>
      <c r="AI3756" s="2">
        <v>0.01</v>
      </c>
      <c r="AJ3756" s="5">
        <v>44673</v>
      </c>
      <c r="AK3756" t="s">
        <v>12706</v>
      </c>
      <c r="AL3756" s="2">
        <v>0</v>
      </c>
      <c r="AM3756" s="2">
        <v>0</v>
      </c>
      <c r="AN3756" s="2">
        <v>0</v>
      </c>
      <c r="AO3756" t="s">
        <v>44</v>
      </c>
      <c r="AP3756" t="s">
        <v>11209</v>
      </c>
      <c r="AQ3756" t="s">
        <v>3160</v>
      </c>
    </row>
    <row r="3757" spans="1:43" x14ac:dyDescent="0.2">
      <c r="A3757" t="s">
        <v>12705</v>
      </c>
      <c r="B3757" t="s">
        <v>11037</v>
      </c>
      <c r="C3757" t="s">
        <v>11195</v>
      </c>
      <c r="D3757" t="s">
        <v>11714</v>
      </c>
      <c r="E3757" t="s">
        <v>5012</v>
      </c>
      <c r="F3757" t="s">
        <v>11714</v>
      </c>
      <c r="G3757" s="1">
        <v>13000</v>
      </c>
      <c r="H3757" s="2">
        <v>4076776.74</v>
      </c>
      <c r="I3757" s="2">
        <v>4158050</v>
      </c>
      <c r="J3757" s="2">
        <v>0</v>
      </c>
      <c r="K3757" s="2">
        <v>0</v>
      </c>
      <c r="L3757" s="2">
        <v>4158050</v>
      </c>
      <c r="M3757" s="3">
        <v>31985</v>
      </c>
      <c r="N3757" s="4">
        <v>9.4600099999999996E-3</v>
      </c>
      <c r="O3757" s="5" t="s">
        <v>44</v>
      </c>
      <c r="P3757" s="5" t="s">
        <v>44</v>
      </c>
      <c r="Q3757" s="1"/>
      <c r="R3757" s="2"/>
      <c r="S3757" s="6"/>
      <c r="T3757" t="s">
        <v>10902</v>
      </c>
      <c r="U3757" t="s">
        <v>10902</v>
      </c>
      <c r="V3757" t="s">
        <v>10902</v>
      </c>
      <c r="W3757" t="s">
        <v>43</v>
      </c>
      <c r="X3757" t="s">
        <v>11327</v>
      </c>
      <c r="Y3757" t="s">
        <v>11198</v>
      </c>
      <c r="Z3757" t="s">
        <v>11195</v>
      </c>
      <c r="AA3757" t="s">
        <v>44</v>
      </c>
      <c r="AB3757" t="s">
        <v>44</v>
      </c>
      <c r="AC3757" s="4"/>
      <c r="AD3757" s="4"/>
      <c r="AE3757" s="2">
        <v>0</v>
      </c>
      <c r="AF3757" s="4">
        <v>0</v>
      </c>
      <c r="AG3757" s="2">
        <v>0.76</v>
      </c>
      <c r="AH3757" s="2">
        <v>4158050</v>
      </c>
      <c r="AI3757" s="2">
        <v>0.01</v>
      </c>
      <c r="AJ3757" s="5">
        <v>44673</v>
      </c>
      <c r="AK3757" t="s">
        <v>12706</v>
      </c>
      <c r="AL3757" s="2">
        <v>0</v>
      </c>
      <c r="AM3757" s="2">
        <v>0</v>
      </c>
      <c r="AN3757" s="2">
        <v>0</v>
      </c>
      <c r="AO3757" t="s">
        <v>44</v>
      </c>
      <c r="AP3757" t="s">
        <v>11715</v>
      </c>
      <c r="AQ3757" t="s">
        <v>5012</v>
      </c>
    </row>
    <row r="3758" spans="1:43" x14ac:dyDescent="0.2">
      <c r="A3758" t="s">
        <v>12705</v>
      </c>
      <c r="B3758" t="s">
        <v>11037</v>
      </c>
      <c r="C3758" t="s">
        <v>11195</v>
      </c>
      <c r="D3758" t="s">
        <v>11210</v>
      </c>
      <c r="E3758" t="s">
        <v>3167</v>
      </c>
      <c r="F3758" t="s">
        <v>11211</v>
      </c>
      <c r="G3758" s="1">
        <v>30544</v>
      </c>
      <c r="H3758" s="2">
        <v>1631525.83</v>
      </c>
      <c r="I3758" s="2">
        <v>1786824</v>
      </c>
      <c r="J3758" s="2">
        <v>0</v>
      </c>
      <c r="K3758" s="2">
        <v>0</v>
      </c>
      <c r="L3758" s="2">
        <v>1786824</v>
      </c>
      <c r="M3758" s="3">
        <v>5850</v>
      </c>
      <c r="N3758" s="4">
        <v>4.0652199999999996E-3</v>
      </c>
      <c r="O3758" s="5" t="s">
        <v>44</v>
      </c>
      <c r="P3758" s="5" t="s">
        <v>44</v>
      </c>
      <c r="Q3758" s="1"/>
      <c r="R3758" s="2"/>
      <c r="S3758" s="6"/>
      <c r="T3758" t="s">
        <v>10902</v>
      </c>
      <c r="U3758" t="s">
        <v>10902</v>
      </c>
      <c r="V3758" t="s">
        <v>11212</v>
      </c>
      <c r="W3758" t="s">
        <v>43</v>
      </c>
      <c r="X3758" t="s">
        <v>11197</v>
      </c>
      <c r="Y3758" t="s">
        <v>11198</v>
      </c>
      <c r="Z3758" t="s">
        <v>11195</v>
      </c>
      <c r="AA3758" t="s">
        <v>44</v>
      </c>
      <c r="AB3758" t="s">
        <v>44</v>
      </c>
      <c r="AC3758" s="4"/>
      <c r="AD3758" s="4"/>
      <c r="AE3758" s="2">
        <v>0</v>
      </c>
      <c r="AF3758" s="4">
        <v>0</v>
      </c>
      <c r="AG3758" s="2">
        <v>0.33</v>
      </c>
      <c r="AH3758" s="2">
        <v>1786824</v>
      </c>
      <c r="AI3758" s="2">
        <v>0</v>
      </c>
      <c r="AJ3758" s="5">
        <v>44673</v>
      </c>
      <c r="AK3758" t="s">
        <v>12706</v>
      </c>
      <c r="AL3758" s="2">
        <v>0</v>
      </c>
      <c r="AM3758" s="2">
        <v>0</v>
      </c>
      <c r="AN3758" s="2">
        <v>0</v>
      </c>
      <c r="AO3758" t="s">
        <v>44</v>
      </c>
      <c r="AP3758" t="s">
        <v>11213</v>
      </c>
      <c r="AQ3758" t="s">
        <v>3167</v>
      </c>
    </row>
    <row r="3759" spans="1:43" x14ac:dyDescent="0.2">
      <c r="A3759" t="s">
        <v>12705</v>
      </c>
      <c r="B3759" t="s">
        <v>11037</v>
      </c>
      <c r="C3759" t="s">
        <v>11195</v>
      </c>
      <c r="D3759" t="s">
        <v>6379</v>
      </c>
      <c r="E3759" t="s">
        <v>5199</v>
      </c>
      <c r="F3759" t="s">
        <v>6379</v>
      </c>
      <c r="G3759" s="1">
        <v>6056</v>
      </c>
      <c r="H3759" s="2">
        <v>1876928.95</v>
      </c>
      <c r="I3759" s="2">
        <v>1768352</v>
      </c>
      <c r="J3759" s="2">
        <v>0</v>
      </c>
      <c r="K3759" s="2">
        <v>0</v>
      </c>
      <c r="L3759" s="2">
        <v>1768352</v>
      </c>
      <c r="M3759" s="3">
        <v>29200</v>
      </c>
      <c r="N3759" s="4">
        <v>4.0231900000000003E-3</v>
      </c>
      <c r="O3759" s="5" t="s">
        <v>44</v>
      </c>
      <c r="P3759" s="5" t="s">
        <v>44</v>
      </c>
      <c r="Q3759" s="1"/>
      <c r="R3759" s="2"/>
      <c r="S3759" s="6"/>
      <c r="T3759" t="s">
        <v>10902</v>
      </c>
      <c r="U3759" t="s">
        <v>10902</v>
      </c>
      <c r="V3759" t="s">
        <v>10902</v>
      </c>
      <c r="W3759" t="s">
        <v>43</v>
      </c>
      <c r="X3759" t="s">
        <v>11350</v>
      </c>
      <c r="Y3759" t="s">
        <v>11335</v>
      </c>
      <c r="Z3759" t="s">
        <v>11195</v>
      </c>
      <c r="AA3759" t="s">
        <v>44</v>
      </c>
      <c r="AB3759" t="s">
        <v>44</v>
      </c>
      <c r="AC3759" s="4"/>
      <c r="AD3759" s="4"/>
      <c r="AE3759" s="2">
        <v>0</v>
      </c>
      <c r="AF3759" s="4">
        <v>0</v>
      </c>
      <c r="AG3759" s="2">
        <v>0.32</v>
      </c>
      <c r="AH3759" s="2">
        <v>1768352</v>
      </c>
      <c r="AI3759" s="2">
        <v>0</v>
      </c>
      <c r="AJ3759" s="5">
        <v>44673</v>
      </c>
      <c r="AK3759" t="s">
        <v>12706</v>
      </c>
      <c r="AL3759" s="2">
        <v>0</v>
      </c>
      <c r="AM3759" s="2">
        <v>0</v>
      </c>
      <c r="AN3759" s="2">
        <v>0</v>
      </c>
      <c r="AO3759" t="s">
        <v>44</v>
      </c>
      <c r="AP3759" t="s">
        <v>11351</v>
      </c>
      <c r="AQ3759" t="s">
        <v>5199</v>
      </c>
    </row>
    <row r="3760" spans="1:43" x14ac:dyDescent="0.2">
      <c r="A3760" t="s">
        <v>12705</v>
      </c>
      <c r="B3760" t="s">
        <v>11037</v>
      </c>
      <c r="C3760" t="s">
        <v>11195</v>
      </c>
      <c r="D3760" t="s">
        <v>6710</v>
      </c>
      <c r="E3760" t="s">
        <v>1780</v>
      </c>
      <c r="F3760" t="s">
        <v>6710</v>
      </c>
      <c r="G3760" s="1">
        <v>30659</v>
      </c>
      <c r="H3760" s="2">
        <v>778488.98</v>
      </c>
      <c r="I3760" s="2">
        <v>729684.2</v>
      </c>
      <c r="J3760" s="2">
        <v>0</v>
      </c>
      <c r="K3760" s="2">
        <v>0</v>
      </c>
      <c r="L3760" s="2">
        <v>729684.2</v>
      </c>
      <c r="M3760" s="3">
        <v>2380</v>
      </c>
      <c r="N3760" s="4">
        <v>1.66011E-3</v>
      </c>
      <c r="O3760" s="5" t="s">
        <v>44</v>
      </c>
      <c r="P3760" s="5" t="s">
        <v>44</v>
      </c>
      <c r="Q3760" s="1"/>
      <c r="R3760" s="2"/>
      <c r="S3760" s="6"/>
      <c r="T3760" t="s">
        <v>10902</v>
      </c>
      <c r="U3760" t="s">
        <v>10902</v>
      </c>
      <c r="V3760" t="s">
        <v>10902</v>
      </c>
      <c r="W3760" t="s">
        <v>43</v>
      </c>
      <c r="X3760" t="s">
        <v>11197</v>
      </c>
      <c r="Y3760" t="s">
        <v>11198</v>
      </c>
      <c r="Z3760" t="s">
        <v>11195</v>
      </c>
      <c r="AA3760" t="s">
        <v>44</v>
      </c>
      <c r="AB3760" t="s">
        <v>44</v>
      </c>
      <c r="AC3760" s="4"/>
      <c r="AD3760" s="4"/>
      <c r="AE3760" s="2">
        <v>0</v>
      </c>
      <c r="AF3760" s="4">
        <v>0</v>
      </c>
      <c r="AG3760" s="2">
        <v>0.13</v>
      </c>
      <c r="AH3760" s="2">
        <v>729684.2</v>
      </c>
      <c r="AI3760" s="2">
        <v>0</v>
      </c>
      <c r="AJ3760" s="5">
        <v>44673</v>
      </c>
      <c r="AK3760" t="s">
        <v>12706</v>
      </c>
      <c r="AL3760" s="2">
        <v>0</v>
      </c>
      <c r="AM3760" s="2">
        <v>0</v>
      </c>
      <c r="AN3760" s="2">
        <v>0</v>
      </c>
      <c r="AO3760" t="s">
        <v>44</v>
      </c>
      <c r="AP3760" t="s">
        <v>11214</v>
      </c>
      <c r="AQ3760" t="s">
        <v>1780</v>
      </c>
    </row>
    <row r="3761" spans="1:43" x14ac:dyDescent="0.2">
      <c r="A3761" t="s">
        <v>12705</v>
      </c>
      <c r="B3761" t="s">
        <v>11037</v>
      </c>
      <c r="C3761" t="s">
        <v>11195</v>
      </c>
      <c r="D3761" t="s">
        <v>5876</v>
      </c>
      <c r="E3761" t="s">
        <v>4893</v>
      </c>
      <c r="F3761" t="s">
        <v>5876</v>
      </c>
      <c r="G3761" s="1">
        <v>5117</v>
      </c>
      <c r="H3761" s="2">
        <v>661169.43999999994</v>
      </c>
      <c r="I3761" s="2">
        <v>874699.98</v>
      </c>
      <c r="J3761" s="2">
        <v>0</v>
      </c>
      <c r="K3761" s="2">
        <v>0</v>
      </c>
      <c r="L3761" s="2">
        <v>874699.98</v>
      </c>
      <c r="M3761" s="3">
        <v>17094</v>
      </c>
      <c r="N3761" s="4">
        <v>1.9900400000000002E-3</v>
      </c>
      <c r="O3761" s="5" t="s">
        <v>44</v>
      </c>
      <c r="P3761" s="5" t="s">
        <v>44</v>
      </c>
      <c r="Q3761" s="1"/>
      <c r="R3761" s="2"/>
      <c r="S3761" s="6"/>
      <c r="T3761" t="s">
        <v>10902</v>
      </c>
      <c r="U3761" t="s">
        <v>10902</v>
      </c>
      <c r="V3761" t="s">
        <v>10902</v>
      </c>
      <c r="W3761" t="s">
        <v>43</v>
      </c>
      <c r="X3761" t="s">
        <v>11034</v>
      </c>
      <c r="Y3761" t="s">
        <v>11034</v>
      </c>
      <c r="Z3761" t="s">
        <v>11195</v>
      </c>
      <c r="AA3761" t="s">
        <v>44</v>
      </c>
      <c r="AB3761" t="s">
        <v>44</v>
      </c>
      <c r="AC3761" s="4"/>
      <c r="AD3761" s="4"/>
      <c r="AE3761" s="2">
        <v>0</v>
      </c>
      <c r="AF3761" s="4">
        <v>0</v>
      </c>
      <c r="AG3761" s="2">
        <v>0.16</v>
      </c>
      <c r="AH3761" s="2">
        <v>874699.98</v>
      </c>
      <c r="AI3761" s="2">
        <v>0</v>
      </c>
      <c r="AJ3761" s="5">
        <v>44673</v>
      </c>
      <c r="AK3761" t="s">
        <v>12706</v>
      </c>
      <c r="AL3761" s="2">
        <v>0</v>
      </c>
      <c r="AM3761" s="2">
        <v>0</v>
      </c>
      <c r="AN3761" s="2">
        <v>0</v>
      </c>
      <c r="AO3761" t="s">
        <v>44</v>
      </c>
      <c r="AP3761" t="s">
        <v>11352</v>
      </c>
      <c r="AQ3761" t="s">
        <v>4893</v>
      </c>
    </row>
    <row r="3762" spans="1:43" x14ac:dyDescent="0.2">
      <c r="A3762" t="s">
        <v>12705</v>
      </c>
      <c r="B3762" t="s">
        <v>11037</v>
      </c>
      <c r="C3762" t="s">
        <v>11195</v>
      </c>
      <c r="D3762" t="s">
        <v>11353</v>
      </c>
      <c r="E3762" t="s">
        <v>5706</v>
      </c>
      <c r="F3762" t="s">
        <v>11353</v>
      </c>
      <c r="G3762" s="1">
        <v>63611</v>
      </c>
      <c r="H3762" s="2">
        <v>1318074.7</v>
      </c>
      <c r="I3762" s="2">
        <v>3180550</v>
      </c>
      <c r="J3762" s="2">
        <v>0</v>
      </c>
      <c r="K3762" s="2">
        <v>0</v>
      </c>
      <c r="L3762" s="2">
        <v>3180550</v>
      </c>
      <c r="M3762" s="3">
        <v>5000</v>
      </c>
      <c r="N3762" s="4">
        <v>7.2360899999999997E-3</v>
      </c>
      <c r="O3762" s="5" t="s">
        <v>44</v>
      </c>
      <c r="P3762" s="5" t="s">
        <v>44</v>
      </c>
      <c r="Q3762" s="1"/>
      <c r="R3762" s="2"/>
      <c r="S3762" s="6"/>
      <c r="T3762" t="s">
        <v>10902</v>
      </c>
      <c r="U3762" t="s">
        <v>10902</v>
      </c>
      <c r="V3762" t="s">
        <v>10902</v>
      </c>
      <c r="W3762" t="s">
        <v>43</v>
      </c>
      <c r="X3762" t="s">
        <v>11327</v>
      </c>
      <c r="Y3762" t="s">
        <v>11198</v>
      </c>
      <c r="Z3762" t="s">
        <v>11195</v>
      </c>
      <c r="AA3762" t="s">
        <v>44</v>
      </c>
      <c r="AB3762" t="s">
        <v>44</v>
      </c>
      <c r="AC3762" s="4"/>
      <c r="AD3762" s="4"/>
      <c r="AE3762" s="2">
        <v>0</v>
      </c>
      <c r="AF3762" s="4">
        <v>0</v>
      </c>
      <c r="AG3762" s="2">
        <v>0.57999999999999996</v>
      </c>
      <c r="AH3762" s="2">
        <v>3180550</v>
      </c>
      <c r="AI3762" s="2">
        <v>0.01</v>
      </c>
      <c r="AJ3762" s="5">
        <v>44673</v>
      </c>
      <c r="AK3762" t="s">
        <v>12706</v>
      </c>
      <c r="AL3762" s="2">
        <v>0</v>
      </c>
      <c r="AM3762" s="2">
        <v>0</v>
      </c>
      <c r="AN3762" s="2">
        <v>0</v>
      </c>
      <c r="AO3762" t="s">
        <v>44</v>
      </c>
      <c r="AP3762" t="s">
        <v>11354</v>
      </c>
      <c r="AQ3762" t="s">
        <v>5706</v>
      </c>
    </row>
    <row r="3763" spans="1:43" x14ac:dyDescent="0.2">
      <c r="A3763" t="s">
        <v>12705</v>
      </c>
      <c r="B3763" t="s">
        <v>11037</v>
      </c>
      <c r="C3763" t="s">
        <v>11195</v>
      </c>
      <c r="D3763" t="s">
        <v>6348</v>
      </c>
      <c r="E3763" t="s">
        <v>5241</v>
      </c>
      <c r="F3763" t="s">
        <v>6348</v>
      </c>
      <c r="G3763" s="1">
        <v>95270</v>
      </c>
      <c r="H3763" s="2">
        <v>985346.15</v>
      </c>
      <c r="I3763" s="2">
        <v>1276618</v>
      </c>
      <c r="J3763" s="2">
        <v>0</v>
      </c>
      <c r="K3763" s="2">
        <v>0</v>
      </c>
      <c r="L3763" s="2">
        <v>1276618</v>
      </c>
      <c r="M3763" s="3">
        <v>1340</v>
      </c>
      <c r="N3763" s="4">
        <v>2.9044399999999999E-3</v>
      </c>
      <c r="O3763" s="5" t="s">
        <v>44</v>
      </c>
      <c r="P3763" s="5" t="s">
        <v>44</v>
      </c>
      <c r="Q3763" s="1"/>
      <c r="R3763" s="2"/>
      <c r="S3763" s="6"/>
      <c r="T3763" t="s">
        <v>10902</v>
      </c>
      <c r="U3763" t="s">
        <v>10902</v>
      </c>
      <c r="V3763" t="s">
        <v>10902</v>
      </c>
      <c r="W3763" t="s">
        <v>43</v>
      </c>
      <c r="X3763" t="s">
        <v>11197</v>
      </c>
      <c r="Y3763" t="s">
        <v>11198</v>
      </c>
      <c r="Z3763" t="s">
        <v>11195</v>
      </c>
      <c r="AA3763" t="s">
        <v>44</v>
      </c>
      <c r="AB3763" t="s">
        <v>44</v>
      </c>
      <c r="AC3763" s="4"/>
      <c r="AD3763" s="4"/>
      <c r="AE3763" s="2">
        <v>0</v>
      </c>
      <c r="AF3763" s="4">
        <v>0</v>
      </c>
      <c r="AG3763" s="2">
        <v>0.23</v>
      </c>
      <c r="AH3763" s="2">
        <v>1276618</v>
      </c>
      <c r="AI3763" s="2">
        <v>0</v>
      </c>
      <c r="AJ3763" s="5">
        <v>44673</v>
      </c>
      <c r="AK3763" t="s">
        <v>12706</v>
      </c>
      <c r="AL3763" s="2">
        <v>0</v>
      </c>
      <c r="AM3763" s="2">
        <v>0</v>
      </c>
      <c r="AN3763" s="2">
        <v>0</v>
      </c>
      <c r="AO3763" t="s">
        <v>44</v>
      </c>
      <c r="AP3763" t="s">
        <v>11215</v>
      </c>
      <c r="AQ3763" t="s">
        <v>5241</v>
      </c>
    </row>
    <row r="3764" spans="1:43" x14ac:dyDescent="0.2">
      <c r="A3764" t="s">
        <v>12705</v>
      </c>
      <c r="B3764" t="s">
        <v>11037</v>
      </c>
      <c r="C3764" t="s">
        <v>11355</v>
      </c>
      <c r="D3764" t="s">
        <v>11356</v>
      </c>
      <c r="E3764" t="s">
        <v>4971</v>
      </c>
      <c r="F3764" t="s">
        <v>6192</v>
      </c>
      <c r="G3764" s="1">
        <v>118591</v>
      </c>
      <c r="H3764" s="2">
        <v>2714383.76</v>
      </c>
      <c r="I3764" s="2">
        <v>2671855.23</v>
      </c>
      <c r="J3764" s="2">
        <v>0</v>
      </c>
      <c r="K3764" s="2">
        <v>0</v>
      </c>
      <c r="L3764" s="2">
        <v>2671855.23</v>
      </c>
      <c r="M3764" s="3">
        <v>2253</v>
      </c>
      <c r="N3764" s="4">
        <v>6.0787599999999999E-3</v>
      </c>
      <c r="O3764" s="5" t="s">
        <v>44</v>
      </c>
      <c r="P3764" s="5" t="s">
        <v>44</v>
      </c>
      <c r="Q3764" s="1"/>
      <c r="R3764" s="2"/>
      <c r="S3764" s="6"/>
      <c r="T3764" t="s">
        <v>10902</v>
      </c>
      <c r="U3764" t="s">
        <v>10902</v>
      </c>
      <c r="V3764" t="s">
        <v>10902</v>
      </c>
      <c r="W3764" t="s">
        <v>43</v>
      </c>
      <c r="X3764" t="s">
        <v>11357</v>
      </c>
      <c r="Y3764" t="s">
        <v>11358</v>
      </c>
      <c r="Z3764" t="s">
        <v>11355</v>
      </c>
      <c r="AA3764" t="s">
        <v>44</v>
      </c>
      <c r="AB3764" t="s">
        <v>44</v>
      </c>
      <c r="AC3764" s="4"/>
      <c r="AD3764" s="4"/>
      <c r="AE3764" s="2">
        <v>0</v>
      </c>
      <c r="AF3764" s="4">
        <v>0</v>
      </c>
      <c r="AG3764" s="2">
        <v>0.49</v>
      </c>
      <c r="AH3764" s="2">
        <v>2671855.23</v>
      </c>
      <c r="AI3764" s="2">
        <v>0.01</v>
      </c>
      <c r="AJ3764" s="5">
        <v>44673</v>
      </c>
      <c r="AK3764" t="s">
        <v>12706</v>
      </c>
      <c r="AL3764" s="2">
        <v>0</v>
      </c>
      <c r="AM3764" s="2">
        <v>0</v>
      </c>
      <c r="AN3764" s="2">
        <v>0</v>
      </c>
      <c r="AO3764" t="s">
        <v>44</v>
      </c>
      <c r="AP3764" t="s">
        <v>11359</v>
      </c>
      <c r="AQ3764" t="s">
        <v>4971</v>
      </c>
    </row>
    <row r="3765" spans="1:43" x14ac:dyDescent="0.2">
      <c r="A3765" t="s">
        <v>12705</v>
      </c>
      <c r="B3765" t="s">
        <v>11037</v>
      </c>
      <c r="C3765" t="s">
        <v>11355</v>
      </c>
      <c r="D3765" t="s">
        <v>11360</v>
      </c>
      <c r="E3765" t="s">
        <v>4991</v>
      </c>
      <c r="F3765" t="s">
        <v>11360</v>
      </c>
      <c r="G3765" s="1">
        <v>38523</v>
      </c>
      <c r="H3765" s="2">
        <v>2237612.06</v>
      </c>
      <c r="I3765" s="2">
        <v>2913494.49</v>
      </c>
      <c r="J3765" s="2">
        <v>0</v>
      </c>
      <c r="K3765" s="2">
        <v>0</v>
      </c>
      <c r="L3765" s="2">
        <v>2913494.49</v>
      </c>
      <c r="M3765" s="3">
        <v>7563</v>
      </c>
      <c r="N3765" s="4">
        <v>6.6285099999999998E-3</v>
      </c>
      <c r="O3765" s="5" t="s">
        <v>44</v>
      </c>
      <c r="P3765" s="5" t="s">
        <v>44</v>
      </c>
      <c r="Q3765" s="1"/>
      <c r="R3765" s="2"/>
      <c r="S3765" s="6"/>
      <c r="T3765" t="s">
        <v>10902</v>
      </c>
      <c r="U3765" t="s">
        <v>10902</v>
      </c>
      <c r="V3765" t="s">
        <v>10902</v>
      </c>
      <c r="W3765" t="s">
        <v>43</v>
      </c>
      <c r="X3765" t="s">
        <v>11357</v>
      </c>
      <c r="Y3765" t="s">
        <v>11358</v>
      </c>
      <c r="Z3765" t="s">
        <v>11355</v>
      </c>
      <c r="AA3765" t="s">
        <v>44</v>
      </c>
      <c r="AB3765" t="s">
        <v>44</v>
      </c>
      <c r="AC3765" s="4"/>
      <c r="AD3765" s="4"/>
      <c r="AE3765" s="2">
        <v>0</v>
      </c>
      <c r="AF3765" s="4">
        <v>0</v>
      </c>
      <c r="AG3765" s="2">
        <v>0.53</v>
      </c>
      <c r="AH3765" s="2">
        <v>2913494.49</v>
      </c>
      <c r="AI3765" s="2">
        <v>0.01</v>
      </c>
      <c r="AJ3765" s="5">
        <v>44673</v>
      </c>
      <c r="AK3765" t="s">
        <v>12706</v>
      </c>
      <c r="AL3765" s="2">
        <v>0</v>
      </c>
      <c r="AM3765" s="2">
        <v>0</v>
      </c>
      <c r="AN3765" s="2">
        <v>0</v>
      </c>
      <c r="AO3765" t="s">
        <v>44</v>
      </c>
      <c r="AP3765" t="s">
        <v>11361</v>
      </c>
      <c r="AQ3765" t="s">
        <v>4991</v>
      </c>
    </row>
    <row r="3766" spans="1:43" x14ac:dyDescent="0.2">
      <c r="A3766" t="s">
        <v>12705</v>
      </c>
      <c r="B3766" t="s">
        <v>11037</v>
      </c>
      <c r="C3766" t="s">
        <v>11355</v>
      </c>
      <c r="D3766" t="s">
        <v>11362</v>
      </c>
      <c r="E3766" t="s">
        <v>4862</v>
      </c>
      <c r="F3766" t="s">
        <v>11362</v>
      </c>
      <c r="G3766" s="1">
        <v>150000</v>
      </c>
      <c r="H3766" s="2">
        <v>2686756.18</v>
      </c>
      <c r="I3766" s="2">
        <v>2400000</v>
      </c>
      <c r="J3766" s="2">
        <v>0</v>
      </c>
      <c r="K3766" s="2">
        <v>0</v>
      </c>
      <c r="L3766" s="2">
        <v>2400000</v>
      </c>
      <c r="M3766" s="3">
        <v>1600</v>
      </c>
      <c r="N3766" s="4">
        <v>5.4602599999999998E-3</v>
      </c>
      <c r="O3766" s="5" t="s">
        <v>44</v>
      </c>
      <c r="P3766" s="5" t="s">
        <v>44</v>
      </c>
      <c r="Q3766" s="1"/>
      <c r="R3766" s="2"/>
      <c r="S3766" s="6"/>
      <c r="T3766" t="s">
        <v>10902</v>
      </c>
      <c r="U3766" t="s">
        <v>10902</v>
      </c>
      <c r="V3766" t="s">
        <v>10902</v>
      </c>
      <c r="W3766" t="s">
        <v>43</v>
      </c>
      <c r="X3766" t="s">
        <v>11357</v>
      </c>
      <c r="Y3766" t="s">
        <v>11358</v>
      </c>
      <c r="Z3766" t="s">
        <v>11355</v>
      </c>
      <c r="AA3766" t="s">
        <v>44</v>
      </c>
      <c r="AB3766" t="s">
        <v>44</v>
      </c>
      <c r="AC3766" s="4"/>
      <c r="AD3766" s="4"/>
      <c r="AE3766" s="2">
        <v>0</v>
      </c>
      <c r="AF3766" s="4">
        <v>0</v>
      </c>
      <c r="AG3766" s="2">
        <v>0.44</v>
      </c>
      <c r="AH3766" s="2">
        <v>2400000</v>
      </c>
      <c r="AI3766" s="2">
        <v>0.01</v>
      </c>
      <c r="AJ3766" s="5">
        <v>44673</v>
      </c>
      <c r="AK3766" t="s">
        <v>12706</v>
      </c>
      <c r="AL3766" s="2">
        <v>0</v>
      </c>
      <c r="AM3766" s="2">
        <v>0</v>
      </c>
      <c r="AN3766" s="2">
        <v>0</v>
      </c>
      <c r="AO3766" t="s">
        <v>44</v>
      </c>
      <c r="AP3766" t="s">
        <v>11363</v>
      </c>
      <c r="AQ3766" t="s">
        <v>4862</v>
      </c>
    </row>
    <row r="3767" spans="1:43" x14ac:dyDescent="0.2">
      <c r="A3767" t="s">
        <v>12705</v>
      </c>
      <c r="B3767" t="s">
        <v>11037</v>
      </c>
      <c r="C3767" t="s">
        <v>11364</v>
      </c>
      <c r="D3767" t="s">
        <v>6240</v>
      </c>
      <c r="E3767" t="s">
        <v>5065</v>
      </c>
      <c r="F3767" t="s">
        <v>6240</v>
      </c>
      <c r="G3767" s="1">
        <v>24152</v>
      </c>
      <c r="H3767" s="2">
        <v>2943198.12</v>
      </c>
      <c r="I3767" s="2">
        <v>2793178.8</v>
      </c>
      <c r="J3767" s="2">
        <v>0</v>
      </c>
      <c r="K3767" s="2">
        <v>0</v>
      </c>
      <c r="L3767" s="2">
        <v>2793178.8</v>
      </c>
      <c r="M3767" s="3">
        <v>11565</v>
      </c>
      <c r="N3767" s="4">
        <v>6.35478E-3</v>
      </c>
      <c r="O3767" s="5" t="s">
        <v>44</v>
      </c>
      <c r="P3767" s="5" t="s">
        <v>44</v>
      </c>
      <c r="Q3767" s="1"/>
      <c r="R3767" s="2"/>
      <c r="S3767" s="6"/>
      <c r="T3767" t="s">
        <v>10902</v>
      </c>
      <c r="U3767" t="s">
        <v>10902</v>
      </c>
      <c r="V3767" t="s">
        <v>10902</v>
      </c>
      <c r="W3767" t="s">
        <v>43</v>
      </c>
      <c r="X3767" t="s">
        <v>11369</v>
      </c>
      <c r="Y3767" t="s">
        <v>11367</v>
      </c>
      <c r="Z3767" t="s">
        <v>11364</v>
      </c>
      <c r="AA3767" t="s">
        <v>44</v>
      </c>
      <c r="AB3767" t="s">
        <v>44</v>
      </c>
      <c r="AC3767" s="4"/>
      <c r="AD3767" s="4"/>
      <c r="AE3767" s="2">
        <v>0</v>
      </c>
      <c r="AF3767" s="4">
        <v>0</v>
      </c>
      <c r="AG3767" s="2">
        <v>0.51</v>
      </c>
      <c r="AH3767" s="2">
        <v>2793178.8</v>
      </c>
      <c r="AI3767" s="2">
        <v>0.01</v>
      </c>
      <c r="AJ3767" s="5">
        <v>44673</v>
      </c>
      <c r="AK3767" t="s">
        <v>12706</v>
      </c>
      <c r="AL3767" s="2">
        <v>0</v>
      </c>
      <c r="AM3767" s="2">
        <v>0</v>
      </c>
      <c r="AN3767" s="2">
        <v>0</v>
      </c>
      <c r="AO3767" t="s">
        <v>44</v>
      </c>
      <c r="AP3767" t="s">
        <v>11370</v>
      </c>
      <c r="AQ3767" t="s">
        <v>5065</v>
      </c>
    </row>
    <row r="3768" spans="1:43" x14ac:dyDescent="0.2">
      <c r="A3768" t="s">
        <v>12705</v>
      </c>
      <c r="B3768" t="s">
        <v>11037</v>
      </c>
      <c r="C3768" t="s">
        <v>11364</v>
      </c>
      <c r="D3768" t="s">
        <v>11371</v>
      </c>
      <c r="E3768" t="s">
        <v>5127</v>
      </c>
      <c r="F3768" t="s">
        <v>11371</v>
      </c>
      <c r="G3768" s="1">
        <v>241533</v>
      </c>
      <c r="H3768" s="2">
        <v>1606387.75</v>
      </c>
      <c r="I3768" s="2">
        <v>1243894.95</v>
      </c>
      <c r="J3768" s="2">
        <v>0</v>
      </c>
      <c r="K3768" s="2">
        <v>0</v>
      </c>
      <c r="L3768" s="2">
        <v>1243894.95</v>
      </c>
      <c r="M3768" s="3">
        <v>515</v>
      </c>
      <c r="N3768" s="4">
        <v>2.8299900000000001E-3</v>
      </c>
      <c r="O3768" s="5" t="s">
        <v>44</v>
      </c>
      <c r="P3768" s="5" t="s">
        <v>44</v>
      </c>
      <c r="Q3768" s="1"/>
      <c r="R3768" s="2"/>
      <c r="S3768" s="6"/>
      <c r="T3768" t="s">
        <v>10902</v>
      </c>
      <c r="U3768" t="s">
        <v>10902</v>
      </c>
      <c r="V3768" t="s">
        <v>10902</v>
      </c>
      <c r="W3768" t="s">
        <v>43</v>
      </c>
      <c r="X3768" t="s">
        <v>11369</v>
      </c>
      <c r="Y3768" t="s">
        <v>11367</v>
      </c>
      <c r="Z3768" t="s">
        <v>11364</v>
      </c>
      <c r="AA3768" t="s">
        <v>44</v>
      </c>
      <c r="AB3768" t="s">
        <v>44</v>
      </c>
      <c r="AC3768" s="4"/>
      <c r="AD3768" s="4"/>
      <c r="AE3768" s="2">
        <v>0</v>
      </c>
      <c r="AF3768" s="4">
        <v>0</v>
      </c>
      <c r="AG3768" s="2">
        <v>0.23</v>
      </c>
      <c r="AH3768" s="2">
        <v>1243894.95</v>
      </c>
      <c r="AI3768" s="2">
        <v>0</v>
      </c>
      <c r="AJ3768" s="5">
        <v>44673</v>
      </c>
      <c r="AK3768" t="s">
        <v>12706</v>
      </c>
      <c r="AL3768" s="2">
        <v>0</v>
      </c>
      <c r="AM3768" s="2">
        <v>0</v>
      </c>
      <c r="AN3768" s="2">
        <v>0</v>
      </c>
      <c r="AO3768" t="s">
        <v>44</v>
      </c>
      <c r="AP3768" t="s">
        <v>11372</v>
      </c>
      <c r="AQ3768" t="s">
        <v>5127</v>
      </c>
    </row>
    <row r="3769" spans="1:43" x14ac:dyDescent="0.2">
      <c r="A3769" t="s">
        <v>12705</v>
      </c>
      <c r="B3769" t="s">
        <v>11037</v>
      </c>
      <c r="C3769" t="s">
        <v>11364</v>
      </c>
      <c r="D3769" t="s">
        <v>6915</v>
      </c>
      <c r="E3769" t="s">
        <v>5570</v>
      </c>
      <c r="F3769" t="s">
        <v>6915</v>
      </c>
      <c r="G3769" s="1">
        <v>20000</v>
      </c>
      <c r="H3769" s="2">
        <v>843733.44</v>
      </c>
      <c r="I3769" s="2">
        <v>802400</v>
      </c>
      <c r="J3769" s="2">
        <v>0</v>
      </c>
      <c r="K3769" s="2">
        <v>0</v>
      </c>
      <c r="L3769" s="2">
        <v>802400</v>
      </c>
      <c r="M3769" s="3">
        <v>4012</v>
      </c>
      <c r="N3769" s="4">
        <v>1.82555E-3</v>
      </c>
      <c r="O3769" s="5" t="s">
        <v>44</v>
      </c>
      <c r="P3769" s="5" t="s">
        <v>44</v>
      </c>
      <c r="Q3769" s="1"/>
      <c r="R3769" s="2"/>
      <c r="S3769" s="6"/>
      <c r="T3769" t="s">
        <v>10902</v>
      </c>
      <c r="U3769" t="s">
        <v>10902</v>
      </c>
      <c r="V3769" t="s">
        <v>10902</v>
      </c>
      <c r="W3769" t="s">
        <v>43</v>
      </c>
      <c r="X3769" t="s">
        <v>11720</v>
      </c>
      <c r="Y3769" t="s">
        <v>11721</v>
      </c>
      <c r="Z3769" t="s">
        <v>11364</v>
      </c>
      <c r="AA3769" t="s">
        <v>44</v>
      </c>
      <c r="AB3769" t="s">
        <v>44</v>
      </c>
      <c r="AC3769" s="4"/>
      <c r="AD3769" s="4"/>
      <c r="AE3769" s="2">
        <v>0</v>
      </c>
      <c r="AF3769" s="4">
        <v>0</v>
      </c>
      <c r="AG3769" s="2">
        <v>0.15</v>
      </c>
      <c r="AH3769" s="2">
        <v>802400</v>
      </c>
      <c r="AI3769" s="2">
        <v>0</v>
      </c>
      <c r="AJ3769" s="5">
        <v>44673</v>
      </c>
      <c r="AK3769" t="s">
        <v>12706</v>
      </c>
      <c r="AL3769" s="2">
        <v>0</v>
      </c>
      <c r="AM3769" s="2">
        <v>0</v>
      </c>
      <c r="AN3769" s="2">
        <v>0</v>
      </c>
      <c r="AO3769" t="s">
        <v>44</v>
      </c>
      <c r="AP3769" t="s">
        <v>12498</v>
      </c>
      <c r="AQ3769" t="s">
        <v>5570</v>
      </c>
    </row>
    <row r="3770" spans="1:43" x14ac:dyDescent="0.2">
      <c r="A3770" t="s">
        <v>12705</v>
      </c>
      <c r="B3770" t="s">
        <v>11037</v>
      </c>
      <c r="C3770" t="s">
        <v>11364</v>
      </c>
      <c r="D3770" t="s">
        <v>6443</v>
      </c>
      <c r="E3770" t="s">
        <v>5186</v>
      </c>
      <c r="F3770" t="s">
        <v>6443</v>
      </c>
      <c r="G3770" s="1">
        <v>15546</v>
      </c>
      <c r="H3770" s="2">
        <v>1137146.55</v>
      </c>
      <c r="I3770" s="2">
        <v>686511.36</v>
      </c>
      <c r="J3770" s="2">
        <v>0</v>
      </c>
      <c r="K3770" s="2">
        <v>0</v>
      </c>
      <c r="L3770" s="2">
        <v>686511.36</v>
      </c>
      <c r="M3770" s="3">
        <v>4416</v>
      </c>
      <c r="N3770" s="4">
        <v>1.56189E-3</v>
      </c>
      <c r="O3770" s="5" t="s">
        <v>44</v>
      </c>
      <c r="P3770" s="5" t="s">
        <v>44</v>
      </c>
      <c r="Q3770" s="1"/>
      <c r="R3770" s="2"/>
      <c r="S3770" s="6"/>
      <c r="T3770" t="s">
        <v>10902</v>
      </c>
      <c r="U3770" t="s">
        <v>10902</v>
      </c>
      <c r="V3770" t="s">
        <v>10902</v>
      </c>
      <c r="W3770" t="s">
        <v>43</v>
      </c>
      <c r="X3770" t="s">
        <v>11366</v>
      </c>
      <c r="Y3770" t="s">
        <v>11367</v>
      </c>
      <c r="Z3770" t="s">
        <v>11364</v>
      </c>
      <c r="AA3770" t="s">
        <v>44</v>
      </c>
      <c r="AB3770" t="s">
        <v>44</v>
      </c>
      <c r="AC3770" s="4"/>
      <c r="AD3770" s="4"/>
      <c r="AE3770" s="2">
        <v>0</v>
      </c>
      <c r="AF3770" s="4">
        <v>0</v>
      </c>
      <c r="AG3770" s="2">
        <v>0.13</v>
      </c>
      <c r="AH3770" s="2">
        <v>686511.36</v>
      </c>
      <c r="AI3770" s="2">
        <v>0</v>
      </c>
      <c r="AJ3770" s="5">
        <v>44673</v>
      </c>
      <c r="AK3770" t="s">
        <v>12706</v>
      </c>
      <c r="AL3770" s="2">
        <v>0</v>
      </c>
      <c r="AM3770" s="2">
        <v>0</v>
      </c>
      <c r="AN3770" s="2">
        <v>0</v>
      </c>
      <c r="AO3770" t="s">
        <v>44</v>
      </c>
      <c r="AP3770" t="s">
        <v>11373</v>
      </c>
      <c r="AQ3770" t="s">
        <v>5186</v>
      </c>
    </row>
    <row r="3771" spans="1:43" x14ac:dyDescent="0.2">
      <c r="A3771" t="s">
        <v>12705</v>
      </c>
      <c r="B3771" t="s">
        <v>11037</v>
      </c>
      <c r="C3771" t="s">
        <v>11364</v>
      </c>
      <c r="D3771" t="s">
        <v>11374</v>
      </c>
      <c r="E3771" t="s">
        <v>1786</v>
      </c>
      <c r="F3771" t="s">
        <v>11374</v>
      </c>
      <c r="G3771" s="1">
        <v>41203</v>
      </c>
      <c r="H3771" s="2">
        <v>1373295.99</v>
      </c>
      <c r="I3771" s="2">
        <v>1112481</v>
      </c>
      <c r="J3771" s="2">
        <v>0</v>
      </c>
      <c r="K3771" s="2">
        <v>0</v>
      </c>
      <c r="L3771" s="2">
        <v>1112481</v>
      </c>
      <c r="M3771" s="3">
        <v>2700</v>
      </c>
      <c r="N3771" s="4">
        <v>2.5310100000000002E-3</v>
      </c>
      <c r="O3771" s="5" t="s">
        <v>44</v>
      </c>
      <c r="P3771" s="5" t="s">
        <v>44</v>
      </c>
      <c r="Q3771" s="1"/>
      <c r="R3771" s="2"/>
      <c r="S3771" s="6"/>
      <c r="T3771" t="s">
        <v>10902</v>
      </c>
      <c r="U3771" t="s">
        <v>10902</v>
      </c>
      <c r="V3771" t="s">
        <v>10902</v>
      </c>
      <c r="W3771" t="s">
        <v>43</v>
      </c>
      <c r="X3771" t="s">
        <v>11375</v>
      </c>
      <c r="Y3771" t="s">
        <v>11367</v>
      </c>
      <c r="Z3771" t="s">
        <v>11364</v>
      </c>
      <c r="AA3771" t="s">
        <v>44</v>
      </c>
      <c r="AB3771" t="s">
        <v>44</v>
      </c>
      <c r="AC3771" s="4"/>
      <c r="AD3771" s="4"/>
      <c r="AE3771" s="2">
        <v>0</v>
      </c>
      <c r="AF3771" s="4">
        <v>0</v>
      </c>
      <c r="AG3771" s="2">
        <v>0.2</v>
      </c>
      <c r="AH3771" s="2">
        <v>1112481</v>
      </c>
      <c r="AI3771" s="2">
        <v>0</v>
      </c>
      <c r="AJ3771" s="5">
        <v>44673</v>
      </c>
      <c r="AK3771" t="s">
        <v>12706</v>
      </c>
      <c r="AL3771" s="2">
        <v>0</v>
      </c>
      <c r="AM3771" s="2">
        <v>0</v>
      </c>
      <c r="AN3771" s="2">
        <v>0</v>
      </c>
      <c r="AO3771" t="s">
        <v>44</v>
      </c>
      <c r="AP3771" t="s">
        <v>11376</v>
      </c>
      <c r="AQ3771" t="s">
        <v>1786</v>
      </c>
    </row>
    <row r="3772" spans="1:43" x14ac:dyDescent="0.2">
      <c r="A3772" t="s">
        <v>12705</v>
      </c>
      <c r="B3772" t="s">
        <v>11037</v>
      </c>
      <c r="C3772" t="s">
        <v>11364</v>
      </c>
      <c r="D3772" t="s">
        <v>11377</v>
      </c>
      <c r="E3772" t="s">
        <v>5599</v>
      </c>
      <c r="F3772" t="s">
        <v>11378</v>
      </c>
      <c r="G3772" s="1">
        <v>2000</v>
      </c>
      <c r="H3772" s="2">
        <v>999444.19</v>
      </c>
      <c r="I3772" s="2">
        <v>1081380</v>
      </c>
      <c r="J3772" s="2">
        <v>0</v>
      </c>
      <c r="K3772" s="2">
        <v>0</v>
      </c>
      <c r="L3772" s="2">
        <v>1081380</v>
      </c>
      <c r="M3772" s="3">
        <v>54069</v>
      </c>
      <c r="N3772" s="4">
        <v>2.4602600000000001E-3</v>
      </c>
      <c r="O3772" s="5" t="s">
        <v>44</v>
      </c>
      <c r="P3772" s="5" t="s">
        <v>44</v>
      </c>
      <c r="Q3772" s="1"/>
      <c r="R3772" s="2"/>
      <c r="S3772" s="6"/>
      <c r="T3772" t="s">
        <v>10902</v>
      </c>
      <c r="U3772" t="s">
        <v>10902</v>
      </c>
      <c r="V3772" t="s">
        <v>10902</v>
      </c>
      <c r="W3772" t="s">
        <v>43</v>
      </c>
      <c r="X3772" t="s">
        <v>11375</v>
      </c>
      <c r="Y3772" t="s">
        <v>11367</v>
      </c>
      <c r="Z3772" t="s">
        <v>11364</v>
      </c>
      <c r="AA3772" t="s">
        <v>44</v>
      </c>
      <c r="AB3772" t="s">
        <v>44</v>
      </c>
      <c r="AC3772" s="4"/>
      <c r="AD3772" s="4"/>
      <c r="AE3772" s="2">
        <v>0</v>
      </c>
      <c r="AF3772" s="4">
        <v>0</v>
      </c>
      <c r="AG3772" s="2">
        <v>0.2</v>
      </c>
      <c r="AH3772" s="2">
        <v>1081380</v>
      </c>
      <c r="AI3772" s="2">
        <v>0</v>
      </c>
      <c r="AJ3772" s="5">
        <v>44673</v>
      </c>
      <c r="AK3772" t="s">
        <v>12706</v>
      </c>
      <c r="AL3772" s="2">
        <v>0</v>
      </c>
      <c r="AM3772" s="2">
        <v>0</v>
      </c>
      <c r="AN3772" s="2">
        <v>0</v>
      </c>
      <c r="AO3772" t="s">
        <v>44</v>
      </c>
      <c r="AP3772" t="s">
        <v>11379</v>
      </c>
      <c r="AQ3772" t="s">
        <v>5599</v>
      </c>
    </row>
    <row r="3773" spans="1:43" x14ac:dyDescent="0.2">
      <c r="A3773" t="s">
        <v>12705</v>
      </c>
      <c r="B3773" t="s">
        <v>11037</v>
      </c>
      <c r="C3773" t="s">
        <v>11727</v>
      </c>
      <c r="D3773" t="s">
        <v>11728</v>
      </c>
      <c r="E3773" t="s">
        <v>4855</v>
      </c>
      <c r="F3773" t="s">
        <v>11728</v>
      </c>
      <c r="G3773" s="1">
        <v>102</v>
      </c>
      <c r="H3773" s="2">
        <v>257389.96</v>
      </c>
      <c r="I3773" s="2">
        <v>153742.56</v>
      </c>
      <c r="J3773" s="2">
        <v>0</v>
      </c>
      <c r="K3773" s="2">
        <v>0</v>
      </c>
      <c r="L3773" s="2">
        <v>153742.56</v>
      </c>
      <c r="M3773" s="3">
        <v>150728</v>
      </c>
      <c r="N3773" s="4">
        <v>3.4978E-4</v>
      </c>
      <c r="O3773" s="5" t="s">
        <v>44</v>
      </c>
      <c r="P3773" s="5" t="s">
        <v>44</v>
      </c>
      <c r="Q3773" s="1"/>
      <c r="R3773" s="2"/>
      <c r="S3773" s="6"/>
      <c r="T3773" t="s">
        <v>10902</v>
      </c>
      <c r="U3773" t="s">
        <v>10902</v>
      </c>
      <c r="V3773" t="s">
        <v>10902</v>
      </c>
      <c r="W3773" t="s">
        <v>43</v>
      </c>
      <c r="X3773" t="s">
        <v>11729</v>
      </c>
      <c r="Y3773" t="s">
        <v>11727</v>
      </c>
      <c r="Z3773" t="s">
        <v>11727</v>
      </c>
      <c r="AA3773" t="s">
        <v>44</v>
      </c>
      <c r="AB3773" t="s">
        <v>44</v>
      </c>
      <c r="AC3773" s="4"/>
      <c r="AD3773" s="4"/>
      <c r="AE3773" s="2">
        <v>0</v>
      </c>
      <c r="AF3773" s="4">
        <v>0</v>
      </c>
      <c r="AG3773" s="2">
        <v>0.03</v>
      </c>
      <c r="AH3773" s="2">
        <v>153742.56</v>
      </c>
      <c r="AI3773" s="2">
        <v>0</v>
      </c>
      <c r="AJ3773" s="5">
        <v>44673</v>
      </c>
      <c r="AK3773" t="s">
        <v>12706</v>
      </c>
      <c r="AL3773" s="2">
        <v>0</v>
      </c>
      <c r="AM3773" s="2">
        <v>0</v>
      </c>
      <c r="AN3773" s="2">
        <v>0</v>
      </c>
      <c r="AO3773" t="s">
        <v>44</v>
      </c>
      <c r="AP3773" t="s">
        <v>11730</v>
      </c>
      <c r="AQ3773" t="s">
        <v>4855</v>
      </c>
    </row>
    <row r="3774" spans="1:43" x14ac:dyDescent="0.2">
      <c r="A3774" t="s">
        <v>12705</v>
      </c>
      <c r="B3774" t="s">
        <v>11037</v>
      </c>
      <c r="C3774" t="s">
        <v>11727</v>
      </c>
      <c r="D3774" t="s">
        <v>11731</v>
      </c>
      <c r="E3774" t="s">
        <v>2068</v>
      </c>
      <c r="F3774" t="s">
        <v>11731</v>
      </c>
      <c r="G3774" s="1">
        <v>420</v>
      </c>
      <c r="H3774" s="2">
        <v>502339.37</v>
      </c>
      <c r="I3774" s="2">
        <v>310149</v>
      </c>
      <c r="J3774" s="2">
        <v>0</v>
      </c>
      <c r="K3774" s="2">
        <v>0</v>
      </c>
      <c r="L3774" s="2">
        <v>310149</v>
      </c>
      <c r="M3774" s="3">
        <v>73845</v>
      </c>
      <c r="N3774" s="4">
        <v>7.0562000000000001E-4</v>
      </c>
      <c r="O3774" s="5" t="s">
        <v>44</v>
      </c>
      <c r="P3774" s="5" t="s">
        <v>44</v>
      </c>
      <c r="Q3774" s="1"/>
      <c r="R3774" s="2"/>
      <c r="S3774" s="6"/>
      <c r="T3774" t="s">
        <v>10902</v>
      </c>
      <c r="U3774" t="s">
        <v>10902</v>
      </c>
      <c r="V3774" t="s">
        <v>10902</v>
      </c>
      <c r="W3774" t="s">
        <v>43</v>
      </c>
      <c r="X3774" t="s">
        <v>11729</v>
      </c>
      <c r="Y3774" t="s">
        <v>11727</v>
      </c>
      <c r="Z3774" t="s">
        <v>11727</v>
      </c>
      <c r="AA3774" t="s">
        <v>44</v>
      </c>
      <c r="AB3774" t="s">
        <v>44</v>
      </c>
      <c r="AC3774" s="4"/>
      <c r="AD3774" s="4"/>
      <c r="AE3774" s="2">
        <v>0</v>
      </c>
      <c r="AF3774" s="4">
        <v>0</v>
      </c>
      <c r="AG3774" s="2">
        <v>0.06</v>
      </c>
      <c r="AH3774" s="2">
        <v>310149</v>
      </c>
      <c r="AI3774" s="2">
        <v>0</v>
      </c>
      <c r="AJ3774" s="5">
        <v>44673</v>
      </c>
      <c r="AK3774" t="s">
        <v>12706</v>
      </c>
      <c r="AL3774" s="2">
        <v>0</v>
      </c>
      <c r="AM3774" s="2">
        <v>0</v>
      </c>
      <c r="AN3774" s="2">
        <v>0</v>
      </c>
      <c r="AO3774" t="s">
        <v>44</v>
      </c>
      <c r="AP3774" t="s">
        <v>2073</v>
      </c>
      <c r="AQ3774" t="s">
        <v>2068</v>
      </c>
    </row>
    <row r="3775" spans="1:43" x14ac:dyDescent="0.2">
      <c r="A3775" t="s">
        <v>12705</v>
      </c>
      <c r="B3775" t="s">
        <v>11037</v>
      </c>
      <c r="C3775" t="s">
        <v>11380</v>
      </c>
      <c r="D3775" t="s">
        <v>11381</v>
      </c>
      <c r="E3775" t="s">
        <v>5221</v>
      </c>
      <c r="F3775" t="s">
        <v>11381</v>
      </c>
      <c r="G3775" s="1">
        <v>36122</v>
      </c>
      <c r="H3775" s="2">
        <v>2652077.2400000002</v>
      </c>
      <c r="I3775" s="2">
        <v>1607429</v>
      </c>
      <c r="J3775" s="2">
        <v>0</v>
      </c>
      <c r="K3775" s="2">
        <v>0</v>
      </c>
      <c r="L3775" s="2">
        <v>1607429</v>
      </c>
      <c r="M3775" s="3">
        <v>4450</v>
      </c>
      <c r="N3775" s="4">
        <v>3.6570700000000001E-3</v>
      </c>
      <c r="O3775" s="5" t="s">
        <v>44</v>
      </c>
      <c r="P3775" s="5" t="s">
        <v>44</v>
      </c>
      <c r="Q3775" s="1"/>
      <c r="R3775" s="2"/>
      <c r="S3775" s="6"/>
      <c r="T3775" t="s">
        <v>10902</v>
      </c>
      <c r="U3775" t="s">
        <v>10902</v>
      </c>
      <c r="V3775" t="s">
        <v>10902</v>
      </c>
      <c r="W3775" t="s">
        <v>43</v>
      </c>
      <c r="X3775" t="s">
        <v>11382</v>
      </c>
      <c r="Y3775" t="s">
        <v>11380</v>
      </c>
      <c r="Z3775" t="s">
        <v>11380</v>
      </c>
      <c r="AA3775" t="s">
        <v>44</v>
      </c>
      <c r="AB3775" t="s">
        <v>44</v>
      </c>
      <c r="AC3775" s="4"/>
      <c r="AD3775" s="4"/>
      <c r="AE3775" s="2">
        <v>0</v>
      </c>
      <c r="AF3775" s="4">
        <v>0</v>
      </c>
      <c r="AG3775" s="2">
        <v>0.28999999999999998</v>
      </c>
      <c r="AH3775" s="2">
        <v>1607429</v>
      </c>
      <c r="AI3775" s="2">
        <v>0</v>
      </c>
      <c r="AJ3775" s="5">
        <v>44673</v>
      </c>
      <c r="AK3775" t="s">
        <v>12706</v>
      </c>
      <c r="AL3775" s="2">
        <v>0</v>
      </c>
      <c r="AM3775" s="2">
        <v>0</v>
      </c>
      <c r="AN3775" s="2">
        <v>0</v>
      </c>
      <c r="AO3775" t="s">
        <v>44</v>
      </c>
      <c r="AP3775" t="s">
        <v>11383</v>
      </c>
      <c r="AQ3775" t="s">
        <v>5221</v>
      </c>
    </row>
    <row r="3776" spans="1:43" x14ac:dyDescent="0.2">
      <c r="A3776" t="s">
        <v>12705</v>
      </c>
      <c r="B3776" t="s">
        <v>11037</v>
      </c>
      <c r="C3776" t="s">
        <v>11743</v>
      </c>
      <c r="D3776" t="s">
        <v>11744</v>
      </c>
      <c r="E3776" t="s">
        <v>11745</v>
      </c>
      <c r="F3776" t="s">
        <v>11746</v>
      </c>
      <c r="G3776" s="1">
        <v>3500</v>
      </c>
      <c r="H3776" s="2">
        <v>677048.92</v>
      </c>
      <c r="I3776" s="2">
        <v>570395</v>
      </c>
      <c r="J3776" s="2">
        <v>0</v>
      </c>
      <c r="K3776" s="2">
        <v>0</v>
      </c>
      <c r="L3776" s="2">
        <v>570395</v>
      </c>
      <c r="M3776" s="3">
        <v>16297</v>
      </c>
      <c r="N3776" s="4">
        <v>1.2977100000000001E-3</v>
      </c>
      <c r="O3776" s="5" t="s">
        <v>44</v>
      </c>
      <c r="P3776" s="5" t="s">
        <v>44</v>
      </c>
      <c r="Q3776" s="1"/>
      <c r="R3776" s="2"/>
      <c r="S3776" s="6"/>
      <c r="T3776" t="s">
        <v>10902</v>
      </c>
      <c r="U3776" t="s">
        <v>10902</v>
      </c>
      <c r="V3776" t="s">
        <v>10902</v>
      </c>
      <c r="W3776" t="s">
        <v>43</v>
      </c>
      <c r="X3776" t="s">
        <v>11747</v>
      </c>
      <c r="Y3776" t="s">
        <v>11743</v>
      </c>
      <c r="Z3776" t="s">
        <v>11743</v>
      </c>
      <c r="AA3776" t="s">
        <v>44</v>
      </c>
      <c r="AB3776" t="s">
        <v>44</v>
      </c>
      <c r="AC3776" s="4"/>
      <c r="AD3776" s="4"/>
      <c r="AE3776" s="2">
        <v>0</v>
      </c>
      <c r="AF3776" s="4">
        <v>0</v>
      </c>
      <c r="AG3776" s="2">
        <v>0.1</v>
      </c>
      <c r="AH3776" s="2">
        <v>570395</v>
      </c>
      <c r="AI3776" s="2">
        <v>0</v>
      </c>
      <c r="AJ3776" s="5">
        <v>44673</v>
      </c>
      <c r="AK3776" t="s">
        <v>12706</v>
      </c>
      <c r="AL3776" s="2">
        <v>0</v>
      </c>
      <c r="AM3776" s="2">
        <v>0</v>
      </c>
      <c r="AN3776" s="2">
        <v>0</v>
      </c>
      <c r="AO3776" t="s">
        <v>44</v>
      </c>
      <c r="AP3776" t="s">
        <v>11748</v>
      </c>
      <c r="AQ3776" t="s">
        <v>11745</v>
      </c>
    </row>
    <row r="3777" spans="1:43" x14ac:dyDescent="0.2">
      <c r="A3777" t="s">
        <v>12705</v>
      </c>
      <c r="B3777" t="s">
        <v>11038</v>
      </c>
      <c r="C3777" t="s">
        <v>11870</v>
      </c>
      <c r="D3777" t="s">
        <v>11056</v>
      </c>
      <c r="E3777" t="s">
        <v>11057</v>
      </c>
      <c r="F3777" t="s">
        <v>11056</v>
      </c>
      <c r="G3777" s="1">
        <v>3659686</v>
      </c>
      <c r="H3777" s="2">
        <v>3658812.01</v>
      </c>
      <c r="I3777" s="2">
        <v>3659686</v>
      </c>
      <c r="J3777" s="2">
        <v>94332.07</v>
      </c>
      <c r="K3777" s="2">
        <v>0</v>
      </c>
      <c r="L3777" s="2">
        <v>3754018.07</v>
      </c>
      <c r="M3777" s="3"/>
      <c r="N3777" s="4">
        <v>8.5407999999999994E-3</v>
      </c>
      <c r="O3777" s="5">
        <v>44692</v>
      </c>
      <c r="P3777" s="5">
        <v>44692</v>
      </c>
      <c r="Q3777" s="1">
        <v>13.067</v>
      </c>
      <c r="R3777" s="2"/>
      <c r="S3777" s="6"/>
      <c r="T3777" t="s">
        <v>111</v>
      </c>
      <c r="U3777" t="s">
        <v>11040</v>
      </c>
      <c r="V3777" t="s">
        <v>115</v>
      </c>
      <c r="W3777" t="s">
        <v>43</v>
      </c>
      <c r="X3777" t="s">
        <v>44</v>
      </c>
      <c r="Y3777" t="s">
        <v>44</v>
      </c>
      <c r="Z3777" t="s">
        <v>44</v>
      </c>
      <c r="AA3777" t="s">
        <v>10979</v>
      </c>
      <c r="AB3777" t="s">
        <v>44</v>
      </c>
      <c r="AC3777" s="4"/>
      <c r="AD3777" s="4"/>
      <c r="AE3777" s="2">
        <v>0</v>
      </c>
      <c r="AF3777" s="4">
        <v>0</v>
      </c>
      <c r="AG3777" s="2">
        <v>0.69</v>
      </c>
      <c r="AH3777" s="2">
        <v>3754018.07</v>
      </c>
      <c r="AI3777" s="2">
        <v>0.01</v>
      </c>
      <c r="AJ3777" s="5">
        <v>44673</v>
      </c>
      <c r="AK3777" t="s">
        <v>12706</v>
      </c>
      <c r="AL3777" s="2">
        <v>0</v>
      </c>
      <c r="AM3777" s="2">
        <v>13.07</v>
      </c>
      <c r="AN3777" s="2">
        <v>0</v>
      </c>
      <c r="AO3777" t="s">
        <v>10980</v>
      </c>
      <c r="AP3777" t="s">
        <v>11058</v>
      </c>
      <c r="AQ3777" t="s">
        <v>11057</v>
      </c>
    </row>
    <row r="3778" spans="1:43" x14ac:dyDescent="0.2">
      <c r="A3778" t="s">
        <v>12705</v>
      </c>
      <c r="B3778" t="s">
        <v>11408</v>
      </c>
      <c r="C3778" t="s">
        <v>11408</v>
      </c>
      <c r="D3778" t="s">
        <v>12696</v>
      </c>
      <c r="E3778" t="s">
        <v>12697</v>
      </c>
      <c r="F3778" t="s">
        <v>12698</v>
      </c>
      <c r="G3778" s="1">
        <v>3609.3368999999998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3"/>
      <c r="N3778" s="4">
        <v>0</v>
      </c>
      <c r="O3778" s="5" t="s">
        <v>44</v>
      </c>
      <c r="P3778" s="5">
        <v>44777</v>
      </c>
      <c r="Q3778" s="1">
        <v>0</v>
      </c>
      <c r="R3778" s="2"/>
      <c r="S3778" s="6"/>
      <c r="T3778" t="s">
        <v>11412</v>
      </c>
      <c r="U3778" t="s">
        <v>11413</v>
      </c>
      <c r="V3778" t="s">
        <v>11414</v>
      </c>
      <c r="W3778" t="s">
        <v>43</v>
      </c>
      <c r="X3778" t="s">
        <v>44</v>
      </c>
      <c r="Y3778" t="s">
        <v>44</v>
      </c>
      <c r="Z3778" t="s">
        <v>44</v>
      </c>
      <c r="AA3778" t="s">
        <v>10979</v>
      </c>
      <c r="AB3778" t="s">
        <v>44</v>
      </c>
      <c r="AC3778" s="4"/>
      <c r="AD3778" s="4"/>
      <c r="AE3778" s="2">
        <v>0</v>
      </c>
      <c r="AF3778" s="4">
        <v>0</v>
      </c>
      <c r="AG3778" s="2">
        <v>0</v>
      </c>
      <c r="AH3778" s="2">
        <v>0</v>
      </c>
      <c r="AI3778" s="2">
        <v>0</v>
      </c>
      <c r="AJ3778" s="5">
        <v>44673</v>
      </c>
      <c r="AK3778" t="s">
        <v>12706</v>
      </c>
      <c r="AL3778" s="2">
        <v>0</v>
      </c>
      <c r="AM3778" s="2">
        <v>0</v>
      </c>
      <c r="AN3778" s="2">
        <v>0</v>
      </c>
      <c r="AO3778" t="s">
        <v>11165</v>
      </c>
      <c r="AP3778" t="s">
        <v>44</v>
      </c>
      <c r="AQ3778" t="s">
        <v>44</v>
      </c>
    </row>
    <row r="3779" spans="1:43" x14ac:dyDescent="0.2">
      <c r="A3779" t="s">
        <v>12705</v>
      </c>
      <c r="B3779" t="s">
        <v>11408</v>
      </c>
      <c r="C3779" t="s">
        <v>11408</v>
      </c>
      <c r="D3779" t="s">
        <v>12699</v>
      </c>
      <c r="E3779" t="s">
        <v>12697</v>
      </c>
      <c r="F3779" t="s">
        <v>12700</v>
      </c>
      <c r="G3779" s="1">
        <v>-88128421.640000001</v>
      </c>
      <c r="H3779" s="2">
        <v>0</v>
      </c>
      <c r="I3779" s="2">
        <v>0</v>
      </c>
      <c r="J3779" s="2">
        <v>-233600.68</v>
      </c>
      <c r="K3779" s="2">
        <v>0</v>
      </c>
      <c r="L3779" s="2">
        <v>-233600.68</v>
      </c>
      <c r="M3779" s="3"/>
      <c r="N3779" s="4">
        <v>-5.3147000000000003E-4</v>
      </c>
      <c r="O3779" s="5" t="s">
        <v>44</v>
      </c>
      <c r="P3779" s="5">
        <v>44777</v>
      </c>
      <c r="Q3779" s="1">
        <v>0</v>
      </c>
      <c r="R3779" s="2"/>
      <c r="S3779" s="6"/>
      <c r="T3779" t="s">
        <v>11412</v>
      </c>
      <c r="U3779" t="s">
        <v>11413</v>
      </c>
      <c r="V3779" t="s">
        <v>11414</v>
      </c>
      <c r="W3779" t="s">
        <v>43</v>
      </c>
      <c r="X3779" t="s">
        <v>44</v>
      </c>
      <c r="Y3779" t="s">
        <v>44</v>
      </c>
      <c r="Z3779" t="s">
        <v>44</v>
      </c>
      <c r="AA3779" t="s">
        <v>10979</v>
      </c>
      <c r="AB3779" t="s">
        <v>44</v>
      </c>
      <c r="AC3779" s="4"/>
      <c r="AD3779" s="4"/>
      <c r="AE3779" s="2">
        <v>0</v>
      </c>
      <c r="AF3779" s="4">
        <v>0</v>
      </c>
      <c r="AG3779" s="2">
        <v>-0.04</v>
      </c>
      <c r="AH3779" s="2">
        <v>-88362022.319999993</v>
      </c>
      <c r="AI3779" s="2">
        <v>-0.2</v>
      </c>
      <c r="AJ3779" s="5">
        <v>44673</v>
      </c>
      <c r="AK3779" t="s">
        <v>12706</v>
      </c>
      <c r="AL3779" s="2">
        <v>0</v>
      </c>
      <c r="AM3779" s="2">
        <v>0</v>
      </c>
      <c r="AN3779" s="2">
        <v>0</v>
      </c>
      <c r="AO3779" t="s">
        <v>11165</v>
      </c>
      <c r="AP3779" t="s">
        <v>44</v>
      </c>
      <c r="AQ3779" t="s">
        <v>44</v>
      </c>
    </row>
    <row r="3780" spans="1:43" x14ac:dyDescent="0.2">
      <c r="A3780" t="s">
        <v>12705</v>
      </c>
      <c r="B3780" t="s">
        <v>11408</v>
      </c>
      <c r="C3780" t="s">
        <v>11408</v>
      </c>
      <c r="D3780" t="s">
        <v>12701</v>
      </c>
      <c r="E3780" t="s">
        <v>12697</v>
      </c>
      <c r="F3780" t="s">
        <v>12702</v>
      </c>
      <c r="G3780" s="1">
        <v>3609.3368999999998</v>
      </c>
      <c r="H3780" s="2">
        <v>0</v>
      </c>
      <c r="I3780" s="2">
        <v>-4160410.48</v>
      </c>
      <c r="J3780" s="2">
        <v>0</v>
      </c>
      <c r="K3780" s="2">
        <v>0</v>
      </c>
      <c r="L3780" s="2">
        <v>-4160410.48</v>
      </c>
      <c r="M3780" s="3">
        <v>23264.11</v>
      </c>
      <c r="N3780" s="4">
        <v>-9.4653800000000007E-3</v>
      </c>
      <c r="O3780" s="5" t="s">
        <v>44</v>
      </c>
      <c r="P3780" s="5">
        <v>44777</v>
      </c>
      <c r="Q3780" s="1">
        <v>0</v>
      </c>
      <c r="R3780" s="2"/>
      <c r="S3780" s="6"/>
      <c r="T3780" t="s">
        <v>11412</v>
      </c>
      <c r="U3780" t="s">
        <v>11413</v>
      </c>
      <c r="V3780" t="s">
        <v>11414</v>
      </c>
      <c r="W3780" t="s">
        <v>43</v>
      </c>
      <c r="X3780" t="s">
        <v>44</v>
      </c>
      <c r="Y3780" t="s">
        <v>44</v>
      </c>
      <c r="Z3780" t="s">
        <v>44</v>
      </c>
      <c r="AA3780" t="s">
        <v>10979</v>
      </c>
      <c r="AB3780" t="s">
        <v>44</v>
      </c>
      <c r="AC3780" s="4"/>
      <c r="AD3780" s="4"/>
      <c r="AE3780" s="2">
        <v>0</v>
      </c>
      <c r="AF3780" s="4">
        <v>0</v>
      </c>
      <c r="AG3780" s="2">
        <v>-0.76</v>
      </c>
      <c r="AH3780" s="2">
        <v>83968011.159999996</v>
      </c>
      <c r="AI3780" s="2">
        <v>0.19</v>
      </c>
      <c r="AJ3780" s="5">
        <v>44673</v>
      </c>
      <c r="AK3780" t="s">
        <v>12706</v>
      </c>
      <c r="AL3780" s="2">
        <v>0</v>
      </c>
      <c r="AM3780" s="2">
        <v>0</v>
      </c>
      <c r="AN3780" s="2">
        <v>0</v>
      </c>
      <c r="AO3780" t="s">
        <v>11165</v>
      </c>
      <c r="AP3780" t="s">
        <v>44</v>
      </c>
      <c r="AQ3780" t="s">
        <v>44</v>
      </c>
    </row>
    <row r="3781" spans="1:43" x14ac:dyDescent="0.2">
      <c r="A3781" t="s">
        <v>12705</v>
      </c>
      <c r="B3781" t="s">
        <v>11408</v>
      </c>
      <c r="C3781" t="s">
        <v>11408</v>
      </c>
      <c r="D3781" t="s">
        <v>12231</v>
      </c>
      <c r="E3781" t="s">
        <v>12232</v>
      </c>
      <c r="F3781" t="s">
        <v>12233</v>
      </c>
      <c r="G3781" s="1">
        <v>12060.8964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3"/>
      <c r="N3781" s="4">
        <v>0</v>
      </c>
      <c r="O3781" s="5" t="s">
        <v>44</v>
      </c>
      <c r="P3781" s="5">
        <v>44809</v>
      </c>
      <c r="Q3781" s="1">
        <v>0</v>
      </c>
      <c r="R3781" s="2"/>
      <c r="S3781" s="6"/>
      <c r="T3781" t="s">
        <v>11412</v>
      </c>
      <c r="U3781" t="s">
        <v>11413</v>
      </c>
      <c r="V3781" t="s">
        <v>11414</v>
      </c>
      <c r="W3781" t="s">
        <v>43</v>
      </c>
      <c r="X3781" t="s">
        <v>44</v>
      </c>
      <c r="Y3781" t="s">
        <v>44</v>
      </c>
      <c r="Z3781" t="s">
        <v>44</v>
      </c>
      <c r="AA3781" t="s">
        <v>11035</v>
      </c>
      <c r="AB3781" t="s">
        <v>44</v>
      </c>
      <c r="AC3781" s="4"/>
      <c r="AD3781" s="4"/>
      <c r="AE3781" s="2">
        <v>0</v>
      </c>
      <c r="AF3781" s="4">
        <v>0</v>
      </c>
      <c r="AG3781" s="2">
        <v>0</v>
      </c>
      <c r="AH3781" s="2">
        <v>0</v>
      </c>
      <c r="AI3781" s="2">
        <v>0</v>
      </c>
      <c r="AJ3781" s="5">
        <v>44673</v>
      </c>
      <c r="AK3781" t="s">
        <v>12706</v>
      </c>
      <c r="AL3781" s="2">
        <v>0</v>
      </c>
      <c r="AM3781" s="2">
        <v>0</v>
      </c>
      <c r="AN3781" s="2">
        <v>0</v>
      </c>
      <c r="AO3781" t="s">
        <v>11053</v>
      </c>
      <c r="AP3781" t="s">
        <v>44</v>
      </c>
      <c r="AQ3781" t="s">
        <v>44</v>
      </c>
    </row>
    <row r="3782" spans="1:43" x14ac:dyDescent="0.2">
      <c r="A3782" t="s">
        <v>12705</v>
      </c>
      <c r="B3782" t="s">
        <v>11408</v>
      </c>
      <c r="C3782" t="s">
        <v>11408</v>
      </c>
      <c r="D3782" t="s">
        <v>12234</v>
      </c>
      <c r="E3782" t="s">
        <v>12232</v>
      </c>
      <c r="F3782" t="s">
        <v>12235</v>
      </c>
      <c r="G3782" s="1">
        <v>-294488374.61000001</v>
      </c>
      <c r="H3782" s="2">
        <v>0</v>
      </c>
      <c r="I3782" s="2">
        <v>0</v>
      </c>
      <c r="J3782" s="2">
        <v>-774431.81</v>
      </c>
      <c r="K3782" s="2">
        <v>0</v>
      </c>
      <c r="L3782" s="2">
        <v>-774431.81</v>
      </c>
      <c r="M3782" s="3"/>
      <c r="N3782" s="4">
        <v>-1.7619199999999999E-3</v>
      </c>
      <c r="O3782" s="5" t="s">
        <v>44</v>
      </c>
      <c r="P3782" s="5">
        <v>44809</v>
      </c>
      <c r="Q3782" s="1">
        <v>0</v>
      </c>
      <c r="R3782" s="2"/>
      <c r="S3782" s="6"/>
      <c r="T3782" t="s">
        <v>11412</v>
      </c>
      <c r="U3782" t="s">
        <v>11413</v>
      </c>
      <c r="V3782" t="s">
        <v>11414</v>
      </c>
      <c r="W3782" t="s">
        <v>43</v>
      </c>
      <c r="X3782" t="s">
        <v>44</v>
      </c>
      <c r="Y3782" t="s">
        <v>44</v>
      </c>
      <c r="Z3782" t="s">
        <v>44</v>
      </c>
      <c r="AA3782" t="s">
        <v>11035</v>
      </c>
      <c r="AB3782" t="s">
        <v>44</v>
      </c>
      <c r="AC3782" s="4"/>
      <c r="AD3782" s="4"/>
      <c r="AE3782" s="2">
        <v>0</v>
      </c>
      <c r="AF3782" s="4">
        <v>0</v>
      </c>
      <c r="AG3782" s="2">
        <v>-0.14000000000000001</v>
      </c>
      <c r="AH3782" s="2">
        <v>-295262806.42000002</v>
      </c>
      <c r="AI3782" s="2">
        <v>-0.67</v>
      </c>
      <c r="AJ3782" s="5">
        <v>44673</v>
      </c>
      <c r="AK3782" t="s">
        <v>12706</v>
      </c>
      <c r="AL3782" s="2">
        <v>0</v>
      </c>
      <c r="AM3782" s="2">
        <v>0</v>
      </c>
      <c r="AN3782" s="2">
        <v>0</v>
      </c>
      <c r="AO3782" t="s">
        <v>11053</v>
      </c>
      <c r="AP3782" t="s">
        <v>44</v>
      </c>
      <c r="AQ3782" t="s">
        <v>44</v>
      </c>
    </row>
    <row r="3783" spans="1:43" x14ac:dyDescent="0.2">
      <c r="A3783" t="s">
        <v>12705</v>
      </c>
      <c r="B3783" t="s">
        <v>11408</v>
      </c>
      <c r="C3783" t="s">
        <v>11408</v>
      </c>
      <c r="D3783" t="s">
        <v>12236</v>
      </c>
      <c r="E3783" t="s">
        <v>12232</v>
      </c>
      <c r="F3783" t="s">
        <v>12237</v>
      </c>
      <c r="G3783" s="1">
        <v>12060.8964</v>
      </c>
      <c r="H3783" s="2">
        <v>0</v>
      </c>
      <c r="I3783" s="2">
        <v>-13902354.060000001</v>
      </c>
      <c r="J3783" s="2">
        <v>0</v>
      </c>
      <c r="K3783" s="2">
        <v>0</v>
      </c>
      <c r="L3783" s="2">
        <v>-13902354.060000001</v>
      </c>
      <c r="M3783" s="3">
        <v>23264.11</v>
      </c>
      <c r="N3783" s="4">
        <v>-3.1629350000000001E-2</v>
      </c>
      <c r="O3783" s="5" t="s">
        <v>44</v>
      </c>
      <c r="P3783" s="5">
        <v>44809</v>
      </c>
      <c r="Q3783" s="1">
        <v>0</v>
      </c>
      <c r="R3783" s="2"/>
      <c r="S3783" s="6"/>
      <c r="T3783" t="s">
        <v>11412</v>
      </c>
      <c r="U3783" t="s">
        <v>11413</v>
      </c>
      <c r="V3783" t="s">
        <v>11414</v>
      </c>
      <c r="W3783" t="s">
        <v>43</v>
      </c>
      <c r="X3783" t="s">
        <v>44</v>
      </c>
      <c r="Y3783" t="s">
        <v>44</v>
      </c>
      <c r="Z3783" t="s">
        <v>44</v>
      </c>
      <c r="AA3783" t="s">
        <v>11035</v>
      </c>
      <c r="AB3783" t="s">
        <v>44</v>
      </c>
      <c r="AC3783" s="4"/>
      <c r="AD3783" s="4"/>
      <c r="AE3783" s="2">
        <v>0</v>
      </c>
      <c r="AF3783" s="4">
        <v>0</v>
      </c>
      <c r="AG3783" s="2">
        <v>-2.5499999999999998</v>
      </c>
      <c r="AH3783" s="2">
        <v>280586020.55000001</v>
      </c>
      <c r="AI3783" s="2">
        <v>0.64</v>
      </c>
      <c r="AJ3783" s="5">
        <v>44673</v>
      </c>
      <c r="AK3783" t="s">
        <v>12706</v>
      </c>
      <c r="AL3783" s="2">
        <v>0</v>
      </c>
      <c r="AM3783" s="2">
        <v>0</v>
      </c>
      <c r="AN3783" s="2">
        <v>0</v>
      </c>
      <c r="AO3783" t="s">
        <v>11053</v>
      </c>
      <c r="AP3783" t="s">
        <v>44</v>
      </c>
      <c r="AQ3783" t="s">
        <v>44</v>
      </c>
    </row>
    <row r="3784" spans="1:43" x14ac:dyDescent="0.2">
      <c r="A3784" t="s">
        <v>12705</v>
      </c>
      <c r="B3784" t="s">
        <v>11030</v>
      </c>
      <c r="C3784" t="s">
        <v>11030</v>
      </c>
      <c r="D3784" t="s">
        <v>12238</v>
      </c>
      <c r="E3784" t="s">
        <v>12210</v>
      </c>
      <c r="F3784" t="s">
        <v>12238</v>
      </c>
      <c r="G3784" s="1">
        <v>212</v>
      </c>
      <c r="H3784" s="2"/>
      <c r="I3784" s="2">
        <v>0</v>
      </c>
      <c r="J3784" s="2"/>
      <c r="K3784" s="2"/>
      <c r="L3784" s="2">
        <v>0</v>
      </c>
      <c r="M3784" s="3"/>
      <c r="N3784" s="4">
        <v>0</v>
      </c>
      <c r="O3784" s="5" t="s">
        <v>44</v>
      </c>
      <c r="P3784" s="5" t="s">
        <v>44</v>
      </c>
      <c r="Q3784" s="1"/>
      <c r="R3784" s="2"/>
      <c r="S3784" s="6"/>
      <c r="T3784" t="s">
        <v>11031</v>
      </c>
      <c r="U3784" t="s">
        <v>11032</v>
      </c>
      <c r="V3784" t="s">
        <v>45</v>
      </c>
      <c r="W3784" t="s">
        <v>43</v>
      </c>
      <c r="X3784" t="s">
        <v>44</v>
      </c>
      <c r="Y3784" t="s">
        <v>44</v>
      </c>
      <c r="Z3784" t="s">
        <v>44</v>
      </c>
      <c r="AA3784" t="s">
        <v>44</v>
      </c>
      <c r="AB3784" t="s">
        <v>44</v>
      </c>
      <c r="AC3784" s="4"/>
      <c r="AD3784" s="4"/>
      <c r="AE3784" s="2">
        <v>0</v>
      </c>
      <c r="AF3784" s="4">
        <v>0</v>
      </c>
      <c r="AG3784" s="2">
        <v>0</v>
      </c>
      <c r="AH3784" s="2">
        <v>-26777720</v>
      </c>
      <c r="AI3784" s="2">
        <v>-0.06</v>
      </c>
      <c r="AJ3784" s="5">
        <v>44673</v>
      </c>
      <c r="AK3784" t="s">
        <v>12706</v>
      </c>
      <c r="AL3784" s="2">
        <v>0</v>
      </c>
      <c r="AM3784" s="2">
        <v>0</v>
      </c>
      <c r="AN3784" s="2">
        <v>0</v>
      </c>
      <c r="AO3784" t="s">
        <v>44</v>
      </c>
      <c r="AP3784" t="s">
        <v>44</v>
      </c>
      <c r="AQ3784" t="s">
        <v>11182</v>
      </c>
    </row>
    <row r="3785" spans="1:43" x14ac:dyDescent="0.2">
      <c r="A3785" t="s">
        <v>12998</v>
      </c>
      <c r="B3785" t="s">
        <v>10900</v>
      </c>
      <c r="C3785" t="s">
        <v>11049</v>
      </c>
      <c r="D3785" t="s">
        <v>11453</v>
      </c>
      <c r="E3785" t="s">
        <v>11454</v>
      </c>
      <c r="F3785" t="s">
        <v>11453</v>
      </c>
      <c r="G3785" s="1">
        <v>1000000</v>
      </c>
      <c r="H3785" s="2">
        <v>1000000</v>
      </c>
      <c r="I3785" s="2">
        <v>1003777.39</v>
      </c>
      <c r="J3785" s="2">
        <v>8028.99</v>
      </c>
      <c r="K3785" s="2">
        <v>0</v>
      </c>
      <c r="L3785" s="2">
        <v>1011806.38</v>
      </c>
      <c r="M3785" s="3">
        <v>5.0248049999999997</v>
      </c>
      <c r="N3785" s="4">
        <v>2.30197E-3</v>
      </c>
      <c r="O3785" s="5">
        <v>44707</v>
      </c>
      <c r="P3785" s="5">
        <v>44983</v>
      </c>
      <c r="Q3785" s="1">
        <v>5.4269999999999996</v>
      </c>
      <c r="R3785" s="2">
        <v>0.08</v>
      </c>
      <c r="S3785" s="6">
        <v>7.8644503066000002E-2</v>
      </c>
      <c r="T3785" t="s">
        <v>111</v>
      </c>
      <c r="U3785" t="s">
        <v>111</v>
      </c>
      <c r="V3785" t="s">
        <v>11189</v>
      </c>
      <c r="W3785" t="s">
        <v>43</v>
      </c>
      <c r="X3785" t="s">
        <v>11034</v>
      </c>
      <c r="Y3785" t="s">
        <v>44</v>
      </c>
      <c r="Z3785" t="s">
        <v>44</v>
      </c>
      <c r="AA3785" t="s">
        <v>11441</v>
      </c>
      <c r="AB3785" t="s">
        <v>44</v>
      </c>
      <c r="AC3785" s="4">
        <v>5.0879264600000003</v>
      </c>
      <c r="AD3785" s="4">
        <v>4.9729969399999998</v>
      </c>
      <c r="AE3785" s="2">
        <v>5.09</v>
      </c>
      <c r="AF3785" s="4">
        <v>4.9729969399999998</v>
      </c>
      <c r="AG3785" s="2">
        <v>0.57999999999999996</v>
      </c>
      <c r="AH3785" s="2">
        <v>1011806.38</v>
      </c>
      <c r="AI3785" s="2">
        <v>0</v>
      </c>
      <c r="AJ3785" s="5">
        <v>44673</v>
      </c>
      <c r="AK3785" t="s">
        <v>13019</v>
      </c>
      <c r="AL3785" s="2">
        <v>5.0199999999999996</v>
      </c>
      <c r="AM3785" s="2">
        <v>5.43</v>
      </c>
      <c r="AN3785" s="2">
        <v>0.08</v>
      </c>
      <c r="AO3785" t="s">
        <v>11455</v>
      </c>
      <c r="AP3785" t="s">
        <v>11456</v>
      </c>
      <c r="AQ3785" t="s">
        <v>11454</v>
      </c>
    </row>
    <row r="3786" spans="1:43" x14ac:dyDescent="0.2">
      <c r="A3786" t="s">
        <v>12998</v>
      </c>
      <c r="B3786" t="s">
        <v>10900</v>
      </c>
      <c r="C3786" t="s">
        <v>11049</v>
      </c>
      <c r="D3786" t="s">
        <v>11457</v>
      </c>
      <c r="E3786" t="s">
        <v>11458</v>
      </c>
      <c r="F3786" t="s">
        <v>11457</v>
      </c>
      <c r="G3786" s="1">
        <v>1000000</v>
      </c>
      <c r="H3786" s="2">
        <v>1000000</v>
      </c>
      <c r="I3786" s="2">
        <v>1000003.71</v>
      </c>
      <c r="J3786" s="2">
        <v>12037.15</v>
      </c>
      <c r="K3786" s="2">
        <v>0</v>
      </c>
      <c r="L3786" s="2">
        <v>1012040.86</v>
      </c>
      <c r="M3786" s="3">
        <v>5.4289139999999998</v>
      </c>
      <c r="N3786" s="4">
        <v>2.3024999999999999E-3</v>
      </c>
      <c r="O3786" s="5">
        <v>44684</v>
      </c>
      <c r="P3786" s="5">
        <v>44957</v>
      </c>
      <c r="Q3786" s="1">
        <v>5.3579999999999997</v>
      </c>
      <c r="R3786" s="2">
        <v>0.02</v>
      </c>
      <c r="S3786" s="6">
        <v>1.4426938812E-2</v>
      </c>
      <c r="T3786" t="s">
        <v>111</v>
      </c>
      <c r="U3786" t="s">
        <v>111</v>
      </c>
      <c r="V3786" t="s">
        <v>11189</v>
      </c>
      <c r="W3786" t="s">
        <v>43</v>
      </c>
      <c r="X3786" t="s">
        <v>11034</v>
      </c>
      <c r="Y3786" t="s">
        <v>44</v>
      </c>
      <c r="Z3786" t="s">
        <v>44</v>
      </c>
      <c r="AA3786" t="s">
        <v>10979</v>
      </c>
      <c r="AB3786" t="s">
        <v>44</v>
      </c>
      <c r="AC3786" s="4">
        <v>5.5025962599999998</v>
      </c>
      <c r="AD3786" s="4">
        <v>5.3685105899999996</v>
      </c>
      <c r="AE3786" s="2">
        <v>5.5</v>
      </c>
      <c r="AF3786" s="4">
        <v>5.3685105899999996</v>
      </c>
      <c r="AG3786" s="2">
        <v>0.57999999999999996</v>
      </c>
      <c r="AH3786" s="2">
        <v>1012040.86</v>
      </c>
      <c r="AI3786" s="2">
        <v>0</v>
      </c>
      <c r="AJ3786" s="5">
        <v>44673</v>
      </c>
      <c r="AK3786" t="s">
        <v>13019</v>
      </c>
      <c r="AL3786" s="2">
        <v>5.43</v>
      </c>
      <c r="AM3786" s="2">
        <v>5.36</v>
      </c>
      <c r="AN3786" s="2">
        <v>0.01</v>
      </c>
      <c r="AO3786" t="s">
        <v>11048</v>
      </c>
      <c r="AP3786" t="s">
        <v>11459</v>
      </c>
      <c r="AQ3786" t="s">
        <v>11458</v>
      </c>
    </row>
    <row r="3787" spans="1:43" x14ac:dyDescent="0.2">
      <c r="A3787" t="s">
        <v>12998</v>
      </c>
      <c r="B3787" t="s">
        <v>10900</v>
      </c>
      <c r="C3787" t="s">
        <v>11049</v>
      </c>
      <c r="D3787" t="s">
        <v>11785</v>
      </c>
      <c r="E3787" t="s">
        <v>11786</v>
      </c>
      <c r="F3787" t="s">
        <v>11785</v>
      </c>
      <c r="G3787" s="1">
        <v>900000</v>
      </c>
      <c r="H3787" s="2">
        <v>900103.66</v>
      </c>
      <c r="I3787" s="2">
        <v>909192.23</v>
      </c>
      <c r="J3787" s="2">
        <v>5872.04</v>
      </c>
      <c r="K3787" s="2">
        <v>0</v>
      </c>
      <c r="L3787" s="2">
        <v>915064.27</v>
      </c>
      <c r="M3787" s="3">
        <v>4.8216830000000002</v>
      </c>
      <c r="N3787" s="4">
        <v>2.08187E-3</v>
      </c>
      <c r="O3787" s="5">
        <v>44732</v>
      </c>
      <c r="P3787" s="5">
        <v>44824</v>
      </c>
      <c r="Q3787" s="1">
        <v>7.4420000000000002</v>
      </c>
      <c r="R3787" s="2">
        <v>0.15</v>
      </c>
      <c r="S3787" s="6">
        <v>0.146783072519</v>
      </c>
      <c r="T3787" t="s">
        <v>111</v>
      </c>
      <c r="U3787" t="s">
        <v>111</v>
      </c>
      <c r="V3787" t="s">
        <v>11189</v>
      </c>
      <c r="W3787" t="s">
        <v>43</v>
      </c>
      <c r="X3787" t="s">
        <v>11034</v>
      </c>
      <c r="Y3787" t="s">
        <v>44</v>
      </c>
      <c r="Z3787" t="s">
        <v>44</v>
      </c>
      <c r="AA3787" t="s">
        <v>10979</v>
      </c>
      <c r="AB3787" t="s">
        <v>11441</v>
      </c>
      <c r="AC3787" s="4">
        <v>4.87980444</v>
      </c>
      <c r="AD3787" s="4">
        <v>4.7739498600000001</v>
      </c>
      <c r="AE3787" s="2">
        <v>4.88</v>
      </c>
      <c r="AF3787" s="4">
        <v>4.7739498600000001</v>
      </c>
      <c r="AG3787" s="2">
        <v>0.53</v>
      </c>
      <c r="AH3787" s="2">
        <v>915064.27</v>
      </c>
      <c r="AI3787" s="2">
        <v>0</v>
      </c>
      <c r="AJ3787" s="5">
        <v>44673</v>
      </c>
      <c r="AK3787" t="s">
        <v>13019</v>
      </c>
      <c r="AL3787" s="2">
        <v>4.82</v>
      </c>
      <c r="AM3787" s="2">
        <v>7.44</v>
      </c>
      <c r="AN3787" s="2">
        <v>0.15</v>
      </c>
      <c r="AO3787" t="s">
        <v>11054</v>
      </c>
      <c r="AP3787" t="s">
        <v>11787</v>
      </c>
      <c r="AQ3787" t="s">
        <v>11786</v>
      </c>
    </row>
    <row r="3788" spans="1:43" x14ac:dyDescent="0.2">
      <c r="A3788" t="s">
        <v>12998</v>
      </c>
      <c r="B3788" t="s">
        <v>10900</v>
      </c>
      <c r="C3788" t="s">
        <v>11049</v>
      </c>
      <c r="D3788" t="s">
        <v>11956</v>
      </c>
      <c r="E3788" t="s">
        <v>11957</v>
      </c>
      <c r="F3788" t="s">
        <v>11956</v>
      </c>
      <c r="G3788" s="1">
        <v>2600000</v>
      </c>
      <c r="H3788" s="2">
        <v>2600000</v>
      </c>
      <c r="I3788" s="2">
        <v>2606005.8199999998</v>
      </c>
      <c r="J3788" s="2">
        <v>27762.23</v>
      </c>
      <c r="K3788" s="2">
        <v>0</v>
      </c>
      <c r="L3788" s="2">
        <v>2633768.0499999998</v>
      </c>
      <c r="M3788" s="3">
        <v>5.1338650000000001</v>
      </c>
      <c r="N3788" s="4">
        <v>5.9921100000000001E-3</v>
      </c>
      <c r="O3788" s="5">
        <v>44697</v>
      </c>
      <c r="P3788" s="5">
        <v>44788</v>
      </c>
      <c r="Q3788" s="1">
        <v>5.8170000000000002</v>
      </c>
      <c r="R3788" s="2">
        <v>0.06</v>
      </c>
      <c r="S3788" s="6">
        <v>5.3630172561E-2</v>
      </c>
      <c r="T3788" t="s">
        <v>111</v>
      </c>
      <c r="U3788" t="s">
        <v>111</v>
      </c>
      <c r="V3788" t="s">
        <v>11189</v>
      </c>
      <c r="W3788" t="s">
        <v>43</v>
      </c>
      <c r="X3788" t="s">
        <v>11034</v>
      </c>
      <c r="Y3788" t="s">
        <v>44</v>
      </c>
      <c r="Z3788" t="s">
        <v>44</v>
      </c>
      <c r="AA3788" t="s">
        <v>11225</v>
      </c>
      <c r="AB3788" t="s">
        <v>44</v>
      </c>
      <c r="AC3788" s="4">
        <v>5.1997564000000001</v>
      </c>
      <c r="AD3788" s="4">
        <v>5.0798014499999997</v>
      </c>
      <c r="AE3788" s="2">
        <v>5.2</v>
      </c>
      <c r="AF3788" s="4">
        <v>5.0798014499999997</v>
      </c>
      <c r="AG3788" s="2">
        <v>1.51</v>
      </c>
      <c r="AH3788" s="2">
        <v>2633768.0499999998</v>
      </c>
      <c r="AI3788" s="2">
        <v>0.01</v>
      </c>
      <c r="AJ3788" s="5">
        <v>44673</v>
      </c>
      <c r="AK3788" t="s">
        <v>13019</v>
      </c>
      <c r="AL3788" s="2">
        <v>5.13</v>
      </c>
      <c r="AM3788" s="2">
        <v>5.82</v>
      </c>
      <c r="AN3788" s="2">
        <v>0.05</v>
      </c>
      <c r="AO3788" t="s">
        <v>11817</v>
      </c>
      <c r="AP3788" t="s">
        <v>11958</v>
      </c>
      <c r="AQ3788" t="s">
        <v>11957</v>
      </c>
    </row>
    <row r="3789" spans="1:43" x14ac:dyDescent="0.2">
      <c r="A3789" t="s">
        <v>12998</v>
      </c>
      <c r="B3789" t="s">
        <v>10900</v>
      </c>
      <c r="C3789" t="s">
        <v>11049</v>
      </c>
      <c r="D3789" t="s">
        <v>11463</v>
      </c>
      <c r="E3789" t="s">
        <v>11464</v>
      </c>
      <c r="F3789" t="s">
        <v>11463</v>
      </c>
      <c r="G3789" s="1">
        <v>1300000</v>
      </c>
      <c r="H3789" s="2">
        <v>1300000</v>
      </c>
      <c r="I3789" s="2">
        <v>1305165.8</v>
      </c>
      <c r="J3789" s="2">
        <v>9336.64</v>
      </c>
      <c r="K3789" s="2">
        <v>0</v>
      </c>
      <c r="L3789" s="2">
        <v>1314502.44</v>
      </c>
      <c r="M3789" s="3">
        <v>5.5214679999999996</v>
      </c>
      <c r="N3789" s="4">
        <v>2.9906300000000002E-3</v>
      </c>
      <c r="O3789" s="5">
        <v>44733</v>
      </c>
      <c r="P3789" s="5">
        <v>44733</v>
      </c>
      <c r="Q3789" s="1">
        <v>8.1920000000000002</v>
      </c>
      <c r="R3789" s="2">
        <v>0.16</v>
      </c>
      <c r="S3789" s="6">
        <v>0.14786153473499999</v>
      </c>
      <c r="T3789" t="s">
        <v>111</v>
      </c>
      <c r="U3789" t="s">
        <v>111</v>
      </c>
      <c r="V3789" t="s">
        <v>11189</v>
      </c>
      <c r="W3789" t="s">
        <v>43</v>
      </c>
      <c r="X3789" t="s">
        <v>11034</v>
      </c>
      <c r="Y3789" t="s">
        <v>44</v>
      </c>
      <c r="Z3789" t="s">
        <v>44</v>
      </c>
      <c r="AA3789" t="s">
        <v>11035</v>
      </c>
      <c r="AB3789" t="s">
        <v>11465</v>
      </c>
      <c r="AC3789" s="4">
        <v>5.5976845400000004</v>
      </c>
      <c r="AD3789" s="4">
        <v>5.4590052800000004</v>
      </c>
      <c r="AE3789" s="2">
        <v>5.6</v>
      </c>
      <c r="AF3789" s="4">
        <v>5.4590052800000004</v>
      </c>
      <c r="AG3789" s="2">
        <v>0.76</v>
      </c>
      <c r="AH3789" s="2">
        <v>1314502.44</v>
      </c>
      <c r="AI3789" s="2">
        <v>0</v>
      </c>
      <c r="AJ3789" s="5">
        <v>44673</v>
      </c>
      <c r="AK3789" t="s">
        <v>13019</v>
      </c>
      <c r="AL3789" s="2">
        <v>5.52</v>
      </c>
      <c r="AM3789" s="2">
        <v>8.19</v>
      </c>
      <c r="AN3789" s="2">
        <v>0.15</v>
      </c>
      <c r="AO3789" t="s">
        <v>11053</v>
      </c>
      <c r="AP3789" t="s">
        <v>11466</v>
      </c>
      <c r="AQ3789" t="s">
        <v>11464</v>
      </c>
    </row>
    <row r="3790" spans="1:43" x14ac:dyDescent="0.2">
      <c r="A3790" t="s">
        <v>12998</v>
      </c>
      <c r="B3790" t="s">
        <v>10900</v>
      </c>
      <c r="C3790" t="s">
        <v>11049</v>
      </c>
      <c r="D3790" t="s">
        <v>11467</v>
      </c>
      <c r="E3790" t="s">
        <v>11468</v>
      </c>
      <c r="F3790" t="s">
        <v>11467</v>
      </c>
      <c r="G3790" s="1">
        <v>1700000</v>
      </c>
      <c r="H3790" s="2">
        <v>1700000</v>
      </c>
      <c r="I3790" s="2">
        <v>1700226.95</v>
      </c>
      <c r="J3790" s="2">
        <v>41195.89</v>
      </c>
      <c r="K3790" s="2">
        <v>0</v>
      </c>
      <c r="L3790" s="2">
        <v>1741422.84</v>
      </c>
      <c r="M3790" s="3">
        <v>6.1</v>
      </c>
      <c r="N3790" s="4">
        <v>3.9619199999999999E-3</v>
      </c>
      <c r="O3790" s="5">
        <v>44710</v>
      </c>
      <c r="P3790" s="5">
        <v>44894</v>
      </c>
      <c r="Q3790" s="1">
        <v>6.1</v>
      </c>
      <c r="R3790" s="2">
        <v>0.57999999999999996</v>
      </c>
      <c r="S3790" s="6">
        <v>0.56198351300000005</v>
      </c>
      <c r="T3790" t="s">
        <v>111</v>
      </c>
      <c r="U3790" t="s">
        <v>111</v>
      </c>
      <c r="V3790" t="s">
        <v>114</v>
      </c>
      <c r="W3790" t="s">
        <v>43</v>
      </c>
      <c r="X3790" t="s">
        <v>44</v>
      </c>
      <c r="Y3790" t="s">
        <v>44</v>
      </c>
      <c r="Z3790" t="s">
        <v>44</v>
      </c>
      <c r="AA3790" t="s">
        <v>11465</v>
      </c>
      <c r="AB3790" t="s">
        <v>44</v>
      </c>
      <c r="AC3790" s="4">
        <v>6.1930249999999996</v>
      </c>
      <c r="AD3790" s="4">
        <v>6.0238935700000003</v>
      </c>
      <c r="AE3790" s="2">
        <v>6.19</v>
      </c>
      <c r="AF3790" s="4">
        <v>6.0238935700000003</v>
      </c>
      <c r="AG3790" s="2">
        <v>1</v>
      </c>
      <c r="AH3790" s="2">
        <v>1741422.84</v>
      </c>
      <c r="AI3790" s="2">
        <v>0</v>
      </c>
      <c r="AJ3790" s="5">
        <v>44673</v>
      </c>
      <c r="AK3790" t="s">
        <v>13019</v>
      </c>
      <c r="AL3790" s="2">
        <v>6.1</v>
      </c>
      <c r="AM3790" s="2">
        <v>6.1</v>
      </c>
      <c r="AN3790" s="2">
        <v>0.56000000000000005</v>
      </c>
      <c r="AO3790" t="s">
        <v>11469</v>
      </c>
      <c r="AP3790" t="s">
        <v>11470</v>
      </c>
      <c r="AQ3790" t="s">
        <v>11468</v>
      </c>
    </row>
    <row r="3791" spans="1:43" x14ac:dyDescent="0.2">
      <c r="A3791" t="s">
        <v>12998</v>
      </c>
      <c r="B3791" t="s">
        <v>10900</v>
      </c>
      <c r="C3791" t="s">
        <v>11049</v>
      </c>
      <c r="D3791" t="s">
        <v>11791</v>
      </c>
      <c r="E3791" t="s">
        <v>11792</v>
      </c>
      <c r="F3791" t="s">
        <v>11791</v>
      </c>
      <c r="G3791" s="1">
        <v>3000000</v>
      </c>
      <c r="H3791" s="2">
        <v>3000000</v>
      </c>
      <c r="I3791" s="2">
        <v>3034756.2</v>
      </c>
      <c r="J3791" s="2">
        <v>32799.449999999997</v>
      </c>
      <c r="K3791" s="2">
        <v>0</v>
      </c>
      <c r="L3791" s="2">
        <v>3067555.65</v>
      </c>
      <c r="M3791" s="3">
        <v>3.91</v>
      </c>
      <c r="N3791" s="4">
        <v>6.9790199999999998E-3</v>
      </c>
      <c r="O3791" s="5">
        <v>44804</v>
      </c>
      <c r="P3791" s="5">
        <v>44804</v>
      </c>
      <c r="Q3791" s="1">
        <v>7.39</v>
      </c>
      <c r="R3791" s="2">
        <v>0.35</v>
      </c>
      <c r="S3791" s="6">
        <v>0.345941314</v>
      </c>
      <c r="T3791" t="s">
        <v>111</v>
      </c>
      <c r="U3791" t="s">
        <v>111</v>
      </c>
      <c r="V3791" t="s">
        <v>114</v>
      </c>
      <c r="W3791" t="s">
        <v>43</v>
      </c>
      <c r="X3791" t="s">
        <v>44</v>
      </c>
      <c r="Y3791" t="s">
        <v>44</v>
      </c>
      <c r="Z3791" t="s">
        <v>44</v>
      </c>
      <c r="AA3791" t="s">
        <v>10913</v>
      </c>
      <c r="AB3791" t="s">
        <v>44</v>
      </c>
      <c r="AC3791" s="4">
        <v>3.9482202499999999</v>
      </c>
      <c r="AD3791" s="4">
        <v>3.8785251199999999</v>
      </c>
      <c r="AE3791" s="2">
        <v>3.95</v>
      </c>
      <c r="AF3791" s="4">
        <v>3.8785251199999999</v>
      </c>
      <c r="AG3791" s="2">
        <v>1.76</v>
      </c>
      <c r="AH3791" s="2">
        <v>3067555.65</v>
      </c>
      <c r="AI3791" s="2">
        <v>0.01</v>
      </c>
      <c r="AJ3791" s="5">
        <v>44673</v>
      </c>
      <c r="AK3791" t="s">
        <v>13019</v>
      </c>
      <c r="AL3791" s="2">
        <v>3.91</v>
      </c>
      <c r="AM3791" s="2">
        <v>7.39</v>
      </c>
      <c r="AN3791" s="2">
        <v>0.35</v>
      </c>
      <c r="AO3791" t="s">
        <v>10922</v>
      </c>
      <c r="AP3791" t="s">
        <v>11793</v>
      </c>
      <c r="AQ3791" t="s">
        <v>11792</v>
      </c>
    </row>
    <row r="3792" spans="1:43" x14ac:dyDescent="0.2">
      <c r="A3792" t="s">
        <v>12998</v>
      </c>
      <c r="B3792" t="s">
        <v>10900</v>
      </c>
      <c r="C3792" t="s">
        <v>11049</v>
      </c>
      <c r="D3792" t="s">
        <v>11471</v>
      </c>
      <c r="E3792" t="s">
        <v>11472</v>
      </c>
      <c r="F3792" t="s">
        <v>11471</v>
      </c>
      <c r="G3792" s="1">
        <v>3000000</v>
      </c>
      <c r="H3792" s="2">
        <v>2999760.26</v>
      </c>
      <c r="I3792" s="2">
        <v>2999774.1</v>
      </c>
      <c r="J3792" s="2">
        <v>74810.960000000006</v>
      </c>
      <c r="K3792" s="2">
        <v>0</v>
      </c>
      <c r="L3792" s="2">
        <v>3074585.06</v>
      </c>
      <c r="M3792" s="3">
        <v>7.4</v>
      </c>
      <c r="N3792" s="4">
        <v>6.9950100000000003E-3</v>
      </c>
      <c r="O3792" s="5">
        <v>44733</v>
      </c>
      <c r="P3792" s="5">
        <v>44916</v>
      </c>
      <c r="Q3792" s="1">
        <v>7.4</v>
      </c>
      <c r="R3792" s="2">
        <v>0.64</v>
      </c>
      <c r="S3792" s="6">
        <v>0.61596285799999995</v>
      </c>
      <c r="T3792" t="s">
        <v>111</v>
      </c>
      <c r="U3792" t="s">
        <v>111</v>
      </c>
      <c r="V3792" t="s">
        <v>114</v>
      </c>
      <c r="W3792" t="s">
        <v>43</v>
      </c>
      <c r="X3792" t="s">
        <v>10988</v>
      </c>
      <c r="Y3792" t="s">
        <v>44</v>
      </c>
      <c r="Z3792" t="s">
        <v>44</v>
      </c>
      <c r="AA3792" t="s">
        <v>10913</v>
      </c>
      <c r="AB3792" t="s">
        <v>44</v>
      </c>
      <c r="AC3792" s="4">
        <v>7.5369000000000002</v>
      </c>
      <c r="AD3792" s="4">
        <v>7.2884304699999998</v>
      </c>
      <c r="AE3792" s="2">
        <v>7.54</v>
      </c>
      <c r="AF3792" s="4">
        <v>7.2884304699999998</v>
      </c>
      <c r="AG3792" s="2">
        <v>1.77</v>
      </c>
      <c r="AH3792" s="2">
        <v>3074585.06</v>
      </c>
      <c r="AI3792" s="2">
        <v>0.01</v>
      </c>
      <c r="AJ3792" s="5">
        <v>44673</v>
      </c>
      <c r="AK3792" t="s">
        <v>13019</v>
      </c>
      <c r="AL3792" s="2">
        <v>7.4</v>
      </c>
      <c r="AM3792" s="2">
        <v>7.4</v>
      </c>
      <c r="AN3792" s="2">
        <v>0.62</v>
      </c>
      <c r="AO3792" t="s">
        <v>10922</v>
      </c>
      <c r="AP3792" t="s">
        <v>11473</v>
      </c>
      <c r="AQ3792" t="s">
        <v>11472</v>
      </c>
    </row>
    <row r="3793" spans="1:43" x14ac:dyDescent="0.2">
      <c r="A3793" t="s">
        <v>12998</v>
      </c>
      <c r="B3793" t="s">
        <v>10900</v>
      </c>
      <c r="C3793" t="s">
        <v>11049</v>
      </c>
      <c r="D3793" t="s">
        <v>11474</v>
      </c>
      <c r="E3793" t="s">
        <v>11475</v>
      </c>
      <c r="F3793" t="s">
        <v>11474</v>
      </c>
      <c r="G3793" s="1">
        <v>4900000</v>
      </c>
      <c r="H3793" s="2">
        <v>4900000</v>
      </c>
      <c r="I3793" s="2">
        <v>4899891.22</v>
      </c>
      <c r="J3793" s="2">
        <v>79589.42</v>
      </c>
      <c r="K3793" s="2">
        <v>0</v>
      </c>
      <c r="L3793" s="2">
        <v>4979480.6399999997</v>
      </c>
      <c r="M3793" s="3">
        <v>7.23</v>
      </c>
      <c r="N3793" s="4">
        <v>1.132885E-2</v>
      </c>
      <c r="O3793" s="5">
        <v>44773</v>
      </c>
      <c r="P3793" s="5">
        <v>44773</v>
      </c>
      <c r="Q3793" s="1">
        <v>7.23</v>
      </c>
      <c r="R3793" s="2">
        <v>0.27</v>
      </c>
      <c r="S3793" s="6">
        <v>0.26074350600000001</v>
      </c>
      <c r="T3793" t="s">
        <v>111</v>
      </c>
      <c r="U3793" t="s">
        <v>111</v>
      </c>
      <c r="V3793" t="s">
        <v>10944</v>
      </c>
      <c r="W3793" t="s">
        <v>43</v>
      </c>
      <c r="X3793" t="s">
        <v>44</v>
      </c>
      <c r="Y3793" t="s">
        <v>44</v>
      </c>
      <c r="Z3793" t="s">
        <v>44</v>
      </c>
      <c r="AA3793" t="s">
        <v>10913</v>
      </c>
      <c r="AB3793" t="s">
        <v>44</v>
      </c>
      <c r="AC3793" s="4">
        <v>7.36068225</v>
      </c>
      <c r="AD3793" s="4">
        <v>7.1234440000000001</v>
      </c>
      <c r="AE3793" s="2">
        <v>7.36</v>
      </c>
      <c r="AF3793" s="4">
        <v>7.1234440000000001</v>
      </c>
      <c r="AG3793" s="2">
        <v>2.86</v>
      </c>
      <c r="AH3793" s="2">
        <v>4979480.6399999997</v>
      </c>
      <c r="AI3793" s="2">
        <v>0.01</v>
      </c>
      <c r="AJ3793" s="5">
        <v>44673</v>
      </c>
      <c r="AK3793" t="s">
        <v>13019</v>
      </c>
      <c r="AL3793" s="2">
        <v>7.23</v>
      </c>
      <c r="AM3793" s="2">
        <v>7.23</v>
      </c>
      <c r="AN3793" s="2">
        <v>0.26</v>
      </c>
      <c r="AO3793" t="s">
        <v>10922</v>
      </c>
      <c r="AP3793" t="s">
        <v>11476</v>
      </c>
      <c r="AQ3793" t="s">
        <v>11475</v>
      </c>
    </row>
    <row r="3794" spans="1:43" x14ac:dyDescent="0.2">
      <c r="A3794" t="s">
        <v>12998</v>
      </c>
      <c r="B3794" t="s">
        <v>10900</v>
      </c>
      <c r="C3794" t="s">
        <v>11049</v>
      </c>
      <c r="D3794" t="s">
        <v>11794</v>
      </c>
      <c r="E3794" t="s">
        <v>11795</v>
      </c>
      <c r="F3794" t="s">
        <v>11794</v>
      </c>
      <c r="G3794" s="1">
        <v>1000000</v>
      </c>
      <c r="H3794" s="2">
        <v>1000000</v>
      </c>
      <c r="I3794" s="2">
        <v>1000112.18</v>
      </c>
      <c r="J3794" s="2">
        <v>12711.12</v>
      </c>
      <c r="K3794" s="2">
        <v>0</v>
      </c>
      <c r="L3794" s="2">
        <v>1012823.3</v>
      </c>
      <c r="M3794" s="3">
        <v>4.7002220000000001</v>
      </c>
      <c r="N3794" s="4">
        <v>2.3042800000000001E-3</v>
      </c>
      <c r="O3794" s="5">
        <v>44680</v>
      </c>
      <c r="P3794" s="5">
        <v>44680</v>
      </c>
      <c r="Q3794" s="1">
        <v>5.6580000000000004</v>
      </c>
      <c r="R3794" s="2">
        <v>0.01</v>
      </c>
      <c r="S3794" s="6">
        <v>1.0461427896999999E-2</v>
      </c>
      <c r="T3794" t="s">
        <v>111</v>
      </c>
      <c r="U3794" t="s">
        <v>111</v>
      </c>
      <c r="V3794" t="s">
        <v>11189</v>
      </c>
      <c r="W3794" t="s">
        <v>43</v>
      </c>
      <c r="X3794" t="s">
        <v>11034</v>
      </c>
      <c r="Y3794" t="s">
        <v>44</v>
      </c>
      <c r="Z3794" t="s">
        <v>44</v>
      </c>
      <c r="AA3794" t="s">
        <v>44</v>
      </c>
      <c r="AB3794" t="s">
        <v>11225</v>
      </c>
      <c r="AC3794" s="4">
        <v>4.7554521300000001</v>
      </c>
      <c r="AD3794" s="4">
        <v>4.6548469299999997</v>
      </c>
      <c r="AE3794" s="2">
        <v>4.76</v>
      </c>
      <c r="AF3794" s="4">
        <v>4.6548469299999997</v>
      </c>
      <c r="AG3794" s="2">
        <v>0.57999999999999996</v>
      </c>
      <c r="AH3794" s="2">
        <v>1012823.3</v>
      </c>
      <c r="AI3794" s="2">
        <v>0</v>
      </c>
      <c r="AJ3794" s="5">
        <v>44673</v>
      </c>
      <c r="AK3794" t="s">
        <v>13019</v>
      </c>
      <c r="AL3794" s="2">
        <v>4.7</v>
      </c>
      <c r="AM3794" s="2">
        <v>5.66</v>
      </c>
      <c r="AN3794" s="2">
        <v>0.01</v>
      </c>
      <c r="AO3794" t="s">
        <v>11527</v>
      </c>
      <c r="AP3794" t="s">
        <v>11796</v>
      </c>
      <c r="AQ3794" t="s">
        <v>11795</v>
      </c>
    </row>
    <row r="3795" spans="1:43" x14ac:dyDescent="0.2">
      <c r="A3795" t="s">
        <v>12998</v>
      </c>
      <c r="B3795" t="s">
        <v>10900</v>
      </c>
      <c r="C3795" t="s">
        <v>11049</v>
      </c>
      <c r="D3795" t="s">
        <v>11916</v>
      </c>
      <c r="E3795" t="s">
        <v>11917</v>
      </c>
      <c r="F3795" t="s">
        <v>11916</v>
      </c>
      <c r="G3795" s="1">
        <v>2851200</v>
      </c>
      <c r="H3795" s="2">
        <v>2851200</v>
      </c>
      <c r="I3795" s="2">
        <v>2844946.3</v>
      </c>
      <c r="J3795" s="2">
        <v>14103.21</v>
      </c>
      <c r="K3795" s="2">
        <v>0</v>
      </c>
      <c r="L3795" s="2">
        <v>2859049.51</v>
      </c>
      <c r="M3795" s="3">
        <v>5.6016830000000004</v>
      </c>
      <c r="N3795" s="4">
        <v>6.5046499999999998E-3</v>
      </c>
      <c r="O3795" s="5">
        <v>44732</v>
      </c>
      <c r="P3795" s="5">
        <v>44824</v>
      </c>
      <c r="Q3795" s="1">
        <v>5.6420000000000003</v>
      </c>
      <c r="R3795" s="2">
        <v>0.15</v>
      </c>
      <c r="S3795" s="6">
        <v>0.14281421501899999</v>
      </c>
      <c r="T3795" t="s">
        <v>111</v>
      </c>
      <c r="U3795" t="s">
        <v>111</v>
      </c>
      <c r="V3795" t="s">
        <v>11189</v>
      </c>
      <c r="W3795" t="s">
        <v>43</v>
      </c>
      <c r="X3795" t="s">
        <v>11034</v>
      </c>
      <c r="Y3795" t="s">
        <v>44</v>
      </c>
      <c r="Z3795" t="s">
        <v>44</v>
      </c>
      <c r="AA3795" t="s">
        <v>10979</v>
      </c>
      <c r="AB3795" t="s">
        <v>44</v>
      </c>
      <c r="AC3795" s="4">
        <v>5.6801300100000001</v>
      </c>
      <c r="AD3795" s="4">
        <v>5.5374074699999998</v>
      </c>
      <c r="AE3795" s="2">
        <v>5.68</v>
      </c>
      <c r="AF3795" s="4">
        <v>5.5374074699999998</v>
      </c>
      <c r="AG3795" s="2">
        <v>1.64</v>
      </c>
      <c r="AH3795" s="2">
        <v>2859049.51</v>
      </c>
      <c r="AI3795" s="2">
        <v>0.01</v>
      </c>
      <c r="AJ3795" s="5">
        <v>44673</v>
      </c>
      <c r="AK3795" t="s">
        <v>13019</v>
      </c>
      <c r="AL3795" s="2">
        <v>5.6</v>
      </c>
      <c r="AM3795" s="2">
        <v>5.64</v>
      </c>
      <c r="AN3795" s="2">
        <v>0.14000000000000001</v>
      </c>
      <c r="AO3795" t="s">
        <v>10980</v>
      </c>
      <c r="AP3795" t="s">
        <v>11918</v>
      </c>
      <c r="AQ3795" t="s">
        <v>11917</v>
      </c>
    </row>
    <row r="3796" spans="1:43" x14ac:dyDescent="0.2">
      <c r="A3796" t="s">
        <v>12998</v>
      </c>
      <c r="B3796" t="s">
        <v>10900</v>
      </c>
      <c r="C3796" t="s">
        <v>11049</v>
      </c>
      <c r="D3796" t="s">
        <v>11797</v>
      </c>
      <c r="E3796" t="s">
        <v>11798</v>
      </c>
      <c r="F3796" t="s">
        <v>11797</v>
      </c>
      <c r="G3796" s="1">
        <v>5130000</v>
      </c>
      <c r="H3796" s="2">
        <v>5169393.83</v>
      </c>
      <c r="I3796" s="2">
        <v>5215755.59</v>
      </c>
      <c r="J3796" s="2">
        <v>31734.46</v>
      </c>
      <c r="K3796" s="2">
        <v>0</v>
      </c>
      <c r="L3796" s="2">
        <v>5247490.05</v>
      </c>
      <c r="M3796" s="3">
        <v>5.7687520000000001</v>
      </c>
      <c r="N3796" s="4">
        <v>1.1938600000000001E-2</v>
      </c>
      <c r="O3796" s="5">
        <v>44742</v>
      </c>
      <c r="P3796" s="5">
        <v>44834</v>
      </c>
      <c r="Q3796" s="1">
        <v>9.8170000000000002</v>
      </c>
      <c r="R3796" s="2">
        <v>0.18</v>
      </c>
      <c r="S3796" s="6">
        <v>0.17046604942900001</v>
      </c>
      <c r="T3796" t="s">
        <v>111</v>
      </c>
      <c r="U3796" t="s">
        <v>111</v>
      </c>
      <c r="V3796" t="s">
        <v>11189</v>
      </c>
      <c r="W3796" t="s">
        <v>43</v>
      </c>
      <c r="X3796" t="s">
        <v>11034</v>
      </c>
      <c r="Y3796" t="s">
        <v>44</v>
      </c>
      <c r="Z3796" t="s">
        <v>44</v>
      </c>
      <c r="AA3796" t="s">
        <v>11035</v>
      </c>
      <c r="AB3796" t="s">
        <v>2680</v>
      </c>
      <c r="AC3796" s="4">
        <v>5.8519482600000003</v>
      </c>
      <c r="AD3796" s="4">
        <v>5.7006194399999996</v>
      </c>
      <c r="AE3796" s="2">
        <v>5.85</v>
      </c>
      <c r="AF3796" s="4">
        <v>5.7006194399999996</v>
      </c>
      <c r="AG3796" s="2">
        <v>3.02</v>
      </c>
      <c r="AH3796" s="2">
        <v>5247490.05</v>
      </c>
      <c r="AI3796" s="2">
        <v>0.01</v>
      </c>
      <c r="AJ3796" s="5">
        <v>44673</v>
      </c>
      <c r="AK3796" t="s">
        <v>13019</v>
      </c>
      <c r="AL3796" s="2">
        <v>5.77</v>
      </c>
      <c r="AM3796" s="2">
        <v>9.82</v>
      </c>
      <c r="AN3796" s="2">
        <v>0.17</v>
      </c>
      <c r="AO3796" t="s">
        <v>11496</v>
      </c>
      <c r="AP3796" t="s">
        <v>11799</v>
      </c>
      <c r="AQ3796" t="s">
        <v>11798</v>
      </c>
    </row>
    <row r="3797" spans="1:43" x14ac:dyDescent="0.2">
      <c r="A3797" t="s">
        <v>12998</v>
      </c>
      <c r="B3797" t="s">
        <v>10900</v>
      </c>
      <c r="C3797" t="s">
        <v>11049</v>
      </c>
      <c r="D3797" t="s">
        <v>11494</v>
      </c>
      <c r="E3797" t="s">
        <v>11495</v>
      </c>
      <c r="F3797" t="s">
        <v>11494</v>
      </c>
      <c r="G3797" s="1">
        <v>3630000</v>
      </c>
      <c r="H3797" s="2">
        <v>3636186.35</v>
      </c>
      <c r="I3797" s="2">
        <v>3687705.79</v>
      </c>
      <c r="J3797" s="2">
        <v>49415.34</v>
      </c>
      <c r="K3797" s="2">
        <v>0</v>
      </c>
      <c r="L3797" s="2">
        <v>3737121.13</v>
      </c>
      <c r="M3797" s="3">
        <v>5.349933</v>
      </c>
      <c r="N3797" s="4">
        <v>8.5023500000000005E-3</v>
      </c>
      <c r="O3797" s="5">
        <v>44694</v>
      </c>
      <c r="P3797" s="5">
        <v>44970</v>
      </c>
      <c r="Q3797" s="1">
        <v>7.3070000000000004</v>
      </c>
      <c r="R3797" s="2">
        <v>0.05</v>
      </c>
      <c r="S3797" s="6">
        <v>4.8092249657999998E-2</v>
      </c>
      <c r="T3797" t="s">
        <v>111</v>
      </c>
      <c r="U3797" t="s">
        <v>111</v>
      </c>
      <c r="V3797" t="s">
        <v>11189</v>
      </c>
      <c r="W3797" t="s">
        <v>43</v>
      </c>
      <c r="X3797" t="s">
        <v>11034</v>
      </c>
      <c r="Y3797" t="s">
        <v>44</v>
      </c>
      <c r="Z3797" t="s">
        <v>44</v>
      </c>
      <c r="AA3797" t="s">
        <v>11035</v>
      </c>
      <c r="AB3797" t="s">
        <v>44</v>
      </c>
      <c r="AC3797" s="4">
        <v>5.4214878100000004</v>
      </c>
      <c r="AD3797" s="4">
        <v>5.2912612699999997</v>
      </c>
      <c r="AE3797" s="2">
        <v>5.42</v>
      </c>
      <c r="AF3797" s="4">
        <v>5.2912612699999997</v>
      </c>
      <c r="AG3797" s="2">
        <v>2.15</v>
      </c>
      <c r="AH3797" s="2">
        <v>3737121.13</v>
      </c>
      <c r="AI3797" s="2">
        <v>0.01</v>
      </c>
      <c r="AJ3797" s="5">
        <v>44673</v>
      </c>
      <c r="AK3797" t="s">
        <v>13019</v>
      </c>
      <c r="AL3797" s="2">
        <v>5.35</v>
      </c>
      <c r="AM3797" s="2">
        <v>7.31</v>
      </c>
      <c r="AN3797" s="2">
        <v>0.05</v>
      </c>
      <c r="AO3797" t="s">
        <v>11496</v>
      </c>
      <c r="AP3797" t="s">
        <v>11497</v>
      </c>
      <c r="AQ3797" t="s">
        <v>11495</v>
      </c>
    </row>
    <row r="3798" spans="1:43" x14ac:dyDescent="0.2">
      <c r="A3798" t="s">
        <v>12998</v>
      </c>
      <c r="B3798" t="s">
        <v>10900</v>
      </c>
      <c r="C3798" t="s">
        <v>11033</v>
      </c>
      <c r="D3798" t="s">
        <v>11803</v>
      </c>
      <c r="E3798" t="s">
        <v>11804</v>
      </c>
      <c r="F3798" t="s">
        <v>11803</v>
      </c>
      <c r="G3798" s="1">
        <v>2200000</v>
      </c>
      <c r="H3798" s="2">
        <v>2200000</v>
      </c>
      <c r="I3798" s="2">
        <v>2226166.69</v>
      </c>
      <c r="J3798" s="2">
        <v>21699.72</v>
      </c>
      <c r="K3798" s="2">
        <v>0</v>
      </c>
      <c r="L3798" s="2">
        <v>2247866.41</v>
      </c>
      <c r="M3798" s="3">
        <v>5.9316740000000001</v>
      </c>
      <c r="N3798" s="4">
        <v>5.1141399999999997E-3</v>
      </c>
      <c r="O3798" s="5">
        <v>44711</v>
      </c>
      <c r="P3798" s="5">
        <v>45259</v>
      </c>
      <c r="Q3798" s="1">
        <v>6.6669999999999998</v>
      </c>
      <c r="R3798" s="2">
        <v>0.1</v>
      </c>
      <c r="S3798" s="6">
        <v>8.3360787894999996E-2</v>
      </c>
      <c r="T3798" t="s">
        <v>111</v>
      </c>
      <c r="U3798" t="s">
        <v>111</v>
      </c>
      <c r="V3798" t="s">
        <v>11189</v>
      </c>
      <c r="W3798" t="s">
        <v>43</v>
      </c>
      <c r="X3798" t="s">
        <v>11034</v>
      </c>
      <c r="Y3798" t="s">
        <v>44</v>
      </c>
      <c r="Z3798" t="s">
        <v>44</v>
      </c>
      <c r="AA3798" t="s">
        <v>10979</v>
      </c>
      <c r="AB3798" t="s">
        <v>44</v>
      </c>
      <c r="AC3798" s="4">
        <v>6.0196354200000002</v>
      </c>
      <c r="AD3798" s="4">
        <v>5.8596732400000002</v>
      </c>
      <c r="AE3798" s="2">
        <v>6.02</v>
      </c>
      <c r="AF3798" s="4">
        <v>5.8596732400000002</v>
      </c>
      <c r="AG3798" s="2">
        <v>1.29</v>
      </c>
      <c r="AH3798" s="2">
        <v>2247866.41</v>
      </c>
      <c r="AI3798" s="2">
        <v>0.01</v>
      </c>
      <c r="AJ3798" s="5">
        <v>44673</v>
      </c>
      <c r="AK3798" t="s">
        <v>13019</v>
      </c>
      <c r="AL3798" s="2">
        <v>5.93</v>
      </c>
      <c r="AM3798" s="2">
        <v>6.67</v>
      </c>
      <c r="AN3798" s="2">
        <v>0.08</v>
      </c>
      <c r="AO3798" t="s">
        <v>11165</v>
      </c>
      <c r="AP3798" t="s">
        <v>11805</v>
      </c>
      <c r="AQ3798" t="s">
        <v>11804</v>
      </c>
    </row>
    <row r="3799" spans="1:43" x14ac:dyDescent="0.2">
      <c r="A3799" t="s">
        <v>12998</v>
      </c>
      <c r="B3799" t="s">
        <v>10900</v>
      </c>
      <c r="C3799" t="s">
        <v>11033</v>
      </c>
      <c r="D3799" t="s">
        <v>11806</v>
      </c>
      <c r="E3799" t="s">
        <v>11807</v>
      </c>
      <c r="F3799" t="s">
        <v>11806</v>
      </c>
      <c r="G3799" s="1">
        <v>2200000</v>
      </c>
      <c r="H3799" s="2">
        <v>2200000</v>
      </c>
      <c r="I3799" s="2">
        <v>2225997.7999999998</v>
      </c>
      <c r="J3799" s="2">
        <v>4906.0600000000004</v>
      </c>
      <c r="K3799" s="2">
        <v>0</v>
      </c>
      <c r="L3799" s="2">
        <v>2230903.86</v>
      </c>
      <c r="M3799" s="3">
        <v>6.0434890000000001</v>
      </c>
      <c r="N3799" s="4">
        <v>5.0755499999999999E-3</v>
      </c>
      <c r="O3799" s="5">
        <v>44753</v>
      </c>
      <c r="P3799" s="5">
        <v>45393</v>
      </c>
      <c r="Q3799" s="1">
        <v>6.7830000000000004</v>
      </c>
      <c r="R3799" s="2">
        <v>0.21</v>
      </c>
      <c r="S3799" s="6">
        <v>0.19079709986500001</v>
      </c>
      <c r="T3799" t="s">
        <v>111</v>
      </c>
      <c r="U3799" t="s">
        <v>111</v>
      </c>
      <c r="V3799" t="s">
        <v>11189</v>
      </c>
      <c r="W3799" t="s">
        <v>43</v>
      </c>
      <c r="X3799" t="s">
        <v>11034</v>
      </c>
      <c r="Y3799" t="s">
        <v>44</v>
      </c>
      <c r="Z3799" t="s">
        <v>44</v>
      </c>
      <c r="AA3799" t="s">
        <v>10979</v>
      </c>
      <c r="AB3799" t="s">
        <v>44</v>
      </c>
      <c r="AC3799" s="4">
        <v>6.1347979300000004</v>
      </c>
      <c r="AD3799" s="4">
        <v>5.9687731099999999</v>
      </c>
      <c r="AE3799" s="2">
        <v>6.13</v>
      </c>
      <c r="AF3799" s="4">
        <v>5.9687731099999999</v>
      </c>
      <c r="AG3799" s="2">
        <v>1.28</v>
      </c>
      <c r="AH3799" s="2">
        <v>2230903.86</v>
      </c>
      <c r="AI3799" s="2">
        <v>0.01</v>
      </c>
      <c r="AJ3799" s="5">
        <v>44673</v>
      </c>
      <c r="AK3799" t="s">
        <v>13019</v>
      </c>
      <c r="AL3799" s="2">
        <v>6.04</v>
      </c>
      <c r="AM3799" s="2">
        <v>6.78</v>
      </c>
      <c r="AN3799" s="2">
        <v>0.19</v>
      </c>
      <c r="AO3799" t="s">
        <v>11165</v>
      </c>
      <c r="AP3799" t="s">
        <v>11808</v>
      </c>
      <c r="AQ3799" t="s">
        <v>11807</v>
      </c>
    </row>
    <row r="3800" spans="1:43" x14ac:dyDescent="0.2">
      <c r="A3800" t="s">
        <v>12998</v>
      </c>
      <c r="B3800" t="s">
        <v>10900</v>
      </c>
      <c r="C3800" t="s">
        <v>11033</v>
      </c>
      <c r="D3800" t="s">
        <v>11518</v>
      </c>
      <c r="E3800" t="s">
        <v>11519</v>
      </c>
      <c r="F3800" t="s">
        <v>11518</v>
      </c>
      <c r="G3800" s="1">
        <v>1800000</v>
      </c>
      <c r="H3800" s="2">
        <v>1800000</v>
      </c>
      <c r="I3800" s="2">
        <v>1805711.2</v>
      </c>
      <c r="J3800" s="2">
        <v>18777.3</v>
      </c>
      <c r="K3800" s="2">
        <v>0</v>
      </c>
      <c r="L3800" s="2">
        <v>1824488.5</v>
      </c>
      <c r="M3800" s="3">
        <v>6.0730570000000004</v>
      </c>
      <c r="N3800" s="4">
        <v>4.1509099999999998E-3</v>
      </c>
      <c r="O3800" s="5">
        <v>44704</v>
      </c>
      <c r="P3800" s="5">
        <v>45159</v>
      </c>
      <c r="Q3800" s="1">
        <v>6.242</v>
      </c>
      <c r="R3800" s="2">
        <v>0.08</v>
      </c>
      <c r="S3800" s="6">
        <v>5.9720457003999999E-2</v>
      </c>
      <c r="T3800" t="s">
        <v>111</v>
      </c>
      <c r="U3800" t="s">
        <v>111</v>
      </c>
      <c r="V3800" t="s">
        <v>11189</v>
      </c>
      <c r="W3800" t="s">
        <v>43</v>
      </c>
      <c r="X3800" t="s">
        <v>11034</v>
      </c>
      <c r="Y3800" t="s">
        <v>44</v>
      </c>
      <c r="Z3800" t="s">
        <v>44</v>
      </c>
      <c r="AA3800" t="s">
        <v>11441</v>
      </c>
      <c r="AB3800" t="s">
        <v>44</v>
      </c>
      <c r="AC3800" s="4">
        <v>6.1652619800000004</v>
      </c>
      <c r="AD3800" s="4">
        <v>5.9976152599999999</v>
      </c>
      <c r="AE3800" s="2">
        <v>6.17</v>
      </c>
      <c r="AF3800" s="4">
        <v>5.9976152599999999</v>
      </c>
      <c r="AG3800" s="2">
        <v>1.05</v>
      </c>
      <c r="AH3800" s="2">
        <v>1824488.5</v>
      </c>
      <c r="AI3800" s="2">
        <v>0</v>
      </c>
      <c r="AJ3800" s="5">
        <v>44673</v>
      </c>
      <c r="AK3800" t="s">
        <v>13019</v>
      </c>
      <c r="AL3800" s="2">
        <v>6.07</v>
      </c>
      <c r="AM3800" s="2">
        <v>6.24</v>
      </c>
      <c r="AN3800" s="2">
        <v>0.06</v>
      </c>
      <c r="AO3800" t="s">
        <v>11520</v>
      </c>
      <c r="AP3800" t="s">
        <v>11521</v>
      </c>
      <c r="AQ3800" t="s">
        <v>11519</v>
      </c>
    </row>
    <row r="3801" spans="1:43" x14ac:dyDescent="0.2">
      <c r="A3801" t="s">
        <v>12998</v>
      </c>
      <c r="B3801" t="s">
        <v>10900</v>
      </c>
      <c r="C3801" t="s">
        <v>11033</v>
      </c>
      <c r="D3801" t="s">
        <v>11059</v>
      </c>
      <c r="E3801" t="s">
        <v>11060</v>
      </c>
      <c r="F3801" t="s">
        <v>11059</v>
      </c>
      <c r="G3801" s="1">
        <v>295000</v>
      </c>
      <c r="H3801" s="2">
        <v>319641.83</v>
      </c>
      <c r="I3801" s="2">
        <v>316079.43</v>
      </c>
      <c r="J3801" s="2">
        <v>11642.4</v>
      </c>
      <c r="K3801" s="2">
        <v>0</v>
      </c>
      <c r="L3801" s="2">
        <v>327721.83</v>
      </c>
      <c r="M3801" s="3">
        <v>7.69</v>
      </c>
      <c r="N3801" s="4">
        <v>7.4560000000000002E-4</v>
      </c>
      <c r="O3801" s="5">
        <v>44722</v>
      </c>
      <c r="P3801" s="5">
        <v>45636</v>
      </c>
      <c r="Q3801" s="1">
        <v>10.75</v>
      </c>
      <c r="R3801" s="2">
        <v>2.2799999999999998</v>
      </c>
      <c r="S3801" s="6">
        <v>2.1998010890000002</v>
      </c>
      <c r="T3801" t="s">
        <v>111</v>
      </c>
      <c r="U3801" t="s">
        <v>111</v>
      </c>
      <c r="V3801" t="s">
        <v>10944</v>
      </c>
      <c r="W3801" t="s">
        <v>43</v>
      </c>
      <c r="X3801" t="s">
        <v>10988</v>
      </c>
      <c r="Y3801" t="s">
        <v>44</v>
      </c>
      <c r="Z3801" t="s">
        <v>44</v>
      </c>
      <c r="AA3801" t="s">
        <v>10979</v>
      </c>
      <c r="AB3801" t="s">
        <v>44</v>
      </c>
      <c r="AC3801" s="4">
        <v>7.8378402500000002</v>
      </c>
      <c r="AD3801" s="4">
        <v>7.5696180699999998</v>
      </c>
      <c r="AE3801" s="2">
        <v>7.84</v>
      </c>
      <c r="AF3801" s="4">
        <v>7.5696180699999998</v>
      </c>
      <c r="AG3801" s="2">
        <v>0.19</v>
      </c>
      <c r="AH3801" s="2">
        <v>327721.83</v>
      </c>
      <c r="AI3801" s="2">
        <v>0</v>
      </c>
      <c r="AJ3801" s="5">
        <v>44673</v>
      </c>
      <c r="AK3801" t="s">
        <v>13019</v>
      </c>
      <c r="AL3801" s="2">
        <v>7.69</v>
      </c>
      <c r="AM3801" s="2">
        <v>10.75</v>
      </c>
      <c r="AN3801" s="2">
        <v>2.2000000000000002</v>
      </c>
      <c r="AO3801" t="s">
        <v>11054</v>
      </c>
      <c r="AP3801" t="s">
        <v>11061</v>
      </c>
      <c r="AQ3801" t="s">
        <v>11060</v>
      </c>
    </row>
    <row r="3802" spans="1:43" x14ac:dyDescent="0.2">
      <c r="A3802" t="s">
        <v>12998</v>
      </c>
      <c r="B3802" t="s">
        <v>10900</v>
      </c>
      <c r="C3802" t="s">
        <v>11033</v>
      </c>
      <c r="D3802" t="s">
        <v>11812</v>
      </c>
      <c r="E3802" t="s">
        <v>11813</v>
      </c>
      <c r="F3802" t="s">
        <v>11812</v>
      </c>
      <c r="G3802" s="1">
        <v>220000</v>
      </c>
      <c r="H3802" s="2">
        <v>2636325.48</v>
      </c>
      <c r="I3802" s="2">
        <v>3486473.57</v>
      </c>
      <c r="J3802" s="2">
        <v>106153.64</v>
      </c>
      <c r="K3802" s="2">
        <v>0</v>
      </c>
      <c r="L3802" s="2">
        <v>3592627.22</v>
      </c>
      <c r="M3802" s="3"/>
      <c r="N3802" s="4">
        <v>8.1736099999999996E-3</v>
      </c>
      <c r="O3802" s="5">
        <v>44676</v>
      </c>
      <c r="P3802" s="5">
        <v>45039</v>
      </c>
      <c r="Q3802" s="1">
        <v>6.25</v>
      </c>
      <c r="R3802" s="2">
        <v>2.71</v>
      </c>
      <c r="S3802" s="6">
        <v>2.63</v>
      </c>
      <c r="T3802" t="s">
        <v>111</v>
      </c>
      <c r="U3802" t="s">
        <v>111</v>
      </c>
      <c r="V3802" t="s">
        <v>10944</v>
      </c>
      <c r="W3802" t="s">
        <v>113</v>
      </c>
      <c r="X3802" t="s">
        <v>44</v>
      </c>
      <c r="Y3802" t="s">
        <v>44</v>
      </c>
      <c r="Z3802" t="s">
        <v>44</v>
      </c>
      <c r="AA3802" t="s">
        <v>10979</v>
      </c>
      <c r="AB3802" t="s">
        <v>11465</v>
      </c>
      <c r="AC3802" s="4"/>
      <c r="AD3802" s="4"/>
      <c r="AE3802" s="2">
        <v>0</v>
      </c>
      <c r="AF3802" s="4">
        <v>0</v>
      </c>
      <c r="AG3802" s="2">
        <v>2.06</v>
      </c>
      <c r="AH3802" s="2">
        <v>3592627.22</v>
      </c>
      <c r="AI3802" s="2">
        <v>0.01</v>
      </c>
      <c r="AJ3802" s="5">
        <v>44673</v>
      </c>
      <c r="AK3802" t="s">
        <v>13019</v>
      </c>
      <c r="AL3802" s="2">
        <v>0</v>
      </c>
      <c r="AM3802" s="2">
        <v>6.25</v>
      </c>
      <c r="AN3802" s="2">
        <v>2.63</v>
      </c>
      <c r="AO3802" t="s">
        <v>11054</v>
      </c>
      <c r="AP3802" t="s">
        <v>11814</v>
      </c>
      <c r="AQ3802" t="s">
        <v>11813</v>
      </c>
    </row>
    <row r="3803" spans="1:43" x14ac:dyDescent="0.2">
      <c r="A3803" t="s">
        <v>12998</v>
      </c>
      <c r="B3803" t="s">
        <v>10900</v>
      </c>
      <c r="C3803" t="s">
        <v>11033</v>
      </c>
      <c r="D3803" t="s">
        <v>11815</v>
      </c>
      <c r="E3803" t="s">
        <v>11816</v>
      </c>
      <c r="F3803" t="s">
        <v>11815</v>
      </c>
      <c r="G3803" s="1">
        <v>1400000</v>
      </c>
      <c r="H3803" s="2">
        <v>1400000</v>
      </c>
      <c r="I3803" s="2">
        <v>1399925.53</v>
      </c>
      <c r="J3803" s="2">
        <v>15591.36</v>
      </c>
      <c r="K3803" s="2">
        <v>0</v>
      </c>
      <c r="L3803" s="2">
        <v>1415516.89</v>
      </c>
      <c r="M3803" s="3">
        <v>6.1638650000000004</v>
      </c>
      <c r="N3803" s="4">
        <v>3.2204500000000001E-3</v>
      </c>
      <c r="O3803" s="5">
        <v>44697</v>
      </c>
      <c r="P3803" s="5">
        <v>45519</v>
      </c>
      <c r="Q3803" s="1">
        <v>6.0670000000000002</v>
      </c>
      <c r="R3803" s="2">
        <v>0.06</v>
      </c>
      <c r="S3803" s="6">
        <v>2.7386669091000002E-2</v>
      </c>
      <c r="T3803" t="s">
        <v>111</v>
      </c>
      <c r="U3803" t="s">
        <v>111</v>
      </c>
      <c r="V3803" t="s">
        <v>11189</v>
      </c>
      <c r="W3803" t="s">
        <v>43</v>
      </c>
      <c r="X3803" t="s">
        <v>11034</v>
      </c>
      <c r="Y3803" t="s">
        <v>44</v>
      </c>
      <c r="Z3803" t="s">
        <v>44</v>
      </c>
      <c r="AA3803" t="s">
        <v>11225</v>
      </c>
      <c r="AB3803" t="s">
        <v>44</v>
      </c>
      <c r="AC3803" s="4">
        <v>6.2588480500000001</v>
      </c>
      <c r="AD3803" s="4">
        <v>6.0861713799999997</v>
      </c>
      <c r="AE3803" s="2">
        <v>6.26</v>
      </c>
      <c r="AF3803" s="4">
        <v>6.0861713799999997</v>
      </c>
      <c r="AG3803" s="2">
        <v>0.81</v>
      </c>
      <c r="AH3803" s="2">
        <v>1415516.89</v>
      </c>
      <c r="AI3803" s="2">
        <v>0</v>
      </c>
      <c r="AJ3803" s="5">
        <v>44673</v>
      </c>
      <c r="AK3803" t="s">
        <v>13019</v>
      </c>
      <c r="AL3803" s="2">
        <v>6.16</v>
      </c>
      <c r="AM3803" s="2">
        <v>6.07</v>
      </c>
      <c r="AN3803" s="2">
        <v>0.03</v>
      </c>
      <c r="AO3803" t="s">
        <v>11817</v>
      </c>
      <c r="AP3803" t="s">
        <v>11818</v>
      </c>
      <c r="AQ3803" t="s">
        <v>11816</v>
      </c>
    </row>
    <row r="3804" spans="1:43" x14ac:dyDescent="0.2">
      <c r="A3804" t="s">
        <v>12998</v>
      </c>
      <c r="B3804" t="s">
        <v>10900</v>
      </c>
      <c r="C3804" t="s">
        <v>11033</v>
      </c>
      <c r="D3804" t="s">
        <v>11819</v>
      </c>
      <c r="E3804" t="s">
        <v>11820</v>
      </c>
      <c r="F3804" t="s">
        <v>11819</v>
      </c>
      <c r="G3804" s="1">
        <v>3200000</v>
      </c>
      <c r="H3804" s="2">
        <v>3200000</v>
      </c>
      <c r="I3804" s="2">
        <v>3202005.89</v>
      </c>
      <c r="J3804" s="2">
        <v>13259.57</v>
      </c>
      <c r="K3804" s="2">
        <v>0</v>
      </c>
      <c r="L3804" s="2">
        <v>3215265.46</v>
      </c>
      <c r="M3804" s="3">
        <v>5.6743709999999998</v>
      </c>
      <c r="N3804" s="4">
        <v>7.3150799999999998E-3</v>
      </c>
      <c r="O3804" s="5">
        <v>44739</v>
      </c>
      <c r="P3804" s="5">
        <v>45470</v>
      </c>
      <c r="Q3804" s="1">
        <v>5.8170000000000002</v>
      </c>
      <c r="R3804" s="2">
        <v>0.17</v>
      </c>
      <c r="S3804" s="6">
        <v>0.145695338009</v>
      </c>
      <c r="T3804" t="s">
        <v>111</v>
      </c>
      <c r="U3804" t="s">
        <v>111</v>
      </c>
      <c r="V3804" t="s">
        <v>11189</v>
      </c>
      <c r="W3804" t="s">
        <v>43</v>
      </c>
      <c r="X3804" t="s">
        <v>11034</v>
      </c>
      <c r="Y3804" t="s">
        <v>44</v>
      </c>
      <c r="Z3804" t="s">
        <v>44</v>
      </c>
      <c r="AA3804" t="s">
        <v>10913</v>
      </c>
      <c r="AB3804" t="s">
        <v>44</v>
      </c>
      <c r="AC3804" s="4">
        <v>5.7548670399999997</v>
      </c>
      <c r="AD3804" s="4">
        <v>5.6084308399999996</v>
      </c>
      <c r="AE3804" s="2">
        <v>5.75</v>
      </c>
      <c r="AF3804" s="4">
        <v>5.6084308399999996</v>
      </c>
      <c r="AG3804" s="2">
        <v>1.85</v>
      </c>
      <c r="AH3804" s="2">
        <v>3215265.46</v>
      </c>
      <c r="AI3804" s="2">
        <v>0.01</v>
      </c>
      <c r="AJ3804" s="5">
        <v>44673</v>
      </c>
      <c r="AK3804" t="s">
        <v>13019</v>
      </c>
      <c r="AL3804" s="2">
        <v>5.67</v>
      </c>
      <c r="AM3804" s="2">
        <v>5.82</v>
      </c>
      <c r="AN3804" s="2">
        <v>0.15</v>
      </c>
      <c r="AO3804" t="s">
        <v>11563</v>
      </c>
      <c r="AP3804" t="s">
        <v>11821</v>
      </c>
      <c r="AQ3804" t="s">
        <v>11820</v>
      </c>
    </row>
    <row r="3805" spans="1:43" x14ac:dyDescent="0.2">
      <c r="A3805" t="s">
        <v>12998</v>
      </c>
      <c r="B3805" t="s">
        <v>10900</v>
      </c>
      <c r="C3805" t="s">
        <v>11033</v>
      </c>
      <c r="D3805" t="s">
        <v>11822</v>
      </c>
      <c r="E3805" t="s">
        <v>11823</v>
      </c>
      <c r="F3805" t="s">
        <v>11822</v>
      </c>
      <c r="G3805" s="1">
        <v>1400000</v>
      </c>
      <c r="H3805" s="2">
        <v>1400000</v>
      </c>
      <c r="I3805" s="2">
        <v>1389176.52</v>
      </c>
      <c r="J3805" s="2">
        <v>15302.42</v>
      </c>
      <c r="K3805" s="2">
        <v>0</v>
      </c>
      <c r="L3805" s="2">
        <v>1404478.94</v>
      </c>
      <c r="M3805" s="3">
        <v>6.4745299999999997</v>
      </c>
      <c r="N3805" s="4">
        <v>3.1953400000000001E-3</v>
      </c>
      <c r="O3805" s="5">
        <v>44693</v>
      </c>
      <c r="P3805" s="5">
        <v>45242</v>
      </c>
      <c r="Q3805" s="1">
        <v>5.867</v>
      </c>
      <c r="R3805" s="2">
        <v>0.05</v>
      </c>
      <c r="S3805" s="6">
        <v>1.5942423563000001E-2</v>
      </c>
      <c r="T3805" t="s">
        <v>111</v>
      </c>
      <c r="U3805" t="s">
        <v>111</v>
      </c>
      <c r="V3805" t="s">
        <v>11189</v>
      </c>
      <c r="W3805" t="s">
        <v>43</v>
      </c>
      <c r="X3805" t="s">
        <v>11034</v>
      </c>
      <c r="Y3805" t="s">
        <v>44</v>
      </c>
      <c r="Z3805" t="s">
        <v>44</v>
      </c>
      <c r="AA3805" t="s">
        <v>10979</v>
      </c>
      <c r="AB3805" t="s">
        <v>44</v>
      </c>
      <c r="AC3805" s="4">
        <v>6.5793283799999998</v>
      </c>
      <c r="AD3805" s="4">
        <v>6.3888862499999997</v>
      </c>
      <c r="AE3805" s="2">
        <v>6.58</v>
      </c>
      <c r="AF3805" s="4">
        <v>6.3888862499999997</v>
      </c>
      <c r="AG3805" s="2">
        <v>0.81</v>
      </c>
      <c r="AH3805" s="2">
        <v>1404478.94</v>
      </c>
      <c r="AI3805" s="2">
        <v>0</v>
      </c>
      <c r="AJ3805" s="5">
        <v>44673</v>
      </c>
      <c r="AK3805" t="s">
        <v>13019</v>
      </c>
      <c r="AL3805" s="2">
        <v>6.47</v>
      </c>
      <c r="AM3805" s="2">
        <v>5.87</v>
      </c>
      <c r="AN3805" s="2">
        <v>0.02</v>
      </c>
      <c r="AO3805" t="s">
        <v>11824</v>
      </c>
      <c r="AP3805" t="s">
        <v>11825</v>
      </c>
      <c r="AQ3805" t="s">
        <v>11823</v>
      </c>
    </row>
    <row r="3806" spans="1:43" x14ac:dyDescent="0.2">
      <c r="A3806" t="s">
        <v>12998</v>
      </c>
      <c r="B3806" t="s">
        <v>10900</v>
      </c>
      <c r="C3806" t="s">
        <v>11033</v>
      </c>
      <c r="D3806" t="s">
        <v>11826</v>
      </c>
      <c r="E3806" t="s">
        <v>11827</v>
      </c>
      <c r="F3806" t="s">
        <v>11826</v>
      </c>
      <c r="G3806" s="1">
        <v>1800000</v>
      </c>
      <c r="H3806" s="2">
        <v>1800000</v>
      </c>
      <c r="I3806" s="2">
        <v>1787882.59</v>
      </c>
      <c r="J3806" s="2">
        <v>10549.08</v>
      </c>
      <c r="K3806" s="2">
        <v>0</v>
      </c>
      <c r="L3806" s="2">
        <v>1798431.67</v>
      </c>
      <c r="M3806" s="3">
        <v>6.1816829999999996</v>
      </c>
      <c r="N3806" s="4">
        <v>4.0916299999999997E-3</v>
      </c>
      <c r="O3806" s="5">
        <v>44732</v>
      </c>
      <c r="P3806" s="5">
        <v>45644</v>
      </c>
      <c r="Q3806" s="1">
        <v>5.9420000000000002</v>
      </c>
      <c r="R3806" s="2">
        <v>0.15</v>
      </c>
      <c r="S3806" s="6">
        <v>0.106811678077</v>
      </c>
      <c r="T3806" t="s">
        <v>111</v>
      </c>
      <c r="U3806" t="s">
        <v>111</v>
      </c>
      <c r="V3806" t="s">
        <v>11189</v>
      </c>
      <c r="W3806" t="s">
        <v>43</v>
      </c>
      <c r="X3806" t="s">
        <v>11034</v>
      </c>
      <c r="Y3806" t="s">
        <v>44</v>
      </c>
      <c r="Z3806" t="s">
        <v>44</v>
      </c>
      <c r="AA3806" t="s">
        <v>10979</v>
      </c>
      <c r="AB3806" t="s">
        <v>44</v>
      </c>
      <c r="AC3806" s="4">
        <v>6.2772158899999999</v>
      </c>
      <c r="AD3806" s="4">
        <v>6.10354361</v>
      </c>
      <c r="AE3806" s="2">
        <v>6.28</v>
      </c>
      <c r="AF3806" s="4">
        <v>6.10354361</v>
      </c>
      <c r="AG3806" s="2">
        <v>1.03</v>
      </c>
      <c r="AH3806" s="2">
        <v>1798431.67</v>
      </c>
      <c r="AI3806" s="2">
        <v>0</v>
      </c>
      <c r="AJ3806" s="5">
        <v>44673</v>
      </c>
      <c r="AK3806" t="s">
        <v>13019</v>
      </c>
      <c r="AL3806" s="2">
        <v>6.18</v>
      </c>
      <c r="AM3806" s="2">
        <v>5.94</v>
      </c>
      <c r="AN3806" s="2">
        <v>0.11</v>
      </c>
      <c r="AO3806" t="s">
        <v>11824</v>
      </c>
      <c r="AP3806" t="s">
        <v>11828</v>
      </c>
      <c r="AQ3806" t="s">
        <v>11827</v>
      </c>
    </row>
    <row r="3807" spans="1:43" x14ac:dyDescent="0.2">
      <c r="A3807" t="s">
        <v>12998</v>
      </c>
      <c r="B3807" t="s">
        <v>10900</v>
      </c>
      <c r="C3807" t="s">
        <v>11033</v>
      </c>
      <c r="D3807" t="s">
        <v>12841</v>
      </c>
      <c r="E3807" t="s">
        <v>12842</v>
      </c>
      <c r="F3807" t="s">
        <v>12841</v>
      </c>
      <c r="G3807" s="1">
        <v>1700000</v>
      </c>
      <c r="H3807" s="2">
        <v>1700000</v>
      </c>
      <c r="I3807" s="2">
        <v>1700044.1</v>
      </c>
      <c r="J3807" s="2">
        <v>6809.69</v>
      </c>
      <c r="K3807" s="2">
        <v>0</v>
      </c>
      <c r="L3807" s="2">
        <v>1706853.79</v>
      </c>
      <c r="M3807" s="3">
        <v>5.8547310000000001</v>
      </c>
      <c r="N3807" s="4">
        <v>3.8832799999999998E-3</v>
      </c>
      <c r="O3807" s="5">
        <v>44679</v>
      </c>
      <c r="P3807" s="5">
        <v>45044</v>
      </c>
      <c r="Q3807" s="1">
        <v>6.0919999999999996</v>
      </c>
      <c r="R3807" s="2">
        <v>0.01</v>
      </c>
      <c r="S3807" s="6">
        <v>-3.847892072E-3</v>
      </c>
      <c r="T3807" t="s">
        <v>111</v>
      </c>
      <c r="U3807" t="s">
        <v>111</v>
      </c>
      <c r="V3807" t="s">
        <v>114</v>
      </c>
      <c r="W3807" t="s">
        <v>43</v>
      </c>
      <c r="X3807" t="s">
        <v>44</v>
      </c>
      <c r="Y3807" t="s">
        <v>44</v>
      </c>
      <c r="Z3807" t="s">
        <v>44</v>
      </c>
      <c r="AA3807" t="s">
        <v>10979</v>
      </c>
      <c r="AB3807" t="s">
        <v>44</v>
      </c>
      <c r="AC3807" s="4">
        <v>5.9404258900000002</v>
      </c>
      <c r="AD3807" s="4">
        <v>5.7845705699999996</v>
      </c>
      <c r="AE3807" s="2">
        <v>5.94</v>
      </c>
      <c r="AF3807" s="4">
        <v>5.7845705699999996</v>
      </c>
      <c r="AG3807" s="2">
        <v>0.98</v>
      </c>
      <c r="AH3807" s="2">
        <v>1706853.79</v>
      </c>
      <c r="AI3807" s="2">
        <v>0</v>
      </c>
      <c r="AJ3807" s="5">
        <v>44673</v>
      </c>
      <c r="AK3807" t="s">
        <v>13019</v>
      </c>
      <c r="AL3807" s="2">
        <v>5.85</v>
      </c>
      <c r="AM3807" s="2">
        <v>6.09</v>
      </c>
      <c r="AN3807" s="2">
        <v>0</v>
      </c>
      <c r="AO3807" t="s">
        <v>11165</v>
      </c>
      <c r="AP3807" t="s">
        <v>12843</v>
      </c>
      <c r="AQ3807" t="s">
        <v>12842</v>
      </c>
    </row>
    <row r="3808" spans="1:43" x14ac:dyDescent="0.2">
      <c r="A3808" t="s">
        <v>12998</v>
      </c>
      <c r="B3808" t="s">
        <v>10900</v>
      </c>
      <c r="C3808" t="s">
        <v>11033</v>
      </c>
      <c r="D3808" t="s">
        <v>12390</v>
      </c>
      <c r="E3808" t="s">
        <v>12391</v>
      </c>
      <c r="F3808" t="s">
        <v>12390</v>
      </c>
      <c r="G3808" s="1">
        <v>2400000</v>
      </c>
      <c r="H3808" s="2">
        <v>2400000</v>
      </c>
      <c r="I3808" s="2">
        <v>2402884.73</v>
      </c>
      <c r="J3808" s="2">
        <v>35359.300000000003</v>
      </c>
      <c r="K3808" s="2">
        <v>0</v>
      </c>
      <c r="L3808" s="2">
        <v>2438244.0299999998</v>
      </c>
      <c r="M3808" s="3">
        <v>6.4902220000000002</v>
      </c>
      <c r="N3808" s="4">
        <v>5.54727E-3</v>
      </c>
      <c r="O3808" s="5">
        <v>44680</v>
      </c>
      <c r="P3808" s="5">
        <v>45136</v>
      </c>
      <c r="Q3808" s="1">
        <v>6.5579999999999998</v>
      </c>
      <c r="R3808" s="2">
        <v>0.01</v>
      </c>
      <c r="S3808" s="6">
        <v>-8.1043672139999995E-3</v>
      </c>
      <c r="T3808" t="s">
        <v>111</v>
      </c>
      <c r="U3808" t="s">
        <v>111</v>
      </c>
      <c r="V3808" t="s">
        <v>11189</v>
      </c>
      <c r="W3808" t="s">
        <v>43</v>
      </c>
      <c r="X3808" t="s">
        <v>11034</v>
      </c>
      <c r="Y3808" t="s">
        <v>44</v>
      </c>
      <c r="Z3808" t="s">
        <v>44</v>
      </c>
      <c r="AA3808" t="s">
        <v>11035</v>
      </c>
      <c r="AB3808" t="s">
        <v>44</v>
      </c>
      <c r="AC3808" s="4">
        <v>6.5955293700000004</v>
      </c>
      <c r="AD3808" s="4">
        <v>6.4041669900000002</v>
      </c>
      <c r="AE3808" s="2">
        <v>6.6</v>
      </c>
      <c r="AF3808" s="4">
        <v>6.4041669900000002</v>
      </c>
      <c r="AG3808" s="2">
        <v>1.4</v>
      </c>
      <c r="AH3808" s="2">
        <v>2438244.0299999998</v>
      </c>
      <c r="AI3808" s="2">
        <v>0.01</v>
      </c>
      <c r="AJ3808" s="5">
        <v>44673</v>
      </c>
      <c r="AK3808" t="s">
        <v>13019</v>
      </c>
      <c r="AL3808" s="2">
        <v>6.49</v>
      </c>
      <c r="AM3808" s="2">
        <v>6.56</v>
      </c>
      <c r="AN3808" s="2">
        <v>-0.01</v>
      </c>
      <c r="AO3808" t="s">
        <v>11437</v>
      </c>
      <c r="AP3808" t="s">
        <v>12392</v>
      </c>
      <c r="AQ3808" t="s">
        <v>12391</v>
      </c>
    </row>
    <row r="3809" spans="1:43" x14ac:dyDescent="0.2">
      <c r="A3809" t="s">
        <v>12998</v>
      </c>
      <c r="B3809" t="s">
        <v>10900</v>
      </c>
      <c r="C3809" t="s">
        <v>11033</v>
      </c>
      <c r="D3809" t="s">
        <v>12982</v>
      </c>
      <c r="E3809" t="s">
        <v>12983</v>
      </c>
      <c r="F3809" t="s">
        <v>12982</v>
      </c>
      <c r="G3809" s="1">
        <v>1900000</v>
      </c>
      <c r="H3809" s="2">
        <v>1900000</v>
      </c>
      <c r="I3809" s="2">
        <v>1980456.98</v>
      </c>
      <c r="J3809" s="2">
        <v>24380.85</v>
      </c>
      <c r="K3809" s="2">
        <v>0</v>
      </c>
      <c r="L3809" s="2">
        <v>2004837.83</v>
      </c>
      <c r="M3809" s="3">
        <v>6.0747210000000003</v>
      </c>
      <c r="N3809" s="4">
        <v>4.5612200000000004E-3</v>
      </c>
      <c r="O3809" s="5">
        <v>44706</v>
      </c>
      <c r="P3809" s="5">
        <v>45439</v>
      </c>
      <c r="Q3809" s="1">
        <v>8.2170000000000005</v>
      </c>
      <c r="R3809" s="2">
        <v>0.08</v>
      </c>
      <c r="S3809" s="6">
        <v>9.4979191527000004E-2</v>
      </c>
      <c r="T3809" t="s">
        <v>111</v>
      </c>
      <c r="U3809" t="s">
        <v>111</v>
      </c>
      <c r="V3809" t="s">
        <v>11189</v>
      </c>
      <c r="W3809" t="s">
        <v>43</v>
      </c>
      <c r="X3809" t="s">
        <v>11034</v>
      </c>
      <c r="Y3809" t="s">
        <v>44</v>
      </c>
      <c r="Z3809" t="s">
        <v>44</v>
      </c>
      <c r="AA3809" t="s">
        <v>44</v>
      </c>
      <c r="AB3809" t="s">
        <v>44</v>
      </c>
      <c r="AC3809" s="4">
        <v>6.1669761000000003</v>
      </c>
      <c r="AD3809" s="4">
        <v>5.9992378899999999</v>
      </c>
      <c r="AE3809" s="2">
        <v>6.17</v>
      </c>
      <c r="AF3809" s="4">
        <v>5.9992378899999999</v>
      </c>
      <c r="AG3809" s="2">
        <v>1.1499999999999999</v>
      </c>
      <c r="AH3809" s="2">
        <v>2004837.83</v>
      </c>
      <c r="AI3809" s="2">
        <v>0</v>
      </c>
      <c r="AJ3809" s="5">
        <v>44673</v>
      </c>
      <c r="AK3809" t="s">
        <v>13019</v>
      </c>
      <c r="AL3809" s="2">
        <v>6.07</v>
      </c>
      <c r="AM3809" s="2">
        <v>8.2200000000000006</v>
      </c>
      <c r="AN3809" s="2">
        <v>0.09</v>
      </c>
      <c r="AO3809" t="s">
        <v>12984</v>
      </c>
      <c r="AP3809" t="s">
        <v>12985</v>
      </c>
      <c r="AQ3809" t="s">
        <v>12983</v>
      </c>
    </row>
    <row r="3810" spans="1:43" x14ac:dyDescent="0.2">
      <c r="A3810" t="s">
        <v>12998</v>
      </c>
      <c r="B3810" t="s">
        <v>10900</v>
      </c>
      <c r="C3810" t="s">
        <v>11033</v>
      </c>
      <c r="D3810" t="s">
        <v>11843</v>
      </c>
      <c r="E3810" t="s">
        <v>11844</v>
      </c>
      <c r="F3810" t="s">
        <v>11843</v>
      </c>
      <c r="G3810" s="1">
        <v>6100000</v>
      </c>
      <c r="H3810" s="2">
        <v>6114348.6500000004</v>
      </c>
      <c r="I3810" s="2">
        <v>6072480.6200000001</v>
      </c>
      <c r="J3810" s="2">
        <v>4534.3900000000003</v>
      </c>
      <c r="K3810" s="2">
        <v>0</v>
      </c>
      <c r="L3810" s="2">
        <v>6077015.0099999998</v>
      </c>
      <c r="M3810" s="3">
        <v>6.9820180000000001</v>
      </c>
      <c r="N3810" s="4">
        <v>1.3825860000000001E-2</v>
      </c>
      <c r="O3810" s="5">
        <v>44760</v>
      </c>
      <c r="P3810" s="5">
        <v>45398</v>
      </c>
      <c r="Q3810" s="1">
        <v>6.7830000000000004</v>
      </c>
      <c r="R3810" s="2">
        <v>0.23</v>
      </c>
      <c r="S3810" s="6">
        <v>0.182016060841</v>
      </c>
      <c r="T3810" t="s">
        <v>111</v>
      </c>
      <c r="U3810" t="s">
        <v>111</v>
      </c>
      <c r="V3810" t="s">
        <v>11189</v>
      </c>
      <c r="W3810" t="s">
        <v>43</v>
      </c>
      <c r="X3810" t="s">
        <v>11034</v>
      </c>
      <c r="Y3810" t="s">
        <v>44</v>
      </c>
      <c r="Z3810" t="s">
        <v>44</v>
      </c>
      <c r="AA3810" t="s">
        <v>10979</v>
      </c>
      <c r="AB3810" t="s">
        <v>44</v>
      </c>
      <c r="AC3810" s="4">
        <v>7.1038890300000004</v>
      </c>
      <c r="AD3810" s="4">
        <v>6.8825725699999998</v>
      </c>
      <c r="AE3810" s="2">
        <v>7.1</v>
      </c>
      <c r="AF3810" s="4">
        <v>6.8825725699999998</v>
      </c>
      <c r="AG3810" s="2">
        <v>3.49</v>
      </c>
      <c r="AH3810" s="2">
        <v>6077015.0099999998</v>
      </c>
      <c r="AI3810" s="2">
        <v>0.01</v>
      </c>
      <c r="AJ3810" s="5">
        <v>44673</v>
      </c>
      <c r="AK3810" t="s">
        <v>13019</v>
      </c>
      <c r="AL3810" s="2">
        <v>6.98</v>
      </c>
      <c r="AM3810" s="2">
        <v>6.78</v>
      </c>
      <c r="AN3810" s="2">
        <v>0.18</v>
      </c>
      <c r="AO3810" t="s">
        <v>11179</v>
      </c>
      <c r="AP3810" t="s">
        <v>11845</v>
      </c>
      <c r="AQ3810" t="s">
        <v>11844</v>
      </c>
    </row>
    <row r="3811" spans="1:43" x14ac:dyDescent="0.2">
      <c r="A3811" t="s">
        <v>12998</v>
      </c>
      <c r="B3811" t="s">
        <v>10900</v>
      </c>
      <c r="C3811" t="s">
        <v>10943</v>
      </c>
      <c r="D3811" t="s">
        <v>11552</v>
      </c>
      <c r="E3811" t="s">
        <v>11553</v>
      </c>
      <c r="F3811" t="s">
        <v>11552</v>
      </c>
      <c r="G3811" s="1">
        <v>300000</v>
      </c>
      <c r="H3811" s="2">
        <v>300000</v>
      </c>
      <c r="I3811" s="2">
        <v>300001.03000000003</v>
      </c>
      <c r="J3811" s="2">
        <v>3806.6</v>
      </c>
      <c r="K3811" s="2">
        <v>0</v>
      </c>
      <c r="L3811" s="2">
        <v>303807.63</v>
      </c>
      <c r="M3811" s="3">
        <v>5.7189139999999998</v>
      </c>
      <c r="N3811" s="4">
        <v>6.912E-4</v>
      </c>
      <c r="O3811" s="5">
        <v>44684</v>
      </c>
      <c r="P3811" s="5">
        <v>46418</v>
      </c>
      <c r="Q3811" s="1">
        <v>5.6479999999999997</v>
      </c>
      <c r="R3811" s="2">
        <v>0.02</v>
      </c>
      <c r="S3811" s="6">
        <v>-2.0490922419E-2</v>
      </c>
      <c r="T3811" t="s">
        <v>111</v>
      </c>
      <c r="U3811" t="s">
        <v>111</v>
      </c>
      <c r="V3811" t="s">
        <v>11189</v>
      </c>
      <c r="W3811" t="s">
        <v>43</v>
      </c>
      <c r="X3811" t="s">
        <v>11034</v>
      </c>
      <c r="Y3811" t="s">
        <v>44</v>
      </c>
      <c r="Z3811" t="s">
        <v>44</v>
      </c>
      <c r="AA3811" t="s">
        <v>10979</v>
      </c>
      <c r="AB3811" t="s">
        <v>44</v>
      </c>
      <c r="AC3811" s="4">
        <v>5.8006784400000004</v>
      </c>
      <c r="AD3811" s="4">
        <v>5.6519431300000003</v>
      </c>
      <c r="AE3811" s="2">
        <v>5.8</v>
      </c>
      <c r="AF3811" s="4">
        <v>5.6519431300000003</v>
      </c>
      <c r="AG3811" s="2">
        <v>0.17</v>
      </c>
      <c r="AH3811" s="2">
        <v>303807.63</v>
      </c>
      <c r="AI3811" s="2">
        <v>0</v>
      </c>
      <c r="AJ3811" s="5">
        <v>44673</v>
      </c>
      <c r="AK3811" t="s">
        <v>13019</v>
      </c>
      <c r="AL3811" s="2">
        <v>5.72</v>
      </c>
      <c r="AM3811" s="2">
        <v>5.65</v>
      </c>
      <c r="AN3811" s="2">
        <v>-0.02</v>
      </c>
      <c r="AO3811" t="s">
        <v>11048</v>
      </c>
      <c r="AP3811" t="s">
        <v>11554</v>
      </c>
      <c r="AQ3811" t="s">
        <v>11553</v>
      </c>
    </row>
    <row r="3812" spans="1:43" x14ac:dyDescent="0.2">
      <c r="A3812" t="s">
        <v>12998</v>
      </c>
      <c r="B3812" t="s">
        <v>10900</v>
      </c>
      <c r="C3812" t="s">
        <v>10943</v>
      </c>
      <c r="D3812" t="s">
        <v>11555</v>
      </c>
      <c r="E3812" t="s">
        <v>11556</v>
      </c>
      <c r="F3812" t="s">
        <v>11555</v>
      </c>
      <c r="G3812" s="1">
        <v>1900000</v>
      </c>
      <c r="H3812" s="2">
        <v>1900000</v>
      </c>
      <c r="I3812" s="2">
        <v>1863651.1</v>
      </c>
      <c r="J3812" s="2">
        <v>39207.67</v>
      </c>
      <c r="K3812" s="2">
        <v>0</v>
      </c>
      <c r="L3812" s="2">
        <v>1902858.77</v>
      </c>
      <c r="M3812" s="3">
        <v>9.9250000000000007</v>
      </c>
      <c r="N3812" s="4">
        <v>4.32921E-3</v>
      </c>
      <c r="O3812" s="5">
        <v>44775</v>
      </c>
      <c r="P3812" s="5">
        <v>46420</v>
      </c>
      <c r="Q3812" s="1">
        <v>9.4149999999999991</v>
      </c>
      <c r="R3812" s="2">
        <v>3.86</v>
      </c>
      <c r="S3812" s="6">
        <v>3.6810259830000001</v>
      </c>
      <c r="T3812" t="s">
        <v>111</v>
      </c>
      <c r="U3812" t="s">
        <v>111</v>
      </c>
      <c r="V3812" t="s">
        <v>10944</v>
      </c>
      <c r="W3812" t="s">
        <v>43</v>
      </c>
      <c r="X3812" t="s">
        <v>44</v>
      </c>
      <c r="Y3812" t="s">
        <v>44</v>
      </c>
      <c r="Z3812" t="s">
        <v>44</v>
      </c>
      <c r="AA3812" t="s">
        <v>10979</v>
      </c>
      <c r="AB3812" t="s">
        <v>44</v>
      </c>
      <c r="AC3812" s="4">
        <v>10.17126406</v>
      </c>
      <c r="AD3812" s="4">
        <v>9.72579277</v>
      </c>
      <c r="AE3812" s="2">
        <v>10.17</v>
      </c>
      <c r="AF3812" s="4">
        <v>9.72579277</v>
      </c>
      <c r="AG3812" s="2">
        <v>1.0900000000000001</v>
      </c>
      <c r="AH3812" s="2">
        <v>1902858.77</v>
      </c>
      <c r="AI3812" s="2">
        <v>0</v>
      </c>
      <c r="AJ3812" s="5">
        <v>44673</v>
      </c>
      <c r="AK3812" t="s">
        <v>13019</v>
      </c>
      <c r="AL3812" s="2">
        <v>9.93</v>
      </c>
      <c r="AM3812" s="2">
        <v>9.41</v>
      </c>
      <c r="AN3812" s="2">
        <v>3.68</v>
      </c>
      <c r="AO3812" t="s">
        <v>11048</v>
      </c>
      <c r="AP3812" t="s">
        <v>11557</v>
      </c>
      <c r="AQ3812" t="s">
        <v>11556</v>
      </c>
    </row>
    <row r="3813" spans="1:43" x14ac:dyDescent="0.2">
      <c r="A3813" t="s">
        <v>12998</v>
      </c>
      <c r="B3813" t="s">
        <v>10900</v>
      </c>
      <c r="C3813" t="s">
        <v>10943</v>
      </c>
      <c r="D3813" t="s">
        <v>11846</v>
      </c>
      <c r="E3813" t="s">
        <v>11847</v>
      </c>
      <c r="F3813" t="s">
        <v>11846</v>
      </c>
      <c r="G3813" s="1">
        <v>323000</v>
      </c>
      <c r="H3813" s="2">
        <v>338127.82</v>
      </c>
      <c r="I3813" s="2">
        <v>339246.8</v>
      </c>
      <c r="J3813" s="2">
        <v>12714.61</v>
      </c>
      <c r="K3813" s="2">
        <v>0</v>
      </c>
      <c r="L3813" s="2">
        <v>351961.41</v>
      </c>
      <c r="M3813" s="3">
        <v>8.7050000000000001</v>
      </c>
      <c r="N3813" s="4">
        <v>8.0075000000000003E-4</v>
      </c>
      <c r="O3813" s="5">
        <v>44715</v>
      </c>
      <c r="P3813" s="5">
        <v>46176</v>
      </c>
      <c r="Q3813" s="1">
        <v>10.19</v>
      </c>
      <c r="R3813" s="2">
        <v>3.35</v>
      </c>
      <c r="S3813" s="6">
        <v>3.210117125</v>
      </c>
      <c r="T3813" t="s">
        <v>111</v>
      </c>
      <c r="U3813" t="s">
        <v>111</v>
      </c>
      <c r="V3813" t="s">
        <v>10944</v>
      </c>
      <c r="W3813" t="s">
        <v>43</v>
      </c>
      <c r="X3813" t="s">
        <v>44</v>
      </c>
      <c r="Y3813" t="s">
        <v>44</v>
      </c>
      <c r="Z3813" t="s">
        <v>44</v>
      </c>
      <c r="AA3813" t="s">
        <v>10979</v>
      </c>
      <c r="AB3813" t="s">
        <v>44</v>
      </c>
      <c r="AC3813" s="4">
        <v>8.8944425599999999</v>
      </c>
      <c r="AD3813" s="4">
        <v>8.5512049999999995</v>
      </c>
      <c r="AE3813" s="2">
        <v>8.89</v>
      </c>
      <c r="AF3813" s="4">
        <v>8.5512049999999995</v>
      </c>
      <c r="AG3813" s="2">
        <v>0.2</v>
      </c>
      <c r="AH3813" s="2">
        <v>351961.41</v>
      </c>
      <c r="AI3813" s="2">
        <v>0</v>
      </c>
      <c r="AJ3813" s="5">
        <v>44673</v>
      </c>
      <c r="AK3813" t="s">
        <v>13019</v>
      </c>
      <c r="AL3813" s="2">
        <v>8.7100000000000009</v>
      </c>
      <c r="AM3813" s="2">
        <v>10.19</v>
      </c>
      <c r="AN3813" s="2">
        <v>3.21</v>
      </c>
      <c r="AO3813" t="s">
        <v>11054</v>
      </c>
      <c r="AP3813" t="s">
        <v>11848</v>
      </c>
      <c r="AQ3813" t="s">
        <v>11847</v>
      </c>
    </row>
    <row r="3814" spans="1:43" x14ac:dyDescent="0.2">
      <c r="A3814" t="s">
        <v>12998</v>
      </c>
      <c r="B3814" t="s">
        <v>10900</v>
      </c>
      <c r="C3814" t="s">
        <v>10943</v>
      </c>
      <c r="D3814" t="s">
        <v>11849</v>
      </c>
      <c r="E3814" t="s">
        <v>11850</v>
      </c>
      <c r="F3814" t="s">
        <v>11849</v>
      </c>
      <c r="G3814" s="1">
        <v>205000</v>
      </c>
      <c r="H3814" s="2">
        <v>219423.89</v>
      </c>
      <c r="I3814" s="2">
        <v>213525.44</v>
      </c>
      <c r="J3814" s="2">
        <v>1173.8399999999999</v>
      </c>
      <c r="K3814" s="2">
        <v>0</v>
      </c>
      <c r="L3814" s="2">
        <v>214699.28</v>
      </c>
      <c r="M3814" s="3">
        <v>8.3550000000000004</v>
      </c>
      <c r="N3814" s="4">
        <v>4.8846000000000002E-4</v>
      </c>
      <c r="O3814" s="5">
        <v>44837</v>
      </c>
      <c r="P3814" s="5">
        <v>46296</v>
      </c>
      <c r="Q3814" s="1">
        <v>9.5</v>
      </c>
      <c r="R3814" s="2">
        <v>3.72</v>
      </c>
      <c r="S3814" s="6">
        <v>3.5673572199999999</v>
      </c>
      <c r="T3814" t="s">
        <v>111</v>
      </c>
      <c r="U3814" t="s">
        <v>111</v>
      </c>
      <c r="V3814" t="s">
        <v>10944</v>
      </c>
      <c r="W3814" t="s">
        <v>43</v>
      </c>
      <c r="X3814" t="s">
        <v>10988</v>
      </c>
      <c r="Y3814" t="s">
        <v>44</v>
      </c>
      <c r="Z3814" t="s">
        <v>44</v>
      </c>
      <c r="AA3814" t="s">
        <v>10979</v>
      </c>
      <c r="AB3814" t="s">
        <v>44</v>
      </c>
      <c r="AC3814" s="4">
        <v>8.5295150599999996</v>
      </c>
      <c r="AD3814" s="4">
        <v>8.2131770100000008</v>
      </c>
      <c r="AE3814" s="2">
        <v>8.5299999999999994</v>
      </c>
      <c r="AF3814" s="4">
        <v>8.2131770100000008</v>
      </c>
      <c r="AG3814" s="2">
        <v>0.12</v>
      </c>
      <c r="AH3814" s="2">
        <v>214699.28</v>
      </c>
      <c r="AI3814" s="2">
        <v>0</v>
      </c>
      <c r="AJ3814" s="5">
        <v>44673</v>
      </c>
      <c r="AK3814" t="s">
        <v>13019</v>
      </c>
      <c r="AL3814" s="2">
        <v>8.35</v>
      </c>
      <c r="AM3814" s="2">
        <v>9.5</v>
      </c>
      <c r="AN3814" s="2">
        <v>3.57</v>
      </c>
      <c r="AO3814" t="s">
        <v>11054</v>
      </c>
      <c r="AP3814" t="s">
        <v>11851</v>
      </c>
      <c r="AQ3814" t="s">
        <v>11850</v>
      </c>
    </row>
    <row r="3815" spans="1:43" x14ac:dyDescent="0.2">
      <c r="A3815" t="s">
        <v>12998</v>
      </c>
      <c r="B3815" t="s">
        <v>10900</v>
      </c>
      <c r="C3815" t="s">
        <v>10943</v>
      </c>
      <c r="D3815" t="s">
        <v>11558</v>
      </c>
      <c r="E3815" t="s">
        <v>11559</v>
      </c>
      <c r="F3815" t="s">
        <v>11558</v>
      </c>
      <c r="G3815" s="1">
        <v>1700000</v>
      </c>
      <c r="H3815" s="2">
        <v>1700000</v>
      </c>
      <c r="I3815" s="2">
        <v>1673485.61</v>
      </c>
      <c r="J3815" s="2">
        <v>1519.29</v>
      </c>
      <c r="K3815" s="2">
        <v>0</v>
      </c>
      <c r="L3815" s="2">
        <v>1675004.9</v>
      </c>
      <c r="M3815" s="3">
        <v>8.625</v>
      </c>
      <c r="N3815" s="4">
        <v>3.8108199999999999E-3</v>
      </c>
      <c r="O3815" s="5">
        <v>44853</v>
      </c>
      <c r="P3815" s="5">
        <v>46131</v>
      </c>
      <c r="Q3815" s="1">
        <v>8.1549999999999994</v>
      </c>
      <c r="R3815" s="2">
        <v>3.47</v>
      </c>
      <c r="S3815" s="6">
        <v>3.327828963</v>
      </c>
      <c r="T3815" t="s">
        <v>111</v>
      </c>
      <c r="U3815" t="s">
        <v>111</v>
      </c>
      <c r="V3815" t="s">
        <v>10944</v>
      </c>
      <c r="W3815" t="s">
        <v>43</v>
      </c>
      <c r="X3815" t="s">
        <v>44</v>
      </c>
      <c r="Y3815" t="s">
        <v>44</v>
      </c>
      <c r="Z3815" t="s">
        <v>44</v>
      </c>
      <c r="AA3815" t="s">
        <v>10979</v>
      </c>
      <c r="AB3815" t="s">
        <v>44</v>
      </c>
      <c r="AC3815" s="4">
        <v>8.8109765600000003</v>
      </c>
      <c r="AD3815" s="4">
        <v>8.4739831300000006</v>
      </c>
      <c r="AE3815" s="2">
        <v>8.81</v>
      </c>
      <c r="AF3815" s="4">
        <v>8.4739831300000006</v>
      </c>
      <c r="AG3815" s="2">
        <v>0.96</v>
      </c>
      <c r="AH3815" s="2">
        <v>1675004.9</v>
      </c>
      <c r="AI3815" s="2">
        <v>0</v>
      </c>
      <c r="AJ3815" s="5">
        <v>44673</v>
      </c>
      <c r="AK3815" t="s">
        <v>13019</v>
      </c>
      <c r="AL3815" s="2">
        <v>8.6300000000000008</v>
      </c>
      <c r="AM3815" s="2">
        <v>8.15</v>
      </c>
      <c r="AN3815" s="2">
        <v>3.33</v>
      </c>
      <c r="AO3815" t="s">
        <v>11054</v>
      </c>
      <c r="AP3815" t="s">
        <v>11560</v>
      </c>
      <c r="AQ3815" t="s">
        <v>11559</v>
      </c>
    </row>
    <row r="3816" spans="1:43" x14ac:dyDescent="0.2">
      <c r="A3816" t="s">
        <v>12998</v>
      </c>
      <c r="B3816" t="s">
        <v>10900</v>
      </c>
      <c r="C3816" t="s">
        <v>10943</v>
      </c>
      <c r="D3816" t="s">
        <v>11569</v>
      </c>
      <c r="E3816" t="s">
        <v>11570</v>
      </c>
      <c r="F3816" t="s">
        <v>11569</v>
      </c>
      <c r="G3816" s="1">
        <v>1700000</v>
      </c>
      <c r="H3816" s="2">
        <v>1700000</v>
      </c>
      <c r="I3816" s="2">
        <v>1709186.67</v>
      </c>
      <c r="J3816" s="2">
        <v>23277.7</v>
      </c>
      <c r="K3816" s="2">
        <v>0</v>
      </c>
      <c r="L3816" s="2">
        <v>1732464.37</v>
      </c>
      <c r="M3816" s="3">
        <v>8.5241640000000007</v>
      </c>
      <c r="N3816" s="4">
        <v>3.9415400000000003E-3</v>
      </c>
      <c r="O3816" s="5">
        <v>44705</v>
      </c>
      <c r="P3816" s="5">
        <v>46166</v>
      </c>
      <c r="Q3816" s="1">
        <v>8.6170000000000009</v>
      </c>
      <c r="R3816" s="2">
        <v>0.08</v>
      </c>
      <c r="S3816" s="6">
        <v>-9.3404076700000001E-3</v>
      </c>
      <c r="T3816" t="s">
        <v>111</v>
      </c>
      <c r="U3816" t="s">
        <v>111</v>
      </c>
      <c r="V3816" t="s">
        <v>11189</v>
      </c>
      <c r="W3816" t="s">
        <v>43</v>
      </c>
      <c r="X3816" t="s">
        <v>11034</v>
      </c>
      <c r="Y3816" t="s">
        <v>44</v>
      </c>
      <c r="Z3816" t="s">
        <v>44</v>
      </c>
      <c r="AA3816" t="s">
        <v>11035</v>
      </c>
      <c r="AB3816" t="s">
        <v>44</v>
      </c>
      <c r="AC3816" s="4">
        <v>8.7058170199999996</v>
      </c>
      <c r="AD3816" s="4">
        <v>8.3766132899999999</v>
      </c>
      <c r="AE3816" s="2">
        <v>8.7100000000000009</v>
      </c>
      <c r="AF3816" s="4">
        <v>8.3766132899999999</v>
      </c>
      <c r="AG3816" s="2">
        <v>1</v>
      </c>
      <c r="AH3816" s="2">
        <v>1732464.37</v>
      </c>
      <c r="AI3816" s="2">
        <v>0</v>
      </c>
      <c r="AJ3816" s="5">
        <v>44673</v>
      </c>
      <c r="AK3816" t="s">
        <v>13019</v>
      </c>
      <c r="AL3816" s="2">
        <v>8.52</v>
      </c>
      <c r="AM3816" s="2">
        <v>8.6199999999999992</v>
      </c>
      <c r="AN3816" s="2">
        <v>-0.01</v>
      </c>
      <c r="AO3816" t="s">
        <v>11226</v>
      </c>
      <c r="AP3816" t="s">
        <v>11571</v>
      </c>
      <c r="AQ3816" t="s">
        <v>11570</v>
      </c>
    </row>
    <row r="3817" spans="1:43" x14ac:dyDescent="0.2">
      <c r="A3817" t="s">
        <v>12998</v>
      </c>
      <c r="B3817" t="s">
        <v>10900</v>
      </c>
      <c r="C3817" t="s">
        <v>10943</v>
      </c>
      <c r="D3817" t="s">
        <v>11575</v>
      </c>
      <c r="E3817" t="s">
        <v>11576</v>
      </c>
      <c r="F3817" t="s">
        <v>11575</v>
      </c>
      <c r="G3817" s="1">
        <v>3400000</v>
      </c>
      <c r="H3817" s="2">
        <v>3400000</v>
      </c>
      <c r="I3817" s="2">
        <v>3314674.96</v>
      </c>
      <c r="J3817" s="2">
        <v>63169.21</v>
      </c>
      <c r="K3817" s="2">
        <v>0</v>
      </c>
      <c r="L3817" s="2">
        <v>3377844.17</v>
      </c>
      <c r="M3817" s="3">
        <v>9.07</v>
      </c>
      <c r="N3817" s="4">
        <v>7.6849600000000002E-3</v>
      </c>
      <c r="O3817" s="5">
        <v>44771</v>
      </c>
      <c r="P3817" s="5">
        <v>46051</v>
      </c>
      <c r="Q3817" s="1">
        <v>8.27</v>
      </c>
      <c r="R3817" s="2">
        <v>3.24</v>
      </c>
      <c r="S3817" s="6">
        <v>3.0998465770000001</v>
      </c>
      <c r="T3817" t="s">
        <v>111</v>
      </c>
      <c r="U3817" t="s">
        <v>111</v>
      </c>
      <c r="V3817" t="s">
        <v>10944</v>
      </c>
      <c r="W3817" t="s">
        <v>43</v>
      </c>
      <c r="X3817" t="s">
        <v>44</v>
      </c>
      <c r="Y3817" t="s">
        <v>44</v>
      </c>
      <c r="Z3817" t="s">
        <v>44</v>
      </c>
      <c r="AA3817" t="s">
        <v>11035</v>
      </c>
      <c r="AB3817" t="s">
        <v>44</v>
      </c>
      <c r="AC3817" s="4">
        <v>9.2756622499999999</v>
      </c>
      <c r="AD3817" s="4">
        <v>8.9032170799999992</v>
      </c>
      <c r="AE3817" s="2">
        <v>9.2799999999999994</v>
      </c>
      <c r="AF3817" s="4">
        <v>8.9032170799999992</v>
      </c>
      <c r="AG3817" s="2">
        <v>1.94</v>
      </c>
      <c r="AH3817" s="2">
        <v>3377844.17</v>
      </c>
      <c r="AI3817" s="2">
        <v>0.01</v>
      </c>
      <c r="AJ3817" s="5">
        <v>44673</v>
      </c>
      <c r="AK3817" t="s">
        <v>13019</v>
      </c>
      <c r="AL3817" s="2">
        <v>9.07</v>
      </c>
      <c r="AM3817" s="2">
        <v>8.27</v>
      </c>
      <c r="AN3817" s="2">
        <v>3.1</v>
      </c>
      <c r="AO3817" t="s">
        <v>11437</v>
      </c>
      <c r="AP3817" t="s">
        <v>11577</v>
      </c>
      <c r="AQ3817" t="s">
        <v>11576</v>
      </c>
    </row>
    <row r="3818" spans="1:43" x14ac:dyDescent="0.2">
      <c r="A3818" t="s">
        <v>12998</v>
      </c>
      <c r="B3818" t="s">
        <v>10900</v>
      </c>
      <c r="C3818" t="s">
        <v>10943</v>
      </c>
      <c r="D3818" t="s">
        <v>11578</v>
      </c>
      <c r="E3818" t="s">
        <v>11579</v>
      </c>
      <c r="F3818" t="s">
        <v>11578</v>
      </c>
      <c r="G3818" s="1">
        <v>700000</v>
      </c>
      <c r="H3818" s="2">
        <v>700000</v>
      </c>
      <c r="I3818" s="2">
        <v>653451.81999999995</v>
      </c>
      <c r="J3818" s="2">
        <v>5826.14</v>
      </c>
      <c r="K3818" s="2">
        <v>0</v>
      </c>
      <c r="L3818" s="2">
        <v>659277.96</v>
      </c>
      <c r="M3818" s="3">
        <v>9.375</v>
      </c>
      <c r="N3818" s="4">
        <v>1.49993E-3</v>
      </c>
      <c r="O3818" s="5">
        <v>44819</v>
      </c>
      <c r="P3818" s="5">
        <v>46827</v>
      </c>
      <c r="Q3818" s="1">
        <v>7.8849999999999998</v>
      </c>
      <c r="R3818" s="2">
        <v>4.74</v>
      </c>
      <c r="S3818" s="6">
        <v>4.5243735450000004</v>
      </c>
      <c r="T3818" t="s">
        <v>111</v>
      </c>
      <c r="U3818" t="s">
        <v>111</v>
      </c>
      <c r="V3818" t="s">
        <v>10944</v>
      </c>
      <c r="W3818" t="s">
        <v>43</v>
      </c>
      <c r="X3818" t="s">
        <v>44</v>
      </c>
      <c r="Y3818" t="s">
        <v>44</v>
      </c>
      <c r="Z3818" t="s">
        <v>44</v>
      </c>
      <c r="AA3818" t="s">
        <v>11441</v>
      </c>
      <c r="AB3818" t="s">
        <v>44</v>
      </c>
      <c r="AC3818" s="4">
        <v>9.5947265599999998</v>
      </c>
      <c r="AD3818" s="4">
        <v>9.1969716100000003</v>
      </c>
      <c r="AE3818" s="2">
        <v>9.59</v>
      </c>
      <c r="AF3818" s="4">
        <v>9.1969716100000003</v>
      </c>
      <c r="AG3818" s="2">
        <v>0.38</v>
      </c>
      <c r="AH3818" s="2">
        <v>659277.96</v>
      </c>
      <c r="AI3818" s="2">
        <v>0</v>
      </c>
      <c r="AJ3818" s="5">
        <v>44673</v>
      </c>
      <c r="AK3818" t="s">
        <v>13019</v>
      </c>
      <c r="AL3818" s="2">
        <v>9.3800000000000008</v>
      </c>
      <c r="AM3818" s="2">
        <v>7.88</v>
      </c>
      <c r="AN3818" s="2">
        <v>4.5199999999999996</v>
      </c>
      <c r="AO3818" t="s">
        <v>11580</v>
      </c>
      <c r="AP3818" t="s">
        <v>11581</v>
      </c>
      <c r="AQ3818" t="s">
        <v>11579</v>
      </c>
    </row>
    <row r="3819" spans="1:43" x14ac:dyDescent="0.2">
      <c r="A3819" t="s">
        <v>12998</v>
      </c>
      <c r="B3819" t="s">
        <v>10900</v>
      </c>
      <c r="C3819" t="s">
        <v>10943</v>
      </c>
      <c r="D3819" t="s">
        <v>11585</v>
      </c>
      <c r="E3819" t="s">
        <v>11586</v>
      </c>
      <c r="F3819" t="s">
        <v>11585</v>
      </c>
      <c r="G3819" s="1">
        <v>200000</v>
      </c>
      <c r="H3819" s="2">
        <v>200000</v>
      </c>
      <c r="I3819" s="2">
        <v>208204.39</v>
      </c>
      <c r="J3819" s="2">
        <v>2248.33</v>
      </c>
      <c r="K3819" s="2">
        <v>0</v>
      </c>
      <c r="L3819" s="2">
        <v>210452.72</v>
      </c>
      <c r="M3819" s="3">
        <v>7.7660200000000001</v>
      </c>
      <c r="N3819" s="4">
        <v>4.7879999999999998E-4</v>
      </c>
      <c r="O3819" s="5">
        <v>44720</v>
      </c>
      <c r="P3819" s="5">
        <v>46273</v>
      </c>
      <c r="Q3819" s="1">
        <v>8.92</v>
      </c>
      <c r="R3819" s="2">
        <v>0.12</v>
      </c>
      <c r="S3819" s="6">
        <v>0.10556959685300001</v>
      </c>
      <c r="T3819" t="s">
        <v>111</v>
      </c>
      <c r="U3819" t="s">
        <v>111</v>
      </c>
      <c r="V3819" t="s">
        <v>11189</v>
      </c>
      <c r="W3819" t="s">
        <v>43</v>
      </c>
      <c r="X3819" t="s">
        <v>11034</v>
      </c>
      <c r="Y3819" t="s">
        <v>44</v>
      </c>
      <c r="Z3819" t="s">
        <v>44</v>
      </c>
      <c r="AA3819" t="s">
        <v>11035</v>
      </c>
      <c r="AB3819" t="s">
        <v>44</v>
      </c>
      <c r="AC3819" s="4">
        <v>7.9167972899999999</v>
      </c>
      <c r="AD3819" s="4">
        <v>7.6432735200000002</v>
      </c>
      <c r="AE3819" s="2">
        <v>7.92</v>
      </c>
      <c r="AF3819" s="4">
        <v>7.6432735200000002</v>
      </c>
      <c r="AG3819" s="2">
        <v>0.12</v>
      </c>
      <c r="AH3819" s="2">
        <v>210452.72</v>
      </c>
      <c r="AI3819" s="2">
        <v>0</v>
      </c>
      <c r="AJ3819" s="5">
        <v>44673</v>
      </c>
      <c r="AK3819" t="s">
        <v>13019</v>
      </c>
      <c r="AL3819" s="2">
        <v>7.77</v>
      </c>
      <c r="AM3819" s="2">
        <v>8.92</v>
      </c>
      <c r="AN3819" s="2">
        <v>0.11</v>
      </c>
      <c r="AO3819" t="s">
        <v>11036</v>
      </c>
      <c r="AP3819" t="s">
        <v>11587</v>
      </c>
      <c r="AQ3819" t="s">
        <v>11586</v>
      </c>
    </row>
    <row r="3820" spans="1:43" x14ac:dyDescent="0.2">
      <c r="A3820" t="s">
        <v>12998</v>
      </c>
      <c r="B3820" t="s">
        <v>10900</v>
      </c>
      <c r="C3820" t="s">
        <v>10943</v>
      </c>
      <c r="D3820" t="s">
        <v>11135</v>
      </c>
      <c r="E3820" t="s">
        <v>10946</v>
      </c>
      <c r="F3820" t="s">
        <v>11135</v>
      </c>
      <c r="G3820" s="1">
        <v>18688000</v>
      </c>
      <c r="H3820" s="2">
        <v>20806690.140000001</v>
      </c>
      <c r="I3820" s="2">
        <v>20303194.5</v>
      </c>
      <c r="J3820" s="2">
        <v>661248</v>
      </c>
      <c r="K3820" s="2">
        <v>0</v>
      </c>
      <c r="L3820" s="2">
        <v>20964442.5</v>
      </c>
      <c r="M3820" s="3">
        <v>8.2249999999999996</v>
      </c>
      <c r="N3820" s="4">
        <v>4.769636E-2</v>
      </c>
      <c r="O3820" s="5">
        <v>44733</v>
      </c>
      <c r="P3820" s="5">
        <v>46377</v>
      </c>
      <c r="Q3820" s="1">
        <v>10.5</v>
      </c>
      <c r="R3820" s="2">
        <v>3.72</v>
      </c>
      <c r="S3820" s="6">
        <v>3.572672968</v>
      </c>
      <c r="T3820" t="s">
        <v>111</v>
      </c>
      <c r="U3820" t="s">
        <v>111</v>
      </c>
      <c r="V3820" t="s">
        <v>10944</v>
      </c>
      <c r="W3820" t="s">
        <v>43</v>
      </c>
      <c r="X3820" t="s">
        <v>10945</v>
      </c>
      <c r="Y3820" t="s">
        <v>44</v>
      </c>
      <c r="Z3820" t="s">
        <v>44</v>
      </c>
      <c r="AA3820" t="s">
        <v>10913</v>
      </c>
      <c r="AB3820" t="s">
        <v>44</v>
      </c>
      <c r="AC3820" s="4">
        <v>8.3941265600000001</v>
      </c>
      <c r="AD3820" s="4">
        <v>8.0875032299999994</v>
      </c>
      <c r="AE3820" s="2">
        <v>8.39</v>
      </c>
      <c r="AF3820" s="4">
        <v>8.0875032299999994</v>
      </c>
      <c r="AG3820" s="2">
        <v>12.05</v>
      </c>
      <c r="AH3820" s="2">
        <v>20964442.5</v>
      </c>
      <c r="AI3820" s="2">
        <v>0.05</v>
      </c>
      <c r="AJ3820" s="5">
        <v>44673</v>
      </c>
      <c r="AK3820" t="s">
        <v>13019</v>
      </c>
      <c r="AL3820" s="2">
        <v>8.23</v>
      </c>
      <c r="AM3820" s="2">
        <v>10.5</v>
      </c>
      <c r="AN3820" s="2">
        <v>3.57</v>
      </c>
      <c r="AO3820" t="s">
        <v>10922</v>
      </c>
      <c r="AP3820" t="s">
        <v>11136</v>
      </c>
      <c r="AQ3820" t="s">
        <v>10946</v>
      </c>
    </row>
    <row r="3821" spans="1:43" x14ac:dyDescent="0.2">
      <c r="A3821" t="s">
        <v>12998</v>
      </c>
      <c r="B3821" t="s">
        <v>10900</v>
      </c>
      <c r="C3821" t="s">
        <v>10943</v>
      </c>
      <c r="D3821" t="s">
        <v>12863</v>
      </c>
      <c r="E3821" t="s">
        <v>12864</v>
      </c>
      <c r="F3821" t="s">
        <v>12863</v>
      </c>
      <c r="G3821" s="1">
        <v>1000000</v>
      </c>
      <c r="H3821" s="2">
        <v>1000000</v>
      </c>
      <c r="I3821" s="2">
        <v>1001135.9</v>
      </c>
      <c r="J3821" s="2">
        <v>3575.67</v>
      </c>
      <c r="K3821" s="2">
        <v>0</v>
      </c>
      <c r="L3821" s="2">
        <v>1004711.57</v>
      </c>
      <c r="M3821" s="3">
        <v>8.0409749999999995</v>
      </c>
      <c r="N3821" s="4">
        <v>2.28583E-3</v>
      </c>
      <c r="O3821" s="5">
        <v>44750</v>
      </c>
      <c r="P3821" s="5">
        <v>46485</v>
      </c>
      <c r="Q3821" s="1">
        <v>8.157</v>
      </c>
      <c r="R3821" s="2">
        <v>0.2</v>
      </c>
      <c r="S3821" s="6">
        <v>9.4975697833E-2</v>
      </c>
      <c r="T3821" t="s">
        <v>111</v>
      </c>
      <c r="U3821" t="s">
        <v>111</v>
      </c>
      <c r="V3821" t="s">
        <v>11189</v>
      </c>
      <c r="W3821" t="s">
        <v>43</v>
      </c>
      <c r="X3821" t="s">
        <v>11034</v>
      </c>
      <c r="Y3821" t="s">
        <v>44</v>
      </c>
      <c r="Z3821" t="s">
        <v>44</v>
      </c>
      <c r="AA3821" t="s">
        <v>11035</v>
      </c>
      <c r="AB3821" t="s">
        <v>44</v>
      </c>
      <c r="AC3821" s="4">
        <v>8.2026182599999995</v>
      </c>
      <c r="AD3821" s="4">
        <v>7.9094905600000001</v>
      </c>
      <c r="AE3821" s="2">
        <v>8.1999999999999993</v>
      </c>
      <c r="AF3821" s="4">
        <v>7.9094905600000001</v>
      </c>
      <c r="AG3821" s="2">
        <v>0.57999999999999996</v>
      </c>
      <c r="AH3821" s="2">
        <v>1004711.57</v>
      </c>
      <c r="AI3821" s="2">
        <v>0</v>
      </c>
      <c r="AJ3821" s="5">
        <v>44673</v>
      </c>
      <c r="AK3821" t="s">
        <v>13019</v>
      </c>
      <c r="AL3821" s="2">
        <v>8.0399999999999991</v>
      </c>
      <c r="AM3821" s="2">
        <v>8.16</v>
      </c>
      <c r="AN3821" s="2">
        <v>0.09</v>
      </c>
      <c r="AO3821" t="s">
        <v>11496</v>
      </c>
      <c r="AP3821" t="s">
        <v>12865</v>
      </c>
      <c r="AQ3821" t="s">
        <v>12864</v>
      </c>
    </row>
    <row r="3822" spans="1:43" x14ac:dyDescent="0.2">
      <c r="A3822" t="s">
        <v>12998</v>
      </c>
      <c r="B3822" t="s">
        <v>10900</v>
      </c>
      <c r="C3822" t="s">
        <v>10943</v>
      </c>
      <c r="D3822" t="s">
        <v>11855</v>
      </c>
      <c r="E3822" t="s">
        <v>11856</v>
      </c>
      <c r="F3822" t="s">
        <v>11855</v>
      </c>
      <c r="G3822" s="1">
        <v>177000</v>
      </c>
      <c r="H3822" s="2">
        <v>191595.3</v>
      </c>
      <c r="I3822" s="2">
        <v>184353.32</v>
      </c>
      <c r="J3822" s="2">
        <v>6263.47</v>
      </c>
      <c r="K3822" s="2">
        <v>0</v>
      </c>
      <c r="L3822" s="2">
        <v>190616.79</v>
      </c>
      <c r="M3822" s="3">
        <v>8.76</v>
      </c>
      <c r="N3822" s="4">
        <v>4.3366999999999999E-4</v>
      </c>
      <c r="O3822" s="5">
        <v>44724</v>
      </c>
      <c r="P3822" s="5">
        <v>46550</v>
      </c>
      <c r="Q3822" s="1">
        <v>9.7850000000000001</v>
      </c>
      <c r="R3822" s="2">
        <v>4.04</v>
      </c>
      <c r="S3822" s="6">
        <v>3.8707805450000001</v>
      </c>
      <c r="T3822" t="s">
        <v>111</v>
      </c>
      <c r="U3822" t="s">
        <v>111</v>
      </c>
      <c r="V3822" t="s">
        <v>10944</v>
      </c>
      <c r="W3822" t="s">
        <v>43</v>
      </c>
      <c r="X3822" t="s">
        <v>10988</v>
      </c>
      <c r="Y3822" t="s">
        <v>44</v>
      </c>
      <c r="Z3822" t="s">
        <v>44</v>
      </c>
      <c r="AA3822" t="s">
        <v>10979</v>
      </c>
      <c r="AB3822" t="s">
        <v>44</v>
      </c>
      <c r="AC3822" s="4">
        <v>8.9518439999999995</v>
      </c>
      <c r="AD3822" s="4">
        <v>8.6042807299999993</v>
      </c>
      <c r="AE3822" s="2">
        <v>8.9499999999999993</v>
      </c>
      <c r="AF3822" s="4">
        <v>8.6042807299999993</v>
      </c>
      <c r="AG3822" s="2">
        <v>0.11</v>
      </c>
      <c r="AH3822" s="2">
        <v>190616.79</v>
      </c>
      <c r="AI3822" s="2">
        <v>0</v>
      </c>
      <c r="AJ3822" s="5">
        <v>44673</v>
      </c>
      <c r="AK3822" t="s">
        <v>13019</v>
      </c>
      <c r="AL3822" s="2">
        <v>8.76</v>
      </c>
      <c r="AM3822" s="2">
        <v>9.7899999999999991</v>
      </c>
      <c r="AN3822" s="2">
        <v>3.87</v>
      </c>
      <c r="AO3822" t="s">
        <v>11179</v>
      </c>
      <c r="AP3822" t="s">
        <v>11857</v>
      </c>
      <c r="AQ3822" t="s">
        <v>11856</v>
      </c>
    </row>
    <row r="3823" spans="1:43" x14ac:dyDescent="0.2">
      <c r="A3823" t="s">
        <v>12998</v>
      </c>
      <c r="B3823" t="s">
        <v>10900</v>
      </c>
      <c r="C3823" t="s">
        <v>10943</v>
      </c>
      <c r="D3823" t="s">
        <v>11858</v>
      </c>
      <c r="E3823" t="s">
        <v>11859</v>
      </c>
      <c r="F3823" t="s">
        <v>11858</v>
      </c>
      <c r="G3823" s="1">
        <v>200000</v>
      </c>
      <c r="H3823" s="2">
        <v>200000</v>
      </c>
      <c r="I3823" s="2">
        <v>195146.44</v>
      </c>
      <c r="J3823" s="2">
        <v>4160.22</v>
      </c>
      <c r="K3823" s="2">
        <v>0</v>
      </c>
      <c r="L3823" s="2">
        <v>199306.66</v>
      </c>
      <c r="M3823" s="3">
        <v>10.77</v>
      </c>
      <c r="N3823" s="4">
        <v>4.5344E-4</v>
      </c>
      <c r="O3823" s="5">
        <v>44780</v>
      </c>
      <c r="P3823" s="5">
        <v>47156</v>
      </c>
      <c r="Q3823" s="1">
        <v>10.26</v>
      </c>
      <c r="R3823" s="2">
        <v>4.92</v>
      </c>
      <c r="S3823" s="6">
        <v>4.6700968569999999</v>
      </c>
      <c r="T3823" t="s">
        <v>111</v>
      </c>
      <c r="U3823" t="s">
        <v>111</v>
      </c>
      <c r="V3823" t="s">
        <v>10944</v>
      </c>
      <c r="W3823" t="s">
        <v>43</v>
      </c>
      <c r="X3823" t="s">
        <v>44</v>
      </c>
      <c r="Y3823" t="s">
        <v>44</v>
      </c>
      <c r="Z3823" t="s">
        <v>44</v>
      </c>
      <c r="AA3823" t="s">
        <v>10979</v>
      </c>
      <c r="AB3823" t="s">
        <v>44</v>
      </c>
      <c r="AC3823" s="4">
        <v>11.059982249999999</v>
      </c>
      <c r="AD3823" s="4">
        <v>10.536009160000001</v>
      </c>
      <c r="AE3823" s="2">
        <v>11.06</v>
      </c>
      <c r="AF3823" s="4">
        <v>10.536009160000001</v>
      </c>
      <c r="AG3823" s="2">
        <v>0.11</v>
      </c>
      <c r="AH3823" s="2">
        <v>199306.66</v>
      </c>
      <c r="AI3823" s="2">
        <v>0</v>
      </c>
      <c r="AJ3823" s="5">
        <v>44673</v>
      </c>
      <c r="AK3823" t="s">
        <v>13019</v>
      </c>
      <c r="AL3823" s="2">
        <v>10.77</v>
      </c>
      <c r="AM3823" s="2">
        <v>10.26</v>
      </c>
      <c r="AN3823" s="2">
        <v>4.67</v>
      </c>
      <c r="AO3823" t="s">
        <v>10982</v>
      </c>
      <c r="AP3823" t="s">
        <v>11860</v>
      </c>
      <c r="AQ3823" t="s">
        <v>11859</v>
      </c>
    </row>
    <row r="3824" spans="1:43" x14ac:dyDescent="0.2">
      <c r="A3824" t="s">
        <v>12998</v>
      </c>
      <c r="B3824" t="s">
        <v>10900</v>
      </c>
      <c r="C3824" t="s">
        <v>11137</v>
      </c>
      <c r="D3824" t="s">
        <v>11594</v>
      </c>
      <c r="E3824" t="s">
        <v>11595</v>
      </c>
      <c r="F3824" t="s">
        <v>11594</v>
      </c>
      <c r="G3824" s="1">
        <v>9568000</v>
      </c>
      <c r="H3824" s="2">
        <v>9019398.1899999995</v>
      </c>
      <c r="I3824" s="2">
        <v>8626418.8599999994</v>
      </c>
      <c r="J3824" s="2">
        <v>171961.86</v>
      </c>
      <c r="K3824" s="2">
        <v>0</v>
      </c>
      <c r="L3824" s="2">
        <v>8798380.7200000007</v>
      </c>
      <c r="M3824" s="3">
        <v>9.84</v>
      </c>
      <c r="N3824" s="4">
        <v>2.0017259999999999E-2</v>
      </c>
      <c r="O3824" s="5">
        <v>44774</v>
      </c>
      <c r="P3824" s="5">
        <v>47514</v>
      </c>
      <c r="Q3824" s="1">
        <v>8</v>
      </c>
      <c r="R3824" s="2">
        <v>5.71</v>
      </c>
      <c r="S3824" s="6">
        <v>5.4383328750000004</v>
      </c>
      <c r="T3824" t="s">
        <v>111</v>
      </c>
      <c r="U3824" t="s">
        <v>111</v>
      </c>
      <c r="V3824" t="s">
        <v>10944</v>
      </c>
      <c r="W3824" t="s">
        <v>43</v>
      </c>
      <c r="X3824" t="s">
        <v>10945</v>
      </c>
      <c r="Y3824" t="s">
        <v>44</v>
      </c>
      <c r="Z3824" t="s">
        <v>44</v>
      </c>
      <c r="AA3824" t="s">
        <v>10913</v>
      </c>
      <c r="AB3824" t="s">
        <v>44</v>
      </c>
      <c r="AC3824" s="4">
        <v>10.082064000000001</v>
      </c>
      <c r="AD3824" s="4">
        <v>9.6441413499999999</v>
      </c>
      <c r="AE3824" s="2">
        <v>10.08</v>
      </c>
      <c r="AF3824" s="4">
        <v>9.6441413499999999</v>
      </c>
      <c r="AG3824" s="2">
        <v>5.0599999999999996</v>
      </c>
      <c r="AH3824" s="2">
        <v>8798380.7200000007</v>
      </c>
      <c r="AI3824" s="2">
        <v>0.02</v>
      </c>
      <c r="AJ3824" s="5">
        <v>44673</v>
      </c>
      <c r="AK3824" t="s">
        <v>13019</v>
      </c>
      <c r="AL3824" s="2">
        <v>9.84</v>
      </c>
      <c r="AM3824" s="2">
        <v>8</v>
      </c>
      <c r="AN3824" s="2">
        <v>5.44</v>
      </c>
      <c r="AO3824" t="s">
        <v>10922</v>
      </c>
      <c r="AP3824" t="s">
        <v>11596</v>
      </c>
      <c r="AQ3824" t="s">
        <v>11595</v>
      </c>
    </row>
    <row r="3825" spans="1:43" x14ac:dyDescent="0.2">
      <c r="A3825" t="s">
        <v>12998</v>
      </c>
      <c r="B3825" t="s">
        <v>10900</v>
      </c>
      <c r="C3825" t="s">
        <v>10950</v>
      </c>
      <c r="D3825" t="s">
        <v>10983</v>
      </c>
      <c r="E3825" t="s">
        <v>10984</v>
      </c>
      <c r="F3825" t="s">
        <v>10983</v>
      </c>
      <c r="G3825" s="1">
        <v>74000</v>
      </c>
      <c r="H3825" s="2">
        <v>63672.75</v>
      </c>
      <c r="I3825" s="2">
        <v>61873.81</v>
      </c>
      <c r="J3825" s="2">
        <v>1413.1</v>
      </c>
      <c r="K3825" s="2">
        <v>0</v>
      </c>
      <c r="L3825" s="2">
        <v>63286.91</v>
      </c>
      <c r="M3825" s="3">
        <v>10.734999999999999</v>
      </c>
      <c r="N3825" s="4">
        <v>1.4397999999999999E-4</v>
      </c>
      <c r="O3825" s="5">
        <v>44774</v>
      </c>
      <c r="P3825" s="5">
        <v>50071</v>
      </c>
      <c r="Q3825" s="1">
        <v>8.5</v>
      </c>
      <c r="R3825" s="2">
        <v>7.91</v>
      </c>
      <c r="S3825" s="6">
        <v>7.5106016819999999</v>
      </c>
      <c r="T3825" t="s">
        <v>111</v>
      </c>
      <c r="U3825" t="s">
        <v>111</v>
      </c>
      <c r="V3825" t="s">
        <v>10944</v>
      </c>
      <c r="W3825" t="s">
        <v>43</v>
      </c>
      <c r="X3825" t="s">
        <v>10945</v>
      </c>
      <c r="Y3825" t="s">
        <v>44</v>
      </c>
      <c r="Z3825" t="s">
        <v>44</v>
      </c>
      <c r="AA3825" t="s">
        <v>10913</v>
      </c>
      <c r="AB3825" t="s">
        <v>44</v>
      </c>
      <c r="AC3825" s="4">
        <v>11.02310056</v>
      </c>
      <c r="AD3825" s="4">
        <v>10.50250368</v>
      </c>
      <c r="AE3825" s="2">
        <v>11.02</v>
      </c>
      <c r="AF3825" s="4">
        <v>10.50250368</v>
      </c>
      <c r="AG3825" s="2">
        <v>0.04</v>
      </c>
      <c r="AH3825" s="2">
        <v>63286.91</v>
      </c>
      <c r="AI3825" s="2">
        <v>0</v>
      </c>
      <c r="AJ3825" s="5">
        <v>44673</v>
      </c>
      <c r="AK3825" t="s">
        <v>13019</v>
      </c>
      <c r="AL3825" s="2">
        <v>10.73</v>
      </c>
      <c r="AM3825" s="2">
        <v>8.5</v>
      </c>
      <c r="AN3825" s="2">
        <v>7.51</v>
      </c>
      <c r="AO3825" t="s">
        <v>10922</v>
      </c>
      <c r="AP3825" t="s">
        <v>10985</v>
      </c>
      <c r="AQ3825" t="s">
        <v>10984</v>
      </c>
    </row>
    <row r="3826" spans="1:43" x14ac:dyDescent="0.2">
      <c r="A3826" t="s">
        <v>12998</v>
      </c>
      <c r="B3826" t="s">
        <v>10900</v>
      </c>
      <c r="C3826" t="s">
        <v>10990</v>
      </c>
      <c r="D3826" t="s">
        <v>11603</v>
      </c>
      <c r="E3826" t="s">
        <v>11604</v>
      </c>
      <c r="F3826" t="s">
        <v>11603</v>
      </c>
      <c r="G3826" s="1">
        <v>694500</v>
      </c>
      <c r="H3826" s="2">
        <v>2171102.0699999998</v>
      </c>
      <c r="I3826" s="2">
        <v>2243551.96</v>
      </c>
      <c r="J3826" s="2">
        <v>43312.55</v>
      </c>
      <c r="K3826" s="2">
        <v>0</v>
      </c>
      <c r="L3826" s="2">
        <v>2286864.5099999998</v>
      </c>
      <c r="M3826" s="3">
        <v>1.165</v>
      </c>
      <c r="N3826" s="4">
        <v>5.2028600000000001E-3</v>
      </c>
      <c r="O3826" s="5">
        <v>44719</v>
      </c>
      <c r="P3826" s="5">
        <v>45267</v>
      </c>
      <c r="Q3826" s="1">
        <v>5.5</v>
      </c>
      <c r="R3826" s="2">
        <v>1.54</v>
      </c>
      <c r="S3826" s="6">
        <v>1.5339230509999999</v>
      </c>
      <c r="T3826" t="s">
        <v>111</v>
      </c>
      <c r="U3826" t="s">
        <v>111</v>
      </c>
      <c r="V3826" t="s">
        <v>10992</v>
      </c>
      <c r="W3826" t="s">
        <v>43</v>
      </c>
      <c r="X3826" t="s">
        <v>10945</v>
      </c>
      <c r="Y3826" t="s">
        <v>44</v>
      </c>
      <c r="Z3826" t="s">
        <v>44</v>
      </c>
      <c r="AA3826" t="s">
        <v>10913</v>
      </c>
      <c r="AB3826" t="s">
        <v>44</v>
      </c>
      <c r="AC3826" s="4">
        <v>1.1683930600000001</v>
      </c>
      <c r="AD3826" s="4">
        <v>1.1621824700000001</v>
      </c>
      <c r="AE3826" s="2">
        <v>1.17</v>
      </c>
      <c r="AF3826" s="4">
        <v>1.1621824700000001</v>
      </c>
      <c r="AG3826" s="2">
        <v>1.31</v>
      </c>
      <c r="AH3826" s="2">
        <v>2286864.5099999998</v>
      </c>
      <c r="AI3826" s="2">
        <v>0.01</v>
      </c>
      <c r="AJ3826" s="5">
        <v>44673</v>
      </c>
      <c r="AK3826" t="s">
        <v>13019</v>
      </c>
      <c r="AL3826" s="2">
        <v>1.1599999999999999</v>
      </c>
      <c r="AM3826" s="2">
        <v>5.5</v>
      </c>
      <c r="AN3826" s="2">
        <v>1.53</v>
      </c>
      <c r="AO3826" t="s">
        <v>10922</v>
      </c>
      <c r="AP3826" t="s">
        <v>11605</v>
      </c>
      <c r="AQ3826" t="s">
        <v>11604</v>
      </c>
    </row>
    <row r="3827" spans="1:43" x14ac:dyDescent="0.2">
      <c r="A3827" t="s">
        <v>12998</v>
      </c>
      <c r="B3827" t="s">
        <v>45</v>
      </c>
      <c r="C3827" t="s">
        <v>11000</v>
      </c>
      <c r="D3827" t="s">
        <v>11421</v>
      </c>
      <c r="E3827" t="s">
        <v>11422</v>
      </c>
      <c r="F3827" t="s">
        <v>11421</v>
      </c>
      <c r="G3827" s="1">
        <v>0</v>
      </c>
      <c r="H3827" s="2">
        <v>0</v>
      </c>
      <c r="I3827" s="2">
        <v>0</v>
      </c>
      <c r="J3827" s="2">
        <v>3682.19</v>
      </c>
      <c r="K3827" s="2">
        <v>0</v>
      </c>
      <c r="L3827" s="2">
        <v>3682.19</v>
      </c>
      <c r="M3827" s="3">
        <v>4.2</v>
      </c>
      <c r="N3827" s="4">
        <v>8.3799999999999994E-6</v>
      </c>
      <c r="O3827" s="5" t="s">
        <v>44</v>
      </c>
      <c r="P3827" s="5">
        <v>55153</v>
      </c>
      <c r="Q3827" s="1">
        <v>4.2</v>
      </c>
      <c r="R3827" s="2">
        <v>0.08</v>
      </c>
      <c r="S3827" s="6">
        <v>2.5947269999999998E-3</v>
      </c>
      <c r="T3827" t="s">
        <v>112</v>
      </c>
      <c r="U3827" t="s">
        <v>46</v>
      </c>
      <c r="V3827" t="s">
        <v>11270</v>
      </c>
      <c r="W3827" t="s">
        <v>43</v>
      </c>
      <c r="X3827" t="s">
        <v>44</v>
      </c>
      <c r="Y3827" t="s">
        <v>44</v>
      </c>
      <c r="Z3827" t="s">
        <v>44</v>
      </c>
      <c r="AA3827" t="s">
        <v>10913</v>
      </c>
      <c r="AB3827" t="s">
        <v>44</v>
      </c>
      <c r="AC3827" s="4">
        <v>4.2819052299999996</v>
      </c>
      <c r="AD3827" s="4">
        <v>4.20010057</v>
      </c>
      <c r="AE3827" s="2">
        <v>4.28</v>
      </c>
      <c r="AF3827" s="4">
        <v>4.20010057</v>
      </c>
      <c r="AG3827" s="2">
        <v>0</v>
      </c>
      <c r="AH3827" s="2">
        <v>3682.19</v>
      </c>
      <c r="AI3827" s="2">
        <v>0</v>
      </c>
      <c r="AJ3827" s="5">
        <v>44673</v>
      </c>
      <c r="AK3827" t="s">
        <v>13019</v>
      </c>
      <c r="AL3827" s="2">
        <v>4.24</v>
      </c>
      <c r="AM3827" s="2">
        <v>4.2</v>
      </c>
      <c r="AN3827" s="2">
        <v>0</v>
      </c>
      <c r="AO3827" t="s">
        <v>11423</v>
      </c>
      <c r="AP3827" t="s">
        <v>44</v>
      </c>
      <c r="AQ3827" t="s">
        <v>11422</v>
      </c>
    </row>
    <row r="3828" spans="1:43" x14ac:dyDescent="0.2">
      <c r="A3828" t="s">
        <v>12998</v>
      </c>
      <c r="B3828" t="s">
        <v>45</v>
      </c>
      <c r="C3828" t="s">
        <v>11000</v>
      </c>
      <c r="D3828" t="s">
        <v>11424</v>
      </c>
      <c r="E3828" t="s">
        <v>11425</v>
      </c>
      <c r="F3828" t="s">
        <v>11424</v>
      </c>
      <c r="G3828" s="1">
        <v>2000000</v>
      </c>
      <c r="H3828" s="2">
        <v>2000000</v>
      </c>
      <c r="I3828" s="2">
        <v>2000000</v>
      </c>
      <c r="J3828" s="2">
        <v>4602.74</v>
      </c>
      <c r="K3828" s="2">
        <v>0</v>
      </c>
      <c r="L3828" s="2">
        <v>2004602.74</v>
      </c>
      <c r="M3828" s="3">
        <v>4.2</v>
      </c>
      <c r="N3828" s="4">
        <v>4.5606900000000001E-3</v>
      </c>
      <c r="O3828" s="5" t="s">
        <v>44</v>
      </c>
      <c r="P3828" s="5">
        <v>55153</v>
      </c>
      <c r="Q3828" s="1">
        <v>4.2</v>
      </c>
      <c r="R3828" s="2">
        <v>0.08</v>
      </c>
      <c r="S3828" s="6">
        <v>2.5986049999999999E-3</v>
      </c>
      <c r="T3828" t="s">
        <v>112</v>
      </c>
      <c r="U3828" t="s">
        <v>46</v>
      </c>
      <c r="V3828" t="s">
        <v>11270</v>
      </c>
      <c r="W3828" t="s">
        <v>43</v>
      </c>
      <c r="X3828" t="s">
        <v>44</v>
      </c>
      <c r="Y3828" t="s">
        <v>44</v>
      </c>
      <c r="Z3828" t="s">
        <v>44</v>
      </c>
      <c r="AA3828" t="s">
        <v>11035</v>
      </c>
      <c r="AB3828" t="s">
        <v>44</v>
      </c>
      <c r="AC3828" s="4">
        <v>4.2819052299999996</v>
      </c>
      <c r="AD3828" s="4">
        <v>4.20010057</v>
      </c>
      <c r="AE3828" s="2">
        <v>4.28</v>
      </c>
      <c r="AF3828" s="4">
        <v>4.20010057</v>
      </c>
      <c r="AG3828" s="2">
        <v>1.1499999999999999</v>
      </c>
      <c r="AH3828" s="2">
        <v>2004602.74</v>
      </c>
      <c r="AI3828" s="2">
        <v>0</v>
      </c>
      <c r="AJ3828" s="5">
        <v>44673</v>
      </c>
      <c r="AK3828" t="s">
        <v>13019</v>
      </c>
      <c r="AL3828" s="2">
        <v>4.24</v>
      </c>
      <c r="AM3828" s="2">
        <v>4.2</v>
      </c>
      <c r="AN3828" s="2">
        <v>0</v>
      </c>
      <c r="AO3828" t="s">
        <v>11053</v>
      </c>
      <c r="AP3828" t="s">
        <v>44</v>
      </c>
      <c r="AQ3828" t="s">
        <v>11425</v>
      </c>
    </row>
    <row r="3829" spans="1:43" x14ac:dyDescent="0.2">
      <c r="A3829" t="s">
        <v>12998</v>
      </c>
      <c r="B3829" t="s">
        <v>45</v>
      </c>
      <c r="C3829" t="s">
        <v>47</v>
      </c>
      <c r="D3829" t="s">
        <v>48</v>
      </c>
      <c r="E3829" t="s">
        <v>49</v>
      </c>
      <c r="F3829" t="s">
        <v>50</v>
      </c>
      <c r="G3829" s="1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2558.3000000000002</v>
      </c>
      <c r="M3829" s="3"/>
      <c r="N3829" s="4">
        <v>5.8200000000000002E-6</v>
      </c>
      <c r="O3829" s="5" t="s">
        <v>44</v>
      </c>
      <c r="P3829" s="5" t="s">
        <v>44</v>
      </c>
      <c r="Q3829" s="1"/>
      <c r="R3829" s="2">
        <v>0.08</v>
      </c>
      <c r="S3829" s="6"/>
      <c r="T3829" t="s">
        <v>45</v>
      </c>
      <c r="U3829" t="s">
        <v>46</v>
      </c>
      <c r="V3829" t="s">
        <v>44</v>
      </c>
      <c r="W3829" t="s">
        <v>43</v>
      </c>
      <c r="X3829" t="s">
        <v>44</v>
      </c>
      <c r="Y3829" t="s">
        <v>44</v>
      </c>
      <c r="Z3829" t="s">
        <v>44</v>
      </c>
      <c r="AA3829" t="s">
        <v>44</v>
      </c>
      <c r="AB3829" t="s">
        <v>44</v>
      </c>
      <c r="AC3829" s="4">
        <v>5.1163389600000002</v>
      </c>
      <c r="AD3829" s="4">
        <v>5.0001424999999999</v>
      </c>
      <c r="AE3829" s="2">
        <v>5.12</v>
      </c>
      <c r="AF3829" s="4">
        <v>5.0001424999999999</v>
      </c>
      <c r="AG3829" s="2">
        <v>0</v>
      </c>
      <c r="AH3829" s="2">
        <v>2558.3000000000002</v>
      </c>
      <c r="AI3829" s="2">
        <v>0</v>
      </c>
      <c r="AJ3829" s="5">
        <v>44673</v>
      </c>
      <c r="AK3829" t="s">
        <v>13019</v>
      </c>
      <c r="AL3829" s="2">
        <v>5.05</v>
      </c>
      <c r="AM3829" s="2">
        <v>0</v>
      </c>
      <c r="AN3829" s="2">
        <v>0</v>
      </c>
      <c r="AO3829" t="s">
        <v>44</v>
      </c>
      <c r="AP3829" t="s">
        <v>44</v>
      </c>
      <c r="AQ3829" t="s">
        <v>44</v>
      </c>
    </row>
    <row r="3830" spans="1:43" x14ac:dyDescent="0.2">
      <c r="A3830" t="s">
        <v>12998</v>
      </c>
      <c r="B3830" t="s">
        <v>45</v>
      </c>
      <c r="C3830" t="s">
        <v>47</v>
      </c>
      <c r="D3830" t="s">
        <v>51</v>
      </c>
      <c r="E3830" t="s">
        <v>52</v>
      </c>
      <c r="F3830" t="s">
        <v>51</v>
      </c>
      <c r="G3830" s="1">
        <v>734060.39</v>
      </c>
      <c r="H3830" s="2">
        <v>734060.38</v>
      </c>
      <c r="I3830" s="2">
        <v>734060.39</v>
      </c>
      <c r="J3830" s="2">
        <v>0</v>
      </c>
      <c r="K3830" s="2">
        <v>0</v>
      </c>
      <c r="L3830" s="2">
        <v>734060.39</v>
      </c>
      <c r="M3830" s="3"/>
      <c r="N3830" s="4">
        <v>1.6700700000000001E-3</v>
      </c>
      <c r="O3830" s="5" t="s">
        <v>44</v>
      </c>
      <c r="P3830" s="5" t="s">
        <v>44</v>
      </c>
      <c r="Q3830" s="1"/>
      <c r="R3830" s="2">
        <v>0.08</v>
      </c>
      <c r="S3830" s="6"/>
      <c r="T3830" t="s">
        <v>45</v>
      </c>
      <c r="U3830" t="s">
        <v>53</v>
      </c>
      <c r="V3830" t="s">
        <v>44</v>
      </c>
      <c r="W3830" t="s">
        <v>43</v>
      </c>
      <c r="X3830" t="s">
        <v>44</v>
      </c>
      <c r="Y3830" t="s">
        <v>44</v>
      </c>
      <c r="Z3830" t="s">
        <v>44</v>
      </c>
      <c r="AA3830" t="s">
        <v>44</v>
      </c>
      <c r="AB3830" t="s">
        <v>44</v>
      </c>
      <c r="AC3830" s="4">
        <v>5.1163389600000002</v>
      </c>
      <c r="AD3830" s="4">
        <v>5.0001424999999999</v>
      </c>
      <c r="AE3830" s="2">
        <v>5.12</v>
      </c>
      <c r="AF3830" s="4">
        <v>5.0001424999999999</v>
      </c>
      <c r="AG3830" s="2">
        <v>0.42</v>
      </c>
      <c r="AH3830" s="2">
        <v>734060.39</v>
      </c>
      <c r="AI3830" s="2">
        <v>0</v>
      </c>
      <c r="AJ3830" s="5">
        <v>44673</v>
      </c>
      <c r="AK3830" t="s">
        <v>13019</v>
      </c>
      <c r="AL3830" s="2">
        <v>5.05</v>
      </c>
      <c r="AM3830" s="2">
        <v>0</v>
      </c>
      <c r="AN3830" s="2">
        <v>0</v>
      </c>
      <c r="AO3830" t="s">
        <v>44</v>
      </c>
      <c r="AP3830" t="s">
        <v>44</v>
      </c>
      <c r="AQ3830" t="s">
        <v>43</v>
      </c>
    </row>
    <row r="3831" spans="1:43" x14ac:dyDescent="0.2">
      <c r="A3831" t="s">
        <v>12998</v>
      </c>
      <c r="B3831" t="s">
        <v>45</v>
      </c>
      <c r="C3831" t="s">
        <v>47</v>
      </c>
      <c r="D3831" t="s">
        <v>11045</v>
      </c>
      <c r="E3831" t="s">
        <v>11046</v>
      </c>
      <c r="F3831" t="s">
        <v>11045</v>
      </c>
      <c r="G3831" s="1">
        <v>51249.62</v>
      </c>
      <c r="H3831" s="2">
        <v>788831.9</v>
      </c>
      <c r="I3831" s="2">
        <v>800212.66</v>
      </c>
      <c r="J3831" s="2">
        <v>0</v>
      </c>
      <c r="K3831" s="2">
        <v>0</v>
      </c>
      <c r="L3831" s="2">
        <v>800212.66</v>
      </c>
      <c r="M3831" s="3">
        <v>1</v>
      </c>
      <c r="N3831" s="4">
        <v>1.8205700000000001E-3</v>
      </c>
      <c r="O3831" s="5" t="s">
        <v>44</v>
      </c>
      <c r="P3831" s="5" t="s">
        <v>44</v>
      </c>
      <c r="Q3831" s="1"/>
      <c r="R3831" s="2">
        <v>0.08</v>
      </c>
      <c r="S3831" s="6"/>
      <c r="T3831" t="s">
        <v>45</v>
      </c>
      <c r="U3831" t="s">
        <v>53</v>
      </c>
      <c r="V3831" t="s">
        <v>44</v>
      </c>
      <c r="W3831" t="s">
        <v>113</v>
      </c>
      <c r="X3831" t="s">
        <v>44</v>
      </c>
      <c r="Y3831" t="s">
        <v>44</v>
      </c>
      <c r="Z3831" t="s">
        <v>44</v>
      </c>
      <c r="AA3831" t="s">
        <v>44</v>
      </c>
      <c r="AB3831" t="s">
        <v>44</v>
      </c>
      <c r="AC3831" s="4"/>
      <c r="AD3831" s="4"/>
      <c r="AE3831" s="2">
        <v>0</v>
      </c>
      <c r="AF3831" s="4">
        <v>0</v>
      </c>
      <c r="AG3831" s="2">
        <v>0.46</v>
      </c>
      <c r="AH3831" s="2">
        <v>800212.66</v>
      </c>
      <c r="AI3831" s="2">
        <v>0</v>
      </c>
      <c r="AJ3831" s="5">
        <v>44673</v>
      </c>
      <c r="AK3831" t="s">
        <v>13019</v>
      </c>
      <c r="AL3831" s="2">
        <v>0</v>
      </c>
      <c r="AM3831" s="2">
        <v>0</v>
      </c>
      <c r="AN3831" s="2">
        <v>0</v>
      </c>
      <c r="AO3831" t="s">
        <v>44</v>
      </c>
      <c r="AP3831" t="s">
        <v>44</v>
      </c>
      <c r="AQ3831" t="s">
        <v>113</v>
      </c>
    </row>
    <row r="3832" spans="1:43" x14ac:dyDescent="0.2">
      <c r="A3832" t="s">
        <v>12998</v>
      </c>
      <c r="B3832" t="s">
        <v>45</v>
      </c>
      <c r="C3832" t="s">
        <v>11005</v>
      </c>
      <c r="D3832" t="s">
        <v>11009</v>
      </c>
      <c r="E3832" t="s">
        <v>11010</v>
      </c>
      <c r="F3832" t="s">
        <v>44</v>
      </c>
      <c r="G3832" s="1">
        <v>0.05</v>
      </c>
      <c r="H3832" s="2">
        <v>0.05</v>
      </c>
      <c r="I3832" s="2">
        <v>0.05</v>
      </c>
      <c r="J3832" s="2">
        <v>0</v>
      </c>
      <c r="K3832" s="2"/>
      <c r="L3832" s="2">
        <v>0.05</v>
      </c>
      <c r="M3832" s="3"/>
      <c r="N3832" s="4">
        <v>0</v>
      </c>
      <c r="O3832" s="5" t="s">
        <v>44</v>
      </c>
      <c r="P3832" s="5">
        <v>73051</v>
      </c>
      <c r="Q3832" s="1">
        <v>0</v>
      </c>
      <c r="R3832" s="2">
        <v>0.08</v>
      </c>
      <c r="S3832" s="6"/>
      <c r="T3832" t="s">
        <v>45</v>
      </c>
      <c r="U3832" t="s">
        <v>44</v>
      </c>
      <c r="V3832" t="s">
        <v>44</v>
      </c>
      <c r="W3832" t="s">
        <v>43</v>
      </c>
      <c r="X3832" t="s">
        <v>44</v>
      </c>
      <c r="Y3832" t="s">
        <v>44</v>
      </c>
      <c r="Z3832" t="s">
        <v>44</v>
      </c>
      <c r="AA3832" t="s">
        <v>44</v>
      </c>
      <c r="AB3832" t="s">
        <v>44</v>
      </c>
      <c r="AC3832" s="4">
        <v>5.1163389600000002</v>
      </c>
      <c r="AD3832" s="4">
        <v>5.0001424999999999</v>
      </c>
      <c r="AE3832" s="2">
        <v>5.12</v>
      </c>
      <c r="AF3832" s="4">
        <v>5.0001424999999999</v>
      </c>
      <c r="AG3832" s="2">
        <v>0</v>
      </c>
      <c r="AH3832" s="2">
        <v>0.05</v>
      </c>
      <c r="AI3832" s="2">
        <v>0</v>
      </c>
      <c r="AJ3832" s="5">
        <v>44673</v>
      </c>
      <c r="AK3832" t="s">
        <v>13019</v>
      </c>
      <c r="AL3832" s="2">
        <v>5.05</v>
      </c>
      <c r="AM3832" s="2">
        <v>0</v>
      </c>
      <c r="AN3832" s="2">
        <v>0</v>
      </c>
      <c r="AO3832" t="s">
        <v>44</v>
      </c>
      <c r="AP3832" t="s">
        <v>44</v>
      </c>
      <c r="AQ3832" t="s">
        <v>44</v>
      </c>
    </row>
    <row r="3833" spans="1:43" x14ac:dyDescent="0.2">
      <c r="A3833" t="s">
        <v>12998</v>
      </c>
      <c r="B3833" t="s">
        <v>11013</v>
      </c>
      <c r="C3833" t="s">
        <v>11047</v>
      </c>
      <c r="D3833" t="s">
        <v>11861</v>
      </c>
      <c r="E3833" t="s">
        <v>11862</v>
      </c>
      <c r="F3833" t="s">
        <v>11861</v>
      </c>
      <c r="G3833" s="1">
        <v>1020868.2389999999</v>
      </c>
      <c r="H3833" s="2">
        <v>12576358.890000001</v>
      </c>
      <c r="I3833" s="2">
        <v>16013339.199999999</v>
      </c>
      <c r="J3833" s="2">
        <v>0</v>
      </c>
      <c r="K3833" s="2">
        <v>0</v>
      </c>
      <c r="L3833" s="2">
        <v>16013339.199999999</v>
      </c>
      <c r="M3833" s="3">
        <v>15.686</v>
      </c>
      <c r="N3833" s="4">
        <v>3.6432069999999997E-2</v>
      </c>
      <c r="O3833" s="5" t="s">
        <v>44</v>
      </c>
      <c r="P3833" s="5" t="s">
        <v>44</v>
      </c>
      <c r="Q3833" s="1"/>
      <c r="R3833" s="2"/>
      <c r="S3833" s="6"/>
      <c r="T3833" t="s">
        <v>10902</v>
      </c>
      <c r="U3833" t="s">
        <v>11003</v>
      </c>
      <c r="V3833" t="s">
        <v>11003</v>
      </c>
      <c r="W3833" t="s">
        <v>43</v>
      </c>
      <c r="X3833" t="s">
        <v>44</v>
      </c>
      <c r="Y3833" t="s">
        <v>44</v>
      </c>
      <c r="Z3833" t="s">
        <v>44</v>
      </c>
      <c r="AA3833" t="s">
        <v>44</v>
      </c>
      <c r="AB3833" t="s">
        <v>44</v>
      </c>
      <c r="AC3833" s="4"/>
      <c r="AD3833" s="4"/>
      <c r="AE3833" s="2">
        <v>0</v>
      </c>
      <c r="AF3833" s="4">
        <v>0</v>
      </c>
      <c r="AG3833" s="2">
        <v>9.1999999999999993</v>
      </c>
      <c r="AH3833" s="2">
        <v>16013339.199999999</v>
      </c>
      <c r="AI3833" s="2">
        <v>0.04</v>
      </c>
      <c r="AJ3833" s="5">
        <v>44673</v>
      </c>
      <c r="AK3833" t="s">
        <v>13019</v>
      </c>
      <c r="AL3833" s="2">
        <v>0</v>
      </c>
      <c r="AM3833" s="2">
        <v>0</v>
      </c>
      <c r="AN3833" s="2">
        <v>0</v>
      </c>
      <c r="AO3833" t="s">
        <v>44</v>
      </c>
      <c r="AP3833" t="s">
        <v>44</v>
      </c>
      <c r="AQ3833" t="s">
        <v>11862</v>
      </c>
    </row>
    <row r="3834" spans="1:43" x14ac:dyDescent="0.2">
      <c r="A3834" t="s">
        <v>12998</v>
      </c>
      <c r="B3834" t="s">
        <v>11037</v>
      </c>
      <c r="C3834" t="s">
        <v>11195</v>
      </c>
      <c r="D3834" t="s">
        <v>11606</v>
      </c>
      <c r="E3834" t="s">
        <v>7660</v>
      </c>
      <c r="F3834" t="s">
        <v>11606</v>
      </c>
      <c r="G3834" s="1">
        <v>217015</v>
      </c>
      <c r="H3834" s="2">
        <v>2144587.4900000002</v>
      </c>
      <c r="I3834" s="2">
        <v>1768672.25</v>
      </c>
      <c r="J3834" s="2">
        <v>0</v>
      </c>
      <c r="K3834" s="2">
        <v>0</v>
      </c>
      <c r="L3834" s="2">
        <v>1768672.25</v>
      </c>
      <c r="M3834" s="3">
        <v>815</v>
      </c>
      <c r="N3834" s="4">
        <v>4.0239200000000003E-3</v>
      </c>
      <c r="O3834" s="5" t="s">
        <v>44</v>
      </c>
      <c r="P3834" s="5" t="s">
        <v>44</v>
      </c>
      <c r="Q3834" s="1"/>
      <c r="R3834" s="2"/>
      <c r="S3834" s="6"/>
      <c r="T3834" t="s">
        <v>10902</v>
      </c>
      <c r="U3834" t="s">
        <v>10902</v>
      </c>
      <c r="V3834" t="s">
        <v>10902</v>
      </c>
      <c r="W3834" t="s">
        <v>43</v>
      </c>
      <c r="X3834" t="s">
        <v>11197</v>
      </c>
      <c r="Y3834" t="s">
        <v>11198</v>
      </c>
      <c r="Z3834" t="s">
        <v>11195</v>
      </c>
      <c r="AA3834" t="s">
        <v>44</v>
      </c>
      <c r="AB3834" t="s">
        <v>44</v>
      </c>
      <c r="AC3834" s="4"/>
      <c r="AD3834" s="4"/>
      <c r="AE3834" s="2">
        <v>0</v>
      </c>
      <c r="AF3834" s="4">
        <v>0</v>
      </c>
      <c r="AG3834" s="2">
        <v>1.02</v>
      </c>
      <c r="AH3834" s="2">
        <v>1768672.25</v>
      </c>
      <c r="AI3834" s="2">
        <v>0</v>
      </c>
      <c r="AJ3834" s="5">
        <v>44673</v>
      </c>
      <c r="AK3834" t="s">
        <v>13019</v>
      </c>
      <c r="AL3834" s="2">
        <v>0</v>
      </c>
      <c r="AM3834" s="2">
        <v>0</v>
      </c>
      <c r="AN3834" s="2">
        <v>0</v>
      </c>
      <c r="AO3834" t="s">
        <v>44</v>
      </c>
      <c r="AP3834" t="s">
        <v>11607</v>
      </c>
      <c r="AQ3834" t="s">
        <v>7660</v>
      </c>
    </row>
    <row r="3835" spans="1:43" x14ac:dyDescent="0.2">
      <c r="A3835" t="s">
        <v>12998</v>
      </c>
      <c r="B3835" t="s">
        <v>11608</v>
      </c>
      <c r="C3835" t="s">
        <v>11608</v>
      </c>
      <c r="D3835" t="s">
        <v>12745</v>
      </c>
      <c r="E3835" t="s">
        <v>12746</v>
      </c>
      <c r="F3835" t="s">
        <v>12745</v>
      </c>
      <c r="G3835" s="1">
        <v>20000000</v>
      </c>
      <c r="H3835" s="2">
        <v>0</v>
      </c>
      <c r="I3835" s="2">
        <v>7444.3</v>
      </c>
      <c r="J3835" s="2">
        <v>0</v>
      </c>
      <c r="K3835" s="2">
        <v>0</v>
      </c>
      <c r="L3835" s="2">
        <v>7444.3</v>
      </c>
      <c r="M3835" s="3">
        <v>3.7221999999999998E-2</v>
      </c>
      <c r="N3835" s="4">
        <v>1.694E-5</v>
      </c>
      <c r="O3835" s="5" t="s">
        <v>44</v>
      </c>
      <c r="P3835" s="5">
        <v>44890</v>
      </c>
      <c r="Q3835" s="1">
        <v>0</v>
      </c>
      <c r="R3835" s="2"/>
      <c r="S3835" s="6">
        <v>0.34246575342500002</v>
      </c>
      <c r="T3835" t="s">
        <v>11412</v>
      </c>
      <c r="U3835" t="s">
        <v>11413</v>
      </c>
      <c r="V3835" t="s">
        <v>9802</v>
      </c>
      <c r="W3835" t="s">
        <v>43</v>
      </c>
      <c r="X3835" t="s">
        <v>44</v>
      </c>
      <c r="Y3835" t="s">
        <v>44</v>
      </c>
      <c r="Z3835" t="s">
        <v>44</v>
      </c>
      <c r="AA3835" t="s">
        <v>44</v>
      </c>
      <c r="AB3835" t="s">
        <v>44</v>
      </c>
      <c r="AC3835" s="4"/>
      <c r="AD3835" s="4"/>
      <c r="AE3835" s="2">
        <v>0</v>
      </c>
      <c r="AF3835" s="4">
        <v>0</v>
      </c>
      <c r="AG3835" s="2">
        <v>0</v>
      </c>
      <c r="AH3835" s="2">
        <v>7444.3</v>
      </c>
      <c r="AI3835" s="2">
        <v>0</v>
      </c>
      <c r="AJ3835" s="5">
        <v>44673</v>
      </c>
      <c r="AK3835" t="s">
        <v>13019</v>
      </c>
      <c r="AL3835" s="2">
        <v>0</v>
      </c>
      <c r="AM3835" s="2">
        <v>0</v>
      </c>
      <c r="AN3835" s="2">
        <v>0.34</v>
      </c>
      <c r="AO3835" t="s">
        <v>44</v>
      </c>
      <c r="AP3835" t="s">
        <v>44</v>
      </c>
      <c r="AQ3835" t="s">
        <v>44</v>
      </c>
    </row>
    <row r="3836" spans="1:43" x14ac:dyDescent="0.2">
      <c r="A3836" t="s">
        <v>12998</v>
      </c>
      <c r="B3836" t="s">
        <v>11608</v>
      </c>
      <c r="C3836" t="s">
        <v>11608</v>
      </c>
      <c r="D3836" t="s">
        <v>12747</v>
      </c>
      <c r="E3836" t="s">
        <v>12746</v>
      </c>
      <c r="F3836" t="s">
        <v>12747</v>
      </c>
      <c r="G3836" s="1">
        <v>-20000000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3"/>
      <c r="N3836" s="4">
        <v>0</v>
      </c>
      <c r="O3836" s="5" t="s">
        <v>44</v>
      </c>
      <c r="P3836" s="5">
        <v>44890</v>
      </c>
      <c r="Q3836" s="1">
        <v>0</v>
      </c>
      <c r="R3836" s="2"/>
      <c r="S3836" s="6"/>
      <c r="T3836" t="s">
        <v>11412</v>
      </c>
      <c r="U3836" t="s">
        <v>11413</v>
      </c>
      <c r="V3836" t="s">
        <v>9802</v>
      </c>
      <c r="W3836" t="s">
        <v>43</v>
      </c>
      <c r="X3836" t="s">
        <v>44</v>
      </c>
      <c r="Y3836" t="s">
        <v>44</v>
      </c>
      <c r="Z3836" t="s">
        <v>44</v>
      </c>
      <c r="AA3836" t="s">
        <v>44</v>
      </c>
      <c r="AB3836" t="s">
        <v>44</v>
      </c>
      <c r="AC3836" s="4"/>
      <c r="AD3836" s="4"/>
      <c r="AE3836" s="2">
        <v>0</v>
      </c>
      <c r="AF3836" s="4">
        <v>0</v>
      </c>
      <c r="AG3836" s="2">
        <v>0</v>
      </c>
      <c r="AH3836" s="2">
        <v>0</v>
      </c>
      <c r="AI3836" s="2">
        <v>0</v>
      </c>
      <c r="AJ3836" s="5">
        <v>44673</v>
      </c>
      <c r="AK3836" t="s">
        <v>13019</v>
      </c>
      <c r="AL3836" s="2">
        <v>0</v>
      </c>
      <c r="AM3836" s="2">
        <v>0</v>
      </c>
      <c r="AN3836" s="2">
        <v>0</v>
      </c>
      <c r="AO3836" t="s">
        <v>44</v>
      </c>
      <c r="AP3836" t="s">
        <v>44</v>
      </c>
      <c r="AQ3836" t="s">
        <v>44</v>
      </c>
    </row>
    <row r="3837" spans="1:43" x14ac:dyDescent="0.2">
      <c r="A3837" t="s">
        <v>12998</v>
      </c>
      <c r="B3837" t="s">
        <v>11608</v>
      </c>
      <c r="C3837" t="s">
        <v>11608</v>
      </c>
      <c r="D3837" t="s">
        <v>12748</v>
      </c>
      <c r="E3837" t="s">
        <v>12746</v>
      </c>
      <c r="F3837" t="s">
        <v>12748</v>
      </c>
      <c r="G3837" s="1">
        <v>20000000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3"/>
      <c r="N3837" s="4">
        <v>0</v>
      </c>
      <c r="O3837" s="5" t="s">
        <v>44</v>
      </c>
      <c r="P3837" s="5">
        <v>44890</v>
      </c>
      <c r="Q3837" s="1">
        <v>5.49</v>
      </c>
      <c r="R3837" s="2"/>
      <c r="S3837" s="6"/>
      <c r="T3837" t="s">
        <v>11412</v>
      </c>
      <c r="U3837" t="s">
        <v>11413</v>
      </c>
      <c r="V3837" t="s">
        <v>9802</v>
      </c>
      <c r="W3837" t="s">
        <v>43</v>
      </c>
      <c r="X3837" t="s">
        <v>44</v>
      </c>
      <c r="Y3837" t="s">
        <v>44</v>
      </c>
      <c r="Z3837" t="s">
        <v>44</v>
      </c>
      <c r="AA3837" t="s">
        <v>44</v>
      </c>
      <c r="AB3837" t="s">
        <v>44</v>
      </c>
      <c r="AC3837" s="4"/>
      <c r="AD3837" s="4"/>
      <c r="AE3837" s="2">
        <v>0</v>
      </c>
      <c r="AF3837" s="4">
        <v>0</v>
      </c>
      <c r="AG3837" s="2">
        <v>0</v>
      </c>
      <c r="AH3837" s="2">
        <v>0</v>
      </c>
      <c r="AI3837" s="2">
        <v>0</v>
      </c>
      <c r="AJ3837" s="5">
        <v>44673</v>
      </c>
      <c r="AK3837" t="s">
        <v>13019</v>
      </c>
      <c r="AL3837" s="2">
        <v>0</v>
      </c>
      <c r="AM3837" s="2">
        <v>5.49</v>
      </c>
      <c r="AN3837" s="2">
        <v>0</v>
      </c>
      <c r="AO3837" t="s">
        <v>44</v>
      </c>
      <c r="AP3837" t="s">
        <v>44</v>
      </c>
      <c r="AQ3837" t="s">
        <v>44</v>
      </c>
    </row>
    <row r="3838" spans="1:43" x14ac:dyDescent="0.2">
      <c r="A3838" t="s">
        <v>12998</v>
      </c>
      <c r="B3838" t="s">
        <v>11608</v>
      </c>
      <c r="C3838" t="s">
        <v>11608</v>
      </c>
      <c r="D3838" t="s">
        <v>11609</v>
      </c>
      <c r="E3838" t="s">
        <v>11610</v>
      </c>
      <c r="F3838" t="s">
        <v>11611</v>
      </c>
      <c r="G3838" s="1">
        <v>44000000</v>
      </c>
      <c r="H3838" s="2">
        <v>0</v>
      </c>
      <c r="I3838" s="2">
        <v>28979.4</v>
      </c>
      <c r="J3838" s="2">
        <v>0</v>
      </c>
      <c r="K3838" s="2">
        <v>0</v>
      </c>
      <c r="L3838" s="2">
        <v>28979.4</v>
      </c>
      <c r="M3838" s="3">
        <v>6.5862000000000004E-2</v>
      </c>
      <c r="N3838" s="4">
        <v>6.5930000000000001E-5</v>
      </c>
      <c r="O3838" s="5" t="s">
        <v>44</v>
      </c>
      <c r="P3838" s="5">
        <v>44914</v>
      </c>
      <c r="Q3838" s="1">
        <v>0</v>
      </c>
      <c r="R3838" s="2"/>
      <c r="S3838" s="6">
        <v>0.40273972602699998</v>
      </c>
      <c r="T3838" t="s">
        <v>11412</v>
      </c>
      <c r="U3838" t="s">
        <v>11413</v>
      </c>
      <c r="V3838" t="s">
        <v>9802</v>
      </c>
      <c r="W3838" t="s">
        <v>43</v>
      </c>
      <c r="X3838" t="s">
        <v>44</v>
      </c>
      <c r="Y3838" t="s">
        <v>44</v>
      </c>
      <c r="Z3838" t="s">
        <v>44</v>
      </c>
      <c r="AA3838" t="s">
        <v>44</v>
      </c>
      <c r="AB3838" t="s">
        <v>44</v>
      </c>
      <c r="AC3838" s="4"/>
      <c r="AD3838" s="4"/>
      <c r="AE3838" s="2">
        <v>0</v>
      </c>
      <c r="AF3838" s="4">
        <v>0</v>
      </c>
      <c r="AG3838" s="2">
        <v>0.02</v>
      </c>
      <c r="AH3838" s="2">
        <v>28979.4</v>
      </c>
      <c r="AI3838" s="2">
        <v>0</v>
      </c>
      <c r="AJ3838" s="5">
        <v>44673</v>
      </c>
      <c r="AK3838" t="s">
        <v>13019</v>
      </c>
      <c r="AL3838" s="2">
        <v>0</v>
      </c>
      <c r="AM3838" s="2">
        <v>0</v>
      </c>
      <c r="AN3838" s="2">
        <v>0.4</v>
      </c>
      <c r="AO3838" t="s">
        <v>44</v>
      </c>
      <c r="AP3838" t="s">
        <v>44</v>
      </c>
      <c r="AQ3838" t="s">
        <v>44</v>
      </c>
    </row>
    <row r="3839" spans="1:43" x14ac:dyDescent="0.2">
      <c r="A3839" t="s">
        <v>12998</v>
      </c>
      <c r="B3839" t="s">
        <v>11608</v>
      </c>
      <c r="C3839" t="s">
        <v>11608</v>
      </c>
      <c r="D3839" t="s">
        <v>11612</v>
      </c>
      <c r="E3839" t="s">
        <v>11610</v>
      </c>
      <c r="F3839" t="s">
        <v>11613</v>
      </c>
      <c r="G3839" s="1">
        <v>-44000000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3"/>
      <c r="N3839" s="4">
        <v>0</v>
      </c>
      <c r="O3839" s="5" t="s">
        <v>44</v>
      </c>
      <c r="P3839" s="5">
        <v>44914</v>
      </c>
      <c r="Q3839" s="1">
        <v>0</v>
      </c>
      <c r="R3839" s="2"/>
      <c r="S3839" s="6"/>
      <c r="T3839" t="s">
        <v>11412</v>
      </c>
      <c r="U3839" t="s">
        <v>11413</v>
      </c>
      <c r="V3839" t="s">
        <v>9802</v>
      </c>
      <c r="W3839" t="s">
        <v>43</v>
      </c>
      <c r="X3839" t="s">
        <v>44</v>
      </c>
      <c r="Y3839" t="s">
        <v>44</v>
      </c>
      <c r="Z3839" t="s">
        <v>44</v>
      </c>
      <c r="AA3839" t="s">
        <v>44</v>
      </c>
      <c r="AB3839" t="s">
        <v>44</v>
      </c>
      <c r="AC3839" s="4"/>
      <c r="AD3839" s="4"/>
      <c r="AE3839" s="2">
        <v>0</v>
      </c>
      <c r="AF3839" s="4">
        <v>0</v>
      </c>
      <c r="AG3839" s="2">
        <v>0</v>
      </c>
      <c r="AH3839" s="2">
        <v>0</v>
      </c>
      <c r="AI3839" s="2">
        <v>0</v>
      </c>
      <c r="AJ3839" s="5">
        <v>44673</v>
      </c>
      <c r="AK3839" t="s">
        <v>13019</v>
      </c>
      <c r="AL3839" s="2">
        <v>0</v>
      </c>
      <c r="AM3839" s="2">
        <v>0</v>
      </c>
      <c r="AN3839" s="2">
        <v>0</v>
      </c>
      <c r="AO3839" t="s">
        <v>44</v>
      </c>
      <c r="AP3839" t="s">
        <v>44</v>
      </c>
      <c r="AQ3839" t="s">
        <v>44</v>
      </c>
    </row>
    <row r="3840" spans="1:43" x14ac:dyDescent="0.2">
      <c r="A3840" t="s">
        <v>12998</v>
      </c>
      <c r="B3840" t="s">
        <v>11608</v>
      </c>
      <c r="C3840" t="s">
        <v>11608</v>
      </c>
      <c r="D3840" t="s">
        <v>11614</v>
      </c>
      <c r="E3840" t="s">
        <v>11610</v>
      </c>
      <c r="F3840" t="s">
        <v>11615</v>
      </c>
      <c r="G3840" s="1">
        <v>44000000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3"/>
      <c r="N3840" s="4">
        <v>0</v>
      </c>
      <c r="O3840" s="5" t="s">
        <v>44</v>
      </c>
      <c r="P3840" s="5">
        <v>44914</v>
      </c>
      <c r="Q3840" s="1">
        <v>5.63</v>
      </c>
      <c r="R3840" s="2"/>
      <c r="S3840" s="6"/>
      <c r="T3840" t="s">
        <v>11412</v>
      </c>
      <c r="U3840" t="s">
        <v>11413</v>
      </c>
      <c r="V3840" t="s">
        <v>9802</v>
      </c>
      <c r="W3840" t="s">
        <v>43</v>
      </c>
      <c r="X3840" t="s">
        <v>44</v>
      </c>
      <c r="Y3840" t="s">
        <v>44</v>
      </c>
      <c r="Z3840" t="s">
        <v>44</v>
      </c>
      <c r="AA3840" t="s">
        <v>44</v>
      </c>
      <c r="AB3840" t="s">
        <v>44</v>
      </c>
      <c r="AC3840" s="4"/>
      <c r="AD3840" s="4"/>
      <c r="AE3840" s="2">
        <v>0</v>
      </c>
      <c r="AF3840" s="4">
        <v>0</v>
      </c>
      <c r="AG3840" s="2">
        <v>0</v>
      </c>
      <c r="AH3840" s="2">
        <v>0</v>
      </c>
      <c r="AI3840" s="2">
        <v>0</v>
      </c>
      <c r="AJ3840" s="5">
        <v>44673</v>
      </c>
      <c r="AK3840" t="s">
        <v>13019</v>
      </c>
      <c r="AL3840" s="2">
        <v>0</v>
      </c>
      <c r="AM3840" s="2">
        <v>5.63</v>
      </c>
      <c r="AN3840" s="2">
        <v>0</v>
      </c>
      <c r="AO3840" t="s">
        <v>44</v>
      </c>
      <c r="AP3840" t="s">
        <v>44</v>
      </c>
      <c r="AQ3840" t="s">
        <v>44</v>
      </c>
    </row>
    <row r="3841" spans="1:43" x14ac:dyDescent="0.2">
      <c r="A3841" t="s">
        <v>12998</v>
      </c>
      <c r="B3841" t="s">
        <v>11608</v>
      </c>
      <c r="C3841" t="s">
        <v>11608</v>
      </c>
      <c r="D3841" t="s">
        <v>12749</v>
      </c>
      <c r="E3841" t="s">
        <v>12750</v>
      </c>
      <c r="F3841" t="s">
        <v>12749</v>
      </c>
      <c r="G3841" s="1">
        <v>20000000</v>
      </c>
      <c r="H3841" s="2">
        <v>0</v>
      </c>
      <c r="I3841" s="2">
        <v>6954.73</v>
      </c>
      <c r="J3841" s="2">
        <v>0</v>
      </c>
      <c r="K3841" s="2">
        <v>0</v>
      </c>
      <c r="L3841" s="2">
        <v>6954.73</v>
      </c>
      <c r="M3841" s="3">
        <v>3.4773999999999999E-2</v>
      </c>
      <c r="N3841" s="4">
        <v>1.5820000000000001E-5</v>
      </c>
      <c r="O3841" s="5" t="s">
        <v>44</v>
      </c>
      <c r="P3841" s="5">
        <v>44890</v>
      </c>
      <c r="Q3841" s="1">
        <v>0</v>
      </c>
      <c r="R3841" s="2"/>
      <c r="S3841" s="6">
        <v>0.34246575342500002</v>
      </c>
      <c r="T3841" t="s">
        <v>11412</v>
      </c>
      <c r="U3841" t="s">
        <v>11413</v>
      </c>
      <c r="V3841" t="s">
        <v>9802</v>
      </c>
      <c r="W3841" t="s">
        <v>43</v>
      </c>
      <c r="X3841" t="s">
        <v>44</v>
      </c>
      <c r="Y3841" t="s">
        <v>44</v>
      </c>
      <c r="Z3841" t="s">
        <v>44</v>
      </c>
      <c r="AA3841" t="s">
        <v>44</v>
      </c>
      <c r="AB3841" t="s">
        <v>44</v>
      </c>
      <c r="AC3841" s="4"/>
      <c r="AD3841" s="4"/>
      <c r="AE3841" s="2">
        <v>0</v>
      </c>
      <c r="AF3841" s="4">
        <v>0</v>
      </c>
      <c r="AG3841" s="2">
        <v>0</v>
      </c>
      <c r="AH3841" s="2">
        <v>6954.73</v>
      </c>
      <c r="AI3841" s="2">
        <v>0</v>
      </c>
      <c r="AJ3841" s="5">
        <v>44673</v>
      </c>
      <c r="AK3841" t="s">
        <v>13019</v>
      </c>
      <c r="AL3841" s="2">
        <v>0</v>
      </c>
      <c r="AM3841" s="2">
        <v>0</v>
      </c>
      <c r="AN3841" s="2">
        <v>0.34</v>
      </c>
      <c r="AO3841" t="s">
        <v>44</v>
      </c>
      <c r="AP3841" t="s">
        <v>44</v>
      </c>
      <c r="AQ3841" t="s">
        <v>44</v>
      </c>
    </row>
    <row r="3842" spans="1:43" x14ac:dyDescent="0.2">
      <c r="A3842" t="s">
        <v>12998</v>
      </c>
      <c r="B3842" t="s">
        <v>11608</v>
      </c>
      <c r="C3842" t="s">
        <v>11608</v>
      </c>
      <c r="D3842" t="s">
        <v>12751</v>
      </c>
      <c r="E3842" t="s">
        <v>12750</v>
      </c>
      <c r="F3842" t="s">
        <v>12751</v>
      </c>
      <c r="G3842" s="1">
        <v>-20000000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3"/>
      <c r="N3842" s="4">
        <v>0</v>
      </c>
      <c r="O3842" s="5" t="s">
        <v>44</v>
      </c>
      <c r="P3842" s="5">
        <v>44890</v>
      </c>
      <c r="Q3842" s="1">
        <v>0</v>
      </c>
      <c r="R3842" s="2"/>
      <c r="S3842" s="6"/>
      <c r="T3842" t="s">
        <v>11412</v>
      </c>
      <c r="U3842" t="s">
        <v>11413</v>
      </c>
      <c r="V3842" t="s">
        <v>9802</v>
      </c>
      <c r="W3842" t="s">
        <v>43</v>
      </c>
      <c r="X3842" t="s">
        <v>44</v>
      </c>
      <c r="Y3842" t="s">
        <v>44</v>
      </c>
      <c r="Z3842" t="s">
        <v>44</v>
      </c>
      <c r="AA3842" t="s">
        <v>44</v>
      </c>
      <c r="AB3842" t="s">
        <v>44</v>
      </c>
      <c r="AC3842" s="4"/>
      <c r="AD3842" s="4"/>
      <c r="AE3842" s="2">
        <v>0</v>
      </c>
      <c r="AF3842" s="4">
        <v>0</v>
      </c>
      <c r="AG3842" s="2">
        <v>0</v>
      </c>
      <c r="AH3842" s="2">
        <v>0</v>
      </c>
      <c r="AI3842" s="2">
        <v>0</v>
      </c>
      <c r="AJ3842" s="5">
        <v>44673</v>
      </c>
      <c r="AK3842" t="s">
        <v>13019</v>
      </c>
      <c r="AL3842" s="2">
        <v>0</v>
      </c>
      <c r="AM3842" s="2">
        <v>0</v>
      </c>
      <c r="AN3842" s="2">
        <v>0</v>
      </c>
      <c r="AO3842" t="s">
        <v>44</v>
      </c>
      <c r="AP3842" t="s">
        <v>44</v>
      </c>
      <c r="AQ3842" t="s">
        <v>44</v>
      </c>
    </row>
    <row r="3843" spans="1:43" x14ac:dyDescent="0.2">
      <c r="A3843" t="s">
        <v>12998</v>
      </c>
      <c r="B3843" t="s">
        <v>11608</v>
      </c>
      <c r="C3843" t="s">
        <v>11608</v>
      </c>
      <c r="D3843" t="s">
        <v>12752</v>
      </c>
      <c r="E3843" t="s">
        <v>12750</v>
      </c>
      <c r="F3843" t="s">
        <v>12752</v>
      </c>
      <c r="G3843" s="1">
        <v>20000000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3"/>
      <c r="N3843" s="4">
        <v>0</v>
      </c>
      <c r="O3843" s="5" t="s">
        <v>44</v>
      </c>
      <c r="P3843" s="5">
        <v>44890</v>
      </c>
      <c r="Q3843" s="1">
        <v>5.48</v>
      </c>
      <c r="R3843" s="2"/>
      <c r="S3843" s="6"/>
      <c r="T3843" t="s">
        <v>11412</v>
      </c>
      <c r="U3843" t="s">
        <v>11413</v>
      </c>
      <c r="V3843" t="s">
        <v>9802</v>
      </c>
      <c r="W3843" t="s">
        <v>43</v>
      </c>
      <c r="X3843" t="s">
        <v>44</v>
      </c>
      <c r="Y3843" t="s">
        <v>44</v>
      </c>
      <c r="Z3843" t="s">
        <v>44</v>
      </c>
      <c r="AA3843" t="s">
        <v>44</v>
      </c>
      <c r="AB3843" t="s">
        <v>44</v>
      </c>
      <c r="AC3843" s="4"/>
      <c r="AD3843" s="4"/>
      <c r="AE3843" s="2">
        <v>0</v>
      </c>
      <c r="AF3843" s="4">
        <v>0</v>
      </c>
      <c r="AG3843" s="2">
        <v>0</v>
      </c>
      <c r="AH3843" s="2">
        <v>0</v>
      </c>
      <c r="AI3843" s="2">
        <v>0</v>
      </c>
      <c r="AJ3843" s="5">
        <v>44673</v>
      </c>
      <c r="AK3843" t="s">
        <v>13019</v>
      </c>
      <c r="AL3843" s="2">
        <v>0</v>
      </c>
      <c r="AM3843" s="2">
        <v>5.48</v>
      </c>
      <c r="AN3843" s="2">
        <v>0</v>
      </c>
      <c r="AO3843" t="s">
        <v>44</v>
      </c>
      <c r="AP3843" t="s">
        <v>44</v>
      </c>
      <c r="AQ3843" t="s">
        <v>44</v>
      </c>
    </row>
    <row r="3844" spans="1:43" x14ac:dyDescent="0.2">
      <c r="A3844" t="s">
        <v>12998</v>
      </c>
      <c r="B3844" t="s">
        <v>11865</v>
      </c>
      <c r="C3844" t="s">
        <v>11865</v>
      </c>
      <c r="D3844" t="s">
        <v>11866</v>
      </c>
      <c r="E3844" t="s">
        <v>11867</v>
      </c>
      <c r="F3844" t="s">
        <v>11866</v>
      </c>
      <c r="G3844" s="1">
        <v>-281400</v>
      </c>
      <c r="H3844" s="2">
        <v>-4380975.9000000004</v>
      </c>
      <c r="I3844" s="2">
        <v>-4406847.29</v>
      </c>
      <c r="J3844" s="2">
        <v>0</v>
      </c>
      <c r="K3844" s="2">
        <v>0</v>
      </c>
      <c r="L3844" s="2">
        <v>-4406847.29</v>
      </c>
      <c r="M3844" s="3">
        <v>6.3854999999999995E-2</v>
      </c>
      <c r="N3844" s="4">
        <v>-1.002605E-2</v>
      </c>
      <c r="O3844" s="5" t="s">
        <v>44</v>
      </c>
      <c r="P3844" s="5">
        <v>44701</v>
      </c>
      <c r="Q3844" s="1"/>
      <c r="R3844" s="2"/>
      <c r="S3844" s="6"/>
      <c r="T3844" t="s">
        <v>11868</v>
      </c>
      <c r="U3844" t="s">
        <v>44</v>
      </c>
      <c r="V3844" t="s">
        <v>44</v>
      </c>
      <c r="W3844" t="s">
        <v>113</v>
      </c>
      <c r="X3844" t="s">
        <v>44</v>
      </c>
      <c r="Y3844" t="s">
        <v>44</v>
      </c>
      <c r="Z3844" t="s">
        <v>44</v>
      </c>
      <c r="AA3844" t="s">
        <v>44</v>
      </c>
      <c r="AB3844" t="s">
        <v>44</v>
      </c>
      <c r="AC3844" s="4"/>
      <c r="AD3844" s="4"/>
      <c r="AE3844" s="2">
        <v>0</v>
      </c>
      <c r="AF3844" s="4">
        <v>0</v>
      </c>
      <c r="AG3844" s="2">
        <v>-2.5299999999999998</v>
      </c>
      <c r="AH3844" s="2">
        <v>-4406847.29</v>
      </c>
      <c r="AI3844" s="2">
        <v>-0.01</v>
      </c>
      <c r="AJ3844" s="5">
        <v>44673</v>
      </c>
      <c r="AK3844" t="s">
        <v>13019</v>
      </c>
      <c r="AL3844" s="2">
        <v>0</v>
      </c>
      <c r="AM3844" s="2">
        <v>0</v>
      </c>
      <c r="AN3844" s="2">
        <v>0</v>
      </c>
      <c r="AO3844" t="s">
        <v>44</v>
      </c>
      <c r="AP3844" t="s">
        <v>44</v>
      </c>
      <c r="AQ3844" t="s">
        <v>113</v>
      </c>
    </row>
    <row r="3845" spans="1:43" x14ac:dyDescent="0.2">
      <c r="A3845" t="s">
        <v>12998</v>
      </c>
      <c r="B3845" t="s">
        <v>11865</v>
      </c>
      <c r="C3845" t="s">
        <v>11865</v>
      </c>
      <c r="D3845" t="s">
        <v>11869</v>
      </c>
      <c r="E3845" t="s">
        <v>11867</v>
      </c>
      <c r="F3845" t="s">
        <v>11869</v>
      </c>
      <c r="G3845" s="1">
        <v>4380975.9000000004</v>
      </c>
      <c r="H3845" s="2">
        <v>4380975.9000000004</v>
      </c>
      <c r="I3845" s="2">
        <v>4380975.9000000004</v>
      </c>
      <c r="J3845" s="2">
        <v>0</v>
      </c>
      <c r="K3845" s="2">
        <v>0</v>
      </c>
      <c r="L3845" s="2">
        <v>4380975.9000000004</v>
      </c>
      <c r="M3845" s="3">
        <v>1</v>
      </c>
      <c r="N3845" s="4">
        <v>9.9671900000000008E-3</v>
      </c>
      <c r="O3845" s="5" t="s">
        <v>44</v>
      </c>
      <c r="P3845" s="5">
        <v>44701</v>
      </c>
      <c r="Q3845" s="1"/>
      <c r="R3845" s="2"/>
      <c r="S3845" s="6"/>
      <c r="T3845" t="s">
        <v>11868</v>
      </c>
      <c r="U3845" t="s">
        <v>44</v>
      </c>
      <c r="V3845" t="s">
        <v>44</v>
      </c>
      <c r="W3845" t="s">
        <v>43</v>
      </c>
      <c r="X3845" t="s">
        <v>44</v>
      </c>
      <c r="Y3845" t="s">
        <v>44</v>
      </c>
      <c r="Z3845" t="s">
        <v>44</v>
      </c>
      <c r="AA3845" t="s">
        <v>44</v>
      </c>
      <c r="AB3845" t="s">
        <v>44</v>
      </c>
      <c r="AC3845" s="4"/>
      <c r="AD3845" s="4"/>
      <c r="AE3845" s="2">
        <v>0</v>
      </c>
      <c r="AF3845" s="4">
        <v>0</v>
      </c>
      <c r="AG3845" s="2">
        <v>2.52</v>
      </c>
      <c r="AH3845" s="2">
        <v>4380975.9000000004</v>
      </c>
      <c r="AI3845" s="2">
        <v>0.01</v>
      </c>
      <c r="AJ3845" s="5">
        <v>44673</v>
      </c>
      <c r="AK3845" t="s">
        <v>13019</v>
      </c>
      <c r="AL3845" s="2">
        <v>0</v>
      </c>
      <c r="AM3845" s="2">
        <v>0</v>
      </c>
      <c r="AN3845" s="2">
        <v>0</v>
      </c>
      <c r="AO3845" t="s">
        <v>44</v>
      </c>
      <c r="AP3845" t="s">
        <v>44</v>
      </c>
      <c r="AQ3845" t="s">
        <v>43</v>
      </c>
    </row>
    <row r="3846" spans="1:43" x14ac:dyDescent="0.2">
      <c r="A3846" t="s">
        <v>12998</v>
      </c>
      <c r="B3846" t="s">
        <v>11038</v>
      </c>
      <c r="C3846" t="s">
        <v>11870</v>
      </c>
      <c r="D3846" t="s">
        <v>11056</v>
      </c>
      <c r="E3846" t="s">
        <v>11057</v>
      </c>
      <c r="F3846" t="s">
        <v>11056</v>
      </c>
      <c r="G3846" s="1">
        <v>2195812</v>
      </c>
      <c r="H3846" s="2">
        <v>2195287.61</v>
      </c>
      <c r="I3846" s="2">
        <v>2195812</v>
      </c>
      <c r="J3846" s="2">
        <v>56599.25</v>
      </c>
      <c r="K3846" s="2">
        <v>0</v>
      </c>
      <c r="L3846" s="2">
        <v>2252411.25</v>
      </c>
      <c r="M3846" s="3"/>
      <c r="N3846" s="4">
        <v>5.1244799999999998E-3</v>
      </c>
      <c r="O3846" s="5">
        <v>44692</v>
      </c>
      <c r="P3846" s="5">
        <v>44692</v>
      </c>
      <c r="Q3846" s="1">
        <v>13.067</v>
      </c>
      <c r="R3846" s="2"/>
      <c r="S3846" s="6"/>
      <c r="T3846" t="s">
        <v>111</v>
      </c>
      <c r="U3846" t="s">
        <v>11040</v>
      </c>
      <c r="V3846" t="s">
        <v>115</v>
      </c>
      <c r="W3846" t="s">
        <v>43</v>
      </c>
      <c r="X3846" t="s">
        <v>44</v>
      </c>
      <c r="Y3846" t="s">
        <v>44</v>
      </c>
      <c r="Z3846" t="s">
        <v>44</v>
      </c>
      <c r="AA3846" t="s">
        <v>10979</v>
      </c>
      <c r="AB3846" t="s">
        <v>44</v>
      </c>
      <c r="AC3846" s="4"/>
      <c r="AD3846" s="4"/>
      <c r="AE3846" s="2">
        <v>0</v>
      </c>
      <c r="AF3846" s="4">
        <v>0</v>
      </c>
      <c r="AG3846" s="2">
        <v>1.29</v>
      </c>
      <c r="AH3846" s="2">
        <v>2252411.25</v>
      </c>
      <c r="AI3846" s="2">
        <v>0.01</v>
      </c>
      <c r="AJ3846" s="5">
        <v>44673</v>
      </c>
      <c r="AK3846" t="s">
        <v>13019</v>
      </c>
      <c r="AL3846" s="2">
        <v>0</v>
      </c>
      <c r="AM3846" s="2">
        <v>13.07</v>
      </c>
      <c r="AN3846" s="2">
        <v>0</v>
      </c>
      <c r="AO3846" t="s">
        <v>10980</v>
      </c>
      <c r="AP3846" t="s">
        <v>11058</v>
      </c>
      <c r="AQ3846" t="s">
        <v>11057</v>
      </c>
    </row>
    <row r="3847" spans="1:43" x14ac:dyDescent="0.2">
      <c r="A3847" t="s">
        <v>12998</v>
      </c>
      <c r="B3847" t="s">
        <v>11038</v>
      </c>
      <c r="C3847" t="s">
        <v>11870</v>
      </c>
      <c r="D3847" t="s">
        <v>11616</v>
      </c>
      <c r="E3847" t="s">
        <v>11617</v>
      </c>
      <c r="F3847" t="s">
        <v>11616</v>
      </c>
      <c r="G3847" s="1">
        <v>2600000</v>
      </c>
      <c r="H3847" s="2">
        <v>2600000</v>
      </c>
      <c r="I3847" s="2">
        <v>2601093.02</v>
      </c>
      <c r="J3847" s="2">
        <v>31501.599999999999</v>
      </c>
      <c r="K3847" s="2">
        <v>0</v>
      </c>
      <c r="L3847" s="2">
        <v>2632594.62</v>
      </c>
      <c r="M3847" s="3">
        <v>4.9760429999999998</v>
      </c>
      <c r="N3847" s="4">
        <v>5.9894400000000004E-3</v>
      </c>
      <c r="O3847" s="5">
        <v>44690</v>
      </c>
      <c r="P3847" s="5">
        <v>44690</v>
      </c>
      <c r="Q3847" s="1">
        <v>6.0579999999999998</v>
      </c>
      <c r="R3847" s="2">
        <v>0.04</v>
      </c>
      <c r="S3847" s="6">
        <v>3.6514757501999999E-2</v>
      </c>
      <c r="T3847" t="s">
        <v>111</v>
      </c>
      <c r="U3847" t="s">
        <v>11040</v>
      </c>
      <c r="V3847" t="s">
        <v>114</v>
      </c>
      <c r="W3847" t="s">
        <v>43</v>
      </c>
      <c r="X3847" t="s">
        <v>10988</v>
      </c>
      <c r="Y3847" t="s">
        <v>44</v>
      </c>
      <c r="Z3847" t="s">
        <v>44</v>
      </c>
      <c r="AA3847" t="s">
        <v>10979</v>
      </c>
      <c r="AB3847" t="s">
        <v>44</v>
      </c>
      <c r="AC3847" s="4">
        <v>5.09694307</v>
      </c>
      <c r="AD3847" s="4">
        <v>4.9816122199999997</v>
      </c>
      <c r="AE3847" s="2">
        <v>5.0999999999999996</v>
      </c>
      <c r="AF3847" s="4">
        <v>4.9816122199999997</v>
      </c>
      <c r="AG3847" s="2">
        <v>1.51</v>
      </c>
      <c r="AH3847" s="2">
        <v>2632594.62</v>
      </c>
      <c r="AI3847" s="2">
        <v>0.01</v>
      </c>
      <c r="AJ3847" s="5">
        <v>44673</v>
      </c>
      <c r="AK3847" t="s">
        <v>13019</v>
      </c>
      <c r="AL3847" s="2">
        <v>5.03</v>
      </c>
      <c r="AM3847" s="2">
        <v>6.06</v>
      </c>
      <c r="AN3847" s="2">
        <v>0.04</v>
      </c>
      <c r="AO3847" t="s">
        <v>11618</v>
      </c>
      <c r="AP3847" t="s">
        <v>11619</v>
      </c>
      <c r="AQ3847" t="s">
        <v>11617</v>
      </c>
    </row>
    <row r="3848" spans="1:43" x14ac:dyDescent="0.2">
      <c r="A3848" t="s">
        <v>12998</v>
      </c>
      <c r="B3848" t="s">
        <v>11038</v>
      </c>
      <c r="C3848" t="s">
        <v>11052</v>
      </c>
      <c r="D3848" t="s">
        <v>11875</v>
      </c>
      <c r="E3848" t="s">
        <v>11876</v>
      </c>
      <c r="F3848" t="s">
        <v>11875</v>
      </c>
      <c r="G3848" s="1">
        <v>2800000</v>
      </c>
      <c r="H3848" s="2">
        <v>2800000</v>
      </c>
      <c r="I3848" s="2">
        <v>2801582.85</v>
      </c>
      <c r="J3848" s="2">
        <v>38110.53</v>
      </c>
      <c r="K3848" s="2">
        <v>0</v>
      </c>
      <c r="L3848" s="2">
        <v>2839693.38</v>
      </c>
      <c r="M3848" s="3">
        <v>5.8453989999999996</v>
      </c>
      <c r="N3848" s="4">
        <v>6.4606100000000003E-3</v>
      </c>
      <c r="O3848" s="5">
        <v>44676</v>
      </c>
      <c r="P3848" s="5">
        <v>44765</v>
      </c>
      <c r="Q3848" s="1">
        <v>5.5819999999999999</v>
      </c>
      <c r="R3848" s="2">
        <v>0.25</v>
      </c>
      <c r="S3848" s="6">
        <v>-2.4241619880000002E-3</v>
      </c>
      <c r="T3848" t="s">
        <v>111</v>
      </c>
      <c r="U3848" t="s">
        <v>11040</v>
      </c>
      <c r="V3848" t="s">
        <v>114</v>
      </c>
      <c r="W3848" t="s">
        <v>43</v>
      </c>
      <c r="X3848" t="s">
        <v>10988</v>
      </c>
      <c r="Y3848" t="s">
        <v>44</v>
      </c>
      <c r="Z3848" t="s">
        <v>44</v>
      </c>
      <c r="AA3848" t="s">
        <v>10979</v>
      </c>
      <c r="AB3848" t="s">
        <v>44</v>
      </c>
      <c r="AC3848" s="4">
        <v>5.9749057099999998</v>
      </c>
      <c r="AD3848" s="4">
        <v>5.8172689999999996</v>
      </c>
      <c r="AE3848" s="2">
        <v>5.97</v>
      </c>
      <c r="AF3848" s="4">
        <v>5.8172689999999996</v>
      </c>
      <c r="AG3848" s="2">
        <v>1.63</v>
      </c>
      <c r="AH3848" s="2">
        <v>2839693.38</v>
      </c>
      <c r="AI3848" s="2">
        <v>0.01</v>
      </c>
      <c r="AJ3848" s="5">
        <v>44673</v>
      </c>
      <c r="AK3848" t="s">
        <v>13019</v>
      </c>
      <c r="AL3848" s="2">
        <v>5.89</v>
      </c>
      <c r="AM3848" s="2">
        <v>5.58</v>
      </c>
      <c r="AN3848" s="2">
        <v>0</v>
      </c>
      <c r="AO3848" t="s">
        <v>11048</v>
      </c>
      <c r="AP3848" t="s">
        <v>11877</v>
      </c>
      <c r="AQ3848" t="s">
        <v>11876</v>
      </c>
    </row>
    <row r="3849" spans="1:43" x14ac:dyDescent="0.2">
      <c r="A3849" t="s">
        <v>12998</v>
      </c>
      <c r="B3849" t="s">
        <v>11038</v>
      </c>
      <c r="C3849" t="s">
        <v>11039</v>
      </c>
      <c r="D3849" t="s">
        <v>11878</v>
      </c>
      <c r="E3849" t="s">
        <v>11879</v>
      </c>
      <c r="F3849" t="s">
        <v>11878</v>
      </c>
      <c r="G3849" s="1">
        <v>1000000</v>
      </c>
      <c r="H3849" s="2">
        <v>1000000</v>
      </c>
      <c r="I3849" s="2">
        <v>999913.02</v>
      </c>
      <c r="J3849" s="2">
        <v>6597.95</v>
      </c>
      <c r="K3849" s="2">
        <v>0</v>
      </c>
      <c r="L3849" s="2">
        <v>1006510.97</v>
      </c>
      <c r="M3849" s="3">
        <v>6.1553490000000002</v>
      </c>
      <c r="N3849" s="4">
        <v>2.28992E-3</v>
      </c>
      <c r="O3849" s="5">
        <v>44727</v>
      </c>
      <c r="P3849" s="5">
        <v>45000</v>
      </c>
      <c r="Q3849" s="1">
        <v>6.1749999999999998</v>
      </c>
      <c r="R3849" s="2">
        <v>0.14000000000000001</v>
      </c>
      <c r="S3849" s="6">
        <v>0.121958312463</v>
      </c>
      <c r="T3849" t="s">
        <v>111</v>
      </c>
      <c r="U3849" t="s">
        <v>11040</v>
      </c>
      <c r="V3849" t="s">
        <v>114</v>
      </c>
      <c r="W3849" t="s">
        <v>43</v>
      </c>
      <c r="X3849" t="s">
        <v>10988</v>
      </c>
      <c r="Y3849" t="s">
        <v>44</v>
      </c>
      <c r="Z3849" t="s">
        <v>44</v>
      </c>
      <c r="AA3849" t="s">
        <v>10979</v>
      </c>
      <c r="AB3849" t="s">
        <v>44</v>
      </c>
      <c r="AC3849" s="4">
        <v>6.3207521</v>
      </c>
      <c r="AD3849" s="4">
        <v>6.1447089999999998</v>
      </c>
      <c r="AE3849" s="2">
        <v>6.32</v>
      </c>
      <c r="AF3849" s="4">
        <v>6.1447089999999998</v>
      </c>
      <c r="AG3849" s="2">
        <v>0.57999999999999996</v>
      </c>
      <c r="AH3849" s="2">
        <v>1006510.97</v>
      </c>
      <c r="AI3849" s="2">
        <v>0</v>
      </c>
      <c r="AJ3849" s="5">
        <v>44673</v>
      </c>
      <c r="AK3849" t="s">
        <v>13019</v>
      </c>
      <c r="AL3849" s="2">
        <v>6.22</v>
      </c>
      <c r="AM3849" s="2">
        <v>6.17</v>
      </c>
      <c r="AN3849" s="2">
        <v>0.12</v>
      </c>
      <c r="AO3849" t="s">
        <v>11567</v>
      </c>
      <c r="AP3849" t="s">
        <v>11880</v>
      </c>
      <c r="AQ3849" t="s">
        <v>11879</v>
      </c>
    </row>
    <row r="3850" spans="1:43" x14ac:dyDescent="0.2">
      <c r="A3850" t="s">
        <v>12998</v>
      </c>
      <c r="B3850" t="s">
        <v>11038</v>
      </c>
      <c r="C3850" t="s">
        <v>11039</v>
      </c>
      <c r="D3850" t="s">
        <v>11881</v>
      </c>
      <c r="E3850" t="s">
        <v>11882</v>
      </c>
      <c r="F3850" t="s">
        <v>11881</v>
      </c>
      <c r="G3850" s="1">
        <v>1000000</v>
      </c>
      <c r="H3850" s="2">
        <v>1000000</v>
      </c>
      <c r="I3850" s="2">
        <v>999913.02</v>
      </c>
      <c r="J3850" s="2">
        <v>6597.95</v>
      </c>
      <c r="K3850" s="2">
        <v>0</v>
      </c>
      <c r="L3850" s="2">
        <v>1006510.97</v>
      </c>
      <c r="M3850" s="3">
        <v>6.1553490000000002</v>
      </c>
      <c r="N3850" s="4">
        <v>2.28992E-3</v>
      </c>
      <c r="O3850" s="5">
        <v>44727</v>
      </c>
      <c r="P3850" s="5">
        <v>45000</v>
      </c>
      <c r="Q3850" s="1">
        <v>6.1749999999999998</v>
      </c>
      <c r="R3850" s="2">
        <v>0.14000000000000001</v>
      </c>
      <c r="S3850" s="6">
        <v>0.121958312463</v>
      </c>
      <c r="T3850" t="s">
        <v>111</v>
      </c>
      <c r="U3850" t="s">
        <v>11040</v>
      </c>
      <c r="V3850" t="s">
        <v>114</v>
      </c>
      <c r="W3850" t="s">
        <v>43</v>
      </c>
      <c r="X3850" t="s">
        <v>10988</v>
      </c>
      <c r="Y3850" t="s">
        <v>44</v>
      </c>
      <c r="Z3850" t="s">
        <v>44</v>
      </c>
      <c r="AA3850" t="s">
        <v>10979</v>
      </c>
      <c r="AB3850" t="s">
        <v>44</v>
      </c>
      <c r="AC3850" s="4">
        <v>6.3207521</v>
      </c>
      <c r="AD3850" s="4">
        <v>6.1447089999999998</v>
      </c>
      <c r="AE3850" s="2">
        <v>6.32</v>
      </c>
      <c r="AF3850" s="4">
        <v>6.1447089999999998</v>
      </c>
      <c r="AG3850" s="2">
        <v>0.57999999999999996</v>
      </c>
      <c r="AH3850" s="2">
        <v>1006510.97</v>
      </c>
      <c r="AI3850" s="2">
        <v>0</v>
      </c>
      <c r="AJ3850" s="5">
        <v>44673</v>
      </c>
      <c r="AK3850" t="s">
        <v>13019</v>
      </c>
      <c r="AL3850" s="2">
        <v>6.22</v>
      </c>
      <c r="AM3850" s="2">
        <v>6.17</v>
      </c>
      <c r="AN3850" s="2">
        <v>0.12</v>
      </c>
      <c r="AO3850" t="s">
        <v>11567</v>
      </c>
      <c r="AP3850" t="s">
        <v>11883</v>
      </c>
      <c r="AQ3850" t="s">
        <v>11882</v>
      </c>
    </row>
    <row r="3851" spans="1:43" x14ac:dyDescent="0.2">
      <c r="A3851" t="s">
        <v>12998</v>
      </c>
      <c r="B3851" t="s">
        <v>11038</v>
      </c>
      <c r="C3851" t="s">
        <v>11039</v>
      </c>
      <c r="D3851" t="s">
        <v>11968</v>
      </c>
      <c r="E3851" t="s">
        <v>11969</v>
      </c>
      <c r="F3851" t="s">
        <v>11968</v>
      </c>
      <c r="G3851" s="1">
        <v>2000000</v>
      </c>
      <c r="H3851" s="2">
        <v>2000000</v>
      </c>
      <c r="I3851" s="2">
        <v>1996578.13</v>
      </c>
      <c r="J3851" s="2">
        <v>34482.19</v>
      </c>
      <c r="K3851" s="2">
        <v>0</v>
      </c>
      <c r="L3851" s="2">
        <v>2031060.32</v>
      </c>
      <c r="M3851" s="3">
        <v>5.5893660000000001</v>
      </c>
      <c r="N3851" s="4">
        <v>4.62088E-3</v>
      </c>
      <c r="O3851" s="5">
        <v>44923</v>
      </c>
      <c r="P3851" s="5">
        <v>44923</v>
      </c>
      <c r="Q3851" s="1">
        <v>5.4249999999999998</v>
      </c>
      <c r="R3851" s="2">
        <v>0.68</v>
      </c>
      <c r="S3851" s="6">
        <v>0.65204926551999998</v>
      </c>
      <c r="T3851" t="s">
        <v>111</v>
      </c>
      <c r="U3851" t="s">
        <v>11040</v>
      </c>
      <c r="V3851" t="s">
        <v>11041</v>
      </c>
      <c r="W3851" t="s">
        <v>43</v>
      </c>
      <c r="X3851" t="s">
        <v>11034</v>
      </c>
      <c r="Y3851" t="s">
        <v>44</v>
      </c>
      <c r="Z3851" t="s">
        <v>44</v>
      </c>
      <c r="AA3851" t="s">
        <v>10979</v>
      </c>
      <c r="AB3851" t="s">
        <v>44</v>
      </c>
      <c r="AC3851" s="4">
        <v>5.6395369400000002</v>
      </c>
      <c r="AD3851" s="4">
        <v>5.4988121699999999</v>
      </c>
      <c r="AE3851" s="2">
        <v>5.64</v>
      </c>
      <c r="AF3851" s="4">
        <v>5.4988121699999999</v>
      </c>
      <c r="AG3851" s="2">
        <v>1.17</v>
      </c>
      <c r="AH3851" s="2">
        <v>2031060.32</v>
      </c>
      <c r="AI3851" s="2">
        <v>0</v>
      </c>
      <c r="AJ3851" s="5">
        <v>44673</v>
      </c>
      <c r="AK3851" t="s">
        <v>13019</v>
      </c>
      <c r="AL3851" s="2">
        <v>5.56</v>
      </c>
      <c r="AM3851" s="2">
        <v>5.42</v>
      </c>
      <c r="AN3851" s="2">
        <v>0.65</v>
      </c>
      <c r="AO3851" t="s">
        <v>11165</v>
      </c>
      <c r="AP3851" t="s">
        <v>11970</v>
      </c>
      <c r="AQ3851" t="s">
        <v>11969</v>
      </c>
    </row>
    <row r="3852" spans="1:43" x14ac:dyDescent="0.2">
      <c r="A3852" t="s">
        <v>12998</v>
      </c>
      <c r="B3852" t="s">
        <v>11038</v>
      </c>
      <c r="C3852" t="s">
        <v>11039</v>
      </c>
      <c r="D3852" t="s">
        <v>11971</v>
      </c>
      <c r="E3852" t="s">
        <v>11972</v>
      </c>
      <c r="F3852" t="s">
        <v>11971</v>
      </c>
      <c r="G3852" s="1">
        <v>2000000</v>
      </c>
      <c r="H3852" s="2">
        <v>2000000</v>
      </c>
      <c r="I3852" s="2">
        <v>1997927.52</v>
      </c>
      <c r="J3852" s="2">
        <v>23720.55</v>
      </c>
      <c r="K3852" s="2">
        <v>0</v>
      </c>
      <c r="L3852" s="2">
        <v>2021648.07</v>
      </c>
      <c r="M3852" s="3">
        <v>5.914955</v>
      </c>
      <c r="N3852" s="4">
        <v>4.5994699999999996E-3</v>
      </c>
      <c r="O3852" s="5">
        <v>44965</v>
      </c>
      <c r="P3852" s="5">
        <v>44965</v>
      </c>
      <c r="Q3852" s="1">
        <v>5.85</v>
      </c>
      <c r="R3852" s="2">
        <v>0.79</v>
      </c>
      <c r="S3852" s="6">
        <v>0.75635794914999999</v>
      </c>
      <c r="T3852" t="s">
        <v>111</v>
      </c>
      <c r="U3852" t="s">
        <v>11040</v>
      </c>
      <c r="V3852" t="s">
        <v>11041</v>
      </c>
      <c r="W3852" t="s">
        <v>43</v>
      </c>
      <c r="X3852" t="s">
        <v>11034</v>
      </c>
      <c r="Y3852" t="s">
        <v>44</v>
      </c>
      <c r="Z3852" t="s">
        <v>44</v>
      </c>
      <c r="AA3852" t="s">
        <v>10979</v>
      </c>
      <c r="AB3852" t="s">
        <v>44</v>
      </c>
      <c r="AC3852" s="4">
        <v>5.9509684500000004</v>
      </c>
      <c r="AD3852" s="4">
        <v>5.7945694899999998</v>
      </c>
      <c r="AE3852" s="2">
        <v>5.95</v>
      </c>
      <c r="AF3852" s="4">
        <v>5.7945694899999998</v>
      </c>
      <c r="AG3852" s="2">
        <v>1.1599999999999999</v>
      </c>
      <c r="AH3852" s="2">
        <v>2021648.07</v>
      </c>
      <c r="AI3852" s="2">
        <v>0</v>
      </c>
      <c r="AJ3852" s="5">
        <v>44673</v>
      </c>
      <c r="AK3852" t="s">
        <v>13019</v>
      </c>
      <c r="AL3852" s="2">
        <v>5.86</v>
      </c>
      <c r="AM3852" s="2">
        <v>5.85</v>
      </c>
      <c r="AN3852" s="2">
        <v>0.76</v>
      </c>
      <c r="AO3852" t="s">
        <v>11165</v>
      </c>
      <c r="AP3852" t="s">
        <v>11973</v>
      </c>
      <c r="AQ3852" t="s">
        <v>11972</v>
      </c>
    </row>
    <row r="3853" spans="1:43" x14ac:dyDescent="0.2">
      <c r="A3853" t="s">
        <v>12998</v>
      </c>
      <c r="B3853" t="s">
        <v>11038</v>
      </c>
      <c r="C3853" t="s">
        <v>11039</v>
      </c>
      <c r="D3853" t="s">
        <v>11042</v>
      </c>
      <c r="E3853" t="s">
        <v>11043</v>
      </c>
      <c r="F3853" t="s">
        <v>11042</v>
      </c>
      <c r="G3853" s="1">
        <v>2000000</v>
      </c>
      <c r="H3853" s="2">
        <v>2000000</v>
      </c>
      <c r="I3853" s="2">
        <v>1998593.25</v>
      </c>
      <c r="J3853" s="2">
        <v>22169.86</v>
      </c>
      <c r="K3853" s="2">
        <v>0</v>
      </c>
      <c r="L3853" s="2">
        <v>2020763.11</v>
      </c>
      <c r="M3853" s="3">
        <v>5.9730699999999999</v>
      </c>
      <c r="N3853" s="4">
        <v>4.5974500000000003E-3</v>
      </c>
      <c r="O3853" s="5">
        <v>44971</v>
      </c>
      <c r="P3853" s="5">
        <v>44971</v>
      </c>
      <c r="Q3853" s="1">
        <v>5.95</v>
      </c>
      <c r="R3853" s="2">
        <v>0.81</v>
      </c>
      <c r="S3853" s="6">
        <v>0.77099882388999996</v>
      </c>
      <c r="T3853" t="s">
        <v>111</v>
      </c>
      <c r="U3853" t="s">
        <v>11040</v>
      </c>
      <c r="V3853" t="s">
        <v>11041</v>
      </c>
      <c r="W3853" t="s">
        <v>43</v>
      </c>
      <c r="X3853" t="s">
        <v>11034</v>
      </c>
      <c r="Y3853" t="s">
        <v>44</v>
      </c>
      <c r="Z3853" t="s">
        <v>44</v>
      </c>
      <c r="AA3853" t="s">
        <v>11035</v>
      </c>
      <c r="AB3853" t="s">
        <v>44</v>
      </c>
      <c r="AC3853" s="4">
        <v>6.0068705900000001</v>
      </c>
      <c r="AD3853" s="4">
        <v>5.8475737299999997</v>
      </c>
      <c r="AE3853" s="2">
        <v>6.01</v>
      </c>
      <c r="AF3853" s="4">
        <v>5.8475737299999997</v>
      </c>
      <c r="AG3853" s="2">
        <v>1.1599999999999999</v>
      </c>
      <c r="AH3853" s="2">
        <v>2020763.11</v>
      </c>
      <c r="AI3853" s="2">
        <v>0</v>
      </c>
      <c r="AJ3853" s="5">
        <v>44673</v>
      </c>
      <c r="AK3853" t="s">
        <v>13019</v>
      </c>
      <c r="AL3853" s="2">
        <v>5.92</v>
      </c>
      <c r="AM3853" s="2">
        <v>5.95</v>
      </c>
      <c r="AN3853" s="2">
        <v>0.77</v>
      </c>
      <c r="AO3853" t="s">
        <v>11036</v>
      </c>
      <c r="AP3853" t="s">
        <v>11044</v>
      </c>
      <c r="AQ3853" t="s">
        <v>11043</v>
      </c>
    </row>
    <row r="3854" spans="1:43" x14ac:dyDescent="0.2">
      <c r="A3854" t="s">
        <v>12998</v>
      </c>
      <c r="B3854" t="s">
        <v>11038</v>
      </c>
      <c r="C3854" t="s">
        <v>11039</v>
      </c>
      <c r="D3854" t="s">
        <v>11626</v>
      </c>
      <c r="E3854" t="s">
        <v>11627</v>
      </c>
      <c r="F3854" t="s">
        <v>11626</v>
      </c>
      <c r="G3854" s="1">
        <v>5000000</v>
      </c>
      <c r="H3854" s="2">
        <v>5000000</v>
      </c>
      <c r="I3854" s="2">
        <v>5007646.1500000004</v>
      </c>
      <c r="J3854" s="2">
        <v>50681.51</v>
      </c>
      <c r="K3854" s="2">
        <v>0</v>
      </c>
      <c r="L3854" s="2">
        <v>5058327.66</v>
      </c>
      <c r="M3854" s="3">
        <v>4.7030979999999998</v>
      </c>
      <c r="N3854" s="4">
        <v>1.1508239999999999E-2</v>
      </c>
      <c r="O3854" s="5">
        <v>44690</v>
      </c>
      <c r="P3854" s="5">
        <v>44872</v>
      </c>
      <c r="Q3854" s="1">
        <v>4.9329999999999998</v>
      </c>
      <c r="R3854" s="2">
        <v>0.04</v>
      </c>
      <c r="S3854" s="6">
        <v>3.5480725949000001E-2</v>
      </c>
      <c r="T3854" t="s">
        <v>111</v>
      </c>
      <c r="U3854" t="s">
        <v>11040</v>
      </c>
      <c r="V3854" t="s">
        <v>11189</v>
      </c>
      <c r="W3854" t="s">
        <v>43</v>
      </c>
      <c r="X3854" t="s">
        <v>11034</v>
      </c>
      <c r="Y3854" t="s">
        <v>44</v>
      </c>
      <c r="Z3854" t="s">
        <v>44</v>
      </c>
      <c r="AA3854" t="s">
        <v>10979</v>
      </c>
      <c r="AB3854" t="s">
        <v>44</v>
      </c>
      <c r="AC3854" s="4">
        <v>4.8110071799999998</v>
      </c>
      <c r="AD3854" s="4">
        <v>4.7080728000000001</v>
      </c>
      <c r="AE3854" s="2">
        <v>4.8099999999999996</v>
      </c>
      <c r="AF3854" s="4">
        <v>4.7080728000000001</v>
      </c>
      <c r="AG3854" s="2">
        <v>2.91</v>
      </c>
      <c r="AH3854" s="2">
        <v>5058327.66</v>
      </c>
      <c r="AI3854" s="2">
        <v>0.01</v>
      </c>
      <c r="AJ3854" s="5">
        <v>44673</v>
      </c>
      <c r="AK3854" t="s">
        <v>13019</v>
      </c>
      <c r="AL3854" s="2">
        <v>4.75</v>
      </c>
      <c r="AM3854" s="2">
        <v>4.93</v>
      </c>
      <c r="AN3854" s="2">
        <v>0.04</v>
      </c>
      <c r="AO3854" t="s">
        <v>11179</v>
      </c>
      <c r="AP3854" t="s">
        <v>11628</v>
      </c>
      <c r="AQ3854" t="s">
        <v>11627</v>
      </c>
    </row>
    <row r="3855" spans="1:43" x14ac:dyDescent="0.2">
      <c r="A3855" t="s">
        <v>12998</v>
      </c>
      <c r="B3855" t="s">
        <v>11038</v>
      </c>
      <c r="C3855" t="s">
        <v>11222</v>
      </c>
      <c r="D3855" t="s">
        <v>12360</v>
      </c>
      <c r="E3855" t="s">
        <v>12361</v>
      </c>
      <c r="F3855" t="s">
        <v>12360</v>
      </c>
      <c r="G3855" s="1">
        <v>2000000</v>
      </c>
      <c r="H3855" s="2">
        <v>2000000</v>
      </c>
      <c r="I3855" s="2">
        <v>1946978.85</v>
      </c>
      <c r="J3855" s="2">
        <v>22505.21</v>
      </c>
      <c r="K3855" s="2">
        <v>0</v>
      </c>
      <c r="L3855" s="2">
        <v>1969484.06</v>
      </c>
      <c r="M3855" s="3">
        <v>7.3050300000000004</v>
      </c>
      <c r="N3855" s="4">
        <v>4.4807900000000001E-3</v>
      </c>
      <c r="O3855" s="5">
        <v>44788</v>
      </c>
      <c r="P3855" s="5">
        <v>45517</v>
      </c>
      <c r="Q3855" s="1">
        <v>6.04</v>
      </c>
      <c r="R3855" s="2">
        <v>2.16</v>
      </c>
      <c r="S3855" s="6">
        <v>2.08371314568</v>
      </c>
      <c r="T3855" t="s">
        <v>111</v>
      </c>
      <c r="U3855" t="s">
        <v>11040</v>
      </c>
      <c r="V3855" t="s">
        <v>11041</v>
      </c>
      <c r="W3855" t="s">
        <v>43</v>
      </c>
      <c r="X3855" t="s">
        <v>44</v>
      </c>
      <c r="Y3855" t="s">
        <v>44</v>
      </c>
      <c r="Z3855" t="s">
        <v>44</v>
      </c>
      <c r="AA3855" t="s">
        <v>10979</v>
      </c>
      <c r="AB3855" t="s">
        <v>44</v>
      </c>
      <c r="AC3855" s="4">
        <v>7.4384384499999996</v>
      </c>
      <c r="AD3855" s="4">
        <v>7.1962749700000002</v>
      </c>
      <c r="AE3855" s="2">
        <v>7.44</v>
      </c>
      <c r="AF3855" s="4">
        <v>7.1962749700000002</v>
      </c>
      <c r="AG3855" s="2">
        <v>1.1299999999999999</v>
      </c>
      <c r="AH3855" s="2">
        <v>1969484.06</v>
      </c>
      <c r="AI3855" s="2">
        <v>0</v>
      </c>
      <c r="AJ3855" s="5">
        <v>44673</v>
      </c>
      <c r="AK3855" t="s">
        <v>13019</v>
      </c>
      <c r="AL3855" s="2">
        <v>7.31</v>
      </c>
      <c r="AM3855" s="2">
        <v>6.04</v>
      </c>
      <c r="AN3855" s="2">
        <v>2.08</v>
      </c>
      <c r="AO3855" t="s">
        <v>11054</v>
      </c>
      <c r="AP3855" t="s">
        <v>12362</v>
      </c>
      <c r="AQ3855" t="s">
        <v>12361</v>
      </c>
    </row>
    <row r="3856" spans="1:43" x14ac:dyDescent="0.2">
      <c r="A3856" t="s">
        <v>12998</v>
      </c>
      <c r="B3856" t="s">
        <v>11038</v>
      </c>
      <c r="C3856" t="s">
        <v>11222</v>
      </c>
      <c r="D3856" t="s">
        <v>12363</v>
      </c>
      <c r="E3856" t="s">
        <v>12364</v>
      </c>
      <c r="F3856" t="s">
        <v>12363</v>
      </c>
      <c r="G3856" s="1">
        <v>1000000</v>
      </c>
      <c r="H3856" s="2">
        <v>1000000</v>
      </c>
      <c r="I3856" s="2">
        <v>971628.06</v>
      </c>
      <c r="J3856" s="2">
        <v>8861.92</v>
      </c>
      <c r="K3856" s="2">
        <v>0</v>
      </c>
      <c r="L3856" s="2">
        <v>980489.98</v>
      </c>
      <c r="M3856" s="3">
        <v>7.3248699999999998</v>
      </c>
      <c r="N3856" s="4">
        <v>2.2307199999999998E-3</v>
      </c>
      <c r="O3856" s="5">
        <v>44802</v>
      </c>
      <c r="P3856" s="5">
        <v>45531</v>
      </c>
      <c r="Q3856" s="1">
        <v>5.99</v>
      </c>
      <c r="R3856" s="2">
        <v>2.2000000000000002</v>
      </c>
      <c r="S3856" s="6">
        <v>2.1214710781399999</v>
      </c>
      <c r="T3856" t="s">
        <v>111</v>
      </c>
      <c r="U3856" t="s">
        <v>11040</v>
      </c>
      <c r="V3856" t="s">
        <v>11041</v>
      </c>
      <c r="W3856" t="s">
        <v>43</v>
      </c>
      <c r="X3856" t="s">
        <v>44</v>
      </c>
      <c r="Y3856" t="s">
        <v>44</v>
      </c>
      <c r="Z3856" t="s">
        <v>44</v>
      </c>
      <c r="AA3856" t="s">
        <v>10979</v>
      </c>
      <c r="AB3856" t="s">
        <v>44</v>
      </c>
      <c r="AC3856" s="4">
        <v>7.4590046399999999</v>
      </c>
      <c r="AD3856" s="4">
        <v>7.2155303799999997</v>
      </c>
      <c r="AE3856" s="2">
        <v>7.46</v>
      </c>
      <c r="AF3856" s="4">
        <v>7.2155303799999997</v>
      </c>
      <c r="AG3856" s="2">
        <v>0.56000000000000005</v>
      </c>
      <c r="AH3856" s="2">
        <v>980489.98</v>
      </c>
      <c r="AI3856" s="2">
        <v>0</v>
      </c>
      <c r="AJ3856" s="5">
        <v>44673</v>
      </c>
      <c r="AK3856" t="s">
        <v>13019</v>
      </c>
      <c r="AL3856" s="2">
        <v>7.32</v>
      </c>
      <c r="AM3856" s="2">
        <v>5.99</v>
      </c>
      <c r="AN3856" s="2">
        <v>2.12</v>
      </c>
      <c r="AO3856" t="s">
        <v>11054</v>
      </c>
      <c r="AP3856" t="s">
        <v>12365</v>
      </c>
      <c r="AQ3856" t="s">
        <v>12364</v>
      </c>
    </row>
    <row r="3857" spans="1:43" x14ac:dyDescent="0.2">
      <c r="A3857" t="s">
        <v>12998</v>
      </c>
      <c r="B3857" t="s">
        <v>11038</v>
      </c>
      <c r="C3857" t="s">
        <v>11222</v>
      </c>
      <c r="D3857" t="s">
        <v>12965</v>
      </c>
      <c r="E3857" t="s">
        <v>12966</v>
      </c>
      <c r="F3857" t="s">
        <v>12965</v>
      </c>
      <c r="G3857" s="1">
        <v>1000000</v>
      </c>
      <c r="H3857" s="2">
        <v>1000000</v>
      </c>
      <c r="I3857" s="2">
        <v>1000146.14</v>
      </c>
      <c r="J3857" s="2">
        <v>1937.81</v>
      </c>
      <c r="K3857" s="2">
        <v>0</v>
      </c>
      <c r="L3857" s="2">
        <v>1002083.95</v>
      </c>
      <c r="M3857" s="3">
        <v>6.4004060000000003</v>
      </c>
      <c r="N3857" s="4">
        <v>2.2798499999999999E-3</v>
      </c>
      <c r="O3857" s="5">
        <v>45057</v>
      </c>
      <c r="P3857" s="5">
        <v>45057</v>
      </c>
      <c r="Q3857" s="1">
        <v>6.43</v>
      </c>
      <c r="R3857" s="2">
        <v>1.04</v>
      </c>
      <c r="S3857" s="6">
        <v>0.97846466510999996</v>
      </c>
      <c r="T3857" t="s">
        <v>111</v>
      </c>
      <c r="U3857" t="s">
        <v>11040</v>
      </c>
      <c r="V3857" t="s">
        <v>11041</v>
      </c>
      <c r="W3857" t="s">
        <v>43</v>
      </c>
      <c r="X3857" t="s">
        <v>11034</v>
      </c>
      <c r="Y3857" t="s">
        <v>44</v>
      </c>
      <c r="Z3857" t="s">
        <v>44</v>
      </c>
      <c r="AA3857" t="s">
        <v>10979</v>
      </c>
      <c r="AB3857" t="s">
        <v>44</v>
      </c>
      <c r="AC3857" s="4">
        <v>6.3916291899999997</v>
      </c>
      <c r="AD3857" s="4">
        <v>6.2116933599999999</v>
      </c>
      <c r="AE3857" s="2">
        <v>6.39</v>
      </c>
      <c r="AF3857" s="4">
        <v>6.2116933599999999</v>
      </c>
      <c r="AG3857" s="2">
        <v>0.57999999999999996</v>
      </c>
      <c r="AH3857" s="2">
        <v>1002083.95</v>
      </c>
      <c r="AI3857" s="2">
        <v>0</v>
      </c>
      <c r="AJ3857" s="5">
        <v>44673</v>
      </c>
      <c r="AK3857" t="s">
        <v>13019</v>
      </c>
      <c r="AL3857" s="2">
        <v>6.29</v>
      </c>
      <c r="AM3857" s="2">
        <v>6.43</v>
      </c>
      <c r="AN3857" s="2">
        <v>0.98</v>
      </c>
      <c r="AO3857" t="s">
        <v>11054</v>
      </c>
      <c r="AP3857" t="s">
        <v>12967</v>
      </c>
      <c r="AQ3857" t="s">
        <v>12966</v>
      </c>
    </row>
    <row r="3858" spans="1:43" x14ac:dyDescent="0.2">
      <c r="A3858" t="s">
        <v>12998</v>
      </c>
      <c r="B3858" t="s">
        <v>11038</v>
      </c>
      <c r="C3858" t="s">
        <v>11222</v>
      </c>
      <c r="D3858" t="s">
        <v>11888</v>
      </c>
      <c r="E3858" t="s">
        <v>11889</v>
      </c>
      <c r="F3858" t="s">
        <v>11888</v>
      </c>
      <c r="G3858" s="1">
        <v>1800000</v>
      </c>
      <c r="H3858" s="2">
        <v>1800000</v>
      </c>
      <c r="I3858" s="2">
        <v>1806127.26</v>
      </c>
      <c r="J3858" s="2">
        <v>13714.47</v>
      </c>
      <c r="K3858" s="2">
        <v>0</v>
      </c>
      <c r="L3858" s="2">
        <v>1819841.73</v>
      </c>
      <c r="M3858" s="3">
        <v>5.6397240000000002</v>
      </c>
      <c r="N3858" s="4">
        <v>4.1403400000000002E-3</v>
      </c>
      <c r="O3858" s="5">
        <v>44718</v>
      </c>
      <c r="P3858" s="5">
        <v>45083</v>
      </c>
      <c r="Q3858" s="1">
        <v>5.9169999999999998</v>
      </c>
      <c r="R3858" s="2">
        <v>0.12</v>
      </c>
      <c r="S3858" s="6">
        <v>0.10153073584699999</v>
      </c>
      <c r="T3858" t="s">
        <v>111</v>
      </c>
      <c r="U3858" t="s">
        <v>11040</v>
      </c>
      <c r="V3858" t="s">
        <v>114</v>
      </c>
      <c r="W3858" t="s">
        <v>43</v>
      </c>
      <c r="X3858" t="s">
        <v>10988</v>
      </c>
      <c r="Y3858" t="s">
        <v>44</v>
      </c>
      <c r="Z3858" t="s">
        <v>44</v>
      </c>
      <c r="AA3858" t="s">
        <v>10913</v>
      </c>
      <c r="AB3858" t="s">
        <v>44</v>
      </c>
      <c r="AC3858" s="4">
        <v>5.7825122599999998</v>
      </c>
      <c r="AD3858" s="4">
        <v>5.63469072</v>
      </c>
      <c r="AE3858" s="2">
        <v>5.78</v>
      </c>
      <c r="AF3858" s="4">
        <v>5.63469072</v>
      </c>
      <c r="AG3858" s="2">
        <v>1.05</v>
      </c>
      <c r="AH3858" s="2">
        <v>1819841.73</v>
      </c>
      <c r="AI3858" s="2">
        <v>0</v>
      </c>
      <c r="AJ3858" s="5">
        <v>44673</v>
      </c>
      <c r="AK3858" t="s">
        <v>13019</v>
      </c>
      <c r="AL3858" s="2">
        <v>5.7</v>
      </c>
      <c r="AM3858" s="2">
        <v>5.92</v>
      </c>
      <c r="AN3858" s="2">
        <v>0.1</v>
      </c>
      <c r="AO3858" t="s">
        <v>11563</v>
      </c>
      <c r="AP3858" t="s">
        <v>11890</v>
      </c>
      <c r="AQ3858" t="s">
        <v>11889</v>
      </c>
    </row>
    <row r="3859" spans="1:43" x14ac:dyDescent="0.2">
      <c r="A3859" t="s">
        <v>12998</v>
      </c>
      <c r="B3859" t="s">
        <v>11038</v>
      </c>
      <c r="C3859" t="s">
        <v>11222</v>
      </c>
      <c r="D3859" t="s">
        <v>12730</v>
      </c>
      <c r="E3859" t="s">
        <v>12731</v>
      </c>
      <c r="F3859" t="s">
        <v>12730</v>
      </c>
      <c r="G3859" s="1">
        <v>1200000</v>
      </c>
      <c r="H3859" s="2">
        <v>1200000</v>
      </c>
      <c r="I3859" s="2">
        <v>1200000.75</v>
      </c>
      <c r="J3859" s="2">
        <v>6252.56</v>
      </c>
      <c r="K3859" s="2">
        <v>0</v>
      </c>
      <c r="L3859" s="2">
        <v>1206253.31</v>
      </c>
      <c r="M3859" s="3">
        <v>6.4543710000000001</v>
      </c>
      <c r="N3859" s="4">
        <v>2.7443599999999999E-3</v>
      </c>
      <c r="O3859" s="5">
        <v>44739</v>
      </c>
      <c r="P3859" s="5">
        <v>46563</v>
      </c>
      <c r="Q3859" s="1">
        <v>6.5579999999999998</v>
      </c>
      <c r="R3859" s="2">
        <v>0.17</v>
      </c>
      <c r="S3859" s="6">
        <v>0.10239071847800001</v>
      </c>
      <c r="T3859" t="s">
        <v>111</v>
      </c>
      <c r="U3859" t="s">
        <v>11040</v>
      </c>
      <c r="V3859" t="s">
        <v>11189</v>
      </c>
      <c r="W3859" t="s">
        <v>43</v>
      </c>
      <c r="X3859" t="s">
        <v>11034</v>
      </c>
      <c r="Y3859" t="s">
        <v>44</v>
      </c>
      <c r="Z3859" t="s">
        <v>44</v>
      </c>
      <c r="AA3859" t="s">
        <v>11035</v>
      </c>
      <c r="AB3859" t="s">
        <v>44</v>
      </c>
      <c r="AC3859" s="4">
        <v>6.6291599999999997</v>
      </c>
      <c r="AD3859" s="4">
        <v>6.4358805400000003</v>
      </c>
      <c r="AE3859" s="2">
        <v>6.63</v>
      </c>
      <c r="AF3859" s="4">
        <v>6.4358805400000003</v>
      </c>
      <c r="AG3859" s="2">
        <v>0.69</v>
      </c>
      <c r="AH3859" s="2">
        <v>1206253.31</v>
      </c>
      <c r="AI3859" s="2">
        <v>0</v>
      </c>
      <c r="AJ3859" s="5">
        <v>44673</v>
      </c>
      <c r="AK3859" t="s">
        <v>13019</v>
      </c>
      <c r="AL3859" s="2">
        <v>6.52</v>
      </c>
      <c r="AM3859" s="2">
        <v>6.56</v>
      </c>
      <c r="AN3859" s="2">
        <v>0.1</v>
      </c>
      <c r="AO3859" t="s">
        <v>11226</v>
      </c>
      <c r="AP3859" t="s">
        <v>12732</v>
      </c>
      <c r="AQ3859" t="s">
        <v>12731</v>
      </c>
    </row>
    <row r="3860" spans="1:43" x14ac:dyDescent="0.2">
      <c r="A3860" t="s">
        <v>12998</v>
      </c>
      <c r="B3860" t="s">
        <v>11038</v>
      </c>
      <c r="C3860" t="s">
        <v>11222</v>
      </c>
      <c r="D3860" t="s">
        <v>11891</v>
      </c>
      <c r="E3860" t="s">
        <v>11892</v>
      </c>
      <c r="F3860" t="s">
        <v>11891</v>
      </c>
      <c r="G3860" s="1">
        <v>2000000</v>
      </c>
      <c r="H3860" s="2">
        <v>2000000</v>
      </c>
      <c r="I3860" s="2">
        <v>2003014.69</v>
      </c>
      <c r="J3860" s="2">
        <v>17149.32</v>
      </c>
      <c r="K3860" s="2">
        <v>0</v>
      </c>
      <c r="L3860" s="2">
        <v>2020164.01</v>
      </c>
      <c r="M3860" s="3">
        <v>7.9353490000000004</v>
      </c>
      <c r="N3860" s="4">
        <v>4.5960899999999997E-3</v>
      </c>
      <c r="O3860" s="5">
        <v>44727</v>
      </c>
      <c r="P3860" s="5">
        <v>45642</v>
      </c>
      <c r="Q3860" s="1">
        <v>8.0250000000000004</v>
      </c>
      <c r="R3860" s="2">
        <v>0.14000000000000001</v>
      </c>
      <c r="S3860" s="6">
        <v>7.6335008319000003E-2</v>
      </c>
      <c r="T3860" t="s">
        <v>111</v>
      </c>
      <c r="U3860" t="s">
        <v>11040</v>
      </c>
      <c r="V3860" t="s">
        <v>114</v>
      </c>
      <c r="W3860" t="s">
        <v>43</v>
      </c>
      <c r="X3860" t="s">
        <v>10988</v>
      </c>
      <c r="Y3860" t="s">
        <v>44</v>
      </c>
      <c r="Z3860" t="s">
        <v>44</v>
      </c>
      <c r="AA3860" t="s">
        <v>44</v>
      </c>
      <c r="AB3860" t="s">
        <v>44</v>
      </c>
      <c r="AC3860" s="4">
        <v>8.2114278699999996</v>
      </c>
      <c r="AD3860" s="4">
        <v>7.9176856799999999</v>
      </c>
      <c r="AE3860" s="2">
        <v>8.2100000000000009</v>
      </c>
      <c r="AF3860" s="4">
        <v>7.9176856799999999</v>
      </c>
      <c r="AG3860" s="2">
        <v>1.1599999999999999</v>
      </c>
      <c r="AH3860" s="2">
        <v>2020164.01</v>
      </c>
      <c r="AI3860" s="2">
        <v>0</v>
      </c>
      <c r="AJ3860" s="5">
        <v>44673</v>
      </c>
      <c r="AK3860" t="s">
        <v>13019</v>
      </c>
      <c r="AL3860" s="2">
        <v>8.0500000000000007</v>
      </c>
      <c r="AM3860" s="2">
        <v>8.0299999999999994</v>
      </c>
      <c r="AN3860" s="2">
        <v>0.08</v>
      </c>
      <c r="AO3860" t="s">
        <v>11871</v>
      </c>
      <c r="AP3860" t="s">
        <v>11893</v>
      </c>
      <c r="AQ3860" t="s">
        <v>11892</v>
      </c>
    </row>
    <row r="3861" spans="1:43" x14ac:dyDescent="0.2">
      <c r="A3861" t="s">
        <v>12998</v>
      </c>
      <c r="B3861" t="s">
        <v>11038</v>
      </c>
      <c r="C3861" t="s">
        <v>11222</v>
      </c>
      <c r="D3861" t="s">
        <v>11648</v>
      </c>
      <c r="E3861" t="s">
        <v>11649</v>
      </c>
      <c r="F3861" t="s">
        <v>11648</v>
      </c>
      <c r="G3861" s="1">
        <v>2400000</v>
      </c>
      <c r="H3861" s="2">
        <v>2400000</v>
      </c>
      <c r="I3861" s="2">
        <v>2406960.59</v>
      </c>
      <c r="J3861" s="2">
        <v>21897.07</v>
      </c>
      <c r="K3861" s="2">
        <v>0</v>
      </c>
      <c r="L3861" s="2">
        <v>2428857.66</v>
      </c>
      <c r="M3861" s="3">
        <v>6.0302819999999997</v>
      </c>
      <c r="N3861" s="4">
        <v>5.5259100000000002E-3</v>
      </c>
      <c r="O3861" s="5">
        <v>44712</v>
      </c>
      <c r="P3861" s="5">
        <v>45260</v>
      </c>
      <c r="Q3861" s="1">
        <v>6.1669999999999998</v>
      </c>
      <c r="R3861" s="2">
        <v>0.1</v>
      </c>
      <c r="S3861" s="6">
        <v>7.8177650525999995E-2</v>
      </c>
      <c r="T3861" t="s">
        <v>111</v>
      </c>
      <c r="U3861" t="s">
        <v>11040</v>
      </c>
      <c r="V3861" t="s">
        <v>114</v>
      </c>
      <c r="W3861" t="s">
        <v>43</v>
      </c>
      <c r="X3861" t="s">
        <v>10988</v>
      </c>
      <c r="Y3861" t="s">
        <v>44</v>
      </c>
      <c r="Z3861" t="s">
        <v>44</v>
      </c>
      <c r="AA3861" t="s">
        <v>10979</v>
      </c>
      <c r="AB3861" t="s">
        <v>44</v>
      </c>
      <c r="AC3861" s="4">
        <v>6.1968427300000002</v>
      </c>
      <c r="AD3861" s="4">
        <v>6.0275066400000004</v>
      </c>
      <c r="AE3861" s="2">
        <v>6.2</v>
      </c>
      <c r="AF3861" s="4">
        <v>6.0275066400000004</v>
      </c>
      <c r="AG3861" s="2">
        <v>1.4</v>
      </c>
      <c r="AH3861" s="2">
        <v>2428857.66</v>
      </c>
      <c r="AI3861" s="2">
        <v>0.01</v>
      </c>
      <c r="AJ3861" s="5">
        <v>44673</v>
      </c>
      <c r="AK3861" t="s">
        <v>13019</v>
      </c>
      <c r="AL3861" s="2">
        <v>6.1</v>
      </c>
      <c r="AM3861" s="2">
        <v>6.17</v>
      </c>
      <c r="AN3861" s="2">
        <v>0.08</v>
      </c>
      <c r="AO3861" t="s">
        <v>11048</v>
      </c>
      <c r="AP3861" t="s">
        <v>11650</v>
      </c>
      <c r="AQ3861" t="s">
        <v>11649</v>
      </c>
    </row>
    <row r="3862" spans="1:43" x14ac:dyDescent="0.2">
      <c r="A3862" t="s">
        <v>12998</v>
      </c>
      <c r="B3862" t="s">
        <v>11038</v>
      </c>
      <c r="C3862" t="s">
        <v>11222</v>
      </c>
      <c r="D3862" t="s">
        <v>11894</v>
      </c>
      <c r="E3862" t="s">
        <v>11895</v>
      </c>
      <c r="F3862" t="s">
        <v>11894</v>
      </c>
      <c r="G3862" s="1">
        <v>1800000</v>
      </c>
      <c r="H3862" s="2">
        <v>1800000</v>
      </c>
      <c r="I3862" s="2">
        <v>1799839.3</v>
      </c>
      <c r="J3862" s="2">
        <v>12164.79</v>
      </c>
      <c r="K3862" s="2">
        <v>0</v>
      </c>
      <c r="L3862" s="2">
        <v>1812004.09</v>
      </c>
      <c r="M3862" s="3">
        <v>6.3053489999999996</v>
      </c>
      <c r="N3862" s="4">
        <v>4.1225000000000003E-3</v>
      </c>
      <c r="O3862" s="5">
        <v>44727</v>
      </c>
      <c r="P3862" s="5">
        <v>45366</v>
      </c>
      <c r="Q3862" s="1">
        <v>6.3250000000000002</v>
      </c>
      <c r="R3862" s="2">
        <v>0.14000000000000001</v>
      </c>
      <c r="S3862" s="6">
        <v>0.10845508335</v>
      </c>
      <c r="T3862" t="s">
        <v>111</v>
      </c>
      <c r="U3862" t="s">
        <v>11040</v>
      </c>
      <c r="V3862" t="s">
        <v>114</v>
      </c>
      <c r="W3862" t="s">
        <v>43</v>
      </c>
      <c r="X3862" t="s">
        <v>10988</v>
      </c>
      <c r="Y3862" t="s">
        <v>44</v>
      </c>
      <c r="Z3862" t="s">
        <v>44</v>
      </c>
      <c r="AA3862" t="s">
        <v>10979</v>
      </c>
      <c r="AB3862" t="s">
        <v>44</v>
      </c>
      <c r="AC3862" s="4">
        <v>6.4789744799999998</v>
      </c>
      <c r="AD3862" s="4">
        <v>6.2941851800000004</v>
      </c>
      <c r="AE3862" s="2">
        <v>6.48</v>
      </c>
      <c r="AF3862" s="4">
        <v>6.2941851800000004</v>
      </c>
      <c r="AG3862" s="2">
        <v>1.04</v>
      </c>
      <c r="AH3862" s="2">
        <v>1812004.09</v>
      </c>
      <c r="AI3862" s="2">
        <v>0</v>
      </c>
      <c r="AJ3862" s="5">
        <v>44673</v>
      </c>
      <c r="AK3862" t="s">
        <v>13019</v>
      </c>
      <c r="AL3862" s="2">
        <v>6.38</v>
      </c>
      <c r="AM3862" s="2">
        <v>6.33</v>
      </c>
      <c r="AN3862" s="2">
        <v>0.11</v>
      </c>
      <c r="AO3862" t="s">
        <v>11567</v>
      </c>
      <c r="AP3862" t="s">
        <v>11896</v>
      </c>
      <c r="AQ3862" t="s">
        <v>11895</v>
      </c>
    </row>
    <row r="3863" spans="1:43" x14ac:dyDescent="0.2">
      <c r="A3863" t="s">
        <v>12998</v>
      </c>
      <c r="B3863" t="s">
        <v>11038</v>
      </c>
      <c r="C3863" t="s">
        <v>11222</v>
      </c>
      <c r="D3863" t="s">
        <v>11897</v>
      </c>
      <c r="E3863" t="s">
        <v>11898</v>
      </c>
      <c r="F3863" t="s">
        <v>11897</v>
      </c>
      <c r="G3863" s="1">
        <v>700000</v>
      </c>
      <c r="H3863" s="2">
        <v>700000</v>
      </c>
      <c r="I3863" s="2">
        <v>699908.62</v>
      </c>
      <c r="J3863" s="2">
        <v>5603.82</v>
      </c>
      <c r="K3863" s="2">
        <v>0</v>
      </c>
      <c r="L3863" s="2">
        <v>705512.44</v>
      </c>
      <c r="M3863" s="3">
        <v>6.2678570000000002</v>
      </c>
      <c r="N3863" s="4">
        <v>1.60512E-3</v>
      </c>
      <c r="O3863" s="5">
        <v>44719</v>
      </c>
      <c r="P3863" s="5">
        <v>45723</v>
      </c>
      <c r="Q3863" s="1">
        <v>6.2169999999999996</v>
      </c>
      <c r="R3863" s="2">
        <v>0.12</v>
      </c>
      <c r="S3863" s="6">
        <v>7.7282729554999999E-2</v>
      </c>
      <c r="T3863" t="s">
        <v>111</v>
      </c>
      <c r="U3863" t="s">
        <v>11040</v>
      </c>
      <c r="V3863" t="s">
        <v>114</v>
      </c>
      <c r="W3863" t="s">
        <v>43</v>
      </c>
      <c r="X3863" t="s">
        <v>10988</v>
      </c>
      <c r="Y3863" t="s">
        <v>44</v>
      </c>
      <c r="Z3863" t="s">
        <v>44</v>
      </c>
      <c r="AA3863" t="s">
        <v>11035</v>
      </c>
      <c r="AB3863" t="s">
        <v>44</v>
      </c>
      <c r="AC3863" s="4">
        <v>6.4439416999999999</v>
      </c>
      <c r="AD3863" s="4">
        <v>6.2611065000000004</v>
      </c>
      <c r="AE3863" s="2">
        <v>6.44</v>
      </c>
      <c r="AF3863" s="4">
        <v>6.2611065000000004</v>
      </c>
      <c r="AG3863" s="2">
        <v>0.41</v>
      </c>
      <c r="AH3863" s="2">
        <v>705512.44</v>
      </c>
      <c r="AI3863" s="2">
        <v>0</v>
      </c>
      <c r="AJ3863" s="5">
        <v>44673</v>
      </c>
      <c r="AK3863" t="s">
        <v>13019</v>
      </c>
      <c r="AL3863" s="2">
        <v>6.34</v>
      </c>
      <c r="AM3863" s="2">
        <v>6.22</v>
      </c>
      <c r="AN3863" s="2">
        <v>0.08</v>
      </c>
      <c r="AO3863" t="s">
        <v>11437</v>
      </c>
      <c r="AP3863" t="s">
        <v>11899</v>
      </c>
      <c r="AQ3863" t="s">
        <v>11898</v>
      </c>
    </row>
    <row r="3864" spans="1:43" x14ac:dyDescent="0.2">
      <c r="A3864" t="s">
        <v>12998</v>
      </c>
      <c r="B3864" t="s">
        <v>11038</v>
      </c>
      <c r="C3864" t="s">
        <v>11222</v>
      </c>
      <c r="D3864" t="s">
        <v>11924</v>
      </c>
      <c r="E3864" t="s">
        <v>11925</v>
      </c>
      <c r="F3864" t="s">
        <v>11924</v>
      </c>
      <c r="G3864" s="1">
        <v>2600000</v>
      </c>
      <c r="H3864" s="2">
        <v>2599627.31</v>
      </c>
      <c r="I3864" s="2">
        <v>2667156.2599999998</v>
      </c>
      <c r="J3864" s="2">
        <v>1854.33</v>
      </c>
      <c r="K3864" s="2">
        <v>0</v>
      </c>
      <c r="L3864" s="2">
        <v>2669010.59</v>
      </c>
      <c r="M3864" s="3">
        <v>5.0620180000000001</v>
      </c>
      <c r="N3864" s="4">
        <v>6.0722900000000002E-3</v>
      </c>
      <c r="O3864" s="5">
        <v>44760</v>
      </c>
      <c r="P3864" s="5">
        <v>45400</v>
      </c>
      <c r="Q3864" s="1">
        <v>6.508</v>
      </c>
      <c r="R3864" s="2">
        <v>0.23</v>
      </c>
      <c r="S3864" s="6">
        <v>0.23106658820500001</v>
      </c>
      <c r="T3864" t="s">
        <v>111</v>
      </c>
      <c r="U3864" t="s">
        <v>11040</v>
      </c>
      <c r="V3864" t="s">
        <v>114</v>
      </c>
      <c r="W3864" t="s">
        <v>43</v>
      </c>
      <c r="X3864" t="s">
        <v>10988</v>
      </c>
      <c r="Y3864" t="s">
        <v>44</v>
      </c>
      <c r="Z3864" t="s">
        <v>44</v>
      </c>
      <c r="AA3864" t="s">
        <v>10913</v>
      </c>
      <c r="AB3864" t="s">
        <v>44</v>
      </c>
      <c r="AC3864" s="4">
        <v>5.1615543300000004</v>
      </c>
      <c r="AD3864" s="4">
        <v>5.04332782</v>
      </c>
      <c r="AE3864" s="2">
        <v>5.16</v>
      </c>
      <c r="AF3864" s="4">
        <v>5.04332782</v>
      </c>
      <c r="AG3864" s="2">
        <v>1.53</v>
      </c>
      <c r="AH3864" s="2">
        <v>2669010.59</v>
      </c>
      <c r="AI3864" s="2">
        <v>0.01</v>
      </c>
      <c r="AJ3864" s="5">
        <v>44673</v>
      </c>
      <c r="AK3864" t="s">
        <v>13019</v>
      </c>
      <c r="AL3864" s="2">
        <v>5.0999999999999996</v>
      </c>
      <c r="AM3864" s="2">
        <v>6.51</v>
      </c>
      <c r="AN3864" s="2">
        <v>0.23</v>
      </c>
      <c r="AO3864" t="s">
        <v>11563</v>
      </c>
      <c r="AP3864" t="s">
        <v>11926</v>
      </c>
      <c r="AQ3864" t="s">
        <v>11925</v>
      </c>
    </row>
    <row r="3865" spans="1:43" x14ac:dyDescent="0.2">
      <c r="A3865" t="s">
        <v>12998</v>
      </c>
      <c r="B3865" t="s">
        <v>11038</v>
      </c>
      <c r="C3865" t="s">
        <v>11222</v>
      </c>
      <c r="D3865" t="s">
        <v>11900</v>
      </c>
      <c r="E3865" t="s">
        <v>11901</v>
      </c>
      <c r="F3865" t="s">
        <v>11900</v>
      </c>
      <c r="G3865" s="1">
        <v>2200000</v>
      </c>
      <c r="H3865" s="2">
        <v>2200000</v>
      </c>
      <c r="I3865" s="2">
        <v>2207273.7999999998</v>
      </c>
      <c r="J3865" s="2">
        <v>27912.39</v>
      </c>
      <c r="K3865" s="2">
        <v>0</v>
      </c>
      <c r="L3865" s="2">
        <v>2235186.19</v>
      </c>
      <c r="M3865" s="3">
        <v>6.1260430000000001</v>
      </c>
      <c r="N3865" s="4">
        <v>5.0852900000000001E-3</v>
      </c>
      <c r="O3865" s="5">
        <v>44690</v>
      </c>
      <c r="P3865" s="5">
        <v>45330</v>
      </c>
      <c r="Q3865" s="1">
        <v>6.258</v>
      </c>
      <c r="R3865" s="2">
        <v>0.04</v>
      </c>
      <c r="S3865" s="6">
        <v>1.7773178866000001E-2</v>
      </c>
      <c r="T3865" t="s">
        <v>111</v>
      </c>
      <c r="U3865" t="s">
        <v>11040</v>
      </c>
      <c r="V3865" t="s">
        <v>114</v>
      </c>
      <c r="W3865" t="s">
        <v>43</v>
      </c>
      <c r="X3865" t="s">
        <v>10988</v>
      </c>
      <c r="Y3865" t="s">
        <v>44</v>
      </c>
      <c r="Z3865" t="s">
        <v>44</v>
      </c>
      <c r="AA3865" t="s">
        <v>10979</v>
      </c>
      <c r="AB3865" t="s">
        <v>44</v>
      </c>
      <c r="AC3865" s="4">
        <v>6.3099366400000001</v>
      </c>
      <c r="AD3865" s="4">
        <v>6.1344839599999998</v>
      </c>
      <c r="AE3865" s="2">
        <v>6.31</v>
      </c>
      <c r="AF3865" s="4">
        <v>6.1344839599999998</v>
      </c>
      <c r="AG3865" s="2">
        <v>1.28</v>
      </c>
      <c r="AH3865" s="2">
        <v>2235186.19</v>
      </c>
      <c r="AI3865" s="2">
        <v>0.01</v>
      </c>
      <c r="AJ3865" s="5">
        <v>44673</v>
      </c>
      <c r="AK3865" t="s">
        <v>13019</v>
      </c>
      <c r="AL3865" s="2">
        <v>6.21</v>
      </c>
      <c r="AM3865" s="2">
        <v>6.26</v>
      </c>
      <c r="AN3865" s="2">
        <v>0.02</v>
      </c>
      <c r="AO3865" t="s">
        <v>11824</v>
      </c>
      <c r="AP3865" t="s">
        <v>11902</v>
      </c>
      <c r="AQ3865" t="s">
        <v>11901</v>
      </c>
    </row>
    <row r="3866" spans="1:43" x14ac:dyDescent="0.2">
      <c r="A3866" t="s">
        <v>12998</v>
      </c>
      <c r="B3866" t="s">
        <v>11160</v>
      </c>
      <c r="C3866" t="s">
        <v>11161</v>
      </c>
      <c r="D3866" t="s">
        <v>11162</v>
      </c>
      <c r="E3866" t="s">
        <v>11163</v>
      </c>
      <c r="F3866" t="s">
        <v>11162</v>
      </c>
      <c r="G3866" s="1">
        <v>902</v>
      </c>
      <c r="H3866" s="2">
        <v>609932.81000000006</v>
      </c>
      <c r="I3866" s="2">
        <v>811800</v>
      </c>
      <c r="J3866" s="2">
        <v>0</v>
      </c>
      <c r="K3866" s="2">
        <v>22496.87</v>
      </c>
      <c r="L3866" s="2">
        <v>834296.87</v>
      </c>
      <c r="M3866" s="3">
        <v>90000</v>
      </c>
      <c r="N3866" s="4">
        <v>1.8981200000000001E-3</v>
      </c>
      <c r="O3866" s="5" t="s">
        <v>44</v>
      </c>
      <c r="P3866" s="5" t="s">
        <v>44</v>
      </c>
      <c r="Q3866" s="1"/>
      <c r="R3866" s="2"/>
      <c r="S3866" s="6"/>
      <c r="T3866" t="s">
        <v>10902</v>
      </c>
      <c r="U3866" t="s">
        <v>10902</v>
      </c>
      <c r="V3866" t="s">
        <v>11164</v>
      </c>
      <c r="W3866" t="s">
        <v>43</v>
      </c>
      <c r="X3866" t="s">
        <v>44</v>
      </c>
      <c r="Y3866" t="s">
        <v>44</v>
      </c>
      <c r="Z3866" t="s">
        <v>44</v>
      </c>
      <c r="AA3866" t="s">
        <v>10979</v>
      </c>
      <c r="AB3866" t="s">
        <v>44</v>
      </c>
      <c r="AC3866" s="4"/>
      <c r="AD3866" s="4"/>
      <c r="AE3866" s="2">
        <v>0</v>
      </c>
      <c r="AF3866" s="4">
        <v>0</v>
      </c>
      <c r="AG3866" s="2">
        <v>0.48</v>
      </c>
      <c r="AH3866" s="2">
        <v>834296.87</v>
      </c>
      <c r="AI3866" s="2">
        <v>0</v>
      </c>
      <c r="AJ3866" s="5">
        <v>44673</v>
      </c>
      <c r="AK3866" t="s">
        <v>13019</v>
      </c>
      <c r="AL3866" s="2">
        <v>0</v>
      </c>
      <c r="AM3866" s="2">
        <v>0</v>
      </c>
      <c r="AN3866" s="2">
        <v>0</v>
      </c>
      <c r="AO3866" t="s">
        <v>11165</v>
      </c>
      <c r="AP3866" t="s">
        <v>11166</v>
      </c>
      <c r="AQ3866" t="s">
        <v>11163</v>
      </c>
    </row>
    <row r="3867" spans="1:43" x14ac:dyDescent="0.2">
      <c r="A3867" t="s">
        <v>12998</v>
      </c>
      <c r="B3867" t="s">
        <v>11160</v>
      </c>
      <c r="C3867" t="s">
        <v>11161</v>
      </c>
      <c r="D3867" t="s">
        <v>11654</v>
      </c>
      <c r="E3867" t="s">
        <v>11655</v>
      </c>
      <c r="F3867" t="s">
        <v>11654</v>
      </c>
      <c r="G3867" s="1">
        <v>32813</v>
      </c>
      <c r="H3867" s="2">
        <v>2446985.9</v>
      </c>
      <c r="I3867" s="2">
        <v>3146438.57</v>
      </c>
      <c r="J3867" s="2">
        <v>0</v>
      </c>
      <c r="K3867" s="2">
        <v>0</v>
      </c>
      <c r="L3867" s="2">
        <v>3146438.57</v>
      </c>
      <c r="M3867" s="3">
        <v>9589</v>
      </c>
      <c r="N3867" s="4">
        <v>7.15849E-3</v>
      </c>
      <c r="O3867" s="5" t="s">
        <v>44</v>
      </c>
      <c r="P3867" s="5" t="s">
        <v>44</v>
      </c>
      <c r="Q3867" s="1"/>
      <c r="R3867" s="2"/>
      <c r="S3867" s="6"/>
      <c r="T3867" t="s">
        <v>10902</v>
      </c>
      <c r="U3867" t="s">
        <v>10902</v>
      </c>
      <c r="V3867" t="s">
        <v>11164</v>
      </c>
      <c r="W3867" t="s">
        <v>43</v>
      </c>
      <c r="X3867" t="s">
        <v>44</v>
      </c>
      <c r="Y3867" t="s">
        <v>44</v>
      </c>
      <c r="Z3867" t="s">
        <v>44</v>
      </c>
      <c r="AA3867" t="s">
        <v>10979</v>
      </c>
      <c r="AB3867" t="s">
        <v>44</v>
      </c>
      <c r="AC3867" s="4"/>
      <c r="AD3867" s="4"/>
      <c r="AE3867" s="2">
        <v>0</v>
      </c>
      <c r="AF3867" s="4">
        <v>0</v>
      </c>
      <c r="AG3867" s="2">
        <v>1.81</v>
      </c>
      <c r="AH3867" s="2">
        <v>3146438.57</v>
      </c>
      <c r="AI3867" s="2">
        <v>0.01</v>
      </c>
      <c r="AJ3867" s="5">
        <v>44673</v>
      </c>
      <c r="AK3867" t="s">
        <v>13019</v>
      </c>
      <c r="AL3867" s="2">
        <v>0</v>
      </c>
      <c r="AM3867" s="2">
        <v>0</v>
      </c>
      <c r="AN3867" s="2">
        <v>0</v>
      </c>
      <c r="AO3867" t="s">
        <v>11054</v>
      </c>
      <c r="AP3867" t="s">
        <v>11656</v>
      </c>
      <c r="AQ3867" t="s">
        <v>11655</v>
      </c>
    </row>
    <row r="3868" spans="1:43" x14ac:dyDescent="0.2">
      <c r="A3868" t="s">
        <v>12998</v>
      </c>
      <c r="B3868" t="s">
        <v>11160</v>
      </c>
      <c r="C3868" t="s">
        <v>11161</v>
      </c>
      <c r="D3868" t="s">
        <v>11176</v>
      </c>
      <c r="E3868" t="s">
        <v>11177</v>
      </c>
      <c r="F3868" t="s">
        <v>11178</v>
      </c>
      <c r="G3868" s="1">
        <v>46869</v>
      </c>
      <c r="H3868" s="2">
        <v>3453231.25</v>
      </c>
      <c r="I3868" s="2">
        <v>4330226.91</v>
      </c>
      <c r="J3868" s="2">
        <v>0</v>
      </c>
      <c r="K3868" s="2">
        <v>0</v>
      </c>
      <c r="L3868" s="2">
        <v>4330226.91</v>
      </c>
      <c r="M3868" s="3">
        <v>9239</v>
      </c>
      <c r="N3868" s="4">
        <v>9.8517299999999995E-3</v>
      </c>
      <c r="O3868" s="5" t="s">
        <v>44</v>
      </c>
      <c r="P3868" s="5" t="s">
        <v>44</v>
      </c>
      <c r="Q3868" s="1"/>
      <c r="R3868" s="2"/>
      <c r="S3868" s="6"/>
      <c r="T3868" t="s">
        <v>10902</v>
      </c>
      <c r="U3868" t="s">
        <v>10902</v>
      </c>
      <c r="V3868" t="s">
        <v>11164</v>
      </c>
      <c r="W3868" t="s">
        <v>43</v>
      </c>
      <c r="X3868" t="s">
        <v>44</v>
      </c>
      <c r="Y3868" t="s">
        <v>44</v>
      </c>
      <c r="Z3868" t="s">
        <v>44</v>
      </c>
      <c r="AA3868" t="s">
        <v>10979</v>
      </c>
      <c r="AB3868" t="s">
        <v>44</v>
      </c>
      <c r="AC3868" s="4"/>
      <c r="AD3868" s="4"/>
      <c r="AE3868" s="2">
        <v>0</v>
      </c>
      <c r="AF3868" s="4">
        <v>0</v>
      </c>
      <c r="AG3868" s="2">
        <v>2.4900000000000002</v>
      </c>
      <c r="AH3868" s="2">
        <v>4330226.91</v>
      </c>
      <c r="AI3868" s="2">
        <v>0.01</v>
      </c>
      <c r="AJ3868" s="5">
        <v>44673</v>
      </c>
      <c r="AK3868" t="s">
        <v>13019</v>
      </c>
      <c r="AL3868" s="2">
        <v>0</v>
      </c>
      <c r="AM3868" s="2">
        <v>0</v>
      </c>
      <c r="AN3868" s="2">
        <v>0</v>
      </c>
      <c r="AO3868" t="s">
        <v>11179</v>
      </c>
      <c r="AP3868" t="s">
        <v>11180</v>
      </c>
      <c r="AQ3868" t="s">
        <v>11177</v>
      </c>
    </row>
    <row r="3869" spans="1:43" x14ac:dyDescent="0.2">
      <c r="A3869" t="s">
        <v>12711</v>
      </c>
      <c r="B3869" t="s">
        <v>45</v>
      </c>
      <c r="C3869" t="s">
        <v>11000</v>
      </c>
      <c r="D3869" t="s">
        <v>11268</v>
      </c>
      <c r="E3869" t="s">
        <v>11269</v>
      </c>
      <c r="F3869" t="s">
        <v>11268</v>
      </c>
      <c r="G3869" s="1">
        <v>3314771.14</v>
      </c>
      <c r="H3869" s="2">
        <v>3314771.14</v>
      </c>
      <c r="I3869" s="2">
        <v>3314771.14</v>
      </c>
      <c r="J3869" s="2">
        <v>10648.5</v>
      </c>
      <c r="K3869" s="2">
        <v>0</v>
      </c>
      <c r="L3869" s="2">
        <v>3325419.64</v>
      </c>
      <c r="M3869" s="3">
        <v>4.617</v>
      </c>
      <c r="N3869" s="4">
        <v>7.5656899999999999E-3</v>
      </c>
      <c r="O3869" s="5" t="s">
        <v>44</v>
      </c>
      <c r="P3869" s="5">
        <v>47848</v>
      </c>
      <c r="Q3869" s="1">
        <v>4.617</v>
      </c>
      <c r="R3869" s="2">
        <v>0.08</v>
      </c>
      <c r="S3869" s="6"/>
      <c r="T3869" t="s">
        <v>112</v>
      </c>
      <c r="U3869" t="s">
        <v>46</v>
      </c>
      <c r="V3869" t="s">
        <v>11270</v>
      </c>
      <c r="W3869" t="s">
        <v>43</v>
      </c>
      <c r="X3869" t="s">
        <v>44</v>
      </c>
      <c r="Y3869" t="s">
        <v>44</v>
      </c>
      <c r="Z3869" t="s">
        <v>44</v>
      </c>
      <c r="AA3869" t="s">
        <v>44</v>
      </c>
      <c r="AB3869" t="s">
        <v>44</v>
      </c>
      <c r="AC3869" s="4">
        <v>4.7160921900000004</v>
      </c>
      <c r="AD3869" s="4">
        <v>4.6171215200000004</v>
      </c>
      <c r="AE3869" s="2">
        <v>4.72</v>
      </c>
      <c r="AF3869" s="4">
        <v>4.6171215200000004</v>
      </c>
      <c r="AG3869" s="2">
        <v>1.96</v>
      </c>
      <c r="AH3869" s="2">
        <v>3325419.64</v>
      </c>
      <c r="AI3869" s="2">
        <v>0.01</v>
      </c>
      <c r="AJ3869" s="5">
        <v>44673</v>
      </c>
      <c r="AK3869" t="s">
        <v>12712</v>
      </c>
      <c r="AL3869" s="2">
        <v>4.66</v>
      </c>
      <c r="AM3869" s="2">
        <v>4.62</v>
      </c>
      <c r="AN3869" s="2">
        <v>0</v>
      </c>
      <c r="AO3869" t="s">
        <v>44</v>
      </c>
      <c r="AP3869" t="s">
        <v>44</v>
      </c>
      <c r="AQ3869" t="s">
        <v>11269</v>
      </c>
    </row>
    <row r="3870" spans="1:43" x14ac:dyDescent="0.2">
      <c r="A3870" t="s">
        <v>12711</v>
      </c>
      <c r="B3870" t="s">
        <v>45</v>
      </c>
      <c r="C3870" t="s">
        <v>11000</v>
      </c>
      <c r="D3870" t="s">
        <v>11271</v>
      </c>
      <c r="E3870" t="s">
        <v>11272</v>
      </c>
      <c r="F3870" t="s">
        <v>11271</v>
      </c>
      <c r="G3870" s="1">
        <v>3150000</v>
      </c>
      <c r="H3870" s="2">
        <v>3150000</v>
      </c>
      <c r="I3870" s="2">
        <v>3150000</v>
      </c>
      <c r="J3870" s="2">
        <v>10119.18</v>
      </c>
      <c r="K3870" s="2">
        <v>0</v>
      </c>
      <c r="L3870" s="2">
        <v>3160119.18</v>
      </c>
      <c r="M3870" s="3">
        <v>4.617</v>
      </c>
      <c r="N3870" s="4">
        <v>7.1896099999999999E-3</v>
      </c>
      <c r="O3870" s="5" t="s">
        <v>44</v>
      </c>
      <c r="P3870" s="5">
        <v>47848</v>
      </c>
      <c r="Q3870" s="1">
        <v>4.617</v>
      </c>
      <c r="R3870" s="2">
        <v>0.08</v>
      </c>
      <c r="S3870" s="6"/>
      <c r="T3870" t="s">
        <v>112</v>
      </c>
      <c r="U3870" t="s">
        <v>46</v>
      </c>
      <c r="V3870" t="s">
        <v>11270</v>
      </c>
      <c r="W3870" t="s">
        <v>43</v>
      </c>
      <c r="X3870" t="s">
        <v>44</v>
      </c>
      <c r="Y3870" t="s">
        <v>44</v>
      </c>
      <c r="Z3870" t="s">
        <v>44</v>
      </c>
      <c r="AA3870" t="s">
        <v>44</v>
      </c>
      <c r="AB3870" t="s">
        <v>44</v>
      </c>
      <c r="AC3870" s="4">
        <v>4.7160921900000004</v>
      </c>
      <c r="AD3870" s="4">
        <v>4.6171215200000004</v>
      </c>
      <c r="AE3870" s="2">
        <v>4.72</v>
      </c>
      <c r="AF3870" s="4">
        <v>4.6171215200000004</v>
      </c>
      <c r="AG3870" s="2">
        <v>1.86</v>
      </c>
      <c r="AH3870" s="2">
        <v>3160119.18</v>
      </c>
      <c r="AI3870" s="2">
        <v>0.01</v>
      </c>
      <c r="AJ3870" s="5">
        <v>44673</v>
      </c>
      <c r="AK3870" t="s">
        <v>12712</v>
      </c>
      <c r="AL3870" s="2">
        <v>4.66</v>
      </c>
      <c r="AM3870" s="2">
        <v>4.62</v>
      </c>
      <c r="AN3870" s="2">
        <v>0</v>
      </c>
      <c r="AO3870" t="s">
        <v>44</v>
      </c>
      <c r="AP3870" t="s">
        <v>44</v>
      </c>
      <c r="AQ3870" t="s">
        <v>11272</v>
      </c>
    </row>
    <row r="3871" spans="1:43" x14ac:dyDescent="0.2">
      <c r="A3871" t="s">
        <v>12711</v>
      </c>
      <c r="B3871" t="s">
        <v>45</v>
      </c>
      <c r="C3871" t="s">
        <v>11000</v>
      </c>
      <c r="D3871" t="s">
        <v>11001</v>
      </c>
      <c r="E3871" t="s">
        <v>11002</v>
      </c>
      <c r="F3871" t="s">
        <v>11001</v>
      </c>
      <c r="G3871" s="1">
        <v>21309703.640000001</v>
      </c>
      <c r="H3871" s="2">
        <v>21309703.579999998</v>
      </c>
      <c r="I3871" s="2">
        <v>21309703.579999998</v>
      </c>
      <c r="J3871" s="2">
        <v>68055.81</v>
      </c>
      <c r="K3871" s="2">
        <v>0</v>
      </c>
      <c r="L3871" s="2">
        <v>21377759.390000001</v>
      </c>
      <c r="M3871" s="3"/>
      <c r="N3871" s="4">
        <v>4.8636699999999998E-2</v>
      </c>
      <c r="O3871" s="5">
        <v>40756</v>
      </c>
      <c r="P3871" s="5">
        <v>73020</v>
      </c>
      <c r="Q3871" s="1">
        <v>0</v>
      </c>
      <c r="R3871" s="2"/>
      <c r="S3871" s="6"/>
      <c r="T3871" t="s">
        <v>111</v>
      </c>
      <c r="U3871" t="s">
        <v>11003</v>
      </c>
      <c r="V3871" t="s">
        <v>46</v>
      </c>
      <c r="W3871" t="s">
        <v>43</v>
      </c>
      <c r="X3871" t="s">
        <v>44</v>
      </c>
      <c r="Y3871" t="s">
        <v>44</v>
      </c>
      <c r="Z3871" t="s">
        <v>44</v>
      </c>
      <c r="AA3871" t="s">
        <v>44</v>
      </c>
      <c r="AB3871" t="s">
        <v>44</v>
      </c>
      <c r="AC3871" s="4"/>
      <c r="AD3871" s="4"/>
      <c r="AE3871" s="2">
        <v>0</v>
      </c>
      <c r="AF3871" s="4">
        <v>0</v>
      </c>
      <c r="AG3871" s="2">
        <v>12.6</v>
      </c>
      <c r="AH3871" s="2">
        <v>21377759.390000001</v>
      </c>
      <c r="AI3871" s="2">
        <v>0.05</v>
      </c>
      <c r="AJ3871" s="5">
        <v>44673</v>
      </c>
      <c r="AK3871" t="s">
        <v>12712</v>
      </c>
      <c r="AL3871" s="2">
        <v>0</v>
      </c>
      <c r="AM3871" s="2">
        <v>0</v>
      </c>
      <c r="AN3871" s="2">
        <v>0</v>
      </c>
      <c r="AO3871" t="s">
        <v>44</v>
      </c>
      <c r="AP3871" t="s">
        <v>11004</v>
      </c>
      <c r="AQ3871" t="s">
        <v>11002</v>
      </c>
    </row>
    <row r="3872" spans="1:43" x14ac:dyDescent="0.2">
      <c r="A3872" t="s">
        <v>12711</v>
      </c>
      <c r="B3872" t="s">
        <v>45</v>
      </c>
      <c r="C3872" t="s">
        <v>11144</v>
      </c>
      <c r="D3872" t="s">
        <v>11145</v>
      </c>
      <c r="E3872" t="s">
        <v>11146</v>
      </c>
      <c r="F3872" t="s">
        <v>11147</v>
      </c>
      <c r="G3872" s="1">
        <v>2427719</v>
      </c>
      <c r="H3872" s="2">
        <v>2427719</v>
      </c>
      <c r="I3872" s="2">
        <v>2427719</v>
      </c>
      <c r="J3872" s="2">
        <v>6500.06</v>
      </c>
      <c r="K3872" s="2">
        <v>0</v>
      </c>
      <c r="L3872" s="2">
        <v>2434219.06</v>
      </c>
      <c r="M3872" s="3">
        <v>6.88</v>
      </c>
      <c r="N3872" s="4">
        <v>5.5381099999999997E-3</v>
      </c>
      <c r="O3872" s="5" t="s">
        <v>44</v>
      </c>
      <c r="P3872" s="5">
        <v>55153</v>
      </c>
      <c r="Q3872" s="1">
        <v>6.88</v>
      </c>
      <c r="R3872" s="2">
        <v>0.08</v>
      </c>
      <c r="S3872" s="6">
        <v>2.6006750000000002E-3</v>
      </c>
      <c r="T3872" t="s">
        <v>112</v>
      </c>
      <c r="U3872" t="s">
        <v>46</v>
      </c>
      <c r="V3872" t="s">
        <v>11148</v>
      </c>
      <c r="W3872" t="s">
        <v>43</v>
      </c>
      <c r="X3872" t="s">
        <v>44</v>
      </c>
      <c r="Y3872" t="s">
        <v>44</v>
      </c>
      <c r="Z3872" t="s">
        <v>44</v>
      </c>
      <c r="AA3872" t="s">
        <v>44</v>
      </c>
      <c r="AB3872" t="s">
        <v>44</v>
      </c>
      <c r="AC3872" s="4"/>
      <c r="AD3872" s="4"/>
      <c r="AE3872" s="2">
        <v>0</v>
      </c>
      <c r="AF3872" s="4">
        <v>0</v>
      </c>
      <c r="AG3872" s="2">
        <v>1.43</v>
      </c>
      <c r="AH3872" s="2">
        <v>2434219.06</v>
      </c>
      <c r="AI3872" s="2">
        <v>0.01</v>
      </c>
      <c r="AJ3872" s="5">
        <v>44673</v>
      </c>
      <c r="AK3872" t="s">
        <v>12712</v>
      </c>
      <c r="AL3872" s="2">
        <v>0</v>
      </c>
      <c r="AM3872" s="2">
        <v>6.88</v>
      </c>
      <c r="AN3872" s="2">
        <v>0</v>
      </c>
      <c r="AO3872" t="s">
        <v>11146</v>
      </c>
      <c r="AP3872" t="s">
        <v>44</v>
      </c>
      <c r="AQ3872" t="s">
        <v>11146</v>
      </c>
    </row>
    <row r="3873" spans="1:43" x14ac:dyDescent="0.2">
      <c r="A3873" t="s">
        <v>12711</v>
      </c>
      <c r="B3873" t="s">
        <v>45</v>
      </c>
      <c r="C3873" t="s">
        <v>47</v>
      </c>
      <c r="D3873" t="s">
        <v>48</v>
      </c>
      <c r="E3873" t="s">
        <v>49</v>
      </c>
      <c r="F3873" t="s">
        <v>50</v>
      </c>
      <c r="G3873" s="1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2825.53</v>
      </c>
      <c r="M3873" s="3"/>
      <c r="N3873" s="4">
        <v>6.4300000000000003E-6</v>
      </c>
      <c r="O3873" s="5" t="s">
        <v>44</v>
      </c>
      <c r="P3873" s="5" t="s">
        <v>44</v>
      </c>
      <c r="Q3873" s="1"/>
      <c r="R3873" s="2">
        <v>0.08</v>
      </c>
      <c r="S3873" s="6"/>
      <c r="T3873" t="s">
        <v>45</v>
      </c>
      <c r="U3873" t="s">
        <v>46</v>
      </c>
      <c r="V3873" t="s">
        <v>44</v>
      </c>
      <c r="W3873" t="s">
        <v>43</v>
      </c>
      <c r="X3873" t="s">
        <v>44</v>
      </c>
      <c r="Y3873" t="s">
        <v>44</v>
      </c>
      <c r="Z3873" t="s">
        <v>44</v>
      </c>
      <c r="AA3873" t="s">
        <v>44</v>
      </c>
      <c r="AB3873" t="s">
        <v>44</v>
      </c>
      <c r="AC3873" s="4">
        <v>5.1163389600000002</v>
      </c>
      <c r="AD3873" s="4">
        <v>5.0001424999999999</v>
      </c>
      <c r="AE3873" s="2">
        <v>5.12</v>
      </c>
      <c r="AF3873" s="4">
        <v>5.0001424999999999</v>
      </c>
      <c r="AG3873" s="2">
        <v>0</v>
      </c>
      <c r="AH3873" s="2">
        <v>2825.53</v>
      </c>
      <c r="AI3873" s="2">
        <v>0</v>
      </c>
      <c r="AJ3873" s="5">
        <v>44673</v>
      </c>
      <c r="AK3873" t="s">
        <v>12712</v>
      </c>
      <c r="AL3873" s="2">
        <v>5.05</v>
      </c>
      <c r="AM3873" s="2">
        <v>0</v>
      </c>
      <c r="AN3873" s="2">
        <v>0</v>
      </c>
      <c r="AO3873" t="s">
        <v>44</v>
      </c>
      <c r="AP3873" t="s">
        <v>44</v>
      </c>
      <c r="AQ3873" t="s">
        <v>44</v>
      </c>
    </row>
    <row r="3874" spans="1:43" x14ac:dyDescent="0.2">
      <c r="A3874" t="s">
        <v>12711</v>
      </c>
      <c r="B3874" t="s">
        <v>45</v>
      </c>
      <c r="C3874" t="s">
        <v>47</v>
      </c>
      <c r="D3874" t="s">
        <v>51</v>
      </c>
      <c r="E3874" t="s">
        <v>52</v>
      </c>
      <c r="F3874" t="s">
        <v>51</v>
      </c>
      <c r="G3874" s="1">
        <v>486344.14</v>
      </c>
      <c r="H3874" s="2">
        <v>486344.14</v>
      </c>
      <c r="I3874" s="2">
        <v>486344.14</v>
      </c>
      <c r="J3874" s="2">
        <v>0</v>
      </c>
      <c r="K3874" s="2">
        <v>0</v>
      </c>
      <c r="L3874" s="2">
        <v>486344.14</v>
      </c>
      <c r="M3874" s="3"/>
      <c r="N3874" s="4">
        <v>1.1064899999999999E-3</v>
      </c>
      <c r="O3874" s="5" t="s">
        <v>44</v>
      </c>
      <c r="P3874" s="5" t="s">
        <v>44</v>
      </c>
      <c r="Q3874" s="1"/>
      <c r="R3874" s="2">
        <v>0.08</v>
      </c>
      <c r="S3874" s="6"/>
      <c r="T3874" t="s">
        <v>45</v>
      </c>
      <c r="U3874" t="s">
        <v>53</v>
      </c>
      <c r="V3874" t="s">
        <v>44</v>
      </c>
      <c r="W3874" t="s">
        <v>43</v>
      </c>
      <c r="X3874" t="s">
        <v>44</v>
      </c>
      <c r="Y3874" t="s">
        <v>44</v>
      </c>
      <c r="Z3874" t="s">
        <v>44</v>
      </c>
      <c r="AA3874" t="s">
        <v>44</v>
      </c>
      <c r="AB3874" t="s">
        <v>44</v>
      </c>
      <c r="AC3874" s="4">
        <v>5.1163389600000002</v>
      </c>
      <c r="AD3874" s="4">
        <v>5.0001424999999999</v>
      </c>
      <c r="AE3874" s="2">
        <v>5.12</v>
      </c>
      <c r="AF3874" s="4">
        <v>5.0001424999999999</v>
      </c>
      <c r="AG3874" s="2">
        <v>0.28999999999999998</v>
      </c>
      <c r="AH3874" s="2">
        <v>486344.14</v>
      </c>
      <c r="AI3874" s="2">
        <v>0</v>
      </c>
      <c r="AJ3874" s="5">
        <v>44673</v>
      </c>
      <c r="AK3874" t="s">
        <v>12712</v>
      </c>
      <c r="AL3874" s="2">
        <v>5.05</v>
      </c>
      <c r="AM3874" s="2">
        <v>0</v>
      </c>
      <c r="AN3874" s="2">
        <v>0</v>
      </c>
      <c r="AO3874" t="s">
        <v>44</v>
      </c>
      <c r="AP3874" t="s">
        <v>44</v>
      </c>
      <c r="AQ3874" t="s">
        <v>43</v>
      </c>
    </row>
    <row r="3875" spans="1:43" x14ac:dyDescent="0.2">
      <c r="A3875" t="s">
        <v>12711</v>
      </c>
      <c r="B3875" t="s">
        <v>45</v>
      </c>
      <c r="C3875" t="s">
        <v>11005</v>
      </c>
      <c r="D3875" t="s">
        <v>11149</v>
      </c>
      <c r="E3875" t="s">
        <v>11150</v>
      </c>
      <c r="F3875" t="s">
        <v>44</v>
      </c>
      <c r="G3875" s="1">
        <v>-253540</v>
      </c>
      <c r="H3875" s="2">
        <v>-253540</v>
      </c>
      <c r="I3875" s="2">
        <v>-253540</v>
      </c>
      <c r="J3875" s="2">
        <v>0</v>
      </c>
      <c r="K3875" s="2"/>
      <c r="L3875" s="2">
        <v>-253540</v>
      </c>
      <c r="M3875" s="3"/>
      <c r="N3875" s="4">
        <v>-5.7682999999999996E-4</v>
      </c>
      <c r="O3875" s="5" t="s">
        <v>44</v>
      </c>
      <c r="P3875" s="5">
        <v>73051</v>
      </c>
      <c r="Q3875" s="1">
        <v>0</v>
      </c>
      <c r="R3875" s="2">
        <v>0.08</v>
      </c>
      <c r="S3875" s="6"/>
      <c r="T3875" t="s">
        <v>45</v>
      </c>
      <c r="U3875" t="s">
        <v>44</v>
      </c>
      <c r="V3875" t="s">
        <v>44</v>
      </c>
      <c r="W3875" t="s">
        <v>43</v>
      </c>
      <c r="X3875" t="s">
        <v>44</v>
      </c>
      <c r="Y3875" t="s">
        <v>44</v>
      </c>
      <c r="Z3875" t="s">
        <v>44</v>
      </c>
      <c r="AA3875" t="s">
        <v>44</v>
      </c>
      <c r="AB3875" t="s">
        <v>44</v>
      </c>
      <c r="AC3875" s="4">
        <v>5.1163389600000002</v>
      </c>
      <c r="AD3875" s="4">
        <v>5.0001424999999999</v>
      </c>
      <c r="AE3875" s="2">
        <v>5.12</v>
      </c>
      <c r="AF3875" s="4">
        <v>5.0001424999999999</v>
      </c>
      <c r="AG3875" s="2">
        <v>-0.15</v>
      </c>
      <c r="AH3875" s="2">
        <v>-253540</v>
      </c>
      <c r="AI3875" s="2">
        <v>0</v>
      </c>
      <c r="AJ3875" s="5">
        <v>44673</v>
      </c>
      <c r="AK3875" t="s">
        <v>12712</v>
      </c>
      <c r="AL3875" s="2">
        <v>5.05</v>
      </c>
      <c r="AM3875" s="2">
        <v>0</v>
      </c>
      <c r="AN3875" s="2">
        <v>0</v>
      </c>
      <c r="AO3875" t="s">
        <v>44</v>
      </c>
      <c r="AP3875" t="s">
        <v>44</v>
      </c>
      <c r="AQ3875" t="s">
        <v>44</v>
      </c>
    </row>
    <row r="3876" spans="1:43" x14ac:dyDescent="0.2">
      <c r="A3876" t="s">
        <v>12711</v>
      </c>
      <c r="B3876" t="s">
        <v>11013</v>
      </c>
      <c r="C3876" t="s">
        <v>11014</v>
      </c>
      <c r="D3876" t="s">
        <v>11751</v>
      </c>
      <c r="E3876" t="s">
        <v>11752</v>
      </c>
      <c r="F3876" t="s">
        <v>11751</v>
      </c>
      <c r="G3876" s="1">
        <v>109415116.7377</v>
      </c>
      <c r="H3876" s="2">
        <v>112687935.87</v>
      </c>
      <c r="I3876" s="2">
        <v>108550737.31999999</v>
      </c>
      <c r="J3876" s="2">
        <v>0</v>
      </c>
      <c r="K3876" s="2">
        <v>0</v>
      </c>
      <c r="L3876" s="2">
        <v>108550737.31999999</v>
      </c>
      <c r="M3876" s="3">
        <v>0.99209999999999998</v>
      </c>
      <c r="N3876" s="4">
        <v>0.24696461</v>
      </c>
      <c r="O3876" s="5" t="s">
        <v>44</v>
      </c>
      <c r="P3876" s="5" t="s">
        <v>44</v>
      </c>
      <c r="Q3876" s="1"/>
      <c r="R3876" s="2"/>
      <c r="S3876" s="6"/>
      <c r="T3876" t="s">
        <v>10902</v>
      </c>
      <c r="U3876" t="s">
        <v>11003</v>
      </c>
      <c r="V3876" t="s">
        <v>11003</v>
      </c>
      <c r="W3876" t="s">
        <v>43</v>
      </c>
      <c r="X3876" t="s">
        <v>44</v>
      </c>
      <c r="Y3876" t="s">
        <v>44</v>
      </c>
      <c r="Z3876" t="s">
        <v>44</v>
      </c>
      <c r="AA3876" t="s">
        <v>44</v>
      </c>
      <c r="AB3876" t="s">
        <v>44</v>
      </c>
      <c r="AC3876" s="4"/>
      <c r="AD3876" s="4"/>
      <c r="AE3876" s="2">
        <v>0</v>
      </c>
      <c r="AF3876" s="4">
        <v>0</v>
      </c>
      <c r="AG3876" s="2">
        <v>63.98</v>
      </c>
      <c r="AH3876" s="2">
        <v>108550737.31999999</v>
      </c>
      <c r="AI3876" s="2">
        <v>0.25</v>
      </c>
      <c r="AJ3876" s="5">
        <v>44673</v>
      </c>
      <c r="AK3876" t="s">
        <v>12712</v>
      </c>
      <c r="AL3876" s="2">
        <v>0</v>
      </c>
      <c r="AM3876" s="2">
        <v>0</v>
      </c>
      <c r="AN3876" s="2">
        <v>0</v>
      </c>
      <c r="AO3876" t="s">
        <v>44</v>
      </c>
      <c r="AP3876" t="s">
        <v>11753</v>
      </c>
      <c r="AQ3876" t="s">
        <v>11752</v>
      </c>
    </row>
    <row r="3877" spans="1:43" x14ac:dyDescent="0.2">
      <c r="A3877" t="s">
        <v>12711</v>
      </c>
      <c r="B3877" t="s">
        <v>11024</v>
      </c>
      <c r="C3877" t="s">
        <v>57</v>
      </c>
      <c r="D3877" t="s">
        <v>11754</v>
      </c>
      <c r="E3877" t="s">
        <v>11754</v>
      </c>
      <c r="F3877" t="s">
        <v>11754</v>
      </c>
      <c r="G3877" s="1">
        <v>63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3">
        <v>20012</v>
      </c>
      <c r="N3877" s="4">
        <v>0</v>
      </c>
      <c r="O3877" s="5" t="s">
        <v>44</v>
      </c>
      <c r="P3877" s="5">
        <v>44727</v>
      </c>
      <c r="Q3877" s="1"/>
      <c r="R3877" s="2"/>
      <c r="S3877" s="6"/>
      <c r="T3877" t="s">
        <v>11026</v>
      </c>
      <c r="U3877" t="s">
        <v>11025</v>
      </c>
      <c r="V3877" t="s">
        <v>11027</v>
      </c>
      <c r="W3877" t="s">
        <v>43</v>
      </c>
      <c r="X3877" t="s">
        <v>44</v>
      </c>
      <c r="Y3877" t="s">
        <v>44</v>
      </c>
      <c r="Z3877" t="s">
        <v>44</v>
      </c>
      <c r="AA3877" t="s">
        <v>44</v>
      </c>
      <c r="AB3877" t="s">
        <v>44</v>
      </c>
      <c r="AC3877" s="4"/>
      <c r="AD3877" s="4"/>
      <c r="AE3877" s="2">
        <v>0</v>
      </c>
      <c r="AF3877" s="4">
        <v>0</v>
      </c>
      <c r="AG3877" s="2">
        <v>0</v>
      </c>
      <c r="AH3877" s="2">
        <v>12607560</v>
      </c>
      <c r="AI3877" s="2">
        <v>0.03</v>
      </c>
      <c r="AJ3877" s="5">
        <v>44673</v>
      </c>
      <c r="AK3877" t="s">
        <v>12712</v>
      </c>
      <c r="AL3877" s="2">
        <v>0</v>
      </c>
      <c r="AM3877" s="2">
        <v>0</v>
      </c>
      <c r="AN3877" s="2">
        <v>0</v>
      </c>
      <c r="AO3877" t="s">
        <v>44</v>
      </c>
      <c r="AP3877" t="s">
        <v>11755</v>
      </c>
      <c r="AQ3877" t="s">
        <v>11754</v>
      </c>
    </row>
    <row r="3878" spans="1:43" x14ac:dyDescent="0.2">
      <c r="A3878" t="s">
        <v>12711</v>
      </c>
      <c r="B3878" t="s">
        <v>11024</v>
      </c>
      <c r="C3878" t="s">
        <v>57</v>
      </c>
      <c r="D3878" t="s">
        <v>11756</v>
      </c>
      <c r="E3878" t="s">
        <v>11756</v>
      </c>
      <c r="F3878" t="s">
        <v>11756</v>
      </c>
      <c r="G3878" s="1">
        <v>35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3">
        <v>29067</v>
      </c>
      <c r="N3878" s="4">
        <v>0</v>
      </c>
      <c r="O3878" s="5" t="s">
        <v>44</v>
      </c>
      <c r="P3878" s="5">
        <v>44727</v>
      </c>
      <c r="Q3878" s="1"/>
      <c r="R3878" s="2"/>
      <c r="S3878" s="6"/>
      <c r="T3878" t="s">
        <v>11026</v>
      </c>
      <c r="U3878" t="s">
        <v>11025</v>
      </c>
      <c r="V3878" t="s">
        <v>11027</v>
      </c>
      <c r="W3878" t="s">
        <v>43</v>
      </c>
      <c r="X3878" t="s">
        <v>44</v>
      </c>
      <c r="Y3878" t="s">
        <v>44</v>
      </c>
      <c r="Z3878" t="s">
        <v>44</v>
      </c>
      <c r="AA3878" t="s">
        <v>44</v>
      </c>
      <c r="AB3878" t="s">
        <v>44</v>
      </c>
      <c r="AC3878" s="4"/>
      <c r="AD3878" s="4"/>
      <c r="AE3878" s="2">
        <v>0</v>
      </c>
      <c r="AF3878" s="4">
        <v>0</v>
      </c>
      <c r="AG3878" s="2">
        <v>0</v>
      </c>
      <c r="AH3878" s="2">
        <v>10173450</v>
      </c>
      <c r="AI3878" s="2">
        <v>0.02</v>
      </c>
      <c r="AJ3878" s="5">
        <v>44673</v>
      </c>
      <c r="AK3878" t="s">
        <v>12712</v>
      </c>
      <c r="AL3878" s="2">
        <v>0</v>
      </c>
      <c r="AM3878" s="2">
        <v>0</v>
      </c>
      <c r="AN3878" s="2">
        <v>0</v>
      </c>
      <c r="AO3878" t="s">
        <v>44</v>
      </c>
      <c r="AP3878" t="s">
        <v>11757</v>
      </c>
      <c r="AQ3878" t="s">
        <v>11756</v>
      </c>
    </row>
    <row r="3879" spans="1:43" x14ac:dyDescent="0.2">
      <c r="A3879" t="s">
        <v>12711</v>
      </c>
      <c r="B3879" t="s">
        <v>11037</v>
      </c>
      <c r="C3879" t="s">
        <v>11276</v>
      </c>
      <c r="D3879" t="s">
        <v>6473</v>
      </c>
      <c r="E3879" t="s">
        <v>4464</v>
      </c>
      <c r="F3879" t="s">
        <v>6473</v>
      </c>
      <c r="G3879" s="1">
        <v>2549</v>
      </c>
      <c r="H3879" s="2">
        <v>255533.54</v>
      </c>
      <c r="I3879" s="2">
        <v>254900</v>
      </c>
      <c r="J3879" s="2">
        <v>0</v>
      </c>
      <c r="K3879" s="2">
        <v>0</v>
      </c>
      <c r="L3879" s="2">
        <v>254900</v>
      </c>
      <c r="M3879" s="3">
        <v>10000</v>
      </c>
      <c r="N3879" s="4">
        <v>5.7992000000000004E-4</v>
      </c>
      <c r="O3879" s="5" t="s">
        <v>44</v>
      </c>
      <c r="P3879" s="5" t="s">
        <v>44</v>
      </c>
      <c r="Q3879" s="1"/>
      <c r="R3879" s="2"/>
      <c r="S3879" s="6"/>
      <c r="T3879" t="s">
        <v>10902</v>
      </c>
      <c r="U3879" t="s">
        <v>10902</v>
      </c>
      <c r="V3879" t="s">
        <v>10902</v>
      </c>
      <c r="W3879" t="s">
        <v>43</v>
      </c>
      <c r="X3879" t="s">
        <v>11277</v>
      </c>
      <c r="Y3879" t="s">
        <v>11277</v>
      </c>
      <c r="Z3879" t="s">
        <v>11276</v>
      </c>
      <c r="AA3879" t="s">
        <v>44</v>
      </c>
      <c r="AB3879" t="s">
        <v>44</v>
      </c>
      <c r="AC3879" s="4"/>
      <c r="AD3879" s="4"/>
      <c r="AE3879" s="2">
        <v>0</v>
      </c>
      <c r="AF3879" s="4">
        <v>0</v>
      </c>
      <c r="AG3879" s="2">
        <v>0.15</v>
      </c>
      <c r="AH3879" s="2">
        <v>254900</v>
      </c>
      <c r="AI3879" s="2">
        <v>0</v>
      </c>
      <c r="AJ3879" s="5">
        <v>44673</v>
      </c>
      <c r="AK3879" t="s">
        <v>12712</v>
      </c>
      <c r="AL3879" s="2">
        <v>0</v>
      </c>
      <c r="AM3879" s="2">
        <v>0</v>
      </c>
      <c r="AN3879" s="2">
        <v>0</v>
      </c>
      <c r="AO3879" t="s">
        <v>44</v>
      </c>
      <c r="AP3879" t="s">
        <v>11278</v>
      </c>
      <c r="AQ3879" t="s">
        <v>4464</v>
      </c>
    </row>
    <row r="3880" spans="1:43" x14ac:dyDescent="0.2">
      <c r="A3880" t="s">
        <v>12711</v>
      </c>
      <c r="B3880" t="s">
        <v>11037</v>
      </c>
      <c r="C3880" t="s">
        <v>11276</v>
      </c>
      <c r="D3880" t="s">
        <v>6316</v>
      </c>
      <c r="E3880" t="s">
        <v>4585</v>
      </c>
      <c r="F3880" t="s">
        <v>6316</v>
      </c>
      <c r="G3880" s="1">
        <v>3217</v>
      </c>
      <c r="H3880" s="2">
        <v>561695.59</v>
      </c>
      <c r="I3880" s="2">
        <v>780186.84</v>
      </c>
      <c r="J3880" s="2">
        <v>0</v>
      </c>
      <c r="K3880" s="2">
        <v>0</v>
      </c>
      <c r="L3880" s="2">
        <v>780186.84</v>
      </c>
      <c r="M3880" s="3">
        <v>24252</v>
      </c>
      <c r="N3880" s="4">
        <v>1.77501E-3</v>
      </c>
      <c r="O3880" s="5" t="s">
        <v>44</v>
      </c>
      <c r="P3880" s="5" t="s">
        <v>44</v>
      </c>
      <c r="Q3880" s="1"/>
      <c r="R3880" s="2"/>
      <c r="S3880" s="6"/>
      <c r="T3880" t="s">
        <v>10902</v>
      </c>
      <c r="U3880" t="s">
        <v>10902</v>
      </c>
      <c r="V3880" t="s">
        <v>10902</v>
      </c>
      <c r="W3880" t="s">
        <v>43</v>
      </c>
      <c r="X3880" t="s">
        <v>11279</v>
      </c>
      <c r="Y3880" t="s">
        <v>11280</v>
      </c>
      <c r="Z3880" t="s">
        <v>11276</v>
      </c>
      <c r="AA3880" t="s">
        <v>44</v>
      </c>
      <c r="AB3880" t="s">
        <v>44</v>
      </c>
      <c r="AC3880" s="4"/>
      <c r="AD3880" s="4"/>
      <c r="AE3880" s="2">
        <v>0</v>
      </c>
      <c r="AF3880" s="4">
        <v>0</v>
      </c>
      <c r="AG3880" s="2">
        <v>0.46</v>
      </c>
      <c r="AH3880" s="2">
        <v>780186.84</v>
      </c>
      <c r="AI3880" s="2">
        <v>0</v>
      </c>
      <c r="AJ3880" s="5">
        <v>44673</v>
      </c>
      <c r="AK3880" t="s">
        <v>12712</v>
      </c>
      <c r="AL3880" s="2">
        <v>0</v>
      </c>
      <c r="AM3880" s="2">
        <v>0</v>
      </c>
      <c r="AN3880" s="2">
        <v>0</v>
      </c>
      <c r="AO3880" t="s">
        <v>44</v>
      </c>
      <c r="AP3880" t="s">
        <v>11281</v>
      </c>
      <c r="AQ3880" t="s">
        <v>4585</v>
      </c>
    </row>
    <row r="3881" spans="1:43" x14ac:dyDescent="0.2">
      <c r="A3881" t="s">
        <v>12711</v>
      </c>
      <c r="B3881" t="s">
        <v>11037</v>
      </c>
      <c r="C3881" t="s">
        <v>11276</v>
      </c>
      <c r="D3881" t="s">
        <v>11661</v>
      </c>
      <c r="E3881" t="s">
        <v>4578</v>
      </c>
      <c r="F3881" t="s">
        <v>11661</v>
      </c>
      <c r="G3881" s="1">
        <v>1854</v>
      </c>
      <c r="H3881" s="2">
        <v>1191312.58</v>
      </c>
      <c r="I3881" s="2">
        <v>1304233.3799999999</v>
      </c>
      <c r="J3881" s="2">
        <v>0</v>
      </c>
      <c r="K3881" s="2">
        <v>18997.88</v>
      </c>
      <c r="L3881" s="2">
        <v>1323231.26</v>
      </c>
      <c r="M3881" s="3">
        <v>70347</v>
      </c>
      <c r="N3881" s="4">
        <v>3.0104900000000002E-3</v>
      </c>
      <c r="O3881" s="5" t="s">
        <v>44</v>
      </c>
      <c r="P3881" s="5" t="s">
        <v>44</v>
      </c>
      <c r="Q3881" s="1"/>
      <c r="R3881" s="2"/>
      <c r="S3881" s="6"/>
      <c r="T3881" t="s">
        <v>10902</v>
      </c>
      <c r="U3881" t="s">
        <v>10902</v>
      </c>
      <c r="V3881" t="s">
        <v>10902</v>
      </c>
      <c r="W3881" t="s">
        <v>43</v>
      </c>
      <c r="X3881" t="s">
        <v>11279</v>
      </c>
      <c r="Y3881" t="s">
        <v>11280</v>
      </c>
      <c r="Z3881" t="s">
        <v>11276</v>
      </c>
      <c r="AA3881" t="s">
        <v>44</v>
      </c>
      <c r="AB3881" t="s">
        <v>44</v>
      </c>
      <c r="AC3881" s="4"/>
      <c r="AD3881" s="4"/>
      <c r="AE3881" s="2">
        <v>0</v>
      </c>
      <c r="AF3881" s="4">
        <v>0</v>
      </c>
      <c r="AG3881" s="2">
        <v>0.78</v>
      </c>
      <c r="AH3881" s="2">
        <v>1323231.26</v>
      </c>
      <c r="AI3881" s="2">
        <v>0</v>
      </c>
      <c r="AJ3881" s="5">
        <v>44673</v>
      </c>
      <c r="AK3881" t="s">
        <v>12712</v>
      </c>
      <c r="AL3881" s="2">
        <v>0</v>
      </c>
      <c r="AM3881" s="2">
        <v>0</v>
      </c>
      <c r="AN3881" s="2">
        <v>0</v>
      </c>
      <c r="AO3881" t="s">
        <v>44</v>
      </c>
      <c r="AP3881" t="s">
        <v>2559</v>
      </c>
      <c r="AQ3881" t="s">
        <v>4578</v>
      </c>
    </row>
    <row r="3882" spans="1:43" x14ac:dyDescent="0.2">
      <c r="A3882" t="s">
        <v>12711</v>
      </c>
      <c r="B3882" t="s">
        <v>11037</v>
      </c>
      <c r="C3882" t="s">
        <v>11276</v>
      </c>
      <c r="D3882" t="s">
        <v>11282</v>
      </c>
      <c r="E3882" t="s">
        <v>7222</v>
      </c>
      <c r="F3882" t="s">
        <v>11282</v>
      </c>
      <c r="G3882" s="1">
        <v>12000</v>
      </c>
      <c r="H3882" s="2">
        <v>262633.12</v>
      </c>
      <c r="I3882" s="2">
        <v>162120</v>
      </c>
      <c r="J3882" s="2">
        <v>0</v>
      </c>
      <c r="K3882" s="2">
        <v>0</v>
      </c>
      <c r="L3882" s="2">
        <v>162120</v>
      </c>
      <c r="M3882" s="3">
        <v>1351</v>
      </c>
      <c r="N3882" s="4">
        <v>3.6884E-4</v>
      </c>
      <c r="O3882" s="5" t="s">
        <v>44</v>
      </c>
      <c r="P3882" s="5" t="s">
        <v>44</v>
      </c>
      <c r="Q3882" s="1"/>
      <c r="R3882" s="2"/>
      <c r="S3882" s="6"/>
      <c r="T3882" t="s">
        <v>10902</v>
      </c>
      <c r="U3882" t="s">
        <v>10902</v>
      </c>
      <c r="V3882" t="s">
        <v>10902</v>
      </c>
      <c r="W3882" t="s">
        <v>43</v>
      </c>
      <c r="X3882" t="s">
        <v>11279</v>
      </c>
      <c r="Y3882" t="s">
        <v>11280</v>
      </c>
      <c r="Z3882" t="s">
        <v>11276</v>
      </c>
      <c r="AA3882" t="s">
        <v>44</v>
      </c>
      <c r="AB3882" t="s">
        <v>44</v>
      </c>
      <c r="AC3882" s="4"/>
      <c r="AD3882" s="4"/>
      <c r="AE3882" s="2">
        <v>0</v>
      </c>
      <c r="AF3882" s="4">
        <v>0</v>
      </c>
      <c r="AG3882" s="2">
        <v>0.1</v>
      </c>
      <c r="AH3882" s="2">
        <v>162120</v>
      </c>
      <c r="AI3882" s="2">
        <v>0</v>
      </c>
      <c r="AJ3882" s="5">
        <v>44673</v>
      </c>
      <c r="AK3882" t="s">
        <v>12712</v>
      </c>
      <c r="AL3882" s="2">
        <v>0</v>
      </c>
      <c r="AM3882" s="2">
        <v>0</v>
      </c>
      <c r="AN3882" s="2">
        <v>0</v>
      </c>
      <c r="AO3882" t="s">
        <v>44</v>
      </c>
      <c r="AP3882" t="s">
        <v>11283</v>
      </c>
      <c r="AQ3882" t="s">
        <v>7222</v>
      </c>
    </row>
    <row r="3883" spans="1:43" x14ac:dyDescent="0.2">
      <c r="A3883" t="s">
        <v>12711</v>
      </c>
      <c r="B3883" t="s">
        <v>11037</v>
      </c>
      <c r="C3883" t="s">
        <v>11276</v>
      </c>
      <c r="D3883" t="s">
        <v>11284</v>
      </c>
      <c r="E3883" t="s">
        <v>4506</v>
      </c>
      <c r="F3883" t="s">
        <v>11284</v>
      </c>
      <c r="G3883" s="1">
        <v>8965</v>
      </c>
      <c r="H3883" s="2">
        <v>506585.13</v>
      </c>
      <c r="I3883" s="2">
        <v>589717.69999999995</v>
      </c>
      <c r="J3883" s="2">
        <v>0</v>
      </c>
      <c r="K3883" s="2">
        <v>0</v>
      </c>
      <c r="L3883" s="2">
        <v>589717.69999999995</v>
      </c>
      <c r="M3883" s="3">
        <v>6578</v>
      </c>
      <c r="N3883" s="4">
        <v>1.3416700000000001E-3</v>
      </c>
      <c r="O3883" s="5" t="s">
        <v>44</v>
      </c>
      <c r="P3883" s="5" t="s">
        <v>44</v>
      </c>
      <c r="Q3883" s="1"/>
      <c r="R3883" s="2"/>
      <c r="S3883" s="6"/>
      <c r="T3883" t="s">
        <v>10902</v>
      </c>
      <c r="U3883" t="s">
        <v>10902</v>
      </c>
      <c r="V3883" t="s">
        <v>10902</v>
      </c>
      <c r="W3883" t="s">
        <v>43</v>
      </c>
      <c r="X3883" t="s">
        <v>11279</v>
      </c>
      <c r="Y3883" t="s">
        <v>11280</v>
      </c>
      <c r="Z3883" t="s">
        <v>11276</v>
      </c>
      <c r="AA3883" t="s">
        <v>44</v>
      </c>
      <c r="AB3883" t="s">
        <v>44</v>
      </c>
      <c r="AC3883" s="4"/>
      <c r="AD3883" s="4"/>
      <c r="AE3883" s="2">
        <v>0</v>
      </c>
      <c r="AF3883" s="4">
        <v>0</v>
      </c>
      <c r="AG3883" s="2">
        <v>0.35</v>
      </c>
      <c r="AH3883" s="2">
        <v>589717.69999999995</v>
      </c>
      <c r="AI3883" s="2">
        <v>0</v>
      </c>
      <c r="AJ3883" s="5">
        <v>44673</v>
      </c>
      <c r="AK3883" t="s">
        <v>12712</v>
      </c>
      <c r="AL3883" s="2">
        <v>0</v>
      </c>
      <c r="AM3883" s="2">
        <v>0</v>
      </c>
      <c r="AN3883" s="2">
        <v>0</v>
      </c>
      <c r="AO3883" t="s">
        <v>44</v>
      </c>
      <c r="AP3883" t="s">
        <v>11285</v>
      </c>
      <c r="AQ3883" t="s">
        <v>4506</v>
      </c>
    </row>
    <row r="3884" spans="1:43" x14ac:dyDescent="0.2">
      <c r="A3884" t="s">
        <v>12711</v>
      </c>
      <c r="B3884" t="s">
        <v>11037</v>
      </c>
      <c r="C3884" t="s">
        <v>11276</v>
      </c>
      <c r="D3884" t="s">
        <v>6278</v>
      </c>
      <c r="E3884" t="s">
        <v>4640</v>
      </c>
      <c r="F3884" t="s">
        <v>6278</v>
      </c>
      <c r="G3884" s="1">
        <v>1988</v>
      </c>
      <c r="H3884" s="2">
        <v>1025864.61</v>
      </c>
      <c r="I3884" s="2">
        <v>1007319.6</v>
      </c>
      <c r="J3884" s="2">
        <v>0</v>
      </c>
      <c r="K3884" s="2">
        <v>0</v>
      </c>
      <c r="L3884" s="2">
        <v>1007319.6</v>
      </c>
      <c r="M3884" s="3">
        <v>50670</v>
      </c>
      <c r="N3884" s="4">
        <v>2.2917599999999999E-3</v>
      </c>
      <c r="O3884" s="5" t="s">
        <v>44</v>
      </c>
      <c r="P3884" s="5" t="s">
        <v>44</v>
      </c>
      <c r="Q3884" s="1"/>
      <c r="R3884" s="2"/>
      <c r="S3884" s="6"/>
      <c r="T3884" t="s">
        <v>10902</v>
      </c>
      <c r="U3884" t="s">
        <v>10902</v>
      </c>
      <c r="V3884" t="s">
        <v>10902</v>
      </c>
      <c r="W3884" t="s">
        <v>43</v>
      </c>
      <c r="X3884" t="s">
        <v>11286</v>
      </c>
      <c r="Y3884" t="s">
        <v>11280</v>
      </c>
      <c r="Z3884" t="s">
        <v>11276</v>
      </c>
      <c r="AA3884" t="s">
        <v>44</v>
      </c>
      <c r="AB3884" t="s">
        <v>44</v>
      </c>
      <c r="AC3884" s="4"/>
      <c r="AD3884" s="4"/>
      <c r="AE3884" s="2">
        <v>0</v>
      </c>
      <c r="AF3884" s="4">
        <v>0</v>
      </c>
      <c r="AG3884" s="2">
        <v>0.59</v>
      </c>
      <c r="AH3884" s="2">
        <v>1007319.6</v>
      </c>
      <c r="AI3884" s="2">
        <v>0</v>
      </c>
      <c r="AJ3884" s="5">
        <v>44673</v>
      </c>
      <c r="AK3884" t="s">
        <v>12712</v>
      </c>
      <c r="AL3884" s="2">
        <v>0</v>
      </c>
      <c r="AM3884" s="2">
        <v>0</v>
      </c>
      <c r="AN3884" s="2">
        <v>0</v>
      </c>
      <c r="AO3884" t="s">
        <v>44</v>
      </c>
      <c r="AP3884" t="s">
        <v>11287</v>
      </c>
      <c r="AQ3884" t="s">
        <v>4640</v>
      </c>
    </row>
    <row r="3885" spans="1:43" x14ac:dyDescent="0.2">
      <c r="A3885" t="s">
        <v>12711</v>
      </c>
      <c r="B3885" t="s">
        <v>11037</v>
      </c>
      <c r="C3885" t="s">
        <v>11276</v>
      </c>
      <c r="D3885" t="s">
        <v>11290</v>
      </c>
      <c r="E3885" t="s">
        <v>4478</v>
      </c>
      <c r="F3885" t="s">
        <v>11290</v>
      </c>
      <c r="G3885" s="1">
        <v>5500</v>
      </c>
      <c r="H3885" s="2">
        <v>306314.99</v>
      </c>
      <c r="I3885" s="2">
        <v>431200</v>
      </c>
      <c r="J3885" s="2">
        <v>0</v>
      </c>
      <c r="K3885" s="2">
        <v>0</v>
      </c>
      <c r="L3885" s="2">
        <v>431200</v>
      </c>
      <c r="M3885" s="3">
        <v>7840</v>
      </c>
      <c r="N3885" s="4">
        <v>9.8102999999999992E-4</v>
      </c>
      <c r="O3885" s="5" t="s">
        <v>44</v>
      </c>
      <c r="P3885" s="5" t="s">
        <v>44</v>
      </c>
      <c r="Q3885" s="1"/>
      <c r="R3885" s="2"/>
      <c r="S3885" s="6"/>
      <c r="T3885" t="s">
        <v>10902</v>
      </c>
      <c r="U3885" t="s">
        <v>10902</v>
      </c>
      <c r="V3885" t="s">
        <v>10902</v>
      </c>
      <c r="W3885" t="s">
        <v>43</v>
      </c>
      <c r="X3885" t="s">
        <v>11277</v>
      </c>
      <c r="Y3885" t="s">
        <v>11277</v>
      </c>
      <c r="Z3885" t="s">
        <v>11276</v>
      </c>
      <c r="AA3885" t="s">
        <v>44</v>
      </c>
      <c r="AB3885" t="s">
        <v>44</v>
      </c>
      <c r="AC3885" s="4"/>
      <c r="AD3885" s="4"/>
      <c r="AE3885" s="2">
        <v>0</v>
      </c>
      <c r="AF3885" s="4">
        <v>0</v>
      </c>
      <c r="AG3885" s="2">
        <v>0.25</v>
      </c>
      <c r="AH3885" s="2">
        <v>431200</v>
      </c>
      <c r="AI3885" s="2">
        <v>0</v>
      </c>
      <c r="AJ3885" s="5">
        <v>44673</v>
      </c>
      <c r="AK3885" t="s">
        <v>12712</v>
      </c>
      <c r="AL3885" s="2">
        <v>0</v>
      </c>
      <c r="AM3885" s="2">
        <v>0</v>
      </c>
      <c r="AN3885" s="2">
        <v>0</v>
      </c>
      <c r="AO3885" t="s">
        <v>44</v>
      </c>
      <c r="AP3885" t="s">
        <v>11291</v>
      </c>
      <c r="AQ3885" t="s">
        <v>4478</v>
      </c>
    </row>
    <row r="3886" spans="1:43" x14ac:dyDescent="0.2">
      <c r="A3886" t="s">
        <v>12711</v>
      </c>
      <c r="B3886" t="s">
        <v>11037</v>
      </c>
      <c r="C3886" t="s">
        <v>11276</v>
      </c>
      <c r="D3886" t="s">
        <v>11292</v>
      </c>
      <c r="E3886" t="s">
        <v>4513</v>
      </c>
      <c r="F3886" t="s">
        <v>11292</v>
      </c>
      <c r="G3886" s="1">
        <v>30000</v>
      </c>
      <c r="H3886" s="2">
        <v>172288.66</v>
      </c>
      <c r="I3886" s="2">
        <v>128700</v>
      </c>
      <c r="J3886" s="2">
        <v>0</v>
      </c>
      <c r="K3886" s="2">
        <v>0</v>
      </c>
      <c r="L3886" s="2">
        <v>128700</v>
      </c>
      <c r="M3886" s="3">
        <v>429</v>
      </c>
      <c r="N3886" s="4">
        <v>2.9281000000000001E-4</v>
      </c>
      <c r="O3886" s="5" t="s">
        <v>44</v>
      </c>
      <c r="P3886" s="5" t="s">
        <v>44</v>
      </c>
      <c r="Q3886" s="1"/>
      <c r="R3886" s="2"/>
      <c r="S3886" s="6"/>
      <c r="T3886" t="s">
        <v>10902</v>
      </c>
      <c r="U3886" t="s">
        <v>10902</v>
      </c>
      <c r="V3886" t="s">
        <v>10902</v>
      </c>
      <c r="W3886" t="s">
        <v>43</v>
      </c>
      <c r="X3886" t="s">
        <v>11279</v>
      </c>
      <c r="Y3886" t="s">
        <v>11280</v>
      </c>
      <c r="Z3886" t="s">
        <v>11276</v>
      </c>
      <c r="AA3886" t="s">
        <v>44</v>
      </c>
      <c r="AB3886" t="s">
        <v>44</v>
      </c>
      <c r="AC3886" s="4"/>
      <c r="AD3886" s="4"/>
      <c r="AE3886" s="2">
        <v>0</v>
      </c>
      <c r="AF3886" s="4">
        <v>0</v>
      </c>
      <c r="AG3886" s="2">
        <v>0.08</v>
      </c>
      <c r="AH3886" s="2">
        <v>128700</v>
      </c>
      <c r="AI3886" s="2">
        <v>0</v>
      </c>
      <c r="AJ3886" s="5">
        <v>44673</v>
      </c>
      <c r="AK3886" t="s">
        <v>12712</v>
      </c>
      <c r="AL3886" s="2">
        <v>0</v>
      </c>
      <c r="AM3886" s="2">
        <v>0</v>
      </c>
      <c r="AN3886" s="2">
        <v>0</v>
      </c>
      <c r="AO3886" t="s">
        <v>44</v>
      </c>
      <c r="AP3886" t="s">
        <v>11293</v>
      </c>
      <c r="AQ3886" t="s">
        <v>4513</v>
      </c>
    </row>
    <row r="3887" spans="1:43" x14ac:dyDescent="0.2">
      <c r="A3887" t="s">
        <v>12711</v>
      </c>
      <c r="B3887" t="s">
        <v>11037</v>
      </c>
      <c r="C3887" t="s">
        <v>11276</v>
      </c>
      <c r="D3887" t="s">
        <v>6743</v>
      </c>
      <c r="E3887" t="s">
        <v>4570</v>
      </c>
      <c r="F3887" t="s">
        <v>6743</v>
      </c>
      <c r="G3887" s="1">
        <v>2900</v>
      </c>
      <c r="H3887" s="2">
        <v>186567.66</v>
      </c>
      <c r="I3887" s="2">
        <v>448137</v>
      </c>
      <c r="J3887" s="2">
        <v>0</v>
      </c>
      <c r="K3887" s="2">
        <v>0</v>
      </c>
      <c r="L3887" s="2">
        <v>448137</v>
      </c>
      <c r="M3887" s="3">
        <v>15453</v>
      </c>
      <c r="N3887" s="4">
        <v>1.0195600000000001E-3</v>
      </c>
      <c r="O3887" s="5" t="s">
        <v>44</v>
      </c>
      <c r="P3887" s="5" t="s">
        <v>44</v>
      </c>
      <c r="Q3887" s="1"/>
      <c r="R3887" s="2"/>
      <c r="S3887" s="6"/>
      <c r="T3887" t="s">
        <v>10902</v>
      </c>
      <c r="U3887" t="s">
        <v>10902</v>
      </c>
      <c r="V3887" t="s">
        <v>10902</v>
      </c>
      <c r="W3887" t="s">
        <v>43</v>
      </c>
      <c r="X3887" t="s">
        <v>11279</v>
      </c>
      <c r="Y3887" t="s">
        <v>11280</v>
      </c>
      <c r="Z3887" t="s">
        <v>11276</v>
      </c>
      <c r="AA3887" t="s">
        <v>44</v>
      </c>
      <c r="AB3887" t="s">
        <v>44</v>
      </c>
      <c r="AC3887" s="4"/>
      <c r="AD3887" s="4"/>
      <c r="AE3887" s="2">
        <v>0</v>
      </c>
      <c r="AF3887" s="4">
        <v>0</v>
      </c>
      <c r="AG3887" s="2">
        <v>0.26</v>
      </c>
      <c r="AH3887" s="2">
        <v>448137</v>
      </c>
      <c r="AI3887" s="2">
        <v>0</v>
      </c>
      <c r="AJ3887" s="5">
        <v>44673</v>
      </c>
      <c r="AK3887" t="s">
        <v>12712</v>
      </c>
      <c r="AL3887" s="2">
        <v>0</v>
      </c>
      <c r="AM3887" s="2">
        <v>0</v>
      </c>
      <c r="AN3887" s="2">
        <v>0</v>
      </c>
      <c r="AO3887" t="s">
        <v>44</v>
      </c>
      <c r="AP3887" t="s">
        <v>11294</v>
      </c>
      <c r="AQ3887" t="s">
        <v>4570</v>
      </c>
    </row>
    <row r="3888" spans="1:43" x14ac:dyDescent="0.2">
      <c r="A3888" t="s">
        <v>12711</v>
      </c>
      <c r="B3888" t="s">
        <v>11037</v>
      </c>
      <c r="C3888" t="s">
        <v>11276</v>
      </c>
      <c r="D3888" t="s">
        <v>6209</v>
      </c>
      <c r="E3888" t="s">
        <v>520</v>
      </c>
      <c r="F3888" t="s">
        <v>6209</v>
      </c>
      <c r="G3888" s="1">
        <v>13213</v>
      </c>
      <c r="H3888" s="2">
        <v>501193.93</v>
      </c>
      <c r="I3888" s="2">
        <v>720637.02</v>
      </c>
      <c r="J3888" s="2">
        <v>0</v>
      </c>
      <c r="K3888" s="2">
        <v>0</v>
      </c>
      <c r="L3888" s="2">
        <v>720637.02</v>
      </c>
      <c r="M3888" s="3">
        <v>5454</v>
      </c>
      <c r="N3888" s="4">
        <v>1.6395299999999999E-3</v>
      </c>
      <c r="O3888" s="5" t="s">
        <v>44</v>
      </c>
      <c r="P3888" s="5" t="s">
        <v>44</v>
      </c>
      <c r="Q3888" s="1"/>
      <c r="R3888" s="2"/>
      <c r="S3888" s="6"/>
      <c r="T3888" t="s">
        <v>10902</v>
      </c>
      <c r="U3888" t="s">
        <v>10902</v>
      </c>
      <c r="V3888" t="s">
        <v>10902</v>
      </c>
      <c r="W3888" t="s">
        <v>43</v>
      </c>
      <c r="X3888" t="s">
        <v>11289</v>
      </c>
      <c r="Y3888" t="s">
        <v>11280</v>
      </c>
      <c r="Z3888" t="s">
        <v>11276</v>
      </c>
      <c r="AA3888" t="s">
        <v>44</v>
      </c>
      <c r="AB3888" t="s">
        <v>44</v>
      </c>
      <c r="AC3888" s="4"/>
      <c r="AD3888" s="4"/>
      <c r="AE3888" s="2">
        <v>0</v>
      </c>
      <c r="AF3888" s="4">
        <v>0</v>
      </c>
      <c r="AG3888" s="2">
        <v>0.42</v>
      </c>
      <c r="AH3888" s="2">
        <v>720637.02</v>
      </c>
      <c r="AI3888" s="2">
        <v>0</v>
      </c>
      <c r="AJ3888" s="5">
        <v>44673</v>
      </c>
      <c r="AK3888" t="s">
        <v>12712</v>
      </c>
      <c r="AL3888" s="2">
        <v>0</v>
      </c>
      <c r="AM3888" s="2">
        <v>0</v>
      </c>
      <c r="AN3888" s="2">
        <v>0</v>
      </c>
      <c r="AO3888" t="s">
        <v>44</v>
      </c>
      <c r="AP3888" t="s">
        <v>11295</v>
      </c>
      <c r="AQ3888" t="s">
        <v>520</v>
      </c>
    </row>
    <row r="3889" spans="1:43" x14ac:dyDescent="0.2">
      <c r="A3889" t="s">
        <v>12711</v>
      </c>
      <c r="B3889" t="s">
        <v>11037</v>
      </c>
      <c r="C3889" t="s">
        <v>11276</v>
      </c>
      <c r="D3889" t="s">
        <v>11678</v>
      </c>
      <c r="E3889" t="s">
        <v>11679</v>
      </c>
      <c r="F3889" t="s">
        <v>11680</v>
      </c>
      <c r="G3889" s="1">
        <v>800</v>
      </c>
      <c r="H3889" s="2">
        <v>127732.2</v>
      </c>
      <c r="I3889" s="2">
        <v>188176</v>
      </c>
      <c r="J3889" s="2">
        <v>0</v>
      </c>
      <c r="K3889" s="2">
        <v>0</v>
      </c>
      <c r="L3889" s="2">
        <v>188176</v>
      </c>
      <c r="M3889" s="3">
        <v>23522</v>
      </c>
      <c r="N3889" s="4">
        <v>4.2811999999999999E-4</v>
      </c>
      <c r="O3889" s="5" t="s">
        <v>44</v>
      </c>
      <c r="P3889" s="5" t="s">
        <v>44</v>
      </c>
      <c r="Q3889" s="1"/>
      <c r="R3889" s="2"/>
      <c r="S3889" s="6"/>
      <c r="T3889" t="s">
        <v>10902</v>
      </c>
      <c r="U3889" t="s">
        <v>10902</v>
      </c>
      <c r="V3889" t="s">
        <v>10902</v>
      </c>
      <c r="W3889" t="s">
        <v>43</v>
      </c>
      <c r="X3889" t="s">
        <v>11279</v>
      </c>
      <c r="Y3889" t="s">
        <v>11280</v>
      </c>
      <c r="Z3889" t="s">
        <v>11276</v>
      </c>
      <c r="AA3889" t="s">
        <v>44</v>
      </c>
      <c r="AB3889" t="s">
        <v>44</v>
      </c>
      <c r="AC3889" s="4"/>
      <c r="AD3889" s="4"/>
      <c r="AE3889" s="2">
        <v>0</v>
      </c>
      <c r="AF3889" s="4">
        <v>0</v>
      </c>
      <c r="AG3889" s="2">
        <v>0.11</v>
      </c>
      <c r="AH3889" s="2">
        <v>188176</v>
      </c>
      <c r="AI3889" s="2">
        <v>0</v>
      </c>
      <c r="AJ3889" s="5">
        <v>44673</v>
      </c>
      <c r="AK3889" t="s">
        <v>12712</v>
      </c>
      <c r="AL3889" s="2">
        <v>0</v>
      </c>
      <c r="AM3889" s="2">
        <v>0</v>
      </c>
      <c r="AN3889" s="2">
        <v>0</v>
      </c>
      <c r="AO3889" t="s">
        <v>44</v>
      </c>
      <c r="AP3889" t="s">
        <v>11681</v>
      </c>
      <c r="AQ3889" t="s">
        <v>11679</v>
      </c>
    </row>
    <row r="3890" spans="1:43" x14ac:dyDescent="0.2">
      <c r="A3890" t="s">
        <v>12711</v>
      </c>
      <c r="B3890" t="s">
        <v>11037</v>
      </c>
      <c r="C3890" t="s">
        <v>11296</v>
      </c>
      <c r="D3890" t="s">
        <v>6632</v>
      </c>
      <c r="E3890" t="s">
        <v>5444</v>
      </c>
      <c r="F3890" t="s">
        <v>6632</v>
      </c>
      <c r="G3890" s="1">
        <v>1500</v>
      </c>
      <c r="H3890" s="2">
        <v>322451.09999999998</v>
      </c>
      <c r="I3890" s="2">
        <v>218025</v>
      </c>
      <c r="J3890" s="2">
        <v>0</v>
      </c>
      <c r="K3890" s="2">
        <v>0</v>
      </c>
      <c r="L3890" s="2">
        <v>218025</v>
      </c>
      <c r="M3890" s="3">
        <v>14535</v>
      </c>
      <c r="N3890" s="4">
        <v>4.9602999999999995E-4</v>
      </c>
      <c r="O3890" s="5" t="s">
        <v>44</v>
      </c>
      <c r="P3890" s="5" t="s">
        <v>44</v>
      </c>
      <c r="Q3890" s="1"/>
      <c r="R3890" s="2"/>
      <c r="S3890" s="6"/>
      <c r="T3890" t="s">
        <v>10902</v>
      </c>
      <c r="U3890" t="s">
        <v>10902</v>
      </c>
      <c r="V3890" t="s">
        <v>10902</v>
      </c>
      <c r="W3890" t="s">
        <v>43</v>
      </c>
      <c r="X3890" t="s">
        <v>11300</v>
      </c>
      <c r="Y3890" t="s">
        <v>11299</v>
      </c>
      <c r="Z3890" t="s">
        <v>11296</v>
      </c>
      <c r="AA3890" t="s">
        <v>44</v>
      </c>
      <c r="AB3890" t="s">
        <v>44</v>
      </c>
      <c r="AC3890" s="4"/>
      <c r="AD3890" s="4"/>
      <c r="AE3890" s="2">
        <v>0</v>
      </c>
      <c r="AF3890" s="4">
        <v>0</v>
      </c>
      <c r="AG3890" s="2">
        <v>0.13</v>
      </c>
      <c r="AH3890" s="2">
        <v>218025</v>
      </c>
      <c r="AI3890" s="2">
        <v>0</v>
      </c>
      <c r="AJ3890" s="5">
        <v>44673</v>
      </c>
      <c r="AK3890" t="s">
        <v>12712</v>
      </c>
      <c r="AL3890" s="2">
        <v>0</v>
      </c>
      <c r="AM3890" s="2">
        <v>0</v>
      </c>
      <c r="AN3890" s="2">
        <v>0</v>
      </c>
      <c r="AO3890" t="s">
        <v>44</v>
      </c>
      <c r="AP3890" t="s">
        <v>11758</v>
      </c>
      <c r="AQ3890" t="s">
        <v>5444</v>
      </c>
    </row>
    <row r="3891" spans="1:43" x14ac:dyDescent="0.2">
      <c r="A3891" t="s">
        <v>12711</v>
      </c>
      <c r="B3891" t="s">
        <v>11037</v>
      </c>
      <c r="C3891" t="s">
        <v>11296</v>
      </c>
      <c r="D3891" t="s">
        <v>6200</v>
      </c>
      <c r="E3891" t="s">
        <v>5051</v>
      </c>
      <c r="F3891" t="s">
        <v>6200</v>
      </c>
      <c r="G3891" s="1">
        <v>10000</v>
      </c>
      <c r="H3891" s="2">
        <v>830738.27</v>
      </c>
      <c r="I3891" s="2">
        <v>686000</v>
      </c>
      <c r="J3891" s="2">
        <v>0</v>
      </c>
      <c r="K3891" s="2">
        <v>0</v>
      </c>
      <c r="L3891" s="2">
        <v>686000</v>
      </c>
      <c r="M3891" s="3">
        <v>6860</v>
      </c>
      <c r="N3891" s="4">
        <v>1.56072E-3</v>
      </c>
      <c r="O3891" s="5" t="s">
        <v>44</v>
      </c>
      <c r="P3891" s="5" t="s">
        <v>44</v>
      </c>
      <c r="Q3891" s="1"/>
      <c r="R3891" s="2"/>
      <c r="S3891" s="6"/>
      <c r="T3891" t="s">
        <v>10902</v>
      </c>
      <c r="U3891" t="s">
        <v>10902</v>
      </c>
      <c r="V3891" t="s">
        <v>10902</v>
      </c>
      <c r="W3891" t="s">
        <v>43</v>
      </c>
      <c r="X3891" t="s">
        <v>11300</v>
      </c>
      <c r="Y3891" t="s">
        <v>11299</v>
      </c>
      <c r="Z3891" t="s">
        <v>11296</v>
      </c>
      <c r="AA3891" t="s">
        <v>44</v>
      </c>
      <c r="AB3891" t="s">
        <v>44</v>
      </c>
      <c r="AC3891" s="4"/>
      <c r="AD3891" s="4"/>
      <c r="AE3891" s="2">
        <v>0</v>
      </c>
      <c r="AF3891" s="4">
        <v>0</v>
      </c>
      <c r="AG3891" s="2">
        <v>0.4</v>
      </c>
      <c r="AH3891" s="2">
        <v>686000</v>
      </c>
      <c r="AI3891" s="2">
        <v>0</v>
      </c>
      <c r="AJ3891" s="5">
        <v>44673</v>
      </c>
      <c r="AK3891" t="s">
        <v>12712</v>
      </c>
      <c r="AL3891" s="2">
        <v>0</v>
      </c>
      <c r="AM3891" s="2">
        <v>0</v>
      </c>
      <c r="AN3891" s="2">
        <v>0</v>
      </c>
      <c r="AO3891" t="s">
        <v>44</v>
      </c>
      <c r="AP3891" t="s">
        <v>11301</v>
      </c>
      <c r="AQ3891" t="s">
        <v>5051</v>
      </c>
    </row>
    <row r="3892" spans="1:43" x14ac:dyDescent="0.2">
      <c r="A3892" t="s">
        <v>12711</v>
      </c>
      <c r="B3892" t="s">
        <v>11037</v>
      </c>
      <c r="C3892" t="s">
        <v>11296</v>
      </c>
      <c r="D3892" t="s">
        <v>6458</v>
      </c>
      <c r="E3892" t="s">
        <v>5402</v>
      </c>
      <c r="F3892" t="s">
        <v>11302</v>
      </c>
      <c r="G3892" s="1">
        <v>2067</v>
      </c>
      <c r="H3892" s="2">
        <v>281781.65999999997</v>
      </c>
      <c r="I3892" s="2">
        <v>357591</v>
      </c>
      <c r="J3892" s="2">
        <v>0</v>
      </c>
      <c r="K3892" s="2">
        <v>0</v>
      </c>
      <c r="L3892" s="2">
        <v>357591</v>
      </c>
      <c r="M3892" s="3">
        <v>17300</v>
      </c>
      <c r="N3892" s="4">
        <v>8.1355999999999996E-4</v>
      </c>
      <c r="O3892" s="5" t="s">
        <v>44</v>
      </c>
      <c r="P3892" s="5" t="s">
        <v>44</v>
      </c>
      <c r="Q3892" s="1"/>
      <c r="R3892" s="2"/>
      <c r="S3892" s="6"/>
      <c r="T3892" t="s">
        <v>10902</v>
      </c>
      <c r="U3892" t="s">
        <v>10902</v>
      </c>
      <c r="V3892" t="s">
        <v>10902</v>
      </c>
      <c r="W3892" t="s">
        <v>43</v>
      </c>
      <c r="X3892" t="s">
        <v>11298</v>
      </c>
      <c r="Y3892" t="s">
        <v>11299</v>
      </c>
      <c r="Z3892" t="s">
        <v>11296</v>
      </c>
      <c r="AA3892" t="s">
        <v>44</v>
      </c>
      <c r="AB3892" t="s">
        <v>44</v>
      </c>
      <c r="AC3892" s="4"/>
      <c r="AD3892" s="4"/>
      <c r="AE3892" s="2">
        <v>0</v>
      </c>
      <c r="AF3892" s="4">
        <v>0</v>
      </c>
      <c r="AG3892" s="2">
        <v>0.21</v>
      </c>
      <c r="AH3892" s="2">
        <v>357591</v>
      </c>
      <c r="AI3892" s="2">
        <v>0</v>
      </c>
      <c r="AJ3892" s="5">
        <v>44673</v>
      </c>
      <c r="AK3892" t="s">
        <v>12712</v>
      </c>
      <c r="AL3892" s="2">
        <v>0</v>
      </c>
      <c r="AM3892" s="2">
        <v>0</v>
      </c>
      <c r="AN3892" s="2">
        <v>0</v>
      </c>
      <c r="AO3892" t="s">
        <v>44</v>
      </c>
      <c r="AP3892" t="s">
        <v>11303</v>
      </c>
      <c r="AQ3892" t="s">
        <v>5402</v>
      </c>
    </row>
    <row r="3893" spans="1:43" x14ac:dyDescent="0.2">
      <c r="A3893" t="s">
        <v>12711</v>
      </c>
      <c r="B3893" t="s">
        <v>11037</v>
      </c>
      <c r="C3893" t="s">
        <v>11296</v>
      </c>
      <c r="D3893" t="s">
        <v>6137</v>
      </c>
      <c r="E3893" t="s">
        <v>4926</v>
      </c>
      <c r="F3893" t="s">
        <v>6137</v>
      </c>
      <c r="G3893" s="1">
        <v>5847</v>
      </c>
      <c r="H3893" s="2">
        <v>1046968.09</v>
      </c>
      <c r="I3893" s="2">
        <v>910611.78</v>
      </c>
      <c r="J3893" s="2">
        <v>0</v>
      </c>
      <c r="K3893" s="2">
        <v>0</v>
      </c>
      <c r="L3893" s="2">
        <v>910611.78</v>
      </c>
      <c r="M3893" s="3">
        <v>15574</v>
      </c>
      <c r="N3893" s="4">
        <v>2.0717399999999999E-3</v>
      </c>
      <c r="O3893" s="5" t="s">
        <v>44</v>
      </c>
      <c r="P3893" s="5" t="s">
        <v>44</v>
      </c>
      <c r="Q3893" s="1"/>
      <c r="R3893" s="2"/>
      <c r="S3893" s="6"/>
      <c r="T3893" t="s">
        <v>10902</v>
      </c>
      <c r="U3893" t="s">
        <v>10902</v>
      </c>
      <c r="V3893" t="s">
        <v>10902</v>
      </c>
      <c r="W3893" t="s">
        <v>43</v>
      </c>
      <c r="X3893" t="s">
        <v>11300</v>
      </c>
      <c r="Y3893" t="s">
        <v>11299</v>
      </c>
      <c r="Z3893" t="s">
        <v>11296</v>
      </c>
      <c r="AA3893" t="s">
        <v>44</v>
      </c>
      <c r="AB3893" t="s">
        <v>44</v>
      </c>
      <c r="AC3893" s="4"/>
      <c r="AD3893" s="4"/>
      <c r="AE3893" s="2">
        <v>0</v>
      </c>
      <c r="AF3893" s="4">
        <v>0</v>
      </c>
      <c r="AG3893" s="2">
        <v>0.54</v>
      </c>
      <c r="AH3893" s="2">
        <v>910611.78</v>
      </c>
      <c r="AI3893" s="2">
        <v>0</v>
      </c>
      <c r="AJ3893" s="5">
        <v>44673</v>
      </c>
      <c r="AK3893" t="s">
        <v>12712</v>
      </c>
      <c r="AL3893" s="2">
        <v>0</v>
      </c>
      <c r="AM3893" s="2">
        <v>0</v>
      </c>
      <c r="AN3893" s="2">
        <v>0</v>
      </c>
      <c r="AO3893" t="s">
        <v>44</v>
      </c>
      <c r="AP3893" t="s">
        <v>11304</v>
      </c>
      <c r="AQ3893" t="s">
        <v>4926</v>
      </c>
    </row>
    <row r="3894" spans="1:43" x14ac:dyDescent="0.2">
      <c r="A3894" t="s">
        <v>12711</v>
      </c>
      <c r="B3894" t="s">
        <v>11037</v>
      </c>
      <c r="C3894" t="s">
        <v>11305</v>
      </c>
      <c r="D3894" t="s">
        <v>6592</v>
      </c>
      <c r="E3894" t="s">
        <v>5424</v>
      </c>
      <c r="F3894" t="s">
        <v>6592</v>
      </c>
      <c r="G3894" s="1">
        <v>15000</v>
      </c>
      <c r="H3894" s="2">
        <v>233450.56</v>
      </c>
      <c r="I3894" s="2">
        <v>260550</v>
      </c>
      <c r="J3894" s="2">
        <v>0</v>
      </c>
      <c r="K3894" s="2">
        <v>0</v>
      </c>
      <c r="L3894" s="2">
        <v>260550</v>
      </c>
      <c r="M3894" s="3">
        <v>1737</v>
      </c>
      <c r="N3894" s="4">
        <v>5.9278E-4</v>
      </c>
      <c r="O3894" s="5" t="s">
        <v>44</v>
      </c>
      <c r="P3894" s="5" t="s">
        <v>44</v>
      </c>
      <c r="Q3894" s="1"/>
      <c r="R3894" s="2"/>
      <c r="S3894" s="6"/>
      <c r="T3894" t="s">
        <v>10902</v>
      </c>
      <c r="U3894" t="s">
        <v>10902</v>
      </c>
      <c r="V3894" t="s">
        <v>10902</v>
      </c>
      <c r="W3894" t="s">
        <v>43</v>
      </c>
      <c r="X3894" t="s">
        <v>11306</v>
      </c>
      <c r="Y3894" t="s">
        <v>11307</v>
      </c>
      <c r="Z3894" t="s">
        <v>11305</v>
      </c>
      <c r="AA3894" t="s">
        <v>44</v>
      </c>
      <c r="AB3894" t="s">
        <v>44</v>
      </c>
      <c r="AC3894" s="4"/>
      <c r="AD3894" s="4"/>
      <c r="AE3894" s="2">
        <v>0</v>
      </c>
      <c r="AF3894" s="4">
        <v>0</v>
      </c>
      <c r="AG3894" s="2">
        <v>0.15</v>
      </c>
      <c r="AH3894" s="2">
        <v>260550</v>
      </c>
      <c r="AI3894" s="2">
        <v>0</v>
      </c>
      <c r="AJ3894" s="5">
        <v>44673</v>
      </c>
      <c r="AK3894" t="s">
        <v>12712</v>
      </c>
      <c r="AL3894" s="2">
        <v>0</v>
      </c>
      <c r="AM3894" s="2">
        <v>0</v>
      </c>
      <c r="AN3894" s="2">
        <v>0</v>
      </c>
      <c r="AO3894" t="s">
        <v>44</v>
      </c>
      <c r="AP3894" t="s">
        <v>11308</v>
      </c>
      <c r="AQ3894" t="s">
        <v>5424</v>
      </c>
    </row>
    <row r="3895" spans="1:43" x14ac:dyDescent="0.2">
      <c r="A3895" t="s">
        <v>12711</v>
      </c>
      <c r="B3895" t="s">
        <v>11037</v>
      </c>
      <c r="C3895" t="s">
        <v>11305</v>
      </c>
      <c r="D3895" t="s">
        <v>11309</v>
      </c>
      <c r="E3895" t="s">
        <v>5389</v>
      </c>
      <c r="F3895" t="s">
        <v>11309</v>
      </c>
      <c r="G3895" s="1">
        <v>13161</v>
      </c>
      <c r="H3895" s="2">
        <v>328059.83</v>
      </c>
      <c r="I3895" s="2">
        <v>495380.04</v>
      </c>
      <c r="J3895" s="2">
        <v>0</v>
      </c>
      <c r="K3895" s="2">
        <v>0</v>
      </c>
      <c r="L3895" s="2">
        <v>495380.04</v>
      </c>
      <c r="M3895" s="3">
        <v>3764</v>
      </c>
      <c r="N3895" s="4">
        <v>1.1270399999999999E-3</v>
      </c>
      <c r="O3895" s="5" t="s">
        <v>44</v>
      </c>
      <c r="P3895" s="5" t="s">
        <v>44</v>
      </c>
      <c r="Q3895" s="1"/>
      <c r="R3895" s="2"/>
      <c r="S3895" s="6"/>
      <c r="T3895" t="s">
        <v>10902</v>
      </c>
      <c r="U3895" t="s">
        <v>10902</v>
      </c>
      <c r="V3895" t="s">
        <v>10902</v>
      </c>
      <c r="W3895" t="s">
        <v>43</v>
      </c>
      <c r="X3895" t="s">
        <v>11310</v>
      </c>
      <c r="Y3895" t="s">
        <v>11307</v>
      </c>
      <c r="Z3895" t="s">
        <v>11305</v>
      </c>
      <c r="AA3895" t="s">
        <v>44</v>
      </c>
      <c r="AB3895" t="s">
        <v>44</v>
      </c>
      <c r="AC3895" s="4"/>
      <c r="AD3895" s="4"/>
      <c r="AE3895" s="2">
        <v>0</v>
      </c>
      <c r="AF3895" s="4">
        <v>0</v>
      </c>
      <c r="AG3895" s="2">
        <v>0.28999999999999998</v>
      </c>
      <c r="AH3895" s="2">
        <v>495380.04</v>
      </c>
      <c r="AI3895" s="2">
        <v>0</v>
      </c>
      <c r="AJ3895" s="5">
        <v>44673</v>
      </c>
      <c r="AK3895" t="s">
        <v>12712</v>
      </c>
      <c r="AL3895" s="2">
        <v>0</v>
      </c>
      <c r="AM3895" s="2">
        <v>0</v>
      </c>
      <c r="AN3895" s="2">
        <v>0</v>
      </c>
      <c r="AO3895" t="s">
        <v>44</v>
      </c>
      <c r="AP3895" t="s">
        <v>11311</v>
      </c>
      <c r="AQ3895" t="s">
        <v>5389</v>
      </c>
    </row>
    <row r="3896" spans="1:43" x14ac:dyDescent="0.2">
      <c r="A3896" t="s">
        <v>12711</v>
      </c>
      <c r="B3896" t="s">
        <v>11037</v>
      </c>
      <c r="C3896" t="s">
        <v>11305</v>
      </c>
      <c r="D3896" t="s">
        <v>6609</v>
      </c>
      <c r="E3896" t="s">
        <v>5271</v>
      </c>
      <c r="F3896" t="s">
        <v>6609</v>
      </c>
      <c r="G3896" s="1">
        <v>15000</v>
      </c>
      <c r="H3896" s="2">
        <v>194175.1</v>
      </c>
      <c r="I3896" s="2">
        <v>253350</v>
      </c>
      <c r="J3896" s="2">
        <v>0</v>
      </c>
      <c r="K3896" s="2">
        <v>0</v>
      </c>
      <c r="L3896" s="2">
        <v>253350</v>
      </c>
      <c r="M3896" s="3">
        <v>1689</v>
      </c>
      <c r="N3896" s="4">
        <v>5.7640000000000002E-4</v>
      </c>
      <c r="O3896" s="5" t="s">
        <v>44</v>
      </c>
      <c r="P3896" s="5" t="s">
        <v>44</v>
      </c>
      <c r="Q3896" s="1"/>
      <c r="R3896" s="2"/>
      <c r="S3896" s="6"/>
      <c r="T3896" t="s">
        <v>10902</v>
      </c>
      <c r="U3896" t="s">
        <v>10902</v>
      </c>
      <c r="V3896" t="s">
        <v>10902</v>
      </c>
      <c r="W3896" t="s">
        <v>43</v>
      </c>
      <c r="X3896" t="s">
        <v>11306</v>
      </c>
      <c r="Y3896" t="s">
        <v>11307</v>
      </c>
      <c r="Z3896" t="s">
        <v>11305</v>
      </c>
      <c r="AA3896" t="s">
        <v>44</v>
      </c>
      <c r="AB3896" t="s">
        <v>44</v>
      </c>
      <c r="AC3896" s="4"/>
      <c r="AD3896" s="4"/>
      <c r="AE3896" s="2">
        <v>0</v>
      </c>
      <c r="AF3896" s="4">
        <v>0</v>
      </c>
      <c r="AG3896" s="2">
        <v>0.15</v>
      </c>
      <c r="AH3896" s="2">
        <v>253350</v>
      </c>
      <c r="AI3896" s="2">
        <v>0</v>
      </c>
      <c r="AJ3896" s="5">
        <v>44673</v>
      </c>
      <c r="AK3896" t="s">
        <v>12712</v>
      </c>
      <c r="AL3896" s="2">
        <v>0</v>
      </c>
      <c r="AM3896" s="2">
        <v>0</v>
      </c>
      <c r="AN3896" s="2">
        <v>0</v>
      </c>
      <c r="AO3896" t="s">
        <v>44</v>
      </c>
      <c r="AP3896" t="s">
        <v>11312</v>
      </c>
      <c r="AQ3896" t="s">
        <v>5271</v>
      </c>
    </row>
    <row r="3897" spans="1:43" x14ac:dyDescent="0.2">
      <c r="A3897" t="s">
        <v>12711</v>
      </c>
      <c r="B3897" t="s">
        <v>11037</v>
      </c>
      <c r="C3897" t="s">
        <v>11305</v>
      </c>
      <c r="D3897" t="s">
        <v>6372</v>
      </c>
      <c r="E3897" t="s">
        <v>6607</v>
      </c>
      <c r="F3897" t="s">
        <v>6372</v>
      </c>
      <c r="G3897" s="1">
        <v>5839</v>
      </c>
      <c r="H3897" s="2">
        <v>426445.06</v>
      </c>
      <c r="I3897" s="2">
        <v>652391.47</v>
      </c>
      <c r="J3897" s="2">
        <v>0</v>
      </c>
      <c r="K3897" s="2">
        <v>0</v>
      </c>
      <c r="L3897" s="2">
        <v>652391.47</v>
      </c>
      <c r="M3897" s="3">
        <v>11173</v>
      </c>
      <c r="N3897" s="4">
        <v>1.48426E-3</v>
      </c>
      <c r="O3897" s="5" t="s">
        <v>44</v>
      </c>
      <c r="P3897" s="5" t="s">
        <v>44</v>
      </c>
      <c r="Q3897" s="1"/>
      <c r="R3897" s="2"/>
      <c r="S3897" s="6"/>
      <c r="T3897" t="s">
        <v>10902</v>
      </c>
      <c r="U3897" t="s">
        <v>10902</v>
      </c>
      <c r="V3897" t="s">
        <v>10902</v>
      </c>
      <c r="W3897" t="s">
        <v>43</v>
      </c>
      <c r="X3897" t="s">
        <v>11306</v>
      </c>
      <c r="Y3897" t="s">
        <v>11307</v>
      </c>
      <c r="Z3897" t="s">
        <v>11305</v>
      </c>
      <c r="AA3897" t="s">
        <v>44</v>
      </c>
      <c r="AB3897" t="s">
        <v>44</v>
      </c>
      <c r="AC3897" s="4"/>
      <c r="AD3897" s="4"/>
      <c r="AE3897" s="2">
        <v>0</v>
      </c>
      <c r="AF3897" s="4">
        <v>0</v>
      </c>
      <c r="AG3897" s="2">
        <v>0.38</v>
      </c>
      <c r="AH3897" s="2">
        <v>652391.47</v>
      </c>
      <c r="AI3897" s="2">
        <v>0</v>
      </c>
      <c r="AJ3897" s="5">
        <v>44673</v>
      </c>
      <c r="AK3897" t="s">
        <v>12712</v>
      </c>
      <c r="AL3897" s="2">
        <v>0</v>
      </c>
      <c r="AM3897" s="2">
        <v>0</v>
      </c>
      <c r="AN3897" s="2">
        <v>0</v>
      </c>
      <c r="AO3897" t="s">
        <v>44</v>
      </c>
      <c r="AP3897" t="s">
        <v>11313</v>
      </c>
      <c r="AQ3897" t="s">
        <v>6607</v>
      </c>
    </row>
    <row r="3898" spans="1:43" x14ac:dyDescent="0.2">
      <c r="A3898" t="s">
        <v>12711</v>
      </c>
      <c r="B3898" t="s">
        <v>11037</v>
      </c>
      <c r="C3898" t="s">
        <v>11305</v>
      </c>
      <c r="D3898" t="s">
        <v>11314</v>
      </c>
      <c r="E3898" t="s">
        <v>6750</v>
      </c>
      <c r="F3898" t="s">
        <v>11314</v>
      </c>
      <c r="G3898" s="1">
        <v>54210</v>
      </c>
      <c r="H3898" s="2">
        <v>979726.5</v>
      </c>
      <c r="I3898" s="2">
        <v>1182320.1000000001</v>
      </c>
      <c r="J3898" s="2">
        <v>0</v>
      </c>
      <c r="K3898" s="2">
        <v>0</v>
      </c>
      <c r="L3898" s="2">
        <v>1182320.1000000001</v>
      </c>
      <c r="M3898" s="3">
        <v>2181</v>
      </c>
      <c r="N3898" s="4">
        <v>2.6899099999999998E-3</v>
      </c>
      <c r="O3898" s="5" t="s">
        <v>44</v>
      </c>
      <c r="P3898" s="5" t="s">
        <v>44</v>
      </c>
      <c r="Q3898" s="1"/>
      <c r="R3898" s="2"/>
      <c r="S3898" s="6"/>
      <c r="T3898" t="s">
        <v>10902</v>
      </c>
      <c r="U3898" t="s">
        <v>10902</v>
      </c>
      <c r="V3898" t="s">
        <v>10902</v>
      </c>
      <c r="W3898" t="s">
        <v>43</v>
      </c>
      <c r="X3898" t="s">
        <v>11306</v>
      </c>
      <c r="Y3898" t="s">
        <v>11307</v>
      </c>
      <c r="Z3898" t="s">
        <v>11305</v>
      </c>
      <c r="AA3898" t="s">
        <v>44</v>
      </c>
      <c r="AB3898" t="s">
        <v>44</v>
      </c>
      <c r="AC3898" s="4"/>
      <c r="AD3898" s="4"/>
      <c r="AE3898" s="2">
        <v>0</v>
      </c>
      <c r="AF3898" s="4">
        <v>0</v>
      </c>
      <c r="AG3898" s="2">
        <v>0.7</v>
      </c>
      <c r="AH3898" s="2">
        <v>1182320.1000000001</v>
      </c>
      <c r="AI3898" s="2">
        <v>0</v>
      </c>
      <c r="AJ3898" s="5">
        <v>44673</v>
      </c>
      <c r="AK3898" t="s">
        <v>12712</v>
      </c>
      <c r="AL3898" s="2">
        <v>0</v>
      </c>
      <c r="AM3898" s="2">
        <v>0</v>
      </c>
      <c r="AN3898" s="2">
        <v>0</v>
      </c>
      <c r="AO3898" t="s">
        <v>44</v>
      </c>
      <c r="AP3898" t="s">
        <v>11315</v>
      </c>
      <c r="AQ3898" t="s">
        <v>6750</v>
      </c>
    </row>
    <row r="3899" spans="1:43" x14ac:dyDescent="0.2">
      <c r="A3899" t="s">
        <v>12711</v>
      </c>
      <c r="B3899" t="s">
        <v>11037</v>
      </c>
      <c r="C3899" t="s">
        <v>11305</v>
      </c>
      <c r="D3899" t="s">
        <v>11316</v>
      </c>
      <c r="E3899" t="s">
        <v>5173</v>
      </c>
      <c r="F3899" t="s">
        <v>11316</v>
      </c>
      <c r="G3899" s="1">
        <v>10500</v>
      </c>
      <c r="H3899" s="2">
        <v>721116.07</v>
      </c>
      <c r="I3899" s="2">
        <v>628005</v>
      </c>
      <c r="J3899" s="2">
        <v>0</v>
      </c>
      <c r="K3899" s="2">
        <v>0</v>
      </c>
      <c r="L3899" s="2">
        <v>628005</v>
      </c>
      <c r="M3899" s="3">
        <v>5981</v>
      </c>
      <c r="N3899" s="4">
        <v>1.4287799999999999E-3</v>
      </c>
      <c r="O3899" s="5" t="s">
        <v>44</v>
      </c>
      <c r="P3899" s="5" t="s">
        <v>44</v>
      </c>
      <c r="Q3899" s="1"/>
      <c r="R3899" s="2"/>
      <c r="S3899" s="6"/>
      <c r="T3899" t="s">
        <v>10902</v>
      </c>
      <c r="U3899" t="s">
        <v>10902</v>
      </c>
      <c r="V3899" t="s">
        <v>10902</v>
      </c>
      <c r="W3899" t="s">
        <v>43</v>
      </c>
      <c r="X3899" t="s">
        <v>11310</v>
      </c>
      <c r="Y3899" t="s">
        <v>11307</v>
      </c>
      <c r="Z3899" t="s">
        <v>11305</v>
      </c>
      <c r="AA3899" t="s">
        <v>44</v>
      </c>
      <c r="AB3899" t="s">
        <v>44</v>
      </c>
      <c r="AC3899" s="4"/>
      <c r="AD3899" s="4"/>
      <c r="AE3899" s="2">
        <v>0</v>
      </c>
      <c r="AF3899" s="4">
        <v>0</v>
      </c>
      <c r="AG3899" s="2">
        <v>0.37</v>
      </c>
      <c r="AH3899" s="2">
        <v>628005</v>
      </c>
      <c r="AI3899" s="2">
        <v>0</v>
      </c>
      <c r="AJ3899" s="5">
        <v>44673</v>
      </c>
      <c r="AK3899" t="s">
        <v>12712</v>
      </c>
      <c r="AL3899" s="2">
        <v>0</v>
      </c>
      <c r="AM3899" s="2">
        <v>0</v>
      </c>
      <c r="AN3899" s="2">
        <v>0</v>
      </c>
      <c r="AO3899" t="s">
        <v>44</v>
      </c>
      <c r="AP3899" t="s">
        <v>11317</v>
      </c>
      <c r="AQ3899" t="s">
        <v>5173</v>
      </c>
    </row>
    <row r="3900" spans="1:43" x14ac:dyDescent="0.2">
      <c r="A3900" t="s">
        <v>12711</v>
      </c>
      <c r="B3900" t="s">
        <v>11037</v>
      </c>
      <c r="C3900" t="s">
        <v>11305</v>
      </c>
      <c r="D3900" t="s">
        <v>11698</v>
      </c>
      <c r="E3900" t="s">
        <v>4919</v>
      </c>
      <c r="F3900" t="s">
        <v>11698</v>
      </c>
      <c r="G3900" s="1">
        <v>6500</v>
      </c>
      <c r="H3900" s="2">
        <v>1048846.56</v>
      </c>
      <c r="I3900" s="2">
        <v>1080300</v>
      </c>
      <c r="J3900" s="2">
        <v>0</v>
      </c>
      <c r="K3900" s="2">
        <v>0</v>
      </c>
      <c r="L3900" s="2">
        <v>1080300</v>
      </c>
      <c r="M3900" s="3">
        <v>16620</v>
      </c>
      <c r="N3900" s="4">
        <v>2.4578E-3</v>
      </c>
      <c r="O3900" s="5" t="s">
        <v>44</v>
      </c>
      <c r="P3900" s="5" t="s">
        <v>44</v>
      </c>
      <c r="Q3900" s="1"/>
      <c r="R3900" s="2"/>
      <c r="S3900" s="6"/>
      <c r="T3900" t="s">
        <v>10902</v>
      </c>
      <c r="U3900" t="s">
        <v>10902</v>
      </c>
      <c r="V3900" t="s">
        <v>10902</v>
      </c>
      <c r="W3900" t="s">
        <v>43</v>
      </c>
      <c r="X3900" t="s">
        <v>11310</v>
      </c>
      <c r="Y3900" t="s">
        <v>11307</v>
      </c>
      <c r="Z3900" t="s">
        <v>11305</v>
      </c>
      <c r="AA3900" t="s">
        <v>44</v>
      </c>
      <c r="AB3900" t="s">
        <v>44</v>
      </c>
      <c r="AC3900" s="4"/>
      <c r="AD3900" s="4"/>
      <c r="AE3900" s="2">
        <v>0</v>
      </c>
      <c r="AF3900" s="4">
        <v>0</v>
      </c>
      <c r="AG3900" s="2">
        <v>0.64</v>
      </c>
      <c r="AH3900" s="2">
        <v>1080300</v>
      </c>
      <c r="AI3900" s="2">
        <v>0</v>
      </c>
      <c r="AJ3900" s="5">
        <v>44673</v>
      </c>
      <c r="AK3900" t="s">
        <v>12712</v>
      </c>
      <c r="AL3900" s="2">
        <v>0</v>
      </c>
      <c r="AM3900" s="2">
        <v>0</v>
      </c>
      <c r="AN3900" s="2">
        <v>0</v>
      </c>
      <c r="AO3900" t="s">
        <v>44</v>
      </c>
      <c r="AP3900" t="s">
        <v>11699</v>
      </c>
      <c r="AQ3900" t="s">
        <v>4919</v>
      </c>
    </row>
    <row r="3901" spans="1:43" x14ac:dyDescent="0.2">
      <c r="A3901" t="s">
        <v>12711</v>
      </c>
      <c r="B3901" t="s">
        <v>11037</v>
      </c>
      <c r="C3901" t="s">
        <v>11305</v>
      </c>
      <c r="D3901" t="s">
        <v>6224</v>
      </c>
      <c r="E3901" t="s">
        <v>3901</v>
      </c>
      <c r="F3901" t="s">
        <v>6224</v>
      </c>
      <c r="G3901" s="1">
        <v>13500</v>
      </c>
      <c r="H3901" s="2">
        <v>681832.9</v>
      </c>
      <c r="I3901" s="2">
        <v>752220</v>
      </c>
      <c r="J3901" s="2">
        <v>0</v>
      </c>
      <c r="K3901" s="2">
        <v>0</v>
      </c>
      <c r="L3901" s="2">
        <v>752220</v>
      </c>
      <c r="M3901" s="3">
        <v>5572</v>
      </c>
      <c r="N3901" s="4">
        <v>1.71138E-3</v>
      </c>
      <c r="O3901" s="5" t="s">
        <v>44</v>
      </c>
      <c r="P3901" s="5" t="s">
        <v>44</v>
      </c>
      <c r="Q3901" s="1"/>
      <c r="R3901" s="2"/>
      <c r="S3901" s="6"/>
      <c r="T3901" t="s">
        <v>10902</v>
      </c>
      <c r="U3901" t="s">
        <v>10902</v>
      </c>
      <c r="V3901" t="s">
        <v>10902</v>
      </c>
      <c r="W3901" t="s">
        <v>43</v>
      </c>
      <c r="X3901" t="s">
        <v>11306</v>
      </c>
      <c r="Y3901" t="s">
        <v>11307</v>
      </c>
      <c r="Z3901" t="s">
        <v>11305</v>
      </c>
      <c r="AA3901" t="s">
        <v>44</v>
      </c>
      <c r="AB3901" t="s">
        <v>44</v>
      </c>
      <c r="AC3901" s="4"/>
      <c r="AD3901" s="4"/>
      <c r="AE3901" s="2">
        <v>0</v>
      </c>
      <c r="AF3901" s="4">
        <v>0</v>
      </c>
      <c r="AG3901" s="2">
        <v>0.44</v>
      </c>
      <c r="AH3901" s="2">
        <v>752220</v>
      </c>
      <c r="AI3901" s="2">
        <v>0</v>
      </c>
      <c r="AJ3901" s="5">
        <v>44673</v>
      </c>
      <c r="AK3901" t="s">
        <v>12712</v>
      </c>
      <c r="AL3901" s="2">
        <v>0</v>
      </c>
      <c r="AM3901" s="2">
        <v>0</v>
      </c>
      <c r="AN3901" s="2">
        <v>0</v>
      </c>
      <c r="AO3901" t="s">
        <v>44</v>
      </c>
      <c r="AP3901" t="s">
        <v>11320</v>
      </c>
      <c r="AQ3901" t="s">
        <v>3901</v>
      </c>
    </row>
    <row r="3902" spans="1:43" x14ac:dyDescent="0.2">
      <c r="A3902" t="s">
        <v>12711</v>
      </c>
      <c r="B3902" t="s">
        <v>11037</v>
      </c>
      <c r="C3902" t="s">
        <v>11195</v>
      </c>
      <c r="D3902" t="s">
        <v>11325</v>
      </c>
      <c r="E3902" t="s">
        <v>5284</v>
      </c>
      <c r="F3902" t="s">
        <v>11325</v>
      </c>
      <c r="G3902" s="1">
        <v>7738</v>
      </c>
      <c r="H3902" s="2">
        <v>360081.08</v>
      </c>
      <c r="I3902" s="2">
        <v>249782.64</v>
      </c>
      <c r="J3902" s="2">
        <v>0</v>
      </c>
      <c r="K3902" s="2">
        <v>0</v>
      </c>
      <c r="L3902" s="2">
        <v>249782.64</v>
      </c>
      <c r="M3902" s="3">
        <v>3228</v>
      </c>
      <c r="N3902" s="4">
        <v>5.6828E-4</v>
      </c>
      <c r="O3902" s="5" t="s">
        <v>44</v>
      </c>
      <c r="P3902" s="5" t="s">
        <v>44</v>
      </c>
      <c r="Q3902" s="1"/>
      <c r="R3902" s="2"/>
      <c r="S3902" s="6"/>
      <c r="T3902" t="s">
        <v>10902</v>
      </c>
      <c r="U3902" t="s">
        <v>10902</v>
      </c>
      <c r="V3902" t="s">
        <v>10902</v>
      </c>
      <c r="W3902" t="s">
        <v>43</v>
      </c>
      <c r="X3902" t="s">
        <v>11197</v>
      </c>
      <c r="Y3902" t="s">
        <v>11198</v>
      </c>
      <c r="Z3902" t="s">
        <v>11195</v>
      </c>
      <c r="AA3902" t="s">
        <v>44</v>
      </c>
      <c r="AB3902" t="s">
        <v>44</v>
      </c>
      <c r="AC3902" s="4"/>
      <c r="AD3902" s="4"/>
      <c r="AE3902" s="2">
        <v>0</v>
      </c>
      <c r="AF3902" s="4">
        <v>0</v>
      </c>
      <c r="AG3902" s="2">
        <v>0.15</v>
      </c>
      <c r="AH3902" s="2">
        <v>249782.64</v>
      </c>
      <c r="AI3902" s="2">
        <v>0</v>
      </c>
      <c r="AJ3902" s="5">
        <v>44673</v>
      </c>
      <c r="AK3902" t="s">
        <v>12712</v>
      </c>
      <c r="AL3902" s="2">
        <v>0</v>
      </c>
      <c r="AM3902" s="2">
        <v>0</v>
      </c>
      <c r="AN3902" s="2">
        <v>0</v>
      </c>
      <c r="AO3902" t="s">
        <v>44</v>
      </c>
      <c r="AP3902" t="s">
        <v>11326</v>
      </c>
      <c r="AQ3902" t="s">
        <v>5284</v>
      </c>
    </row>
    <row r="3903" spans="1:43" x14ac:dyDescent="0.2">
      <c r="A3903" t="s">
        <v>12711</v>
      </c>
      <c r="B3903" t="s">
        <v>11037</v>
      </c>
      <c r="C3903" t="s">
        <v>11195</v>
      </c>
      <c r="D3903" t="s">
        <v>6419</v>
      </c>
      <c r="E3903" t="s">
        <v>5072</v>
      </c>
      <c r="F3903" t="s">
        <v>6419</v>
      </c>
      <c r="G3903" s="1">
        <v>10642</v>
      </c>
      <c r="H3903" s="2">
        <v>438986.23</v>
      </c>
      <c r="I3903" s="2">
        <v>446538.32</v>
      </c>
      <c r="J3903" s="2">
        <v>0</v>
      </c>
      <c r="K3903" s="2">
        <v>0</v>
      </c>
      <c r="L3903" s="2">
        <v>446538.32</v>
      </c>
      <c r="M3903" s="3">
        <v>4196</v>
      </c>
      <c r="N3903" s="4">
        <v>1.01592E-3</v>
      </c>
      <c r="O3903" s="5" t="s">
        <v>44</v>
      </c>
      <c r="P3903" s="5" t="s">
        <v>44</v>
      </c>
      <c r="Q3903" s="1"/>
      <c r="R3903" s="2"/>
      <c r="S3903" s="6"/>
      <c r="T3903" t="s">
        <v>10902</v>
      </c>
      <c r="U3903" t="s">
        <v>10902</v>
      </c>
      <c r="V3903" t="s">
        <v>10902</v>
      </c>
      <c r="W3903" t="s">
        <v>43</v>
      </c>
      <c r="X3903" t="s">
        <v>11327</v>
      </c>
      <c r="Y3903" t="s">
        <v>11198</v>
      </c>
      <c r="Z3903" t="s">
        <v>11195</v>
      </c>
      <c r="AA3903" t="s">
        <v>44</v>
      </c>
      <c r="AB3903" t="s">
        <v>44</v>
      </c>
      <c r="AC3903" s="4"/>
      <c r="AD3903" s="4"/>
      <c r="AE3903" s="2">
        <v>0</v>
      </c>
      <c r="AF3903" s="4">
        <v>0</v>
      </c>
      <c r="AG3903" s="2">
        <v>0.26</v>
      </c>
      <c r="AH3903" s="2">
        <v>446538.32</v>
      </c>
      <c r="AI3903" s="2">
        <v>0</v>
      </c>
      <c r="AJ3903" s="5">
        <v>44673</v>
      </c>
      <c r="AK3903" t="s">
        <v>12712</v>
      </c>
      <c r="AL3903" s="2">
        <v>0</v>
      </c>
      <c r="AM3903" s="2">
        <v>0</v>
      </c>
      <c r="AN3903" s="2">
        <v>0</v>
      </c>
      <c r="AO3903" t="s">
        <v>44</v>
      </c>
      <c r="AP3903" t="s">
        <v>11328</v>
      </c>
      <c r="AQ3903" t="s">
        <v>5072</v>
      </c>
    </row>
    <row r="3904" spans="1:43" x14ac:dyDescent="0.2">
      <c r="A3904" t="s">
        <v>12711</v>
      </c>
      <c r="B3904" t="s">
        <v>11037</v>
      </c>
      <c r="C3904" t="s">
        <v>11195</v>
      </c>
      <c r="D3904" t="s">
        <v>11704</v>
      </c>
      <c r="E3904" t="s">
        <v>3205</v>
      </c>
      <c r="F3904" t="s">
        <v>11704</v>
      </c>
      <c r="G3904" s="1">
        <v>2658</v>
      </c>
      <c r="H3904" s="2">
        <v>257663.13</v>
      </c>
      <c r="I3904" s="2">
        <v>437506.8</v>
      </c>
      <c r="J3904" s="2">
        <v>0</v>
      </c>
      <c r="K3904" s="2">
        <v>0</v>
      </c>
      <c r="L3904" s="2">
        <v>437506.8</v>
      </c>
      <c r="M3904" s="3">
        <v>16460</v>
      </c>
      <c r="N3904" s="4">
        <v>9.9537999999999992E-4</v>
      </c>
      <c r="O3904" s="5" t="s">
        <v>44</v>
      </c>
      <c r="P3904" s="5" t="s">
        <v>44</v>
      </c>
      <c r="Q3904" s="1"/>
      <c r="R3904" s="2"/>
      <c r="S3904" s="6"/>
      <c r="T3904" t="s">
        <v>10902</v>
      </c>
      <c r="U3904" t="s">
        <v>10902</v>
      </c>
      <c r="V3904" t="s">
        <v>10902</v>
      </c>
      <c r="W3904" t="s">
        <v>43</v>
      </c>
      <c r="X3904" t="s">
        <v>11334</v>
      </c>
      <c r="Y3904" t="s">
        <v>11335</v>
      </c>
      <c r="Z3904" t="s">
        <v>11195</v>
      </c>
      <c r="AA3904" t="s">
        <v>44</v>
      </c>
      <c r="AB3904" t="s">
        <v>44</v>
      </c>
      <c r="AC3904" s="4"/>
      <c r="AD3904" s="4"/>
      <c r="AE3904" s="2">
        <v>0</v>
      </c>
      <c r="AF3904" s="4">
        <v>0</v>
      </c>
      <c r="AG3904" s="2">
        <v>0.26</v>
      </c>
      <c r="AH3904" s="2">
        <v>437506.8</v>
      </c>
      <c r="AI3904" s="2">
        <v>0</v>
      </c>
      <c r="AJ3904" s="5">
        <v>44673</v>
      </c>
      <c r="AK3904" t="s">
        <v>12712</v>
      </c>
      <c r="AL3904" s="2">
        <v>0</v>
      </c>
      <c r="AM3904" s="2">
        <v>0</v>
      </c>
      <c r="AN3904" s="2">
        <v>0</v>
      </c>
      <c r="AO3904" t="s">
        <v>44</v>
      </c>
      <c r="AP3904" t="s">
        <v>11705</v>
      </c>
      <c r="AQ3904" t="s">
        <v>3205</v>
      </c>
    </row>
    <row r="3905" spans="1:43" x14ac:dyDescent="0.2">
      <c r="A3905" t="s">
        <v>12711</v>
      </c>
      <c r="B3905" t="s">
        <v>11037</v>
      </c>
      <c r="C3905" t="s">
        <v>11195</v>
      </c>
      <c r="D3905" t="s">
        <v>11196</v>
      </c>
      <c r="E3905" t="s">
        <v>5755</v>
      </c>
      <c r="F3905" t="s">
        <v>11196</v>
      </c>
      <c r="G3905" s="1">
        <v>25276</v>
      </c>
      <c r="H3905" s="2">
        <v>471171.99</v>
      </c>
      <c r="I3905" s="2">
        <v>545456.07999999996</v>
      </c>
      <c r="J3905" s="2">
        <v>0</v>
      </c>
      <c r="K3905" s="2">
        <v>0</v>
      </c>
      <c r="L3905" s="2">
        <v>545456.07999999996</v>
      </c>
      <c r="M3905" s="3">
        <v>2158</v>
      </c>
      <c r="N3905" s="4">
        <v>1.2409700000000001E-3</v>
      </c>
      <c r="O3905" s="5" t="s">
        <v>44</v>
      </c>
      <c r="P3905" s="5" t="s">
        <v>44</v>
      </c>
      <c r="Q3905" s="1"/>
      <c r="R3905" s="2"/>
      <c r="S3905" s="6"/>
      <c r="T3905" t="s">
        <v>10902</v>
      </c>
      <c r="U3905" t="s">
        <v>10902</v>
      </c>
      <c r="V3905" t="s">
        <v>10902</v>
      </c>
      <c r="W3905" t="s">
        <v>43</v>
      </c>
      <c r="X3905" t="s">
        <v>11197</v>
      </c>
      <c r="Y3905" t="s">
        <v>11198</v>
      </c>
      <c r="Z3905" t="s">
        <v>11195</v>
      </c>
      <c r="AA3905" t="s">
        <v>44</v>
      </c>
      <c r="AB3905" t="s">
        <v>44</v>
      </c>
      <c r="AC3905" s="4"/>
      <c r="AD3905" s="4"/>
      <c r="AE3905" s="2">
        <v>0</v>
      </c>
      <c r="AF3905" s="4">
        <v>0</v>
      </c>
      <c r="AG3905" s="2">
        <v>0.32</v>
      </c>
      <c r="AH3905" s="2">
        <v>545456.07999999996</v>
      </c>
      <c r="AI3905" s="2">
        <v>0</v>
      </c>
      <c r="AJ3905" s="5">
        <v>44673</v>
      </c>
      <c r="AK3905" t="s">
        <v>12712</v>
      </c>
      <c r="AL3905" s="2">
        <v>0</v>
      </c>
      <c r="AM3905" s="2">
        <v>0</v>
      </c>
      <c r="AN3905" s="2">
        <v>0</v>
      </c>
      <c r="AO3905" t="s">
        <v>44</v>
      </c>
      <c r="AP3905" t="s">
        <v>11199</v>
      </c>
      <c r="AQ3905" t="s">
        <v>5755</v>
      </c>
    </row>
    <row r="3906" spans="1:43" x14ac:dyDescent="0.2">
      <c r="A3906" t="s">
        <v>12711</v>
      </c>
      <c r="B3906" t="s">
        <v>11037</v>
      </c>
      <c r="C3906" t="s">
        <v>11195</v>
      </c>
      <c r="D3906" t="s">
        <v>11706</v>
      </c>
      <c r="E3906" t="s">
        <v>4801</v>
      </c>
      <c r="F3906" t="s">
        <v>11706</v>
      </c>
      <c r="G3906" s="1">
        <v>21823</v>
      </c>
      <c r="H3906" s="2">
        <v>1419176.05</v>
      </c>
      <c r="I3906" s="2">
        <v>1518226.11</v>
      </c>
      <c r="J3906" s="2">
        <v>0</v>
      </c>
      <c r="K3906" s="2">
        <v>0</v>
      </c>
      <c r="L3906" s="2">
        <v>1518226.11</v>
      </c>
      <c r="M3906" s="3">
        <v>6957</v>
      </c>
      <c r="N3906" s="4">
        <v>3.4541300000000001E-3</v>
      </c>
      <c r="O3906" s="5" t="s">
        <v>44</v>
      </c>
      <c r="P3906" s="5" t="s">
        <v>44</v>
      </c>
      <c r="Q3906" s="1"/>
      <c r="R3906" s="2"/>
      <c r="S3906" s="6"/>
      <c r="T3906" t="s">
        <v>10902</v>
      </c>
      <c r="U3906" t="s">
        <v>10902</v>
      </c>
      <c r="V3906" t="s">
        <v>10902</v>
      </c>
      <c r="W3906" t="s">
        <v>43</v>
      </c>
      <c r="X3906" t="s">
        <v>11034</v>
      </c>
      <c r="Y3906" t="s">
        <v>11034</v>
      </c>
      <c r="Z3906" t="s">
        <v>11195</v>
      </c>
      <c r="AA3906" t="s">
        <v>44</v>
      </c>
      <c r="AB3906" t="s">
        <v>44</v>
      </c>
      <c r="AC3906" s="4"/>
      <c r="AD3906" s="4"/>
      <c r="AE3906" s="2">
        <v>0</v>
      </c>
      <c r="AF3906" s="4">
        <v>0</v>
      </c>
      <c r="AG3906" s="2">
        <v>0.89</v>
      </c>
      <c r="AH3906" s="2">
        <v>1518226.11</v>
      </c>
      <c r="AI3906" s="2">
        <v>0</v>
      </c>
      <c r="AJ3906" s="5">
        <v>44673</v>
      </c>
      <c r="AK3906" t="s">
        <v>12712</v>
      </c>
      <c r="AL3906" s="2">
        <v>0</v>
      </c>
      <c r="AM3906" s="2">
        <v>0</v>
      </c>
      <c r="AN3906" s="2">
        <v>0</v>
      </c>
      <c r="AO3906" t="s">
        <v>44</v>
      </c>
      <c r="AP3906" t="s">
        <v>11707</v>
      </c>
      <c r="AQ3906" t="s">
        <v>4801</v>
      </c>
    </row>
    <row r="3907" spans="1:43" x14ac:dyDescent="0.2">
      <c r="A3907" t="s">
        <v>12711</v>
      </c>
      <c r="B3907" t="s">
        <v>11037</v>
      </c>
      <c r="C3907" t="s">
        <v>11195</v>
      </c>
      <c r="D3907" t="s">
        <v>11200</v>
      </c>
      <c r="E3907" t="s">
        <v>5277</v>
      </c>
      <c r="F3907" t="s">
        <v>11200</v>
      </c>
      <c r="G3907" s="1">
        <v>47847</v>
      </c>
      <c r="H3907" s="2">
        <v>845044.77</v>
      </c>
      <c r="I3907" s="2">
        <v>596652.09</v>
      </c>
      <c r="J3907" s="2">
        <v>0</v>
      </c>
      <c r="K3907" s="2">
        <v>0</v>
      </c>
      <c r="L3907" s="2">
        <v>596652.09</v>
      </c>
      <c r="M3907" s="3">
        <v>1247</v>
      </c>
      <c r="N3907" s="4">
        <v>1.3574500000000001E-3</v>
      </c>
      <c r="O3907" s="5" t="s">
        <v>44</v>
      </c>
      <c r="P3907" s="5" t="s">
        <v>44</v>
      </c>
      <c r="Q3907" s="1"/>
      <c r="R3907" s="2"/>
      <c r="S3907" s="6"/>
      <c r="T3907" t="s">
        <v>10902</v>
      </c>
      <c r="U3907" t="s">
        <v>10902</v>
      </c>
      <c r="V3907" t="s">
        <v>10902</v>
      </c>
      <c r="W3907" t="s">
        <v>43</v>
      </c>
      <c r="X3907" t="s">
        <v>11197</v>
      </c>
      <c r="Y3907" t="s">
        <v>11198</v>
      </c>
      <c r="Z3907" t="s">
        <v>11195</v>
      </c>
      <c r="AA3907" t="s">
        <v>44</v>
      </c>
      <c r="AB3907" t="s">
        <v>44</v>
      </c>
      <c r="AC3907" s="4"/>
      <c r="AD3907" s="4"/>
      <c r="AE3907" s="2">
        <v>0</v>
      </c>
      <c r="AF3907" s="4">
        <v>0</v>
      </c>
      <c r="AG3907" s="2">
        <v>0.35</v>
      </c>
      <c r="AH3907" s="2">
        <v>596652.09</v>
      </c>
      <c r="AI3907" s="2">
        <v>0</v>
      </c>
      <c r="AJ3907" s="5">
        <v>44673</v>
      </c>
      <c r="AK3907" t="s">
        <v>12712</v>
      </c>
      <c r="AL3907" s="2">
        <v>0</v>
      </c>
      <c r="AM3907" s="2">
        <v>0</v>
      </c>
      <c r="AN3907" s="2">
        <v>0</v>
      </c>
      <c r="AO3907" t="s">
        <v>44</v>
      </c>
      <c r="AP3907" t="s">
        <v>11201</v>
      </c>
      <c r="AQ3907" t="s">
        <v>5277</v>
      </c>
    </row>
    <row r="3908" spans="1:43" x14ac:dyDescent="0.2">
      <c r="A3908" t="s">
        <v>12711</v>
      </c>
      <c r="B3908" t="s">
        <v>11037</v>
      </c>
      <c r="C3908" t="s">
        <v>11195</v>
      </c>
      <c r="D3908" t="s">
        <v>6332</v>
      </c>
      <c r="E3908" t="s">
        <v>3152</v>
      </c>
      <c r="F3908" t="s">
        <v>6332</v>
      </c>
      <c r="G3908" s="1">
        <v>6500</v>
      </c>
      <c r="H3908" s="2">
        <v>242494.57</v>
      </c>
      <c r="I3908" s="2">
        <v>234520</v>
      </c>
      <c r="J3908" s="2">
        <v>0</v>
      </c>
      <c r="K3908" s="2">
        <v>0</v>
      </c>
      <c r="L3908" s="2">
        <v>234520</v>
      </c>
      <c r="M3908" s="3">
        <v>3608</v>
      </c>
      <c r="N3908" s="4">
        <v>5.3355999999999998E-4</v>
      </c>
      <c r="O3908" s="5" t="s">
        <v>44</v>
      </c>
      <c r="P3908" s="5" t="s">
        <v>44</v>
      </c>
      <c r="Q3908" s="1"/>
      <c r="R3908" s="2"/>
      <c r="S3908" s="6"/>
      <c r="T3908" t="s">
        <v>10902</v>
      </c>
      <c r="U3908" t="s">
        <v>10902</v>
      </c>
      <c r="V3908" t="s">
        <v>10902</v>
      </c>
      <c r="W3908" t="s">
        <v>43</v>
      </c>
      <c r="X3908" t="s">
        <v>11197</v>
      </c>
      <c r="Y3908" t="s">
        <v>11198</v>
      </c>
      <c r="Z3908" t="s">
        <v>11195</v>
      </c>
      <c r="AA3908" t="s">
        <v>44</v>
      </c>
      <c r="AB3908" t="s">
        <v>44</v>
      </c>
      <c r="AC3908" s="4"/>
      <c r="AD3908" s="4"/>
      <c r="AE3908" s="2">
        <v>0</v>
      </c>
      <c r="AF3908" s="4">
        <v>0</v>
      </c>
      <c r="AG3908" s="2">
        <v>0.14000000000000001</v>
      </c>
      <c r="AH3908" s="2">
        <v>234520</v>
      </c>
      <c r="AI3908" s="2">
        <v>0</v>
      </c>
      <c r="AJ3908" s="5">
        <v>44673</v>
      </c>
      <c r="AK3908" t="s">
        <v>12712</v>
      </c>
      <c r="AL3908" s="2">
        <v>0</v>
      </c>
      <c r="AM3908" s="2">
        <v>0</v>
      </c>
      <c r="AN3908" s="2">
        <v>0</v>
      </c>
      <c r="AO3908" t="s">
        <v>44</v>
      </c>
      <c r="AP3908" t="s">
        <v>11203</v>
      </c>
      <c r="AQ3908" t="s">
        <v>3152</v>
      </c>
    </row>
    <row r="3909" spans="1:43" x14ac:dyDescent="0.2">
      <c r="A3909" t="s">
        <v>12711</v>
      </c>
      <c r="B3909" t="s">
        <v>11037</v>
      </c>
      <c r="C3909" t="s">
        <v>11195</v>
      </c>
      <c r="D3909" t="s">
        <v>11710</v>
      </c>
      <c r="E3909" t="s">
        <v>5671</v>
      </c>
      <c r="F3909" t="s">
        <v>11710</v>
      </c>
      <c r="G3909" s="1">
        <v>12022</v>
      </c>
      <c r="H3909" s="2">
        <v>185321.9</v>
      </c>
      <c r="I3909" s="2">
        <v>147870.6</v>
      </c>
      <c r="J3909" s="2">
        <v>0</v>
      </c>
      <c r="K3909" s="2">
        <v>0</v>
      </c>
      <c r="L3909" s="2">
        <v>147870.6</v>
      </c>
      <c r="M3909" s="3">
        <v>1230</v>
      </c>
      <c r="N3909" s="4">
        <v>3.3641999999999998E-4</v>
      </c>
      <c r="O3909" s="5" t="s">
        <v>44</v>
      </c>
      <c r="P3909" s="5" t="s">
        <v>44</v>
      </c>
      <c r="Q3909" s="1"/>
      <c r="R3909" s="2"/>
      <c r="S3909" s="6"/>
      <c r="T3909" t="s">
        <v>10902</v>
      </c>
      <c r="U3909" t="s">
        <v>10902</v>
      </c>
      <c r="V3909" t="s">
        <v>10902</v>
      </c>
      <c r="W3909" t="s">
        <v>43</v>
      </c>
      <c r="X3909" t="s">
        <v>11197</v>
      </c>
      <c r="Y3909" t="s">
        <v>11198</v>
      </c>
      <c r="Z3909" t="s">
        <v>11195</v>
      </c>
      <c r="AA3909" t="s">
        <v>44</v>
      </c>
      <c r="AB3909" t="s">
        <v>44</v>
      </c>
      <c r="AC3909" s="4"/>
      <c r="AD3909" s="4"/>
      <c r="AE3909" s="2">
        <v>0</v>
      </c>
      <c r="AF3909" s="4">
        <v>0</v>
      </c>
      <c r="AG3909" s="2">
        <v>0.09</v>
      </c>
      <c r="AH3909" s="2">
        <v>147870.6</v>
      </c>
      <c r="AI3909" s="2">
        <v>0</v>
      </c>
      <c r="AJ3909" s="5">
        <v>44673</v>
      </c>
      <c r="AK3909" t="s">
        <v>12712</v>
      </c>
      <c r="AL3909" s="2">
        <v>0</v>
      </c>
      <c r="AM3909" s="2">
        <v>0</v>
      </c>
      <c r="AN3909" s="2">
        <v>0</v>
      </c>
      <c r="AO3909" t="s">
        <v>44</v>
      </c>
      <c r="AP3909" t="s">
        <v>11711</v>
      </c>
      <c r="AQ3909" t="s">
        <v>5671</v>
      </c>
    </row>
    <row r="3910" spans="1:43" x14ac:dyDescent="0.2">
      <c r="A3910" t="s">
        <v>12711</v>
      </c>
      <c r="B3910" t="s">
        <v>11037</v>
      </c>
      <c r="C3910" t="s">
        <v>11195</v>
      </c>
      <c r="D3910" t="s">
        <v>11759</v>
      </c>
      <c r="E3910" t="s">
        <v>5719</v>
      </c>
      <c r="F3910" t="s">
        <v>11759</v>
      </c>
      <c r="G3910" s="1">
        <v>12500</v>
      </c>
      <c r="H3910" s="2">
        <v>161687.16</v>
      </c>
      <c r="I3910" s="2">
        <v>270000</v>
      </c>
      <c r="J3910" s="2">
        <v>0</v>
      </c>
      <c r="K3910" s="2">
        <v>0</v>
      </c>
      <c r="L3910" s="2">
        <v>270000</v>
      </c>
      <c r="M3910" s="3">
        <v>2160</v>
      </c>
      <c r="N3910" s="4">
        <v>6.1428000000000003E-4</v>
      </c>
      <c r="O3910" s="5" t="s">
        <v>44</v>
      </c>
      <c r="P3910" s="5" t="s">
        <v>44</v>
      </c>
      <c r="Q3910" s="1"/>
      <c r="R3910" s="2"/>
      <c r="S3910" s="6"/>
      <c r="T3910" t="s">
        <v>10902</v>
      </c>
      <c r="U3910" t="s">
        <v>10902</v>
      </c>
      <c r="V3910" t="s">
        <v>10902</v>
      </c>
      <c r="W3910" t="s">
        <v>43</v>
      </c>
      <c r="X3910" t="s">
        <v>11197</v>
      </c>
      <c r="Y3910" t="s">
        <v>11198</v>
      </c>
      <c r="Z3910" t="s">
        <v>11195</v>
      </c>
      <c r="AA3910" t="s">
        <v>44</v>
      </c>
      <c r="AB3910" t="s">
        <v>44</v>
      </c>
      <c r="AC3910" s="4"/>
      <c r="AD3910" s="4"/>
      <c r="AE3910" s="2">
        <v>0</v>
      </c>
      <c r="AF3910" s="4">
        <v>0</v>
      </c>
      <c r="AG3910" s="2">
        <v>0.16</v>
      </c>
      <c r="AH3910" s="2">
        <v>270000</v>
      </c>
      <c r="AI3910" s="2">
        <v>0</v>
      </c>
      <c r="AJ3910" s="5">
        <v>44673</v>
      </c>
      <c r="AK3910" t="s">
        <v>12712</v>
      </c>
      <c r="AL3910" s="2">
        <v>0</v>
      </c>
      <c r="AM3910" s="2">
        <v>0</v>
      </c>
      <c r="AN3910" s="2">
        <v>0</v>
      </c>
      <c r="AO3910" t="s">
        <v>44</v>
      </c>
      <c r="AP3910" t="s">
        <v>11760</v>
      </c>
      <c r="AQ3910" t="s">
        <v>5719</v>
      </c>
    </row>
    <row r="3911" spans="1:43" x14ac:dyDescent="0.2">
      <c r="A3911" t="s">
        <v>12711</v>
      </c>
      <c r="B3911" t="s">
        <v>11037</v>
      </c>
      <c r="C3911" t="s">
        <v>11195</v>
      </c>
      <c r="D3911" t="s">
        <v>6450</v>
      </c>
      <c r="E3911" t="s">
        <v>5121</v>
      </c>
      <c r="F3911" t="s">
        <v>6450</v>
      </c>
      <c r="G3911" s="1">
        <v>1978</v>
      </c>
      <c r="H3911" s="2">
        <v>258692.16</v>
      </c>
      <c r="I3911" s="2">
        <v>219340.42</v>
      </c>
      <c r="J3911" s="2">
        <v>0</v>
      </c>
      <c r="K3911" s="2">
        <v>0</v>
      </c>
      <c r="L3911" s="2">
        <v>219340.42</v>
      </c>
      <c r="M3911" s="3">
        <v>11089</v>
      </c>
      <c r="N3911" s="4">
        <v>4.9901999999999998E-4</v>
      </c>
      <c r="O3911" s="5" t="s">
        <v>44</v>
      </c>
      <c r="P3911" s="5" t="s">
        <v>44</v>
      </c>
      <c r="Q3911" s="1"/>
      <c r="R3911" s="2"/>
      <c r="S3911" s="6"/>
      <c r="T3911" t="s">
        <v>10902</v>
      </c>
      <c r="U3911" t="s">
        <v>10902</v>
      </c>
      <c r="V3911" t="s">
        <v>10902</v>
      </c>
      <c r="W3911" t="s">
        <v>43</v>
      </c>
      <c r="X3911" t="s">
        <v>11327</v>
      </c>
      <c r="Y3911" t="s">
        <v>11198</v>
      </c>
      <c r="Z3911" t="s">
        <v>11195</v>
      </c>
      <c r="AA3911" t="s">
        <v>44</v>
      </c>
      <c r="AB3911" t="s">
        <v>44</v>
      </c>
      <c r="AC3911" s="4"/>
      <c r="AD3911" s="4"/>
      <c r="AE3911" s="2">
        <v>0</v>
      </c>
      <c r="AF3911" s="4">
        <v>0</v>
      </c>
      <c r="AG3911" s="2">
        <v>0.13</v>
      </c>
      <c r="AH3911" s="2">
        <v>219340.42</v>
      </c>
      <c r="AI3911" s="2">
        <v>0</v>
      </c>
      <c r="AJ3911" s="5">
        <v>44673</v>
      </c>
      <c r="AK3911" t="s">
        <v>12712</v>
      </c>
      <c r="AL3911" s="2">
        <v>0</v>
      </c>
      <c r="AM3911" s="2">
        <v>0</v>
      </c>
      <c r="AN3911" s="2">
        <v>0</v>
      </c>
      <c r="AO3911" t="s">
        <v>44</v>
      </c>
      <c r="AP3911" t="s">
        <v>11331</v>
      </c>
      <c r="AQ3911" t="s">
        <v>5121</v>
      </c>
    </row>
    <row r="3912" spans="1:43" x14ac:dyDescent="0.2">
      <c r="A3912" t="s">
        <v>12711</v>
      </c>
      <c r="B3912" t="s">
        <v>11037</v>
      </c>
      <c r="C3912" t="s">
        <v>11195</v>
      </c>
      <c r="D3912" t="s">
        <v>11332</v>
      </c>
      <c r="E3912" t="s">
        <v>11333</v>
      </c>
      <c r="F3912" t="s">
        <v>11332</v>
      </c>
      <c r="G3912" s="1">
        <v>40997</v>
      </c>
      <c r="H3912" s="2">
        <v>727838.2</v>
      </c>
      <c r="I3912" s="2">
        <v>692439.33</v>
      </c>
      <c r="J3912" s="2">
        <v>0</v>
      </c>
      <c r="K3912" s="2">
        <v>0</v>
      </c>
      <c r="L3912" s="2">
        <v>692439.33</v>
      </c>
      <c r="M3912" s="3">
        <v>1689</v>
      </c>
      <c r="N3912" s="4">
        <v>1.57537E-3</v>
      </c>
      <c r="O3912" s="5" t="s">
        <v>44</v>
      </c>
      <c r="P3912" s="5" t="s">
        <v>44</v>
      </c>
      <c r="Q3912" s="1"/>
      <c r="R3912" s="2"/>
      <c r="S3912" s="6"/>
      <c r="T3912" t="s">
        <v>10902</v>
      </c>
      <c r="U3912" t="s">
        <v>10902</v>
      </c>
      <c r="V3912" t="s">
        <v>10902</v>
      </c>
      <c r="W3912" t="s">
        <v>43</v>
      </c>
      <c r="X3912" t="s">
        <v>11334</v>
      </c>
      <c r="Y3912" t="s">
        <v>11335</v>
      </c>
      <c r="Z3912" t="s">
        <v>11195</v>
      </c>
      <c r="AA3912" t="s">
        <v>44</v>
      </c>
      <c r="AB3912" t="s">
        <v>44</v>
      </c>
      <c r="AC3912" s="4"/>
      <c r="AD3912" s="4"/>
      <c r="AE3912" s="2">
        <v>0</v>
      </c>
      <c r="AF3912" s="4">
        <v>0</v>
      </c>
      <c r="AG3912" s="2">
        <v>0.41</v>
      </c>
      <c r="AH3912" s="2">
        <v>692439.33</v>
      </c>
      <c r="AI3912" s="2">
        <v>0</v>
      </c>
      <c r="AJ3912" s="5">
        <v>44673</v>
      </c>
      <c r="AK3912" t="s">
        <v>12712</v>
      </c>
      <c r="AL3912" s="2">
        <v>0</v>
      </c>
      <c r="AM3912" s="2">
        <v>0</v>
      </c>
      <c r="AN3912" s="2">
        <v>0</v>
      </c>
      <c r="AO3912" t="s">
        <v>44</v>
      </c>
      <c r="AP3912" t="s">
        <v>11336</v>
      </c>
      <c r="AQ3912" t="s">
        <v>11333</v>
      </c>
    </row>
    <row r="3913" spans="1:43" x14ac:dyDescent="0.2">
      <c r="A3913" t="s">
        <v>12711</v>
      </c>
      <c r="B3913" t="s">
        <v>11037</v>
      </c>
      <c r="C3913" t="s">
        <v>11195</v>
      </c>
      <c r="D3913" t="s">
        <v>11337</v>
      </c>
      <c r="E3913" t="s">
        <v>11338</v>
      </c>
      <c r="F3913" t="s">
        <v>11339</v>
      </c>
      <c r="G3913" s="1">
        <v>5500</v>
      </c>
      <c r="H3913" s="2">
        <v>162816.07999999999</v>
      </c>
      <c r="I3913" s="2">
        <v>278190</v>
      </c>
      <c r="J3913" s="2">
        <v>0</v>
      </c>
      <c r="K3913" s="2">
        <v>0</v>
      </c>
      <c r="L3913" s="2">
        <v>278190</v>
      </c>
      <c r="M3913" s="3">
        <v>5058</v>
      </c>
      <c r="N3913" s="4">
        <v>6.3290999999999998E-4</v>
      </c>
      <c r="O3913" s="5" t="s">
        <v>44</v>
      </c>
      <c r="P3913" s="5" t="s">
        <v>44</v>
      </c>
      <c r="Q3913" s="1"/>
      <c r="R3913" s="2"/>
      <c r="S3913" s="6"/>
      <c r="T3913" t="s">
        <v>10902</v>
      </c>
      <c r="U3913" t="s">
        <v>10902</v>
      </c>
      <c r="V3913" t="s">
        <v>10902</v>
      </c>
      <c r="W3913" t="s">
        <v>43</v>
      </c>
      <c r="X3913" t="s">
        <v>11327</v>
      </c>
      <c r="Y3913" t="s">
        <v>11198</v>
      </c>
      <c r="Z3913" t="s">
        <v>11195</v>
      </c>
      <c r="AA3913" t="s">
        <v>44</v>
      </c>
      <c r="AB3913" t="s">
        <v>44</v>
      </c>
      <c r="AC3913" s="4"/>
      <c r="AD3913" s="4"/>
      <c r="AE3913" s="2">
        <v>0</v>
      </c>
      <c r="AF3913" s="4">
        <v>0</v>
      </c>
      <c r="AG3913" s="2">
        <v>0.16</v>
      </c>
      <c r="AH3913" s="2">
        <v>278190</v>
      </c>
      <c r="AI3913" s="2">
        <v>0</v>
      </c>
      <c r="AJ3913" s="5">
        <v>44673</v>
      </c>
      <c r="AK3913" t="s">
        <v>12712</v>
      </c>
      <c r="AL3913" s="2">
        <v>0</v>
      </c>
      <c r="AM3913" s="2">
        <v>0</v>
      </c>
      <c r="AN3913" s="2">
        <v>0</v>
      </c>
      <c r="AO3913" t="s">
        <v>44</v>
      </c>
      <c r="AP3913" t="s">
        <v>11340</v>
      </c>
      <c r="AQ3913" t="s">
        <v>11338</v>
      </c>
    </row>
    <row r="3914" spans="1:43" x14ac:dyDescent="0.2">
      <c r="A3914" t="s">
        <v>12711</v>
      </c>
      <c r="B3914" t="s">
        <v>11037</v>
      </c>
      <c r="C3914" t="s">
        <v>11195</v>
      </c>
      <c r="D3914" t="s">
        <v>11341</v>
      </c>
      <c r="E3914" t="s">
        <v>11342</v>
      </c>
      <c r="F3914" t="s">
        <v>11341</v>
      </c>
      <c r="G3914" s="1">
        <v>6500</v>
      </c>
      <c r="H3914" s="2">
        <v>192419</v>
      </c>
      <c r="I3914" s="2">
        <v>339040</v>
      </c>
      <c r="J3914" s="2">
        <v>0</v>
      </c>
      <c r="K3914" s="2">
        <v>0</v>
      </c>
      <c r="L3914" s="2">
        <v>339040</v>
      </c>
      <c r="M3914" s="3">
        <v>5216</v>
      </c>
      <c r="N3914" s="4">
        <v>7.7134999999999997E-4</v>
      </c>
      <c r="O3914" s="5" t="s">
        <v>44</v>
      </c>
      <c r="P3914" s="5" t="s">
        <v>44</v>
      </c>
      <c r="Q3914" s="1"/>
      <c r="R3914" s="2"/>
      <c r="S3914" s="6"/>
      <c r="T3914" t="s">
        <v>10902</v>
      </c>
      <c r="U3914" t="s">
        <v>10902</v>
      </c>
      <c r="V3914" t="s">
        <v>10902</v>
      </c>
      <c r="W3914" t="s">
        <v>43</v>
      </c>
      <c r="X3914" t="s">
        <v>11327</v>
      </c>
      <c r="Y3914" t="s">
        <v>11198</v>
      </c>
      <c r="Z3914" t="s">
        <v>11195</v>
      </c>
      <c r="AA3914" t="s">
        <v>44</v>
      </c>
      <c r="AB3914" t="s">
        <v>44</v>
      </c>
      <c r="AC3914" s="4"/>
      <c r="AD3914" s="4"/>
      <c r="AE3914" s="2">
        <v>0</v>
      </c>
      <c r="AF3914" s="4">
        <v>0</v>
      </c>
      <c r="AG3914" s="2">
        <v>0.2</v>
      </c>
      <c r="AH3914" s="2">
        <v>339040</v>
      </c>
      <c r="AI3914" s="2">
        <v>0</v>
      </c>
      <c r="AJ3914" s="5">
        <v>44673</v>
      </c>
      <c r="AK3914" t="s">
        <v>12712</v>
      </c>
      <c r="AL3914" s="2">
        <v>0</v>
      </c>
      <c r="AM3914" s="2">
        <v>0</v>
      </c>
      <c r="AN3914" s="2">
        <v>0</v>
      </c>
      <c r="AO3914" t="s">
        <v>44</v>
      </c>
      <c r="AP3914" t="s">
        <v>11343</v>
      </c>
      <c r="AQ3914" t="s">
        <v>11342</v>
      </c>
    </row>
    <row r="3915" spans="1:43" x14ac:dyDescent="0.2">
      <c r="A3915" t="s">
        <v>12711</v>
      </c>
      <c r="B3915" t="s">
        <v>11037</v>
      </c>
      <c r="C3915" t="s">
        <v>11195</v>
      </c>
      <c r="D3915" t="s">
        <v>6128</v>
      </c>
      <c r="E3915" t="s">
        <v>6759</v>
      </c>
      <c r="F3915" t="s">
        <v>6128</v>
      </c>
      <c r="G3915" s="1">
        <v>5800</v>
      </c>
      <c r="H3915" s="2">
        <v>309509.46000000002</v>
      </c>
      <c r="I3915" s="2">
        <v>559700</v>
      </c>
      <c r="J3915" s="2">
        <v>0</v>
      </c>
      <c r="K3915" s="2">
        <v>0</v>
      </c>
      <c r="L3915" s="2">
        <v>559700</v>
      </c>
      <c r="M3915" s="3">
        <v>9650</v>
      </c>
      <c r="N3915" s="4">
        <v>1.27338E-3</v>
      </c>
      <c r="O3915" s="5" t="s">
        <v>44</v>
      </c>
      <c r="P3915" s="5" t="s">
        <v>44</v>
      </c>
      <c r="Q3915" s="1"/>
      <c r="R3915" s="2"/>
      <c r="S3915" s="6"/>
      <c r="T3915" t="s">
        <v>10902</v>
      </c>
      <c r="U3915" t="s">
        <v>10902</v>
      </c>
      <c r="V3915" t="s">
        <v>10902</v>
      </c>
      <c r="W3915" t="s">
        <v>43</v>
      </c>
      <c r="X3915" t="s">
        <v>11327</v>
      </c>
      <c r="Y3915" t="s">
        <v>11198</v>
      </c>
      <c r="Z3915" t="s">
        <v>11195</v>
      </c>
      <c r="AA3915" t="s">
        <v>44</v>
      </c>
      <c r="AB3915" t="s">
        <v>44</v>
      </c>
      <c r="AC3915" s="4"/>
      <c r="AD3915" s="4"/>
      <c r="AE3915" s="2">
        <v>0</v>
      </c>
      <c r="AF3915" s="4">
        <v>0</v>
      </c>
      <c r="AG3915" s="2">
        <v>0.33</v>
      </c>
      <c r="AH3915" s="2">
        <v>559700</v>
      </c>
      <c r="AI3915" s="2">
        <v>0</v>
      </c>
      <c r="AJ3915" s="5">
        <v>44673</v>
      </c>
      <c r="AK3915" t="s">
        <v>12712</v>
      </c>
      <c r="AL3915" s="2">
        <v>0</v>
      </c>
      <c r="AM3915" s="2">
        <v>0</v>
      </c>
      <c r="AN3915" s="2">
        <v>0</v>
      </c>
      <c r="AO3915" t="s">
        <v>44</v>
      </c>
      <c r="AP3915" t="s">
        <v>11344</v>
      </c>
      <c r="AQ3915" t="s">
        <v>6759</v>
      </c>
    </row>
    <row r="3916" spans="1:43" x14ac:dyDescent="0.2">
      <c r="A3916" t="s">
        <v>12711</v>
      </c>
      <c r="B3916" t="s">
        <v>11037</v>
      </c>
      <c r="C3916" t="s">
        <v>11195</v>
      </c>
      <c r="D3916" t="s">
        <v>11345</v>
      </c>
      <c r="E3916" t="s">
        <v>5409</v>
      </c>
      <c r="F3916" t="s">
        <v>11345</v>
      </c>
      <c r="G3916" s="1">
        <v>35000</v>
      </c>
      <c r="H3916" s="2">
        <v>1123856.82</v>
      </c>
      <c r="I3916" s="2">
        <v>966000</v>
      </c>
      <c r="J3916" s="2">
        <v>0</v>
      </c>
      <c r="K3916" s="2">
        <v>27390.97</v>
      </c>
      <c r="L3916" s="2">
        <v>993390.97</v>
      </c>
      <c r="M3916" s="3">
        <v>2760</v>
      </c>
      <c r="N3916" s="4">
        <v>2.2600699999999999E-3</v>
      </c>
      <c r="O3916" s="5" t="s">
        <v>44</v>
      </c>
      <c r="P3916" s="5" t="s">
        <v>44</v>
      </c>
      <c r="Q3916" s="1"/>
      <c r="R3916" s="2"/>
      <c r="S3916" s="6"/>
      <c r="T3916" t="s">
        <v>10902</v>
      </c>
      <c r="U3916" t="s">
        <v>10902</v>
      </c>
      <c r="V3916" t="s">
        <v>10902</v>
      </c>
      <c r="W3916" t="s">
        <v>43</v>
      </c>
      <c r="X3916" t="s">
        <v>11327</v>
      </c>
      <c r="Y3916" t="s">
        <v>11198</v>
      </c>
      <c r="Z3916" t="s">
        <v>11195</v>
      </c>
      <c r="AA3916" t="s">
        <v>44</v>
      </c>
      <c r="AB3916" t="s">
        <v>44</v>
      </c>
      <c r="AC3916" s="4"/>
      <c r="AD3916" s="4"/>
      <c r="AE3916" s="2">
        <v>0</v>
      </c>
      <c r="AF3916" s="4">
        <v>0</v>
      </c>
      <c r="AG3916" s="2">
        <v>0.59</v>
      </c>
      <c r="AH3916" s="2">
        <v>993390.97</v>
      </c>
      <c r="AI3916" s="2">
        <v>0</v>
      </c>
      <c r="AJ3916" s="5">
        <v>44673</v>
      </c>
      <c r="AK3916" t="s">
        <v>12712</v>
      </c>
      <c r="AL3916" s="2">
        <v>0</v>
      </c>
      <c r="AM3916" s="2">
        <v>0</v>
      </c>
      <c r="AN3916" s="2">
        <v>0</v>
      </c>
      <c r="AO3916" t="s">
        <v>44</v>
      </c>
      <c r="AP3916" t="s">
        <v>11346</v>
      </c>
      <c r="AQ3916" t="s">
        <v>5409</v>
      </c>
    </row>
    <row r="3917" spans="1:43" x14ac:dyDescent="0.2">
      <c r="A3917" t="s">
        <v>12711</v>
      </c>
      <c r="B3917" t="s">
        <v>11037</v>
      </c>
      <c r="C3917" t="s">
        <v>11195</v>
      </c>
      <c r="D3917" t="s">
        <v>6263</v>
      </c>
      <c r="E3917" t="s">
        <v>6850</v>
      </c>
      <c r="F3917" t="s">
        <v>6263</v>
      </c>
      <c r="G3917" s="1">
        <v>24352</v>
      </c>
      <c r="H3917" s="2">
        <v>400053.4</v>
      </c>
      <c r="I3917" s="2">
        <v>645084.48</v>
      </c>
      <c r="J3917" s="2">
        <v>0</v>
      </c>
      <c r="K3917" s="2">
        <v>40302.559999999998</v>
      </c>
      <c r="L3917" s="2">
        <v>685387.04</v>
      </c>
      <c r="M3917" s="3">
        <v>2649</v>
      </c>
      <c r="N3917" s="4">
        <v>1.55933E-3</v>
      </c>
      <c r="O3917" s="5" t="s">
        <v>44</v>
      </c>
      <c r="P3917" s="5" t="s">
        <v>44</v>
      </c>
      <c r="Q3917" s="1"/>
      <c r="R3917" s="2"/>
      <c r="S3917" s="6"/>
      <c r="T3917" t="s">
        <v>10902</v>
      </c>
      <c r="U3917" t="s">
        <v>10902</v>
      </c>
      <c r="V3917" t="s">
        <v>10902</v>
      </c>
      <c r="W3917" t="s">
        <v>43</v>
      </c>
      <c r="X3917" t="s">
        <v>11347</v>
      </c>
      <c r="Y3917" t="s">
        <v>11348</v>
      </c>
      <c r="Z3917" t="s">
        <v>11195</v>
      </c>
      <c r="AA3917" t="s">
        <v>44</v>
      </c>
      <c r="AB3917" t="s">
        <v>44</v>
      </c>
      <c r="AC3917" s="4"/>
      <c r="AD3917" s="4"/>
      <c r="AE3917" s="2">
        <v>0</v>
      </c>
      <c r="AF3917" s="4">
        <v>0</v>
      </c>
      <c r="AG3917" s="2">
        <v>0.4</v>
      </c>
      <c r="AH3917" s="2">
        <v>685387.04</v>
      </c>
      <c r="AI3917" s="2">
        <v>0</v>
      </c>
      <c r="AJ3917" s="5">
        <v>44673</v>
      </c>
      <c r="AK3917" t="s">
        <v>12712</v>
      </c>
      <c r="AL3917" s="2">
        <v>0</v>
      </c>
      <c r="AM3917" s="2">
        <v>0</v>
      </c>
      <c r="AN3917" s="2">
        <v>0</v>
      </c>
      <c r="AO3917" t="s">
        <v>44</v>
      </c>
      <c r="AP3917" t="s">
        <v>11349</v>
      </c>
      <c r="AQ3917" t="s">
        <v>6850</v>
      </c>
    </row>
    <row r="3918" spans="1:43" x14ac:dyDescent="0.2">
      <c r="A3918" t="s">
        <v>12711</v>
      </c>
      <c r="B3918" t="s">
        <v>11037</v>
      </c>
      <c r="C3918" t="s">
        <v>11195</v>
      </c>
      <c r="D3918" t="s">
        <v>11208</v>
      </c>
      <c r="E3918" t="s">
        <v>3160</v>
      </c>
      <c r="F3918" t="s">
        <v>11208</v>
      </c>
      <c r="G3918" s="1">
        <v>190000</v>
      </c>
      <c r="H3918" s="2">
        <v>555348.62</v>
      </c>
      <c r="I3918" s="2">
        <v>841700</v>
      </c>
      <c r="J3918" s="2">
        <v>0</v>
      </c>
      <c r="K3918" s="2">
        <v>0</v>
      </c>
      <c r="L3918" s="2">
        <v>841700</v>
      </c>
      <c r="M3918" s="3">
        <v>443</v>
      </c>
      <c r="N3918" s="4">
        <v>1.9149600000000001E-3</v>
      </c>
      <c r="O3918" s="5" t="s">
        <v>44</v>
      </c>
      <c r="P3918" s="5" t="s">
        <v>44</v>
      </c>
      <c r="Q3918" s="1"/>
      <c r="R3918" s="2"/>
      <c r="S3918" s="6"/>
      <c r="T3918" t="s">
        <v>10902</v>
      </c>
      <c r="U3918" t="s">
        <v>10902</v>
      </c>
      <c r="V3918" t="s">
        <v>10902</v>
      </c>
      <c r="W3918" t="s">
        <v>43</v>
      </c>
      <c r="X3918" t="s">
        <v>11197</v>
      </c>
      <c r="Y3918" t="s">
        <v>11198</v>
      </c>
      <c r="Z3918" t="s">
        <v>11195</v>
      </c>
      <c r="AA3918" t="s">
        <v>44</v>
      </c>
      <c r="AB3918" t="s">
        <v>44</v>
      </c>
      <c r="AC3918" s="4"/>
      <c r="AD3918" s="4"/>
      <c r="AE3918" s="2">
        <v>0</v>
      </c>
      <c r="AF3918" s="4">
        <v>0</v>
      </c>
      <c r="AG3918" s="2">
        <v>0.5</v>
      </c>
      <c r="AH3918" s="2">
        <v>841700</v>
      </c>
      <c r="AI3918" s="2">
        <v>0</v>
      </c>
      <c r="AJ3918" s="5">
        <v>44673</v>
      </c>
      <c r="AK3918" t="s">
        <v>12712</v>
      </c>
      <c r="AL3918" s="2">
        <v>0</v>
      </c>
      <c r="AM3918" s="2">
        <v>0</v>
      </c>
      <c r="AN3918" s="2">
        <v>0</v>
      </c>
      <c r="AO3918" t="s">
        <v>44</v>
      </c>
      <c r="AP3918" t="s">
        <v>11209</v>
      </c>
      <c r="AQ3918" t="s">
        <v>3160</v>
      </c>
    </row>
    <row r="3919" spans="1:43" x14ac:dyDescent="0.2">
      <c r="A3919" t="s">
        <v>12711</v>
      </c>
      <c r="B3919" t="s">
        <v>11037</v>
      </c>
      <c r="C3919" t="s">
        <v>11195</v>
      </c>
      <c r="D3919" t="s">
        <v>11714</v>
      </c>
      <c r="E3919" t="s">
        <v>5012</v>
      </c>
      <c r="F3919" t="s">
        <v>11714</v>
      </c>
      <c r="G3919" s="1">
        <v>4000</v>
      </c>
      <c r="H3919" s="2">
        <v>1254441.3700000001</v>
      </c>
      <c r="I3919" s="2">
        <v>1279400</v>
      </c>
      <c r="J3919" s="2">
        <v>0</v>
      </c>
      <c r="K3919" s="2">
        <v>0</v>
      </c>
      <c r="L3919" s="2">
        <v>1279400</v>
      </c>
      <c r="M3919" s="3">
        <v>31985</v>
      </c>
      <c r="N3919" s="4">
        <v>2.91077E-3</v>
      </c>
      <c r="O3919" s="5" t="s">
        <v>44</v>
      </c>
      <c r="P3919" s="5" t="s">
        <v>44</v>
      </c>
      <c r="Q3919" s="1"/>
      <c r="R3919" s="2"/>
      <c r="S3919" s="6"/>
      <c r="T3919" t="s">
        <v>10902</v>
      </c>
      <c r="U3919" t="s">
        <v>10902</v>
      </c>
      <c r="V3919" t="s">
        <v>10902</v>
      </c>
      <c r="W3919" t="s">
        <v>43</v>
      </c>
      <c r="X3919" t="s">
        <v>11327</v>
      </c>
      <c r="Y3919" t="s">
        <v>11198</v>
      </c>
      <c r="Z3919" t="s">
        <v>11195</v>
      </c>
      <c r="AA3919" t="s">
        <v>44</v>
      </c>
      <c r="AB3919" t="s">
        <v>44</v>
      </c>
      <c r="AC3919" s="4"/>
      <c r="AD3919" s="4"/>
      <c r="AE3919" s="2">
        <v>0</v>
      </c>
      <c r="AF3919" s="4">
        <v>0</v>
      </c>
      <c r="AG3919" s="2">
        <v>0.75</v>
      </c>
      <c r="AH3919" s="2">
        <v>1279400</v>
      </c>
      <c r="AI3919" s="2">
        <v>0</v>
      </c>
      <c r="AJ3919" s="5">
        <v>44673</v>
      </c>
      <c r="AK3919" t="s">
        <v>12712</v>
      </c>
      <c r="AL3919" s="2">
        <v>0</v>
      </c>
      <c r="AM3919" s="2">
        <v>0</v>
      </c>
      <c r="AN3919" s="2">
        <v>0</v>
      </c>
      <c r="AO3919" t="s">
        <v>44</v>
      </c>
      <c r="AP3919" t="s">
        <v>11715</v>
      </c>
      <c r="AQ3919" t="s">
        <v>5012</v>
      </c>
    </row>
    <row r="3920" spans="1:43" x14ac:dyDescent="0.2">
      <c r="A3920" t="s">
        <v>12711</v>
      </c>
      <c r="B3920" t="s">
        <v>11037</v>
      </c>
      <c r="C3920" t="s">
        <v>11195</v>
      </c>
      <c r="D3920" t="s">
        <v>11210</v>
      </c>
      <c r="E3920" t="s">
        <v>3167</v>
      </c>
      <c r="F3920" t="s">
        <v>11211</v>
      </c>
      <c r="G3920" s="1">
        <v>13086</v>
      </c>
      <c r="H3920" s="2">
        <v>664382.09</v>
      </c>
      <c r="I3920" s="2">
        <v>765531</v>
      </c>
      <c r="J3920" s="2">
        <v>0</v>
      </c>
      <c r="K3920" s="2">
        <v>0</v>
      </c>
      <c r="L3920" s="2">
        <v>765531</v>
      </c>
      <c r="M3920" s="3">
        <v>5850</v>
      </c>
      <c r="N3920" s="4">
        <v>1.7416700000000001E-3</v>
      </c>
      <c r="O3920" s="5" t="s">
        <v>44</v>
      </c>
      <c r="P3920" s="5" t="s">
        <v>44</v>
      </c>
      <c r="Q3920" s="1"/>
      <c r="R3920" s="2"/>
      <c r="S3920" s="6"/>
      <c r="T3920" t="s">
        <v>10902</v>
      </c>
      <c r="U3920" t="s">
        <v>10902</v>
      </c>
      <c r="V3920" t="s">
        <v>11212</v>
      </c>
      <c r="W3920" t="s">
        <v>43</v>
      </c>
      <c r="X3920" t="s">
        <v>11197</v>
      </c>
      <c r="Y3920" t="s">
        <v>11198</v>
      </c>
      <c r="Z3920" t="s">
        <v>11195</v>
      </c>
      <c r="AA3920" t="s">
        <v>44</v>
      </c>
      <c r="AB3920" t="s">
        <v>44</v>
      </c>
      <c r="AC3920" s="4"/>
      <c r="AD3920" s="4"/>
      <c r="AE3920" s="2">
        <v>0</v>
      </c>
      <c r="AF3920" s="4">
        <v>0</v>
      </c>
      <c r="AG3920" s="2">
        <v>0.45</v>
      </c>
      <c r="AH3920" s="2">
        <v>765531</v>
      </c>
      <c r="AI3920" s="2">
        <v>0</v>
      </c>
      <c r="AJ3920" s="5">
        <v>44673</v>
      </c>
      <c r="AK3920" t="s">
        <v>12712</v>
      </c>
      <c r="AL3920" s="2">
        <v>0</v>
      </c>
      <c r="AM3920" s="2">
        <v>0</v>
      </c>
      <c r="AN3920" s="2">
        <v>0</v>
      </c>
      <c r="AO3920" t="s">
        <v>44</v>
      </c>
      <c r="AP3920" t="s">
        <v>11213</v>
      </c>
      <c r="AQ3920" t="s">
        <v>3167</v>
      </c>
    </row>
    <row r="3921" spans="1:43" x14ac:dyDescent="0.2">
      <c r="A3921" t="s">
        <v>12711</v>
      </c>
      <c r="B3921" t="s">
        <v>11037</v>
      </c>
      <c r="C3921" t="s">
        <v>11195</v>
      </c>
      <c r="D3921" t="s">
        <v>6379</v>
      </c>
      <c r="E3921" t="s">
        <v>5199</v>
      </c>
      <c r="F3921" t="s">
        <v>6379</v>
      </c>
      <c r="G3921" s="1">
        <v>1786</v>
      </c>
      <c r="H3921" s="2">
        <v>486274.11</v>
      </c>
      <c r="I3921" s="2">
        <v>521512</v>
      </c>
      <c r="J3921" s="2">
        <v>0</v>
      </c>
      <c r="K3921" s="2">
        <v>0</v>
      </c>
      <c r="L3921" s="2">
        <v>521512</v>
      </c>
      <c r="M3921" s="3">
        <v>29200</v>
      </c>
      <c r="N3921" s="4">
        <v>1.1865000000000001E-3</v>
      </c>
      <c r="O3921" s="5" t="s">
        <v>44</v>
      </c>
      <c r="P3921" s="5" t="s">
        <v>44</v>
      </c>
      <c r="Q3921" s="1"/>
      <c r="R3921" s="2"/>
      <c r="S3921" s="6"/>
      <c r="T3921" t="s">
        <v>10902</v>
      </c>
      <c r="U3921" t="s">
        <v>10902</v>
      </c>
      <c r="V3921" t="s">
        <v>10902</v>
      </c>
      <c r="W3921" t="s">
        <v>43</v>
      </c>
      <c r="X3921" t="s">
        <v>11350</v>
      </c>
      <c r="Y3921" t="s">
        <v>11335</v>
      </c>
      <c r="Z3921" t="s">
        <v>11195</v>
      </c>
      <c r="AA3921" t="s">
        <v>44</v>
      </c>
      <c r="AB3921" t="s">
        <v>44</v>
      </c>
      <c r="AC3921" s="4"/>
      <c r="AD3921" s="4"/>
      <c r="AE3921" s="2">
        <v>0</v>
      </c>
      <c r="AF3921" s="4">
        <v>0</v>
      </c>
      <c r="AG3921" s="2">
        <v>0.31</v>
      </c>
      <c r="AH3921" s="2">
        <v>521512</v>
      </c>
      <c r="AI3921" s="2">
        <v>0</v>
      </c>
      <c r="AJ3921" s="5">
        <v>44673</v>
      </c>
      <c r="AK3921" t="s">
        <v>12712</v>
      </c>
      <c r="AL3921" s="2">
        <v>0</v>
      </c>
      <c r="AM3921" s="2">
        <v>0</v>
      </c>
      <c r="AN3921" s="2">
        <v>0</v>
      </c>
      <c r="AO3921" t="s">
        <v>44</v>
      </c>
      <c r="AP3921" t="s">
        <v>11351</v>
      </c>
      <c r="AQ3921" t="s">
        <v>5199</v>
      </c>
    </row>
    <row r="3922" spans="1:43" x14ac:dyDescent="0.2">
      <c r="A3922" t="s">
        <v>12711</v>
      </c>
      <c r="B3922" t="s">
        <v>11037</v>
      </c>
      <c r="C3922" t="s">
        <v>11195</v>
      </c>
      <c r="D3922" t="s">
        <v>5876</v>
      </c>
      <c r="E3922" t="s">
        <v>4893</v>
      </c>
      <c r="F3922" t="s">
        <v>5876</v>
      </c>
      <c r="G3922" s="1">
        <v>1432</v>
      </c>
      <c r="H3922" s="2">
        <v>261328.26</v>
      </c>
      <c r="I3922" s="2">
        <v>244786.08</v>
      </c>
      <c r="J3922" s="2">
        <v>0</v>
      </c>
      <c r="K3922" s="2">
        <v>0</v>
      </c>
      <c r="L3922" s="2">
        <v>244786.08</v>
      </c>
      <c r="M3922" s="3">
        <v>17094</v>
      </c>
      <c r="N3922" s="4">
        <v>5.5690999999999998E-4</v>
      </c>
      <c r="O3922" s="5" t="s">
        <v>44</v>
      </c>
      <c r="P3922" s="5" t="s">
        <v>44</v>
      </c>
      <c r="Q3922" s="1"/>
      <c r="R3922" s="2"/>
      <c r="S3922" s="6"/>
      <c r="T3922" t="s">
        <v>10902</v>
      </c>
      <c r="U3922" t="s">
        <v>10902</v>
      </c>
      <c r="V3922" t="s">
        <v>10902</v>
      </c>
      <c r="W3922" t="s">
        <v>43</v>
      </c>
      <c r="X3922" t="s">
        <v>11034</v>
      </c>
      <c r="Y3922" t="s">
        <v>11034</v>
      </c>
      <c r="Z3922" t="s">
        <v>11195</v>
      </c>
      <c r="AA3922" t="s">
        <v>44</v>
      </c>
      <c r="AB3922" t="s">
        <v>44</v>
      </c>
      <c r="AC3922" s="4"/>
      <c r="AD3922" s="4"/>
      <c r="AE3922" s="2">
        <v>0</v>
      </c>
      <c r="AF3922" s="4">
        <v>0</v>
      </c>
      <c r="AG3922" s="2">
        <v>0.14000000000000001</v>
      </c>
      <c r="AH3922" s="2">
        <v>244786.08</v>
      </c>
      <c r="AI3922" s="2">
        <v>0</v>
      </c>
      <c r="AJ3922" s="5">
        <v>44673</v>
      </c>
      <c r="AK3922" t="s">
        <v>12712</v>
      </c>
      <c r="AL3922" s="2">
        <v>0</v>
      </c>
      <c r="AM3922" s="2">
        <v>0</v>
      </c>
      <c r="AN3922" s="2">
        <v>0</v>
      </c>
      <c r="AO3922" t="s">
        <v>44</v>
      </c>
      <c r="AP3922" t="s">
        <v>11352</v>
      </c>
      <c r="AQ3922" t="s">
        <v>4893</v>
      </c>
    </row>
    <row r="3923" spans="1:43" x14ac:dyDescent="0.2">
      <c r="A3923" t="s">
        <v>12711</v>
      </c>
      <c r="B3923" t="s">
        <v>11037</v>
      </c>
      <c r="C3923" t="s">
        <v>11195</v>
      </c>
      <c r="D3923" t="s">
        <v>11353</v>
      </c>
      <c r="E3923" t="s">
        <v>5706</v>
      </c>
      <c r="F3923" t="s">
        <v>11353</v>
      </c>
      <c r="G3923" s="1">
        <v>22296</v>
      </c>
      <c r="H3923" s="2">
        <v>488820.34</v>
      </c>
      <c r="I3923" s="2">
        <v>1114800</v>
      </c>
      <c r="J3923" s="2">
        <v>0</v>
      </c>
      <c r="K3923" s="2">
        <v>0</v>
      </c>
      <c r="L3923" s="2">
        <v>1114800</v>
      </c>
      <c r="M3923" s="3">
        <v>5000</v>
      </c>
      <c r="N3923" s="4">
        <v>2.5362900000000001E-3</v>
      </c>
      <c r="O3923" s="5" t="s">
        <v>44</v>
      </c>
      <c r="P3923" s="5" t="s">
        <v>44</v>
      </c>
      <c r="Q3923" s="1"/>
      <c r="R3923" s="2"/>
      <c r="S3923" s="6"/>
      <c r="T3923" t="s">
        <v>10902</v>
      </c>
      <c r="U3923" t="s">
        <v>10902</v>
      </c>
      <c r="V3923" t="s">
        <v>10902</v>
      </c>
      <c r="W3923" t="s">
        <v>43</v>
      </c>
      <c r="X3923" t="s">
        <v>11327</v>
      </c>
      <c r="Y3923" t="s">
        <v>11198</v>
      </c>
      <c r="Z3923" t="s">
        <v>11195</v>
      </c>
      <c r="AA3923" t="s">
        <v>44</v>
      </c>
      <c r="AB3923" t="s">
        <v>44</v>
      </c>
      <c r="AC3923" s="4"/>
      <c r="AD3923" s="4"/>
      <c r="AE3923" s="2">
        <v>0</v>
      </c>
      <c r="AF3923" s="4">
        <v>0</v>
      </c>
      <c r="AG3923" s="2">
        <v>0.66</v>
      </c>
      <c r="AH3923" s="2">
        <v>1114800</v>
      </c>
      <c r="AI3923" s="2">
        <v>0</v>
      </c>
      <c r="AJ3923" s="5">
        <v>44673</v>
      </c>
      <c r="AK3923" t="s">
        <v>12712</v>
      </c>
      <c r="AL3923" s="2">
        <v>0</v>
      </c>
      <c r="AM3923" s="2">
        <v>0</v>
      </c>
      <c r="AN3923" s="2">
        <v>0</v>
      </c>
      <c r="AO3923" t="s">
        <v>44</v>
      </c>
      <c r="AP3923" t="s">
        <v>11354</v>
      </c>
      <c r="AQ3923" t="s">
        <v>5706</v>
      </c>
    </row>
    <row r="3924" spans="1:43" x14ac:dyDescent="0.2">
      <c r="A3924" t="s">
        <v>12711</v>
      </c>
      <c r="B3924" t="s">
        <v>11037</v>
      </c>
      <c r="C3924" t="s">
        <v>11195</v>
      </c>
      <c r="D3924" t="s">
        <v>6348</v>
      </c>
      <c r="E3924" t="s">
        <v>5241</v>
      </c>
      <c r="F3924" t="s">
        <v>6348</v>
      </c>
      <c r="G3924" s="1">
        <v>28000</v>
      </c>
      <c r="H3924" s="2">
        <v>306903.2</v>
      </c>
      <c r="I3924" s="2">
        <v>375200</v>
      </c>
      <c r="J3924" s="2">
        <v>0</v>
      </c>
      <c r="K3924" s="2">
        <v>0</v>
      </c>
      <c r="L3924" s="2">
        <v>375200</v>
      </c>
      <c r="M3924" s="3">
        <v>1340</v>
      </c>
      <c r="N3924" s="4">
        <v>8.5362000000000003E-4</v>
      </c>
      <c r="O3924" s="5" t="s">
        <v>44</v>
      </c>
      <c r="P3924" s="5" t="s">
        <v>44</v>
      </c>
      <c r="Q3924" s="1"/>
      <c r="R3924" s="2"/>
      <c r="S3924" s="6"/>
      <c r="T3924" t="s">
        <v>10902</v>
      </c>
      <c r="U3924" t="s">
        <v>10902</v>
      </c>
      <c r="V3924" t="s">
        <v>10902</v>
      </c>
      <c r="W3924" t="s">
        <v>43</v>
      </c>
      <c r="X3924" t="s">
        <v>11197</v>
      </c>
      <c r="Y3924" t="s">
        <v>11198</v>
      </c>
      <c r="Z3924" t="s">
        <v>11195</v>
      </c>
      <c r="AA3924" t="s">
        <v>44</v>
      </c>
      <c r="AB3924" t="s">
        <v>44</v>
      </c>
      <c r="AC3924" s="4"/>
      <c r="AD3924" s="4"/>
      <c r="AE3924" s="2">
        <v>0</v>
      </c>
      <c r="AF3924" s="4">
        <v>0</v>
      </c>
      <c r="AG3924" s="2">
        <v>0.22</v>
      </c>
      <c r="AH3924" s="2">
        <v>375200</v>
      </c>
      <c r="AI3924" s="2">
        <v>0</v>
      </c>
      <c r="AJ3924" s="5">
        <v>44673</v>
      </c>
      <c r="AK3924" t="s">
        <v>12712</v>
      </c>
      <c r="AL3924" s="2">
        <v>0</v>
      </c>
      <c r="AM3924" s="2">
        <v>0</v>
      </c>
      <c r="AN3924" s="2">
        <v>0</v>
      </c>
      <c r="AO3924" t="s">
        <v>44</v>
      </c>
      <c r="AP3924" t="s">
        <v>11215</v>
      </c>
      <c r="AQ3924" t="s">
        <v>5241</v>
      </c>
    </row>
    <row r="3925" spans="1:43" x14ac:dyDescent="0.2">
      <c r="A3925" t="s">
        <v>12711</v>
      </c>
      <c r="B3925" t="s">
        <v>11037</v>
      </c>
      <c r="C3925" t="s">
        <v>11355</v>
      </c>
      <c r="D3925" t="s">
        <v>11356</v>
      </c>
      <c r="E3925" t="s">
        <v>4971</v>
      </c>
      <c r="F3925" t="s">
        <v>6192</v>
      </c>
      <c r="G3925" s="1">
        <v>39259</v>
      </c>
      <c r="H3925" s="2">
        <v>902525.76</v>
      </c>
      <c r="I3925" s="2">
        <v>884505.27</v>
      </c>
      <c r="J3925" s="2">
        <v>0</v>
      </c>
      <c r="K3925" s="2">
        <v>0</v>
      </c>
      <c r="L3925" s="2">
        <v>884505.27</v>
      </c>
      <c r="M3925" s="3">
        <v>2253</v>
      </c>
      <c r="N3925" s="4">
        <v>2.01234E-3</v>
      </c>
      <c r="O3925" s="5" t="s">
        <v>44</v>
      </c>
      <c r="P3925" s="5" t="s">
        <v>44</v>
      </c>
      <c r="Q3925" s="1"/>
      <c r="R3925" s="2"/>
      <c r="S3925" s="6"/>
      <c r="T3925" t="s">
        <v>10902</v>
      </c>
      <c r="U3925" t="s">
        <v>10902</v>
      </c>
      <c r="V3925" t="s">
        <v>10902</v>
      </c>
      <c r="W3925" t="s">
        <v>43</v>
      </c>
      <c r="X3925" t="s">
        <v>11357</v>
      </c>
      <c r="Y3925" t="s">
        <v>11358</v>
      </c>
      <c r="Z3925" t="s">
        <v>11355</v>
      </c>
      <c r="AA3925" t="s">
        <v>44</v>
      </c>
      <c r="AB3925" t="s">
        <v>44</v>
      </c>
      <c r="AC3925" s="4"/>
      <c r="AD3925" s="4"/>
      <c r="AE3925" s="2">
        <v>0</v>
      </c>
      <c r="AF3925" s="4">
        <v>0</v>
      </c>
      <c r="AG3925" s="2">
        <v>0.52</v>
      </c>
      <c r="AH3925" s="2">
        <v>884505.27</v>
      </c>
      <c r="AI3925" s="2">
        <v>0</v>
      </c>
      <c r="AJ3925" s="5">
        <v>44673</v>
      </c>
      <c r="AK3925" t="s">
        <v>12712</v>
      </c>
      <c r="AL3925" s="2">
        <v>0</v>
      </c>
      <c r="AM3925" s="2">
        <v>0</v>
      </c>
      <c r="AN3925" s="2">
        <v>0</v>
      </c>
      <c r="AO3925" t="s">
        <v>44</v>
      </c>
      <c r="AP3925" t="s">
        <v>11359</v>
      </c>
      <c r="AQ3925" t="s">
        <v>4971</v>
      </c>
    </row>
    <row r="3926" spans="1:43" x14ac:dyDescent="0.2">
      <c r="A3926" t="s">
        <v>12711</v>
      </c>
      <c r="B3926" t="s">
        <v>11037</v>
      </c>
      <c r="C3926" t="s">
        <v>11355</v>
      </c>
      <c r="D3926" t="s">
        <v>11360</v>
      </c>
      <c r="E3926" t="s">
        <v>4991</v>
      </c>
      <c r="F3926" t="s">
        <v>11360</v>
      </c>
      <c r="G3926" s="1">
        <v>9825</v>
      </c>
      <c r="H3926" s="2">
        <v>715815.71</v>
      </c>
      <c r="I3926" s="2">
        <v>743064.75</v>
      </c>
      <c r="J3926" s="2">
        <v>0</v>
      </c>
      <c r="K3926" s="2">
        <v>0</v>
      </c>
      <c r="L3926" s="2">
        <v>743064.75</v>
      </c>
      <c r="M3926" s="3">
        <v>7563</v>
      </c>
      <c r="N3926" s="4">
        <v>1.6905500000000001E-3</v>
      </c>
      <c r="O3926" s="5" t="s">
        <v>44</v>
      </c>
      <c r="P3926" s="5" t="s">
        <v>44</v>
      </c>
      <c r="Q3926" s="1"/>
      <c r="R3926" s="2"/>
      <c r="S3926" s="6"/>
      <c r="T3926" t="s">
        <v>10902</v>
      </c>
      <c r="U3926" t="s">
        <v>10902</v>
      </c>
      <c r="V3926" t="s">
        <v>10902</v>
      </c>
      <c r="W3926" t="s">
        <v>43</v>
      </c>
      <c r="X3926" t="s">
        <v>11357</v>
      </c>
      <c r="Y3926" t="s">
        <v>11358</v>
      </c>
      <c r="Z3926" t="s">
        <v>11355</v>
      </c>
      <c r="AA3926" t="s">
        <v>44</v>
      </c>
      <c r="AB3926" t="s">
        <v>44</v>
      </c>
      <c r="AC3926" s="4"/>
      <c r="AD3926" s="4"/>
      <c r="AE3926" s="2">
        <v>0</v>
      </c>
      <c r="AF3926" s="4">
        <v>0</v>
      </c>
      <c r="AG3926" s="2">
        <v>0.44</v>
      </c>
      <c r="AH3926" s="2">
        <v>743064.75</v>
      </c>
      <c r="AI3926" s="2">
        <v>0</v>
      </c>
      <c r="AJ3926" s="5">
        <v>44673</v>
      </c>
      <c r="AK3926" t="s">
        <v>12712</v>
      </c>
      <c r="AL3926" s="2">
        <v>0</v>
      </c>
      <c r="AM3926" s="2">
        <v>0</v>
      </c>
      <c r="AN3926" s="2">
        <v>0</v>
      </c>
      <c r="AO3926" t="s">
        <v>44</v>
      </c>
      <c r="AP3926" t="s">
        <v>11361</v>
      </c>
      <c r="AQ3926" t="s">
        <v>4991</v>
      </c>
    </row>
    <row r="3927" spans="1:43" x14ac:dyDescent="0.2">
      <c r="A3927" t="s">
        <v>12711</v>
      </c>
      <c r="B3927" t="s">
        <v>11037</v>
      </c>
      <c r="C3927" t="s">
        <v>11355</v>
      </c>
      <c r="D3927" t="s">
        <v>11362</v>
      </c>
      <c r="E3927" t="s">
        <v>4862</v>
      </c>
      <c r="F3927" t="s">
        <v>11362</v>
      </c>
      <c r="G3927" s="1">
        <v>45297</v>
      </c>
      <c r="H3927" s="2">
        <v>735028.43</v>
      </c>
      <c r="I3927" s="2">
        <v>724752</v>
      </c>
      <c r="J3927" s="2">
        <v>0</v>
      </c>
      <c r="K3927" s="2">
        <v>0</v>
      </c>
      <c r="L3927" s="2">
        <v>724752</v>
      </c>
      <c r="M3927" s="3">
        <v>1600</v>
      </c>
      <c r="N3927" s="4">
        <v>1.6488900000000001E-3</v>
      </c>
      <c r="O3927" s="5" t="s">
        <v>44</v>
      </c>
      <c r="P3927" s="5" t="s">
        <v>44</v>
      </c>
      <c r="Q3927" s="1"/>
      <c r="R3927" s="2"/>
      <c r="S3927" s="6"/>
      <c r="T3927" t="s">
        <v>10902</v>
      </c>
      <c r="U3927" t="s">
        <v>10902</v>
      </c>
      <c r="V3927" t="s">
        <v>10902</v>
      </c>
      <c r="W3927" t="s">
        <v>43</v>
      </c>
      <c r="X3927" t="s">
        <v>11357</v>
      </c>
      <c r="Y3927" t="s">
        <v>11358</v>
      </c>
      <c r="Z3927" t="s">
        <v>11355</v>
      </c>
      <c r="AA3927" t="s">
        <v>44</v>
      </c>
      <c r="AB3927" t="s">
        <v>44</v>
      </c>
      <c r="AC3927" s="4"/>
      <c r="AD3927" s="4"/>
      <c r="AE3927" s="2">
        <v>0</v>
      </c>
      <c r="AF3927" s="4">
        <v>0</v>
      </c>
      <c r="AG3927" s="2">
        <v>0.43</v>
      </c>
      <c r="AH3927" s="2">
        <v>724752</v>
      </c>
      <c r="AI3927" s="2">
        <v>0</v>
      </c>
      <c r="AJ3927" s="5">
        <v>44673</v>
      </c>
      <c r="AK3927" t="s">
        <v>12712</v>
      </c>
      <c r="AL3927" s="2">
        <v>0</v>
      </c>
      <c r="AM3927" s="2">
        <v>0</v>
      </c>
      <c r="AN3927" s="2">
        <v>0</v>
      </c>
      <c r="AO3927" t="s">
        <v>44</v>
      </c>
      <c r="AP3927" t="s">
        <v>11363</v>
      </c>
      <c r="AQ3927" t="s">
        <v>4862</v>
      </c>
    </row>
    <row r="3928" spans="1:43" x14ac:dyDescent="0.2">
      <c r="A3928" t="s">
        <v>12711</v>
      </c>
      <c r="B3928" t="s">
        <v>11037</v>
      </c>
      <c r="C3928" t="s">
        <v>11364</v>
      </c>
      <c r="D3928" t="s">
        <v>11365</v>
      </c>
      <c r="E3928" t="s">
        <v>5762</v>
      </c>
      <c r="F3928" t="s">
        <v>11365</v>
      </c>
      <c r="G3928" s="1">
        <v>6000</v>
      </c>
      <c r="H3928" s="2">
        <v>138782.79999999999</v>
      </c>
      <c r="I3928" s="2">
        <v>47220</v>
      </c>
      <c r="J3928" s="2">
        <v>0</v>
      </c>
      <c r="K3928" s="2">
        <v>0</v>
      </c>
      <c r="L3928" s="2">
        <v>47220</v>
      </c>
      <c r="M3928" s="3">
        <v>787</v>
      </c>
      <c r="N3928" s="4">
        <v>1.0743000000000001E-4</v>
      </c>
      <c r="O3928" s="5" t="s">
        <v>44</v>
      </c>
      <c r="P3928" s="5" t="s">
        <v>44</v>
      </c>
      <c r="Q3928" s="1"/>
      <c r="R3928" s="2"/>
      <c r="S3928" s="6"/>
      <c r="T3928" t="s">
        <v>10902</v>
      </c>
      <c r="U3928" t="s">
        <v>10902</v>
      </c>
      <c r="V3928" t="s">
        <v>10902</v>
      </c>
      <c r="W3928" t="s">
        <v>43</v>
      </c>
      <c r="X3928" t="s">
        <v>11366</v>
      </c>
      <c r="Y3928" t="s">
        <v>11367</v>
      </c>
      <c r="Z3928" t="s">
        <v>11364</v>
      </c>
      <c r="AA3928" t="s">
        <v>44</v>
      </c>
      <c r="AB3928" t="s">
        <v>44</v>
      </c>
      <c r="AC3928" s="4"/>
      <c r="AD3928" s="4"/>
      <c r="AE3928" s="2">
        <v>0</v>
      </c>
      <c r="AF3928" s="4">
        <v>0</v>
      </c>
      <c r="AG3928" s="2">
        <v>0.03</v>
      </c>
      <c r="AH3928" s="2">
        <v>47220</v>
      </c>
      <c r="AI3928" s="2">
        <v>0</v>
      </c>
      <c r="AJ3928" s="5">
        <v>44673</v>
      </c>
      <c r="AK3928" t="s">
        <v>12712</v>
      </c>
      <c r="AL3928" s="2">
        <v>0</v>
      </c>
      <c r="AM3928" s="2">
        <v>0</v>
      </c>
      <c r="AN3928" s="2">
        <v>0</v>
      </c>
      <c r="AO3928" t="s">
        <v>44</v>
      </c>
      <c r="AP3928" t="s">
        <v>11368</v>
      </c>
      <c r="AQ3928" t="s">
        <v>5762</v>
      </c>
    </row>
    <row r="3929" spans="1:43" x14ac:dyDescent="0.2">
      <c r="A3929" t="s">
        <v>12711</v>
      </c>
      <c r="B3929" t="s">
        <v>11037</v>
      </c>
      <c r="C3929" t="s">
        <v>11364</v>
      </c>
      <c r="D3929" t="s">
        <v>6240</v>
      </c>
      <c r="E3929" t="s">
        <v>5065</v>
      </c>
      <c r="F3929" t="s">
        <v>6240</v>
      </c>
      <c r="G3929" s="1">
        <v>7600</v>
      </c>
      <c r="H3929" s="2">
        <v>843199.99</v>
      </c>
      <c r="I3929" s="2">
        <v>878940</v>
      </c>
      <c r="J3929" s="2">
        <v>0</v>
      </c>
      <c r="K3929" s="2">
        <v>0</v>
      </c>
      <c r="L3929" s="2">
        <v>878940</v>
      </c>
      <c r="M3929" s="3">
        <v>11565</v>
      </c>
      <c r="N3929" s="4">
        <v>1.9996800000000002E-3</v>
      </c>
      <c r="O3929" s="5" t="s">
        <v>44</v>
      </c>
      <c r="P3929" s="5" t="s">
        <v>44</v>
      </c>
      <c r="Q3929" s="1"/>
      <c r="R3929" s="2"/>
      <c r="S3929" s="6"/>
      <c r="T3929" t="s">
        <v>10902</v>
      </c>
      <c r="U3929" t="s">
        <v>10902</v>
      </c>
      <c r="V3929" t="s">
        <v>10902</v>
      </c>
      <c r="W3929" t="s">
        <v>43</v>
      </c>
      <c r="X3929" t="s">
        <v>11369</v>
      </c>
      <c r="Y3929" t="s">
        <v>11367</v>
      </c>
      <c r="Z3929" t="s">
        <v>11364</v>
      </c>
      <c r="AA3929" t="s">
        <v>44</v>
      </c>
      <c r="AB3929" t="s">
        <v>44</v>
      </c>
      <c r="AC3929" s="4"/>
      <c r="AD3929" s="4"/>
      <c r="AE3929" s="2">
        <v>0</v>
      </c>
      <c r="AF3929" s="4">
        <v>0</v>
      </c>
      <c r="AG3929" s="2">
        <v>0.52</v>
      </c>
      <c r="AH3929" s="2">
        <v>878940</v>
      </c>
      <c r="AI3929" s="2">
        <v>0</v>
      </c>
      <c r="AJ3929" s="5">
        <v>44673</v>
      </c>
      <c r="AK3929" t="s">
        <v>12712</v>
      </c>
      <c r="AL3929" s="2">
        <v>0</v>
      </c>
      <c r="AM3929" s="2">
        <v>0</v>
      </c>
      <c r="AN3929" s="2">
        <v>0</v>
      </c>
      <c r="AO3929" t="s">
        <v>44</v>
      </c>
      <c r="AP3929" t="s">
        <v>11370</v>
      </c>
      <c r="AQ3929" t="s">
        <v>5065</v>
      </c>
    </row>
    <row r="3930" spans="1:43" x14ac:dyDescent="0.2">
      <c r="A3930" t="s">
        <v>12711</v>
      </c>
      <c r="B3930" t="s">
        <v>11037</v>
      </c>
      <c r="C3930" t="s">
        <v>11364</v>
      </c>
      <c r="D3930" t="s">
        <v>11371</v>
      </c>
      <c r="E3930" t="s">
        <v>5127</v>
      </c>
      <c r="F3930" t="s">
        <v>11371</v>
      </c>
      <c r="G3930" s="1">
        <v>91933</v>
      </c>
      <c r="H3930" s="2">
        <v>412851.74</v>
      </c>
      <c r="I3930" s="2">
        <v>473454.95</v>
      </c>
      <c r="J3930" s="2">
        <v>0</v>
      </c>
      <c r="K3930" s="2">
        <v>0</v>
      </c>
      <c r="L3930" s="2">
        <v>473454.95</v>
      </c>
      <c r="M3930" s="3">
        <v>515</v>
      </c>
      <c r="N3930" s="4">
        <v>1.07716E-3</v>
      </c>
      <c r="O3930" s="5" t="s">
        <v>44</v>
      </c>
      <c r="P3930" s="5" t="s">
        <v>44</v>
      </c>
      <c r="Q3930" s="1"/>
      <c r="R3930" s="2"/>
      <c r="S3930" s="6"/>
      <c r="T3930" t="s">
        <v>10902</v>
      </c>
      <c r="U3930" t="s">
        <v>10902</v>
      </c>
      <c r="V3930" t="s">
        <v>10902</v>
      </c>
      <c r="W3930" t="s">
        <v>43</v>
      </c>
      <c r="X3930" t="s">
        <v>11369</v>
      </c>
      <c r="Y3930" t="s">
        <v>11367</v>
      </c>
      <c r="Z3930" t="s">
        <v>11364</v>
      </c>
      <c r="AA3930" t="s">
        <v>44</v>
      </c>
      <c r="AB3930" t="s">
        <v>44</v>
      </c>
      <c r="AC3930" s="4"/>
      <c r="AD3930" s="4"/>
      <c r="AE3930" s="2">
        <v>0</v>
      </c>
      <c r="AF3930" s="4">
        <v>0</v>
      </c>
      <c r="AG3930" s="2">
        <v>0.28000000000000003</v>
      </c>
      <c r="AH3930" s="2">
        <v>473454.95</v>
      </c>
      <c r="AI3930" s="2">
        <v>0</v>
      </c>
      <c r="AJ3930" s="5">
        <v>44673</v>
      </c>
      <c r="AK3930" t="s">
        <v>12712</v>
      </c>
      <c r="AL3930" s="2">
        <v>0</v>
      </c>
      <c r="AM3930" s="2">
        <v>0</v>
      </c>
      <c r="AN3930" s="2">
        <v>0</v>
      </c>
      <c r="AO3930" t="s">
        <v>44</v>
      </c>
      <c r="AP3930" t="s">
        <v>11372</v>
      </c>
      <c r="AQ3930" t="s">
        <v>5127</v>
      </c>
    </row>
    <row r="3931" spans="1:43" x14ac:dyDescent="0.2">
      <c r="A3931" t="s">
        <v>12711</v>
      </c>
      <c r="B3931" t="s">
        <v>11037</v>
      </c>
      <c r="C3931" t="s">
        <v>11364</v>
      </c>
      <c r="D3931" t="s">
        <v>6443</v>
      </c>
      <c r="E3931" t="s">
        <v>5186</v>
      </c>
      <c r="F3931" t="s">
        <v>6443</v>
      </c>
      <c r="G3931" s="1">
        <v>5000</v>
      </c>
      <c r="H3931" s="2">
        <v>349113.78</v>
      </c>
      <c r="I3931" s="2">
        <v>220800</v>
      </c>
      <c r="J3931" s="2">
        <v>0</v>
      </c>
      <c r="K3931" s="2">
        <v>0</v>
      </c>
      <c r="L3931" s="2">
        <v>220800</v>
      </c>
      <c r="M3931" s="3">
        <v>4416</v>
      </c>
      <c r="N3931" s="4">
        <v>5.0233999999999999E-4</v>
      </c>
      <c r="O3931" s="5" t="s">
        <v>44</v>
      </c>
      <c r="P3931" s="5" t="s">
        <v>44</v>
      </c>
      <c r="Q3931" s="1"/>
      <c r="R3931" s="2"/>
      <c r="S3931" s="6"/>
      <c r="T3931" t="s">
        <v>10902</v>
      </c>
      <c r="U3931" t="s">
        <v>10902</v>
      </c>
      <c r="V3931" t="s">
        <v>10902</v>
      </c>
      <c r="W3931" t="s">
        <v>43</v>
      </c>
      <c r="X3931" t="s">
        <v>11366</v>
      </c>
      <c r="Y3931" t="s">
        <v>11367</v>
      </c>
      <c r="Z3931" t="s">
        <v>11364</v>
      </c>
      <c r="AA3931" t="s">
        <v>44</v>
      </c>
      <c r="AB3931" t="s">
        <v>44</v>
      </c>
      <c r="AC3931" s="4"/>
      <c r="AD3931" s="4"/>
      <c r="AE3931" s="2">
        <v>0</v>
      </c>
      <c r="AF3931" s="4">
        <v>0</v>
      </c>
      <c r="AG3931" s="2">
        <v>0.13</v>
      </c>
      <c r="AH3931" s="2">
        <v>220800</v>
      </c>
      <c r="AI3931" s="2">
        <v>0</v>
      </c>
      <c r="AJ3931" s="5">
        <v>44673</v>
      </c>
      <c r="AK3931" t="s">
        <v>12712</v>
      </c>
      <c r="AL3931" s="2">
        <v>0</v>
      </c>
      <c r="AM3931" s="2">
        <v>0</v>
      </c>
      <c r="AN3931" s="2">
        <v>0</v>
      </c>
      <c r="AO3931" t="s">
        <v>44</v>
      </c>
      <c r="AP3931" t="s">
        <v>11373</v>
      </c>
      <c r="AQ3931" t="s">
        <v>5186</v>
      </c>
    </row>
    <row r="3932" spans="1:43" x14ac:dyDescent="0.2">
      <c r="A3932" t="s">
        <v>12711</v>
      </c>
      <c r="B3932" t="s">
        <v>11037</v>
      </c>
      <c r="C3932" t="s">
        <v>11364</v>
      </c>
      <c r="D3932" t="s">
        <v>11374</v>
      </c>
      <c r="E3932" t="s">
        <v>1786</v>
      </c>
      <c r="F3932" t="s">
        <v>11374</v>
      </c>
      <c r="G3932" s="1">
        <v>10500</v>
      </c>
      <c r="H3932" s="2">
        <v>281012.02</v>
      </c>
      <c r="I3932" s="2">
        <v>283500</v>
      </c>
      <c r="J3932" s="2">
        <v>0</v>
      </c>
      <c r="K3932" s="2">
        <v>0</v>
      </c>
      <c r="L3932" s="2">
        <v>283500</v>
      </c>
      <c r="M3932" s="3">
        <v>2700</v>
      </c>
      <c r="N3932" s="4">
        <v>6.4499000000000002E-4</v>
      </c>
      <c r="O3932" s="5" t="s">
        <v>44</v>
      </c>
      <c r="P3932" s="5" t="s">
        <v>44</v>
      </c>
      <c r="Q3932" s="1"/>
      <c r="R3932" s="2"/>
      <c r="S3932" s="6"/>
      <c r="T3932" t="s">
        <v>10902</v>
      </c>
      <c r="U3932" t="s">
        <v>10902</v>
      </c>
      <c r="V3932" t="s">
        <v>10902</v>
      </c>
      <c r="W3932" t="s">
        <v>43</v>
      </c>
      <c r="X3932" t="s">
        <v>11375</v>
      </c>
      <c r="Y3932" t="s">
        <v>11367</v>
      </c>
      <c r="Z3932" t="s">
        <v>11364</v>
      </c>
      <c r="AA3932" t="s">
        <v>44</v>
      </c>
      <c r="AB3932" t="s">
        <v>44</v>
      </c>
      <c r="AC3932" s="4"/>
      <c r="AD3932" s="4"/>
      <c r="AE3932" s="2">
        <v>0</v>
      </c>
      <c r="AF3932" s="4">
        <v>0</v>
      </c>
      <c r="AG3932" s="2">
        <v>0.17</v>
      </c>
      <c r="AH3932" s="2">
        <v>283500</v>
      </c>
      <c r="AI3932" s="2">
        <v>0</v>
      </c>
      <c r="AJ3932" s="5">
        <v>44673</v>
      </c>
      <c r="AK3932" t="s">
        <v>12712</v>
      </c>
      <c r="AL3932" s="2">
        <v>0</v>
      </c>
      <c r="AM3932" s="2">
        <v>0</v>
      </c>
      <c r="AN3932" s="2">
        <v>0</v>
      </c>
      <c r="AO3932" t="s">
        <v>44</v>
      </c>
      <c r="AP3932" t="s">
        <v>11376</v>
      </c>
      <c r="AQ3932" t="s">
        <v>1786</v>
      </c>
    </row>
    <row r="3933" spans="1:43" x14ac:dyDescent="0.2">
      <c r="A3933" t="s">
        <v>12711</v>
      </c>
      <c r="B3933" t="s">
        <v>11037</v>
      </c>
      <c r="C3933" t="s">
        <v>11364</v>
      </c>
      <c r="D3933" t="s">
        <v>11377</v>
      </c>
      <c r="E3933" t="s">
        <v>5599</v>
      </c>
      <c r="F3933" t="s">
        <v>11378</v>
      </c>
      <c r="G3933" s="1">
        <v>623</v>
      </c>
      <c r="H3933" s="2">
        <v>119433.17</v>
      </c>
      <c r="I3933" s="2">
        <v>336849.87</v>
      </c>
      <c r="J3933" s="2">
        <v>0</v>
      </c>
      <c r="K3933" s="2">
        <v>0</v>
      </c>
      <c r="L3933" s="2">
        <v>336849.87</v>
      </c>
      <c r="M3933" s="3">
        <v>54069</v>
      </c>
      <c r="N3933" s="4">
        <v>7.6637000000000005E-4</v>
      </c>
      <c r="O3933" s="5" t="s">
        <v>44</v>
      </c>
      <c r="P3933" s="5" t="s">
        <v>44</v>
      </c>
      <c r="Q3933" s="1"/>
      <c r="R3933" s="2"/>
      <c r="S3933" s="6"/>
      <c r="T3933" t="s">
        <v>10902</v>
      </c>
      <c r="U3933" t="s">
        <v>10902</v>
      </c>
      <c r="V3933" t="s">
        <v>10902</v>
      </c>
      <c r="W3933" t="s">
        <v>43</v>
      </c>
      <c r="X3933" t="s">
        <v>11375</v>
      </c>
      <c r="Y3933" t="s">
        <v>11367</v>
      </c>
      <c r="Z3933" t="s">
        <v>11364</v>
      </c>
      <c r="AA3933" t="s">
        <v>44</v>
      </c>
      <c r="AB3933" t="s">
        <v>44</v>
      </c>
      <c r="AC3933" s="4"/>
      <c r="AD3933" s="4"/>
      <c r="AE3933" s="2">
        <v>0</v>
      </c>
      <c r="AF3933" s="4">
        <v>0</v>
      </c>
      <c r="AG3933" s="2">
        <v>0.2</v>
      </c>
      <c r="AH3933" s="2">
        <v>336849.87</v>
      </c>
      <c r="AI3933" s="2">
        <v>0</v>
      </c>
      <c r="AJ3933" s="5">
        <v>44673</v>
      </c>
      <c r="AK3933" t="s">
        <v>12712</v>
      </c>
      <c r="AL3933" s="2">
        <v>0</v>
      </c>
      <c r="AM3933" s="2">
        <v>0</v>
      </c>
      <c r="AN3933" s="2">
        <v>0</v>
      </c>
      <c r="AO3933" t="s">
        <v>44</v>
      </c>
      <c r="AP3933" t="s">
        <v>11379</v>
      </c>
      <c r="AQ3933" t="s">
        <v>5599</v>
      </c>
    </row>
    <row r="3934" spans="1:43" x14ac:dyDescent="0.2">
      <c r="A3934" t="s">
        <v>12711</v>
      </c>
      <c r="B3934" t="s">
        <v>11037</v>
      </c>
      <c r="C3934" t="s">
        <v>11364</v>
      </c>
      <c r="D3934" t="s">
        <v>12499</v>
      </c>
      <c r="E3934" t="s">
        <v>5605</v>
      </c>
      <c r="F3934" t="s">
        <v>12499</v>
      </c>
      <c r="G3934" s="1">
        <v>1422</v>
      </c>
      <c r="H3934" s="2">
        <v>204055.46</v>
      </c>
      <c r="I3934" s="2">
        <v>106650</v>
      </c>
      <c r="J3934" s="2">
        <v>0</v>
      </c>
      <c r="K3934" s="2">
        <v>0</v>
      </c>
      <c r="L3934" s="2">
        <v>106650</v>
      </c>
      <c r="M3934" s="3">
        <v>7500</v>
      </c>
      <c r="N3934" s="4">
        <v>2.4263999999999999E-4</v>
      </c>
      <c r="O3934" s="5" t="s">
        <v>44</v>
      </c>
      <c r="P3934" s="5" t="s">
        <v>44</v>
      </c>
      <c r="Q3934" s="1"/>
      <c r="R3934" s="2"/>
      <c r="S3934" s="6"/>
      <c r="T3934" t="s">
        <v>10902</v>
      </c>
      <c r="U3934" t="s">
        <v>10902</v>
      </c>
      <c r="V3934" t="s">
        <v>10902</v>
      </c>
      <c r="W3934" t="s">
        <v>43</v>
      </c>
      <c r="X3934" t="s">
        <v>11720</v>
      </c>
      <c r="Y3934" t="s">
        <v>11721</v>
      </c>
      <c r="Z3934" t="s">
        <v>11364</v>
      </c>
      <c r="AA3934" t="s">
        <v>44</v>
      </c>
      <c r="AB3934" t="s">
        <v>44</v>
      </c>
      <c r="AC3934" s="4"/>
      <c r="AD3934" s="4"/>
      <c r="AE3934" s="2">
        <v>0</v>
      </c>
      <c r="AF3934" s="4">
        <v>0</v>
      </c>
      <c r="AG3934" s="2">
        <v>0.06</v>
      </c>
      <c r="AH3934" s="2">
        <v>106650</v>
      </c>
      <c r="AI3934" s="2">
        <v>0</v>
      </c>
      <c r="AJ3934" s="5">
        <v>44673</v>
      </c>
      <c r="AK3934" t="s">
        <v>12712</v>
      </c>
      <c r="AL3934" s="2">
        <v>0</v>
      </c>
      <c r="AM3934" s="2">
        <v>0</v>
      </c>
      <c r="AN3934" s="2">
        <v>0</v>
      </c>
      <c r="AO3934" t="s">
        <v>44</v>
      </c>
      <c r="AP3934" t="s">
        <v>12500</v>
      </c>
      <c r="AQ3934" t="s">
        <v>5605</v>
      </c>
    </row>
    <row r="3935" spans="1:43" x14ac:dyDescent="0.2">
      <c r="A3935" t="s">
        <v>12711</v>
      </c>
      <c r="B3935" t="s">
        <v>11037</v>
      </c>
      <c r="C3935" t="s">
        <v>11727</v>
      </c>
      <c r="D3935" t="s">
        <v>11728</v>
      </c>
      <c r="E3935" t="s">
        <v>4855</v>
      </c>
      <c r="F3935" t="s">
        <v>11728</v>
      </c>
      <c r="G3935" s="1">
        <v>1161</v>
      </c>
      <c r="H3935" s="2">
        <v>2653264.7400000002</v>
      </c>
      <c r="I3935" s="2">
        <v>1749952.08</v>
      </c>
      <c r="J3935" s="2">
        <v>0</v>
      </c>
      <c r="K3935" s="2">
        <v>0</v>
      </c>
      <c r="L3935" s="2">
        <v>1749952.08</v>
      </c>
      <c r="M3935" s="3">
        <v>150728</v>
      </c>
      <c r="N3935" s="4">
        <v>3.9813299999999999E-3</v>
      </c>
      <c r="O3935" s="5" t="s">
        <v>44</v>
      </c>
      <c r="P3935" s="5" t="s">
        <v>44</v>
      </c>
      <c r="Q3935" s="1"/>
      <c r="R3935" s="2"/>
      <c r="S3935" s="6"/>
      <c r="T3935" t="s">
        <v>10902</v>
      </c>
      <c r="U3935" t="s">
        <v>10902</v>
      </c>
      <c r="V3935" t="s">
        <v>10902</v>
      </c>
      <c r="W3935" t="s">
        <v>43</v>
      </c>
      <c r="X3935" t="s">
        <v>11729</v>
      </c>
      <c r="Y3935" t="s">
        <v>11727</v>
      </c>
      <c r="Z3935" t="s">
        <v>11727</v>
      </c>
      <c r="AA3935" t="s">
        <v>44</v>
      </c>
      <c r="AB3935" t="s">
        <v>44</v>
      </c>
      <c r="AC3935" s="4"/>
      <c r="AD3935" s="4"/>
      <c r="AE3935" s="2">
        <v>0</v>
      </c>
      <c r="AF3935" s="4">
        <v>0</v>
      </c>
      <c r="AG3935" s="2">
        <v>1.03</v>
      </c>
      <c r="AH3935" s="2">
        <v>1749952.08</v>
      </c>
      <c r="AI3935" s="2">
        <v>0</v>
      </c>
      <c r="AJ3935" s="5">
        <v>44673</v>
      </c>
      <c r="AK3935" t="s">
        <v>12712</v>
      </c>
      <c r="AL3935" s="2">
        <v>0</v>
      </c>
      <c r="AM3935" s="2">
        <v>0</v>
      </c>
      <c r="AN3935" s="2">
        <v>0</v>
      </c>
      <c r="AO3935" t="s">
        <v>44</v>
      </c>
      <c r="AP3935" t="s">
        <v>11730</v>
      </c>
      <c r="AQ3935" t="s">
        <v>4855</v>
      </c>
    </row>
    <row r="3936" spans="1:43" x14ac:dyDescent="0.2">
      <c r="A3936" t="s">
        <v>12711</v>
      </c>
      <c r="B3936" t="s">
        <v>11037</v>
      </c>
      <c r="C3936" t="s">
        <v>11727</v>
      </c>
      <c r="D3936" t="s">
        <v>11731</v>
      </c>
      <c r="E3936" t="s">
        <v>2068</v>
      </c>
      <c r="F3936" t="s">
        <v>11731</v>
      </c>
      <c r="G3936" s="1">
        <v>275</v>
      </c>
      <c r="H3936" s="2">
        <v>334385.7</v>
      </c>
      <c r="I3936" s="2">
        <v>203073.75</v>
      </c>
      <c r="J3936" s="2">
        <v>0</v>
      </c>
      <c r="K3936" s="2">
        <v>0</v>
      </c>
      <c r="L3936" s="2">
        <v>203073.75</v>
      </c>
      <c r="M3936" s="3">
        <v>73845</v>
      </c>
      <c r="N3936" s="4">
        <v>4.6201E-4</v>
      </c>
      <c r="O3936" s="5" t="s">
        <v>44</v>
      </c>
      <c r="P3936" s="5" t="s">
        <v>44</v>
      </c>
      <c r="Q3936" s="1"/>
      <c r="R3936" s="2"/>
      <c r="S3936" s="6"/>
      <c r="T3936" t="s">
        <v>10902</v>
      </c>
      <c r="U3936" t="s">
        <v>10902</v>
      </c>
      <c r="V3936" t="s">
        <v>10902</v>
      </c>
      <c r="W3936" t="s">
        <v>43</v>
      </c>
      <c r="X3936" t="s">
        <v>11729</v>
      </c>
      <c r="Y3936" t="s">
        <v>11727</v>
      </c>
      <c r="Z3936" t="s">
        <v>11727</v>
      </c>
      <c r="AA3936" t="s">
        <v>44</v>
      </c>
      <c r="AB3936" t="s">
        <v>44</v>
      </c>
      <c r="AC3936" s="4"/>
      <c r="AD3936" s="4"/>
      <c r="AE3936" s="2">
        <v>0</v>
      </c>
      <c r="AF3936" s="4">
        <v>0</v>
      </c>
      <c r="AG3936" s="2">
        <v>0.12</v>
      </c>
      <c r="AH3936" s="2">
        <v>203073.75</v>
      </c>
      <c r="AI3936" s="2">
        <v>0</v>
      </c>
      <c r="AJ3936" s="5">
        <v>44673</v>
      </c>
      <c r="AK3936" t="s">
        <v>12712</v>
      </c>
      <c r="AL3936" s="2">
        <v>0</v>
      </c>
      <c r="AM3936" s="2">
        <v>0</v>
      </c>
      <c r="AN3936" s="2">
        <v>0</v>
      </c>
      <c r="AO3936" t="s">
        <v>44</v>
      </c>
      <c r="AP3936" t="s">
        <v>2073</v>
      </c>
      <c r="AQ3936" t="s">
        <v>2068</v>
      </c>
    </row>
    <row r="3937" spans="1:43" x14ac:dyDescent="0.2">
      <c r="A3937" t="s">
        <v>12711</v>
      </c>
      <c r="B3937" t="s">
        <v>11037</v>
      </c>
      <c r="C3937" t="s">
        <v>11380</v>
      </c>
      <c r="D3937" t="s">
        <v>5901</v>
      </c>
      <c r="E3937" t="s">
        <v>4841</v>
      </c>
      <c r="F3937" t="s">
        <v>5901</v>
      </c>
      <c r="G3937" s="1">
        <v>11000</v>
      </c>
      <c r="H3937" s="2">
        <v>2048667.71</v>
      </c>
      <c r="I3937" s="2">
        <v>1903000</v>
      </c>
      <c r="J3937" s="2">
        <v>0</v>
      </c>
      <c r="K3937" s="2">
        <v>0</v>
      </c>
      <c r="L3937" s="2">
        <v>1903000</v>
      </c>
      <c r="M3937" s="3">
        <v>17300</v>
      </c>
      <c r="N3937" s="4">
        <v>4.3295299999999998E-3</v>
      </c>
      <c r="O3937" s="5" t="s">
        <v>44</v>
      </c>
      <c r="P3937" s="5" t="s">
        <v>44</v>
      </c>
      <c r="Q3937" s="1"/>
      <c r="R3937" s="2"/>
      <c r="S3937" s="6"/>
      <c r="T3937" t="s">
        <v>10902</v>
      </c>
      <c r="U3937" t="s">
        <v>10902</v>
      </c>
      <c r="V3937" t="s">
        <v>10902</v>
      </c>
      <c r="W3937" t="s">
        <v>43</v>
      </c>
      <c r="X3937" t="s">
        <v>11732</v>
      </c>
      <c r="Y3937" t="s">
        <v>11380</v>
      </c>
      <c r="Z3937" t="s">
        <v>11380</v>
      </c>
      <c r="AA3937" t="s">
        <v>44</v>
      </c>
      <c r="AB3937" t="s">
        <v>44</v>
      </c>
      <c r="AC3937" s="4"/>
      <c r="AD3937" s="4"/>
      <c r="AE3937" s="2">
        <v>0</v>
      </c>
      <c r="AF3937" s="4">
        <v>0</v>
      </c>
      <c r="AG3937" s="2">
        <v>1.1200000000000001</v>
      </c>
      <c r="AH3937" s="2">
        <v>1903000</v>
      </c>
      <c r="AI3937" s="2">
        <v>0</v>
      </c>
      <c r="AJ3937" s="5">
        <v>44673</v>
      </c>
      <c r="AK3937" t="s">
        <v>12712</v>
      </c>
      <c r="AL3937" s="2">
        <v>0</v>
      </c>
      <c r="AM3937" s="2">
        <v>0</v>
      </c>
      <c r="AN3937" s="2">
        <v>0</v>
      </c>
      <c r="AO3937" t="s">
        <v>44</v>
      </c>
      <c r="AP3937" t="s">
        <v>11733</v>
      </c>
      <c r="AQ3937" t="s">
        <v>4841</v>
      </c>
    </row>
    <row r="3938" spans="1:43" x14ac:dyDescent="0.2">
      <c r="A3938" t="s">
        <v>12711</v>
      </c>
      <c r="B3938" t="s">
        <v>11037</v>
      </c>
      <c r="C3938" t="s">
        <v>11380</v>
      </c>
      <c r="D3938" t="s">
        <v>11381</v>
      </c>
      <c r="E3938" t="s">
        <v>5221</v>
      </c>
      <c r="F3938" t="s">
        <v>11381</v>
      </c>
      <c r="G3938" s="1">
        <v>6000</v>
      </c>
      <c r="H3938" s="2">
        <v>373297.86</v>
      </c>
      <c r="I3938" s="2">
        <v>267000</v>
      </c>
      <c r="J3938" s="2">
        <v>0</v>
      </c>
      <c r="K3938" s="2">
        <v>0</v>
      </c>
      <c r="L3938" s="2">
        <v>267000</v>
      </c>
      <c r="M3938" s="3">
        <v>4450</v>
      </c>
      <c r="N3938" s="4">
        <v>6.0745000000000005E-4</v>
      </c>
      <c r="O3938" s="5" t="s">
        <v>44</v>
      </c>
      <c r="P3938" s="5" t="s">
        <v>44</v>
      </c>
      <c r="Q3938" s="1"/>
      <c r="R3938" s="2"/>
      <c r="S3938" s="6"/>
      <c r="T3938" t="s">
        <v>10902</v>
      </c>
      <c r="U3938" t="s">
        <v>10902</v>
      </c>
      <c r="V3938" t="s">
        <v>10902</v>
      </c>
      <c r="W3938" t="s">
        <v>43</v>
      </c>
      <c r="X3938" t="s">
        <v>11382</v>
      </c>
      <c r="Y3938" t="s">
        <v>11380</v>
      </c>
      <c r="Z3938" t="s">
        <v>11380</v>
      </c>
      <c r="AA3938" t="s">
        <v>44</v>
      </c>
      <c r="AB3938" t="s">
        <v>44</v>
      </c>
      <c r="AC3938" s="4"/>
      <c r="AD3938" s="4"/>
      <c r="AE3938" s="2">
        <v>0</v>
      </c>
      <c r="AF3938" s="4">
        <v>0</v>
      </c>
      <c r="AG3938" s="2">
        <v>0.16</v>
      </c>
      <c r="AH3938" s="2">
        <v>267000</v>
      </c>
      <c r="AI3938" s="2">
        <v>0</v>
      </c>
      <c r="AJ3938" s="5">
        <v>44673</v>
      </c>
      <c r="AK3938" t="s">
        <v>12712</v>
      </c>
      <c r="AL3938" s="2">
        <v>0</v>
      </c>
      <c r="AM3938" s="2">
        <v>0</v>
      </c>
      <c r="AN3938" s="2">
        <v>0</v>
      </c>
      <c r="AO3938" t="s">
        <v>44</v>
      </c>
      <c r="AP3938" t="s">
        <v>11383</v>
      </c>
      <c r="AQ3938" t="s">
        <v>5221</v>
      </c>
    </row>
    <row r="3939" spans="1:43" x14ac:dyDescent="0.2">
      <c r="A3939" t="s">
        <v>12711</v>
      </c>
      <c r="B3939" t="s">
        <v>11037</v>
      </c>
      <c r="C3939" t="s">
        <v>11743</v>
      </c>
      <c r="D3939" t="s">
        <v>11744</v>
      </c>
      <c r="E3939" t="s">
        <v>11745</v>
      </c>
      <c r="F3939" t="s">
        <v>11746</v>
      </c>
      <c r="G3939" s="1">
        <v>1000</v>
      </c>
      <c r="H3939" s="2">
        <v>160558.22</v>
      </c>
      <c r="I3939" s="2">
        <v>162970</v>
      </c>
      <c r="J3939" s="2">
        <v>0</v>
      </c>
      <c r="K3939" s="2">
        <v>0</v>
      </c>
      <c r="L3939" s="2">
        <v>162970</v>
      </c>
      <c r="M3939" s="3">
        <v>16297</v>
      </c>
      <c r="N3939" s="4">
        <v>3.7076999999999998E-4</v>
      </c>
      <c r="O3939" s="5" t="s">
        <v>44</v>
      </c>
      <c r="P3939" s="5" t="s">
        <v>44</v>
      </c>
      <c r="Q3939" s="1"/>
      <c r="R3939" s="2"/>
      <c r="S3939" s="6"/>
      <c r="T3939" t="s">
        <v>10902</v>
      </c>
      <c r="U3939" t="s">
        <v>10902</v>
      </c>
      <c r="V3939" t="s">
        <v>10902</v>
      </c>
      <c r="W3939" t="s">
        <v>43</v>
      </c>
      <c r="X3939" t="s">
        <v>11747</v>
      </c>
      <c r="Y3939" t="s">
        <v>11743</v>
      </c>
      <c r="Z3939" t="s">
        <v>11743</v>
      </c>
      <c r="AA3939" t="s">
        <v>44</v>
      </c>
      <c r="AB3939" t="s">
        <v>44</v>
      </c>
      <c r="AC3939" s="4"/>
      <c r="AD3939" s="4"/>
      <c r="AE3939" s="2">
        <v>0</v>
      </c>
      <c r="AF3939" s="4">
        <v>0</v>
      </c>
      <c r="AG3939" s="2">
        <v>0.1</v>
      </c>
      <c r="AH3939" s="2">
        <v>162970</v>
      </c>
      <c r="AI3939" s="2">
        <v>0</v>
      </c>
      <c r="AJ3939" s="5">
        <v>44673</v>
      </c>
      <c r="AK3939" t="s">
        <v>12712</v>
      </c>
      <c r="AL3939" s="2">
        <v>0</v>
      </c>
      <c r="AM3939" s="2">
        <v>0</v>
      </c>
      <c r="AN3939" s="2">
        <v>0</v>
      </c>
      <c r="AO3939" t="s">
        <v>44</v>
      </c>
      <c r="AP3939" t="s">
        <v>11748</v>
      </c>
      <c r="AQ3939" t="s">
        <v>11745</v>
      </c>
    </row>
    <row r="3940" spans="1:43" x14ac:dyDescent="0.2">
      <c r="A3940" t="s">
        <v>12711</v>
      </c>
      <c r="B3940" t="s">
        <v>11408</v>
      </c>
      <c r="C3940" t="s">
        <v>11408</v>
      </c>
      <c r="D3940" t="s">
        <v>11761</v>
      </c>
      <c r="E3940" t="s">
        <v>11762</v>
      </c>
      <c r="F3940" t="s">
        <v>11763</v>
      </c>
      <c r="G3940" s="1">
        <v>2198.5524999999998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3"/>
      <c r="N3940" s="4">
        <v>0</v>
      </c>
      <c r="O3940" s="5" t="s">
        <v>44</v>
      </c>
      <c r="P3940" s="5">
        <v>44777</v>
      </c>
      <c r="Q3940" s="1">
        <v>0</v>
      </c>
      <c r="R3940" s="2"/>
      <c r="S3940" s="6"/>
      <c r="T3940" t="s">
        <v>11412</v>
      </c>
      <c r="U3940" t="s">
        <v>11413</v>
      </c>
      <c r="V3940" t="s">
        <v>11414</v>
      </c>
      <c r="W3940" t="s">
        <v>43</v>
      </c>
      <c r="X3940" t="s">
        <v>44</v>
      </c>
      <c r="Y3940" t="s">
        <v>44</v>
      </c>
      <c r="Z3940" t="s">
        <v>44</v>
      </c>
      <c r="AA3940" t="s">
        <v>10979</v>
      </c>
      <c r="AB3940" t="s">
        <v>44</v>
      </c>
      <c r="AC3940" s="4"/>
      <c r="AD3940" s="4"/>
      <c r="AE3940" s="2">
        <v>0</v>
      </c>
      <c r="AF3940" s="4">
        <v>0</v>
      </c>
      <c r="AG3940" s="2">
        <v>0</v>
      </c>
      <c r="AH3940" s="2">
        <v>0</v>
      </c>
      <c r="AI3940" s="2">
        <v>0</v>
      </c>
      <c r="AJ3940" s="5">
        <v>44673</v>
      </c>
      <c r="AK3940" t="s">
        <v>12712</v>
      </c>
      <c r="AL3940" s="2">
        <v>0</v>
      </c>
      <c r="AM3940" s="2">
        <v>0</v>
      </c>
      <c r="AN3940" s="2">
        <v>0</v>
      </c>
      <c r="AO3940" t="s">
        <v>11165</v>
      </c>
      <c r="AP3940" t="s">
        <v>44</v>
      </c>
      <c r="AQ3940" t="s">
        <v>44</v>
      </c>
    </row>
    <row r="3941" spans="1:43" x14ac:dyDescent="0.2">
      <c r="A3941" t="s">
        <v>12711</v>
      </c>
      <c r="B3941" t="s">
        <v>11408</v>
      </c>
      <c r="C3941" t="s">
        <v>11408</v>
      </c>
      <c r="D3941" t="s">
        <v>11764</v>
      </c>
      <c r="E3941" t="s">
        <v>11762</v>
      </c>
      <c r="F3941" t="s">
        <v>11765</v>
      </c>
      <c r="G3941" s="1">
        <v>-66458371.810000002</v>
      </c>
      <c r="H3941" s="2">
        <v>0</v>
      </c>
      <c r="I3941" s="2">
        <v>0</v>
      </c>
      <c r="J3941" s="2">
        <v>-176160.2</v>
      </c>
      <c r="K3941" s="2">
        <v>0</v>
      </c>
      <c r="L3941" s="2">
        <v>-176160.2</v>
      </c>
      <c r="M3941" s="3"/>
      <c r="N3941" s="4">
        <v>-4.0077999999999999E-4</v>
      </c>
      <c r="O3941" s="5" t="s">
        <v>44</v>
      </c>
      <c r="P3941" s="5">
        <v>44777</v>
      </c>
      <c r="Q3941" s="1">
        <v>0</v>
      </c>
      <c r="R3941" s="2"/>
      <c r="S3941" s="6"/>
      <c r="T3941" t="s">
        <v>11412</v>
      </c>
      <c r="U3941" t="s">
        <v>11413</v>
      </c>
      <c r="V3941" t="s">
        <v>11414</v>
      </c>
      <c r="W3941" t="s">
        <v>43</v>
      </c>
      <c r="X3941" t="s">
        <v>44</v>
      </c>
      <c r="Y3941" t="s">
        <v>44</v>
      </c>
      <c r="Z3941" t="s">
        <v>44</v>
      </c>
      <c r="AA3941" t="s">
        <v>10979</v>
      </c>
      <c r="AB3941" t="s">
        <v>44</v>
      </c>
      <c r="AC3941" s="4"/>
      <c r="AD3941" s="4"/>
      <c r="AE3941" s="2">
        <v>0</v>
      </c>
      <c r="AF3941" s="4">
        <v>0</v>
      </c>
      <c r="AG3941" s="2">
        <v>-0.1</v>
      </c>
      <c r="AH3941" s="2">
        <v>-66634532.009999998</v>
      </c>
      <c r="AI3941" s="2">
        <v>-0.15</v>
      </c>
      <c r="AJ3941" s="5">
        <v>44673</v>
      </c>
      <c r="AK3941" t="s">
        <v>12712</v>
      </c>
      <c r="AL3941" s="2">
        <v>0</v>
      </c>
      <c r="AM3941" s="2">
        <v>0</v>
      </c>
      <c r="AN3941" s="2">
        <v>0</v>
      </c>
      <c r="AO3941" t="s">
        <v>11165</v>
      </c>
      <c r="AP3941" t="s">
        <v>44</v>
      </c>
      <c r="AQ3941" t="s">
        <v>44</v>
      </c>
    </row>
    <row r="3942" spans="1:43" x14ac:dyDescent="0.2">
      <c r="A3942" t="s">
        <v>12711</v>
      </c>
      <c r="B3942" t="s">
        <v>11408</v>
      </c>
      <c r="C3942" t="s">
        <v>11408</v>
      </c>
      <c r="D3942" t="s">
        <v>11766</v>
      </c>
      <c r="E3942" t="s">
        <v>11762</v>
      </c>
      <c r="F3942" t="s">
        <v>11767</v>
      </c>
      <c r="G3942" s="1">
        <v>2198.5524999999998</v>
      </c>
      <c r="H3942" s="2">
        <v>0</v>
      </c>
      <c r="I3942" s="2">
        <v>-2958855.89</v>
      </c>
      <c r="J3942" s="2">
        <v>0</v>
      </c>
      <c r="K3942" s="2">
        <v>0</v>
      </c>
      <c r="L3942" s="2">
        <v>-2958855.89</v>
      </c>
      <c r="M3942" s="3">
        <v>28882.42</v>
      </c>
      <c r="N3942" s="4">
        <v>-6.7317200000000001E-3</v>
      </c>
      <c r="O3942" s="5" t="s">
        <v>44</v>
      </c>
      <c r="P3942" s="5">
        <v>44777</v>
      </c>
      <c r="Q3942" s="1">
        <v>0</v>
      </c>
      <c r="R3942" s="2"/>
      <c r="S3942" s="6"/>
      <c r="T3942" t="s">
        <v>11412</v>
      </c>
      <c r="U3942" t="s">
        <v>11413</v>
      </c>
      <c r="V3942" t="s">
        <v>11414</v>
      </c>
      <c r="W3942" t="s">
        <v>43</v>
      </c>
      <c r="X3942" t="s">
        <v>44</v>
      </c>
      <c r="Y3942" t="s">
        <v>44</v>
      </c>
      <c r="Z3942" t="s">
        <v>44</v>
      </c>
      <c r="AA3942" t="s">
        <v>10979</v>
      </c>
      <c r="AB3942" t="s">
        <v>44</v>
      </c>
      <c r="AC3942" s="4"/>
      <c r="AD3942" s="4"/>
      <c r="AE3942" s="2">
        <v>0</v>
      </c>
      <c r="AF3942" s="4">
        <v>0</v>
      </c>
      <c r="AG3942" s="2">
        <v>-1.74</v>
      </c>
      <c r="AH3942" s="2">
        <v>63499515.920000002</v>
      </c>
      <c r="AI3942" s="2">
        <v>0.14000000000000001</v>
      </c>
      <c r="AJ3942" s="5">
        <v>44673</v>
      </c>
      <c r="AK3942" t="s">
        <v>12712</v>
      </c>
      <c r="AL3942" s="2">
        <v>0</v>
      </c>
      <c r="AM3942" s="2">
        <v>0</v>
      </c>
      <c r="AN3942" s="2">
        <v>0</v>
      </c>
      <c r="AO3942" t="s">
        <v>11165</v>
      </c>
      <c r="AP3942" t="s">
        <v>44</v>
      </c>
      <c r="AQ3942" t="s">
        <v>44</v>
      </c>
    </row>
    <row r="3943" spans="1:43" x14ac:dyDescent="0.2">
      <c r="A3943" t="s">
        <v>12711</v>
      </c>
      <c r="B3943" t="s">
        <v>11408</v>
      </c>
      <c r="C3943" t="s">
        <v>11408</v>
      </c>
      <c r="D3943" t="s">
        <v>11768</v>
      </c>
      <c r="E3943" t="s">
        <v>11769</v>
      </c>
      <c r="F3943" t="s">
        <v>11770</v>
      </c>
      <c r="G3943" s="1">
        <v>1581.5527999999999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3"/>
      <c r="N3943" s="4">
        <v>0</v>
      </c>
      <c r="O3943" s="5" t="s">
        <v>44</v>
      </c>
      <c r="P3943" s="5">
        <v>44809</v>
      </c>
      <c r="Q3943" s="1">
        <v>0</v>
      </c>
      <c r="R3943" s="2"/>
      <c r="S3943" s="6"/>
      <c r="T3943" t="s">
        <v>11412</v>
      </c>
      <c r="U3943" t="s">
        <v>11413</v>
      </c>
      <c r="V3943" t="s">
        <v>11414</v>
      </c>
      <c r="W3943" t="s">
        <v>43</v>
      </c>
      <c r="X3943" t="s">
        <v>44</v>
      </c>
      <c r="Y3943" t="s">
        <v>44</v>
      </c>
      <c r="Z3943" t="s">
        <v>44</v>
      </c>
      <c r="AA3943" t="s">
        <v>11035</v>
      </c>
      <c r="AB3943" t="s">
        <v>44</v>
      </c>
      <c r="AC3943" s="4"/>
      <c r="AD3943" s="4"/>
      <c r="AE3943" s="2">
        <v>0</v>
      </c>
      <c r="AF3943" s="4">
        <v>0</v>
      </c>
      <c r="AG3943" s="2">
        <v>0</v>
      </c>
      <c r="AH3943" s="2">
        <v>0</v>
      </c>
      <c r="AI3943" s="2">
        <v>0</v>
      </c>
      <c r="AJ3943" s="5">
        <v>44673</v>
      </c>
      <c r="AK3943" t="s">
        <v>12712</v>
      </c>
      <c r="AL3943" s="2">
        <v>0</v>
      </c>
      <c r="AM3943" s="2">
        <v>0</v>
      </c>
      <c r="AN3943" s="2">
        <v>0</v>
      </c>
      <c r="AO3943" t="s">
        <v>11053</v>
      </c>
      <c r="AP3943" t="s">
        <v>44</v>
      </c>
      <c r="AQ3943" t="s">
        <v>44</v>
      </c>
    </row>
    <row r="3944" spans="1:43" x14ac:dyDescent="0.2">
      <c r="A3944" t="s">
        <v>12711</v>
      </c>
      <c r="B3944" t="s">
        <v>11408</v>
      </c>
      <c r="C3944" t="s">
        <v>11408</v>
      </c>
      <c r="D3944" t="s">
        <v>11771</v>
      </c>
      <c r="E3944" t="s">
        <v>11769</v>
      </c>
      <c r="F3944" t="s">
        <v>11772</v>
      </c>
      <c r="G3944" s="1">
        <v>-47807557.609999999</v>
      </c>
      <c r="H3944" s="2">
        <v>0</v>
      </c>
      <c r="I3944" s="2">
        <v>0</v>
      </c>
      <c r="J3944" s="2">
        <v>-125722.09</v>
      </c>
      <c r="K3944" s="2">
        <v>0</v>
      </c>
      <c r="L3944" s="2">
        <v>-125722.09</v>
      </c>
      <c r="M3944" s="3"/>
      <c r="N3944" s="4">
        <v>-2.8603E-4</v>
      </c>
      <c r="O3944" s="5" t="s">
        <v>44</v>
      </c>
      <c r="P3944" s="5">
        <v>44809</v>
      </c>
      <c r="Q3944" s="1">
        <v>0</v>
      </c>
      <c r="R3944" s="2"/>
      <c r="S3944" s="6"/>
      <c r="T3944" t="s">
        <v>11412</v>
      </c>
      <c r="U3944" t="s">
        <v>11413</v>
      </c>
      <c r="V3944" t="s">
        <v>11414</v>
      </c>
      <c r="W3944" t="s">
        <v>43</v>
      </c>
      <c r="X3944" t="s">
        <v>44</v>
      </c>
      <c r="Y3944" t="s">
        <v>44</v>
      </c>
      <c r="Z3944" t="s">
        <v>44</v>
      </c>
      <c r="AA3944" t="s">
        <v>11035</v>
      </c>
      <c r="AB3944" t="s">
        <v>44</v>
      </c>
      <c r="AC3944" s="4"/>
      <c r="AD3944" s="4"/>
      <c r="AE3944" s="2">
        <v>0</v>
      </c>
      <c r="AF3944" s="4">
        <v>0</v>
      </c>
      <c r="AG3944" s="2">
        <v>-7.0000000000000007E-2</v>
      </c>
      <c r="AH3944" s="2">
        <v>-47933279.700000003</v>
      </c>
      <c r="AI3944" s="2">
        <v>-0.11</v>
      </c>
      <c r="AJ3944" s="5">
        <v>44673</v>
      </c>
      <c r="AK3944" t="s">
        <v>12712</v>
      </c>
      <c r="AL3944" s="2">
        <v>0</v>
      </c>
      <c r="AM3944" s="2">
        <v>0</v>
      </c>
      <c r="AN3944" s="2">
        <v>0</v>
      </c>
      <c r="AO3944" t="s">
        <v>11053</v>
      </c>
      <c r="AP3944" t="s">
        <v>44</v>
      </c>
      <c r="AQ3944" t="s">
        <v>44</v>
      </c>
    </row>
    <row r="3945" spans="1:43" x14ac:dyDescent="0.2">
      <c r="A3945" t="s">
        <v>12711</v>
      </c>
      <c r="B3945" t="s">
        <v>11408</v>
      </c>
      <c r="C3945" t="s">
        <v>11408</v>
      </c>
      <c r="D3945" t="s">
        <v>11773</v>
      </c>
      <c r="E3945" t="s">
        <v>11769</v>
      </c>
      <c r="F3945" t="s">
        <v>11774</v>
      </c>
      <c r="G3945" s="1">
        <v>1581.5527999999999</v>
      </c>
      <c r="H3945" s="2">
        <v>0</v>
      </c>
      <c r="I3945" s="2">
        <v>-2128485.39</v>
      </c>
      <c r="J3945" s="2">
        <v>0</v>
      </c>
      <c r="K3945" s="2">
        <v>0</v>
      </c>
      <c r="L3945" s="2">
        <v>-2128485.39</v>
      </c>
      <c r="M3945" s="3">
        <v>28882.42</v>
      </c>
      <c r="N3945" s="4">
        <v>-4.8425300000000003E-3</v>
      </c>
      <c r="O3945" s="5" t="s">
        <v>44</v>
      </c>
      <c r="P3945" s="5">
        <v>44809</v>
      </c>
      <c r="Q3945" s="1">
        <v>0</v>
      </c>
      <c r="R3945" s="2"/>
      <c r="S3945" s="6"/>
      <c r="T3945" t="s">
        <v>11412</v>
      </c>
      <c r="U3945" t="s">
        <v>11413</v>
      </c>
      <c r="V3945" t="s">
        <v>11414</v>
      </c>
      <c r="W3945" t="s">
        <v>43</v>
      </c>
      <c r="X3945" t="s">
        <v>44</v>
      </c>
      <c r="Y3945" t="s">
        <v>44</v>
      </c>
      <c r="Z3945" t="s">
        <v>44</v>
      </c>
      <c r="AA3945" t="s">
        <v>11035</v>
      </c>
      <c r="AB3945" t="s">
        <v>44</v>
      </c>
      <c r="AC3945" s="4"/>
      <c r="AD3945" s="4"/>
      <c r="AE3945" s="2">
        <v>0</v>
      </c>
      <c r="AF3945" s="4">
        <v>0</v>
      </c>
      <c r="AG3945" s="2">
        <v>-1.25</v>
      </c>
      <c r="AH3945" s="2">
        <v>45679072.219999999</v>
      </c>
      <c r="AI3945" s="2">
        <v>0.1</v>
      </c>
      <c r="AJ3945" s="5">
        <v>44673</v>
      </c>
      <c r="AK3945" t="s">
        <v>12712</v>
      </c>
      <c r="AL3945" s="2">
        <v>0</v>
      </c>
      <c r="AM3945" s="2">
        <v>0</v>
      </c>
      <c r="AN3945" s="2">
        <v>0</v>
      </c>
      <c r="AO3945" t="s">
        <v>11053</v>
      </c>
      <c r="AP3945" t="s">
        <v>44</v>
      </c>
      <c r="AQ3945" t="s">
        <v>44</v>
      </c>
    </row>
    <row r="3946" spans="1:43" x14ac:dyDescent="0.2">
      <c r="A3946" t="s">
        <v>12711</v>
      </c>
      <c r="B3946" t="s">
        <v>11030</v>
      </c>
      <c r="C3946" t="s">
        <v>11030</v>
      </c>
      <c r="D3946" t="s">
        <v>11775</v>
      </c>
      <c r="E3946" t="s">
        <v>11754</v>
      </c>
      <c r="F3946" t="s">
        <v>11775</v>
      </c>
      <c r="G3946" s="1">
        <v>63</v>
      </c>
      <c r="H3946" s="2"/>
      <c r="I3946" s="2">
        <v>0</v>
      </c>
      <c r="J3946" s="2"/>
      <c r="K3946" s="2"/>
      <c r="L3946" s="2">
        <v>0</v>
      </c>
      <c r="M3946" s="3"/>
      <c r="N3946" s="4">
        <v>0</v>
      </c>
      <c r="O3946" s="5" t="s">
        <v>44</v>
      </c>
      <c r="P3946" s="5" t="s">
        <v>44</v>
      </c>
      <c r="Q3946" s="1"/>
      <c r="R3946" s="2"/>
      <c r="S3946" s="6"/>
      <c r="T3946" t="s">
        <v>11031</v>
      </c>
      <c r="U3946" t="s">
        <v>11032</v>
      </c>
      <c r="V3946" t="s">
        <v>45</v>
      </c>
      <c r="W3946" t="s">
        <v>43</v>
      </c>
      <c r="X3946" t="s">
        <v>44</v>
      </c>
      <c r="Y3946" t="s">
        <v>44</v>
      </c>
      <c r="Z3946" t="s">
        <v>44</v>
      </c>
      <c r="AA3946" t="s">
        <v>44</v>
      </c>
      <c r="AB3946" t="s">
        <v>44</v>
      </c>
      <c r="AC3946" s="4"/>
      <c r="AD3946" s="4"/>
      <c r="AE3946" s="2">
        <v>0</v>
      </c>
      <c r="AF3946" s="4">
        <v>0</v>
      </c>
      <c r="AG3946" s="2">
        <v>0</v>
      </c>
      <c r="AH3946" s="2">
        <v>-12607560</v>
      </c>
      <c r="AI3946" s="2">
        <v>-0.03</v>
      </c>
      <c r="AJ3946" s="5">
        <v>44673</v>
      </c>
      <c r="AK3946" t="s">
        <v>12712</v>
      </c>
      <c r="AL3946" s="2">
        <v>0</v>
      </c>
      <c r="AM3946" s="2">
        <v>0</v>
      </c>
      <c r="AN3946" s="2">
        <v>0</v>
      </c>
      <c r="AO3946" t="s">
        <v>44</v>
      </c>
      <c r="AP3946" t="s">
        <v>44</v>
      </c>
      <c r="AQ3946" t="s">
        <v>11182</v>
      </c>
    </row>
    <row r="3947" spans="1:43" x14ac:dyDescent="0.2">
      <c r="A3947" t="s">
        <v>12711</v>
      </c>
      <c r="B3947" t="s">
        <v>11030</v>
      </c>
      <c r="C3947" t="s">
        <v>11030</v>
      </c>
      <c r="D3947" t="s">
        <v>11776</v>
      </c>
      <c r="E3947" t="s">
        <v>11756</v>
      </c>
      <c r="F3947" t="s">
        <v>11776</v>
      </c>
      <c r="G3947" s="1">
        <v>35</v>
      </c>
      <c r="H3947" s="2"/>
      <c r="I3947" s="2">
        <v>0</v>
      </c>
      <c r="J3947" s="2"/>
      <c r="K3947" s="2"/>
      <c r="L3947" s="2">
        <v>0</v>
      </c>
      <c r="M3947" s="3"/>
      <c r="N3947" s="4">
        <v>0</v>
      </c>
      <c r="O3947" s="5" t="s">
        <v>44</v>
      </c>
      <c r="P3947" s="5" t="s">
        <v>44</v>
      </c>
      <c r="Q3947" s="1"/>
      <c r="R3947" s="2"/>
      <c r="S3947" s="6"/>
      <c r="T3947" t="s">
        <v>11031</v>
      </c>
      <c r="U3947" t="s">
        <v>11032</v>
      </c>
      <c r="V3947" t="s">
        <v>45</v>
      </c>
      <c r="W3947" t="s">
        <v>43</v>
      </c>
      <c r="X3947" t="s">
        <v>44</v>
      </c>
      <c r="Y3947" t="s">
        <v>44</v>
      </c>
      <c r="Z3947" t="s">
        <v>44</v>
      </c>
      <c r="AA3947" t="s">
        <v>44</v>
      </c>
      <c r="AB3947" t="s">
        <v>44</v>
      </c>
      <c r="AC3947" s="4"/>
      <c r="AD3947" s="4"/>
      <c r="AE3947" s="2">
        <v>0</v>
      </c>
      <c r="AF3947" s="4">
        <v>0</v>
      </c>
      <c r="AG3947" s="2">
        <v>0</v>
      </c>
      <c r="AH3947" s="2">
        <v>-10173450</v>
      </c>
      <c r="AI3947" s="2">
        <v>-0.02</v>
      </c>
      <c r="AJ3947" s="5">
        <v>44673</v>
      </c>
      <c r="AK3947" t="s">
        <v>12712</v>
      </c>
      <c r="AL3947" s="2">
        <v>0</v>
      </c>
      <c r="AM3947" s="2">
        <v>0</v>
      </c>
      <c r="AN3947" s="2">
        <v>0</v>
      </c>
      <c r="AO3947" t="s">
        <v>44</v>
      </c>
      <c r="AP3947" t="s">
        <v>44</v>
      </c>
      <c r="AQ3947" t="s">
        <v>11182</v>
      </c>
    </row>
  </sheetData>
  <autoFilter ref="A1:AQ3597" xr:uid="{C574B26D-110C-4E08-8BE1-0B36D8E00786}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Delta">
    <tabColor rgb="FFFFC000"/>
  </sheetPr>
  <dimension ref="A1:G260"/>
  <sheetViews>
    <sheetView workbookViewId="0">
      <selection sqref="A1:G1048576"/>
    </sheetView>
  </sheetViews>
  <sheetFormatPr defaultRowHeight="12.75" x14ac:dyDescent="0.2"/>
  <cols>
    <col min="4" max="4" width="9.85546875" bestFit="1" customWidth="1"/>
    <col min="5" max="5" width="9.28515625" bestFit="1" customWidth="1"/>
    <col min="6" max="6" width="13.5703125" bestFit="1" customWidth="1"/>
    <col min="7" max="7" width="14.5703125" bestFit="1" customWidth="1"/>
  </cols>
  <sheetData>
    <row r="1" spans="1:7" ht="15" x14ac:dyDescent="0.25">
      <c r="A1" s="216" t="s">
        <v>0</v>
      </c>
      <c r="B1" s="216" t="s">
        <v>3</v>
      </c>
      <c r="C1" s="216" t="s">
        <v>54</v>
      </c>
      <c r="D1" s="216" t="s">
        <v>10901</v>
      </c>
      <c r="E1" s="216" t="s">
        <v>58</v>
      </c>
      <c r="F1" s="216" t="s">
        <v>59</v>
      </c>
      <c r="G1" s="216" t="s">
        <v>60</v>
      </c>
    </row>
    <row r="2" spans="1:7" x14ac:dyDescent="0.2">
      <c r="A2" t="s">
        <v>11133</v>
      </c>
      <c r="B2" t="s">
        <v>12717</v>
      </c>
      <c r="C2" t="s">
        <v>12717</v>
      </c>
      <c r="D2" s="2">
        <v>-12</v>
      </c>
      <c r="E2" s="158">
        <v>1</v>
      </c>
      <c r="F2" s="2">
        <v>0</v>
      </c>
      <c r="G2" s="2">
        <v>-7913160</v>
      </c>
    </row>
    <row r="3" spans="1:7" x14ac:dyDescent="0.2">
      <c r="A3" t="s">
        <v>11133</v>
      </c>
      <c r="B3" t="s">
        <v>12719</v>
      </c>
      <c r="C3" t="s">
        <v>12719</v>
      </c>
      <c r="D3" s="2">
        <v>21</v>
      </c>
      <c r="E3" s="158">
        <v>0.37165999999999999</v>
      </c>
      <c r="F3" s="2">
        <v>0</v>
      </c>
      <c r="G3" s="2">
        <v>5146819.75</v>
      </c>
    </row>
    <row r="4" spans="1:7" x14ac:dyDescent="0.2">
      <c r="A4" t="s">
        <v>11133</v>
      </c>
      <c r="B4" t="s">
        <v>11151</v>
      </c>
      <c r="C4" t="s">
        <v>11151</v>
      </c>
      <c r="D4" s="2">
        <v>15</v>
      </c>
      <c r="E4" s="158">
        <v>1</v>
      </c>
      <c r="F4" s="2">
        <v>0</v>
      </c>
      <c r="G4" s="2">
        <v>9855600</v>
      </c>
    </row>
    <row r="5" spans="1:7" x14ac:dyDescent="0.2">
      <c r="A5" t="s">
        <v>11133</v>
      </c>
      <c r="B5" t="s">
        <v>12995</v>
      </c>
      <c r="C5" t="s">
        <v>12995</v>
      </c>
      <c r="D5" s="2">
        <v>-4</v>
      </c>
      <c r="E5" s="158">
        <v>-0.30260999999999999</v>
      </c>
      <c r="F5" s="2">
        <v>0</v>
      </c>
      <c r="G5" s="2">
        <v>795312.24</v>
      </c>
    </row>
    <row r="6" spans="1:7" x14ac:dyDescent="0.2">
      <c r="A6" t="s">
        <v>11133</v>
      </c>
      <c r="B6" t="s">
        <v>11155</v>
      </c>
      <c r="C6" t="s">
        <v>11155</v>
      </c>
      <c r="D6" s="2">
        <v>-10</v>
      </c>
      <c r="E6" s="158">
        <v>3.6810000000000002E-2</v>
      </c>
      <c r="F6" s="2">
        <v>0</v>
      </c>
      <c r="G6" s="2">
        <v>-241880.94</v>
      </c>
    </row>
    <row r="7" spans="1:7" x14ac:dyDescent="0.2">
      <c r="A7" t="s">
        <v>11133</v>
      </c>
      <c r="B7" t="s">
        <v>12721</v>
      </c>
      <c r="C7" t="s">
        <v>12721</v>
      </c>
      <c r="D7" s="2">
        <v>0</v>
      </c>
      <c r="E7" s="158">
        <v>4.1410000000000002E-2</v>
      </c>
      <c r="F7" s="2">
        <v>0</v>
      </c>
      <c r="G7" s="2">
        <v>0</v>
      </c>
    </row>
    <row r="8" spans="1:7" x14ac:dyDescent="0.2">
      <c r="A8" t="s">
        <v>11133</v>
      </c>
      <c r="B8" t="s">
        <v>11157</v>
      </c>
      <c r="C8" t="s">
        <v>11157</v>
      </c>
      <c r="D8" s="2">
        <v>-4</v>
      </c>
      <c r="E8" s="158">
        <v>1</v>
      </c>
      <c r="F8" s="2">
        <v>0</v>
      </c>
      <c r="G8" s="2">
        <v>-2629640</v>
      </c>
    </row>
    <row r="9" spans="1:7" x14ac:dyDescent="0.2">
      <c r="A9" t="s">
        <v>11133</v>
      </c>
      <c r="B9" t="s">
        <v>11159</v>
      </c>
      <c r="C9" t="s">
        <v>11159</v>
      </c>
      <c r="D9" s="2">
        <v>0</v>
      </c>
      <c r="E9" s="158">
        <v>0.56030999999999997</v>
      </c>
      <c r="F9" s="2">
        <v>0</v>
      </c>
      <c r="G9" s="2">
        <v>0</v>
      </c>
    </row>
    <row r="10" spans="1:7" x14ac:dyDescent="0.2">
      <c r="A10" t="s">
        <v>11133</v>
      </c>
      <c r="B10" t="s">
        <v>12738</v>
      </c>
      <c r="C10" t="s">
        <v>12738</v>
      </c>
      <c r="D10" s="2">
        <v>11</v>
      </c>
      <c r="E10" s="158">
        <v>0.36059999999999998</v>
      </c>
      <c r="F10" s="2">
        <v>0</v>
      </c>
      <c r="G10" s="2">
        <v>2607657.73</v>
      </c>
    </row>
    <row r="11" spans="1:7" x14ac:dyDescent="0.2">
      <c r="A11" t="s">
        <v>11133</v>
      </c>
      <c r="B11" t="s">
        <v>12722</v>
      </c>
      <c r="C11" t="s">
        <v>12722</v>
      </c>
      <c r="D11" s="2">
        <v>12</v>
      </c>
      <c r="E11" s="158">
        <v>0.3105</v>
      </c>
      <c r="F11" s="2">
        <v>0</v>
      </c>
      <c r="G11" s="2">
        <v>2449487.0099999998</v>
      </c>
    </row>
    <row r="12" spans="1:7" x14ac:dyDescent="0.2">
      <c r="A12" t="s">
        <v>11133</v>
      </c>
      <c r="B12" t="s">
        <v>12996</v>
      </c>
      <c r="C12" t="s">
        <v>12996</v>
      </c>
      <c r="D12" s="2">
        <v>-11</v>
      </c>
      <c r="E12" s="158">
        <v>0.14695</v>
      </c>
      <c r="F12" s="2">
        <v>0</v>
      </c>
      <c r="G12" s="2">
        <v>-1062695.79</v>
      </c>
    </row>
    <row r="13" spans="1:7" x14ac:dyDescent="0.2">
      <c r="A13" t="s">
        <v>11133</v>
      </c>
      <c r="B13" t="s">
        <v>12739</v>
      </c>
      <c r="C13" t="s">
        <v>12739</v>
      </c>
      <c r="D13" s="2">
        <v>-11</v>
      </c>
      <c r="E13" s="158">
        <v>7.553E-2</v>
      </c>
      <c r="F13" s="2">
        <v>0</v>
      </c>
      <c r="G13" s="2">
        <v>-546227.36</v>
      </c>
    </row>
    <row r="14" spans="1:7" x14ac:dyDescent="0.2">
      <c r="A14" t="s">
        <v>11186</v>
      </c>
      <c r="B14" t="s">
        <v>11151</v>
      </c>
      <c r="C14" t="s">
        <v>11151</v>
      </c>
      <c r="D14" s="2">
        <v>24</v>
      </c>
      <c r="E14" s="158">
        <v>1</v>
      </c>
      <c r="F14" s="2">
        <v>0</v>
      </c>
      <c r="G14" s="2">
        <v>15768960</v>
      </c>
    </row>
    <row r="15" spans="1:7" x14ac:dyDescent="0.2">
      <c r="A15" t="s">
        <v>11186</v>
      </c>
      <c r="B15" t="s">
        <v>11157</v>
      </c>
      <c r="C15" t="s">
        <v>11157</v>
      </c>
      <c r="D15" s="2">
        <v>-18</v>
      </c>
      <c r="E15" s="158">
        <v>1</v>
      </c>
      <c r="F15" s="2">
        <v>0</v>
      </c>
      <c r="G15" s="2">
        <v>-11833380</v>
      </c>
    </row>
    <row r="16" spans="1:7" x14ac:dyDescent="0.2">
      <c r="A16" t="s">
        <v>11186</v>
      </c>
      <c r="B16" t="s">
        <v>11159</v>
      </c>
      <c r="C16" t="s">
        <v>11159</v>
      </c>
      <c r="D16" s="2">
        <v>0</v>
      </c>
      <c r="E16" s="158">
        <v>0.56030999999999997</v>
      </c>
      <c r="F16" s="2">
        <v>0</v>
      </c>
      <c r="G16" s="2">
        <v>0</v>
      </c>
    </row>
    <row r="17" spans="1:7" x14ac:dyDescent="0.2">
      <c r="A17" t="s">
        <v>11186</v>
      </c>
      <c r="B17" t="s">
        <v>12738</v>
      </c>
      <c r="C17" t="s">
        <v>12738</v>
      </c>
      <c r="D17" s="2">
        <v>35</v>
      </c>
      <c r="E17" s="158">
        <v>0.36059999999999998</v>
      </c>
      <c r="F17" s="2">
        <v>0</v>
      </c>
      <c r="G17" s="2">
        <v>8297092.7699999996</v>
      </c>
    </row>
    <row r="18" spans="1:7" x14ac:dyDescent="0.2">
      <c r="A18" t="s">
        <v>11186</v>
      </c>
      <c r="B18" t="s">
        <v>12722</v>
      </c>
      <c r="C18" t="s">
        <v>12722</v>
      </c>
      <c r="D18" s="2">
        <v>36</v>
      </c>
      <c r="E18" s="158">
        <v>0.3105</v>
      </c>
      <c r="F18" s="2">
        <v>0</v>
      </c>
      <c r="G18" s="2">
        <v>7348461.04</v>
      </c>
    </row>
    <row r="19" spans="1:7" x14ac:dyDescent="0.2">
      <c r="A19" t="s">
        <v>11186</v>
      </c>
      <c r="B19" t="s">
        <v>12996</v>
      </c>
      <c r="C19" t="s">
        <v>12996</v>
      </c>
      <c r="D19" s="2">
        <v>-35</v>
      </c>
      <c r="E19" s="158">
        <v>0.14695</v>
      </c>
      <c r="F19" s="2">
        <v>0</v>
      </c>
      <c r="G19" s="2">
        <v>-3381304.79</v>
      </c>
    </row>
    <row r="20" spans="1:7" x14ac:dyDescent="0.2">
      <c r="A20" t="s">
        <v>11231</v>
      </c>
      <c r="B20" t="s">
        <v>12717</v>
      </c>
      <c r="C20" t="s">
        <v>12717</v>
      </c>
      <c r="D20" s="2">
        <v>-41</v>
      </c>
      <c r="E20" s="158">
        <v>1</v>
      </c>
      <c r="F20" s="2">
        <v>0</v>
      </c>
      <c r="G20" s="2">
        <v>-27036630</v>
      </c>
    </row>
    <row r="21" spans="1:7" x14ac:dyDescent="0.2">
      <c r="A21" t="s">
        <v>11231</v>
      </c>
      <c r="B21" t="s">
        <v>12719</v>
      </c>
      <c r="C21" t="s">
        <v>12719</v>
      </c>
      <c r="D21" s="2">
        <v>74</v>
      </c>
      <c r="E21" s="158">
        <v>0.37165999999999999</v>
      </c>
      <c r="F21" s="2">
        <v>0</v>
      </c>
      <c r="G21" s="2">
        <v>18136412.460000001</v>
      </c>
    </row>
    <row r="22" spans="1:7" x14ac:dyDescent="0.2">
      <c r="A22" t="s">
        <v>11231</v>
      </c>
      <c r="B22" t="s">
        <v>11151</v>
      </c>
      <c r="C22" t="s">
        <v>11151</v>
      </c>
      <c r="D22" s="2">
        <v>72</v>
      </c>
      <c r="E22" s="158">
        <v>1</v>
      </c>
      <c r="F22" s="2">
        <v>0</v>
      </c>
      <c r="G22" s="2">
        <v>47306880</v>
      </c>
    </row>
    <row r="23" spans="1:7" x14ac:dyDescent="0.2">
      <c r="A23" t="s">
        <v>11231</v>
      </c>
      <c r="B23" t="s">
        <v>12995</v>
      </c>
      <c r="C23" t="s">
        <v>12995</v>
      </c>
      <c r="D23" s="2">
        <v>-25</v>
      </c>
      <c r="E23" s="158">
        <v>-0.30260999999999999</v>
      </c>
      <c r="F23" s="2">
        <v>0</v>
      </c>
      <c r="G23" s="2">
        <v>4970701.49</v>
      </c>
    </row>
    <row r="24" spans="1:7" x14ac:dyDescent="0.2">
      <c r="A24" t="s">
        <v>11231</v>
      </c>
      <c r="B24" t="s">
        <v>11155</v>
      </c>
      <c r="C24" t="s">
        <v>11155</v>
      </c>
      <c r="D24" s="2">
        <v>-50</v>
      </c>
      <c r="E24" s="158">
        <v>3.6810000000000002E-2</v>
      </c>
      <c r="F24" s="2">
        <v>0</v>
      </c>
      <c r="G24" s="2">
        <v>-1209404.68</v>
      </c>
    </row>
    <row r="25" spans="1:7" x14ac:dyDescent="0.2">
      <c r="A25" t="s">
        <v>11231</v>
      </c>
      <c r="B25" t="s">
        <v>12721</v>
      </c>
      <c r="C25" t="s">
        <v>12721</v>
      </c>
      <c r="D25" s="2">
        <v>0</v>
      </c>
      <c r="E25" s="158">
        <v>4.1410000000000002E-2</v>
      </c>
      <c r="F25" s="2">
        <v>0</v>
      </c>
      <c r="G25" s="2">
        <v>0</v>
      </c>
    </row>
    <row r="26" spans="1:7" x14ac:dyDescent="0.2">
      <c r="A26" t="s">
        <v>11231</v>
      </c>
      <c r="B26" t="s">
        <v>11157</v>
      </c>
      <c r="C26" t="s">
        <v>11157</v>
      </c>
      <c r="D26" s="2">
        <v>-28</v>
      </c>
      <c r="E26" s="158">
        <v>1</v>
      </c>
      <c r="F26" s="2">
        <v>0</v>
      </c>
      <c r="G26" s="2">
        <v>-18407480</v>
      </c>
    </row>
    <row r="27" spans="1:7" x14ac:dyDescent="0.2">
      <c r="A27" t="s">
        <v>11231</v>
      </c>
      <c r="B27" t="s">
        <v>11159</v>
      </c>
      <c r="C27" t="s">
        <v>11159</v>
      </c>
      <c r="D27" s="2">
        <v>0</v>
      </c>
      <c r="E27" s="158">
        <v>0.56030999999999997</v>
      </c>
      <c r="F27" s="2">
        <v>0</v>
      </c>
      <c r="G27" s="2">
        <v>0</v>
      </c>
    </row>
    <row r="28" spans="1:7" x14ac:dyDescent="0.2">
      <c r="A28" t="s">
        <v>11231</v>
      </c>
      <c r="B28" t="s">
        <v>12738</v>
      </c>
      <c r="C28" t="s">
        <v>12738</v>
      </c>
      <c r="D28" s="2">
        <v>68</v>
      </c>
      <c r="E28" s="158">
        <v>0.36059999999999998</v>
      </c>
      <c r="F28" s="2">
        <v>0</v>
      </c>
      <c r="G28" s="2">
        <v>16120065.960000001</v>
      </c>
    </row>
    <row r="29" spans="1:7" x14ac:dyDescent="0.2">
      <c r="A29" t="s">
        <v>11231</v>
      </c>
      <c r="B29" t="s">
        <v>12722</v>
      </c>
      <c r="C29" t="s">
        <v>12722</v>
      </c>
      <c r="D29" s="2">
        <v>69</v>
      </c>
      <c r="E29" s="158">
        <v>0.3105</v>
      </c>
      <c r="F29" s="2">
        <v>0</v>
      </c>
      <c r="G29" s="2">
        <v>14084550.33</v>
      </c>
    </row>
    <row r="30" spans="1:7" x14ac:dyDescent="0.2">
      <c r="A30" t="s">
        <v>11231</v>
      </c>
      <c r="B30" t="s">
        <v>12996</v>
      </c>
      <c r="C30" t="s">
        <v>12996</v>
      </c>
      <c r="D30" s="2">
        <v>-49</v>
      </c>
      <c r="E30" s="158">
        <v>0.14695</v>
      </c>
      <c r="F30" s="2">
        <v>0</v>
      </c>
      <c r="G30" s="2">
        <v>-4733826.7</v>
      </c>
    </row>
    <row r="31" spans="1:7" x14ac:dyDescent="0.2">
      <c r="A31" t="s">
        <v>11231</v>
      </c>
      <c r="B31" t="s">
        <v>12739</v>
      </c>
      <c r="C31" t="s">
        <v>12739</v>
      </c>
      <c r="D31" s="2">
        <v>-49</v>
      </c>
      <c r="E31" s="158">
        <v>7.553E-2</v>
      </c>
      <c r="F31" s="2">
        <v>0</v>
      </c>
      <c r="G31" s="2">
        <v>-2433194.62</v>
      </c>
    </row>
    <row r="32" spans="1:7" x14ac:dyDescent="0.2">
      <c r="A32" t="s">
        <v>11240</v>
      </c>
      <c r="B32" t="s">
        <v>12713</v>
      </c>
      <c r="C32" t="s">
        <v>44</v>
      </c>
      <c r="D32" s="2"/>
      <c r="E32" s="158"/>
      <c r="F32" s="2"/>
      <c r="G32" s="2"/>
    </row>
    <row r="33" spans="1:7" x14ac:dyDescent="0.2">
      <c r="A33" t="s">
        <v>11259</v>
      </c>
      <c r="B33" t="s">
        <v>11151</v>
      </c>
      <c r="C33" t="s">
        <v>11151</v>
      </c>
      <c r="D33" s="2">
        <v>128</v>
      </c>
      <c r="E33" s="158">
        <v>1</v>
      </c>
      <c r="F33" s="2">
        <v>0</v>
      </c>
      <c r="G33" s="2">
        <v>84101120</v>
      </c>
    </row>
    <row r="34" spans="1:7" x14ac:dyDescent="0.2">
      <c r="A34" t="s">
        <v>11419</v>
      </c>
      <c r="B34" t="s">
        <v>12713</v>
      </c>
      <c r="C34" t="s">
        <v>44</v>
      </c>
      <c r="D34" s="2"/>
      <c r="E34" s="158"/>
      <c r="F34" s="2"/>
      <c r="G34" s="2"/>
    </row>
    <row r="35" spans="1:7" x14ac:dyDescent="0.2">
      <c r="A35" t="s">
        <v>11428</v>
      </c>
      <c r="B35" t="s">
        <v>12717</v>
      </c>
      <c r="C35" t="s">
        <v>12717</v>
      </c>
      <c r="D35" s="2">
        <v>-60</v>
      </c>
      <c r="E35" s="158">
        <v>1</v>
      </c>
      <c r="F35" s="2">
        <v>0</v>
      </c>
      <c r="G35" s="2">
        <v>-39565800</v>
      </c>
    </row>
    <row r="36" spans="1:7" x14ac:dyDescent="0.2">
      <c r="A36" t="s">
        <v>11428</v>
      </c>
      <c r="B36" t="s">
        <v>12719</v>
      </c>
      <c r="C36" t="s">
        <v>12719</v>
      </c>
      <c r="D36" s="2">
        <v>109</v>
      </c>
      <c r="E36" s="158">
        <v>0.37165999999999999</v>
      </c>
      <c r="F36" s="2">
        <v>0</v>
      </c>
      <c r="G36" s="2">
        <v>26714445.390000001</v>
      </c>
    </row>
    <row r="37" spans="1:7" x14ac:dyDescent="0.2">
      <c r="A37" t="s">
        <v>11428</v>
      </c>
      <c r="B37" t="s">
        <v>11151</v>
      </c>
      <c r="C37" t="s">
        <v>11151</v>
      </c>
      <c r="D37" s="2">
        <v>85</v>
      </c>
      <c r="E37" s="158">
        <v>1</v>
      </c>
      <c r="F37" s="2">
        <v>0</v>
      </c>
      <c r="G37" s="2">
        <v>55848400</v>
      </c>
    </row>
    <row r="38" spans="1:7" x14ac:dyDescent="0.2">
      <c r="A38" t="s">
        <v>11428</v>
      </c>
      <c r="B38" t="s">
        <v>12995</v>
      </c>
      <c r="C38" t="s">
        <v>12995</v>
      </c>
      <c r="D38" s="2">
        <v>-26</v>
      </c>
      <c r="E38" s="158">
        <v>-0.30260999999999999</v>
      </c>
      <c r="F38" s="2">
        <v>0</v>
      </c>
      <c r="G38" s="2">
        <v>5169529.55</v>
      </c>
    </row>
    <row r="39" spans="1:7" x14ac:dyDescent="0.2">
      <c r="A39" t="s">
        <v>11428</v>
      </c>
      <c r="B39" t="s">
        <v>11155</v>
      </c>
      <c r="C39" t="s">
        <v>11155</v>
      </c>
      <c r="D39" s="2">
        <v>-72</v>
      </c>
      <c r="E39" s="158">
        <v>3.6810000000000002E-2</v>
      </c>
      <c r="F39" s="2">
        <v>0</v>
      </c>
      <c r="G39" s="2">
        <v>-1741542.73</v>
      </c>
    </row>
    <row r="40" spans="1:7" x14ac:dyDescent="0.2">
      <c r="A40" t="s">
        <v>11428</v>
      </c>
      <c r="B40" t="s">
        <v>12721</v>
      </c>
      <c r="C40" t="s">
        <v>12721</v>
      </c>
      <c r="D40" s="2">
        <v>0</v>
      </c>
      <c r="E40" s="158">
        <v>4.1410000000000002E-2</v>
      </c>
      <c r="F40" s="2">
        <v>0</v>
      </c>
      <c r="G40" s="2">
        <v>0</v>
      </c>
    </row>
    <row r="41" spans="1:7" x14ac:dyDescent="0.2">
      <c r="A41" t="s">
        <v>11428</v>
      </c>
      <c r="B41" t="s">
        <v>11157</v>
      </c>
      <c r="C41" t="s">
        <v>11157</v>
      </c>
      <c r="D41" s="2">
        <v>-29</v>
      </c>
      <c r="E41" s="158">
        <v>1</v>
      </c>
      <c r="F41" s="2">
        <v>0</v>
      </c>
      <c r="G41" s="2">
        <v>-19064890</v>
      </c>
    </row>
    <row r="42" spans="1:7" x14ac:dyDescent="0.2">
      <c r="A42" t="s">
        <v>11428</v>
      </c>
      <c r="B42" t="s">
        <v>11159</v>
      </c>
      <c r="C42" t="s">
        <v>11159</v>
      </c>
      <c r="D42" s="2">
        <v>0</v>
      </c>
      <c r="E42" s="158">
        <v>0.56030999999999997</v>
      </c>
      <c r="F42" s="2">
        <v>0</v>
      </c>
      <c r="G42" s="2">
        <v>0</v>
      </c>
    </row>
    <row r="43" spans="1:7" x14ac:dyDescent="0.2">
      <c r="A43" t="s">
        <v>11428</v>
      </c>
      <c r="B43" t="s">
        <v>12738</v>
      </c>
      <c r="C43" t="s">
        <v>12738</v>
      </c>
      <c r="D43" s="2">
        <v>77</v>
      </c>
      <c r="E43" s="158">
        <v>0.36059999999999998</v>
      </c>
      <c r="F43" s="2">
        <v>0</v>
      </c>
      <c r="G43" s="2">
        <v>18253604.100000001</v>
      </c>
    </row>
    <row r="44" spans="1:7" x14ac:dyDescent="0.2">
      <c r="A44" t="s">
        <v>11428</v>
      </c>
      <c r="B44" t="s">
        <v>12722</v>
      </c>
      <c r="C44" t="s">
        <v>12722</v>
      </c>
      <c r="D44" s="2">
        <v>78</v>
      </c>
      <c r="E44" s="158">
        <v>0.3105</v>
      </c>
      <c r="F44" s="2">
        <v>0</v>
      </c>
      <c r="G44" s="2">
        <v>15921665.59</v>
      </c>
    </row>
    <row r="45" spans="1:7" x14ac:dyDescent="0.2">
      <c r="A45" t="s">
        <v>11428</v>
      </c>
      <c r="B45" t="s">
        <v>12996</v>
      </c>
      <c r="C45" t="s">
        <v>12996</v>
      </c>
      <c r="D45" s="2">
        <v>-61</v>
      </c>
      <c r="E45" s="158">
        <v>0.14695</v>
      </c>
      <c r="F45" s="2">
        <v>0</v>
      </c>
      <c r="G45" s="2">
        <v>-5893131.2000000002</v>
      </c>
    </row>
    <row r="46" spans="1:7" x14ac:dyDescent="0.2">
      <c r="A46" t="s">
        <v>11428</v>
      </c>
      <c r="B46" t="s">
        <v>12739</v>
      </c>
      <c r="C46" t="s">
        <v>12739</v>
      </c>
      <c r="D46" s="2">
        <v>-62</v>
      </c>
      <c r="E46" s="158">
        <v>7.553E-2</v>
      </c>
      <c r="F46" s="2">
        <v>0</v>
      </c>
      <c r="G46" s="2">
        <v>-3078736.05</v>
      </c>
    </row>
    <row r="47" spans="1:7" x14ac:dyDescent="0.2">
      <c r="A47" t="s">
        <v>11430</v>
      </c>
      <c r="B47" t="s">
        <v>12713</v>
      </c>
      <c r="C47" t="s">
        <v>44</v>
      </c>
      <c r="D47" s="2"/>
      <c r="E47" s="158"/>
      <c r="F47" s="2"/>
      <c r="G47" s="2"/>
    </row>
    <row r="48" spans="1:7" x14ac:dyDescent="0.2">
      <c r="A48" t="s">
        <v>11657</v>
      </c>
      <c r="B48" t="s">
        <v>12713</v>
      </c>
      <c r="C48" t="s">
        <v>44</v>
      </c>
      <c r="D48" s="2"/>
      <c r="E48" s="158"/>
      <c r="F48" s="2"/>
      <c r="G48" s="2"/>
    </row>
    <row r="49" spans="1:7" x14ac:dyDescent="0.2">
      <c r="A49" t="s">
        <v>11749</v>
      </c>
      <c r="B49" t="s">
        <v>11754</v>
      </c>
      <c r="C49" t="s">
        <v>11754</v>
      </c>
      <c r="D49" s="2">
        <v>96</v>
      </c>
      <c r="E49" s="158">
        <v>1</v>
      </c>
      <c r="F49" s="2">
        <v>0</v>
      </c>
      <c r="G49" s="2">
        <v>19211520</v>
      </c>
    </row>
    <row r="50" spans="1:7" x14ac:dyDescent="0.2">
      <c r="A50" t="s">
        <v>11749</v>
      </c>
      <c r="B50" t="s">
        <v>11756</v>
      </c>
      <c r="C50" t="s">
        <v>11756</v>
      </c>
      <c r="D50" s="2">
        <v>30</v>
      </c>
      <c r="E50" s="158">
        <v>1</v>
      </c>
      <c r="F50" s="2">
        <v>0</v>
      </c>
      <c r="G50" s="2">
        <v>8720100</v>
      </c>
    </row>
    <row r="51" spans="1:7" x14ac:dyDescent="0.2">
      <c r="A51" t="s">
        <v>11777</v>
      </c>
      <c r="B51" t="s">
        <v>11151</v>
      </c>
      <c r="C51" t="s">
        <v>11151</v>
      </c>
      <c r="D51" s="2">
        <v>15</v>
      </c>
      <c r="E51" s="158">
        <v>1</v>
      </c>
      <c r="F51" s="2">
        <v>0</v>
      </c>
      <c r="G51" s="2">
        <v>9855600</v>
      </c>
    </row>
    <row r="52" spans="1:7" x14ac:dyDescent="0.2">
      <c r="A52" t="s">
        <v>11777</v>
      </c>
      <c r="B52" t="s">
        <v>11157</v>
      </c>
      <c r="C52" t="s">
        <v>11157</v>
      </c>
      <c r="D52" s="2">
        <v>-11</v>
      </c>
      <c r="E52" s="158">
        <v>1</v>
      </c>
      <c r="F52" s="2">
        <v>0</v>
      </c>
      <c r="G52" s="2">
        <v>-7231510</v>
      </c>
    </row>
    <row r="53" spans="1:7" x14ac:dyDescent="0.2">
      <c r="A53" t="s">
        <v>11777</v>
      </c>
      <c r="B53" t="s">
        <v>11159</v>
      </c>
      <c r="C53" t="s">
        <v>11159</v>
      </c>
      <c r="D53" s="2">
        <v>0</v>
      </c>
      <c r="E53" s="158">
        <v>0.56030999999999997</v>
      </c>
      <c r="F53" s="2">
        <v>0</v>
      </c>
      <c r="G53" s="2">
        <v>0</v>
      </c>
    </row>
    <row r="54" spans="1:7" x14ac:dyDescent="0.2">
      <c r="A54" t="s">
        <v>11777</v>
      </c>
      <c r="B54" t="s">
        <v>12738</v>
      </c>
      <c r="C54" t="s">
        <v>12738</v>
      </c>
      <c r="D54" s="2">
        <v>21</v>
      </c>
      <c r="E54" s="158">
        <v>0.36059999999999998</v>
      </c>
      <c r="F54" s="2">
        <v>0</v>
      </c>
      <c r="G54" s="2">
        <v>4978255.66</v>
      </c>
    </row>
    <row r="55" spans="1:7" x14ac:dyDescent="0.2">
      <c r="A55" t="s">
        <v>11777</v>
      </c>
      <c r="B55" t="s">
        <v>12722</v>
      </c>
      <c r="C55" t="s">
        <v>12722</v>
      </c>
      <c r="D55" s="2">
        <v>22</v>
      </c>
      <c r="E55" s="158">
        <v>0.3105</v>
      </c>
      <c r="F55" s="2">
        <v>0</v>
      </c>
      <c r="G55" s="2">
        <v>4490726.1900000004</v>
      </c>
    </row>
    <row r="56" spans="1:7" x14ac:dyDescent="0.2">
      <c r="A56" t="s">
        <v>11777</v>
      </c>
      <c r="B56" t="s">
        <v>12996</v>
      </c>
      <c r="C56" t="s">
        <v>12996</v>
      </c>
      <c r="D56" s="2">
        <v>-21</v>
      </c>
      <c r="E56" s="158">
        <v>0.14695</v>
      </c>
      <c r="F56" s="2">
        <v>0</v>
      </c>
      <c r="G56" s="2">
        <v>-2028782.87</v>
      </c>
    </row>
    <row r="57" spans="1:7" x14ac:dyDescent="0.2">
      <c r="A57" t="s">
        <v>11779</v>
      </c>
      <c r="B57" t="s">
        <v>12717</v>
      </c>
      <c r="C57" t="s">
        <v>12717</v>
      </c>
      <c r="D57" s="2">
        <v>-82</v>
      </c>
      <c r="E57" s="158">
        <v>1</v>
      </c>
      <c r="F57" s="2">
        <v>0</v>
      </c>
      <c r="G57" s="2">
        <v>-54073260</v>
      </c>
    </row>
    <row r="58" spans="1:7" x14ac:dyDescent="0.2">
      <c r="A58" t="s">
        <v>11779</v>
      </c>
      <c r="B58" t="s">
        <v>12719</v>
      </c>
      <c r="C58" t="s">
        <v>12719</v>
      </c>
      <c r="D58" s="2">
        <v>150</v>
      </c>
      <c r="E58" s="158">
        <v>0.37165999999999999</v>
      </c>
      <c r="F58" s="2">
        <v>0</v>
      </c>
      <c r="G58" s="2">
        <v>36762998.240000002</v>
      </c>
    </row>
    <row r="59" spans="1:7" x14ac:dyDescent="0.2">
      <c r="A59" t="s">
        <v>11779</v>
      </c>
      <c r="B59" t="s">
        <v>11151</v>
      </c>
      <c r="C59" t="s">
        <v>11151</v>
      </c>
      <c r="D59" s="2">
        <v>226</v>
      </c>
      <c r="E59" s="158">
        <v>1</v>
      </c>
      <c r="F59" s="2">
        <v>0</v>
      </c>
      <c r="G59" s="2">
        <v>148491040</v>
      </c>
    </row>
    <row r="60" spans="1:7" x14ac:dyDescent="0.2">
      <c r="A60" t="s">
        <v>11779</v>
      </c>
      <c r="B60" t="s">
        <v>12995</v>
      </c>
      <c r="C60" t="s">
        <v>12995</v>
      </c>
      <c r="D60" s="2">
        <v>-66</v>
      </c>
      <c r="E60" s="158">
        <v>-0.30260999999999999</v>
      </c>
      <c r="F60" s="2">
        <v>0</v>
      </c>
      <c r="G60" s="2">
        <v>13122651.939999999</v>
      </c>
    </row>
    <row r="61" spans="1:7" x14ac:dyDescent="0.2">
      <c r="A61" t="s">
        <v>11779</v>
      </c>
      <c r="B61" t="s">
        <v>11155</v>
      </c>
      <c r="C61" t="s">
        <v>11155</v>
      </c>
      <c r="D61" s="2">
        <v>-90</v>
      </c>
      <c r="E61" s="158">
        <v>3.6810000000000002E-2</v>
      </c>
      <c r="F61" s="2">
        <v>0</v>
      </c>
      <c r="G61" s="2">
        <v>-2176928.42</v>
      </c>
    </row>
    <row r="62" spans="1:7" x14ac:dyDescent="0.2">
      <c r="A62" t="s">
        <v>11779</v>
      </c>
      <c r="B62" t="s">
        <v>12721</v>
      </c>
      <c r="C62" t="s">
        <v>12721</v>
      </c>
      <c r="D62" s="2">
        <v>0</v>
      </c>
      <c r="E62" s="158">
        <v>4.1410000000000002E-2</v>
      </c>
      <c r="F62" s="2">
        <v>0</v>
      </c>
      <c r="G62" s="2">
        <v>0</v>
      </c>
    </row>
    <row r="63" spans="1:7" x14ac:dyDescent="0.2">
      <c r="A63" t="s">
        <v>11779</v>
      </c>
      <c r="B63" t="s">
        <v>11157</v>
      </c>
      <c r="C63" t="s">
        <v>11157</v>
      </c>
      <c r="D63" s="2">
        <v>-91</v>
      </c>
      <c r="E63" s="158">
        <v>1</v>
      </c>
      <c r="F63" s="2">
        <v>0</v>
      </c>
      <c r="G63" s="2">
        <v>-59824310</v>
      </c>
    </row>
    <row r="64" spans="1:7" x14ac:dyDescent="0.2">
      <c r="A64" t="s">
        <v>11779</v>
      </c>
      <c r="B64" t="s">
        <v>11159</v>
      </c>
      <c r="C64" t="s">
        <v>11159</v>
      </c>
      <c r="D64" s="2">
        <v>0</v>
      </c>
      <c r="E64" s="158">
        <v>0.56030999999999997</v>
      </c>
      <c r="F64" s="2">
        <v>0</v>
      </c>
      <c r="G64" s="2">
        <v>0</v>
      </c>
    </row>
    <row r="65" spans="1:7" x14ac:dyDescent="0.2">
      <c r="A65" t="s">
        <v>11779</v>
      </c>
      <c r="B65" t="s">
        <v>12738</v>
      </c>
      <c r="C65" t="s">
        <v>12738</v>
      </c>
      <c r="D65" s="2">
        <v>188</v>
      </c>
      <c r="E65" s="158">
        <v>0.36059999999999998</v>
      </c>
      <c r="F65" s="2">
        <v>0</v>
      </c>
      <c r="G65" s="2">
        <v>44567241.189999998</v>
      </c>
    </row>
    <row r="66" spans="1:7" x14ac:dyDescent="0.2">
      <c r="A66" t="s">
        <v>11779</v>
      </c>
      <c r="B66" t="s">
        <v>12722</v>
      </c>
      <c r="C66" t="s">
        <v>12722</v>
      </c>
      <c r="D66" s="2">
        <v>189</v>
      </c>
      <c r="E66" s="158">
        <v>0.3105</v>
      </c>
      <c r="F66" s="2">
        <v>0</v>
      </c>
      <c r="G66" s="2">
        <v>38579420.469999999</v>
      </c>
    </row>
    <row r="67" spans="1:7" x14ac:dyDescent="0.2">
      <c r="A67" t="s">
        <v>11779</v>
      </c>
      <c r="B67" t="s">
        <v>12996</v>
      </c>
      <c r="C67" t="s">
        <v>12996</v>
      </c>
      <c r="D67" s="2">
        <v>-99</v>
      </c>
      <c r="E67" s="158">
        <v>0.14695</v>
      </c>
      <c r="F67" s="2">
        <v>0</v>
      </c>
      <c r="G67" s="2">
        <v>-9564262.1199999992</v>
      </c>
    </row>
    <row r="68" spans="1:7" x14ac:dyDescent="0.2">
      <c r="A68" t="s">
        <v>11779</v>
      </c>
      <c r="B68" t="s">
        <v>12739</v>
      </c>
      <c r="C68" t="s">
        <v>12739</v>
      </c>
      <c r="D68" s="2">
        <v>-99</v>
      </c>
      <c r="E68" s="158">
        <v>7.553E-2</v>
      </c>
      <c r="F68" s="2">
        <v>0</v>
      </c>
      <c r="G68" s="2">
        <v>-4916046.28</v>
      </c>
    </row>
    <row r="69" spans="1:7" x14ac:dyDescent="0.2">
      <c r="A69" t="s">
        <v>11783</v>
      </c>
      <c r="B69" t="s">
        <v>12713</v>
      </c>
      <c r="C69" t="s">
        <v>44</v>
      </c>
      <c r="D69" s="2"/>
      <c r="E69" s="158"/>
      <c r="F69" s="2"/>
      <c r="G69" s="2"/>
    </row>
    <row r="70" spans="1:7" x14ac:dyDescent="0.2">
      <c r="A70" t="s">
        <v>11911</v>
      </c>
      <c r="B70" t="s">
        <v>12713</v>
      </c>
      <c r="C70" t="s">
        <v>44</v>
      </c>
      <c r="D70" s="2"/>
      <c r="E70" s="158"/>
      <c r="F70" s="2"/>
      <c r="G70" s="2"/>
    </row>
    <row r="71" spans="1:7" x14ac:dyDescent="0.2">
      <c r="A71" t="s">
        <v>11942</v>
      </c>
      <c r="B71" t="s">
        <v>12713</v>
      </c>
      <c r="C71" t="s">
        <v>44</v>
      </c>
      <c r="D71" s="2"/>
      <c r="E71" s="158"/>
      <c r="F71" s="2"/>
      <c r="G71" s="2"/>
    </row>
    <row r="72" spans="1:7" x14ac:dyDescent="0.2">
      <c r="A72" t="s">
        <v>11944</v>
      </c>
      <c r="B72" t="s">
        <v>11151</v>
      </c>
      <c r="C72" t="s">
        <v>11151</v>
      </c>
      <c r="D72" s="2">
        <v>23</v>
      </c>
      <c r="E72" s="158">
        <v>1</v>
      </c>
      <c r="F72" s="2">
        <v>0</v>
      </c>
      <c r="G72" s="2">
        <v>15111920</v>
      </c>
    </row>
    <row r="73" spans="1:7" x14ac:dyDescent="0.2">
      <c r="A73" t="s">
        <v>11944</v>
      </c>
      <c r="B73" t="s">
        <v>11157</v>
      </c>
      <c r="C73" t="s">
        <v>11157</v>
      </c>
      <c r="D73" s="2">
        <v>-17</v>
      </c>
      <c r="E73" s="158">
        <v>1</v>
      </c>
      <c r="F73" s="2">
        <v>0</v>
      </c>
      <c r="G73" s="2">
        <v>-11175970</v>
      </c>
    </row>
    <row r="74" spans="1:7" x14ac:dyDescent="0.2">
      <c r="A74" t="s">
        <v>11944</v>
      </c>
      <c r="B74" t="s">
        <v>11159</v>
      </c>
      <c r="C74" t="s">
        <v>11159</v>
      </c>
      <c r="D74" s="2">
        <v>0</v>
      </c>
      <c r="E74" s="158">
        <v>0.56030999999999997</v>
      </c>
      <c r="F74" s="2">
        <v>0</v>
      </c>
      <c r="G74" s="2">
        <v>0</v>
      </c>
    </row>
    <row r="75" spans="1:7" x14ac:dyDescent="0.2">
      <c r="A75" t="s">
        <v>11944</v>
      </c>
      <c r="B75" t="s">
        <v>12738</v>
      </c>
      <c r="C75" t="s">
        <v>12738</v>
      </c>
      <c r="D75" s="2">
        <v>34</v>
      </c>
      <c r="E75" s="158">
        <v>0.36059999999999998</v>
      </c>
      <c r="F75" s="2">
        <v>0</v>
      </c>
      <c r="G75" s="2">
        <v>8060032.9800000004</v>
      </c>
    </row>
    <row r="76" spans="1:7" x14ac:dyDescent="0.2">
      <c r="A76" t="s">
        <v>11944</v>
      </c>
      <c r="B76" t="s">
        <v>12722</v>
      </c>
      <c r="C76" t="s">
        <v>12722</v>
      </c>
      <c r="D76" s="2">
        <v>34</v>
      </c>
      <c r="E76" s="158">
        <v>0.3105</v>
      </c>
      <c r="F76" s="2">
        <v>0</v>
      </c>
      <c r="G76" s="2">
        <v>6940213.21</v>
      </c>
    </row>
    <row r="77" spans="1:7" x14ac:dyDescent="0.2">
      <c r="A77" t="s">
        <v>11944</v>
      </c>
      <c r="B77" t="s">
        <v>12996</v>
      </c>
      <c r="C77" t="s">
        <v>12996</v>
      </c>
      <c r="D77" s="2">
        <v>-34</v>
      </c>
      <c r="E77" s="158">
        <v>0.14695</v>
      </c>
      <c r="F77" s="2">
        <v>0</v>
      </c>
      <c r="G77" s="2">
        <v>-3284696.08</v>
      </c>
    </row>
    <row r="78" spans="1:7" x14ac:dyDescent="0.2">
      <c r="A78" t="s">
        <v>11946</v>
      </c>
      <c r="B78" t="s">
        <v>12717</v>
      </c>
      <c r="C78" t="s">
        <v>12717</v>
      </c>
      <c r="D78" s="2">
        <v>-40</v>
      </c>
      <c r="E78" s="158">
        <v>1</v>
      </c>
      <c r="F78" s="2">
        <v>0</v>
      </c>
      <c r="G78" s="2">
        <v>-26377200</v>
      </c>
    </row>
    <row r="79" spans="1:7" x14ac:dyDescent="0.2">
      <c r="A79" t="s">
        <v>11946</v>
      </c>
      <c r="B79" t="s">
        <v>12719</v>
      </c>
      <c r="C79" t="s">
        <v>12719</v>
      </c>
      <c r="D79" s="2">
        <v>73</v>
      </c>
      <c r="E79" s="158">
        <v>0.37165999999999999</v>
      </c>
      <c r="F79" s="2">
        <v>0</v>
      </c>
      <c r="G79" s="2">
        <v>17891325.809999999</v>
      </c>
    </row>
    <row r="80" spans="1:7" x14ac:dyDescent="0.2">
      <c r="A80" t="s">
        <v>11946</v>
      </c>
      <c r="B80" t="s">
        <v>11151</v>
      </c>
      <c r="C80" t="s">
        <v>11151</v>
      </c>
      <c r="D80" s="2">
        <v>62</v>
      </c>
      <c r="E80" s="158">
        <v>1</v>
      </c>
      <c r="F80" s="2">
        <v>0</v>
      </c>
      <c r="G80" s="2">
        <v>40736480</v>
      </c>
    </row>
    <row r="81" spans="1:7" x14ac:dyDescent="0.2">
      <c r="A81" t="s">
        <v>11946</v>
      </c>
      <c r="B81" t="s">
        <v>12995</v>
      </c>
      <c r="C81" t="s">
        <v>12995</v>
      </c>
      <c r="D81" s="2">
        <v>-20</v>
      </c>
      <c r="E81" s="158">
        <v>-0.30260999999999999</v>
      </c>
      <c r="F81" s="2">
        <v>0</v>
      </c>
      <c r="G81" s="2">
        <v>3976561.19</v>
      </c>
    </row>
    <row r="82" spans="1:7" x14ac:dyDescent="0.2">
      <c r="A82" t="s">
        <v>11946</v>
      </c>
      <c r="B82" t="s">
        <v>11155</v>
      </c>
      <c r="C82" t="s">
        <v>11155</v>
      </c>
      <c r="D82" s="2">
        <v>-40</v>
      </c>
      <c r="E82" s="158">
        <v>3.6810000000000002E-2</v>
      </c>
      <c r="F82" s="2">
        <v>0</v>
      </c>
      <c r="G82" s="2">
        <v>-967523.74</v>
      </c>
    </row>
    <row r="83" spans="1:7" x14ac:dyDescent="0.2">
      <c r="A83" t="s">
        <v>11946</v>
      </c>
      <c r="B83" t="s">
        <v>12721</v>
      </c>
      <c r="C83" t="s">
        <v>12721</v>
      </c>
      <c r="D83" s="2">
        <v>0</v>
      </c>
      <c r="E83" s="158">
        <v>4.1410000000000002E-2</v>
      </c>
      <c r="F83" s="2">
        <v>0</v>
      </c>
      <c r="G83" s="2">
        <v>0</v>
      </c>
    </row>
    <row r="84" spans="1:7" x14ac:dyDescent="0.2">
      <c r="A84" t="s">
        <v>11946</v>
      </c>
      <c r="B84" t="s">
        <v>11157</v>
      </c>
      <c r="C84" t="s">
        <v>11157</v>
      </c>
      <c r="D84" s="2">
        <v>-15</v>
      </c>
      <c r="E84" s="158">
        <v>1</v>
      </c>
      <c r="F84" s="2">
        <v>0</v>
      </c>
      <c r="G84" s="2">
        <v>-9861150</v>
      </c>
    </row>
    <row r="85" spans="1:7" x14ac:dyDescent="0.2">
      <c r="A85" t="s">
        <v>11946</v>
      </c>
      <c r="B85" t="s">
        <v>11159</v>
      </c>
      <c r="C85" t="s">
        <v>11159</v>
      </c>
      <c r="D85" s="2">
        <v>0</v>
      </c>
      <c r="E85" s="158">
        <v>0.56030999999999997</v>
      </c>
      <c r="F85" s="2">
        <v>0</v>
      </c>
      <c r="G85" s="2">
        <v>0</v>
      </c>
    </row>
    <row r="86" spans="1:7" x14ac:dyDescent="0.2">
      <c r="A86" t="s">
        <v>11946</v>
      </c>
      <c r="B86" t="s">
        <v>12738</v>
      </c>
      <c r="C86" t="s">
        <v>12738</v>
      </c>
      <c r="D86" s="2">
        <v>42</v>
      </c>
      <c r="E86" s="158">
        <v>0.36059999999999998</v>
      </c>
      <c r="F86" s="2">
        <v>0</v>
      </c>
      <c r="G86" s="2">
        <v>9956511.3300000001</v>
      </c>
    </row>
    <row r="87" spans="1:7" x14ac:dyDescent="0.2">
      <c r="A87" t="s">
        <v>11946</v>
      </c>
      <c r="B87" t="s">
        <v>12722</v>
      </c>
      <c r="C87" t="s">
        <v>12722</v>
      </c>
      <c r="D87" s="2">
        <v>43</v>
      </c>
      <c r="E87" s="158">
        <v>0.3105</v>
      </c>
      <c r="F87" s="2">
        <v>0</v>
      </c>
      <c r="G87" s="2">
        <v>8777328.4700000007</v>
      </c>
    </row>
    <row r="88" spans="1:7" x14ac:dyDescent="0.2">
      <c r="A88" t="s">
        <v>11946</v>
      </c>
      <c r="B88" t="s">
        <v>12996</v>
      </c>
      <c r="C88" t="s">
        <v>12996</v>
      </c>
      <c r="D88" s="2">
        <v>-38</v>
      </c>
      <c r="E88" s="158">
        <v>0.14695</v>
      </c>
      <c r="F88" s="2">
        <v>0</v>
      </c>
      <c r="G88" s="2">
        <v>-3671130.91</v>
      </c>
    </row>
    <row r="89" spans="1:7" x14ac:dyDescent="0.2">
      <c r="A89" t="s">
        <v>11946</v>
      </c>
      <c r="B89" t="s">
        <v>12739</v>
      </c>
      <c r="C89" t="s">
        <v>12739</v>
      </c>
      <c r="D89" s="2">
        <v>-38</v>
      </c>
      <c r="E89" s="158">
        <v>7.553E-2</v>
      </c>
      <c r="F89" s="2">
        <v>0</v>
      </c>
      <c r="G89" s="2">
        <v>-1886967.26</v>
      </c>
    </row>
    <row r="90" spans="1:7" x14ac:dyDescent="0.2">
      <c r="A90" t="s">
        <v>11952</v>
      </c>
      <c r="B90" t="s">
        <v>12717</v>
      </c>
      <c r="C90" t="s">
        <v>12717</v>
      </c>
      <c r="D90" s="2">
        <v>-50</v>
      </c>
      <c r="E90" s="158">
        <v>1</v>
      </c>
      <c r="F90" s="2">
        <v>0</v>
      </c>
      <c r="G90" s="2">
        <v>-32971500</v>
      </c>
    </row>
    <row r="91" spans="1:7" x14ac:dyDescent="0.2">
      <c r="A91" t="s">
        <v>11952</v>
      </c>
      <c r="B91" t="s">
        <v>12719</v>
      </c>
      <c r="C91" t="s">
        <v>12719</v>
      </c>
      <c r="D91" s="2">
        <v>92</v>
      </c>
      <c r="E91" s="158">
        <v>0.37165999999999999</v>
      </c>
      <c r="F91" s="2">
        <v>0</v>
      </c>
      <c r="G91" s="2">
        <v>22547972.25</v>
      </c>
    </row>
    <row r="92" spans="1:7" x14ac:dyDescent="0.2">
      <c r="A92" t="s">
        <v>11952</v>
      </c>
      <c r="B92" t="s">
        <v>11151</v>
      </c>
      <c r="C92" t="s">
        <v>11151</v>
      </c>
      <c r="D92" s="2">
        <v>90</v>
      </c>
      <c r="E92" s="158">
        <v>1</v>
      </c>
      <c r="F92" s="2">
        <v>0</v>
      </c>
      <c r="G92" s="2">
        <v>59133600</v>
      </c>
    </row>
    <row r="93" spans="1:7" x14ac:dyDescent="0.2">
      <c r="A93" t="s">
        <v>11952</v>
      </c>
      <c r="B93" t="s">
        <v>12995</v>
      </c>
      <c r="C93" t="s">
        <v>12995</v>
      </c>
      <c r="D93" s="2">
        <v>-30</v>
      </c>
      <c r="E93" s="158">
        <v>-0.30260999999999999</v>
      </c>
      <c r="F93" s="2">
        <v>0</v>
      </c>
      <c r="G93" s="2">
        <v>5964841.79</v>
      </c>
    </row>
    <row r="94" spans="1:7" x14ac:dyDescent="0.2">
      <c r="A94" t="s">
        <v>11952</v>
      </c>
      <c r="B94" t="s">
        <v>11155</v>
      </c>
      <c r="C94" t="s">
        <v>11155</v>
      </c>
      <c r="D94" s="2">
        <v>-70</v>
      </c>
      <c r="E94" s="158">
        <v>3.6810000000000002E-2</v>
      </c>
      <c r="F94" s="2">
        <v>0</v>
      </c>
      <c r="G94" s="2">
        <v>-1693166.55</v>
      </c>
    </row>
    <row r="95" spans="1:7" x14ac:dyDescent="0.2">
      <c r="A95" t="s">
        <v>11952</v>
      </c>
      <c r="B95" t="s">
        <v>12721</v>
      </c>
      <c r="C95" t="s">
        <v>12721</v>
      </c>
      <c r="D95" s="2">
        <v>0</v>
      </c>
      <c r="E95" s="158">
        <v>4.1410000000000002E-2</v>
      </c>
      <c r="F95" s="2">
        <v>0</v>
      </c>
      <c r="G95" s="2">
        <v>0</v>
      </c>
    </row>
    <row r="96" spans="1:7" x14ac:dyDescent="0.2">
      <c r="A96" t="s">
        <v>11952</v>
      </c>
      <c r="B96" t="s">
        <v>11157</v>
      </c>
      <c r="C96" t="s">
        <v>11157</v>
      </c>
      <c r="D96" s="2">
        <v>-35</v>
      </c>
      <c r="E96" s="158">
        <v>1</v>
      </c>
      <c r="F96" s="2">
        <v>0</v>
      </c>
      <c r="G96" s="2">
        <v>-23009350</v>
      </c>
    </row>
    <row r="97" spans="1:7" x14ac:dyDescent="0.2">
      <c r="A97" t="s">
        <v>11952</v>
      </c>
      <c r="B97" t="s">
        <v>11159</v>
      </c>
      <c r="C97" t="s">
        <v>11159</v>
      </c>
      <c r="D97" s="2">
        <v>0</v>
      </c>
      <c r="E97" s="158">
        <v>0.56030999999999997</v>
      </c>
      <c r="F97" s="2">
        <v>0</v>
      </c>
      <c r="G97" s="2">
        <v>0</v>
      </c>
    </row>
    <row r="98" spans="1:7" x14ac:dyDescent="0.2">
      <c r="A98" t="s">
        <v>11952</v>
      </c>
      <c r="B98" t="s">
        <v>12738</v>
      </c>
      <c r="C98" t="s">
        <v>12738</v>
      </c>
      <c r="D98" s="2">
        <v>86</v>
      </c>
      <c r="E98" s="158">
        <v>0.36059999999999998</v>
      </c>
      <c r="F98" s="2">
        <v>0</v>
      </c>
      <c r="G98" s="2">
        <v>20387142.25</v>
      </c>
    </row>
    <row r="99" spans="1:7" x14ac:dyDescent="0.2">
      <c r="A99" t="s">
        <v>11952</v>
      </c>
      <c r="B99" t="s">
        <v>12722</v>
      </c>
      <c r="C99" t="s">
        <v>12722</v>
      </c>
      <c r="D99" s="2">
        <v>86</v>
      </c>
      <c r="E99" s="158">
        <v>0.3105</v>
      </c>
      <c r="F99" s="2">
        <v>0</v>
      </c>
      <c r="G99" s="2">
        <v>17554656.93</v>
      </c>
    </row>
    <row r="100" spans="1:7" x14ac:dyDescent="0.2">
      <c r="A100" t="s">
        <v>11952</v>
      </c>
      <c r="B100" t="s">
        <v>12996</v>
      </c>
      <c r="C100" t="s">
        <v>12996</v>
      </c>
      <c r="D100" s="2">
        <v>-60</v>
      </c>
      <c r="E100" s="158">
        <v>0.14695</v>
      </c>
      <c r="F100" s="2">
        <v>0</v>
      </c>
      <c r="G100" s="2">
        <v>-5796522.5</v>
      </c>
    </row>
    <row r="101" spans="1:7" x14ac:dyDescent="0.2">
      <c r="A101" t="s">
        <v>11952</v>
      </c>
      <c r="B101" t="s">
        <v>12739</v>
      </c>
      <c r="C101" t="s">
        <v>12739</v>
      </c>
      <c r="D101" s="2">
        <v>-61</v>
      </c>
      <c r="E101" s="158">
        <v>7.553E-2</v>
      </c>
      <c r="F101" s="2">
        <v>0</v>
      </c>
      <c r="G101" s="2">
        <v>-3029079.02</v>
      </c>
    </row>
    <row r="102" spans="1:7" x14ac:dyDescent="0.2">
      <c r="A102" t="s">
        <v>11954</v>
      </c>
      <c r="B102" t="s">
        <v>12713</v>
      </c>
      <c r="C102" t="s">
        <v>44</v>
      </c>
      <c r="D102" s="2"/>
      <c r="E102" s="158"/>
      <c r="F102" s="2"/>
      <c r="G102" s="2"/>
    </row>
    <row r="103" spans="1:7" x14ac:dyDescent="0.2">
      <c r="A103" t="s">
        <v>11984</v>
      </c>
      <c r="B103" t="s">
        <v>11988</v>
      </c>
      <c r="C103" t="s">
        <v>11988</v>
      </c>
      <c r="D103" s="2">
        <v>889</v>
      </c>
      <c r="E103" s="158">
        <v>1</v>
      </c>
      <c r="F103" s="2">
        <v>0</v>
      </c>
      <c r="G103" s="2">
        <v>599479.37</v>
      </c>
    </row>
    <row r="104" spans="1:7" x14ac:dyDescent="0.2">
      <c r="A104" t="s">
        <v>11984</v>
      </c>
      <c r="B104" t="s">
        <v>11990</v>
      </c>
      <c r="C104" t="s">
        <v>11990</v>
      </c>
      <c r="D104" s="2">
        <v>5041</v>
      </c>
      <c r="E104" s="158">
        <v>1</v>
      </c>
      <c r="F104" s="2">
        <v>0</v>
      </c>
      <c r="G104" s="2">
        <v>3401364.34</v>
      </c>
    </row>
    <row r="105" spans="1:7" x14ac:dyDescent="0.2">
      <c r="A105" t="s">
        <v>11984</v>
      </c>
      <c r="B105" t="s">
        <v>11992</v>
      </c>
      <c r="C105" t="s">
        <v>11992</v>
      </c>
      <c r="D105" s="2">
        <v>591</v>
      </c>
      <c r="E105" s="158">
        <v>1</v>
      </c>
      <c r="F105" s="2">
        <v>0</v>
      </c>
      <c r="G105" s="2">
        <v>755558.04</v>
      </c>
    </row>
    <row r="106" spans="1:7" x14ac:dyDescent="0.2">
      <c r="A106" t="s">
        <v>11984</v>
      </c>
      <c r="B106" t="s">
        <v>11994</v>
      </c>
      <c r="C106" t="s">
        <v>11994</v>
      </c>
      <c r="D106" s="2">
        <v>3349</v>
      </c>
      <c r="E106" s="158">
        <v>1</v>
      </c>
      <c r="F106" s="2">
        <v>0</v>
      </c>
      <c r="G106" s="2">
        <v>4281495.5599999996</v>
      </c>
    </row>
    <row r="107" spans="1:7" x14ac:dyDescent="0.2">
      <c r="A107" t="s">
        <v>11984</v>
      </c>
      <c r="B107" t="s">
        <v>11151</v>
      </c>
      <c r="C107" t="s">
        <v>11151</v>
      </c>
      <c r="D107" s="2">
        <v>9</v>
      </c>
      <c r="E107" s="158">
        <v>1</v>
      </c>
      <c r="F107" s="2">
        <v>0</v>
      </c>
      <c r="G107" s="2">
        <v>5913360</v>
      </c>
    </row>
    <row r="108" spans="1:7" x14ac:dyDescent="0.2">
      <c r="A108" t="s">
        <v>11984</v>
      </c>
      <c r="B108" t="s">
        <v>11754</v>
      </c>
      <c r="C108" t="s">
        <v>11754</v>
      </c>
      <c r="D108" s="2">
        <v>24</v>
      </c>
      <c r="E108" s="158">
        <v>1</v>
      </c>
      <c r="F108" s="2">
        <v>0</v>
      </c>
      <c r="G108" s="2">
        <v>4802880</v>
      </c>
    </row>
    <row r="109" spans="1:7" x14ac:dyDescent="0.2">
      <c r="A109" t="s">
        <v>11984</v>
      </c>
      <c r="B109" t="s">
        <v>11986</v>
      </c>
      <c r="C109" t="s">
        <v>11987</v>
      </c>
      <c r="D109" s="2">
        <v>29</v>
      </c>
      <c r="E109" s="158">
        <v>1</v>
      </c>
      <c r="F109" s="2">
        <v>0</v>
      </c>
      <c r="G109" s="2">
        <v>2397695.9300000002</v>
      </c>
    </row>
    <row r="110" spans="1:7" x14ac:dyDescent="0.2">
      <c r="A110" t="s">
        <v>12009</v>
      </c>
      <c r="B110" t="s">
        <v>12713</v>
      </c>
      <c r="C110" t="s">
        <v>44</v>
      </c>
      <c r="D110" s="2"/>
      <c r="E110" s="158"/>
      <c r="F110" s="2"/>
      <c r="G110" s="2"/>
    </row>
    <row r="111" spans="1:7" x14ac:dyDescent="0.2">
      <c r="A111" t="s">
        <v>12013</v>
      </c>
      <c r="B111" t="s">
        <v>12713</v>
      </c>
      <c r="C111" t="s">
        <v>44</v>
      </c>
      <c r="D111" s="2"/>
      <c r="E111" s="158"/>
      <c r="F111" s="2"/>
      <c r="G111" s="2"/>
    </row>
    <row r="112" spans="1:7" x14ac:dyDescent="0.2">
      <c r="A112" t="s">
        <v>12997</v>
      </c>
      <c r="B112" t="s">
        <v>12713</v>
      </c>
      <c r="C112" t="s">
        <v>44</v>
      </c>
      <c r="D112" s="2"/>
      <c r="E112" s="158"/>
      <c r="F112" s="2"/>
      <c r="G112" s="2"/>
    </row>
    <row r="113" spans="1:7" x14ac:dyDescent="0.2">
      <c r="A113" t="s">
        <v>12071</v>
      </c>
      <c r="B113" t="s">
        <v>12075</v>
      </c>
      <c r="C113" t="s">
        <v>12075</v>
      </c>
      <c r="D113" s="2">
        <v>-62893</v>
      </c>
      <c r="E113" s="158">
        <v>1</v>
      </c>
      <c r="F113" s="2">
        <v>0</v>
      </c>
      <c r="G113" s="2">
        <v>-987967269.10000002</v>
      </c>
    </row>
    <row r="114" spans="1:7" x14ac:dyDescent="0.2">
      <c r="A114" t="s">
        <v>12071</v>
      </c>
      <c r="B114" t="s">
        <v>12077</v>
      </c>
      <c r="C114" t="s">
        <v>12077</v>
      </c>
      <c r="D114" s="2">
        <v>-22090</v>
      </c>
      <c r="E114" s="158">
        <v>-4.9119999999999997E-2</v>
      </c>
      <c r="F114" s="2">
        <v>0</v>
      </c>
      <c r="G114" s="2">
        <v>17044560.530000001</v>
      </c>
    </row>
    <row r="115" spans="1:7" x14ac:dyDescent="0.2">
      <c r="A115" t="s">
        <v>12071</v>
      </c>
      <c r="B115" t="s">
        <v>12080</v>
      </c>
      <c r="C115" t="s">
        <v>12080</v>
      </c>
      <c r="D115" s="2">
        <v>22090</v>
      </c>
      <c r="E115" s="158">
        <v>-0.38973999999999998</v>
      </c>
      <c r="F115" s="2">
        <v>0</v>
      </c>
      <c r="G115" s="2">
        <v>-135240561.75999999</v>
      </c>
    </row>
    <row r="116" spans="1:7" x14ac:dyDescent="0.2">
      <c r="A116" t="s">
        <v>12071</v>
      </c>
      <c r="B116" t="s">
        <v>12082</v>
      </c>
      <c r="C116" t="s">
        <v>12082</v>
      </c>
      <c r="D116" s="2">
        <v>-22090</v>
      </c>
      <c r="E116" s="158">
        <v>2.6429999999999999E-2</v>
      </c>
      <c r="F116" s="2">
        <v>0</v>
      </c>
      <c r="G116" s="2">
        <v>-9171292.3499999996</v>
      </c>
    </row>
    <row r="117" spans="1:7" x14ac:dyDescent="0.2">
      <c r="A117" t="s">
        <v>12071</v>
      </c>
      <c r="B117" t="s">
        <v>11754</v>
      </c>
      <c r="C117" t="s">
        <v>11754</v>
      </c>
      <c r="D117" s="2">
        <v>3143</v>
      </c>
      <c r="E117" s="158">
        <v>1</v>
      </c>
      <c r="F117" s="2">
        <v>0</v>
      </c>
      <c r="G117" s="2">
        <v>628977160</v>
      </c>
    </row>
    <row r="118" spans="1:7" x14ac:dyDescent="0.2">
      <c r="A118" t="s">
        <v>12071</v>
      </c>
      <c r="B118" t="s">
        <v>11756</v>
      </c>
      <c r="C118" t="s">
        <v>11756</v>
      </c>
      <c r="D118" s="2">
        <v>626</v>
      </c>
      <c r="E118" s="158">
        <v>1</v>
      </c>
      <c r="F118" s="2">
        <v>0</v>
      </c>
      <c r="G118" s="2">
        <v>181959420</v>
      </c>
    </row>
    <row r="119" spans="1:7" x14ac:dyDescent="0.2">
      <c r="A119" t="s">
        <v>12088</v>
      </c>
      <c r="B119" t="s">
        <v>12713</v>
      </c>
      <c r="C119" t="s">
        <v>44</v>
      </c>
      <c r="D119" s="2"/>
      <c r="E119" s="158"/>
      <c r="F119" s="2"/>
      <c r="G119" s="2"/>
    </row>
    <row r="120" spans="1:7" x14ac:dyDescent="0.2">
      <c r="A120" t="s">
        <v>12093</v>
      </c>
      <c r="B120" t="s">
        <v>11151</v>
      </c>
      <c r="C120" t="s">
        <v>11151</v>
      </c>
      <c r="D120" s="2">
        <v>152</v>
      </c>
      <c r="E120" s="158">
        <v>1</v>
      </c>
      <c r="F120" s="2">
        <v>0</v>
      </c>
      <c r="G120" s="2">
        <v>99870080</v>
      </c>
    </row>
    <row r="121" spans="1:7" x14ac:dyDescent="0.2">
      <c r="A121" t="s">
        <v>12108</v>
      </c>
      <c r="B121" t="s">
        <v>12717</v>
      </c>
      <c r="C121" t="s">
        <v>12717</v>
      </c>
      <c r="D121" s="2">
        <v>-169</v>
      </c>
      <c r="E121" s="158">
        <v>1</v>
      </c>
      <c r="F121" s="2">
        <v>0</v>
      </c>
      <c r="G121" s="2">
        <v>-111443670</v>
      </c>
    </row>
    <row r="122" spans="1:7" x14ac:dyDescent="0.2">
      <c r="A122" t="s">
        <v>12108</v>
      </c>
      <c r="B122" t="s">
        <v>12719</v>
      </c>
      <c r="C122" t="s">
        <v>12719</v>
      </c>
      <c r="D122" s="2">
        <v>309</v>
      </c>
      <c r="E122" s="158">
        <v>0.37165999999999999</v>
      </c>
      <c r="F122" s="2">
        <v>0</v>
      </c>
      <c r="G122" s="2">
        <v>75731776.370000005</v>
      </c>
    </row>
    <row r="123" spans="1:7" x14ac:dyDescent="0.2">
      <c r="A123" t="s">
        <v>12108</v>
      </c>
      <c r="B123" t="s">
        <v>11151</v>
      </c>
      <c r="C123" t="s">
        <v>11151</v>
      </c>
      <c r="D123" s="2">
        <v>235</v>
      </c>
      <c r="E123" s="158">
        <v>1</v>
      </c>
      <c r="F123" s="2">
        <v>0</v>
      </c>
      <c r="G123" s="2">
        <v>154404400</v>
      </c>
    </row>
    <row r="124" spans="1:7" x14ac:dyDescent="0.2">
      <c r="A124" t="s">
        <v>12108</v>
      </c>
      <c r="B124" t="s">
        <v>12995</v>
      </c>
      <c r="C124" t="s">
        <v>12995</v>
      </c>
      <c r="D124" s="2">
        <v>-71</v>
      </c>
      <c r="E124" s="158">
        <v>-0.30260999999999999</v>
      </c>
      <c r="F124" s="2">
        <v>0</v>
      </c>
      <c r="G124" s="2">
        <v>14116792.24</v>
      </c>
    </row>
    <row r="125" spans="1:7" x14ac:dyDescent="0.2">
      <c r="A125" t="s">
        <v>12108</v>
      </c>
      <c r="B125" t="s">
        <v>11155</v>
      </c>
      <c r="C125" t="s">
        <v>11155</v>
      </c>
      <c r="D125" s="2">
        <v>-175</v>
      </c>
      <c r="E125" s="158">
        <v>3.6810000000000002E-2</v>
      </c>
      <c r="F125" s="2">
        <v>0</v>
      </c>
      <c r="G125" s="2">
        <v>-4232916.37</v>
      </c>
    </row>
    <row r="126" spans="1:7" x14ac:dyDescent="0.2">
      <c r="A126" t="s">
        <v>12108</v>
      </c>
      <c r="B126" t="s">
        <v>12721</v>
      </c>
      <c r="C126" t="s">
        <v>12721</v>
      </c>
      <c r="D126" s="2">
        <v>0</v>
      </c>
      <c r="E126" s="158">
        <v>4.1410000000000002E-2</v>
      </c>
      <c r="F126" s="2">
        <v>0</v>
      </c>
      <c r="G126" s="2">
        <v>0</v>
      </c>
    </row>
    <row r="127" spans="1:7" x14ac:dyDescent="0.2">
      <c r="A127" t="s">
        <v>12108</v>
      </c>
      <c r="B127" t="s">
        <v>11157</v>
      </c>
      <c r="C127" t="s">
        <v>11157</v>
      </c>
      <c r="D127" s="2">
        <v>-67</v>
      </c>
      <c r="E127" s="158">
        <v>1</v>
      </c>
      <c r="F127" s="2">
        <v>0</v>
      </c>
      <c r="G127" s="2">
        <v>-44046470</v>
      </c>
    </row>
    <row r="128" spans="1:7" x14ac:dyDescent="0.2">
      <c r="A128" t="s">
        <v>12108</v>
      </c>
      <c r="B128" t="s">
        <v>11159</v>
      </c>
      <c r="C128" t="s">
        <v>11159</v>
      </c>
      <c r="D128" s="2">
        <v>0</v>
      </c>
      <c r="E128" s="158">
        <v>0.56030999999999997</v>
      </c>
      <c r="F128" s="2">
        <v>0</v>
      </c>
      <c r="G128" s="2">
        <v>0</v>
      </c>
    </row>
    <row r="129" spans="1:7" x14ac:dyDescent="0.2">
      <c r="A129" t="s">
        <v>12108</v>
      </c>
      <c r="B129" t="s">
        <v>12738</v>
      </c>
      <c r="C129" t="s">
        <v>12738</v>
      </c>
      <c r="D129" s="2">
        <v>195</v>
      </c>
      <c r="E129" s="158">
        <v>0.36059999999999998</v>
      </c>
      <c r="F129" s="2">
        <v>0</v>
      </c>
      <c r="G129" s="2">
        <v>46226659.740000002</v>
      </c>
    </row>
    <row r="130" spans="1:7" x14ac:dyDescent="0.2">
      <c r="A130" t="s">
        <v>12108</v>
      </c>
      <c r="B130" t="s">
        <v>12722</v>
      </c>
      <c r="C130" t="s">
        <v>12722</v>
      </c>
      <c r="D130" s="2">
        <v>196</v>
      </c>
      <c r="E130" s="158">
        <v>0.3105</v>
      </c>
      <c r="F130" s="2">
        <v>0</v>
      </c>
      <c r="G130" s="2">
        <v>40008287.890000001</v>
      </c>
    </row>
    <row r="131" spans="1:7" x14ac:dyDescent="0.2">
      <c r="A131" t="s">
        <v>12108</v>
      </c>
      <c r="B131" t="s">
        <v>12996</v>
      </c>
      <c r="C131" t="s">
        <v>12996</v>
      </c>
      <c r="D131" s="2">
        <v>-172</v>
      </c>
      <c r="E131" s="158">
        <v>0.14695</v>
      </c>
      <c r="F131" s="2">
        <v>0</v>
      </c>
      <c r="G131" s="2">
        <v>-16616697.82</v>
      </c>
    </row>
    <row r="132" spans="1:7" x14ac:dyDescent="0.2">
      <c r="A132" t="s">
        <v>12108</v>
      </c>
      <c r="B132" t="s">
        <v>12739</v>
      </c>
      <c r="C132" t="s">
        <v>12739</v>
      </c>
      <c r="D132" s="2">
        <v>-173</v>
      </c>
      <c r="E132" s="158">
        <v>7.553E-2</v>
      </c>
      <c r="F132" s="2">
        <v>0</v>
      </c>
      <c r="G132" s="2">
        <v>-8590666.7200000007</v>
      </c>
    </row>
    <row r="133" spans="1:7" x14ac:dyDescent="0.2">
      <c r="A133" t="s">
        <v>12110</v>
      </c>
      <c r="B133" t="s">
        <v>11754</v>
      </c>
      <c r="C133" t="s">
        <v>11754</v>
      </c>
      <c r="D133" s="2">
        <v>163</v>
      </c>
      <c r="E133" s="158">
        <v>1</v>
      </c>
      <c r="F133" s="2">
        <v>0</v>
      </c>
      <c r="G133" s="2">
        <v>32619560</v>
      </c>
    </row>
    <row r="134" spans="1:7" x14ac:dyDescent="0.2">
      <c r="A134" t="s">
        <v>12110</v>
      </c>
      <c r="B134" t="s">
        <v>11756</v>
      </c>
      <c r="C134" t="s">
        <v>11756</v>
      </c>
      <c r="D134" s="2">
        <v>0</v>
      </c>
      <c r="E134" s="158">
        <v>1</v>
      </c>
      <c r="F134" s="2">
        <v>0</v>
      </c>
      <c r="G134" s="2">
        <v>0</v>
      </c>
    </row>
    <row r="135" spans="1:7" x14ac:dyDescent="0.2">
      <c r="A135" t="s">
        <v>12133</v>
      </c>
      <c r="B135" t="s">
        <v>11754</v>
      </c>
      <c r="C135" t="s">
        <v>11754</v>
      </c>
      <c r="D135" s="2">
        <v>59</v>
      </c>
      <c r="E135" s="158">
        <v>1</v>
      </c>
      <c r="F135" s="2">
        <v>0</v>
      </c>
      <c r="G135" s="2">
        <v>11807080</v>
      </c>
    </row>
    <row r="136" spans="1:7" x14ac:dyDescent="0.2">
      <c r="A136" t="s">
        <v>12133</v>
      </c>
      <c r="B136" t="s">
        <v>11756</v>
      </c>
      <c r="C136" t="s">
        <v>11756</v>
      </c>
      <c r="D136" s="2">
        <v>387</v>
      </c>
      <c r="E136" s="158">
        <v>1</v>
      </c>
      <c r="F136" s="2">
        <v>0</v>
      </c>
      <c r="G136" s="2">
        <v>112489290</v>
      </c>
    </row>
    <row r="137" spans="1:7" x14ac:dyDescent="0.2">
      <c r="A137" t="s">
        <v>12139</v>
      </c>
      <c r="B137" t="s">
        <v>12713</v>
      </c>
      <c r="C137" t="s">
        <v>44</v>
      </c>
      <c r="D137" s="2"/>
      <c r="E137" s="158"/>
      <c r="F137" s="2"/>
      <c r="G137" s="2"/>
    </row>
    <row r="138" spans="1:7" x14ac:dyDescent="0.2">
      <c r="A138" t="s">
        <v>12875</v>
      </c>
      <c r="B138" t="s">
        <v>12713</v>
      </c>
      <c r="C138" t="s">
        <v>44</v>
      </c>
      <c r="D138" s="2"/>
      <c r="E138" s="158"/>
      <c r="F138" s="2"/>
      <c r="G138" s="2"/>
    </row>
    <row r="139" spans="1:7" x14ac:dyDescent="0.2">
      <c r="A139" t="s">
        <v>11079</v>
      </c>
      <c r="B139" t="s">
        <v>11151</v>
      </c>
      <c r="C139" t="s">
        <v>11151</v>
      </c>
      <c r="D139" s="2">
        <v>2</v>
      </c>
      <c r="E139" s="158">
        <v>1</v>
      </c>
      <c r="F139" s="2">
        <v>0</v>
      </c>
      <c r="G139" s="2">
        <v>1314080</v>
      </c>
    </row>
    <row r="140" spans="1:7" x14ac:dyDescent="0.2">
      <c r="A140" t="s">
        <v>11079</v>
      </c>
      <c r="B140" t="s">
        <v>11754</v>
      </c>
      <c r="C140" t="s">
        <v>11754</v>
      </c>
      <c r="D140" s="2">
        <v>0</v>
      </c>
      <c r="E140" s="158">
        <v>1</v>
      </c>
      <c r="F140" s="2">
        <v>0</v>
      </c>
      <c r="G140" s="2">
        <v>0</v>
      </c>
    </row>
    <row r="141" spans="1:7" x14ac:dyDescent="0.2">
      <c r="A141" t="s">
        <v>11079</v>
      </c>
      <c r="B141" t="s">
        <v>12172</v>
      </c>
      <c r="C141" t="s">
        <v>12173</v>
      </c>
      <c r="D141" s="2">
        <v>20</v>
      </c>
      <c r="E141" s="158">
        <v>1</v>
      </c>
      <c r="F141" s="2">
        <v>-869935.2</v>
      </c>
      <c r="G141" s="2">
        <v>16485283.779999999</v>
      </c>
    </row>
    <row r="142" spans="1:7" x14ac:dyDescent="0.2">
      <c r="A142" t="s">
        <v>11079</v>
      </c>
      <c r="B142" t="s">
        <v>11094</v>
      </c>
      <c r="C142" t="s">
        <v>11095</v>
      </c>
      <c r="D142" s="2">
        <v>1</v>
      </c>
      <c r="E142" s="158">
        <v>1</v>
      </c>
      <c r="F142" s="2">
        <v>-87174.35</v>
      </c>
      <c r="G142" s="2">
        <v>2365130.2599999998</v>
      </c>
    </row>
    <row r="143" spans="1:7" x14ac:dyDescent="0.2">
      <c r="A143" t="s">
        <v>11079</v>
      </c>
      <c r="B143" t="s">
        <v>11097</v>
      </c>
      <c r="C143" t="s">
        <v>11098</v>
      </c>
      <c r="D143" s="2">
        <v>3</v>
      </c>
      <c r="E143" s="158">
        <v>1</v>
      </c>
      <c r="F143" s="2">
        <v>-340658.91</v>
      </c>
      <c r="G143" s="2">
        <v>5571278.0099999998</v>
      </c>
    </row>
    <row r="144" spans="1:7" x14ac:dyDescent="0.2">
      <c r="A144" t="s">
        <v>11113</v>
      </c>
      <c r="B144" t="s">
        <v>11151</v>
      </c>
      <c r="C144" t="s">
        <v>11151</v>
      </c>
      <c r="D144" s="2">
        <v>10</v>
      </c>
      <c r="E144" s="158">
        <v>1</v>
      </c>
      <c r="F144" s="2">
        <v>0</v>
      </c>
      <c r="G144" s="2">
        <v>6570400</v>
      </c>
    </row>
    <row r="145" spans="1:7" x14ac:dyDescent="0.2">
      <c r="A145" t="s">
        <v>11113</v>
      </c>
      <c r="B145" t="s">
        <v>12740</v>
      </c>
      <c r="C145" t="s">
        <v>12740</v>
      </c>
      <c r="D145" s="2">
        <v>0</v>
      </c>
      <c r="E145" s="158">
        <v>1</v>
      </c>
      <c r="F145" s="2">
        <v>0</v>
      </c>
      <c r="G145" s="2">
        <v>0</v>
      </c>
    </row>
    <row r="146" spans="1:7" x14ac:dyDescent="0.2">
      <c r="A146" t="s">
        <v>11113</v>
      </c>
      <c r="B146" t="s">
        <v>11754</v>
      </c>
      <c r="C146" t="s">
        <v>11754</v>
      </c>
      <c r="D146" s="2">
        <v>15</v>
      </c>
      <c r="E146" s="158">
        <v>1</v>
      </c>
      <c r="F146" s="2">
        <v>0</v>
      </c>
      <c r="G146" s="2">
        <v>3001800</v>
      </c>
    </row>
    <row r="147" spans="1:7" x14ac:dyDescent="0.2">
      <c r="A147" t="s">
        <v>11113</v>
      </c>
      <c r="B147" t="s">
        <v>11756</v>
      </c>
      <c r="C147" t="s">
        <v>11756</v>
      </c>
      <c r="D147" s="2">
        <v>0</v>
      </c>
      <c r="E147" s="158">
        <v>1</v>
      </c>
      <c r="F147" s="2">
        <v>0</v>
      </c>
      <c r="G147" s="2">
        <v>0</v>
      </c>
    </row>
    <row r="148" spans="1:7" x14ac:dyDescent="0.2">
      <c r="A148" t="s">
        <v>11113</v>
      </c>
      <c r="B148" t="s">
        <v>12172</v>
      </c>
      <c r="C148" t="s">
        <v>12173</v>
      </c>
      <c r="D148" s="2">
        <v>390</v>
      </c>
      <c r="E148" s="158">
        <v>1</v>
      </c>
      <c r="F148" s="2">
        <v>-16013364.199999999</v>
      </c>
      <c r="G148" s="2">
        <v>321463033.80000001</v>
      </c>
    </row>
    <row r="149" spans="1:7" x14ac:dyDescent="0.2">
      <c r="A149" t="s">
        <v>11113</v>
      </c>
      <c r="B149" t="s">
        <v>12177</v>
      </c>
      <c r="C149" t="s">
        <v>12178</v>
      </c>
      <c r="D149" s="2">
        <v>6</v>
      </c>
      <c r="E149" s="158">
        <v>1</v>
      </c>
      <c r="F149" s="2">
        <v>142634.09</v>
      </c>
      <c r="G149" s="2">
        <v>8288234.8300000001</v>
      </c>
    </row>
    <row r="150" spans="1:7" x14ac:dyDescent="0.2">
      <c r="A150" t="s">
        <v>11113</v>
      </c>
      <c r="B150" t="s">
        <v>11094</v>
      </c>
      <c r="C150" t="s">
        <v>11095</v>
      </c>
      <c r="D150" s="2">
        <v>1</v>
      </c>
      <c r="E150" s="158">
        <v>1</v>
      </c>
      <c r="F150" s="2">
        <v>-87174.35</v>
      </c>
      <c r="G150" s="2">
        <v>2365130.2599999998</v>
      </c>
    </row>
    <row r="151" spans="1:7" x14ac:dyDescent="0.2">
      <c r="A151" t="s">
        <v>11113</v>
      </c>
      <c r="B151" t="s">
        <v>11097</v>
      </c>
      <c r="C151" t="s">
        <v>11098</v>
      </c>
      <c r="D151" s="2">
        <v>67</v>
      </c>
      <c r="E151" s="158">
        <v>1</v>
      </c>
      <c r="F151" s="2">
        <v>-2951548.13</v>
      </c>
      <c r="G151" s="2">
        <v>124425208.84</v>
      </c>
    </row>
    <row r="152" spans="1:7" x14ac:dyDescent="0.2">
      <c r="A152" t="s">
        <v>12180</v>
      </c>
      <c r="B152" t="s">
        <v>11151</v>
      </c>
      <c r="C152" t="s">
        <v>11151</v>
      </c>
      <c r="D152" s="2">
        <v>74</v>
      </c>
      <c r="E152" s="158">
        <v>1</v>
      </c>
      <c r="F152" s="2">
        <v>0</v>
      </c>
      <c r="G152" s="2">
        <v>48620960</v>
      </c>
    </row>
    <row r="153" spans="1:7" x14ac:dyDescent="0.2">
      <c r="A153" t="s">
        <v>12199</v>
      </c>
      <c r="B153" t="s">
        <v>11754</v>
      </c>
      <c r="C153" t="s">
        <v>11754</v>
      </c>
      <c r="D153" s="2">
        <v>1017</v>
      </c>
      <c r="E153" s="158">
        <v>1</v>
      </c>
      <c r="F153" s="2">
        <v>0</v>
      </c>
      <c r="G153" s="2">
        <v>203522040</v>
      </c>
    </row>
    <row r="154" spans="1:7" x14ac:dyDescent="0.2">
      <c r="A154" t="s">
        <v>12199</v>
      </c>
      <c r="B154" t="s">
        <v>11756</v>
      </c>
      <c r="C154" t="s">
        <v>11756</v>
      </c>
      <c r="D154" s="2">
        <v>251</v>
      </c>
      <c r="E154" s="158">
        <v>1</v>
      </c>
      <c r="F154" s="2">
        <v>0</v>
      </c>
      <c r="G154" s="2">
        <v>72958170</v>
      </c>
    </row>
    <row r="155" spans="1:7" x14ac:dyDescent="0.2">
      <c r="A155" t="s">
        <v>12208</v>
      </c>
      <c r="B155" t="s">
        <v>12210</v>
      </c>
      <c r="C155" t="s">
        <v>12210</v>
      </c>
      <c r="D155" s="2">
        <v>692</v>
      </c>
      <c r="E155" s="158">
        <v>1</v>
      </c>
      <c r="F155" s="2">
        <v>0</v>
      </c>
      <c r="G155" s="2">
        <v>87406520</v>
      </c>
    </row>
    <row r="156" spans="1:7" x14ac:dyDescent="0.2">
      <c r="A156" t="s">
        <v>12239</v>
      </c>
      <c r="B156" t="s">
        <v>12713</v>
      </c>
      <c r="C156" t="s">
        <v>44</v>
      </c>
      <c r="D156" s="2"/>
      <c r="E156" s="158"/>
      <c r="F156" s="2"/>
      <c r="G156" s="2"/>
    </row>
    <row r="157" spans="1:7" x14ac:dyDescent="0.2">
      <c r="A157" t="s">
        <v>12243</v>
      </c>
      <c r="B157" t="s">
        <v>11151</v>
      </c>
      <c r="C157" t="s">
        <v>11151</v>
      </c>
      <c r="D157" s="2">
        <v>50</v>
      </c>
      <c r="E157" s="158">
        <v>1</v>
      </c>
      <c r="F157" s="2">
        <v>0</v>
      </c>
      <c r="G157" s="2">
        <v>32852000</v>
      </c>
    </row>
    <row r="158" spans="1:7" x14ac:dyDescent="0.2">
      <c r="A158" t="s">
        <v>11126</v>
      </c>
      <c r="B158" t="s">
        <v>11151</v>
      </c>
      <c r="C158" t="s">
        <v>11151</v>
      </c>
      <c r="D158" s="2">
        <v>0</v>
      </c>
      <c r="E158" s="158">
        <v>1</v>
      </c>
      <c r="F158" s="2">
        <v>0</v>
      </c>
      <c r="G158" s="2">
        <v>0</v>
      </c>
    </row>
    <row r="159" spans="1:7" x14ac:dyDescent="0.2">
      <c r="A159" t="s">
        <v>11126</v>
      </c>
      <c r="B159" t="s">
        <v>11754</v>
      </c>
      <c r="C159" t="s">
        <v>11754</v>
      </c>
      <c r="D159" s="2">
        <v>0</v>
      </c>
      <c r="E159" s="158">
        <v>1</v>
      </c>
      <c r="F159" s="2">
        <v>0</v>
      </c>
      <c r="G159" s="2">
        <v>0</v>
      </c>
    </row>
    <row r="160" spans="1:7" x14ac:dyDescent="0.2">
      <c r="A160" t="s">
        <v>11126</v>
      </c>
      <c r="B160" t="s">
        <v>12172</v>
      </c>
      <c r="C160" t="s">
        <v>12173</v>
      </c>
      <c r="D160" s="2">
        <v>13</v>
      </c>
      <c r="E160" s="158">
        <v>1</v>
      </c>
      <c r="F160" s="2">
        <v>229369.97</v>
      </c>
      <c r="G160" s="2">
        <v>10715434.460000001</v>
      </c>
    </row>
    <row r="161" spans="1:7" x14ac:dyDescent="0.2">
      <c r="A161" t="s">
        <v>11126</v>
      </c>
      <c r="B161" t="s">
        <v>11094</v>
      </c>
      <c r="C161" t="s">
        <v>11095</v>
      </c>
      <c r="D161" s="2">
        <v>6</v>
      </c>
      <c r="E161" s="158">
        <v>1</v>
      </c>
      <c r="F161" s="2">
        <v>-460120.24</v>
      </c>
      <c r="G161" s="2">
        <v>14190781.560000001</v>
      </c>
    </row>
    <row r="162" spans="1:7" x14ac:dyDescent="0.2">
      <c r="A162" t="s">
        <v>11126</v>
      </c>
      <c r="B162" t="s">
        <v>11097</v>
      </c>
      <c r="C162" t="s">
        <v>11098</v>
      </c>
      <c r="D162" s="2">
        <v>3</v>
      </c>
      <c r="E162" s="158">
        <v>1</v>
      </c>
      <c r="F162" s="2">
        <v>-340658.91</v>
      </c>
      <c r="G162" s="2">
        <v>5571278.0099999998</v>
      </c>
    </row>
    <row r="163" spans="1:7" x14ac:dyDescent="0.2">
      <c r="A163" t="s">
        <v>12250</v>
      </c>
      <c r="B163" t="s">
        <v>11754</v>
      </c>
      <c r="C163" t="s">
        <v>11754</v>
      </c>
      <c r="D163" s="2">
        <v>9</v>
      </c>
      <c r="E163" s="158">
        <v>1</v>
      </c>
      <c r="F163" s="2">
        <v>0</v>
      </c>
      <c r="G163" s="2">
        <v>1801080</v>
      </c>
    </row>
    <row r="164" spans="1:7" x14ac:dyDescent="0.2">
      <c r="A164" t="s">
        <v>12250</v>
      </c>
      <c r="B164" t="s">
        <v>11756</v>
      </c>
      <c r="C164" t="s">
        <v>11756</v>
      </c>
      <c r="D164" s="2">
        <v>9</v>
      </c>
      <c r="E164" s="158">
        <v>1</v>
      </c>
      <c r="F164" s="2">
        <v>0</v>
      </c>
      <c r="G164" s="2">
        <v>2616030</v>
      </c>
    </row>
    <row r="165" spans="1:7" x14ac:dyDescent="0.2">
      <c r="A165" t="s">
        <v>12260</v>
      </c>
      <c r="B165" t="s">
        <v>12713</v>
      </c>
      <c r="C165" t="s">
        <v>44</v>
      </c>
      <c r="D165" s="2"/>
      <c r="E165" s="158"/>
      <c r="F165" s="2"/>
      <c r="G165" s="2"/>
    </row>
    <row r="166" spans="1:7" x14ac:dyDescent="0.2">
      <c r="A166" t="s">
        <v>12267</v>
      </c>
      <c r="B166" t="s">
        <v>12713</v>
      </c>
      <c r="C166" t="s">
        <v>44</v>
      </c>
      <c r="D166" s="2"/>
      <c r="E166" s="158"/>
      <c r="F166" s="2"/>
      <c r="G166" s="2"/>
    </row>
    <row r="167" spans="1:7" x14ac:dyDescent="0.2">
      <c r="A167" t="s">
        <v>12306</v>
      </c>
      <c r="B167" t="s">
        <v>12713</v>
      </c>
      <c r="C167" t="s">
        <v>44</v>
      </c>
      <c r="D167" s="2"/>
      <c r="E167" s="158"/>
      <c r="F167" s="2"/>
      <c r="G167" s="2"/>
    </row>
    <row r="168" spans="1:7" x14ac:dyDescent="0.2">
      <c r="A168" t="s">
        <v>12311</v>
      </c>
      <c r="B168" t="s">
        <v>12713</v>
      </c>
      <c r="C168" t="s">
        <v>44</v>
      </c>
      <c r="D168" s="2"/>
      <c r="E168" s="158"/>
      <c r="F168" s="2"/>
      <c r="G168" s="2"/>
    </row>
    <row r="169" spans="1:7" x14ac:dyDescent="0.2">
      <c r="A169" t="s">
        <v>12315</v>
      </c>
      <c r="B169" t="s">
        <v>12717</v>
      </c>
      <c r="C169" t="s">
        <v>12717</v>
      </c>
      <c r="D169" s="2">
        <v>-78</v>
      </c>
      <c r="E169" s="158">
        <v>1</v>
      </c>
      <c r="F169" s="2">
        <v>0</v>
      </c>
      <c r="G169" s="2">
        <v>-51435540</v>
      </c>
    </row>
    <row r="170" spans="1:7" x14ac:dyDescent="0.2">
      <c r="A170" t="s">
        <v>12315</v>
      </c>
      <c r="B170" t="s">
        <v>12719</v>
      </c>
      <c r="C170" t="s">
        <v>12719</v>
      </c>
      <c r="D170" s="2">
        <v>143</v>
      </c>
      <c r="E170" s="158">
        <v>0.37165999999999999</v>
      </c>
      <c r="F170" s="2">
        <v>0</v>
      </c>
      <c r="G170" s="2">
        <v>35047391.649999999</v>
      </c>
    </row>
    <row r="171" spans="1:7" x14ac:dyDescent="0.2">
      <c r="A171" t="s">
        <v>12315</v>
      </c>
      <c r="B171" t="s">
        <v>11151</v>
      </c>
      <c r="C171" t="s">
        <v>11151</v>
      </c>
      <c r="D171" s="2">
        <v>107</v>
      </c>
      <c r="E171" s="158">
        <v>1</v>
      </c>
      <c r="F171" s="2">
        <v>0</v>
      </c>
      <c r="G171" s="2">
        <v>70303280</v>
      </c>
    </row>
    <row r="172" spans="1:7" x14ac:dyDescent="0.2">
      <c r="A172" t="s">
        <v>12315</v>
      </c>
      <c r="B172" t="s">
        <v>12995</v>
      </c>
      <c r="C172" t="s">
        <v>12995</v>
      </c>
      <c r="D172" s="2">
        <v>-33</v>
      </c>
      <c r="E172" s="158">
        <v>-0.30260999999999999</v>
      </c>
      <c r="F172" s="2">
        <v>0</v>
      </c>
      <c r="G172" s="2">
        <v>6561325.9699999997</v>
      </c>
    </row>
    <row r="173" spans="1:7" x14ac:dyDescent="0.2">
      <c r="A173" t="s">
        <v>12315</v>
      </c>
      <c r="B173" t="s">
        <v>11155</v>
      </c>
      <c r="C173" t="s">
        <v>11155</v>
      </c>
      <c r="D173" s="2">
        <v>-82</v>
      </c>
      <c r="E173" s="158">
        <v>3.6810000000000002E-2</v>
      </c>
      <c r="F173" s="2">
        <v>0</v>
      </c>
      <c r="G173" s="2">
        <v>-1983423.67</v>
      </c>
    </row>
    <row r="174" spans="1:7" x14ac:dyDescent="0.2">
      <c r="A174" t="s">
        <v>12315</v>
      </c>
      <c r="B174" t="s">
        <v>12721</v>
      </c>
      <c r="C174" t="s">
        <v>12721</v>
      </c>
      <c r="D174" s="2">
        <v>0</v>
      </c>
      <c r="E174" s="158">
        <v>4.1410000000000002E-2</v>
      </c>
      <c r="F174" s="2">
        <v>0</v>
      </c>
      <c r="G174" s="2">
        <v>0</v>
      </c>
    </row>
    <row r="175" spans="1:7" x14ac:dyDescent="0.2">
      <c r="A175" t="s">
        <v>12315</v>
      </c>
      <c r="B175" t="s">
        <v>11157</v>
      </c>
      <c r="C175" t="s">
        <v>11157</v>
      </c>
      <c r="D175" s="2">
        <v>-34</v>
      </c>
      <c r="E175" s="158">
        <v>1</v>
      </c>
      <c r="F175" s="2">
        <v>0</v>
      </c>
      <c r="G175" s="2">
        <v>-22351940</v>
      </c>
    </row>
    <row r="176" spans="1:7" x14ac:dyDescent="0.2">
      <c r="A176" t="s">
        <v>12315</v>
      </c>
      <c r="B176" t="s">
        <v>11159</v>
      </c>
      <c r="C176" t="s">
        <v>11159</v>
      </c>
      <c r="D176" s="2">
        <v>0</v>
      </c>
      <c r="E176" s="158">
        <v>0.56030999999999997</v>
      </c>
      <c r="F176" s="2">
        <v>0</v>
      </c>
      <c r="G176" s="2">
        <v>0</v>
      </c>
    </row>
    <row r="177" spans="1:7" x14ac:dyDescent="0.2">
      <c r="A177" t="s">
        <v>12315</v>
      </c>
      <c r="B177" t="s">
        <v>12738</v>
      </c>
      <c r="C177" t="s">
        <v>12738</v>
      </c>
      <c r="D177" s="2">
        <v>96</v>
      </c>
      <c r="E177" s="158">
        <v>0.36059999999999998</v>
      </c>
      <c r="F177" s="2">
        <v>0</v>
      </c>
      <c r="G177" s="2">
        <v>22757740.18</v>
      </c>
    </row>
    <row r="178" spans="1:7" x14ac:dyDescent="0.2">
      <c r="A178" t="s">
        <v>12315</v>
      </c>
      <c r="B178" t="s">
        <v>12722</v>
      </c>
      <c r="C178" t="s">
        <v>12722</v>
      </c>
      <c r="D178" s="2">
        <v>97</v>
      </c>
      <c r="E178" s="158">
        <v>0.3105</v>
      </c>
      <c r="F178" s="2">
        <v>0</v>
      </c>
      <c r="G178" s="2">
        <v>19800020.030000001</v>
      </c>
    </row>
    <row r="179" spans="1:7" x14ac:dyDescent="0.2">
      <c r="A179" t="s">
        <v>12315</v>
      </c>
      <c r="B179" t="s">
        <v>12996</v>
      </c>
      <c r="C179" t="s">
        <v>12996</v>
      </c>
      <c r="D179" s="2">
        <v>-81</v>
      </c>
      <c r="E179" s="158">
        <v>0.14695</v>
      </c>
      <c r="F179" s="2">
        <v>0</v>
      </c>
      <c r="G179" s="2">
        <v>-7825305.3700000001</v>
      </c>
    </row>
    <row r="180" spans="1:7" x14ac:dyDescent="0.2">
      <c r="A180" t="s">
        <v>12315</v>
      </c>
      <c r="B180" t="s">
        <v>12739</v>
      </c>
      <c r="C180" t="s">
        <v>12739</v>
      </c>
      <c r="D180" s="2">
        <v>-82</v>
      </c>
      <c r="E180" s="158">
        <v>7.553E-2</v>
      </c>
      <c r="F180" s="2">
        <v>0</v>
      </c>
      <c r="G180" s="2">
        <v>-4071876.71</v>
      </c>
    </row>
    <row r="181" spans="1:7" x14ac:dyDescent="0.2">
      <c r="A181" t="s">
        <v>12317</v>
      </c>
      <c r="B181" t="s">
        <v>12319</v>
      </c>
      <c r="C181" t="s">
        <v>12319</v>
      </c>
      <c r="D181" s="2">
        <v>1081</v>
      </c>
      <c r="E181" s="158">
        <v>1</v>
      </c>
      <c r="F181" s="2">
        <v>0</v>
      </c>
      <c r="G181" s="2">
        <v>111736484</v>
      </c>
    </row>
    <row r="182" spans="1:7" x14ac:dyDescent="0.2">
      <c r="A182" t="s">
        <v>12356</v>
      </c>
      <c r="B182" t="s">
        <v>12713</v>
      </c>
      <c r="C182" t="s">
        <v>44</v>
      </c>
      <c r="D182" s="2"/>
      <c r="E182" s="158"/>
      <c r="F182" s="2"/>
      <c r="G182" s="2"/>
    </row>
    <row r="183" spans="1:7" x14ac:dyDescent="0.2">
      <c r="A183" t="s">
        <v>12358</v>
      </c>
      <c r="B183" t="s">
        <v>12713</v>
      </c>
      <c r="C183" t="s">
        <v>44</v>
      </c>
      <c r="D183" s="2"/>
      <c r="E183" s="158"/>
      <c r="F183" s="2"/>
      <c r="G183" s="2"/>
    </row>
    <row r="184" spans="1:7" x14ac:dyDescent="0.2">
      <c r="A184" t="s">
        <v>12366</v>
      </c>
      <c r="B184" t="s">
        <v>12713</v>
      </c>
      <c r="C184" t="s">
        <v>44</v>
      </c>
      <c r="D184" s="2"/>
      <c r="E184" s="158"/>
      <c r="F184" s="2"/>
      <c r="G184" s="2"/>
    </row>
    <row r="185" spans="1:7" x14ac:dyDescent="0.2">
      <c r="A185" t="s">
        <v>12420</v>
      </c>
      <c r="B185" t="s">
        <v>12717</v>
      </c>
      <c r="C185" t="s">
        <v>12717</v>
      </c>
      <c r="D185" s="2">
        <v>-182</v>
      </c>
      <c r="E185" s="158">
        <v>1</v>
      </c>
      <c r="F185" s="2">
        <v>0</v>
      </c>
      <c r="G185" s="2">
        <v>-120016260</v>
      </c>
    </row>
    <row r="186" spans="1:7" x14ac:dyDescent="0.2">
      <c r="A186" t="s">
        <v>12420</v>
      </c>
      <c r="B186" t="s">
        <v>12719</v>
      </c>
      <c r="C186" t="s">
        <v>12719</v>
      </c>
      <c r="D186" s="2">
        <v>333</v>
      </c>
      <c r="E186" s="158">
        <v>0.37165999999999999</v>
      </c>
      <c r="F186" s="2">
        <v>0</v>
      </c>
      <c r="G186" s="2">
        <v>81613856.090000004</v>
      </c>
    </row>
    <row r="187" spans="1:7" x14ac:dyDescent="0.2">
      <c r="A187" t="s">
        <v>12420</v>
      </c>
      <c r="B187" t="s">
        <v>11151</v>
      </c>
      <c r="C187" t="s">
        <v>11151</v>
      </c>
      <c r="D187" s="2">
        <v>262</v>
      </c>
      <c r="E187" s="158">
        <v>1</v>
      </c>
      <c r="F187" s="2">
        <v>0</v>
      </c>
      <c r="G187" s="2">
        <v>172144480</v>
      </c>
    </row>
    <row r="188" spans="1:7" x14ac:dyDescent="0.2">
      <c r="A188" t="s">
        <v>12420</v>
      </c>
      <c r="B188" t="s">
        <v>12995</v>
      </c>
      <c r="C188" t="s">
        <v>12995</v>
      </c>
      <c r="D188" s="2">
        <v>-92</v>
      </c>
      <c r="E188" s="158">
        <v>-0.30260999999999999</v>
      </c>
      <c r="F188" s="2">
        <v>0</v>
      </c>
      <c r="G188" s="2">
        <v>18292181.489999998</v>
      </c>
    </row>
    <row r="189" spans="1:7" x14ac:dyDescent="0.2">
      <c r="A189" t="s">
        <v>12420</v>
      </c>
      <c r="B189" t="s">
        <v>11155</v>
      </c>
      <c r="C189" t="s">
        <v>11155</v>
      </c>
      <c r="D189" s="2">
        <v>-220</v>
      </c>
      <c r="E189" s="158">
        <v>3.6810000000000002E-2</v>
      </c>
      <c r="F189" s="2">
        <v>0</v>
      </c>
      <c r="G189" s="2">
        <v>-5321380.58</v>
      </c>
    </row>
    <row r="190" spans="1:7" x14ac:dyDescent="0.2">
      <c r="A190" t="s">
        <v>12420</v>
      </c>
      <c r="B190" t="s">
        <v>12721</v>
      </c>
      <c r="C190" t="s">
        <v>12721</v>
      </c>
      <c r="D190" s="2">
        <v>0</v>
      </c>
      <c r="E190" s="158">
        <v>4.1410000000000002E-2</v>
      </c>
      <c r="F190" s="2">
        <v>0</v>
      </c>
      <c r="G190" s="2">
        <v>0</v>
      </c>
    </row>
    <row r="191" spans="1:7" x14ac:dyDescent="0.2">
      <c r="A191" t="s">
        <v>12420</v>
      </c>
      <c r="B191" t="s">
        <v>11157</v>
      </c>
      <c r="C191" t="s">
        <v>11157</v>
      </c>
      <c r="D191" s="2">
        <v>-111</v>
      </c>
      <c r="E191" s="158">
        <v>1</v>
      </c>
      <c r="F191" s="2">
        <v>0</v>
      </c>
      <c r="G191" s="2">
        <v>-72972510</v>
      </c>
    </row>
    <row r="192" spans="1:7" x14ac:dyDescent="0.2">
      <c r="A192" t="s">
        <v>12420</v>
      </c>
      <c r="B192" t="s">
        <v>11159</v>
      </c>
      <c r="C192" t="s">
        <v>11159</v>
      </c>
      <c r="D192" s="2">
        <v>0</v>
      </c>
      <c r="E192" s="158">
        <v>0.56030999999999997</v>
      </c>
      <c r="F192" s="2">
        <v>0</v>
      </c>
      <c r="G192" s="2">
        <v>0</v>
      </c>
    </row>
    <row r="193" spans="1:7" x14ac:dyDescent="0.2">
      <c r="A193" t="s">
        <v>12420</v>
      </c>
      <c r="B193" t="s">
        <v>12738</v>
      </c>
      <c r="C193" t="s">
        <v>12738</v>
      </c>
      <c r="D193" s="2">
        <v>276</v>
      </c>
      <c r="E193" s="158">
        <v>0.36059999999999998</v>
      </c>
      <c r="F193" s="2">
        <v>0</v>
      </c>
      <c r="G193" s="2">
        <v>65428503.020000003</v>
      </c>
    </row>
    <row r="194" spans="1:7" x14ac:dyDescent="0.2">
      <c r="A194" t="s">
        <v>12420</v>
      </c>
      <c r="B194" t="s">
        <v>12722</v>
      </c>
      <c r="C194" t="s">
        <v>12722</v>
      </c>
      <c r="D194" s="2">
        <v>277</v>
      </c>
      <c r="E194" s="158">
        <v>0.3105</v>
      </c>
      <c r="F194" s="2">
        <v>0</v>
      </c>
      <c r="G194" s="2">
        <v>56542325.240000002</v>
      </c>
    </row>
    <row r="195" spans="1:7" x14ac:dyDescent="0.2">
      <c r="A195" t="s">
        <v>12420</v>
      </c>
      <c r="B195" t="s">
        <v>12996</v>
      </c>
      <c r="C195" t="s">
        <v>12996</v>
      </c>
      <c r="D195" s="2">
        <v>-178</v>
      </c>
      <c r="E195" s="158">
        <v>0.14695</v>
      </c>
      <c r="F195" s="2">
        <v>0</v>
      </c>
      <c r="G195" s="2">
        <v>-17196350.07</v>
      </c>
    </row>
    <row r="196" spans="1:7" x14ac:dyDescent="0.2">
      <c r="A196" t="s">
        <v>12420</v>
      </c>
      <c r="B196" t="s">
        <v>12739</v>
      </c>
      <c r="C196" t="s">
        <v>12739</v>
      </c>
      <c r="D196" s="2">
        <v>-180</v>
      </c>
      <c r="E196" s="158">
        <v>7.553E-2</v>
      </c>
      <c r="F196" s="2">
        <v>0</v>
      </c>
      <c r="G196" s="2">
        <v>-8938265.9600000009</v>
      </c>
    </row>
    <row r="197" spans="1:7" x14ac:dyDescent="0.2">
      <c r="A197" t="s">
        <v>12422</v>
      </c>
      <c r="B197" t="s">
        <v>11754</v>
      </c>
      <c r="C197" t="s">
        <v>11754</v>
      </c>
      <c r="D197" s="2">
        <v>172</v>
      </c>
      <c r="E197" s="158">
        <v>1</v>
      </c>
      <c r="F197" s="2">
        <v>0</v>
      </c>
      <c r="G197" s="2">
        <v>34420640</v>
      </c>
    </row>
    <row r="198" spans="1:7" x14ac:dyDescent="0.2">
      <c r="A198" t="s">
        <v>12422</v>
      </c>
      <c r="B198" t="s">
        <v>11756</v>
      </c>
      <c r="C198" t="s">
        <v>11756</v>
      </c>
      <c r="D198" s="2">
        <v>209</v>
      </c>
      <c r="E198" s="158">
        <v>1</v>
      </c>
      <c r="F198" s="2">
        <v>0</v>
      </c>
      <c r="G198" s="2">
        <v>60750030</v>
      </c>
    </row>
    <row r="199" spans="1:7" x14ac:dyDescent="0.2">
      <c r="A199" t="s">
        <v>12422</v>
      </c>
      <c r="B199" t="s">
        <v>12465</v>
      </c>
      <c r="C199" t="s">
        <v>12466</v>
      </c>
      <c r="D199" s="2">
        <v>56</v>
      </c>
      <c r="E199" s="158">
        <v>1</v>
      </c>
      <c r="F199" s="2">
        <v>-1166913.8899999999</v>
      </c>
      <c r="G199" s="2">
        <v>41437114.530000001</v>
      </c>
    </row>
    <row r="200" spans="1:7" x14ac:dyDescent="0.2">
      <c r="A200" t="s">
        <v>12422</v>
      </c>
      <c r="B200" t="s">
        <v>12467</v>
      </c>
      <c r="C200" t="s">
        <v>12468</v>
      </c>
      <c r="D200" s="2">
        <v>318</v>
      </c>
      <c r="E200" s="158">
        <v>1</v>
      </c>
      <c r="F200" s="2">
        <v>8152705.1299999999</v>
      </c>
      <c r="G200" s="2">
        <v>241758451.09</v>
      </c>
    </row>
    <row r="201" spans="1:7" x14ac:dyDescent="0.2">
      <c r="A201" t="s">
        <v>12509</v>
      </c>
      <c r="B201" t="s">
        <v>12557</v>
      </c>
      <c r="C201" t="s">
        <v>12558</v>
      </c>
      <c r="D201" s="2">
        <v>216</v>
      </c>
      <c r="E201" s="158">
        <v>1</v>
      </c>
      <c r="F201" s="2">
        <v>0</v>
      </c>
      <c r="G201" s="2">
        <v>26521737.120000001</v>
      </c>
    </row>
    <row r="202" spans="1:7" x14ac:dyDescent="0.2">
      <c r="A202" t="s">
        <v>12509</v>
      </c>
      <c r="B202" t="s">
        <v>12559</v>
      </c>
      <c r="C202" t="s">
        <v>12560</v>
      </c>
      <c r="D202" s="2">
        <v>380</v>
      </c>
      <c r="E202" s="158">
        <v>1</v>
      </c>
      <c r="F202" s="2">
        <v>0</v>
      </c>
      <c r="G202" s="2">
        <v>32235783.800000001</v>
      </c>
    </row>
    <row r="203" spans="1:7" x14ac:dyDescent="0.2">
      <c r="A203" t="s">
        <v>12509</v>
      </c>
      <c r="B203" t="s">
        <v>12561</v>
      </c>
      <c r="C203" t="s">
        <v>12561</v>
      </c>
      <c r="D203" s="2">
        <v>14196</v>
      </c>
      <c r="E203" s="158">
        <v>1</v>
      </c>
      <c r="F203" s="2">
        <v>0</v>
      </c>
      <c r="G203" s="2">
        <v>21392804.16</v>
      </c>
    </row>
    <row r="204" spans="1:7" x14ac:dyDescent="0.2">
      <c r="A204" t="s">
        <v>12509</v>
      </c>
      <c r="B204" t="s">
        <v>12563</v>
      </c>
      <c r="C204" t="s">
        <v>12563</v>
      </c>
      <c r="D204" s="2">
        <v>80444</v>
      </c>
      <c r="E204" s="158">
        <v>1</v>
      </c>
      <c r="F204" s="2">
        <v>0</v>
      </c>
      <c r="G204" s="2">
        <v>121315987.52</v>
      </c>
    </row>
    <row r="205" spans="1:7" x14ac:dyDescent="0.2">
      <c r="A205" t="s">
        <v>12509</v>
      </c>
      <c r="B205" t="s">
        <v>11754</v>
      </c>
      <c r="C205" t="s">
        <v>11754</v>
      </c>
      <c r="D205" s="2">
        <v>622</v>
      </c>
      <c r="E205" s="158">
        <v>1</v>
      </c>
      <c r="F205" s="2">
        <v>0</v>
      </c>
      <c r="G205" s="2">
        <v>124474640</v>
      </c>
    </row>
    <row r="206" spans="1:7" x14ac:dyDescent="0.2">
      <c r="A206" t="s">
        <v>12584</v>
      </c>
      <c r="B206" t="s">
        <v>11754</v>
      </c>
      <c r="C206" t="s">
        <v>11754</v>
      </c>
      <c r="D206" s="2">
        <v>41</v>
      </c>
      <c r="E206" s="158">
        <v>1</v>
      </c>
      <c r="F206" s="2">
        <v>0</v>
      </c>
      <c r="G206" s="2">
        <v>8204920</v>
      </c>
    </row>
    <row r="207" spans="1:7" x14ac:dyDescent="0.2">
      <c r="A207" t="s">
        <v>12586</v>
      </c>
      <c r="B207" t="s">
        <v>12713</v>
      </c>
      <c r="C207" t="s">
        <v>44</v>
      </c>
      <c r="D207" s="2"/>
      <c r="E207" s="158"/>
      <c r="F207" s="2"/>
      <c r="G207" s="2"/>
    </row>
    <row r="208" spans="1:7" x14ac:dyDescent="0.2">
      <c r="A208" t="s">
        <v>12591</v>
      </c>
      <c r="B208" t="s">
        <v>12713</v>
      </c>
      <c r="C208" t="s">
        <v>44</v>
      </c>
      <c r="D208" s="2"/>
      <c r="E208" s="158"/>
      <c r="F208" s="2"/>
      <c r="G208" s="2"/>
    </row>
    <row r="209" spans="1:7" x14ac:dyDescent="0.2">
      <c r="A209" t="s">
        <v>12601</v>
      </c>
      <c r="B209" t="s">
        <v>12603</v>
      </c>
      <c r="C209" t="s">
        <v>12603</v>
      </c>
      <c r="D209" s="2">
        <v>112</v>
      </c>
      <c r="E209" s="158">
        <v>1</v>
      </c>
      <c r="F209" s="2">
        <v>0</v>
      </c>
      <c r="G209" s="2">
        <v>15806512.960000001</v>
      </c>
    </row>
    <row r="210" spans="1:7" x14ac:dyDescent="0.2">
      <c r="A210" t="s">
        <v>12601</v>
      </c>
      <c r="B210" t="s">
        <v>12605</v>
      </c>
      <c r="C210" t="s">
        <v>12605</v>
      </c>
      <c r="D210" s="2">
        <v>866</v>
      </c>
      <c r="E210" s="158">
        <v>1</v>
      </c>
      <c r="F210" s="2">
        <v>0</v>
      </c>
      <c r="G210" s="2">
        <v>7343991.7599999998</v>
      </c>
    </row>
    <row r="211" spans="1:7" x14ac:dyDescent="0.2">
      <c r="A211" t="s">
        <v>12601</v>
      </c>
      <c r="B211" t="s">
        <v>11151</v>
      </c>
      <c r="C211" t="s">
        <v>11151</v>
      </c>
      <c r="D211" s="2">
        <v>43</v>
      </c>
      <c r="E211" s="158">
        <v>1</v>
      </c>
      <c r="F211" s="2">
        <v>0</v>
      </c>
      <c r="G211" s="2">
        <v>28252720</v>
      </c>
    </row>
    <row r="212" spans="1:7" x14ac:dyDescent="0.2">
      <c r="A212" t="s">
        <v>12609</v>
      </c>
      <c r="B212" t="s">
        <v>12603</v>
      </c>
      <c r="C212" t="s">
        <v>12603</v>
      </c>
      <c r="D212" s="2">
        <v>133</v>
      </c>
      <c r="E212" s="158">
        <v>1</v>
      </c>
      <c r="F212" s="2">
        <v>0</v>
      </c>
      <c r="G212" s="2">
        <v>18770234.140000001</v>
      </c>
    </row>
    <row r="213" spans="1:7" x14ac:dyDescent="0.2">
      <c r="A213" t="s">
        <v>12609</v>
      </c>
      <c r="B213" t="s">
        <v>12605</v>
      </c>
      <c r="C213" t="s">
        <v>12605</v>
      </c>
      <c r="D213" s="2">
        <v>1328</v>
      </c>
      <c r="E213" s="158">
        <v>1</v>
      </c>
      <c r="F213" s="2">
        <v>0</v>
      </c>
      <c r="G213" s="2">
        <v>11261918.08</v>
      </c>
    </row>
    <row r="214" spans="1:7" x14ac:dyDescent="0.2">
      <c r="A214" t="s">
        <v>12609</v>
      </c>
      <c r="B214" t="s">
        <v>11151</v>
      </c>
      <c r="C214" t="s">
        <v>11151</v>
      </c>
      <c r="D214" s="2">
        <v>66</v>
      </c>
      <c r="E214" s="158">
        <v>1</v>
      </c>
      <c r="F214" s="2">
        <v>0</v>
      </c>
      <c r="G214" s="2">
        <v>43364640</v>
      </c>
    </row>
    <row r="215" spans="1:7" x14ac:dyDescent="0.2">
      <c r="A215" t="s">
        <v>12611</v>
      </c>
      <c r="B215" t="s">
        <v>12603</v>
      </c>
      <c r="C215" t="s">
        <v>12603</v>
      </c>
      <c r="D215" s="2">
        <v>100</v>
      </c>
      <c r="E215" s="158">
        <v>1</v>
      </c>
      <c r="F215" s="2">
        <v>0</v>
      </c>
      <c r="G215" s="2">
        <v>14112958</v>
      </c>
    </row>
    <row r="216" spans="1:7" x14ac:dyDescent="0.2">
      <c r="A216" t="s">
        <v>12611</v>
      </c>
      <c r="B216" t="s">
        <v>12605</v>
      </c>
      <c r="C216" t="s">
        <v>12605</v>
      </c>
      <c r="D216" s="2">
        <v>996</v>
      </c>
      <c r="E216" s="158">
        <v>1</v>
      </c>
      <c r="F216" s="2">
        <v>0</v>
      </c>
      <c r="G216" s="2">
        <v>8446438.5600000005</v>
      </c>
    </row>
    <row r="217" spans="1:7" x14ac:dyDescent="0.2">
      <c r="A217" t="s">
        <v>12611</v>
      </c>
      <c r="B217" t="s">
        <v>11151</v>
      </c>
      <c r="C217" t="s">
        <v>11151</v>
      </c>
      <c r="D217" s="2">
        <v>49</v>
      </c>
      <c r="E217" s="158">
        <v>1</v>
      </c>
      <c r="F217" s="2">
        <v>0</v>
      </c>
      <c r="G217" s="2">
        <v>32194960</v>
      </c>
    </row>
    <row r="218" spans="1:7" x14ac:dyDescent="0.2">
      <c r="A218" t="s">
        <v>12613</v>
      </c>
      <c r="B218" t="s">
        <v>12713</v>
      </c>
      <c r="C218" t="s">
        <v>44</v>
      </c>
      <c r="D218" s="2"/>
      <c r="E218" s="158"/>
      <c r="F218" s="2"/>
      <c r="G218" s="2"/>
    </row>
    <row r="219" spans="1:7" x14ac:dyDescent="0.2">
      <c r="A219" t="s">
        <v>12615</v>
      </c>
      <c r="B219" t="s">
        <v>12713</v>
      </c>
      <c r="C219" t="s">
        <v>44</v>
      </c>
      <c r="D219" s="2"/>
      <c r="E219" s="158"/>
      <c r="F219" s="2"/>
      <c r="G219" s="2"/>
    </row>
    <row r="220" spans="1:7" x14ac:dyDescent="0.2">
      <c r="A220" t="s">
        <v>12629</v>
      </c>
      <c r="B220" t="s">
        <v>12713</v>
      </c>
      <c r="C220" t="s">
        <v>44</v>
      </c>
      <c r="D220" s="2"/>
      <c r="E220" s="158"/>
      <c r="F220" s="2"/>
      <c r="G220" s="2"/>
    </row>
    <row r="221" spans="1:7" x14ac:dyDescent="0.2">
      <c r="A221" t="s">
        <v>12643</v>
      </c>
      <c r="B221" t="s">
        <v>12717</v>
      </c>
      <c r="C221" t="s">
        <v>12717</v>
      </c>
      <c r="D221" s="2">
        <v>-19</v>
      </c>
      <c r="E221" s="158">
        <v>1</v>
      </c>
      <c r="F221" s="2">
        <v>0</v>
      </c>
      <c r="G221" s="2">
        <v>-12529170</v>
      </c>
    </row>
    <row r="222" spans="1:7" x14ac:dyDescent="0.2">
      <c r="A222" t="s">
        <v>12643</v>
      </c>
      <c r="B222" t="s">
        <v>12719</v>
      </c>
      <c r="C222" t="s">
        <v>12719</v>
      </c>
      <c r="D222" s="2">
        <v>34</v>
      </c>
      <c r="E222" s="158">
        <v>0.37165999999999999</v>
      </c>
      <c r="F222" s="2">
        <v>0</v>
      </c>
      <c r="G222" s="2">
        <v>8332946.2699999996</v>
      </c>
    </row>
    <row r="223" spans="1:7" x14ac:dyDescent="0.2">
      <c r="A223" t="s">
        <v>12643</v>
      </c>
      <c r="B223" t="s">
        <v>11151</v>
      </c>
      <c r="C223" t="s">
        <v>11151</v>
      </c>
      <c r="D223" s="2">
        <v>26</v>
      </c>
      <c r="E223" s="158">
        <v>1</v>
      </c>
      <c r="F223" s="2">
        <v>0</v>
      </c>
      <c r="G223" s="2">
        <v>17083040</v>
      </c>
    </row>
    <row r="224" spans="1:7" x14ac:dyDescent="0.2">
      <c r="A224" t="s">
        <v>12643</v>
      </c>
      <c r="B224" t="s">
        <v>12995</v>
      </c>
      <c r="C224" t="s">
        <v>12995</v>
      </c>
      <c r="D224" s="2">
        <v>-9</v>
      </c>
      <c r="E224" s="158">
        <v>-0.30260999999999999</v>
      </c>
      <c r="F224" s="2">
        <v>0</v>
      </c>
      <c r="G224" s="2">
        <v>1789452.54</v>
      </c>
    </row>
    <row r="225" spans="1:7" x14ac:dyDescent="0.2">
      <c r="A225" t="s">
        <v>12643</v>
      </c>
      <c r="B225" t="s">
        <v>11155</v>
      </c>
      <c r="C225" t="s">
        <v>11155</v>
      </c>
      <c r="D225" s="2">
        <v>-20</v>
      </c>
      <c r="E225" s="158">
        <v>3.6810000000000002E-2</v>
      </c>
      <c r="F225" s="2">
        <v>0</v>
      </c>
      <c r="G225" s="2">
        <v>-483761.87</v>
      </c>
    </row>
    <row r="226" spans="1:7" x14ac:dyDescent="0.2">
      <c r="A226" t="s">
        <v>12643</v>
      </c>
      <c r="B226" t="s">
        <v>12721</v>
      </c>
      <c r="C226" t="s">
        <v>12721</v>
      </c>
      <c r="D226" s="2">
        <v>0</v>
      </c>
      <c r="E226" s="158">
        <v>4.1410000000000002E-2</v>
      </c>
      <c r="F226" s="2">
        <v>0</v>
      </c>
      <c r="G226" s="2">
        <v>0</v>
      </c>
    </row>
    <row r="227" spans="1:7" x14ac:dyDescent="0.2">
      <c r="A227" t="s">
        <v>12643</v>
      </c>
      <c r="B227" t="s">
        <v>11157</v>
      </c>
      <c r="C227" t="s">
        <v>11157</v>
      </c>
      <c r="D227" s="2">
        <v>-8</v>
      </c>
      <c r="E227" s="158">
        <v>1</v>
      </c>
      <c r="F227" s="2">
        <v>0</v>
      </c>
      <c r="G227" s="2">
        <v>-5259280</v>
      </c>
    </row>
    <row r="228" spans="1:7" x14ac:dyDescent="0.2">
      <c r="A228" t="s">
        <v>12643</v>
      </c>
      <c r="B228" t="s">
        <v>11159</v>
      </c>
      <c r="C228" t="s">
        <v>11159</v>
      </c>
      <c r="D228" s="2">
        <v>0</v>
      </c>
      <c r="E228" s="158">
        <v>0.56030999999999997</v>
      </c>
      <c r="F228" s="2">
        <v>0</v>
      </c>
      <c r="G228" s="2">
        <v>0</v>
      </c>
    </row>
    <row r="229" spans="1:7" x14ac:dyDescent="0.2">
      <c r="A229" t="s">
        <v>12643</v>
      </c>
      <c r="B229" t="s">
        <v>12738</v>
      </c>
      <c r="C229" t="s">
        <v>12738</v>
      </c>
      <c r="D229" s="2">
        <v>27</v>
      </c>
      <c r="E229" s="158">
        <v>0.36059999999999998</v>
      </c>
      <c r="F229" s="2">
        <v>0</v>
      </c>
      <c r="G229" s="2">
        <v>6400614.4299999997</v>
      </c>
    </row>
    <row r="230" spans="1:7" x14ac:dyDescent="0.2">
      <c r="A230" t="s">
        <v>12643</v>
      </c>
      <c r="B230" t="s">
        <v>12722</v>
      </c>
      <c r="C230" t="s">
        <v>12722</v>
      </c>
      <c r="D230" s="2">
        <v>27</v>
      </c>
      <c r="E230" s="158">
        <v>0.3105</v>
      </c>
      <c r="F230" s="2">
        <v>0</v>
      </c>
      <c r="G230" s="2">
        <v>5511345.7800000003</v>
      </c>
    </row>
    <row r="231" spans="1:7" x14ac:dyDescent="0.2">
      <c r="A231" t="s">
        <v>12643</v>
      </c>
      <c r="B231" t="s">
        <v>12996</v>
      </c>
      <c r="C231" t="s">
        <v>12996</v>
      </c>
      <c r="D231" s="2">
        <v>-22</v>
      </c>
      <c r="E231" s="158">
        <v>0.14695</v>
      </c>
      <c r="F231" s="2">
        <v>0</v>
      </c>
      <c r="G231" s="2">
        <v>-2125391.58</v>
      </c>
    </row>
    <row r="232" spans="1:7" x14ac:dyDescent="0.2">
      <c r="A232" t="s">
        <v>12643</v>
      </c>
      <c r="B232" t="s">
        <v>12739</v>
      </c>
      <c r="C232" t="s">
        <v>12739</v>
      </c>
      <c r="D232" s="2">
        <v>-22</v>
      </c>
      <c r="E232" s="158">
        <v>7.553E-2</v>
      </c>
      <c r="F232" s="2">
        <v>0</v>
      </c>
      <c r="G232" s="2">
        <v>-1092454.73</v>
      </c>
    </row>
    <row r="233" spans="1:7" x14ac:dyDescent="0.2">
      <c r="A233" t="s">
        <v>12645</v>
      </c>
      <c r="B233" t="s">
        <v>12713</v>
      </c>
      <c r="C233" t="s">
        <v>44</v>
      </c>
      <c r="D233" s="2"/>
      <c r="E233" s="158"/>
      <c r="F233" s="2"/>
      <c r="G233" s="2"/>
    </row>
    <row r="234" spans="1:7" x14ac:dyDescent="0.2">
      <c r="A234" t="s">
        <v>12647</v>
      </c>
      <c r="B234" t="s">
        <v>12713</v>
      </c>
      <c r="C234" t="s">
        <v>44</v>
      </c>
      <c r="D234" s="2"/>
      <c r="E234" s="158"/>
      <c r="F234" s="2"/>
      <c r="G234" s="2"/>
    </row>
    <row r="235" spans="1:7" x14ac:dyDescent="0.2">
      <c r="A235" t="s">
        <v>12649</v>
      </c>
      <c r="B235" t="s">
        <v>12713</v>
      </c>
      <c r="C235" t="s">
        <v>44</v>
      </c>
      <c r="D235" s="2"/>
      <c r="E235" s="158"/>
      <c r="F235" s="2"/>
      <c r="G235" s="2"/>
    </row>
    <row r="236" spans="1:7" x14ac:dyDescent="0.2">
      <c r="A236" t="s">
        <v>12651</v>
      </c>
      <c r="B236" t="s">
        <v>12713</v>
      </c>
      <c r="C236" t="s">
        <v>44</v>
      </c>
      <c r="D236" s="2"/>
      <c r="E236" s="158"/>
      <c r="F236" s="2"/>
      <c r="G236" s="2"/>
    </row>
    <row r="237" spans="1:7" x14ac:dyDescent="0.2">
      <c r="A237" t="s">
        <v>12653</v>
      </c>
      <c r="B237" t="s">
        <v>12713</v>
      </c>
      <c r="C237" t="s">
        <v>44</v>
      </c>
      <c r="D237" s="2"/>
      <c r="E237" s="158"/>
      <c r="F237" s="2"/>
      <c r="G237" s="2"/>
    </row>
    <row r="238" spans="1:7" x14ac:dyDescent="0.2">
      <c r="A238" t="s">
        <v>12655</v>
      </c>
      <c r="B238" t="s">
        <v>12713</v>
      </c>
      <c r="C238" t="s">
        <v>44</v>
      </c>
      <c r="D238" s="2"/>
      <c r="E238" s="158"/>
      <c r="F238" s="2"/>
      <c r="G238" s="2"/>
    </row>
    <row r="239" spans="1:7" x14ac:dyDescent="0.2">
      <c r="A239" t="s">
        <v>12657</v>
      </c>
      <c r="B239" t="s">
        <v>12713</v>
      </c>
      <c r="C239" t="s">
        <v>44</v>
      </c>
      <c r="D239" s="2"/>
      <c r="E239" s="158"/>
      <c r="F239" s="2"/>
      <c r="G239" s="2"/>
    </row>
    <row r="240" spans="1:7" x14ac:dyDescent="0.2">
      <c r="A240" t="s">
        <v>12662</v>
      </c>
      <c r="B240" t="s">
        <v>12713</v>
      </c>
      <c r="C240" t="s">
        <v>44</v>
      </c>
      <c r="D240" s="2"/>
      <c r="E240" s="158"/>
      <c r="F240" s="2"/>
      <c r="G240" s="2"/>
    </row>
    <row r="241" spans="1:7" x14ac:dyDescent="0.2">
      <c r="A241" t="s">
        <v>12664</v>
      </c>
      <c r="B241" t="s">
        <v>12713</v>
      </c>
      <c r="C241" t="s">
        <v>44</v>
      </c>
      <c r="D241" s="2"/>
      <c r="E241" s="158"/>
      <c r="F241" s="2"/>
      <c r="G241" s="2"/>
    </row>
    <row r="242" spans="1:7" x14ac:dyDescent="0.2">
      <c r="A242" t="s">
        <v>12689</v>
      </c>
      <c r="B242" t="s">
        <v>11754</v>
      </c>
      <c r="C242" t="s">
        <v>11754</v>
      </c>
      <c r="D242" s="2">
        <v>148</v>
      </c>
      <c r="E242" s="158">
        <v>1</v>
      </c>
      <c r="F242" s="2">
        <v>0</v>
      </c>
      <c r="G242" s="2">
        <v>29617760</v>
      </c>
    </row>
    <row r="243" spans="1:7" x14ac:dyDescent="0.2">
      <c r="A243" t="s">
        <v>12689</v>
      </c>
      <c r="B243" t="s">
        <v>11756</v>
      </c>
      <c r="C243" t="s">
        <v>11756</v>
      </c>
      <c r="D243" s="2">
        <v>85</v>
      </c>
      <c r="E243" s="158">
        <v>1</v>
      </c>
      <c r="F243" s="2">
        <v>0</v>
      </c>
      <c r="G243" s="2">
        <v>24706950</v>
      </c>
    </row>
    <row r="244" spans="1:7" x14ac:dyDescent="0.2">
      <c r="A244" t="s">
        <v>12694</v>
      </c>
      <c r="B244" t="s">
        <v>12210</v>
      </c>
      <c r="C244" t="s">
        <v>12210</v>
      </c>
      <c r="D244" s="2">
        <v>329</v>
      </c>
      <c r="E244" s="158">
        <v>1</v>
      </c>
      <c r="F244" s="2">
        <v>0</v>
      </c>
      <c r="G244" s="2">
        <v>41555990</v>
      </c>
    </row>
    <row r="245" spans="1:7" x14ac:dyDescent="0.2">
      <c r="A245" t="s">
        <v>12703</v>
      </c>
      <c r="B245" t="s">
        <v>12717</v>
      </c>
      <c r="C245" t="s">
        <v>12717</v>
      </c>
      <c r="D245" s="2">
        <v>-37</v>
      </c>
      <c r="E245" s="158">
        <v>1</v>
      </c>
      <c r="F245" s="2">
        <v>0</v>
      </c>
      <c r="G245" s="2">
        <v>-24398910</v>
      </c>
    </row>
    <row r="246" spans="1:7" x14ac:dyDescent="0.2">
      <c r="A246" t="s">
        <v>12703</v>
      </c>
      <c r="B246" t="s">
        <v>12719</v>
      </c>
      <c r="C246" t="s">
        <v>12719</v>
      </c>
      <c r="D246" s="2">
        <v>68</v>
      </c>
      <c r="E246" s="158">
        <v>0.37165999999999999</v>
      </c>
      <c r="F246" s="2">
        <v>0</v>
      </c>
      <c r="G246" s="2">
        <v>16665892.529999999</v>
      </c>
    </row>
    <row r="247" spans="1:7" x14ac:dyDescent="0.2">
      <c r="A247" t="s">
        <v>12703</v>
      </c>
      <c r="B247" t="s">
        <v>11151</v>
      </c>
      <c r="C247" t="s">
        <v>11151</v>
      </c>
      <c r="D247" s="2">
        <v>60</v>
      </c>
      <c r="E247" s="158">
        <v>1</v>
      </c>
      <c r="F247" s="2">
        <v>0</v>
      </c>
      <c r="G247" s="2">
        <v>39422400</v>
      </c>
    </row>
    <row r="248" spans="1:7" x14ac:dyDescent="0.2">
      <c r="A248" t="s">
        <v>12703</v>
      </c>
      <c r="B248" t="s">
        <v>12995</v>
      </c>
      <c r="C248" t="s">
        <v>12995</v>
      </c>
      <c r="D248" s="2">
        <v>-19</v>
      </c>
      <c r="E248" s="158">
        <v>-0.30260999999999999</v>
      </c>
      <c r="F248" s="2">
        <v>0</v>
      </c>
      <c r="G248" s="2">
        <v>3777733.13</v>
      </c>
    </row>
    <row r="249" spans="1:7" x14ac:dyDescent="0.2">
      <c r="A249" t="s">
        <v>12703</v>
      </c>
      <c r="B249" t="s">
        <v>11155</v>
      </c>
      <c r="C249" t="s">
        <v>11155</v>
      </c>
      <c r="D249" s="2">
        <v>-51</v>
      </c>
      <c r="E249" s="158">
        <v>3.6810000000000002E-2</v>
      </c>
      <c r="F249" s="2">
        <v>0</v>
      </c>
      <c r="G249" s="2">
        <v>-1233592.77</v>
      </c>
    </row>
    <row r="250" spans="1:7" x14ac:dyDescent="0.2">
      <c r="A250" t="s">
        <v>12703</v>
      </c>
      <c r="B250" t="s">
        <v>12721</v>
      </c>
      <c r="C250" t="s">
        <v>12721</v>
      </c>
      <c r="D250" s="2">
        <v>0</v>
      </c>
      <c r="E250" s="158">
        <v>4.1410000000000002E-2</v>
      </c>
      <c r="F250" s="2">
        <v>0</v>
      </c>
      <c r="G250" s="2">
        <v>0</v>
      </c>
    </row>
    <row r="251" spans="1:7" x14ac:dyDescent="0.2">
      <c r="A251" t="s">
        <v>12703</v>
      </c>
      <c r="B251" t="s">
        <v>11157</v>
      </c>
      <c r="C251" t="s">
        <v>11157</v>
      </c>
      <c r="D251" s="2">
        <v>-23</v>
      </c>
      <c r="E251" s="158">
        <v>1</v>
      </c>
      <c r="F251" s="2">
        <v>0</v>
      </c>
      <c r="G251" s="2">
        <v>-15120430</v>
      </c>
    </row>
    <row r="252" spans="1:7" x14ac:dyDescent="0.2">
      <c r="A252" t="s">
        <v>12703</v>
      </c>
      <c r="B252" t="s">
        <v>11159</v>
      </c>
      <c r="C252" t="s">
        <v>11159</v>
      </c>
      <c r="D252" s="2">
        <v>0</v>
      </c>
      <c r="E252" s="158">
        <v>0.56030999999999997</v>
      </c>
      <c r="F252" s="2">
        <v>0</v>
      </c>
      <c r="G252" s="2">
        <v>0</v>
      </c>
    </row>
    <row r="253" spans="1:7" x14ac:dyDescent="0.2">
      <c r="A253" t="s">
        <v>12703</v>
      </c>
      <c r="B253" t="s">
        <v>12738</v>
      </c>
      <c r="C253" t="s">
        <v>12738</v>
      </c>
      <c r="D253" s="2">
        <v>59</v>
      </c>
      <c r="E253" s="158">
        <v>0.36059999999999998</v>
      </c>
      <c r="F253" s="2">
        <v>0</v>
      </c>
      <c r="G253" s="2">
        <v>13986527.82</v>
      </c>
    </row>
    <row r="254" spans="1:7" x14ac:dyDescent="0.2">
      <c r="A254" t="s">
        <v>12703</v>
      </c>
      <c r="B254" t="s">
        <v>12722</v>
      </c>
      <c r="C254" t="s">
        <v>12722</v>
      </c>
      <c r="D254" s="2">
        <v>60</v>
      </c>
      <c r="E254" s="158">
        <v>0.3105</v>
      </c>
      <c r="F254" s="2">
        <v>0</v>
      </c>
      <c r="G254" s="2">
        <v>12247435.07</v>
      </c>
    </row>
    <row r="255" spans="1:7" x14ac:dyDescent="0.2">
      <c r="A255" t="s">
        <v>12703</v>
      </c>
      <c r="B255" t="s">
        <v>12996</v>
      </c>
      <c r="C255" t="s">
        <v>12996</v>
      </c>
      <c r="D255" s="2">
        <v>-46</v>
      </c>
      <c r="E255" s="158">
        <v>0.14695</v>
      </c>
      <c r="F255" s="2">
        <v>0</v>
      </c>
      <c r="G255" s="2">
        <v>-4444000.58</v>
      </c>
    </row>
    <row r="256" spans="1:7" x14ac:dyDescent="0.2">
      <c r="A256" t="s">
        <v>12703</v>
      </c>
      <c r="B256" t="s">
        <v>12739</v>
      </c>
      <c r="C256" t="s">
        <v>12739</v>
      </c>
      <c r="D256" s="2">
        <v>-46</v>
      </c>
      <c r="E256" s="158">
        <v>7.553E-2</v>
      </c>
      <c r="F256" s="2">
        <v>0</v>
      </c>
      <c r="G256" s="2">
        <v>-2284223.52</v>
      </c>
    </row>
    <row r="257" spans="1:7" x14ac:dyDescent="0.2">
      <c r="A257" t="s">
        <v>12705</v>
      </c>
      <c r="B257" t="s">
        <v>12210</v>
      </c>
      <c r="C257" t="s">
        <v>12210</v>
      </c>
      <c r="D257" s="2">
        <v>212</v>
      </c>
      <c r="E257" s="158">
        <v>1</v>
      </c>
      <c r="F257" s="2">
        <v>0</v>
      </c>
      <c r="G257" s="2">
        <v>26777720</v>
      </c>
    </row>
    <row r="258" spans="1:7" x14ac:dyDescent="0.2">
      <c r="A258" t="s">
        <v>12998</v>
      </c>
      <c r="B258" t="s">
        <v>12713</v>
      </c>
      <c r="C258" t="s">
        <v>44</v>
      </c>
      <c r="D258" s="2"/>
      <c r="E258" s="158"/>
      <c r="F258" s="2"/>
      <c r="G258" s="2"/>
    </row>
    <row r="259" spans="1:7" x14ac:dyDescent="0.2">
      <c r="A259" t="s">
        <v>12711</v>
      </c>
      <c r="B259" t="s">
        <v>11754</v>
      </c>
      <c r="C259" t="s">
        <v>11754</v>
      </c>
      <c r="D259" s="2">
        <v>63</v>
      </c>
      <c r="E259" s="158">
        <v>1</v>
      </c>
      <c r="F259" s="2">
        <v>0</v>
      </c>
      <c r="G259" s="2">
        <v>12607560</v>
      </c>
    </row>
    <row r="260" spans="1:7" x14ac:dyDescent="0.2">
      <c r="A260" t="s">
        <v>12711</v>
      </c>
      <c r="B260" t="s">
        <v>11756</v>
      </c>
      <c r="C260" t="s">
        <v>11756</v>
      </c>
      <c r="D260" s="2">
        <v>35</v>
      </c>
      <c r="E260" s="158">
        <v>1</v>
      </c>
      <c r="F260" s="2">
        <v>0</v>
      </c>
      <c r="G260" s="2">
        <v>10173450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E13F-43D2-40AB-922B-4AA4669647F0}">
  <sheetPr codeName="shOnePage"/>
  <dimension ref="A1:AR97"/>
  <sheetViews>
    <sheetView workbookViewId="0">
      <pane xSplit="4" ySplit="1" topLeftCell="E44" activePane="bottomRight" state="frozen"/>
      <selection activeCell="L2" sqref="L2"/>
      <selection pane="topRight" activeCell="L2" sqref="L2"/>
      <selection pane="bottomLeft" activeCell="L2" sqref="L2"/>
      <selection pane="bottomRight" activeCell="R8" sqref="R8"/>
    </sheetView>
  </sheetViews>
  <sheetFormatPr defaultRowHeight="12.75" x14ac:dyDescent="0.2"/>
  <cols>
    <col min="1" max="1" width="10.5703125" bestFit="1" customWidth="1"/>
    <col min="2" max="2" width="5.5703125" style="148" customWidth="1"/>
    <col min="3" max="3" width="4.85546875" style="164" bestFit="1" customWidth="1"/>
    <col min="4" max="4" width="12" bestFit="1" customWidth="1"/>
    <col min="5" max="6" width="13.28515625" customWidth="1"/>
    <col min="7" max="7" width="11.28515625" bestFit="1" customWidth="1"/>
    <col min="8" max="8" width="10.28515625" bestFit="1" customWidth="1"/>
    <col min="9" max="9" width="11.140625" bestFit="1" customWidth="1"/>
    <col min="10" max="10" width="10.5703125" customWidth="1"/>
    <col min="11" max="11" width="11.85546875" bestFit="1" customWidth="1"/>
    <col min="12" max="12" width="11.140625" customWidth="1"/>
    <col min="13" max="13" width="10.85546875" bestFit="1" customWidth="1"/>
    <col min="14" max="14" width="10" style="148" customWidth="1"/>
    <col min="15" max="15" width="38.85546875" customWidth="1"/>
    <col min="16" max="16" width="19.5703125" bestFit="1" customWidth="1"/>
  </cols>
  <sheetData>
    <row r="1" spans="1:17" s="170" customFormat="1" ht="38.25" x14ac:dyDescent="0.2">
      <c r="A1" s="171" t="s">
        <v>36</v>
      </c>
      <c r="B1" s="166" t="s">
        <v>10942</v>
      </c>
      <c r="C1" s="167" t="s">
        <v>10973</v>
      </c>
      <c r="D1" s="168" t="s">
        <v>107</v>
      </c>
      <c r="E1" s="168" t="s">
        <v>106</v>
      </c>
      <c r="F1" s="168" t="s">
        <v>10974</v>
      </c>
      <c r="G1" s="168" t="s">
        <v>10908</v>
      </c>
      <c r="H1" s="168" t="s">
        <v>109</v>
      </c>
      <c r="I1" s="168" t="s">
        <v>108</v>
      </c>
      <c r="J1" s="168" t="s">
        <v>10907</v>
      </c>
      <c r="K1" s="168" t="s">
        <v>10921</v>
      </c>
      <c r="L1" s="168" t="s">
        <v>12837</v>
      </c>
      <c r="M1" s="168" t="s">
        <v>104</v>
      </c>
      <c r="N1" s="168" t="s">
        <v>105</v>
      </c>
      <c r="O1" s="168" t="str">
        <f>"Derivative Calculations "&amp;TEXT(Data!$AJ$2,"ddd d mmm yyyy")</f>
        <v>Derivative Calculations Wed 6 Apr 2022</v>
      </c>
      <c r="P1" s="206" t="s">
        <v>10920</v>
      </c>
      <c r="Q1" s="169"/>
    </row>
    <row r="2" spans="1:17" x14ac:dyDescent="0.2">
      <c r="A2" s="63" t="s">
        <v>12423</v>
      </c>
      <c r="B2" s="148" t="str">
        <f>[1]Summary!$G$3</f>
        <v>UT</v>
      </c>
      <c r="C2" s="164">
        <f>[1]Summary!$E$1</f>
        <v>10</v>
      </c>
      <c r="D2" s="43">
        <f>[1]Summary!$C$34</f>
        <v>0.23653505665893348</v>
      </c>
      <c r="E2" s="43">
        <f>[1]Summary!$E$34/100</f>
        <v>0.23653505665893351</v>
      </c>
      <c r="F2" s="43">
        <f>[1]Summary!$C$36</f>
        <v>0.18917392732605318</v>
      </c>
      <c r="G2" s="43">
        <f>[1]Summary!$C$32</f>
        <v>0</v>
      </c>
      <c r="H2" s="43">
        <f>[1]Summary!$E$6/100</f>
        <v>2.1755042583784343E-2</v>
      </c>
      <c r="I2" s="43">
        <f>[1]Summary!$E$10/100</f>
        <v>1.963769909580583E-2</v>
      </c>
      <c r="J2" s="43">
        <f>[1]Summary!$E$14/100</f>
        <v>0.19157251498396657</v>
      </c>
      <c r="K2" s="43">
        <f>[1]Summary!$C$40</f>
        <v>0.59271598518059099</v>
      </c>
      <c r="L2" s="43">
        <f>[1]Summary!$C$54</f>
        <v>20.109193630113332</v>
      </c>
      <c r="M2" s="43">
        <f>'[1]Glbl Expsr'!$D$2</f>
        <v>9.5371566710000466E-2</v>
      </c>
      <c r="N2" s="147">
        <f>'[1]Glbl Expsr'!$D$3</f>
        <v>9.5371566710000466E-2</v>
      </c>
      <c r="O2" s="152" t="s">
        <v>12939</v>
      </c>
      <c r="P2" s="152" t="s">
        <v>12803</v>
      </c>
    </row>
    <row r="3" spans="1:17" x14ac:dyDescent="0.2">
      <c r="A3" s="63" t="s">
        <v>12181</v>
      </c>
      <c r="B3" s="148" t="str">
        <f>[2]Summary!$G$3</f>
        <v>UT</v>
      </c>
      <c r="C3" s="164">
        <f>[2]Summary!$E$1</f>
        <v>10</v>
      </c>
      <c r="D3" s="43">
        <f>[2]Summary!$C$34</f>
        <v>0.50252908513151706</v>
      </c>
      <c r="E3" s="43">
        <f>[2]Summary!$E$34/100</f>
        <v>0.50252908513151706</v>
      </c>
      <c r="F3" s="43">
        <f>[2]Summary!$C$36</f>
        <v>0</v>
      </c>
      <c r="G3" s="43">
        <f>[2]Summary!$C$32</f>
        <v>0</v>
      </c>
      <c r="H3" s="43">
        <f>[2]Summary!$E$6/100</f>
        <v>0</v>
      </c>
      <c r="I3" s="43">
        <f>[2]Summary!$E$10/100</f>
        <v>1.775748274147133E-2</v>
      </c>
      <c r="J3" s="43">
        <f>[2]Summary!$E$14/100</f>
        <v>0.12463344952779495</v>
      </c>
      <c r="K3" s="43">
        <f>[2]Summary!$C$40</f>
        <v>0.9922376655995595</v>
      </c>
      <c r="L3" s="43">
        <f>[2]Summary!$C$54</f>
        <v>0</v>
      </c>
      <c r="M3" s="43">
        <f>'[2]Glbl Expsr'!$D$2</f>
        <v>6.6275317312725221E-2</v>
      </c>
      <c r="N3" s="147">
        <f>'[2]Glbl Expsr'!$D$3</f>
        <v>6.6275317312725221E-2</v>
      </c>
      <c r="O3" s="152" t="s">
        <v>12922</v>
      </c>
      <c r="P3" s="152" t="s">
        <v>12787</v>
      </c>
      <c r="Q3" s="8"/>
    </row>
    <row r="4" spans="1:17" x14ac:dyDescent="0.2">
      <c r="A4" s="63" t="s">
        <v>12644</v>
      </c>
      <c r="B4" s="148" t="str">
        <f>[3]Summary!$G$3</f>
        <v>UT</v>
      </c>
      <c r="C4" s="164">
        <f>[3]Summary!$E$1</f>
        <v>9</v>
      </c>
      <c r="D4" s="43">
        <f>[3]Summary!$C$34</f>
        <v>1.5604779996808871E-2</v>
      </c>
      <c r="E4" s="43">
        <f>[3]Summary!$E$34/100</f>
        <v>1.5604779996808916E-2</v>
      </c>
      <c r="F4" s="43">
        <f>[3]Summary!$C$36</f>
        <v>0.19828812595179601</v>
      </c>
      <c r="G4" s="43">
        <f>[3]Summary!$C$32</f>
        <v>0</v>
      </c>
      <c r="H4" s="43">
        <f>[3]Summary!$E$6/100</f>
        <v>0</v>
      </c>
      <c r="I4" s="43">
        <f>[3]Summary!$E$10/100</f>
        <v>0</v>
      </c>
      <c r="J4" s="43">
        <f>[3]Summary!$E$14/100</f>
        <v>0</v>
      </c>
      <c r="K4" s="43">
        <f>[3]Summary!$C$40</f>
        <v>0.4073067318186121</v>
      </c>
      <c r="L4" s="43">
        <f>[3]Summary!$C$54</f>
        <v>0</v>
      </c>
      <c r="M4" s="43">
        <f>'[3]Glbl Expsr'!$D$2</f>
        <v>0.94737803873616511</v>
      </c>
      <c r="N4" s="147">
        <f>'[3]Glbl Expsr'!$D$3</f>
        <v>0.21091173482206221</v>
      </c>
      <c r="O4" s="152" t="s">
        <v>12950</v>
      </c>
      <c r="P4" s="152" t="s">
        <v>12814</v>
      </c>
    </row>
    <row r="5" spans="1:17" x14ac:dyDescent="0.2">
      <c r="A5" s="63" t="s">
        <v>12316</v>
      </c>
      <c r="B5" s="148" t="str">
        <f>[4]Summary!$G$3</f>
        <v>UT</v>
      </c>
      <c r="C5" s="164">
        <f>[4]Summary!$E$1</f>
        <v>9</v>
      </c>
      <c r="D5" s="43">
        <f>[4]Summary!$C$34</f>
        <v>2.9279105369438341E-2</v>
      </c>
      <c r="E5" s="43">
        <f>[4]Summary!$E$34/100</f>
        <v>2.9279105369438341E-2</v>
      </c>
      <c r="F5" s="43">
        <f>[4]Summary!$C$36</f>
        <v>0.20279072826825034</v>
      </c>
      <c r="G5" s="43">
        <f>[4]Summary!$C$32</f>
        <v>0</v>
      </c>
      <c r="H5" s="43">
        <f>[4]Summary!$E$6/100</f>
        <v>0</v>
      </c>
      <c r="I5" s="43">
        <f>[4]Summary!$E$10/100</f>
        <v>0</v>
      </c>
      <c r="J5" s="43">
        <f>[4]Summary!$E$14/100</f>
        <v>0</v>
      </c>
      <c r="K5" s="43">
        <f>[4]Summary!$C$40</f>
        <v>0.42110671375095821</v>
      </c>
      <c r="L5" s="43">
        <f>[4]Summary!$C$54</f>
        <v>0</v>
      </c>
      <c r="M5" s="43">
        <f>'[4]Glbl Expsr'!$D$2</f>
        <v>1.0335818767582066</v>
      </c>
      <c r="N5" s="147">
        <f>'[4]Glbl Expsr'!$D$3</f>
        <v>0.21834448550066982</v>
      </c>
      <c r="O5" s="152" t="s">
        <v>12933</v>
      </c>
      <c r="P5" s="152" t="s">
        <v>12797</v>
      </c>
    </row>
    <row r="6" spans="1:17" x14ac:dyDescent="0.2">
      <c r="A6" s="63" t="s">
        <v>11232</v>
      </c>
      <c r="B6" s="148" t="str">
        <f>[5]Summary!$G$3</f>
        <v>UT</v>
      </c>
      <c r="C6" s="164">
        <f>[5]Summary!$E$1</f>
        <v>9</v>
      </c>
      <c r="D6" s="43">
        <f>[5]Summary!$C$34</f>
        <v>3.2542982612068061E-2</v>
      </c>
      <c r="E6" s="43">
        <f>[5]Summary!$E$34/100</f>
        <v>3.2542982612067985E-2</v>
      </c>
      <c r="F6" s="43">
        <f>[5]Summary!$C$36</f>
        <v>0.16070469494604495</v>
      </c>
      <c r="G6" s="43">
        <f>[5]Summary!$C$32</f>
        <v>0</v>
      </c>
      <c r="H6" s="43">
        <f>[5]Summary!$E$6/100</f>
        <v>0</v>
      </c>
      <c r="I6" s="43">
        <f>[5]Summary!$E$10/100</f>
        <v>0</v>
      </c>
      <c r="J6" s="43">
        <f>[5]Summary!$E$14/100</f>
        <v>0</v>
      </c>
      <c r="K6" s="43">
        <f>[5]Summary!$C$40</f>
        <v>0.35493861049995618</v>
      </c>
      <c r="L6" s="43">
        <f>[5]Summary!$C$54</f>
        <v>19.462522957253299</v>
      </c>
      <c r="M6" s="43">
        <f>'[5]Glbl Expsr'!$D$2</f>
        <v>0.84041325489881757</v>
      </c>
      <c r="N6" s="147">
        <f>'[5]Glbl Expsr'!$D$3</f>
        <v>0.18768625060149291</v>
      </c>
      <c r="O6" s="150" t="s">
        <v>12890</v>
      </c>
      <c r="P6" s="46" t="s">
        <v>12759</v>
      </c>
    </row>
    <row r="7" spans="1:17" x14ac:dyDescent="0.2">
      <c r="A7" s="63" t="s">
        <v>11780</v>
      </c>
      <c r="B7" s="148" t="str">
        <f>[6]Summary!$G$3</f>
        <v>UT</v>
      </c>
      <c r="C7" s="164">
        <f>[6]Summary!$E$1</f>
        <v>9</v>
      </c>
      <c r="D7" s="43">
        <f>[6]Summary!$C$34</f>
        <v>5.8168227204522971E-2</v>
      </c>
      <c r="E7" s="43">
        <f>[6]Summary!$E$34/100</f>
        <v>5.8168227204522936E-2</v>
      </c>
      <c r="F7" s="43">
        <f>[6]Summary!$C$36</f>
        <v>0</v>
      </c>
      <c r="G7" s="43">
        <f>[6]Summary!$C$32</f>
        <v>0</v>
      </c>
      <c r="H7" s="43">
        <f>[6]Summary!$E$6/100</f>
        <v>0</v>
      </c>
      <c r="I7" s="43">
        <f>[6]Summary!$E$10/100</f>
        <v>0</v>
      </c>
      <c r="J7" s="43">
        <f>[6]Summary!$E$14/100</f>
        <v>0</v>
      </c>
      <c r="K7" s="43">
        <f>[6]Summary!$C$40</f>
        <v>0.68959519643609468</v>
      </c>
      <c r="L7" s="43">
        <f>[6]Summary!$C$54</f>
        <v>0</v>
      </c>
      <c r="M7" s="43">
        <f>'[6]Glbl Expsr'!$D$2</f>
        <v>1.7138448119015433</v>
      </c>
      <c r="N7" s="147">
        <f>'[6]Glbl Expsr'!$D$3</f>
        <v>0.50317318432866365</v>
      </c>
      <c r="O7" s="152" t="s">
        <v>12899</v>
      </c>
      <c r="P7" s="152" t="s">
        <v>12768</v>
      </c>
    </row>
    <row r="8" spans="1:17" x14ac:dyDescent="0.2">
      <c r="A8" s="63" t="s">
        <v>11985</v>
      </c>
      <c r="B8" s="148" t="str">
        <f>[7]Summary!$G$3</f>
        <v>UT</v>
      </c>
      <c r="C8" s="164">
        <f>[7]Summary!$E$1</f>
        <v>7</v>
      </c>
      <c r="D8" s="43">
        <f>[7]Summary!$C$34</f>
        <v>0.31947410280438526</v>
      </c>
      <c r="E8" s="43">
        <f>[7]Summary!$E$34/100</f>
        <v>0.31947410280438521</v>
      </c>
      <c r="F8" s="43" t="str">
        <f>[7]Summary!$C$36</f>
        <v/>
      </c>
      <c r="G8" s="43">
        <f>[7]Summary!$C$32</f>
        <v>0.19963363509387122</v>
      </c>
      <c r="H8" s="43">
        <f>[7]Summary!$E$6/100</f>
        <v>0</v>
      </c>
      <c r="I8" s="43">
        <f>[7]Summary!$E$10/100</f>
        <v>0</v>
      </c>
      <c r="J8" s="43">
        <f>[7]Summary!$E$14/100</f>
        <v>0</v>
      </c>
      <c r="K8" s="43">
        <f>[7]Summary!$C$40</f>
        <v>2.9931068840343156</v>
      </c>
      <c r="L8" s="43">
        <f>[7]Summary!$C$54</f>
        <v>17.269107547955265</v>
      </c>
      <c r="M8" s="43">
        <f>'[7]Glbl Expsr'!$D$2</f>
        <v>2.8153900269441308</v>
      </c>
      <c r="N8" s="147">
        <f>'[7]Glbl Expsr'!$D$3</f>
        <v>2.8153900269441308</v>
      </c>
      <c r="O8" s="150" t="s">
        <v>12908</v>
      </c>
      <c r="P8" s="46" t="s">
        <v>12777</v>
      </c>
    </row>
    <row r="9" spans="1:17" x14ac:dyDescent="0.2">
      <c r="A9" s="63" t="s">
        <v>12200</v>
      </c>
      <c r="B9" s="148" t="str">
        <f>[8]Summary!$G$3</f>
        <v>UT</v>
      </c>
      <c r="C9" s="164">
        <f>[8]Summary!$E$1</f>
        <v>7</v>
      </c>
      <c r="D9" s="43">
        <f>[8]Summary!$C$34</f>
        <v>0.25044271472610008</v>
      </c>
      <c r="E9" s="43">
        <f>[8]Summary!$E$34/100</f>
        <v>0.25044271472610008</v>
      </c>
      <c r="F9" s="43">
        <f>[8]Summary!$C$36</f>
        <v>0</v>
      </c>
      <c r="G9" s="43">
        <f>[8]Summary!$C$32</f>
        <v>0</v>
      </c>
      <c r="H9" s="43">
        <f>[8]Summary!$E$6/100</f>
        <v>0</v>
      </c>
      <c r="I9" s="43">
        <f>[8]Summary!$E$10/100</f>
        <v>3.3255527177279524E-2</v>
      </c>
      <c r="J9" s="43">
        <f>[8]Summary!$E$14/100</f>
        <v>0.17587447240949586</v>
      </c>
      <c r="K9" s="43">
        <f>[8]Summary!$C$40</f>
        <v>0.99069313163669115</v>
      </c>
      <c r="L9" s="43">
        <f>[8]Summary!$C$54</f>
        <v>0</v>
      </c>
      <c r="M9" s="43">
        <f>'[8]Glbl Expsr'!$D$2</f>
        <v>0.23999994847078149</v>
      </c>
      <c r="N9" s="147">
        <f>'[8]Glbl Expsr'!$D$3</f>
        <v>0.23999994847078149</v>
      </c>
      <c r="O9" s="150" t="s">
        <v>12923</v>
      </c>
      <c r="P9" s="46" t="s">
        <v>12788</v>
      </c>
    </row>
    <row r="10" spans="1:17" x14ac:dyDescent="0.2">
      <c r="A10" s="63" t="s">
        <v>12209</v>
      </c>
      <c r="B10" s="148" t="str">
        <f>[9]Summary!$G$3</f>
        <v>UT</v>
      </c>
      <c r="C10" s="164">
        <f>[9]Summary!$E$1</f>
        <v>7</v>
      </c>
      <c r="D10" s="43">
        <f>[9]Summary!$C$34</f>
        <v>0.34681845383052823</v>
      </c>
      <c r="E10" s="43">
        <f>[9]Summary!$E$34/100</f>
        <v>0.34681845383052823</v>
      </c>
      <c r="F10" s="43">
        <f>[9]Summary!$C$36</f>
        <v>0</v>
      </c>
      <c r="G10" s="43">
        <f>[9]Summary!$C$32</f>
        <v>0</v>
      </c>
      <c r="H10" s="43">
        <f>[9]Summary!$E$6/100</f>
        <v>0</v>
      </c>
      <c r="I10" s="43">
        <f>[9]Summary!$E$10/100</f>
        <v>1.9768545457934671E-2</v>
      </c>
      <c r="J10" s="43">
        <f>[9]Summary!$E$14/100</f>
        <v>0.14712864829139913</v>
      </c>
      <c r="K10" s="43">
        <f>[9]Summary!$C$40</f>
        <v>0.930185582673272</v>
      </c>
      <c r="L10" s="43">
        <f>[9]Summary!$C$54</f>
        <v>0</v>
      </c>
      <c r="M10" s="43">
        <f>'[9]Glbl Expsr'!$D$2</f>
        <v>8.8422854792313293E-2</v>
      </c>
      <c r="N10" s="147">
        <f>'[9]Glbl Expsr'!$D$3</f>
        <v>8.8422854792313293E-2</v>
      </c>
      <c r="O10" s="150" t="s">
        <v>12924</v>
      </c>
      <c r="P10" s="46" t="s">
        <v>12789</v>
      </c>
    </row>
    <row r="11" spans="1:17" x14ac:dyDescent="0.2">
      <c r="A11" s="63" t="s">
        <v>11115</v>
      </c>
      <c r="B11" s="148" t="str">
        <f>[10]Summary!$G$3</f>
        <v>UT</v>
      </c>
      <c r="C11" s="164">
        <f>[10]Summary!$E$1</f>
        <v>6</v>
      </c>
      <c r="D11" s="43">
        <f>[10]Summary!$C$34</f>
        <v>7.1720338346592249E-3</v>
      </c>
      <c r="E11" s="43">
        <f>[10]Summary!$E$34/100</f>
        <v>3.7108756948949218E-2</v>
      </c>
      <c r="F11" s="43">
        <f>[10]Summary!$C$36</f>
        <v>0.12636503396140378</v>
      </c>
      <c r="G11" s="43">
        <f>[10]Summary!$C$32</f>
        <v>0</v>
      </c>
      <c r="H11" s="43">
        <f>[10]Summary!$E$6/100</f>
        <v>0</v>
      </c>
      <c r="I11" s="43">
        <f>[10]Summary!$E$10/100</f>
        <v>0</v>
      </c>
      <c r="J11" s="43">
        <f>[10]Summary!$E$14/100</f>
        <v>0</v>
      </c>
      <c r="K11" s="43">
        <f>[10]Summary!$C$40</f>
        <v>0.64844859272333244</v>
      </c>
      <c r="L11" s="43">
        <f>[10]Summary!$C$54</f>
        <v>43.82541509217522</v>
      </c>
      <c r="M11" s="43">
        <f>'[10]Glbl Expsr'!$D$2</f>
        <v>2.8740154228607546E-2</v>
      </c>
      <c r="N11" s="147">
        <f>'[10]Glbl Expsr'!$D$3</f>
        <v>2.8740154228607546E-2</v>
      </c>
      <c r="O11" s="150" t="s">
        <v>12921</v>
      </c>
      <c r="P11" s="46" t="s">
        <v>11131</v>
      </c>
    </row>
    <row r="12" spans="1:17" x14ac:dyDescent="0.2">
      <c r="A12" s="63" t="s">
        <v>12251</v>
      </c>
      <c r="B12" s="148" t="str">
        <f>[11]Summary!$G$3</f>
        <v>UT</v>
      </c>
      <c r="C12" s="164">
        <f>[11]Summary!$E$1</f>
        <v>5</v>
      </c>
      <c r="D12" s="43">
        <f>[11]Summary!$C$34</f>
        <v>0.47815719082889774</v>
      </c>
      <c r="E12" s="43">
        <f>[11]Summary!$E$34/100</f>
        <v>0.47815719082889779</v>
      </c>
      <c r="F12" s="43">
        <f>[11]Summary!$C$36</f>
        <v>0</v>
      </c>
      <c r="G12" s="43">
        <f>[11]Summary!$C$32</f>
        <v>0</v>
      </c>
      <c r="H12" s="43">
        <f>[11]Summary!$E$6/100</f>
        <v>0</v>
      </c>
      <c r="I12" s="43">
        <f>[11]Summary!$E$10/100</f>
        <v>4.2280308550503527E-2</v>
      </c>
      <c r="J12" s="43">
        <f>[11]Summary!$E$14/100</f>
        <v>0.2136183276396463</v>
      </c>
      <c r="K12" s="43">
        <f>[11]Summary!$C$40</f>
        <v>0.98260703816086792</v>
      </c>
      <c r="L12" s="43">
        <f>[11]Summary!$C$54</f>
        <v>0</v>
      </c>
      <c r="M12" s="43">
        <f>'[11]Glbl Expsr'!$D$2</f>
        <v>0.29444411066288712</v>
      </c>
      <c r="N12" s="147">
        <f>'[11]Glbl Expsr'!$D$3</f>
        <v>0.29444411066288712</v>
      </c>
      <c r="O12" s="150" t="s">
        <v>12928</v>
      </c>
      <c r="P12" s="46" t="s">
        <v>12792</v>
      </c>
    </row>
    <row r="13" spans="1:17" x14ac:dyDescent="0.2">
      <c r="A13" s="63" t="s">
        <v>11080</v>
      </c>
      <c r="B13" s="148" t="str">
        <f>[12]Summary!$G$3</f>
        <v>UT</v>
      </c>
      <c r="C13" s="164">
        <f>[12]Summary!$E$1</f>
        <v>4</v>
      </c>
      <c r="D13" s="43">
        <f>[12]Summary!$C$34</f>
        <v>7.784560094300591E-3</v>
      </c>
      <c r="E13" s="43">
        <f>[12]Summary!$E$34/100</f>
        <v>5.2814815189091549E-2</v>
      </c>
      <c r="F13" s="43">
        <f>[12]Summary!$C$36</f>
        <v>0.1589352034581247</v>
      </c>
      <c r="G13" s="43">
        <f>[12]Summary!$C$32</f>
        <v>0</v>
      </c>
      <c r="H13" s="43">
        <f>[12]Summary!$E$6/100</f>
        <v>0</v>
      </c>
      <c r="I13" s="43">
        <f>[12]Summary!$E$10/100</f>
        <v>0</v>
      </c>
      <c r="J13" s="43">
        <f>[12]Summary!$E$14/100</f>
        <v>0</v>
      </c>
      <c r="K13" s="43">
        <f>[12]Summary!$C$40</f>
        <v>0.66108883876446189</v>
      </c>
      <c r="L13" s="43">
        <f>[12]Summary!$C$54</f>
        <v>44.692990555950111</v>
      </c>
      <c r="M13" s="43">
        <f>'[12]Glbl Expsr'!$D$2</f>
        <v>2.812014966904006E-2</v>
      </c>
      <c r="N13" s="147">
        <f>'[12]Glbl Expsr'!$D$3</f>
        <v>2.812014966904006E-2</v>
      </c>
      <c r="O13" s="152" t="s">
        <v>12920</v>
      </c>
      <c r="P13" s="152" t="s">
        <v>11130</v>
      </c>
    </row>
    <row r="14" spans="1:17" x14ac:dyDescent="0.2">
      <c r="A14" s="63" t="s">
        <v>12318</v>
      </c>
      <c r="B14" s="148" t="str">
        <f>[13]Summary!$G$3</f>
        <v>UT</v>
      </c>
      <c r="C14" s="164">
        <f>[13]Summary!$E$1</f>
        <v>4</v>
      </c>
      <c r="D14" s="43">
        <f>[13]Summary!$C$34</f>
        <v>0.12496283330728392</v>
      </c>
      <c r="E14" s="43">
        <f>[13]Summary!$E$34/100</f>
        <v>0.12496283330728392</v>
      </c>
      <c r="F14" s="43">
        <f>[13]Summary!$C$36</f>
        <v>0</v>
      </c>
      <c r="G14" s="43">
        <f>[13]Summary!$C$32</f>
        <v>0</v>
      </c>
      <c r="H14" s="43">
        <f>[13]Summary!$E$6/100</f>
        <v>0</v>
      </c>
      <c r="I14" s="43">
        <f>[13]Summary!$E$10/100</f>
        <v>1.7163906798883501E-2</v>
      </c>
      <c r="J14" s="43">
        <f>[13]Summary!$E$14/100</f>
        <v>0.38376814784895524</v>
      </c>
      <c r="K14" s="43">
        <f>[13]Summary!$C$40</f>
        <v>0.99371009133742394</v>
      </c>
      <c r="L14" s="43">
        <f>[13]Summary!$C$54</f>
        <v>0</v>
      </c>
      <c r="M14" s="43">
        <f>'[13]Glbl Expsr'!$D$2</f>
        <v>0.3092736897789406</v>
      </c>
      <c r="N14" s="147">
        <f>'[13]Glbl Expsr'!$D$3</f>
        <v>0.3092736897789406</v>
      </c>
      <c r="O14" s="150" t="s">
        <v>12934</v>
      </c>
      <c r="P14" s="46" t="s">
        <v>12798</v>
      </c>
    </row>
    <row r="15" spans="1:17" x14ac:dyDescent="0.2">
      <c r="A15" s="63" t="s">
        <v>11262</v>
      </c>
      <c r="B15" s="148" t="str">
        <f>[14]Summary!$G$3</f>
        <v>UT</v>
      </c>
      <c r="C15" s="164">
        <f>[14]Summary!$E$1</f>
        <v>4</v>
      </c>
      <c r="D15" s="43">
        <f>[14]Summary!$C$34</f>
        <v>0.36844941901963657</v>
      </c>
      <c r="E15" s="43">
        <f>[14]Summary!$E$34/100</f>
        <v>0.36844941901963657</v>
      </c>
      <c r="F15" s="43">
        <f>[14]Summary!$C$36</f>
        <v>0</v>
      </c>
      <c r="G15" s="43">
        <f>[14]Summary!$C$32</f>
        <v>0</v>
      </c>
      <c r="H15" s="43">
        <f>[14]Summary!$E$6/100</f>
        <v>0</v>
      </c>
      <c r="I15" s="43">
        <f>[14]Summary!$E$10/100</f>
        <v>1.4180764122363887E-2</v>
      </c>
      <c r="J15" s="43">
        <f>[14]Summary!$E$14/100</f>
        <v>0.1170530259406755</v>
      </c>
      <c r="K15" s="43">
        <f>[14]Summary!$C$40</f>
        <v>0.99281601933131658</v>
      </c>
      <c r="L15" s="43">
        <f>[14]Summary!$C$54</f>
        <v>0</v>
      </c>
      <c r="M15" s="43">
        <f>'[14]Glbl Expsr'!$D$2</f>
        <v>0.12444838236437988</v>
      </c>
      <c r="N15" s="147">
        <f>'[14]Glbl Expsr'!$D$3</f>
        <v>0.12444838236437988</v>
      </c>
      <c r="O15" s="152" t="s">
        <v>12892</v>
      </c>
      <c r="P15" s="152" t="s">
        <v>12761</v>
      </c>
    </row>
    <row r="16" spans="1:17" x14ac:dyDescent="0.2">
      <c r="A16" s="63" t="s">
        <v>12244</v>
      </c>
      <c r="B16" s="148" t="str">
        <f>[15]Summary!$G$3</f>
        <v>UT</v>
      </c>
      <c r="C16" s="164">
        <f>[15]Summary!$E$1</f>
        <v>4</v>
      </c>
      <c r="D16" s="43">
        <f>[15]Summary!$C$34</f>
        <v>0.46363122071181906</v>
      </c>
      <c r="E16" s="43">
        <f>[15]Summary!$E$34/100</f>
        <v>0.46363122071181906</v>
      </c>
      <c r="F16" s="43">
        <f>[15]Summary!$C$36</f>
        <v>0</v>
      </c>
      <c r="G16" s="43">
        <f>[15]Summary!$C$32</f>
        <v>0</v>
      </c>
      <c r="H16" s="43">
        <f>[15]Summary!$E$6/100</f>
        <v>0</v>
      </c>
      <c r="I16" s="43">
        <f>[15]Summary!$E$10/100</f>
        <v>0</v>
      </c>
      <c r="J16" s="43">
        <f>[15]Summary!$E$14/100</f>
        <v>0</v>
      </c>
      <c r="K16" s="43">
        <f>[15]Summary!$C$40</f>
        <v>0.99423061147177272</v>
      </c>
      <c r="L16" s="43">
        <f>[15]Summary!$C$54</f>
        <v>0</v>
      </c>
      <c r="M16" s="43">
        <f>'[15]Glbl Expsr'!$D$2</f>
        <v>0.15333855704167892</v>
      </c>
      <c r="N16" s="147">
        <f>'[15]Glbl Expsr'!$D$3</f>
        <v>0.15333855704167892</v>
      </c>
      <c r="O16" s="152" t="s">
        <v>12926</v>
      </c>
      <c r="P16" s="152" t="s">
        <v>12791</v>
      </c>
    </row>
    <row r="17" spans="1:18" x14ac:dyDescent="0.2">
      <c r="A17" s="63" t="s">
        <v>12610</v>
      </c>
      <c r="B17" s="148" t="str">
        <f>[16]Summary!$G$3</f>
        <v>UT</v>
      </c>
      <c r="C17" s="164">
        <f>[16]Summary!$E$1</f>
        <v>3</v>
      </c>
      <c r="D17" s="43">
        <f>[16]Summary!$C$34</f>
        <v>6.4514804948632154E-3</v>
      </c>
      <c r="E17" s="43">
        <f>[16]Summary!$E$34/100</f>
        <v>6.4514804948632327E-3</v>
      </c>
      <c r="F17" s="43">
        <f>[16]Summary!$C$36</f>
        <v>0</v>
      </c>
      <c r="G17" s="43">
        <f>[16]Summary!$C$32</f>
        <v>0</v>
      </c>
      <c r="H17" s="43">
        <f>[16]Summary!$E$6/100</f>
        <v>0</v>
      </c>
      <c r="I17" s="43">
        <f>[16]Summary!$E$10/100</f>
        <v>0</v>
      </c>
      <c r="J17" s="43">
        <f>[16]Summary!$E$14/100</f>
        <v>0</v>
      </c>
      <c r="K17" s="43">
        <f>[16]Summary!$C$40</f>
        <v>4.5373425681166379</v>
      </c>
      <c r="L17" s="43">
        <f>[16]Summary!$C$54</f>
        <v>0</v>
      </c>
      <c r="M17" s="43">
        <f>'[16]Glbl Expsr'!$D$2</f>
        <v>4.5373425681166379</v>
      </c>
      <c r="N17" s="147">
        <f>'[16]Glbl Expsr'!$D$3</f>
        <v>4.5373425681166379</v>
      </c>
      <c r="O17" s="150" t="s">
        <v>12945</v>
      </c>
      <c r="P17" s="46" t="s">
        <v>12809</v>
      </c>
    </row>
    <row r="18" spans="1:18" x14ac:dyDescent="0.2">
      <c r="A18" s="63" t="s">
        <v>12602</v>
      </c>
      <c r="B18" s="148" t="str">
        <f>[17]Summary!$G$3</f>
        <v>UT</v>
      </c>
      <c r="C18" s="164">
        <f>[17]Summary!$E$1</f>
        <v>3</v>
      </c>
      <c r="D18" s="43">
        <f>[17]Summary!$C$34</f>
        <v>8.7109861055939541E-3</v>
      </c>
      <c r="E18" s="43">
        <f>[17]Summary!$E$34/100</f>
        <v>8.7109861055940027E-3</v>
      </c>
      <c r="F18" s="43">
        <f>[17]Summary!$C$36</f>
        <v>0</v>
      </c>
      <c r="G18" s="43">
        <f>[17]Summary!$C$32</f>
        <v>0</v>
      </c>
      <c r="H18" s="43">
        <f>[17]Summary!$E$6/100</f>
        <v>0</v>
      </c>
      <c r="I18" s="43">
        <f>[17]Summary!$E$10/100</f>
        <v>0</v>
      </c>
      <c r="J18" s="43">
        <f>[17]Summary!$E$14/100</f>
        <v>0</v>
      </c>
      <c r="K18" s="43">
        <f>[17]Summary!$C$40</f>
        <v>4.8874986035305703</v>
      </c>
      <c r="L18" s="43">
        <f>[17]Summary!$C$54</f>
        <v>0</v>
      </c>
      <c r="M18" s="43">
        <f>'[17]Glbl Expsr'!$D$2</f>
        <v>4.8874986035305703</v>
      </c>
      <c r="N18" s="147">
        <f>'[17]Glbl Expsr'!$D$3</f>
        <v>4.8874986035305703</v>
      </c>
      <c r="O18" s="150" t="s">
        <v>12944</v>
      </c>
      <c r="P18" s="46" t="s">
        <v>12808</v>
      </c>
    </row>
    <row r="19" spans="1:18" x14ac:dyDescent="0.2">
      <c r="A19" s="63" t="s">
        <v>11127</v>
      </c>
      <c r="B19" s="148" t="str">
        <f>[18]Summary!$G$3</f>
        <v>UT</v>
      </c>
      <c r="C19" s="164">
        <f>[18]Summary!$E$1</f>
        <v>3</v>
      </c>
      <c r="D19" s="43">
        <f>[18]Summary!$C$34</f>
        <v>1.0002732848093054E-2</v>
      </c>
      <c r="E19" s="43">
        <f>[18]Summary!$E$34/100</f>
        <v>0.1072071914906445</v>
      </c>
      <c r="F19" s="43">
        <f>[18]Summary!$C$36</f>
        <v>0.29925093922767398</v>
      </c>
      <c r="G19" s="43">
        <f>[18]Summary!$C$32</f>
        <v>0</v>
      </c>
      <c r="H19" s="43">
        <f>[18]Summary!$E$6/100</f>
        <v>0</v>
      </c>
      <c r="I19" s="43">
        <f>[18]Summary!$E$10/100</f>
        <v>0</v>
      </c>
      <c r="J19" s="43">
        <f>[18]Summary!$E$14/100</f>
        <v>0</v>
      </c>
      <c r="K19" s="43">
        <f>[18]Summary!$C$40</f>
        <v>0.31714404250379247</v>
      </c>
      <c r="L19" s="43">
        <f>[18]Summary!$C$54</f>
        <v>43.613811116944809</v>
      </c>
      <c r="M19" s="43">
        <f>'[18]Glbl Expsr'!$D$2</f>
        <v>9.2307134817465886E-3</v>
      </c>
      <c r="N19" s="147">
        <f>'[18]Glbl Expsr'!$D$3</f>
        <v>9.2307134817465886E-3</v>
      </c>
      <c r="O19" s="150" t="s">
        <v>12927</v>
      </c>
      <c r="P19" s="46" t="s">
        <v>11132</v>
      </c>
    </row>
    <row r="20" spans="1:18" x14ac:dyDescent="0.2">
      <c r="A20" s="63" t="s">
        <v>12612</v>
      </c>
      <c r="B20" s="148" t="str">
        <f>[19]Summary!$G$3</f>
        <v>UT</v>
      </c>
      <c r="C20" s="164">
        <f>[19]Summary!$E$1</f>
        <v>3</v>
      </c>
      <c r="D20" s="43">
        <f>[19]Summary!$C$34</f>
        <v>1.1947853595659974E-2</v>
      </c>
      <c r="E20" s="43">
        <f>[19]Summary!$E$34/100</f>
        <v>1.1947853595659979E-2</v>
      </c>
      <c r="F20" s="43">
        <f>[19]Summary!$C$36</f>
        <v>0</v>
      </c>
      <c r="G20" s="43">
        <f>[19]Summary!$C$32</f>
        <v>0</v>
      </c>
      <c r="H20" s="43">
        <f>[19]Summary!$E$6/100</f>
        <v>0</v>
      </c>
      <c r="I20" s="43">
        <f>[19]Summary!$E$10/100</f>
        <v>0</v>
      </c>
      <c r="J20" s="43">
        <f>[19]Summary!$E$14/100</f>
        <v>0</v>
      </c>
      <c r="K20" s="43">
        <f>[19]Summary!$C$40</f>
        <v>4.5371611139734158</v>
      </c>
      <c r="L20" s="43">
        <f>[19]Summary!$C$54</f>
        <v>0</v>
      </c>
      <c r="M20" s="43">
        <f>'[19]Glbl Expsr'!$D$2</f>
        <v>4.5371611139734158</v>
      </c>
      <c r="N20" s="147">
        <f>'[19]Glbl Expsr'!$D$3</f>
        <v>4.5371611139734158</v>
      </c>
      <c r="O20" s="152" t="s">
        <v>12946</v>
      </c>
      <c r="P20" s="152" t="s">
        <v>12810</v>
      </c>
    </row>
    <row r="21" spans="1:18" x14ac:dyDescent="0.2">
      <c r="A21" s="63" t="s">
        <v>12690</v>
      </c>
      <c r="B21" s="148" t="str">
        <f>[20]Summary!$G$3</f>
        <v>UT</v>
      </c>
      <c r="C21" s="164">
        <f>[20]Summary!$E$1</f>
        <v>2</v>
      </c>
      <c r="D21" s="43">
        <f>[20]Summary!$C$34</f>
        <v>3.749167119073471E-3</v>
      </c>
      <c r="E21" s="43">
        <f>[20]Summary!$E$34/100</f>
        <v>3.7491671190734623E-3</v>
      </c>
      <c r="F21" s="43">
        <f>[20]Summary!$C$36</f>
        <v>9.9448085581634142E-3</v>
      </c>
      <c r="G21" s="43">
        <f>[20]Summary!$C$32</f>
        <v>0</v>
      </c>
      <c r="H21" s="43">
        <f>[20]Summary!$E$6/100</f>
        <v>0</v>
      </c>
      <c r="I21" s="43">
        <f>[20]Summary!$E$10/100</f>
        <v>0</v>
      </c>
      <c r="J21" s="43">
        <f>[20]Summary!$E$14/100</f>
        <v>0</v>
      </c>
      <c r="K21" s="43">
        <f>[20]Summary!$C$40</f>
        <v>0.35472693685821965</v>
      </c>
      <c r="L21" s="43">
        <f>[20]Summary!$C$54</f>
        <v>0</v>
      </c>
      <c r="M21" s="43">
        <f>'[20]Glbl Expsr'!$D$2</f>
        <v>0.26707297282160175</v>
      </c>
      <c r="N21" s="147">
        <f>'[20]Glbl Expsr'!$D$3</f>
        <v>0.26707297282160175</v>
      </c>
      <c r="O21" s="152" t="s">
        <v>12960</v>
      </c>
      <c r="P21" s="152" t="s">
        <v>12824</v>
      </c>
    </row>
    <row r="22" spans="1:18" x14ac:dyDescent="0.2">
      <c r="A22" s="63" t="s">
        <v>11784</v>
      </c>
      <c r="B22" s="148" t="str">
        <f>[21]Summary!$G$3</f>
        <v>UT</v>
      </c>
      <c r="C22" s="164">
        <f>[21]Summary!$E$1</f>
        <v>2</v>
      </c>
      <c r="D22" s="43">
        <f>[21]Summary!$C$34</f>
        <v>0.1648012594216347</v>
      </c>
      <c r="E22" s="43">
        <f>[21]Summary!$E$34/100</f>
        <v>0.1648012594216347</v>
      </c>
      <c r="F22" s="43">
        <f>[21]Summary!$C$36</f>
        <v>0.67706999194002071</v>
      </c>
      <c r="G22" s="43">
        <f>[21]Summary!$C$32</f>
        <v>0</v>
      </c>
      <c r="H22" s="43">
        <f>[21]Summary!$E$6/100</f>
        <v>0.1303783354394322</v>
      </c>
      <c r="I22" s="43">
        <f>[21]Summary!$E$10/100</f>
        <v>0</v>
      </c>
      <c r="J22" s="43">
        <f>[21]Summary!$E$14/100</f>
        <v>2.0140446448520827E-3</v>
      </c>
      <c r="K22" s="43">
        <f>[21]Summary!$C$40</f>
        <v>4.7540832771816491E-2</v>
      </c>
      <c r="L22" s="43">
        <f>[21]Summary!$C$54</f>
        <v>5.1072566343036474</v>
      </c>
      <c r="M22" s="43">
        <f>'[21]Glbl Expsr'!$D$2</f>
        <v>1.9583205377522245E-4</v>
      </c>
      <c r="N22" s="147">
        <f>'[21]Glbl Expsr'!$D$3</f>
        <v>1.9413205223935812E-4</v>
      </c>
      <c r="O22" s="150" t="s">
        <v>12900</v>
      </c>
      <c r="P22" s="46" t="s">
        <v>12769</v>
      </c>
    </row>
    <row r="23" spans="1:18" x14ac:dyDescent="0.2">
      <c r="A23" s="63" t="s">
        <v>12614</v>
      </c>
      <c r="B23" s="148" t="str">
        <f>[22]Summary!$G$3</f>
        <v>UT</v>
      </c>
      <c r="C23" s="164">
        <f>[22]Summary!$E$1</f>
        <v>2</v>
      </c>
      <c r="D23" s="43">
        <f>[22]Summary!$C$34</f>
        <v>0.1873958953144978</v>
      </c>
      <c r="E23" s="43">
        <f>[22]Summary!$E$34/100</f>
        <v>0.1873958953144978</v>
      </c>
      <c r="F23" s="43">
        <f>[22]Summary!$C$36</f>
        <v>0.45405665299056419</v>
      </c>
      <c r="G23" s="43">
        <f>[22]Summary!$C$32</f>
        <v>0</v>
      </c>
      <c r="H23" s="43">
        <f>[22]Summary!$E$6/100</f>
        <v>5.7555137872754292E-2</v>
      </c>
      <c r="I23" s="43">
        <f>[22]Summary!$E$10/100</f>
        <v>0</v>
      </c>
      <c r="J23" s="43">
        <f>[22]Summary!$E$14/100</f>
        <v>0</v>
      </c>
      <c r="K23" s="43">
        <f>[22]Summary!$C$40</f>
        <v>5.7927489378739538E-2</v>
      </c>
      <c r="L23" s="43">
        <f>[22]Summary!$C$54</f>
        <v>8.4597345360063905</v>
      </c>
      <c r="M23" s="43">
        <f>'[22]Glbl Expsr'!$D$2</f>
        <v>1.7937063474477867E-4</v>
      </c>
      <c r="N23" s="147">
        <f>'[22]Glbl Expsr'!$D$3</f>
        <v>1.7781353339861659E-4</v>
      </c>
      <c r="O23" s="152" t="s">
        <v>12947</v>
      </c>
      <c r="P23" s="152" t="s">
        <v>12811</v>
      </c>
    </row>
    <row r="24" spans="1:18" x14ac:dyDescent="0.2">
      <c r="A24" s="63" t="s">
        <v>12616</v>
      </c>
      <c r="B24" s="148" t="str">
        <f>[23]Summary!$G$3</f>
        <v>UT</v>
      </c>
      <c r="C24" s="164">
        <f>[23]Summary!$E$1</f>
        <v>2</v>
      </c>
      <c r="D24" s="43">
        <f>[23]Summary!$C$34</f>
        <v>0.18812216281602598</v>
      </c>
      <c r="E24" s="43">
        <f>[23]Summary!$E$34/100</f>
        <v>0.18812216281602598</v>
      </c>
      <c r="F24" s="43">
        <f>[23]Summary!$C$36</f>
        <v>0.66968045324609626</v>
      </c>
      <c r="G24" s="43">
        <f>[23]Summary!$C$32</f>
        <v>0</v>
      </c>
      <c r="H24" s="43">
        <f>[23]Summary!$E$6/100</f>
        <v>0.11040074124200344</v>
      </c>
      <c r="I24" s="43">
        <f>[23]Summary!$E$10/100</f>
        <v>0</v>
      </c>
      <c r="J24" s="43">
        <f>[23]Summary!$E$14/100</f>
        <v>0</v>
      </c>
      <c r="K24" s="43">
        <f>[23]Summary!$C$40</f>
        <v>5.6875317890049605E-2</v>
      </c>
      <c r="L24" s="43">
        <f>[23]Summary!$C$54</f>
        <v>5.6319493639135212</v>
      </c>
      <c r="M24" s="43">
        <f>'[23]Glbl Expsr'!$D$2</f>
        <v>2.3108087404710823E-4</v>
      </c>
      <c r="N24" s="147">
        <f>'[23]Glbl Expsr'!$D$3</f>
        <v>2.2907488047651611E-4</v>
      </c>
      <c r="O24" s="150" t="s">
        <v>12948</v>
      </c>
      <c r="P24" s="46" t="s">
        <v>12812</v>
      </c>
    </row>
    <row r="25" spans="1:18" x14ac:dyDescent="0.2">
      <c r="A25" s="63" t="s">
        <v>12650</v>
      </c>
      <c r="B25" s="148" t="str">
        <f>[24]Summary!$G$3</f>
        <v>UT</v>
      </c>
      <c r="C25" s="164">
        <f>[24]Summary!$E$1</f>
        <v>2</v>
      </c>
      <c r="D25" s="43">
        <f>[24]Summary!$C$34</f>
        <v>0.19016157926427946</v>
      </c>
      <c r="E25" s="43">
        <f>[24]Summary!$E$34/100</f>
        <v>0.19016157926427943</v>
      </c>
      <c r="F25" s="43">
        <f>[24]Summary!$C$36</f>
        <v>0.63298717694242035</v>
      </c>
      <c r="G25" s="43">
        <f>[24]Summary!$C$32</f>
        <v>0</v>
      </c>
      <c r="H25" s="43">
        <f>[24]Summary!$E$6/100</f>
        <v>0.10877985740640014</v>
      </c>
      <c r="I25" s="43">
        <f>[24]Summary!$E$10/100</f>
        <v>0</v>
      </c>
      <c r="J25" s="43">
        <f>[24]Summary!$E$14/100</f>
        <v>0</v>
      </c>
      <c r="K25" s="43">
        <f>[24]Summary!$C$40</f>
        <v>5.7519799129596108E-2</v>
      </c>
      <c r="L25" s="43">
        <f>[24]Summary!$C$54</f>
        <v>7.8233252074520863</v>
      </c>
      <c r="M25" s="43">
        <f>'[24]Glbl Expsr'!$D$2</f>
        <v>2.832435092994678E-4</v>
      </c>
      <c r="N25" s="147">
        <f>'[24]Glbl Expsr'!$D$3</f>
        <v>2.8078469629337345E-4</v>
      </c>
      <c r="O25" s="150" t="s">
        <v>12953</v>
      </c>
      <c r="P25" s="46" t="s">
        <v>12817</v>
      </c>
    </row>
    <row r="26" spans="1:18" x14ac:dyDescent="0.2">
      <c r="A26" s="63" t="s">
        <v>11912</v>
      </c>
      <c r="B26" s="148" t="str">
        <f>[25]Summary!$G$3</f>
        <v>UT</v>
      </c>
      <c r="C26" s="164">
        <f>[25]Summary!$E$1</f>
        <v>2</v>
      </c>
      <c r="D26" s="43">
        <f>[25]Summary!$C$34</f>
        <v>0.22456623983175411</v>
      </c>
      <c r="E26" s="43">
        <f>[25]Summary!$E$34/100</f>
        <v>0.22456623983175411</v>
      </c>
      <c r="F26" s="43">
        <f>[25]Summary!$C$36</f>
        <v>0.77463767500605041</v>
      </c>
      <c r="G26" s="43">
        <f>[25]Summary!$C$32</f>
        <v>0</v>
      </c>
      <c r="H26" s="43">
        <f>[25]Summary!$E$6/100</f>
        <v>0.12072133872455132</v>
      </c>
      <c r="I26" s="43">
        <f>[25]Summary!$E$10/100</f>
        <v>0</v>
      </c>
      <c r="J26" s="43">
        <f>[25]Summary!$E$14/100</f>
        <v>0</v>
      </c>
      <c r="K26" s="43">
        <f>[25]Summary!$C$40</f>
        <v>1.3893527314458827E-4</v>
      </c>
      <c r="L26" s="43">
        <f>[25]Summary!$C$54</f>
        <v>-1.4970155760724961</v>
      </c>
      <c r="M26" s="43">
        <f>'[25]Glbl Expsr'!$D$2</f>
        <v>1.4015192013825582E-4</v>
      </c>
      <c r="N26" s="147">
        <f>'[25]Glbl Expsr'!$D$3</f>
        <v>1.3893527314458827E-4</v>
      </c>
      <c r="O26" s="150" t="s">
        <v>12901</v>
      </c>
      <c r="P26" s="46" t="s">
        <v>12770</v>
      </c>
    </row>
    <row r="27" spans="1:18" x14ac:dyDescent="0.2">
      <c r="A27" s="63" t="s">
        <v>12658</v>
      </c>
      <c r="B27" s="148" t="str">
        <f>[26]Summary!$G$3</f>
        <v>UT</v>
      </c>
      <c r="C27" s="164">
        <f>[26]Summary!$E$1</f>
        <v>2</v>
      </c>
      <c r="D27" s="43">
        <f>[26]Summary!$C$34</f>
        <v>0.22633957483425532</v>
      </c>
      <c r="E27" s="43">
        <f>[26]Summary!$E$34/100</f>
        <v>0.22633957483425532</v>
      </c>
      <c r="F27" s="43">
        <f>[26]Summary!$C$36</f>
        <v>0.57166136057632588</v>
      </c>
      <c r="G27" s="43">
        <f>[26]Summary!$C$32</f>
        <v>0</v>
      </c>
      <c r="H27" s="43">
        <f>[26]Summary!$E$6/100</f>
        <v>4.2692009347955827E-2</v>
      </c>
      <c r="I27" s="43">
        <f>[26]Summary!$E$10/100</f>
        <v>0</v>
      </c>
      <c r="J27" s="43">
        <f>[26]Summary!$E$14/100</f>
        <v>0</v>
      </c>
      <c r="K27" s="43">
        <f>[26]Summary!$C$40</f>
        <v>3.6006720961438296E-2</v>
      </c>
      <c r="L27" s="43">
        <f>[26]Summary!$C$54</f>
        <v>4.7421055316347971</v>
      </c>
      <c r="M27" s="43">
        <f>'[26]Glbl Expsr'!$D$2</f>
        <v>1.6216990180869644E-4</v>
      </c>
      <c r="N27" s="147">
        <f>'[26]Glbl Expsr'!$D$3</f>
        <v>1.6076211857387327E-4</v>
      </c>
      <c r="O27" s="150" t="s">
        <v>12957</v>
      </c>
      <c r="P27" s="46" t="s">
        <v>12821</v>
      </c>
      <c r="R27" s="8"/>
    </row>
    <row r="28" spans="1:18" x14ac:dyDescent="0.2">
      <c r="A28" s="63" t="s">
        <v>11955</v>
      </c>
      <c r="B28" s="148" t="str">
        <f>[27]Summary!$G$3</f>
        <v>UT</v>
      </c>
      <c r="C28" s="164">
        <f>[27]Summary!$E$1</f>
        <v>2</v>
      </c>
      <c r="D28" s="43">
        <f>[27]Summary!$C$34</f>
        <v>0.29621998232157276</v>
      </c>
      <c r="E28" s="43">
        <f>[27]Summary!$E$34/100</f>
        <v>0.29621998232157276</v>
      </c>
      <c r="F28" s="43">
        <f>[27]Summary!$C$36</f>
        <v>0.39682892592583946</v>
      </c>
      <c r="G28" s="43">
        <f>[27]Summary!$C$32</f>
        <v>0</v>
      </c>
      <c r="H28" s="43">
        <f>[27]Summary!$E$6/100</f>
        <v>4.683066652143851E-2</v>
      </c>
      <c r="I28" s="43">
        <f>[27]Summary!$E$10/100</f>
        <v>0</v>
      </c>
      <c r="J28" s="43">
        <f>[27]Summary!$E$14/100</f>
        <v>0</v>
      </c>
      <c r="K28" s="43">
        <f>[27]Summary!$C$40</f>
        <v>4.3889842300107604E-2</v>
      </c>
      <c r="L28" s="43">
        <f>[27]Summary!$C$54</f>
        <v>2.0980707726969676</v>
      </c>
      <c r="M28" s="43">
        <f>'[27]Glbl Expsr'!$D$2</f>
        <v>3.9647872906449125E-4</v>
      </c>
      <c r="N28" s="147">
        <f>'[27]Glbl Expsr'!$D$3</f>
        <v>3.9303693066962371E-4</v>
      </c>
      <c r="O28" s="46" t="s">
        <v>12906</v>
      </c>
      <c r="P28" s="46" t="s">
        <v>12775</v>
      </c>
    </row>
    <row r="29" spans="1:18" x14ac:dyDescent="0.2">
      <c r="A29" s="63" t="s">
        <v>12646</v>
      </c>
      <c r="B29" s="148" t="str">
        <f>[28]Summary!$G$3</f>
        <v>UT</v>
      </c>
      <c r="C29" s="164">
        <f>[28]Summary!$E$1</f>
        <v>2</v>
      </c>
      <c r="D29" s="43">
        <f>[28]Summary!$C$34</f>
        <v>0.36241962834756325</v>
      </c>
      <c r="E29" s="43">
        <f>[28]Summary!$E$34/100</f>
        <v>0.36241962834756319</v>
      </c>
      <c r="F29" s="43">
        <f>[28]Summary!$C$36</f>
        <v>0.55031471002805266</v>
      </c>
      <c r="G29" s="43">
        <f>[28]Summary!$C$32</f>
        <v>0</v>
      </c>
      <c r="H29" s="43">
        <f>[28]Summary!$E$6/100</f>
        <v>0.11435549830290573</v>
      </c>
      <c r="I29" s="43">
        <f>[28]Summary!$E$10/100</f>
        <v>0</v>
      </c>
      <c r="J29" s="43">
        <f>[28]Summary!$E$14/100</f>
        <v>0</v>
      </c>
      <c r="K29" s="43">
        <f>[28]Summary!$C$40</f>
        <v>3.8489006595728861E-2</v>
      </c>
      <c r="L29" s="43">
        <f>[28]Summary!$C$54</f>
        <v>1.975503189932363</v>
      </c>
      <c r="M29" s="43">
        <f>'[28]Glbl Expsr'!$D$2</f>
        <v>2.6332107279023798E-4</v>
      </c>
      <c r="N29" s="147">
        <f>'[28]Glbl Expsr'!$D$3</f>
        <v>2.6103520477456244E-4</v>
      </c>
      <c r="O29" s="150" t="s">
        <v>12951</v>
      </c>
      <c r="P29" s="46" t="s">
        <v>12815</v>
      </c>
    </row>
    <row r="30" spans="1:18" x14ac:dyDescent="0.2">
      <c r="A30" s="63" t="s">
        <v>12632</v>
      </c>
      <c r="B30" s="148" t="str">
        <f>[29]Summary!$G$3</f>
        <v>UT</v>
      </c>
      <c r="C30" s="164">
        <f>[29]Summary!$E$1</f>
        <v>0</v>
      </c>
      <c r="D30" s="43">
        <f>[29]Summary!$C$34</f>
        <v>2.0567919934519818E-3</v>
      </c>
      <c r="E30" s="43">
        <f>[29]Summary!$E$34/100</f>
        <v>2.0567919934519818E-3</v>
      </c>
      <c r="F30" s="43">
        <f>[29]Summary!$C$36</f>
        <v>0.99794320800654801</v>
      </c>
      <c r="G30" s="43">
        <f>[29]Summary!$C$32</f>
        <v>0</v>
      </c>
      <c r="H30" s="43">
        <f>[29]Summary!$E$6/100</f>
        <v>0</v>
      </c>
      <c r="I30" s="43">
        <f>[29]Summary!$E$10/100</f>
        <v>0</v>
      </c>
      <c r="J30" s="43">
        <f>[29]Summary!$E$14/100</f>
        <v>0</v>
      </c>
      <c r="K30" s="43">
        <f>[29]Summary!$C$40</f>
        <v>0</v>
      </c>
      <c r="L30" s="43">
        <f>[29]Summary!$C$54</f>
        <v>0</v>
      </c>
      <c r="M30" s="43">
        <f>'[29]Glbl Expsr'!$D$2</f>
        <v>0</v>
      </c>
      <c r="N30" s="147">
        <f>'[29]Glbl Expsr'!$D$3</f>
        <v>0</v>
      </c>
      <c r="O30" s="150" t="s">
        <v>12949</v>
      </c>
      <c r="P30" s="46" t="s">
        <v>12813</v>
      </c>
    </row>
    <row r="31" spans="1:18" x14ac:dyDescent="0.2">
      <c r="A31" s="63" t="s">
        <v>12654</v>
      </c>
      <c r="B31" s="148" t="str">
        <f>[30]Summary!$G$3</f>
        <v>UT</v>
      </c>
      <c r="C31" s="164">
        <f>[30]Summary!$E$1</f>
        <v>0</v>
      </c>
      <c r="D31" s="43">
        <f>[30]Summary!$C$34</f>
        <v>2.4365092889186406E-3</v>
      </c>
      <c r="E31" s="43">
        <f>[30]Summary!$E$34/100</f>
        <v>2.4365092889186406E-3</v>
      </c>
      <c r="F31" s="43">
        <f>[30]Summary!$C$36</f>
        <v>0.99756349071108141</v>
      </c>
      <c r="G31" s="43">
        <f>[30]Summary!$C$32</f>
        <v>0</v>
      </c>
      <c r="H31" s="43">
        <f>[30]Summary!$E$6/100</f>
        <v>2.3064704520936584E-2</v>
      </c>
      <c r="I31" s="43">
        <f>[30]Summary!$E$10/100</f>
        <v>0</v>
      </c>
      <c r="J31" s="43">
        <f>[30]Summary!$E$14/100</f>
        <v>0</v>
      </c>
      <c r="K31" s="43">
        <f>[30]Summary!$C$40</f>
        <v>0</v>
      </c>
      <c r="L31" s="43">
        <f>[30]Summary!$C$54</f>
        <v>0</v>
      </c>
      <c r="M31" s="43">
        <f>'[30]Glbl Expsr'!$D$2</f>
        <v>0</v>
      </c>
      <c r="N31" s="147">
        <f>'[30]Glbl Expsr'!$D$3</f>
        <v>0</v>
      </c>
      <c r="O31" s="150" t="s">
        <v>12955</v>
      </c>
      <c r="P31" s="46" t="s">
        <v>12819</v>
      </c>
    </row>
    <row r="32" spans="1:18" x14ac:dyDescent="0.2">
      <c r="A32" s="63" t="s">
        <v>12261</v>
      </c>
      <c r="B32" s="148" t="str">
        <f>[31]Summary!$G$3</f>
        <v>UT</v>
      </c>
      <c r="C32" s="164">
        <f>[31]Summary!$E$1</f>
        <v>0</v>
      </c>
      <c r="D32" s="43">
        <f>[31]Summary!$C$34</f>
        <v>3.0173300875988396E-3</v>
      </c>
      <c r="E32" s="43">
        <f>[31]Summary!$E$34/100</f>
        <v>3.0173300875988396E-3</v>
      </c>
      <c r="F32" s="43">
        <f>[31]Summary!$C$36</f>
        <v>0.99698266991240125</v>
      </c>
      <c r="G32" s="43">
        <f>[31]Summary!$C$32</f>
        <v>0</v>
      </c>
      <c r="H32" s="43">
        <f>[31]Summary!$E$6/100</f>
        <v>0</v>
      </c>
      <c r="I32" s="43">
        <f>[31]Summary!$E$10/100</f>
        <v>0</v>
      </c>
      <c r="J32" s="43">
        <f>[31]Summary!$E$14/100</f>
        <v>0</v>
      </c>
      <c r="K32" s="43">
        <f>[31]Summary!$C$40</f>
        <v>0</v>
      </c>
      <c r="L32" s="43">
        <f>[31]Summary!$C$54</f>
        <v>0</v>
      </c>
      <c r="M32" s="43">
        <f>'[31]Glbl Expsr'!$D$2</f>
        <v>0</v>
      </c>
      <c r="N32" s="147">
        <f>'[31]Glbl Expsr'!$D$3</f>
        <v>0</v>
      </c>
      <c r="O32" s="150" t="s">
        <v>12929</v>
      </c>
      <c r="P32" s="46" t="s">
        <v>12793</v>
      </c>
    </row>
    <row r="33" spans="1:44" x14ac:dyDescent="0.2">
      <c r="A33" s="63" t="s">
        <v>12140</v>
      </c>
      <c r="B33" s="148" t="str">
        <f>[32]Summary!$G$3</f>
        <v>UT</v>
      </c>
      <c r="C33" s="164">
        <f>[32]Summary!$E$1</f>
        <v>0</v>
      </c>
      <c r="D33" s="43">
        <f>[32]Summary!$C$34</f>
        <v>3.2614639035901112E-3</v>
      </c>
      <c r="E33" s="43">
        <f>[32]Summary!$E$34/100</f>
        <v>3.2614639035901112E-3</v>
      </c>
      <c r="F33" s="43">
        <f>[32]Summary!$C$36</f>
        <v>0.99673853609640994</v>
      </c>
      <c r="G33" s="43">
        <f>[32]Summary!$C$32</f>
        <v>0</v>
      </c>
      <c r="H33" s="43">
        <f>[32]Summary!$E$6/100</f>
        <v>0</v>
      </c>
      <c r="I33" s="43">
        <f>[32]Summary!$E$10/100</f>
        <v>0</v>
      </c>
      <c r="J33" s="43">
        <f>[32]Summary!$E$14/100</f>
        <v>0</v>
      </c>
      <c r="K33" s="43">
        <f>[32]Summary!$C$40</f>
        <v>0</v>
      </c>
      <c r="L33" s="43">
        <f>[32]Summary!$C$54</f>
        <v>0</v>
      </c>
      <c r="M33" s="43">
        <f>'[32]Glbl Expsr'!$D$2</f>
        <v>0</v>
      </c>
      <c r="N33" s="147">
        <f>'[32]Glbl Expsr'!$D$3</f>
        <v>0</v>
      </c>
      <c r="O33" s="152" t="s">
        <v>12917</v>
      </c>
      <c r="P33" s="152" t="s">
        <v>12786</v>
      </c>
    </row>
    <row r="34" spans="1:44" x14ac:dyDescent="0.2">
      <c r="A34" s="63" t="s">
        <v>12663</v>
      </c>
      <c r="B34" s="148" t="str">
        <f>[33]Summary!$G$3</f>
        <v>UT</v>
      </c>
      <c r="C34" s="164">
        <f>[33]Summary!$E$1</f>
        <v>0</v>
      </c>
      <c r="D34" s="43">
        <f>[33]Summary!$C$34</f>
        <v>3.5404714804083575E-3</v>
      </c>
      <c r="E34" s="43">
        <f>[33]Summary!$E$34/100</f>
        <v>3.5404714804083575E-3</v>
      </c>
      <c r="F34" s="43">
        <f>[33]Summary!$C$36</f>
        <v>0.99645952851959174</v>
      </c>
      <c r="G34" s="43">
        <f>[33]Summary!$C$32</f>
        <v>0</v>
      </c>
      <c r="H34" s="43">
        <f>[33]Summary!$E$6/100</f>
        <v>6.4483780807543375E-3</v>
      </c>
      <c r="I34" s="43">
        <f>[33]Summary!$E$10/100</f>
        <v>0</v>
      </c>
      <c r="J34" s="43">
        <f>[33]Summary!$E$14/100</f>
        <v>0</v>
      </c>
      <c r="K34" s="43">
        <f>[33]Summary!$C$40</f>
        <v>0</v>
      </c>
      <c r="L34" s="43">
        <f>[33]Summary!$C$54</f>
        <v>0</v>
      </c>
      <c r="M34" s="43">
        <f>'[33]Glbl Expsr'!$D$2</f>
        <v>0</v>
      </c>
      <c r="N34" s="147">
        <f>'[33]Glbl Expsr'!$D$3</f>
        <v>0</v>
      </c>
      <c r="O34" s="152" t="s">
        <v>12958</v>
      </c>
      <c r="P34" s="152" t="s">
        <v>12822</v>
      </c>
    </row>
    <row r="35" spans="1:44" x14ac:dyDescent="0.2">
      <c r="A35" s="63" t="s">
        <v>12652</v>
      </c>
      <c r="B35" s="148" t="str">
        <f>[34]Summary!$G$3</f>
        <v>UT</v>
      </c>
      <c r="C35" s="164">
        <f>[34]Summary!$E$1</f>
        <v>0</v>
      </c>
      <c r="D35" s="43">
        <f>[34]Summary!$C$34</f>
        <v>3.7745670525801372E-3</v>
      </c>
      <c r="E35" s="43">
        <f>[34]Summary!$E$34/100</f>
        <v>3.7745670525801372E-3</v>
      </c>
      <c r="F35" s="43">
        <f>[34]Summary!$C$36</f>
        <v>0.99622543294741983</v>
      </c>
      <c r="G35" s="43">
        <f>[34]Summary!$C$32</f>
        <v>0</v>
      </c>
      <c r="H35" s="43">
        <f>[34]Summary!$E$6/100</f>
        <v>1.5098339803486328E-2</v>
      </c>
      <c r="I35" s="43">
        <f>[34]Summary!$E$10/100</f>
        <v>0</v>
      </c>
      <c r="J35" s="43">
        <f>[34]Summary!$E$14/100</f>
        <v>0</v>
      </c>
      <c r="K35" s="43">
        <f>[34]Summary!$C$40</f>
        <v>0</v>
      </c>
      <c r="L35" s="43">
        <f>[34]Summary!$C$54</f>
        <v>0</v>
      </c>
      <c r="M35" s="43">
        <f>'[34]Glbl Expsr'!$D$2</f>
        <v>0</v>
      </c>
      <c r="N35" s="147">
        <f>'[34]Glbl Expsr'!$D$3</f>
        <v>0</v>
      </c>
      <c r="O35" s="151" t="s">
        <v>12954</v>
      </c>
      <c r="P35" s="46" t="s">
        <v>12818</v>
      </c>
    </row>
    <row r="36" spans="1:44" x14ac:dyDescent="0.2">
      <c r="A36" s="63" t="s">
        <v>12648</v>
      </c>
      <c r="B36" s="148" t="str">
        <f>[35]Summary!$G$3</f>
        <v>UT</v>
      </c>
      <c r="C36" s="164">
        <f>[35]Summary!$E$1</f>
        <v>0</v>
      </c>
      <c r="D36" s="43">
        <f>[35]Summary!$C$34</f>
        <v>4.2467954028573215E-3</v>
      </c>
      <c r="E36" s="43">
        <f>[35]Summary!$E$34/100</f>
        <v>4.2467954028573215E-3</v>
      </c>
      <c r="F36" s="43">
        <f>[35]Summary!$C$36</f>
        <v>0.99575320459714267</v>
      </c>
      <c r="G36" s="43">
        <f>[35]Summary!$C$32</f>
        <v>0</v>
      </c>
      <c r="H36" s="43">
        <f>[35]Summary!$E$6/100</f>
        <v>0</v>
      </c>
      <c r="I36" s="43">
        <f>[35]Summary!$E$10/100</f>
        <v>0</v>
      </c>
      <c r="J36" s="43">
        <f>[35]Summary!$E$14/100</f>
        <v>0</v>
      </c>
      <c r="K36" s="43">
        <f>[35]Summary!$C$40</f>
        <v>0</v>
      </c>
      <c r="L36" s="43">
        <f>[35]Summary!$C$54</f>
        <v>0</v>
      </c>
      <c r="M36" s="43">
        <f>'[35]Glbl Expsr'!$D$2</f>
        <v>0</v>
      </c>
      <c r="N36" s="147">
        <f>'[35]Glbl Expsr'!$D$3</f>
        <v>0</v>
      </c>
      <c r="O36" s="150" t="s">
        <v>12952</v>
      </c>
      <c r="P36" s="46" t="s">
        <v>12816</v>
      </c>
    </row>
    <row r="37" spans="1:44" x14ac:dyDescent="0.2">
      <c r="A37" s="63" t="s">
        <v>11243</v>
      </c>
      <c r="B37" s="148" t="str">
        <f>[36]Summary!$G$3</f>
        <v>UT</v>
      </c>
      <c r="C37" s="164">
        <f>[36]Summary!$E$1</f>
        <v>0</v>
      </c>
      <c r="D37" s="43">
        <f>[36]Summary!$C$34</f>
        <v>5.6691116156534615E-3</v>
      </c>
      <c r="E37" s="43">
        <f>[36]Summary!$E$34/100</f>
        <v>5.6691116156534615E-3</v>
      </c>
      <c r="F37" s="43">
        <f>[36]Summary!$C$36</f>
        <v>0.99433088838434658</v>
      </c>
      <c r="G37" s="43">
        <f>[36]Summary!$C$32</f>
        <v>0</v>
      </c>
      <c r="H37" s="43">
        <f>[36]Summary!$E$6/100</f>
        <v>0</v>
      </c>
      <c r="I37" s="43">
        <f>[36]Summary!$E$10/100</f>
        <v>0</v>
      </c>
      <c r="J37" s="43">
        <f>[36]Summary!$E$14/100</f>
        <v>0</v>
      </c>
      <c r="K37" s="43">
        <f>[36]Summary!$C$40</f>
        <v>0</v>
      </c>
      <c r="L37" s="43">
        <f>[36]Summary!$C$54</f>
        <v>0</v>
      </c>
      <c r="M37" s="43">
        <f>'[36]Glbl Expsr'!$D$2</f>
        <v>0</v>
      </c>
      <c r="N37" s="147">
        <f>'[36]Glbl Expsr'!$D$3</f>
        <v>0</v>
      </c>
      <c r="O37" s="152" t="s">
        <v>12891</v>
      </c>
      <c r="P37" s="152" t="s">
        <v>12760</v>
      </c>
    </row>
    <row r="38" spans="1:44" x14ac:dyDescent="0.2">
      <c r="A38" s="63" t="s">
        <v>12240</v>
      </c>
      <c r="B38" s="148" t="str">
        <f>[37]Summary!$G$3</f>
        <v>UT</v>
      </c>
      <c r="C38" s="164">
        <f>[37]Summary!$E$1</f>
        <v>0</v>
      </c>
      <c r="D38" s="43">
        <f>[37]Summary!$C$34</f>
        <v>9.444560637098233E-3</v>
      </c>
      <c r="E38" s="43">
        <f>[37]Summary!$E$34/100</f>
        <v>9.444560637098233E-3</v>
      </c>
      <c r="F38" s="43">
        <f>[37]Summary!$C$36</f>
        <v>0</v>
      </c>
      <c r="G38" s="43">
        <f>[37]Summary!$C$32</f>
        <v>0</v>
      </c>
      <c r="H38" s="43">
        <f>[37]Summary!$E$6/100</f>
        <v>0</v>
      </c>
      <c r="I38" s="43">
        <f>[37]Summary!$E$10/100</f>
        <v>0</v>
      </c>
      <c r="J38" s="43">
        <f>[37]Summary!$E$14/100</f>
        <v>0</v>
      </c>
      <c r="K38" s="43">
        <f>[37]Summary!$C$40</f>
        <v>0.9905554393629018</v>
      </c>
      <c r="L38" s="43">
        <f>[37]Summary!$C$54</f>
        <v>99.055543936290178</v>
      </c>
      <c r="M38" s="43">
        <f>'[37]Glbl Expsr'!$D$2</f>
        <v>0</v>
      </c>
      <c r="N38" s="147">
        <f>'[37]Glbl Expsr'!$D$3</f>
        <v>0</v>
      </c>
      <c r="O38" s="150" t="s">
        <v>12925</v>
      </c>
      <c r="P38" s="46" t="s">
        <v>12790</v>
      </c>
    </row>
    <row r="39" spans="1:44" x14ac:dyDescent="0.2">
      <c r="A39" s="63" t="s">
        <v>12312</v>
      </c>
      <c r="B39" s="148" t="str">
        <f>[38]Summary!$G$3</f>
        <v>UT</v>
      </c>
      <c r="C39" s="164">
        <f>[38]Summary!$E$1</f>
        <v>0</v>
      </c>
      <c r="D39" s="43">
        <f>[38]Summary!$C$34</f>
        <v>1.0070441074043519E-2</v>
      </c>
      <c r="E39" s="43">
        <f>[38]Summary!$E$34/100</f>
        <v>1.0070441074043519E-2</v>
      </c>
      <c r="F39" s="43">
        <f>[38]Summary!$C$36</f>
        <v>0</v>
      </c>
      <c r="G39" s="43">
        <f>[38]Summary!$C$32</f>
        <v>0</v>
      </c>
      <c r="H39" s="43">
        <f>[38]Summary!$E$6/100</f>
        <v>0</v>
      </c>
      <c r="I39" s="43">
        <f>[38]Summary!$E$10/100</f>
        <v>0</v>
      </c>
      <c r="J39" s="43">
        <f>[38]Summary!$E$14/100</f>
        <v>0</v>
      </c>
      <c r="K39" s="43">
        <f>[38]Summary!$C$40</f>
        <v>0.98992955892595647</v>
      </c>
      <c r="L39" s="43">
        <f>[38]Summary!$C$54</f>
        <v>98.992955892595646</v>
      </c>
      <c r="M39" s="43">
        <f>'[38]Glbl Expsr'!$D$2</f>
        <v>0</v>
      </c>
      <c r="N39" s="147">
        <f>'[38]Glbl Expsr'!$D$3</f>
        <v>0</v>
      </c>
      <c r="O39" s="150" t="s">
        <v>12932</v>
      </c>
      <c r="P39" s="46" t="s">
        <v>12796</v>
      </c>
    </row>
    <row r="40" spans="1:44" x14ac:dyDescent="0.2">
      <c r="A40" s="63" t="s">
        <v>12010</v>
      </c>
      <c r="B40" s="148" t="str">
        <f>[39]Summary!$G$3</f>
        <v>UT</v>
      </c>
      <c r="C40" s="164">
        <f>[39]Summary!$E$1</f>
        <v>0</v>
      </c>
      <c r="D40" s="43">
        <f>[39]Summary!$C$34</f>
        <v>3.5793677091019438E-2</v>
      </c>
      <c r="E40" s="43">
        <f>[39]Summary!$E$34/100</f>
        <v>3.5793677091019438E-2</v>
      </c>
      <c r="F40" s="43">
        <f>[39]Summary!$C$36</f>
        <v>0</v>
      </c>
      <c r="G40" s="43">
        <f>[39]Summary!$C$32</f>
        <v>0</v>
      </c>
      <c r="H40" s="43">
        <f>[39]Summary!$E$6/100</f>
        <v>0</v>
      </c>
      <c r="I40" s="43">
        <f>[39]Summary!$E$10/100</f>
        <v>0</v>
      </c>
      <c r="J40" s="43">
        <f>[39]Summary!$E$14/100</f>
        <v>0</v>
      </c>
      <c r="K40" s="43">
        <f>[39]Summary!$C$40</f>
        <v>0</v>
      </c>
      <c r="L40" s="43">
        <f>[39]Summary!$C$54</f>
        <v>96.420632290898055</v>
      </c>
      <c r="M40" s="43">
        <f>'[39]Glbl Expsr'!$D$2</f>
        <v>0</v>
      </c>
      <c r="N40" s="147">
        <f>'[39]Glbl Expsr'!$D$3</f>
        <v>0</v>
      </c>
      <c r="O40" s="150" t="s">
        <v>12909</v>
      </c>
      <c r="P40" s="46" t="s">
        <v>12778</v>
      </c>
    </row>
    <row r="41" spans="1:44" x14ac:dyDescent="0.2">
      <c r="A41" s="63" t="s">
        <v>12307</v>
      </c>
      <c r="B41" s="148" t="str">
        <f>[40]Summary!$G$3</f>
        <v>UT</v>
      </c>
      <c r="C41" s="164">
        <f>[40]Summary!$E$1</f>
        <v>0</v>
      </c>
      <c r="D41" s="43">
        <f>[40]Summary!$C$34</f>
        <v>3.9919152221771323E-2</v>
      </c>
      <c r="E41" s="43">
        <f>[40]Summary!$E$34/100</f>
        <v>3.9919152221771323E-2</v>
      </c>
      <c r="F41" s="43">
        <f>[40]Summary!$C$36</f>
        <v>0</v>
      </c>
      <c r="G41" s="43">
        <f>[40]Summary!$C$32</f>
        <v>0</v>
      </c>
      <c r="H41" s="43">
        <f>[40]Summary!$E$6/100</f>
        <v>0</v>
      </c>
      <c r="I41" s="43">
        <f>[40]Summary!$E$10/100</f>
        <v>0</v>
      </c>
      <c r="J41" s="43">
        <f>[40]Summary!$E$14/100</f>
        <v>0</v>
      </c>
      <c r="K41" s="43">
        <f>[40]Summary!$C$40</f>
        <v>0</v>
      </c>
      <c r="L41" s="43">
        <f>[40]Summary!$C$54</f>
        <v>96.008084777822873</v>
      </c>
      <c r="M41" s="43">
        <f>'[40]Glbl Expsr'!$D$2</f>
        <v>0</v>
      </c>
      <c r="N41" s="147">
        <f>'[40]Glbl Expsr'!$D$3</f>
        <v>0</v>
      </c>
      <c r="O41" s="150" t="s">
        <v>12931</v>
      </c>
      <c r="P41" s="46" t="s">
        <v>12795</v>
      </c>
    </row>
    <row r="42" spans="1:44" x14ac:dyDescent="0.2">
      <c r="A42" s="63" t="s">
        <v>12268</v>
      </c>
      <c r="B42" s="148" t="str">
        <f>[41]Summary!$G$3</f>
        <v>UT</v>
      </c>
      <c r="C42" s="164">
        <f>[41]Summary!$E$1</f>
        <v>0</v>
      </c>
      <c r="D42" s="43">
        <f>[41]Summary!$C$34</f>
        <v>0.11338492422161932</v>
      </c>
      <c r="E42" s="43">
        <f>[41]Summary!$E$34/100</f>
        <v>0.11338492422161933</v>
      </c>
      <c r="F42" s="43">
        <f>[41]Summary!$C$36</f>
        <v>0.68511498878296295</v>
      </c>
      <c r="G42" s="43">
        <f>[41]Summary!$C$32</f>
        <v>0</v>
      </c>
      <c r="H42" s="43">
        <f>[41]Summary!$E$6/100</f>
        <v>6.0509616695683249E-2</v>
      </c>
      <c r="I42" s="43">
        <f>[41]Summary!$E$10/100</f>
        <v>0</v>
      </c>
      <c r="J42" s="43">
        <f>[41]Summary!$E$14/100</f>
        <v>0</v>
      </c>
      <c r="K42" s="43">
        <f>[41]Summary!$C$40</f>
        <v>2.2371381349311381E-2</v>
      </c>
      <c r="L42" s="43">
        <f>[41]Summary!$C$54</f>
        <v>0</v>
      </c>
      <c r="M42" s="43">
        <f>'[41]Glbl Expsr'!$D$2</f>
        <v>0</v>
      </c>
      <c r="N42" s="147">
        <f>'[41]Glbl Expsr'!$D$3</f>
        <v>0</v>
      </c>
      <c r="O42" s="150" t="s">
        <v>12930</v>
      </c>
      <c r="P42" s="46" t="s">
        <v>12794</v>
      </c>
    </row>
    <row r="43" spans="1:44" x14ac:dyDescent="0.2">
      <c r="A43" s="63" t="s">
        <v>12357</v>
      </c>
      <c r="B43" s="148" t="str">
        <f>[42]Summary!$G$3</f>
        <v>UT</v>
      </c>
      <c r="C43" s="164">
        <f>[42]Summary!$E$1</f>
        <v>0</v>
      </c>
      <c r="D43" s="43">
        <f>[42]Summary!$C$34</f>
        <v>0.14451327254784388</v>
      </c>
      <c r="E43" s="43">
        <f>[42]Summary!$E$34/100</f>
        <v>0.14451327254784388</v>
      </c>
      <c r="F43" s="43">
        <f>[42]Summary!$C$36</f>
        <v>0.74948062068740895</v>
      </c>
      <c r="G43" s="43">
        <f>[42]Summary!$C$32</f>
        <v>0</v>
      </c>
      <c r="H43" s="43">
        <f>[42]Summary!$E$6/100</f>
        <v>0.15792862779843297</v>
      </c>
      <c r="I43" s="43">
        <f>[42]Summary!$E$10/100</f>
        <v>0</v>
      </c>
      <c r="J43" s="43">
        <f>[42]Summary!$E$14/100</f>
        <v>0</v>
      </c>
      <c r="K43" s="43">
        <f>[42]Summary!$C$40</f>
        <v>4.0134910773338917E-2</v>
      </c>
      <c r="L43" s="43">
        <f>[42]Summary!$C$54</f>
        <v>0</v>
      </c>
      <c r="M43" s="43">
        <f>'[42]Glbl Expsr'!$D$2</f>
        <v>0</v>
      </c>
      <c r="N43" s="147">
        <f>'[42]Glbl Expsr'!$D$3</f>
        <v>0</v>
      </c>
      <c r="O43" s="152" t="s">
        <v>12935</v>
      </c>
      <c r="P43" s="152" t="s">
        <v>12799</v>
      </c>
      <c r="Q43" s="3"/>
      <c r="R43" s="4"/>
      <c r="S43" s="5"/>
      <c r="T43" s="5"/>
      <c r="U43" s="1"/>
      <c r="V43" s="2"/>
      <c r="W43" s="6"/>
      <c r="AG43" s="4"/>
      <c r="AH43" s="4"/>
      <c r="AI43" s="2"/>
      <c r="AJ43" s="4"/>
      <c r="AK43" s="2"/>
      <c r="AL43" s="2"/>
      <c r="AM43" s="2"/>
      <c r="AN43" s="5"/>
      <c r="AP43" s="2"/>
      <c r="AQ43" s="2"/>
      <c r="AR43" s="2"/>
    </row>
    <row r="44" spans="1:44" x14ac:dyDescent="0.2">
      <c r="A44" s="63" t="s">
        <v>12592</v>
      </c>
      <c r="B44" s="148" t="str">
        <f>[43]Summary!$G$3</f>
        <v>UT</v>
      </c>
      <c r="C44" s="164">
        <f>[43]Summary!$E$1</f>
        <v>0</v>
      </c>
      <c r="D44" s="43">
        <f>[43]Summary!$C$34</f>
        <v>0.15540483718957582</v>
      </c>
      <c r="E44" s="43">
        <f>[43]Summary!$E$34/100</f>
        <v>0.15540483718957582</v>
      </c>
      <c r="F44" s="43">
        <f>[43]Summary!$C$36</f>
        <v>0</v>
      </c>
      <c r="G44" s="43">
        <f>[43]Summary!$C$32</f>
        <v>0</v>
      </c>
      <c r="H44" s="43">
        <f>[43]Summary!$E$6/100</f>
        <v>0</v>
      </c>
      <c r="I44" s="43">
        <f>[43]Summary!$E$10/100</f>
        <v>4.6931226827195083E-2</v>
      </c>
      <c r="J44" s="43">
        <f>[43]Summary!$E$14/100</f>
        <v>0.80450020236838393</v>
      </c>
      <c r="K44" s="43">
        <f>[43]Summary!$C$40</f>
        <v>0.84459516281042402</v>
      </c>
      <c r="L44" s="43">
        <f>[43]Summary!$C$54</f>
        <v>0</v>
      </c>
      <c r="M44" s="43">
        <f>'[43]Glbl Expsr'!$D$2</f>
        <v>0</v>
      </c>
      <c r="N44" s="147">
        <f>'[43]Glbl Expsr'!$D$3</f>
        <v>0</v>
      </c>
      <c r="O44" s="152" t="s">
        <v>12943</v>
      </c>
      <c r="P44" s="152" t="s">
        <v>12807</v>
      </c>
      <c r="Q44" s="3"/>
      <c r="R44" s="4"/>
      <c r="S44" s="5"/>
      <c r="T44" s="5"/>
      <c r="U44" s="1"/>
      <c r="V44" s="2"/>
      <c r="W44" s="6"/>
      <c r="AG44" s="4"/>
      <c r="AH44" s="4"/>
      <c r="AI44" s="2"/>
      <c r="AJ44" s="4"/>
      <c r="AK44" s="2"/>
      <c r="AL44" s="2"/>
      <c r="AM44" s="2"/>
      <c r="AN44" s="5"/>
      <c r="AP44" s="2"/>
      <c r="AQ44" s="2"/>
      <c r="AR44" s="2"/>
    </row>
    <row r="45" spans="1:44" x14ac:dyDescent="0.2">
      <c r="A45" s="63" t="s">
        <v>12016</v>
      </c>
      <c r="B45" s="148" t="str">
        <f>[44]Summary!$G$3</f>
        <v>UT</v>
      </c>
      <c r="C45" s="164">
        <f>[44]Summary!$E$1</f>
        <v>0</v>
      </c>
      <c r="D45" s="43">
        <f>[44]Summary!$C$34</f>
        <v>0.19236636326009787</v>
      </c>
      <c r="E45" s="43">
        <f>[44]Summary!$E$34/100</f>
        <v>0.19236636326009787</v>
      </c>
      <c r="F45" s="43">
        <f>[44]Summary!$C$36</f>
        <v>0.45836586739072971</v>
      </c>
      <c r="G45" s="43">
        <f>[44]Summary!$C$32</f>
        <v>0</v>
      </c>
      <c r="H45" s="43">
        <f>[44]Summary!$E$6/100</f>
        <v>5.4097084635874558E-2</v>
      </c>
      <c r="I45" s="43">
        <f>[44]Summary!$E$10/100</f>
        <v>0</v>
      </c>
      <c r="J45" s="43">
        <f>[44]Summary!$E$14/100</f>
        <v>0</v>
      </c>
      <c r="K45" s="43">
        <f>[44]Summary!$C$40</f>
        <v>7.0857989253251902E-2</v>
      </c>
      <c r="L45" s="43">
        <f>[44]Summary!$C$54</f>
        <v>22.561906836806681</v>
      </c>
      <c r="M45" s="43">
        <f>'[44]Glbl Expsr'!$D$2</f>
        <v>0</v>
      </c>
      <c r="N45" s="147">
        <f>'[44]Glbl Expsr'!$D$3</f>
        <v>0</v>
      </c>
      <c r="O45" s="152" t="s">
        <v>12910</v>
      </c>
      <c r="P45" s="152" t="s">
        <v>12779</v>
      </c>
      <c r="Q45" s="3"/>
      <c r="R45" s="4"/>
      <c r="S45" s="5"/>
      <c r="T45" s="5"/>
      <c r="U45" s="1"/>
      <c r="V45" s="2"/>
      <c r="W45" s="6"/>
      <c r="AG45" s="4"/>
      <c r="AH45" s="4"/>
      <c r="AI45" s="2"/>
      <c r="AJ45" s="4"/>
      <c r="AK45" s="2"/>
      <c r="AL45" s="2"/>
      <c r="AM45" s="2"/>
      <c r="AN45" s="5"/>
      <c r="AP45" s="2"/>
      <c r="AQ45" s="2"/>
      <c r="AR45" s="2"/>
    </row>
    <row r="46" spans="1:44" x14ac:dyDescent="0.2">
      <c r="A46" s="63" t="s">
        <v>12359</v>
      </c>
      <c r="B46" s="148" t="str">
        <f>[45]Summary!$G$3</f>
        <v>UT</v>
      </c>
      <c r="C46" s="164">
        <f>[45]Summary!$E$1</f>
        <v>0</v>
      </c>
      <c r="D46" s="43">
        <f>[45]Summary!$C$34</f>
        <v>0.27139439327030362</v>
      </c>
      <c r="E46" s="43">
        <f>[45]Summary!$E$34/100</f>
        <v>0.27139439327030362</v>
      </c>
      <c r="F46" s="43">
        <f>[45]Summary!$C$36</f>
        <v>0.67762720673563359</v>
      </c>
      <c r="G46" s="43">
        <f>[45]Summary!$C$32</f>
        <v>0</v>
      </c>
      <c r="H46" s="43">
        <f>[45]Summary!$E$6/100</f>
        <v>8.7436614529622828E-2</v>
      </c>
      <c r="I46" s="43">
        <f>[45]Summary!$E$10/100</f>
        <v>0</v>
      </c>
      <c r="J46" s="43">
        <f>[45]Summary!$E$14/100</f>
        <v>8.07694148992341E-4</v>
      </c>
      <c r="K46" s="43">
        <f>[45]Summary!$C$40</f>
        <v>5.0862439796568321E-2</v>
      </c>
      <c r="L46" s="43">
        <f>[45]Summary!$C$54</f>
        <v>0</v>
      </c>
      <c r="M46" s="43">
        <f>'[45]Glbl Expsr'!$D$2</f>
        <v>0</v>
      </c>
      <c r="N46" s="147">
        <f>'[45]Glbl Expsr'!$D$3</f>
        <v>0</v>
      </c>
      <c r="O46" s="152" t="s">
        <v>12936</v>
      </c>
      <c r="P46" s="152" t="s">
        <v>12800</v>
      </c>
      <c r="Q46" s="3"/>
      <c r="R46" s="4"/>
      <c r="S46" s="5"/>
      <c r="T46" s="5"/>
      <c r="U46" s="1"/>
      <c r="V46" s="2"/>
      <c r="W46" s="6"/>
      <c r="AG46" s="4"/>
      <c r="AH46" s="4"/>
      <c r="AI46" s="2"/>
      <c r="AJ46" s="4"/>
      <c r="AK46" s="2"/>
      <c r="AL46" s="2"/>
      <c r="AM46" s="2"/>
      <c r="AN46" s="5"/>
      <c r="AP46" s="2"/>
      <c r="AQ46" s="2"/>
      <c r="AR46" s="2"/>
    </row>
    <row r="47" spans="1:44" x14ac:dyDescent="0.2">
      <c r="A47" s="63" t="s">
        <v>12369</v>
      </c>
      <c r="B47" s="148" t="str">
        <f>[46]Summary!$G$3</f>
        <v>UT</v>
      </c>
      <c r="C47" s="164">
        <f>[46]Summary!$E$1</f>
        <v>0</v>
      </c>
      <c r="D47" s="43">
        <f>[46]Summary!$C$34</f>
        <v>0.41742216590388947</v>
      </c>
      <c r="E47" s="43">
        <f>[46]Summary!$E$34/100</f>
        <v>0.41742216590388947</v>
      </c>
      <c r="F47" s="43">
        <f>[46]Summary!$C$36</f>
        <v>0.58250211570675425</v>
      </c>
      <c r="G47" s="43">
        <f>[46]Summary!$C$32</f>
        <v>0</v>
      </c>
      <c r="H47" s="43">
        <f>[46]Summary!$E$6/100</f>
        <v>0</v>
      </c>
      <c r="I47" s="43">
        <f>[46]Summary!$E$10/100</f>
        <v>0</v>
      </c>
      <c r="J47" s="43">
        <f>[46]Summary!$E$14/100</f>
        <v>0</v>
      </c>
      <c r="K47" s="43">
        <f>[46]Summary!$C$40</f>
        <v>0</v>
      </c>
      <c r="L47" s="43">
        <f>[46]Summary!$C$54</f>
        <v>0</v>
      </c>
      <c r="M47" s="43">
        <f>'[46]Glbl Expsr'!$D$2</f>
        <v>0</v>
      </c>
      <c r="N47" s="147">
        <f>'[46]Glbl Expsr'!$D$3</f>
        <v>0</v>
      </c>
      <c r="O47" s="150" t="s">
        <v>12937</v>
      </c>
      <c r="P47" s="46" t="s">
        <v>12801</v>
      </c>
      <c r="Q47" s="3"/>
      <c r="R47" s="4"/>
      <c r="S47" s="5"/>
      <c r="T47" s="5"/>
      <c r="U47" s="1"/>
      <c r="V47" s="2"/>
      <c r="W47" s="6"/>
      <c r="AG47" s="4"/>
      <c r="AH47" s="4"/>
      <c r="AI47" s="2"/>
      <c r="AJ47" s="4"/>
      <c r="AK47" s="2"/>
      <c r="AL47" s="2"/>
      <c r="AM47" s="2"/>
      <c r="AN47" s="5"/>
      <c r="AP47" s="2"/>
      <c r="AQ47" s="2"/>
      <c r="AR47" s="2"/>
    </row>
    <row r="48" spans="1:44" x14ac:dyDescent="0.2">
      <c r="A48" s="63" t="s">
        <v>12665</v>
      </c>
      <c r="B48" s="148" t="str">
        <f>[47]Summary!$G$3</f>
        <v>UT</v>
      </c>
      <c r="C48" s="164">
        <f>[47]Summary!$E$1</f>
        <v>0</v>
      </c>
      <c r="D48" s="43">
        <f>[47]Summary!$C$34</f>
        <v>0.42282884267233301</v>
      </c>
      <c r="E48" s="43">
        <f>[47]Summary!$E$34/100</f>
        <v>0.42282884267233301</v>
      </c>
      <c r="F48" s="43">
        <f>[47]Summary!$C$36</f>
        <v>0.57700254111081595</v>
      </c>
      <c r="G48" s="43">
        <f>[47]Summary!$C$32</f>
        <v>0</v>
      </c>
      <c r="H48" s="43">
        <f>[47]Summary!$E$6/100</f>
        <v>0</v>
      </c>
      <c r="I48" s="43">
        <f>[47]Summary!$E$10/100</f>
        <v>0</v>
      </c>
      <c r="J48" s="43">
        <f>[47]Summary!$E$14/100</f>
        <v>0</v>
      </c>
      <c r="K48" s="43">
        <f>[47]Summary!$C$40</f>
        <v>0</v>
      </c>
      <c r="L48" s="43">
        <f>[47]Summary!$C$54</f>
        <v>0</v>
      </c>
      <c r="M48" s="43">
        <f>'[47]Glbl Expsr'!$D$2</f>
        <v>0</v>
      </c>
      <c r="N48" s="147">
        <f>'[47]Glbl Expsr'!$D$3</f>
        <v>0</v>
      </c>
      <c r="O48" s="152" t="s">
        <v>12959</v>
      </c>
      <c r="P48" s="152" t="s">
        <v>12823</v>
      </c>
      <c r="Q48" s="3"/>
      <c r="R48" s="4"/>
      <c r="S48" s="5"/>
      <c r="T48" s="5"/>
      <c r="U48" s="1"/>
      <c r="V48" s="2"/>
      <c r="W48" s="6"/>
      <c r="AG48" s="4"/>
      <c r="AH48" s="4"/>
      <c r="AI48" s="2"/>
      <c r="AJ48" s="4"/>
      <c r="AK48" s="2"/>
      <c r="AL48" s="2"/>
      <c r="AM48" s="2"/>
      <c r="AN48" s="5"/>
      <c r="AP48" s="2"/>
      <c r="AQ48" s="2"/>
      <c r="AR48" s="2"/>
    </row>
    <row r="49" spans="1:44" x14ac:dyDescent="0.2">
      <c r="A49" s="63" t="s">
        <v>11978</v>
      </c>
      <c r="B49" s="148" t="str">
        <f>[48]Summary!$G$3</f>
        <v>UT</v>
      </c>
      <c r="C49" s="164">
        <f>[48]Summary!$E$1</f>
        <v>0</v>
      </c>
      <c r="D49" s="43">
        <f>[48]Summary!$C$34</f>
        <v>1</v>
      </c>
      <c r="E49" s="43">
        <f>[48]Summary!$E$34/100</f>
        <v>1</v>
      </c>
      <c r="F49" s="43">
        <f>[48]Summary!$C$36</f>
        <v>0</v>
      </c>
      <c r="G49" s="43">
        <f>[48]Summary!$C$32</f>
        <v>0</v>
      </c>
      <c r="H49" s="43">
        <f>[48]Summary!$E$6/100</f>
        <v>0</v>
      </c>
      <c r="I49" s="43">
        <f>[48]Summary!$E$10/100</f>
        <v>0</v>
      </c>
      <c r="J49" s="43">
        <f>[48]Summary!$E$14/100</f>
        <v>0</v>
      </c>
      <c r="K49" s="43">
        <f>[48]Summary!$C$40</f>
        <v>0</v>
      </c>
      <c r="L49" s="43">
        <f>[48]Summary!$C$54</f>
        <v>0</v>
      </c>
      <c r="M49" s="43">
        <f>'[48]Glbl Expsr'!$D$2</f>
        <v>0</v>
      </c>
      <c r="N49" s="147">
        <f>'[48]Glbl Expsr'!$D$3</f>
        <v>0</v>
      </c>
      <c r="O49" s="150" t="s">
        <v>12907</v>
      </c>
      <c r="P49" s="46" t="s">
        <v>12776</v>
      </c>
      <c r="Q49" s="3"/>
      <c r="R49" s="4"/>
      <c r="S49" s="5"/>
      <c r="T49" s="5"/>
      <c r="U49" s="1"/>
      <c r="V49" s="2"/>
      <c r="W49" s="6"/>
      <c r="AG49" s="4"/>
      <c r="AH49" s="4"/>
      <c r="AI49" s="2"/>
      <c r="AJ49" s="4"/>
      <c r="AK49" s="2"/>
      <c r="AL49" s="2"/>
      <c r="AM49" s="2"/>
      <c r="AN49" s="5"/>
      <c r="AP49" s="2"/>
      <c r="AQ49" s="2"/>
      <c r="AR49" s="2"/>
    </row>
    <row r="50" spans="1:44" x14ac:dyDescent="0.2">
      <c r="A50" s="63" t="s">
        <v>12695</v>
      </c>
      <c r="B50" s="148" t="str">
        <f>[49]Summary!$G$3</f>
        <v>≠ UT</v>
      </c>
      <c r="C50" s="165">
        <f>[49]Summary!$E$1</f>
        <v>10</v>
      </c>
      <c r="D50" s="43">
        <f>[49]Summary!$C$34</f>
        <v>0.69521514140528284</v>
      </c>
      <c r="E50" s="43">
        <f>[49]Summary!$E$34/100</f>
        <v>0.69521514140528295</v>
      </c>
      <c r="F50" s="43" t="str">
        <f>[49]Summary!$C$36</f>
        <v/>
      </c>
      <c r="G50" s="43">
        <f>[49]Summary!$C$32</f>
        <v>0.70086344400370415</v>
      </c>
      <c r="H50" s="43">
        <f>[49]Summary!$E$6/100</f>
        <v>0</v>
      </c>
      <c r="I50" s="43">
        <f>[49]Summary!$E$10/100</f>
        <v>2.0171586716861482E-2</v>
      </c>
      <c r="J50" s="43">
        <f>[49]Summary!$E$14/100</f>
        <v>0.15776626100309815</v>
      </c>
      <c r="K50" s="43">
        <f>[49]Summary!$C$40</f>
        <v>0.9949679615439192</v>
      </c>
      <c r="L50" s="43">
        <f>[49]Summary!$C$54</f>
        <v>0</v>
      </c>
      <c r="M50" s="43">
        <f>'[49]Glbl Expsr'!$D$2</f>
        <v>0.13254017073249072</v>
      </c>
      <c r="N50" s="147">
        <f>'[49]Glbl Expsr'!$D$3</f>
        <v>0.13254017073249072</v>
      </c>
      <c r="O50" s="152" t="s">
        <v>12961</v>
      </c>
      <c r="P50" s="152" t="s">
        <v>12825</v>
      </c>
      <c r="Q50" s="3"/>
      <c r="R50" s="4"/>
      <c r="S50" s="5"/>
      <c r="T50" s="5"/>
      <c r="U50" s="1"/>
      <c r="V50" s="2"/>
      <c r="W50" s="6"/>
      <c r="AG50" s="4"/>
      <c r="AH50" s="4"/>
      <c r="AI50" s="2"/>
      <c r="AJ50" s="4"/>
      <c r="AK50" s="2"/>
      <c r="AL50" s="2"/>
      <c r="AM50" s="2"/>
      <c r="AN50" s="5"/>
      <c r="AP50" s="2"/>
      <c r="AQ50" s="2"/>
      <c r="AR50" s="2"/>
    </row>
    <row r="51" spans="1:44" x14ac:dyDescent="0.2">
      <c r="A51" s="63" t="s">
        <v>12704</v>
      </c>
      <c r="B51" s="148" t="str">
        <f>[50]Summary!$G$3</f>
        <v>≠ UT</v>
      </c>
      <c r="C51" s="164">
        <f>[50]Summary!$E$1</f>
        <v>9</v>
      </c>
      <c r="D51" s="43">
        <f>[50]Summary!$C$34</f>
        <v>0.48600155045119847</v>
      </c>
      <c r="E51" s="43">
        <f>[50]Summary!$E$34/100</f>
        <v>0.48600155045119853</v>
      </c>
      <c r="F51" s="43" t="str">
        <f>[50]Summary!$C$36</f>
        <v/>
      </c>
      <c r="G51" s="43">
        <f>[50]Summary!$C$32</f>
        <v>0.25839678798506682</v>
      </c>
      <c r="H51" s="43">
        <f>[50]Summary!$E$6/100</f>
        <v>0.19864303934324343</v>
      </c>
      <c r="I51" s="43">
        <f>[50]Summary!$E$10/100</f>
        <v>0</v>
      </c>
      <c r="J51" s="43">
        <f>[50]Summary!$E$14/100</f>
        <v>0</v>
      </c>
      <c r="K51" s="43">
        <f>[50]Summary!$C$40</f>
        <v>0.42661143005733571</v>
      </c>
      <c r="L51" s="43">
        <f>[50]Summary!$C$54</f>
        <v>0</v>
      </c>
      <c r="M51" s="43">
        <f>'[50]Glbl Expsr'!$D$2</f>
        <v>1.000373820850617</v>
      </c>
      <c r="N51" s="147">
        <f>'[50]Glbl Expsr'!$D$3</f>
        <v>0.22442117930177471</v>
      </c>
      <c r="O51" s="152" t="s">
        <v>12962</v>
      </c>
      <c r="P51" s="152" t="s">
        <v>12826</v>
      </c>
      <c r="Q51" s="3"/>
      <c r="R51" s="4"/>
      <c r="S51" s="5"/>
      <c r="T51" s="5"/>
      <c r="U51" s="1"/>
      <c r="V51" s="2"/>
      <c r="W51" s="6"/>
      <c r="AG51" s="4"/>
      <c r="AH51" s="4"/>
      <c r="AI51" s="2"/>
      <c r="AJ51" s="4"/>
      <c r="AK51" s="2"/>
      <c r="AL51" s="2"/>
      <c r="AM51" s="2"/>
      <c r="AN51" s="5"/>
      <c r="AP51" s="2"/>
      <c r="AQ51" s="2"/>
      <c r="AR51" s="2"/>
    </row>
    <row r="52" spans="1:44" x14ac:dyDescent="0.2">
      <c r="A52" s="63" t="s">
        <v>12109</v>
      </c>
      <c r="B52" s="148" t="str">
        <f>[51]Summary!$G$3</f>
        <v>≠ UT</v>
      </c>
      <c r="C52" s="164">
        <f>[51]Summary!$E$1</f>
        <v>9</v>
      </c>
      <c r="D52" s="43">
        <f>[51]Summary!$C$34</f>
        <v>0.48881221752642923</v>
      </c>
      <c r="E52" s="43">
        <f>[51]Summary!$E$34/100</f>
        <v>0.48881221752642928</v>
      </c>
      <c r="F52" s="43" t="str">
        <f>[51]Summary!$C$36</f>
        <v/>
      </c>
      <c r="G52" s="43">
        <f>[51]Summary!$C$32</f>
        <v>0.36585764153878225</v>
      </c>
      <c r="H52" s="43">
        <f>[51]Summary!$E$6/100</f>
        <v>0.1984145765258411</v>
      </c>
      <c r="I52" s="43">
        <f>[51]Summary!$E$10/100</f>
        <v>0</v>
      </c>
      <c r="J52" s="43">
        <f>[51]Summary!$E$14/100</f>
        <v>0</v>
      </c>
      <c r="K52" s="43">
        <f>[51]Summary!$C$40</f>
        <v>0.42530382324940469</v>
      </c>
      <c r="L52" s="43">
        <f>[51]Summary!$C$54</f>
        <v>0</v>
      </c>
      <c r="M52" s="43">
        <f>'[51]Glbl Expsr'!$D$2</f>
        <v>1.0281698406621547</v>
      </c>
      <c r="N52" s="147">
        <f>'[51]Glbl Expsr'!$D$3</f>
        <v>0.2264676322717922</v>
      </c>
      <c r="O52" s="152" t="s">
        <v>12914</v>
      </c>
      <c r="P52" s="152" t="s">
        <v>12783</v>
      </c>
      <c r="Q52" s="3"/>
      <c r="R52" s="4"/>
      <c r="S52" s="5"/>
      <c r="T52" s="5"/>
      <c r="U52" s="1"/>
      <c r="V52" s="2"/>
      <c r="W52" s="6"/>
      <c r="AG52" s="4"/>
      <c r="AH52" s="4"/>
      <c r="AI52" s="2"/>
      <c r="AJ52" s="4"/>
      <c r="AK52" s="2"/>
      <c r="AL52" s="2"/>
      <c r="AM52" s="2"/>
      <c r="AN52" s="5"/>
      <c r="AP52" s="2"/>
      <c r="AQ52" s="2"/>
      <c r="AR52" s="2"/>
    </row>
    <row r="53" spans="1:44" x14ac:dyDescent="0.2">
      <c r="A53" s="63" t="s">
        <v>11429</v>
      </c>
      <c r="B53" s="148" t="str">
        <f>[52]Summary!$G$3</f>
        <v>≠ UT</v>
      </c>
      <c r="C53" s="164">
        <f>[52]Summary!$E$1</f>
        <v>9</v>
      </c>
      <c r="D53" s="43">
        <f>[52]Summary!$C$34</f>
        <v>0.49519551574974868</v>
      </c>
      <c r="E53" s="43">
        <f>[52]Summary!$E$34/100</f>
        <v>0.49519551574974868</v>
      </c>
      <c r="F53" s="43" t="str">
        <f>[52]Summary!$C$36</f>
        <v/>
      </c>
      <c r="G53" s="43">
        <f>[52]Summary!$C$32</f>
        <v>0.25850493338706015</v>
      </c>
      <c r="H53" s="43">
        <f>[52]Summary!$E$6/100</f>
        <v>0.19412023775220888</v>
      </c>
      <c r="I53" s="43">
        <f>[52]Summary!$E$10/100</f>
        <v>0</v>
      </c>
      <c r="J53" s="43">
        <f>[52]Summary!$E$14/100</f>
        <v>0</v>
      </c>
      <c r="K53" s="43">
        <f>[52]Summary!$C$40</f>
        <v>0.4124737671459891</v>
      </c>
      <c r="L53" s="43">
        <f>[52]Summary!$C$54</f>
        <v>0</v>
      </c>
      <c r="M53" s="43">
        <f>'[52]Glbl Expsr'!$D$2</f>
        <v>1.0412001536954085</v>
      </c>
      <c r="N53" s="147">
        <f>'[52]Glbl Expsr'!$D$3</f>
        <v>0.2166133046310641</v>
      </c>
      <c r="O53" s="152" t="s">
        <v>12894</v>
      </c>
      <c r="P53" s="152" t="s">
        <v>12763</v>
      </c>
      <c r="Q53" s="3"/>
      <c r="R53" s="4"/>
      <c r="S53" s="5"/>
      <c r="T53" s="5"/>
      <c r="U53" s="1"/>
      <c r="V53" s="2"/>
      <c r="W53" s="6"/>
      <c r="AG53" s="4"/>
      <c r="AH53" s="4"/>
      <c r="AI53" s="2"/>
      <c r="AJ53" s="4"/>
      <c r="AK53" s="2"/>
      <c r="AL53" s="2"/>
      <c r="AM53" s="2"/>
      <c r="AN53" s="5"/>
      <c r="AP53" s="2"/>
      <c r="AQ53" s="2"/>
      <c r="AR53" s="2"/>
    </row>
    <row r="54" spans="1:44" x14ac:dyDescent="0.2">
      <c r="A54" s="63" t="s">
        <v>11134</v>
      </c>
      <c r="B54" s="148" t="str">
        <f>[53]Summary!$G$3</f>
        <v>≠ UT</v>
      </c>
      <c r="C54" s="164">
        <f>[53]Summary!$E$1</f>
        <v>9</v>
      </c>
      <c r="D54" s="43">
        <f>[53]Summary!$C$34</f>
        <v>0.49592281658773052</v>
      </c>
      <c r="E54" s="43">
        <f>[53]Summary!$E$34/100</f>
        <v>0.49592281658773041</v>
      </c>
      <c r="F54" s="43" t="str">
        <f>[53]Summary!$C$36</f>
        <v/>
      </c>
      <c r="G54" s="43">
        <f>[53]Summary!$C$32</f>
        <v>0.35113290380893103</v>
      </c>
      <c r="H54" s="43">
        <f>[53]Summary!$E$6/100</f>
        <v>0.21370953148378663</v>
      </c>
      <c r="I54" s="43">
        <f>[53]Summary!$E$10/100</f>
        <v>0</v>
      </c>
      <c r="J54" s="43">
        <f>[53]Summary!$E$14/100</f>
        <v>0</v>
      </c>
      <c r="K54" s="43">
        <f>[53]Summary!$C$40</f>
        <v>0.41970655838578264</v>
      </c>
      <c r="L54" s="43">
        <f>[53]Summary!$C$54</f>
        <v>0</v>
      </c>
      <c r="M54" s="43">
        <f>'[53]Glbl Expsr'!$D$2</f>
        <v>1.0584310246381223</v>
      </c>
      <c r="N54" s="147">
        <f>'[53]Glbl Expsr'!$D$3</f>
        <v>0.2202218332182462</v>
      </c>
      <c r="O54" s="152" t="s">
        <v>12888</v>
      </c>
      <c r="P54" s="152" t="s">
        <v>12757</v>
      </c>
      <c r="Q54" s="3"/>
      <c r="R54" s="4"/>
      <c r="S54" s="5"/>
      <c r="T54" s="5"/>
      <c r="U54" s="1"/>
      <c r="V54" s="2"/>
      <c r="W54" s="6"/>
      <c r="AG54" s="4"/>
      <c r="AH54" s="4"/>
      <c r="AI54" s="2"/>
      <c r="AJ54" s="4"/>
      <c r="AK54" s="2"/>
      <c r="AL54" s="2"/>
      <c r="AM54" s="2"/>
      <c r="AN54" s="5"/>
      <c r="AP54" s="2"/>
      <c r="AQ54" s="2"/>
      <c r="AR54" s="2"/>
    </row>
    <row r="55" spans="1:44" x14ac:dyDescent="0.2">
      <c r="A55" s="63" t="s">
        <v>12421</v>
      </c>
      <c r="B55" s="148" t="str">
        <f>[54]Summary!$G$3</f>
        <v>≠ UT</v>
      </c>
      <c r="C55" s="164">
        <f>[54]Summary!$E$1</f>
        <v>9</v>
      </c>
      <c r="D55" s="43">
        <f>[54]Summary!$C$34</f>
        <v>0.52590718088758481</v>
      </c>
      <c r="E55" s="43">
        <f>[54]Summary!$E$34/100</f>
        <v>0.52590718088758481</v>
      </c>
      <c r="F55" s="43" t="str">
        <f>[54]Summary!$C$36</f>
        <v/>
      </c>
      <c r="G55" s="43">
        <f>[54]Summary!$C$32</f>
        <v>0.43251844551350366</v>
      </c>
      <c r="H55" s="43">
        <f>[54]Summary!$E$6/100</f>
        <v>0.15955253775302763</v>
      </c>
      <c r="I55" s="43">
        <f>[54]Summary!$E$10/100</f>
        <v>0</v>
      </c>
      <c r="J55" s="43">
        <f>[54]Summary!$E$14/100</f>
        <v>0</v>
      </c>
      <c r="K55" s="43">
        <f>[54]Summary!$C$40</f>
        <v>0.36624658538094823</v>
      </c>
      <c r="L55" s="43">
        <f>[54]Summary!$C$54</f>
        <v>19.625627977745872</v>
      </c>
      <c r="M55" s="43">
        <f>'[54]Glbl Expsr'!$D$2</f>
        <v>0.93497344049035991</v>
      </c>
      <c r="N55" s="147">
        <f>'[54]Glbl Expsr'!$D$3</f>
        <v>0.18306943720193292</v>
      </c>
      <c r="O55" s="152" t="s">
        <v>12938</v>
      </c>
      <c r="P55" s="152" t="s">
        <v>12802</v>
      </c>
      <c r="Q55" s="3"/>
      <c r="R55" s="4"/>
      <c r="S55" s="5"/>
      <c r="T55" s="5"/>
      <c r="U55" s="1"/>
      <c r="V55" s="2"/>
      <c r="W55" s="6"/>
      <c r="AG55" s="4"/>
      <c r="AH55" s="4"/>
      <c r="AI55" s="2"/>
      <c r="AJ55" s="4"/>
      <c r="AK55" s="2"/>
      <c r="AL55" s="2"/>
      <c r="AM55" s="2"/>
      <c r="AN55" s="5"/>
      <c r="AP55" s="2"/>
      <c r="AQ55" s="2"/>
      <c r="AR55" s="2"/>
    </row>
    <row r="56" spans="1:44" x14ac:dyDescent="0.2">
      <c r="A56" s="63" t="s">
        <v>11953</v>
      </c>
      <c r="B56" s="148" t="str">
        <f>[55]Summary!$G$3</f>
        <v>≠ UT</v>
      </c>
      <c r="C56" s="164">
        <f>[55]Summary!$E$1</f>
        <v>9</v>
      </c>
      <c r="D56" s="43">
        <f>[55]Summary!$C$34</f>
        <v>0.54325361408210993</v>
      </c>
      <c r="E56" s="43">
        <f>[55]Summary!$E$34/100</f>
        <v>0.54325361408211004</v>
      </c>
      <c r="F56" s="43" t="str">
        <f>[55]Summary!$C$36</f>
        <v/>
      </c>
      <c r="G56" s="43">
        <f>[55]Summary!$C$32</f>
        <v>0.44788332579617962</v>
      </c>
      <c r="H56" s="43">
        <f>[55]Summary!$E$6/100</f>
        <v>0.16722988684328077</v>
      </c>
      <c r="I56" s="43">
        <f>[55]Summary!$E$10/100</f>
        <v>0</v>
      </c>
      <c r="J56" s="43">
        <f>[55]Summary!$E$14/100</f>
        <v>0</v>
      </c>
      <c r="K56" s="43">
        <f>[55]Summary!$C$40</f>
        <v>0.37438532381995299</v>
      </c>
      <c r="L56" s="43">
        <f>[55]Summary!$C$54</f>
        <v>19.668501060798086</v>
      </c>
      <c r="M56" s="43">
        <f>'[55]Glbl Expsr'!$D$2</f>
        <v>0.8622360576707212</v>
      </c>
      <c r="N56" s="147">
        <f>'[55]Glbl Expsr'!$D$3</f>
        <v>0.20501827432131325</v>
      </c>
      <c r="O56" s="150" t="s">
        <v>12905</v>
      </c>
      <c r="P56" s="46" t="s">
        <v>12774</v>
      </c>
      <c r="Q56" s="3"/>
      <c r="R56" s="4"/>
      <c r="S56" s="5"/>
      <c r="T56" s="5"/>
      <c r="U56" s="1"/>
      <c r="V56" s="2"/>
      <c r="W56" s="6"/>
      <c r="AG56" s="4"/>
      <c r="AH56" s="4"/>
      <c r="AI56" s="2"/>
      <c r="AJ56" s="4"/>
      <c r="AK56" s="2"/>
      <c r="AL56" s="2"/>
      <c r="AM56" s="2"/>
      <c r="AN56" s="5"/>
      <c r="AP56" s="2"/>
      <c r="AQ56" s="2"/>
      <c r="AR56" s="2"/>
    </row>
    <row r="57" spans="1:44" x14ac:dyDescent="0.2">
      <c r="A57" s="63" t="s">
        <v>11949</v>
      </c>
      <c r="B57" s="148" t="str">
        <f>[56]Summary!$G$3</f>
        <v>≠ UT</v>
      </c>
      <c r="C57" s="164">
        <f>[56]Summary!$E$1</f>
        <v>9</v>
      </c>
      <c r="D57" s="43">
        <f>[56]Summary!$C$34</f>
        <v>0.54757375282038989</v>
      </c>
      <c r="E57" s="43">
        <f>[56]Summary!$E$34/100</f>
        <v>0.54757375282038978</v>
      </c>
      <c r="F57" s="43" t="str">
        <f>[56]Summary!$C$36</f>
        <v/>
      </c>
      <c r="G57" s="43">
        <f>[56]Summary!$C$32</f>
        <v>0.45606053784436917</v>
      </c>
      <c r="H57" s="43">
        <f>[56]Summary!$E$6/100</f>
        <v>0.16554408407617985</v>
      </c>
      <c r="I57" s="43">
        <f>[56]Summary!$E$10/100</f>
        <v>0</v>
      </c>
      <c r="J57" s="43">
        <f>[56]Summary!$E$14/100</f>
        <v>0</v>
      </c>
      <c r="K57" s="43">
        <f>[56]Summary!$C$40</f>
        <v>0.38361174245399193</v>
      </c>
      <c r="L57" s="43">
        <f>[56]Summary!$C$54</f>
        <v>18.873764806389612</v>
      </c>
      <c r="M57" s="43">
        <f>'[56]Glbl Expsr'!$D$2</f>
        <v>0.88747080727816008</v>
      </c>
      <c r="N57" s="147">
        <f>'[56]Glbl Expsr'!$D$3</f>
        <v>0.22052143422848419</v>
      </c>
      <c r="O57" s="152" t="s">
        <v>12904</v>
      </c>
      <c r="P57" s="152" t="s">
        <v>12773</v>
      </c>
      <c r="Q57" s="3"/>
      <c r="R57" s="4"/>
      <c r="S57" s="5"/>
      <c r="T57" s="5"/>
      <c r="U57" s="1"/>
      <c r="V57" s="2"/>
      <c r="W57" s="6"/>
      <c r="AG57" s="4"/>
      <c r="AH57" s="4"/>
      <c r="AI57" s="2"/>
      <c r="AJ57" s="4"/>
      <c r="AK57" s="2"/>
      <c r="AL57" s="2"/>
      <c r="AM57" s="2"/>
      <c r="AN57" s="5"/>
      <c r="AP57" s="2"/>
      <c r="AQ57" s="2"/>
      <c r="AR57" s="2"/>
    </row>
    <row r="58" spans="1:44" x14ac:dyDescent="0.2">
      <c r="A58" s="63" t="s">
        <v>11750</v>
      </c>
      <c r="B58" s="148" t="str">
        <f>[57]Summary!$G$3</f>
        <v>≠ UT</v>
      </c>
      <c r="C58" s="164">
        <f>[57]Summary!$E$1</f>
        <v>8</v>
      </c>
      <c r="D58" s="43">
        <f>[57]Summary!$C$34</f>
        <v>2.0179497581070072E-2</v>
      </c>
      <c r="E58" s="43">
        <f>[57]Summary!$E$34/100</f>
        <v>2.0179497581070072E-2</v>
      </c>
      <c r="F58" s="43">
        <f>[57]Summary!$C$36</f>
        <v>0</v>
      </c>
      <c r="G58" s="43">
        <f>[57]Summary!$C$32</f>
        <v>0</v>
      </c>
      <c r="H58" s="43">
        <f>[57]Summary!$E$6/100</f>
        <v>0</v>
      </c>
      <c r="I58" s="43">
        <f>[57]Summary!$E$10/100</f>
        <v>3.3811282530387871E-2</v>
      </c>
      <c r="J58" s="43">
        <f>[57]Summary!$E$14/100</f>
        <v>0.18559154952318122</v>
      </c>
      <c r="K58" s="43">
        <f>[57]Summary!$C$40</f>
        <v>0.99149454072486121</v>
      </c>
      <c r="L58" s="43">
        <f>[57]Summary!$C$54</f>
        <v>0</v>
      </c>
      <c r="M58" s="43">
        <f>'[57]Glbl Expsr'!$D$2</f>
        <v>0.15218442328480986</v>
      </c>
      <c r="N58" s="147">
        <f>'[57]Glbl Expsr'!$D$3</f>
        <v>0.15218442328480986</v>
      </c>
      <c r="O58" s="150" t="s">
        <v>12897</v>
      </c>
      <c r="P58" s="46" t="s">
        <v>12766</v>
      </c>
      <c r="Q58" s="3"/>
      <c r="R58" s="4"/>
      <c r="S58" s="5"/>
      <c r="T58" s="5"/>
      <c r="U58" s="1"/>
      <c r="V58" s="2"/>
      <c r="W58" s="6"/>
      <c r="AG58" s="4"/>
      <c r="AH58" s="4"/>
      <c r="AI58" s="2"/>
      <c r="AJ58" s="4"/>
      <c r="AK58" s="2"/>
      <c r="AL58" s="2"/>
      <c r="AM58" s="2"/>
      <c r="AN58" s="5"/>
      <c r="AP58" s="2"/>
      <c r="AQ58" s="2"/>
      <c r="AR58" s="2"/>
    </row>
    <row r="59" spans="1:44" x14ac:dyDescent="0.2">
      <c r="A59" s="63" t="s">
        <v>12712</v>
      </c>
      <c r="B59" s="148" t="str">
        <f>[58]Summary!$G$3</f>
        <v>≠ UT</v>
      </c>
      <c r="C59" s="164">
        <f>[58]Summary!$E$1</f>
        <v>8</v>
      </c>
      <c r="D59" s="43">
        <f>[58]Summary!$C$34</f>
        <v>3.6012352935663572E-2</v>
      </c>
      <c r="E59" s="43">
        <f>[58]Summary!$E$34/100</f>
        <v>3.6012352935663509E-2</v>
      </c>
      <c r="F59" s="43">
        <f>[58]Summary!$C$36</f>
        <v>0</v>
      </c>
      <c r="G59" s="43">
        <f>[58]Summary!$C$32</f>
        <v>0</v>
      </c>
      <c r="H59" s="43">
        <f>[58]Summary!$E$6/100</f>
        <v>0</v>
      </c>
      <c r="I59" s="43">
        <f>[58]Summary!$E$10/100</f>
        <v>3.8791985711352853E-2</v>
      </c>
      <c r="J59" s="43">
        <f>[58]Summary!$E$14/100</f>
        <v>0.19918968078777941</v>
      </c>
      <c r="K59" s="43">
        <f>[58]Summary!$C$40</f>
        <v>0.99065848573954196</v>
      </c>
      <c r="L59" s="43">
        <f>[58]Summary!$C$54</f>
        <v>0</v>
      </c>
      <c r="M59" s="43">
        <f>'[58]Glbl Expsr'!$D$2</f>
        <v>0.13466470706437381</v>
      </c>
      <c r="N59" s="147">
        <f>'[58]Glbl Expsr'!$D$3</f>
        <v>0.13466470706437381</v>
      </c>
      <c r="O59" s="152" t="s">
        <v>12964</v>
      </c>
      <c r="P59" s="152" t="s">
        <v>12828</v>
      </c>
      <c r="Q59" s="3"/>
      <c r="R59" s="4"/>
      <c r="S59" s="5"/>
      <c r="T59" s="5"/>
      <c r="U59" s="1"/>
      <c r="V59" s="2"/>
      <c r="W59" s="6"/>
      <c r="AG59" s="4"/>
      <c r="AH59" s="4"/>
      <c r="AI59" s="2"/>
      <c r="AJ59" s="4"/>
      <c r="AK59" s="2"/>
      <c r="AL59" s="2"/>
      <c r="AM59" s="2"/>
      <c r="AN59" s="5"/>
      <c r="AP59" s="2"/>
      <c r="AQ59" s="2"/>
      <c r="AR59" s="2"/>
    </row>
    <row r="60" spans="1:44" x14ac:dyDescent="0.2">
      <c r="A60" s="63" t="s">
        <v>12134</v>
      </c>
      <c r="B60" s="148" t="str">
        <f>[59]Summary!$G$3</f>
        <v>≠ UT</v>
      </c>
      <c r="C60" s="164">
        <f>[59]Summary!$E$1</f>
        <v>8</v>
      </c>
      <c r="D60" s="43">
        <f>[59]Summary!$C$34</f>
        <v>8.2315026127079582E-2</v>
      </c>
      <c r="E60" s="43">
        <f>[59]Summary!$E$34/100</f>
        <v>8.2315026127079569E-2</v>
      </c>
      <c r="F60" s="43">
        <f>[59]Summary!$C$36</f>
        <v>0</v>
      </c>
      <c r="G60" s="43">
        <f>[59]Summary!$C$32</f>
        <v>0</v>
      </c>
      <c r="H60" s="43">
        <f>[59]Summary!$E$6/100</f>
        <v>0</v>
      </c>
      <c r="I60" s="43">
        <f>[59]Summary!$E$10/100</f>
        <v>4.1456633541216509E-2</v>
      </c>
      <c r="J60" s="43">
        <f>[59]Summary!$E$14/100</f>
        <v>0.20559186659055576</v>
      </c>
      <c r="K60" s="43">
        <f>[59]Summary!$C$40</f>
        <v>0.99297479811736833</v>
      </c>
      <c r="L60" s="43">
        <f>[59]Summary!$C$54</f>
        <v>0</v>
      </c>
      <c r="M60" s="43">
        <f>'[59]Glbl Expsr'!$D$2</f>
        <v>0.12791244304959171</v>
      </c>
      <c r="N60" s="147">
        <f>'[59]Glbl Expsr'!$D$3</f>
        <v>0.12791244304959171</v>
      </c>
      <c r="O60" s="152" t="s">
        <v>12916</v>
      </c>
      <c r="P60" s="152" t="s">
        <v>12785</v>
      </c>
      <c r="Q60" s="3"/>
      <c r="R60" s="4"/>
      <c r="S60" s="5"/>
      <c r="T60" s="5"/>
      <c r="U60" s="1"/>
      <c r="V60" s="2"/>
      <c r="W60" s="6"/>
      <c r="AG60" s="4"/>
      <c r="AH60" s="4"/>
      <c r="AI60" s="2"/>
      <c r="AJ60" s="4"/>
      <c r="AK60" s="2"/>
      <c r="AL60" s="2"/>
      <c r="AM60" s="2"/>
      <c r="AN60" s="5"/>
      <c r="AP60" s="2"/>
      <c r="AQ60" s="2"/>
      <c r="AR60" s="2"/>
    </row>
    <row r="61" spans="1:44" x14ac:dyDescent="0.2">
      <c r="A61" s="63" t="s">
        <v>12094</v>
      </c>
      <c r="B61" s="148" t="str">
        <f>[60]Summary!$G$3</f>
        <v>≠ UT</v>
      </c>
      <c r="C61" s="164">
        <f>[60]Summary!$E$1</f>
        <v>7</v>
      </c>
      <c r="D61" s="43">
        <f>[60]Summary!$C$34</f>
        <v>9.2714644163798737E-2</v>
      </c>
      <c r="E61" s="43">
        <f>[60]Summary!$E$34/100</f>
        <v>9.2714644163798751E-2</v>
      </c>
      <c r="F61" s="43">
        <f>[60]Summary!$C$36</f>
        <v>0</v>
      </c>
      <c r="G61" s="43">
        <f>[60]Summary!$C$32</f>
        <v>0</v>
      </c>
      <c r="H61" s="43">
        <f>[60]Summary!$E$6/100</f>
        <v>0</v>
      </c>
      <c r="I61" s="43">
        <f>[60]Summary!$E$10/100</f>
        <v>0</v>
      </c>
      <c r="J61" s="43">
        <f>[60]Summary!$E$14/100</f>
        <v>0</v>
      </c>
      <c r="K61" s="43">
        <f>[60]Summary!$C$40</f>
        <v>0.99600667585557257</v>
      </c>
      <c r="L61" s="43">
        <f>[60]Summary!$C$54</f>
        <v>0</v>
      </c>
      <c r="M61" s="43">
        <f>'[60]Glbl Expsr'!$D$2</f>
        <v>0.1544112473221359</v>
      </c>
      <c r="N61" s="147">
        <f>'[60]Glbl Expsr'!$D$3</f>
        <v>0.1544112473221359</v>
      </c>
      <c r="O61" s="150" t="s">
        <v>12913</v>
      </c>
      <c r="P61" s="46" t="s">
        <v>12782</v>
      </c>
      <c r="Q61" s="3"/>
      <c r="R61" s="4"/>
      <c r="S61" s="5"/>
      <c r="T61" s="5"/>
      <c r="U61" s="1"/>
      <c r="V61" s="2"/>
      <c r="W61" s="6"/>
      <c r="AG61" s="4"/>
      <c r="AH61" s="4"/>
      <c r="AI61" s="2"/>
      <c r="AJ61" s="4"/>
      <c r="AK61" s="2"/>
      <c r="AL61" s="2"/>
      <c r="AM61" s="2"/>
      <c r="AN61" s="5"/>
      <c r="AP61" s="2"/>
      <c r="AQ61" s="2"/>
      <c r="AR61" s="2"/>
    </row>
    <row r="62" spans="1:44" x14ac:dyDescent="0.2">
      <c r="A62" s="63" t="s">
        <v>12585</v>
      </c>
      <c r="B62" s="148" t="str">
        <f>[61]Summary!$G$3</f>
        <v>≠ UT</v>
      </c>
      <c r="C62" s="164">
        <f>[61]Summary!$E$1</f>
        <v>7</v>
      </c>
      <c r="D62" s="43">
        <f>[61]Summary!$C$34</f>
        <v>0.10865401863136318</v>
      </c>
      <c r="E62" s="43">
        <f>[61]Summary!$E$34/100</f>
        <v>0.10865401863136319</v>
      </c>
      <c r="F62" s="43">
        <f>[61]Summary!$C$36</f>
        <v>0</v>
      </c>
      <c r="G62" s="43">
        <f>[61]Summary!$C$32</f>
        <v>0</v>
      </c>
      <c r="H62" s="43">
        <f>[61]Summary!$E$6/100</f>
        <v>0</v>
      </c>
      <c r="I62" s="43">
        <f>[61]Summary!$E$10/100</f>
        <v>3.833291429195157E-2</v>
      </c>
      <c r="J62" s="43">
        <f>[61]Summary!$E$14/100</f>
        <v>0.1903901948489411</v>
      </c>
      <c r="K62" s="43">
        <f>[61]Summary!$C$40</f>
        <v>0.99150556755435637</v>
      </c>
      <c r="L62" s="43">
        <f>[61]Summary!$C$54</f>
        <v>0</v>
      </c>
      <c r="M62" s="43">
        <f>'[61]Glbl Expsr'!$D$2</f>
        <v>6.0655969237357596E-2</v>
      </c>
      <c r="N62" s="147">
        <f>'[61]Glbl Expsr'!$D$3</f>
        <v>6.0655969237357596E-2</v>
      </c>
      <c r="O62" s="150" t="s">
        <v>12941</v>
      </c>
      <c r="P62" s="46" t="s">
        <v>12805</v>
      </c>
      <c r="Q62" s="3"/>
      <c r="R62" s="4"/>
      <c r="S62" s="5"/>
      <c r="T62" s="5"/>
      <c r="U62" s="1"/>
      <c r="V62" s="2"/>
      <c r="W62" s="6"/>
      <c r="AG62" s="4"/>
      <c r="AH62" s="4"/>
      <c r="AI62" s="2"/>
      <c r="AJ62" s="4"/>
      <c r="AK62" s="2"/>
      <c r="AL62" s="2"/>
      <c r="AM62" s="2"/>
      <c r="AN62" s="5"/>
      <c r="AP62" s="2"/>
      <c r="AQ62" s="2"/>
      <c r="AR62" s="2"/>
    </row>
    <row r="63" spans="1:44" x14ac:dyDescent="0.2">
      <c r="A63" s="63" t="s">
        <v>12706</v>
      </c>
      <c r="B63" s="148" t="str">
        <f>[62]Summary!$G$3</f>
        <v>≠ UT</v>
      </c>
      <c r="C63" s="164">
        <f>[62]Summary!$E$1</f>
        <v>7</v>
      </c>
      <c r="D63" s="43">
        <f>[62]Summary!$C$34</f>
        <v>0.18388093880294221</v>
      </c>
      <c r="E63" s="43">
        <f>[62]Summary!$E$34/100</f>
        <v>0.18388093880294218</v>
      </c>
      <c r="F63" s="43">
        <f>[62]Summary!$C$36</f>
        <v>0</v>
      </c>
      <c r="G63" s="43">
        <f>[62]Summary!$C$32</f>
        <v>0</v>
      </c>
      <c r="H63" s="43">
        <f>[62]Summary!$E$6/100</f>
        <v>0</v>
      </c>
      <c r="I63" s="43">
        <f>[62]Summary!$E$10/100</f>
        <v>1.8937928306982595E-2</v>
      </c>
      <c r="J63" s="43">
        <f>[62]Summary!$E$14/100</f>
        <v>0.15724512279862751</v>
      </c>
      <c r="K63" s="43">
        <f>[62]Summary!$C$40</f>
        <v>0.99324049018150706</v>
      </c>
      <c r="L63" s="43">
        <f>[62]Summary!$C$54</f>
        <v>0</v>
      </c>
      <c r="M63" s="43">
        <f>'[62]Glbl Expsr'!$D$2</f>
        <v>4.9272183880701828E-2</v>
      </c>
      <c r="N63" s="147">
        <f>'[62]Glbl Expsr'!$D$3</f>
        <v>4.9272183880701828E-2</v>
      </c>
      <c r="O63" s="150" t="s">
        <v>12963</v>
      </c>
      <c r="P63" s="46" t="s">
        <v>12827</v>
      </c>
      <c r="Q63" s="3"/>
      <c r="R63" s="4"/>
      <c r="S63" s="5"/>
      <c r="T63" s="5"/>
      <c r="U63" s="1"/>
      <c r="V63" s="2"/>
      <c r="W63" s="6"/>
      <c r="AG63" s="4"/>
      <c r="AH63" s="4"/>
      <c r="AI63" s="2"/>
      <c r="AJ63" s="4"/>
      <c r="AK63" s="2"/>
      <c r="AL63" s="2"/>
      <c r="AM63" s="2"/>
      <c r="AN63" s="5"/>
      <c r="AP63" s="2"/>
      <c r="AQ63" s="2"/>
      <c r="AR63" s="2"/>
    </row>
    <row r="64" spans="1:44" x14ac:dyDescent="0.2">
      <c r="A64" s="63" t="s">
        <v>12074</v>
      </c>
      <c r="B64" s="148" t="str">
        <f>[63]Summary!$G$3</f>
        <v>≠ UT</v>
      </c>
      <c r="C64" s="164">
        <f>[63]Summary!$E$1</f>
        <v>6</v>
      </c>
      <c r="D64" s="43">
        <f>[63]Summary!$C$34</f>
        <v>-9.8724884401829467</v>
      </c>
      <c r="E64" s="43">
        <f>[63]Summary!$E$34/100</f>
        <v>-9.8724884401829449</v>
      </c>
      <c r="F64" s="43" t="str">
        <f>[63]Summary!$C$36</f>
        <v/>
      </c>
      <c r="G64" s="43">
        <f>[63]Summary!$C$32</f>
        <v>0</v>
      </c>
      <c r="H64" s="43">
        <f>[63]Summary!$E$6/100</f>
        <v>0</v>
      </c>
      <c r="I64" s="43">
        <f>[63]Summary!$E$10/100</f>
        <v>0</v>
      </c>
      <c r="J64" s="43">
        <f>[63]Summary!$E$14/100</f>
        <v>0</v>
      </c>
      <c r="K64" s="43">
        <f>[63]Summary!$C$40</f>
        <v>4.8229682585907572</v>
      </c>
      <c r="L64" s="43">
        <f>[63]Summary!$C$54</f>
        <v>0</v>
      </c>
      <c r="M64" s="43">
        <f>'[63]Glbl Expsr'!$D$2</f>
        <v>4.8229682585907572</v>
      </c>
      <c r="N64" s="147">
        <f>'[63]Glbl Expsr'!$D$3</f>
        <v>4.8229682585907572</v>
      </c>
      <c r="O64" s="150" t="s">
        <v>12911</v>
      </c>
      <c r="P64" s="46" t="s">
        <v>12780</v>
      </c>
      <c r="Q64" s="3"/>
      <c r="R64" s="4"/>
      <c r="S64" s="5"/>
      <c r="T64" s="5"/>
      <c r="U64" s="1"/>
      <c r="V64" s="2"/>
      <c r="W64" s="6"/>
      <c r="AG64" s="4"/>
      <c r="AH64" s="4"/>
      <c r="AI64" s="2"/>
      <c r="AJ64" s="4"/>
      <c r="AK64" s="2"/>
      <c r="AL64" s="2"/>
      <c r="AM64" s="2"/>
      <c r="AN64" s="5"/>
      <c r="AP64" s="2"/>
      <c r="AQ64" s="2"/>
      <c r="AR64" s="2"/>
    </row>
    <row r="65" spans="1:44" x14ac:dyDescent="0.2">
      <c r="A65" s="63" t="s">
        <v>12111</v>
      </c>
      <c r="B65" s="148" t="str">
        <f>[64]Summary!$G$3</f>
        <v>≠ UT</v>
      </c>
      <c r="C65" s="164">
        <f>[64]Summary!$E$1</f>
        <v>5</v>
      </c>
      <c r="D65" s="43">
        <f>[64]Summary!$C$34</f>
        <v>0.32332707183948056</v>
      </c>
      <c r="E65" s="43">
        <f>[64]Summary!$E$34/100</f>
        <v>0.32332707183948062</v>
      </c>
      <c r="F65" s="43" t="str">
        <f>[64]Summary!$C$36</f>
        <v/>
      </c>
      <c r="G65" s="43">
        <f>[64]Summary!$C$32</f>
        <v>0.61037529314338523</v>
      </c>
      <c r="H65" s="43">
        <f>[64]Summary!$E$6/100</f>
        <v>0</v>
      </c>
      <c r="I65" s="43">
        <f>[64]Summary!$E$10/100</f>
        <v>3.8329991626557508E-2</v>
      </c>
      <c r="J65" s="43">
        <f>[64]Summary!$E$14/100</f>
        <v>0.19845099581399903</v>
      </c>
      <c r="K65" s="43">
        <f>[64]Summary!$C$40</f>
        <v>0.99265782456107365</v>
      </c>
      <c r="L65" s="43">
        <f>[64]Summary!$C$54</f>
        <v>0</v>
      </c>
      <c r="M65" s="43">
        <f>'[64]Glbl Expsr'!$D$2</f>
        <v>0.46525072678628832</v>
      </c>
      <c r="N65" s="147">
        <f>'[64]Glbl Expsr'!$D$3</f>
        <v>0.46525072678628832</v>
      </c>
      <c r="O65" s="150" t="s">
        <v>12915</v>
      </c>
      <c r="P65" s="46" t="s">
        <v>12784</v>
      </c>
      <c r="Q65" s="3"/>
      <c r="R65" s="4"/>
      <c r="S65" s="5"/>
      <c r="T65" s="5"/>
      <c r="U65" s="1"/>
      <c r="V65" s="2"/>
      <c r="W65" s="6"/>
      <c r="AG65" s="4"/>
      <c r="AH65" s="4"/>
      <c r="AI65" s="2"/>
      <c r="AJ65" s="4"/>
      <c r="AK65" s="2"/>
      <c r="AL65" s="2"/>
      <c r="AM65" s="2"/>
      <c r="AN65" s="5"/>
      <c r="AP65" s="2"/>
      <c r="AQ65" s="2"/>
      <c r="AR65" s="2"/>
    </row>
    <row r="66" spans="1:44" x14ac:dyDescent="0.2">
      <c r="A66" s="63" t="s">
        <v>12513</v>
      </c>
      <c r="B66" s="148" t="str">
        <f>[65]Summary!$G$3</f>
        <v>≠ UT</v>
      </c>
      <c r="C66" s="164">
        <f>[65]Summary!$E$1</f>
        <v>5</v>
      </c>
      <c r="D66" s="43">
        <f>[65]Summary!$C$34</f>
        <v>0.34005022483828184</v>
      </c>
      <c r="E66" s="43">
        <f>[65]Summary!$E$34/100</f>
        <v>0.34005022483828179</v>
      </c>
      <c r="F66" s="43">
        <f>[65]Summary!$C$36</f>
        <v>0.14896869404590798</v>
      </c>
      <c r="G66" s="43">
        <f>[65]Summary!$C$32</f>
        <v>0</v>
      </c>
      <c r="H66" s="43">
        <f>[65]Summary!$E$6/100</f>
        <v>0</v>
      </c>
      <c r="I66" s="43">
        <f>[65]Summary!$E$10/100</f>
        <v>0</v>
      </c>
      <c r="J66" s="43">
        <f>[65]Summary!$E$14/100</f>
        <v>0</v>
      </c>
      <c r="K66" s="43">
        <f>[65]Summary!$C$40</f>
        <v>2.257332545165263</v>
      </c>
      <c r="L66" s="43">
        <f>[65]Summary!$C$54</f>
        <v>20.716682234448101</v>
      </c>
      <c r="M66" s="43">
        <f>'[65]Glbl Expsr'!$D$2</f>
        <v>2.219385566083218</v>
      </c>
      <c r="N66" s="147">
        <f>'[65]Glbl Expsr'!$D$3</f>
        <v>2.219385566083218</v>
      </c>
      <c r="O66" s="152" t="s">
        <v>12940</v>
      </c>
      <c r="P66" s="152" t="s">
        <v>12804</v>
      </c>
      <c r="Q66" s="3"/>
      <c r="R66" s="4"/>
      <c r="S66" s="5"/>
      <c r="T66" s="5"/>
      <c r="U66" s="1"/>
      <c r="V66" s="2"/>
      <c r="W66" s="6"/>
      <c r="AG66" s="4"/>
      <c r="AH66" s="4"/>
      <c r="AI66" s="2"/>
      <c r="AJ66" s="4"/>
      <c r="AK66" s="2"/>
      <c r="AL66" s="2"/>
      <c r="AM66" s="2"/>
      <c r="AN66" s="5"/>
      <c r="AP66" s="2"/>
      <c r="AQ66" s="2"/>
      <c r="AR66" s="2"/>
    </row>
    <row r="67" spans="1:44" x14ac:dyDescent="0.2">
      <c r="A67" s="63" t="s">
        <v>11778</v>
      </c>
      <c r="B67" s="148" t="str">
        <f>[66]Summary!$G$3</f>
        <v>≠ UT</v>
      </c>
      <c r="C67" s="164">
        <f>[66]Summary!$E$1</f>
        <v>4</v>
      </c>
      <c r="D67" s="43">
        <f>[66]Summary!$C$34</f>
        <v>2.6913899178684059E-2</v>
      </c>
      <c r="E67" s="43">
        <f>[66]Summary!$E$34/100</f>
        <v>2.6913899178684062E-2</v>
      </c>
      <c r="F67" s="43">
        <f>[66]Summary!$C$36</f>
        <v>0.53939459032003356</v>
      </c>
      <c r="G67" s="43">
        <f>[66]Summary!$C$32</f>
        <v>0</v>
      </c>
      <c r="H67" s="43">
        <f>[66]Summary!$E$6/100</f>
        <v>0.18080560784416286</v>
      </c>
      <c r="I67" s="43">
        <f>[66]Summary!$E$10/100</f>
        <v>2.4552068617346434E-3</v>
      </c>
      <c r="J67" s="43">
        <f>[66]Summary!$E$14/100</f>
        <v>7.7266517457765277E-2</v>
      </c>
      <c r="K67" s="43">
        <f>[66]Summary!$C$40</f>
        <v>0.26617113709753332</v>
      </c>
      <c r="L67" s="43">
        <f>[66]Summary!$C$54</f>
        <v>0</v>
      </c>
      <c r="M67" s="43">
        <f>'[66]Glbl Expsr'!$D$2</f>
        <v>0.40592790663552347</v>
      </c>
      <c r="N67" s="147">
        <f>'[66]Glbl Expsr'!$D$3</f>
        <v>9.5009305894028326E-2</v>
      </c>
      <c r="O67" s="152" t="s">
        <v>12898</v>
      </c>
      <c r="P67" s="152" t="s">
        <v>12767</v>
      </c>
      <c r="Q67" s="3"/>
      <c r="R67" s="4"/>
      <c r="S67" s="5"/>
      <c r="T67" s="5"/>
      <c r="U67" s="1"/>
      <c r="V67" s="2"/>
      <c r="W67" s="6"/>
      <c r="AG67" s="4"/>
      <c r="AH67" s="4"/>
      <c r="AI67" s="2"/>
      <c r="AJ67" s="4"/>
      <c r="AK67" s="2"/>
      <c r="AL67" s="2"/>
      <c r="AM67" s="2"/>
      <c r="AN67" s="5"/>
      <c r="AP67" s="2"/>
      <c r="AQ67" s="2"/>
      <c r="AR67" s="2"/>
    </row>
    <row r="68" spans="1:44" x14ac:dyDescent="0.2">
      <c r="A68" s="63" t="s">
        <v>11190</v>
      </c>
      <c r="B68" s="148" t="str">
        <f>[67]Summary!$G$3</f>
        <v>≠ UT</v>
      </c>
      <c r="C68" s="164">
        <f>[67]Summary!$E$1</f>
        <v>4</v>
      </c>
      <c r="D68" s="43">
        <f>[67]Summary!$C$34</f>
        <v>5.2054815566791146E-2</v>
      </c>
      <c r="E68" s="43">
        <f>[67]Summary!$E$34/100</f>
        <v>5.2054815566791139E-2</v>
      </c>
      <c r="F68" s="43">
        <f>[67]Summary!$C$36</f>
        <v>0.54928120973051187</v>
      </c>
      <c r="G68" s="43">
        <f>[67]Summary!$C$32</f>
        <v>0</v>
      </c>
      <c r="H68" s="43">
        <f>[67]Summary!$E$6/100</f>
        <v>0.19617423597439079</v>
      </c>
      <c r="I68" s="43">
        <f>[67]Summary!$E$10/100</f>
        <v>2.4544532771942169E-3</v>
      </c>
      <c r="J68" s="43">
        <f>[67]Summary!$E$14/100</f>
        <v>7.7470100243151929E-2</v>
      </c>
      <c r="K68" s="43">
        <f>[67]Summary!$C$40</f>
        <v>0.23280053410809087</v>
      </c>
      <c r="L68" s="43">
        <f>[67]Summary!$C$54</f>
        <v>0</v>
      </c>
      <c r="M68" s="43">
        <f>'[67]Glbl Expsr'!$D$2</f>
        <v>0.38805548996691258</v>
      </c>
      <c r="N68" s="147">
        <f>'[67]Glbl Expsr'!$D$3</f>
        <v>7.7649449389764535E-2</v>
      </c>
      <c r="O68" s="152" t="s">
        <v>12889</v>
      </c>
      <c r="P68" s="152" t="s">
        <v>12758</v>
      </c>
      <c r="Q68" s="3"/>
      <c r="R68" s="4"/>
      <c r="S68" s="5"/>
      <c r="T68" s="5"/>
      <c r="U68" s="1"/>
      <c r="V68" s="2"/>
      <c r="W68" s="6"/>
      <c r="AG68" s="4"/>
      <c r="AH68" s="4"/>
      <c r="AI68" s="2"/>
      <c r="AJ68" s="4"/>
      <c r="AK68" s="2"/>
      <c r="AL68" s="2"/>
      <c r="AM68" s="2"/>
      <c r="AN68" s="5"/>
      <c r="AP68" s="2"/>
      <c r="AQ68" s="2"/>
      <c r="AR68" s="2"/>
    </row>
    <row r="69" spans="1:44" x14ac:dyDescent="0.2">
      <c r="A69" s="63" t="s">
        <v>11945</v>
      </c>
      <c r="B69" s="148" t="str">
        <f>[68]Summary!$G$3</f>
        <v>≠ UT</v>
      </c>
      <c r="C69" s="164">
        <f>[68]Summary!$E$1</f>
        <v>4</v>
      </c>
      <c r="D69" s="43">
        <f>[68]Summary!$C$34</f>
        <v>6.6435256197489551E-2</v>
      </c>
      <c r="E69" s="43">
        <f>[68]Summary!$E$34/100</f>
        <v>6.6435256197489564E-2</v>
      </c>
      <c r="F69" s="43">
        <f>[68]Summary!$C$36</f>
        <v>0.53472296414186282</v>
      </c>
      <c r="G69" s="43">
        <f>[68]Summary!$C$32</f>
        <v>0</v>
      </c>
      <c r="H69" s="43">
        <f>[68]Summary!$E$6/100</f>
        <v>0.188723216770432</v>
      </c>
      <c r="I69" s="43">
        <f>[68]Summary!$E$10/100</f>
        <v>2.4727651742244149E-3</v>
      </c>
      <c r="J69" s="43">
        <f>[68]Summary!$E$14/100</f>
        <v>7.7776726346302991E-2</v>
      </c>
      <c r="K69" s="43">
        <f>[68]Summary!$C$40</f>
        <v>0.23341990372194193</v>
      </c>
      <c r="L69" s="43">
        <f>[68]Summary!$C$54</f>
        <v>0</v>
      </c>
      <c r="M69" s="43">
        <f>'[68]Glbl Expsr'!$D$2</f>
        <v>0.38630357641028418</v>
      </c>
      <c r="N69" s="147">
        <f>'[68]Glbl Expsr'!$D$3</f>
        <v>7.708470969524707E-2</v>
      </c>
      <c r="O69" s="150" t="s">
        <v>12903</v>
      </c>
      <c r="P69" s="46" t="s">
        <v>12772</v>
      </c>
      <c r="Q69" s="3"/>
      <c r="R69" s="4"/>
      <c r="S69" s="5"/>
      <c r="T69" s="5"/>
      <c r="U69" s="1"/>
      <c r="V69" s="2"/>
      <c r="W69" s="6"/>
      <c r="AG69" s="4"/>
      <c r="AH69" s="4"/>
      <c r="AI69" s="2"/>
      <c r="AJ69" s="4"/>
      <c r="AK69" s="2"/>
      <c r="AL69" s="2"/>
      <c r="AM69" s="2"/>
      <c r="AN69" s="5"/>
      <c r="AP69" s="2"/>
      <c r="AQ69" s="2"/>
      <c r="AR69" s="2"/>
    </row>
    <row r="70" spans="1:44" x14ac:dyDescent="0.2">
      <c r="A70" s="63" t="s">
        <v>12876</v>
      </c>
      <c r="B70" s="148" t="str">
        <f>[69]Summary!$G$3</f>
        <v>≠ UT</v>
      </c>
      <c r="C70" s="164">
        <f>[69]Summary!$E$1</f>
        <v>0</v>
      </c>
      <c r="D70" s="43">
        <f>[69]Summary!$C$34</f>
        <v>2.2616534359339989E-4</v>
      </c>
      <c r="E70" s="43">
        <f>[69]Summary!$E$34/100</f>
        <v>2.2616534359339989E-4</v>
      </c>
      <c r="F70" s="43">
        <f>[69]Summary!$C$36</f>
        <v>0</v>
      </c>
      <c r="G70" s="43">
        <f>[69]Summary!$C$32</f>
        <v>0</v>
      </c>
      <c r="H70" s="43">
        <f>[69]Summary!$E$6/100</f>
        <v>0</v>
      </c>
      <c r="I70" s="43">
        <f>[69]Summary!$E$10/100</f>
        <v>0</v>
      </c>
      <c r="J70" s="43">
        <f>[69]Summary!$E$14/100</f>
        <v>0</v>
      </c>
      <c r="K70" s="43">
        <f>[69]Summary!$C$40</f>
        <v>0</v>
      </c>
      <c r="L70" s="43">
        <f>[69]Summary!$C$54</f>
        <v>0</v>
      </c>
      <c r="M70" s="43">
        <f>'[69]Glbl Expsr'!$D$2</f>
        <v>0</v>
      </c>
      <c r="N70" s="147">
        <f>'[69]Glbl Expsr'!$D$3</f>
        <v>0</v>
      </c>
      <c r="O70" s="152" t="s">
        <v>12918</v>
      </c>
      <c r="P70" s="152" t="s">
        <v>12919</v>
      </c>
      <c r="Q70" s="3"/>
      <c r="R70" s="4"/>
      <c r="S70" s="5"/>
      <c r="T70" s="5"/>
      <c r="U70" s="1"/>
      <c r="V70" s="2"/>
      <c r="W70" s="6"/>
      <c r="AG70" s="4"/>
      <c r="AH70" s="4"/>
      <c r="AI70" s="2"/>
      <c r="AJ70" s="4"/>
      <c r="AK70" s="2"/>
      <c r="AL70" s="2"/>
      <c r="AM70" s="2"/>
      <c r="AN70" s="5"/>
      <c r="AP70" s="2"/>
      <c r="AQ70" s="2"/>
      <c r="AR70" s="2"/>
    </row>
    <row r="71" spans="1:44" x14ac:dyDescent="0.2">
      <c r="A71" s="63" t="s">
        <v>11658</v>
      </c>
      <c r="B71" s="148" t="str">
        <f>[70]Summary!$G$3</f>
        <v>≠ UT</v>
      </c>
      <c r="C71" s="164">
        <f>[70]Summary!$E$1</f>
        <v>0</v>
      </c>
      <c r="D71" s="43">
        <f>[70]Summary!$C$34</f>
        <v>1.3665616217637087E-3</v>
      </c>
      <c r="E71" s="43">
        <f>[70]Summary!$E$34/100</f>
        <v>1.366561621763709E-3</v>
      </c>
      <c r="F71" s="43">
        <f>[70]Summary!$C$36</f>
        <v>0.20375182256396532</v>
      </c>
      <c r="G71" s="43">
        <f>[70]Summary!$C$32</f>
        <v>0</v>
      </c>
      <c r="H71" s="43">
        <f>[70]Summary!$E$6/100</f>
        <v>0</v>
      </c>
      <c r="I71" s="43">
        <f>[70]Summary!$E$10/100</f>
        <v>0.17560308968043897</v>
      </c>
      <c r="J71" s="43">
        <f>[70]Summary!$E$14/100</f>
        <v>0.41816658454898453</v>
      </c>
      <c r="K71" s="43">
        <f>[70]Summary!$C$40</f>
        <v>0.79488161581427086</v>
      </c>
      <c r="L71" s="43">
        <f>[70]Summary!$C$54</f>
        <v>28.540720045533892</v>
      </c>
      <c r="M71" s="43">
        <f>'[70]Glbl Expsr'!$D$2</f>
        <v>0</v>
      </c>
      <c r="N71" s="147">
        <f>'[70]Glbl Expsr'!$D$3</f>
        <v>0</v>
      </c>
      <c r="O71" s="150" t="s">
        <v>12896</v>
      </c>
      <c r="P71" s="46" t="s">
        <v>12765</v>
      </c>
      <c r="Q71" s="3"/>
      <c r="R71" s="4"/>
      <c r="S71" s="5"/>
      <c r="T71" s="5"/>
      <c r="U71" s="1"/>
      <c r="V71" s="2"/>
      <c r="W71" s="6"/>
      <c r="AG71" s="4"/>
      <c r="AH71" s="4"/>
      <c r="AI71" s="2"/>
      <c r="AJ71" s="4"/>
      <c r="AK71" s="2"/>
      <c r="AL71" s="2"/>
      <c r="AM71" s="2"/>
      <c r="AN71" s="5"/>
      <c r="AP71" s="2"/>
      <c r="AQ71" s="2"/>
      <c r="AR71" s="2"/>
    </row>
    <row r="72" spans="1:44" x14ac:dyDescent="0.2">
      <c r="A72" s="63" t="s">
        <v>11420</v>
      </c>
      <c r="B72" s="148" t="str">
        <f>[71]Summary!$G$3</f>
        <v>≠ UT</v>
      </c>
      <c r="C72" s="164">
        <f>[71]Summary!$E$1</f>
        <v>0</v>
      </c>
      <c r="D72" s="43">
        <f>[71]Summary!$C$34</f>
        <v>3.3739814544855619E-3</v>
      </c>
      <c r="E72" s="43">
        <f>[71]Summary!$E$34/100</f>
        <v>3.3739814544855619E-3</v>
      </c>
      <c r="F72" s="43">
        <f>[71]Summary!$C$36</f>
        <v>0.94846202065348939</v>
      </c>
      <c r="G72" s="43">
        <f>[71]Summary!$C$32</f>
        <v>0</v>
      </c>
      <c r="H72" s="43">
        <f>[71]Summary!$E$6/100</f>
        <v>0</v>
      </c>
      <c r="I72" s="43">
        <f>[71]Summary!$E$10/100</f>
        <v>0</v>
      </c>
      <c r="J72" s="43">
        <f>[71]Summary!$E$14/100</f>
        <v>0</v>
      </c>
      <c r="K72" s="43">
        <f>[71]Summary!$C$40</f>
        <v>0</v>
      </c>
      <c r="L72" s="43">
        <f>[71]Summary!$C$54</f>
        <v>0</v>
      </c>
      <c r="M72" s="43">
        <f>'[71]Glbl Expsr'!$D$2</f>
        <v>0</v>
      </c>
      <c r="N72" s="147">
        <f>'[71]Glbl Expsr'!$D$3</f>
        <v>0</v>
      </c>
      <c r="O72" s="150" t="s">
        <v>12893</v>
      </c>
      <c r="P72" s="46" t="s">
        <v>12762</v>
      </c>
      <c r="Q72" s="3"/>
      <c r="R72" s="4"/>
      <c r="S72" s="5"/>
      <c r="T72" s="5"/>
      <c r="U72" s="1"/>
      <c r="V72" s="2"/>
      <c r="W72" s="6"/>
      <c r="AG72" s="4"/>
      <c r="AH72" s="4"/>
      <c r="AI72" s="2"/>
      <c r="AJ72" s="4"/>
      <c r="AK72" s="2"/>
      <c r="AL72" s="2"/>
      <c r="AM72" s="2"/>
      <c r="AN72" s="5"/>
      <c r="AP72" s="2"/>
      <c r="AQ72" s="2"/>
      <c r="AR72" s="2"/>
    </row>
    <row r="73" spans="1:44" x14ac:dyDescent="0.2">
      <c r="A73" s="63" t="s">
        <v>12656</v>
      </c>
      <c r="B73" s="148" t="str">
        <f>[72]Summary!$G$3</f>
        <v>≠ UT</v>
      </c>
      <c r="C73" s="164">
        <f>[72]Summary!$E$1</f>
        <v>0</v>
      </c>
      <c r="D73" s="43">
        <f>[72]Summary!$C$34</f>
        <v>3.773542327480609E-3</v>
      </c>
      <c r="E73" s="43">
        <f>[72]Summary!$E$34/100</f>
        <v>3.773542327480609E-3</v>
      </c>
      <c r="F73" s="43">
        <f>[72]Summary!$C$36</f>
        <v>0</v>
      </c>
      <c r="G73" s="43">
        <f>[72]Summary!$C$32</f>
        <v>0</v>
      </c>
      <c r="H73" s="43">
        <f>[72]Summary!$E$6/100</f>
        <v>0</v>
      </c>
      <c r="I73" s="43">
        <f>[72]Summary!$E$10/100</f>
        <v>0.40608401499598701</v>
      </c>
      <c r="J73" s="43">
        <f>[72]Summary!$E$14/100</f>
        <v>0.91193661568819862</v>
      </c>
      <c r="K73" s="43">
        <f>[72]Summary!$C$40</f>
        <v>0.99622645767251916</v>
      </c>
      <c r="L73" s="43">
        <f>[72]Summary!$C$54</f>
        <v>0</v>
      </c>
      <c r="M73" s="43">
        <f>'[72]Glbl Expsr'!$D$2</f>
        <v>0</v>
      </c>
      <c r="N73" s="147">
        <f>'[72]Glbl Expsr'!$D$3</f>
        <v>0</v>
      </c>
      <c r="O73" s="150" t="s">
        <v>12956</v>
      </c>
      <c r="P73" s="46" t="s">
        <v>12820</v>
      </c>
      <c r="Q73" s="3"/>
      <c r="R73" s="4"/>
      <c r="S73" s="5"/>
      <c r="T73" s="5"/>
      <c r="U73" s="1"/>
      <c r="V73" s="2"/>
      <c r="W73" s="6"/>
      <c r="AG73" s="4"/>
      <c r="AH73" s="4"/>
      <c r="AI73" s="2"/>
      <c r="AJ73" s="4"/>
      <c r="AK73" s="2"/>
      <c r="AL73" s="2"/>
      <c r="AM73" s="2"/>
      <c r="AN73" s="5"/>
      <c r="AP73" s="2"/>
      <c r="AQ73" s="2"/>
      <c r="AR73" s="2"/>
    </row>
    <row r="74" spans="1:44" x14ac:dyDescent="0.2">
      <c r="A74" s="63" t="s">
        <v>11431</v>
      </c>
      <c r="B74" s="148" t="str">
        <f>[73]Summary!$G$3</f>
        <v>≠ UT</v>
      </c>
      <c r="C74" s="164">
        <f>[73]Summary!$E$1</f>
        <v>0</v>
      </c>
      <c r="D74" s="43">
        <f>[73]Summary!$C$34</f>
        <v>0.24908775363343993</v>
      </c>
      <c r="E74" s="43">
        <f>[73]Summary!$E$34/100</f>
        <v>0.24908775363343991</v>
      </c>
      <c r="F74" s="43">
        <f>[73]Summary!$C$36</f>
        <v>0.69915416114403695</v>
      </c>
      <c r="G74" s="43">
        <f>[73]Summary!$C$32</f>
        <v>0</v>
      </c>
      <c r="H74" s="43">
        <f>[73]Summary!$E$6/100</f>
        <v>8.4928237555884106E-2</v>
      </c>
      <c r="I74" s="43">
        <f>[73]Summary!$E$10/100</f>
        <v>0</v>
      </c>
      <c r="J74" s="43">
        <f>[73]Summary!$E$14/100</f>
        <v>0</v>
      </c>
      <c r="K74" s="43">
        <f>[73]Summary!$C$40</f>
        <v>5.170602421472574E-2</v>
      </c>
      <c r="L74" s="43">
        <f>[73]Summary!$C$54</f>
        <v>0</v>
      </c>
      <c r="M74" s="43">
        <f>'[73]Glbl Expsr'!$D$2</f>
        <v>0</v>
      </c>
      <c r="N74" s="147">
        <f>'[73]Glbl Expsr'!$D$3</f>
        <v>0</v>
      </c>
      <c r="O74" s="152" t="s">
        <v>12895</v>
      </c>
      <c r="P74" s="152" t="s">
        <v>12764</v>
      </c>
      <c r="Q74" s="3"/>
      <c r="R74" s="4"/>
      <c r="S74" s="5"/>
      <c r="T74" s="5"/>
      <c r="U74" s="1"/>
      <c r="V74" s="2"/>
      <c r="W74" s="6"/>
      <c r="AG74" s="4"/>
      <c r="AH74" s="4"/>
      <c r="AI74" s="2"/>
      <c r="AJ74" s="4"/>
      <c r="AK74" s="2"/>
      <c r="AL74" s="2"/>
      <c r="AM74" s="2"/>
      <c r="AN74" s="5"/>
      <c r="AP74" s="2"/>
      <c r="AQ74" s="2"/>
      <c r="AR74" s="2"/>
    </row>
    <row r="75" spans="1:44" x14ac:dyDescent="0.2">
      <c r="A75" s="63" t="s">
        <v>12587</v>
      </c>
      <c r="B75" s="148" t="str">
        <f>[74]Summary!$G$3</f>
        <v>≠ UT</v>
      </c>
      <c r="C75" s="164">
        <f>[74]Summary!$E$1</f>
        <v>0</v>
      </c>
      <c r="D75" s="43">
        <f>[74]Summary!$C$34</f>
        <v>0.35447371101694414</v>
      </c>
      <c r="E75" s="43">
        <f>[74]Summary!$E$34/100</f>
        <v>0.35447371101694414</v>
      </c>
      <c r="F75" s="43">
        <f>[74]Summary!$C$36</f>
        <v>0.59734229462308497</v>
      </c>
      <c r="G75" s="43">
        <f>[74]Summary!$C$32</f>
        <v>0</v>
      </c>
      <c r="H75" s="43">
        <f>[74]Summary!$E$6/100</f>
        <v>8.616934644436347E-2</v>
      </c>
      <c r="I75" s="43">
        <f>[74]Summary!$E$10/100</f>
        <v>0</v>
      </c>
      <c r="J75" s="43">
        <f>[74]Summary!$E$14/100</f>
        <v>0</v>
      </c>
      <c r="K75" s="43">
        <f>[74]Summary!$C$40</f>
        <v>4.8135573110101533E-2</v>
      </c>
      <c r="L75" s="43">
        <f>[74]Summary!$C$54</f>
        <v>0</v>
      </c>
      <c r="M75" s="43">
        <f>'[74]Glbl Expsr'!$D$2</f>
        <v>0</v>
      </c>
      <c r="N75" s="147">
        <f>'[74]Glbl Expsr'!$D$3</f>
        <v>0</v>
      </c>
      <c r="O75" s="152" t="s">
        <v>12942</v>
      </c>
      <c r="P75" s="152" t="s">
        <v>12806</v>
      </c>
      <c r="Q75" s="3"/>
      <c r="R75" s="4"/>
      <c r="S75" s="5"/>
      <c r="T75" s="5"/>
      <c r="U75" s="1"/>
      <c r="V75" s="2"/>
      <c r="W75" s="6"/>
      <c r="AG75" s="4"/>
      <c r="AH75" s="4"/>
      <c r="AI75" s="2"/>
      <c r="AJ75" s="4"/>
      <c r="AK75" s="2"/>
      <c r="AL75" s="2"/>
      <c r="AM75" s="2"/>
      <c r="AN75" s="5"/>
      <c r="AP75" s="2"/>
      <c r="AQ75" s="2"/>
      <c r="AR75" s="2"/>
    </row>
    <row r="76" spans="1:44" x14ac:dyDescent="0.2">
      <c r="A76" s="63" t="s">
        <v>11943</v>
      </c>
      <c r="B76" s="148" t="str">
        <f>[75]Summary!$G$3</f>
        <v>≠ UT</v>
      </c>
      <c r="C76" s="164">
        <f>[75]Summary!$E$1</f>
        <v>0</v>
      </c>
      <c r="D76" s="43">
        <f>[75]Summary!$C$34</f>
        <v>0.44461666237146935</v>
      </c>
      <c r="E76" s="43">
        <f>[75]Summary!$E$34/100</f>
        <v>0.44461666237146935</v>
      </c>
      <c r="F76" s="43">
        <f>[75]Summary!$C$36</f>
        <v>0.55538333762853076</v>
      </c>
      <c r="G76" s="43">
        <f>[75]Summary!$C$32</f>
        <v>0</v>
      </c>
      <c r="H76" s="43">
        <f>[75]Summary!$E$6/100</f>
        <v>0.25836517033875822</v>
      </c>
      <c r="I76" s="43">
        <f>[75]Summary!$E$10/100</f>
        <v>0</v>
      </c>
      <c r="J76" s="43">
        <f>[75]Summary!$E$14/100</f>
        <v>0</v>
      </c>
      <c r="K76" s="43">
        <f>[75]Summary!$C$40</f>
        <v>0</v>
      </c>
      <c r="L76" s="43">
        <f>[75]Summary!$C$54</f>
        <v>0</v>
      </c>
      <c r="M76" s="43">
        <f>'[75]Glbl Expsr'!$D$2</f>
        <v>0</v>
      </c>
      <c r="N76" s="147">
        <f>'[75]Glbl Expsr'!$D$3</f>
        <v>0</v>
      </c>
      <c r="O76" s="150" t="s">
        <v>12902</v>
      </c>
      <c r="P76" s="46" t="s">
        <v>12771</v>
      </c>
      <c r="Q76" s="3"/>
      <c r="R76" s="4"/>
      <c r="S76" s="5"/>
      <c r="T76" s="5"/>
      <c r="U76" s="1"/>
      <c r="V76" s="2"/>
      <c r="W76" s="6"/>
      <c r="AG76" s="4"/>
      <c r="AH76" s="4"/>
      <c r="AI76" s="2"/>
      <c r="AJ76" s="4"/>
      <c r="AK76" s="2"/>
      <c r="AL76" s="2"/>
      <c r="AM76" s="2"/>
      <c r="AN76" s="5"/>
      <c r="AP76" s="2"/>
      <c r="AQ76" s="2"/>
      <c r="AR76" s="2"/>
    </row>
    <row r="77" spans="1:44" x14ac:dyDescent="0.2">
      <c r="A77" s="63" t="s">
        <v>12089</v>
      </c>
      <c r="B77" s="148" t="str">
        <f>[76]Summary!$G$3</f>
        <v>≠ UT</v>
      </c>
      <c r="C77" s="164">
        <f>[76]Summary!$E$1</f>
        <v>0</v>
      </c>
      <c r="D77" s="43">
        <f>[76]Summary!$C$34</f>
        <v>0.53402459447479511</v>
      </c>
      <c r="E77" s="43">
        <f>[76]Summary!$E$34/100</f>
        <v>0.53402459447479511</v>
      </c>
      <c r="F77" s="43">
        <f>[76]Summary!$C$36</f>
        <v>0.32152803490837717</v>
      </c>
      <c r="G77" s="43">
        <f>[76]Summary!$C$32</f>
        <v>0</v>
      </c>
      <c r="H77" s="43">
        <f>[76]Summary!$E$6/100</f>
        <v>0.11023489235247853</v>
      </c>
      <c r="I77" s="43">
        <f>[76]Summary!$E$10/100</f>
        <v>0</v>
      </c>
      <c r="J77" s="43">
        <f>[76]Summary!$E$14/100</f>
        <v>0</v>
      </c>
      <c r="K77" s="43">
        <f>[76]Summary!$C$40</f>
        <v>9.470644618175672E-2</v>
      </c>
      <c r="L77" s="43">
        <f>[76]Summary!$C$54</f>
        <v>0</v>
      </c>
      <c r="M77" s="43">
        <f>'[76]Glbl Expsr'!$D$2</f>
        <v>0</v>
      </c>
      <c r="N77" s="147">
        <f>'[76]Glbl Expsr'!$D$3</f>
        <v>0</v>
      </c>
      <c r="O77" s="152" t="s">
        <v>12912</v>
      </c>
      <c r="P77" s="152" t="s">
        <v>12781</v>
      </c>
      <c r="Q77" s="3"/>
      <c r="R77" s="4"/>
      <c r="S77" s="5"/>
      <c r="T77" s="5"/>
      <c r="U77" s="1"/>
      <c r="V77" s="2"/>
      <c r="W77" s="6"/>
      <c r="AG77" s="4"/>
      <c r="AH77" s="4"/>
      <c r="AI77" s="2"/>
      <c r="AJ77" s="4"/>
      <c r="AK77" s="2"/>
      <c r="AL77" s="2"/>
      <c r="AM77" s="2"/>
      <c r="AN77" s="5"/>
      <c r="AP77" s="2"/>
      <c r="AQ77" s="2"/>
      <c r="AR77" s="2"/>
    </row>
    <row r="78" spans="1:44" x14ac:dyDescent="0.2">
      <c r="H78" s="1"/>
      <c r="I78" s="2"/>
      <c r="J78" s="2"/>
      <c r="K78" s="2"/>
      <c r="L78" s="2"/>
      <c r="M78" s="2"/>
      <c r="N78" s="149"/>
      <c r="O78" s="2"/>
      <c r="P78" s="2"/>
      <c r="Q78" s="3"/>
      <c r="R78" s="4"/>
      <c r="S78" s="5"/>
      <c r="T78" s="5"/>
      <c r="U78" s="1"/>
      <c r="V78" s="2"/>
      <c r="W78" s="6"/>
      <c r="AG78" s="4"/>
      <c r="AH78" s="4"/>
      <c r="AI78" s="2"/>
      <c r="AJ78" s="4"/>
      <c r="AK78" s="2"/>
      <c r="AL78" s="2"/>
      <c r="AM78" s="2"/>
      <c r="AN78" s="5"/>
      <c r="AP78" s="2"/>
      <c r="AQ78" s="2"/>
      <c r="AR78" s="2"/>
    </row>
    <row r="79" spans="1:44" x14ac:dyDescent="0.2">
      <c r="H79" s="1"/>
      <c r="I79" s="2"/>
      <c r="J79" s="2"/>
      <c r="K79" s="2"/>
      <c r="L79" s="2"/>
      <c r="M79" s="2"/>
      <c r="N79" s="149"/>
      <c r="O79" s="2"/>
      <c r="P79" s="2"/>
      <c r="Q79" s="3"/>
      <c r="R79" s="4"/>
      <c r="S79" s="5"/>
      <c r="T79" s="5"/>
      <c r="U79" s="1"/>
      <c r="V79" s="2"/>
      <c r="W79" s="6"/>
      <c r="AG79" s="4"/>
      <c r="AH79" s="4"/>
      <c r="AI79" s="2"/>
      <c r="AJ79" s="4"/>
      <c r="AK79" s="2"/>
      <c r="AL79" s="2"/>
      <c r="AM79" s="2"/>
      <c r="AN79" s="5"/>
      <c r="AP79" s="2"/>
      <c r="AQ79" s="2"/>
      <c r="AR79" s="2"/>
    </row>
    <row r="80" spans="1:44" x14ac:dyDescent="0.2">
      <c r="H80" s="1"/>
      <c r="I80" s="2"/>
      <c r="J80" s="2"/>
      <c r="K80" s="2"/>
      <c r="L80" s="2"/>
      <c r="M80" s="2"/>
      <c r="N80" s="149"/>
      <c r="O80" s="2"/>
      <c r="P80" s="2"/>
      <c r="Q80" s="3"/>
      <c r="R80" s="4"/>
      <c r="S80" s="5"/>
      <c r="T80" s="5"/>
      <c r="U80" s="1"/>
      <c r="V80" s="2"/>
      <c r="W80" s="6"/>
      <c r="AG80" s="4"/>
      <c r="AH80" s="4"/>
      <c r="AI80" s="2"/>
      <c r="AJ80" s="4"/>
      <c r="AK80" s="2"/>
      <c r="AL80" s="2"/>
      <c r="AM80" s="2"/>
      <c r="AN80" s="5"/>
      <c r="AP80" s="2"/>
      <c r="AQ80" s="2"/>
      <c r="AR80" s="2"/>
    </row>
    <row r="81" spans="8:44" x14ac:dyDescent="0.2">
      <c r="H81" s="1"/>
      <c r="I81" s="2"/>
      <c r="J81" s="2"/>
      <c r="K81" s="2"/>
      <c r="L81" s="2"/>
      <c r="M81" s="2"/>
      <c r="N81" s="149"/>
      <c r="O81" s="2"/>
      <c r="P81" s="2"/>
      <c r="Q81" s="3"/>
      <c r="R81" s="4"/>
      <c r="S81" s="5"/>
      <c r="T81" s="5"/>
      <c r="U81" s="1"/>
      <c r="V81" s="2"/>
      <c r="W81" s="6"/>
      <c r="AG81" s="4"/>
      <c r="AH81" s="4"/>
      <c r="AI81" s="2"/>
      <c r="AJ81" s="4"/>
      <c r="AK81" s="2"/>
      <c r="AL81" s="2"/>
      <c r="AM81" s="2"/>
      <c r="AN81" s="5"/>
      <c r="AP81" s="2"/>
      <c r="AQ81" s="2"/>
      <c r="AR81" s="2"/>
    </row>
    <row r="82" spans="8:44" x14ac:dyDescent="0.2">
      <c r="H82" s="1"/>
      <c r="I82" s="2"/>
      <c r="J82" s="2"/>
      <c r="K82" s="2"/>
      <c r="L82" s="2"/>
      <c r="M82" s="2"/>
      <c r="N82" s="149"/>
      <c r="O82" s="2"/>
      <c r="P82" s="2"/>
      <c r="Q82" s="3"/>
      <c r="R82" s="4"/>
      <c r="S82" s="5"/>
      <c r="T82" s="5"/>
      <c r="U82" s="1"/>
      <c r="V82" s="2"/>
      <c r="W82" s="6"/>
      <c r="AG82" s="4"/>
      <c r="AH82" s="4"/>
      <c r="AI82" s="2"/>
      <c r="AJ82" s="4"/>
      <c r="AK82" s="2"/>
      <c r="AL82" s="2"/>
      <c r="AM82" s="2"/>
      <c r="AN82" s="5"/>
      <c r="AP82" s="2"/>
      <c r="AQ82" s="2"/>
      <c r="AR82" s="2"/>
    </row>
    <row r="83" spans="8:44" x14ac:dyDescent="0.2">
      <c r="H83" s="1"/>
      <c r="I83" s="2"/>
      <c r="J83" s="2"/>
      <c r="K83" s="2"/>
      <c r="L83" s="2"/>
      <c r="M83" s="2"/>
      <c r="N83" s="149"/>
      <c r="O83" s="2"/>
      <c r="P83" s="2"/>
      <c r="Q83" s="3"/>
      <c r="R83" s="4"/>
      <c r="S83" s="5"/>
      <c r="T83" s="5"/>
      <c r="U83" s="1"/>
      <c r="V83" s="2"/>
      <c r="W83" s="6"/>
      <c r="AG83" s="4"/>
      <c r="AH83" s="4"/>
      <c r="AI83" s="2"/>
      <c r="AJ83" s="4"/>
      <c r="AK83" s="2"/>
      <c r="AL83" s="2"/>
      <c r="AM83" s="2"/>
      <c r="AN83" s="5"/>
      <c r="AP83" s="2"/>
      <c r="AQ83" s="2"/>
      <c r="AR83" s="2"/>
    </row>
    <row r="84" spans="8:44" x14ac:dyDescent="0.2">
      <c r="H84" s="1"/>
      <c r="I84" s="2"/>
      <c r="J84" s="2"/>
      <c r="K84" s="2"/>
      <c r="L84" s="2"/>
      <c r="M84" s="2"/>
      <c r="N84" s="149"/>
      <c r="O84" s="2"/>
      <c r="P84" s="2"/>
      <c r="Q84" s="3"/>
      <c r="R84" s="4"/>
      <c r="S84" s="5"/>
      <c r="T84" s="5"/>
      <c r="U84" s="1"/>
      <c r="V84" s="2"/>
      <c r="W84" s="6"/>
      <c r="AG84" s="4"/>
      <c r="AH84" s="4"/>
      <c r="AI84" s="2"/>
      <c r="AJ84" s="4"/>
      <c r="AK84" s="2"/>
      <c r="AL84" s="2"/>
      <c r="AM84" s="2"/>
      <c r="AN84" s="5"/>
      <c r="AP84" s="2"/>
      <c r="AQ84" s="2"/>
      <c r="AR84" s="2"/>
    </row>
    <row r="85" spans="8:44" x14ac:dyDescent="0.2">
      <c r="H85" s="1"/>
      <c r="I85" s="2"/>
      <c r="J85" s="2"/>
      <c r="K85" s="2"/>
      <c r="L85" s="2"/>
      <c r="M85" s="2"/>
      <c r="N85" s="149"/>
      <c r="O85" s="2"/>
      <c r="P85" s="2"/>
      <c r="Q85" s="3"/>
      <c r="R85" s="4"/>
      <c r="S85" s="5"/>
      <c r="T85" s="5"/>
      <c r="U85" s="1"/>
      <c r="V85" s="2"/>
      <c r="W85" s="6"/>
      <c r="AG85" s="4"/>
      <c r="AH85" s="4"/>
      <c r="AI85" s="2"/>
      <c r="AJ85" s="4"/>
      <c r="AK85" s="2"/>
      <c r="AL85" s="2"/>
      <c r="AM85" s="2"/>
      <c r="AN85" s="5"/>
      <c r="AP85" s="2"/>
      <c r="AQ85" s="2"/>
      <c r="AR85" s="2"/>
    </row>
    <row r="86" spans="8:44" x14ac:dyDescent="0.2">
      <c r="H86" s="1"/>
      <c r="I86" s="2"/>
      <c r="J86" s="2"/>
      <c r="K86" s="2"/>
      <c r="L86" s="2"/>
      <c r="M86" s="2"/>
      <c r="N86" s="149"/>
      <c r="O86" s="2"/>
      <c r="P86" s="2"/>
      <c r="Q86" s="3"/>
      <c r="R86" s="4"/>
      <c r="S86" s="5"/>
      <c r="T86" s="5"/>
      <c r="U86" s="1"/>
      <c r="V86" s="2"/>
      <c r="W86" s="6"/>
      <c r="AG86" s="4"/>
      <c r="AH86" s="4"/>
      <c r="AI86" s="2"/>
      <c r="AJ86" s="4"/>
      <c r="AK86" s="2"/>
      <c r="AL86" s="2"/>
      <c r="AM86" s="2"/>
      <c r="AN86" s="5"/>
      <c r="AP86" s="2"/>
      <c r="AQ86" s="2"/>
      <c r="AR86" s="2"/>
    </row>
    <row r="87" spans="8:44" x14ac:dyDescent="0.2">
      <c r="H87" s="1"/>
      <c r="I87" s="2"/>
      <c r="J87" s="2"/>
      <c r="K87" s="2"/>
      <c r="L87" s="2"/>
      <c r="M87" s="2"/>
      <c r="N87" s="149"/>
      <c r="O87" s="2"/>
      <c r="P87" s="2"/>
      <c r="Q87" s="3"/>
      <c r="R87" s="4"/>
      <c r="S87" s="5"/>
      <c r="T87" s="5"/>
      <c r="U87" s="1"/>
      <c r="V87" s="2"/>
      <c r="W87" s="6"/>
      <c r="AG87" s="4"/>
      <c r="AH87" s="4"/>
      <c r="AI87" s="2"/>
      <c r="AJ87" s="4"/>
      <c r="AK87" s="2"/>
      <c r="AL87" s="2"/>
      <c r="AM87" s="2"/>
      <c r="AN87" s="5"/>
      <c r="AP87" s="2"/>
      <c r="AQ87" s="2"/>
      <c r="AR87" s="2"/>
    </row>
    <row r="88" spans="8:44" x14ac:dyDescent="0.2">
      <c r="H88" s="1"/>
      <c r="I88" s="2"/>
      <c r="J88" s="2"/>
      <c r="K88" s="2"/>
      <c r="L88" s="2"/>
      <c r="M88" s="2"/>
      <c r="N88" s="149"/>
      <c r="O88" s="2"/>
      <c r="P88" s="2"/>
      <c r="Q88" s="3"/>
      <c r="R88" s="4"/>
      <c r="S88" s="5"/>
      <c r="T88" s="5"/>
      <c r="U88" s="1"/>
      <c r="V88" s="2"/>
      <c r="W88" s="6"/>
      <c r="AG88" s="4"/>
      <c r="AH88" s="4"/>
      <c r="AI88" s="2"/>
      <c r="AJ88" s="4"/>
      <c r="AK88" s="2"/>
      <c r="AL88" s="2"/>
      <c r="AM88" s="2"/>
      <c r="AN88" s="5"/>
      <c r="AP88" s="2"/>
      <c r="AQ88" s="2"/>
      <c r="AR88" s="2"/>
    </row>
    <row r="89" spans="8:44" x14ac:dyDescent="0.2">
      <c r="H89" s="1"/>
      <c r="I89" s="2"/>
      <c r="J89" s="2"/>
      <c r="K89" s="2"/>
      <c r="L89" s="2"/>
      <c r="M89" s="2"/>
      <c r="N89" s="149"/>
      <c r="O89" s="2"/>
      <c r="P89" s="2"/>
      <c r="Q89" s="3"/>
      <c r="R89" s="4"/>
      <c r="S89" s="5"/>
      <c r="T89" s="5"/>
      <c r="U89" s="1"/>
      <c r="V89" s="2"/>
      <c r="W89" s="6"/>
      <c r="AG89" s="4"/>
      <c r="AH89" s="4"/>
      <c r="AI89" s="2"/>
      <c r="AJ89" s="4"/>
      <c r="AK89" s="2"/>
      <c r="AL89" s="2"/>
      <c r="AM89" s="2"/>
      <c r="AN89" s="5"/>
      <c r="AP89" s="2"/>
      <c r="AQ89" s="2"/>
      <c r="AR89" s="2"/>
    </row>
    <row r="90" spans="8:44" x14ac:dyDescent="0.2">
      <c r="H90" s="1"/>
      <c r="I90" s="2"/>
      <c r="J90" s="2"/>
      <c r="K90" s="2"/>
      <c r="L90" s="2"/>
      <c r="M90" s="2"/>
      <c r="N90" s="149"/>
      <c r="O90" s="2"/>
      <c r="P90" s="2"/>
      <c r="Q90" s="3"/>
      <c r="R90" s="4"/>
      <c r="S90" s="5"/>
      <c r="T90" s="5"/>
      <c r="U90" s="1"/>
      <c r="V90" s="2"/>
      <c r="W90" s="6"/>
      <c r="AG90" s="4"/>
      <c r="AH90" s="4"/>
      <c r="AI90" s="2"/>
      <c r="AJ90" s="4"/>
      <c r="AK90" s="2"/>
      <c r="AL90" s="2"/>
      <c r="AM90" s="2"/>
      <c r="AN90" s="5"/>
      <c r="AP90" s="2"/>
      <c r="AQ90" s="2"/>
      <c r="AR90" s="2"/>
    </row>
    <row r="91" spans="8:44" x14ac:dyDescent="0.2">
      <c r="H91" s="1"/>
      <c r="I91" s="2"/>
      <c r="J91" s="2"/>
      <c r="K91" s="2"/>
      <c r="L91" s="2"/>
      <c r="M91" s="2"/>
      <c r="N91" s="149"/>
      <c r="O91" s="2"/>
      <c r="P91" s="2"/>
      <c r="Q91" s="3"/>
      <c r="R91" s="4"/>
      <c r="S91" s="5"/>
      <c r="T91" s="5"/>
      <c r="U91" s="1"/>
      <c r="V91" s="2"/>
      <c r="W91" s="6"/>
      <c r="AG91" s="4"/>
      <c r="AH91" s="4"/>
      <c r="AI91" s="2"/>
      <c r="AJ91" s="4"/>
      <c r="AK91" s="2"/>
      <c r="AL91" s="2"/>
      <c r="AM91" s="2"/>
      <c r="AN91" s="5"/>
      <c r="AP91" s="2"/>
      <c r="AQ91" s="2"/>
      <c r="AR91" s="2"/>
    </row>
    <row r="92" spans="8:44" x14ac:dyDescent="0.2">
      <c r="H92" s="1"/>
      <c r="I92" s="2"/>
      <c r="J92" s="2"/>
      <c r="K92" s="2"/>
      <c r="L92" s="2"/>
      <c r="M92" s="2"/>
      <c r="N92" s="149"/>
      <c r="O92" s="2"/>
      <c r="P92" s="2"/>
      <c r="Q92" s="3"/>
      <c r="R92" s="4"/>
      <c r="S92" s="5"/>
      <c r="T92" s="5"/>
      <c r="U92" s="1"/>
      <c r="V92" s="2"/>
      <c r="W92" s="6"/>
      <c r="AG92" s="4"/>
      <c r="AH92" s="4"/>
      <c r="AI92" s="2"/>
      <c r="AJ92" s="4"/>
      <c r="AK92" s="2"/>
      <c r="AL92" s="2"/>
      <c r="AM92" s="2"/>
      <c r="AN92" s="5"/>
      <c r="AP92" s="2"/>
      <c r="AQ92" s="2"/>
      <c r="AR92" s="2"/>
    </row>
    <row r="93" spans="8:44" x14ac:dyDescent="0.2">
      <c r="H93" s="1"/>
      <c r="I93" s="2"/>
      <c r="J93" s="2"/>
      <c r="K93" s="2"/>
      <c r="L93" s="2"/>
      <c r="M93" s="2"/>
      <c r="N93" s="149"/>
      <c r="O93" s="2"/>
      <c r="P93" s="2"/>
      <c r="Q93" s="3"/>
      <c r="R93" s="4"/>
      <c r="S93" s="5"/>
      <c r="T93" s="5"/>
      <c r="U93" s="1"/>
      <c r="V93" s="2"/>
      <c r="W93" s="6"/>
      <c r="AG93" s="4"/>
      <c r="AH93" s="4"/>
      <c r="AI93" s="2"/>
      <c r="AJ93" s="4"/>
      <c r="AK93" s="2"/>
      <c r="AL93" s="2"/>
      <c r="AM93" s="2"/>
      <c r="AN93" s="5"/>
      <c r="AP93" s="2"/>
      <c r="AQ93" s="2"/>
      <c r="AR93" s="2"/>
    </row>
    <row r="94" spans="8:44" x14ac:dyDescent="0.2">
      <c r="H94" s="1"/>
      <c r="I94" s="2"/>
      <c r="J94" s="2"/>
      <c r="K94" s="2"/>
      <c r="L94" s="2"/>
      <c r="M94" s="2"/>
      <c r="N94" s="149"/>
      <c r="O94" s="2"/>
      <c r="P94" s="2"/>
      <c r="Q94" s="3"/>
      <c r="R94" s="4"/>
      <c r="S94" s="5"/>
      <c r="T94" s="5"/>
      <c r="U94" s="1"/>
      <c r="V94" s="2"/>
      <c r="W94" s="6"/>
      <c r="AG94" s="4"/>
      <c r="AH94" s="4"/>
      <c r="AI94" s="2"/>
      <c r="AJ94" s="4"/>
      <c r="AK94" s="2"/>
      <c r="AL94" s="2"/>
      <c r="AM94" s="2"/>
      <c r="AN94" s="5"/>
      <c r="AP94" s="2"/>
      <c r="AQ94" s="2"/>
      <c r="AR94" s="2"/>
    </row>
    <row r="95" spans="8:44" x14ac:dyDescent="0.2">
      <c r="H95" s="1"/>
      <c r="I95" s="2"/>
      <c r="J95" s="2"/>
      <c r="K95" s="2"/>
      <c r="L95" s="2"/>
      <c r="M95" s="2"/>
      <c r="N95" s="149"/>
      <c r="O95" s="2"/>
      <c r="P95" s="2"/>
      <c r="Q95" s="3"/>
      <c r="R95" s="4"/>
      <c r="S95" s="5"/>
      <c r="T95" s="5"/>
      <c r="U95" s="1"/>
      <c r="V95" s="2"/>
      <c r="W95" s="6"/>
      <c r="AG95" s="4"/>
      <c r="AH95" s="4"/>
      <c r="AI95" s="2"/>
      <c r="AJ95" s="4"/>
      <c r="AK95" s="2"/>
      <c r="AL95" s="2"/>
      <c r="AM95" s="2"/>
      <c r="AN95" s="5"/>
      <c r="AP95" s="2"/>
      <c r="AQ95" s="2"/>
      <c r="AR95" s="2"/>
    </row>
    <row r="96" spans="8:44" x14ac:dyDescent="0.2">
      <c r="H96" s="1"/>
      <c r="I96" s="2"/>
      <c r="J96" s="2"/>
      <c r="K96" s="2"/>
      <c r="L96" s="2"/>
      <c r="M96" s="2"/>
      <c r="N96" s="149"/>
      <c r="O96" s="2"/>
      <c r="P96" s="2"/>
      <c r="Q96" s="3"/>
      <c r="R96" s="4"/>
      <c r="S96" s="5"/>
      <c r="T96" s="5"/>
      <c r="U96" s="1"/>
      <c r="V96" s="2"/>
      <c r="W96" s="6"/>
      <c r="AG96" s="4"/>
      <c r="AH96" s="4"/>
      <c r="AI96" s="2"/>
      <c r="AJ96" s="4"/>
      <c r="AK96" s="2"/>
      <c r="AL96" s="2"/>
      <c r="AM96" s="2"/>
      <c r="AN96" s="5"/>
      <c r="AP96" s="2"/>
      <c r="AQ96" s="2"/>
      <c r="AR96" s="2"/>
    </row>
    <row r="97" spans="8:44" x14ac:dyDescent="0.2">
      <c r="H97" s="1"/>
      <c r="I97" s="2"/>
      <c r="J97" s="2"/>
      <c r="K97" s="2"/>
      <c r="L97" s="2"/>
      <c r="M97" s="2"/>
      <c r="N97" s="149"/>
      <c r="O97" s="2"/>
      <c r="P97" s="2"/>
      <c r="Q97" s="3"/>
      <c r="R97" s="4"/>
      <c r="S97" s="5"/>
      <c r="T97" s="5"/>
      <c r="U97" s="1"/>
      <c r="V97" s="2"/>
      <c r="W97" s="6"/>
      <c r="AG97" s="4"/>
      <c r="AH97" s="4"/>
      <c r="AI97" s="2"/>
      <c r="AJ97" s="4"/>
      <c r="AK97" s="2"/>
      <c r="AL97" s="2"/>
      <c r="AM97" s="2"/>
      <c r="AN97" s="5"/>
      <c r="AP97" s="2"/>
      <c r="AQ97" s="2"/>
      <c r="AR97" s="2"/>
    </row>
  </sheetData>
  <autoFilter ref="A1:P77" xr:uid="{AD06E13F-43D2-40AB-922B-4AA4669647F0}">
    <sortState xmlns:xlrd2="http://schemas.microsoft.com/office/spreadsheetml/2017/richdata2" ref="A2:P77">
      <sortCondition ref="F2:F58"/>
    </sortState>
  </autoFilter>
  <sortState xmlns:xlrd2="http://schemas.microsoft.com/office/spreadsheetml/2017/richdata2" ref="A2:P3724">
    <sortCondition descending="1" ref="B1"/>
    <sortCondition descending="1" ref="C1"/>
    <sortCondition ref="D1"/>
  </sortState>
  <phoneticPr fontId="20" type="noConversion"/>
  <conditionalFormatting sqref="D2:J77">
    <cfRule type="cellIs" dxfId="42" priority="1" stopIfTrue="1" operator="lessThan">
      <formula>0</formula>
    </cfRule>
  </conditionalFormatting>
  <conditionalFormatting sqref="M2:M77">
    <cfRule type="cellIs" dxfId="41" priority="2" stopIfTrue="1" operator="greaterThan">
      <formula>1</formula>
    </cfRule>
  </conditionalFormatting>
  <conditionalFormatting sqref="A2:A77">
    <cfRule type="expression" dxfId="40" priority="3" stopIfTrue="1">
      <formula>AND(B2="UT",OR(D2&lt;0,H2&lt;0))</formula>
    </cfRule>
  </conditionalFormatting>
  <hyperlinks>
    <hyperlink ref="O54" r:id="rId1" xr:uid="{A1AF6697-BB4D-463A-A89F-7791379CA0C4}"/>
    <hyperlink ref="P54" r:id="rId2" xr:uid="{3B4F9611-4203-4A7F-890E-26CEC4E0A4F4}"/>
    <hyperlink ref="O68" r:id="rId3" xr:uid="{093B952B-97CE-4833-8491-8D826F43D280}"/>
    <hyperlink ref="P68" r:id="rId4" xr:uid="{BC97EA05-C063-4E3D-892D-D9FFAECE80FA}"/>
    <hyperlink ref="O6" r:id="rId5" xr:uid="{EF77A069-0933-4457-B536-72B0FCC9FB97}"/>
    <hyperlink ref="P6" r:id="rId6" xr:uid="{FC12EFCE-92CF-46E7-A95B-7DA460D9D68C}"/>
    <hyperlink ref="O37" r:id="rId7" xr:uid="{4CDE3E62-ADD7-4BFB-A726-C1020551CD41}"/>
    <hyperlink ref="P37" r:id="rId8" xr:uid="{67259CD8-DD79-4FBA-BD95-E436A9164F1C}"/>
    <hyperlink ref="O15" r:id="rId9" xr:uid="{690BF5C4-3CF4-4FDF-908C-C2D55D43B0F7}"/>
    <hyperlink ref="P15" r:id="rId10" xr:uid="{CF8C4BEE-E041-4269-84A1-31EFF686907B}"/>
    <hyperlink ref="O72" r:id="rId11" xr:uid="{12BAE6DA-980E-428E-B663-F15C94295EA9}"/>
    <hyperlink ref="P72" r:id="rId12" xr:uid="{F969DACD-9EC3-418E-8C60-021C350BA045}"/>
    <hyperlink ref="O53" r:id="rId13" xr:uid="{7FD9F833-65C3-466D-B05E-2EBC26808224}"/>
    <hyperlink ref="P53" r:id="rId14" xr:uid="{8C72E813-12EA-49E9-845A-3D3006EADEDF}"/>
    <hyperlink ref="O74" r:id="rId15" xr:uid="{6760787C-2660-4245-BAFF-3E4B99240B7E}"/>
    <hyperlink ref="P74" r:id="rId16" xr:uid="{7BF6DE8E-FD84-4733-9C1C-87A9A8899FC9}"/>
    <hyperlink ref="O71" r:id="rId17" xr:uid="{C3C78731-0144-48EB-AA75-108466618851}"/>
    <hyperlink ref="P71" r:id="rId18" xr:uid="{7F86927D-8736-4E11-B608-AE7AF3B9ABAF}"/>
    <hyperlink ref="O58" r:id="rId19" xr:uid="{B4F54C69-3336-4463-92BA-B9916AE0BEE7}"/>
    <hyperlink ref="P58" r:id="rId20" xr:uid="{030F3211-D51A-476C-9059-242F5002E764}"/>
    <hyperlink ref="O67" r:id="rId21" xr:uid="{4869D9F4-BD05-4A48-BFF6-4F8EE049F403}"/>
    <hyperlink ref="P67" r:id="rId22" xr:uid="{BFBB8957-49DC-46D8-86D0-B7307B9D34FF}"/>
    <hyperlink ref="O7" r:id="rId23" xr:uid="{5E7B605D-2066-44B8-92C0-B2F346E84956}"/>
    <hyperlink ref="P7" r:id="rId24" xr:uid="{47C068C3-9C75-46EA-99B1-4A644DA37AA8}"/>
    <hyperlink ref="O22" r:id="rId25" xr:uid="{160AB958-328A-46F8-B047-AA42E5882051}"/>
    <hyperlink ref="P22" r:id="rId26" xr:uid="{3A385B4E-3A48-4DE2-B065-77227435E701}"/>
    <hyperlink ref="O26" r:id="rId27" xr:uid="{DDA0C5EC-2F5F-4FEC-8DF9-AE00DB6B7082}"/>
    <hyperlink ref="P26" r:id="rId28" xr:uid="{7CA16867-40AC-4875-B3A2-2F5CCAB431F3}"/>
    <hyperlink ref="O76" r:id="rId29" xr:uid="{F3C4E513-A20F-4271-BB67-540C3F3CBA02}"/>
    <hyperlink ref="P76" r:id="rId30" xr:uid="{41421970-24BC-44A9-A645-301B9C5F2B79}"/>
    <hyperlink ref="O69" r:id="rId31" xr:uid="{74A5C93F-5DBC-4122-B97B-C8DD2F01219C}"/>
    <hyperlink ref="P69" r:id="rId32" xr:uid="{3331E463-1B14-4A20-9798-559069B11FC4}"/>
    <hyperlink ref="O57" r:id="rId33" xr:uid="{F1A1D606-1EBA-42F8-886A-EAE0F0BC8666}"/>
    <hyperlink ref="P57" r:id="rId34" xr:uid="{4A6CF0B2-26EF-431C-B168-091E089ACF33}"/>
    <hyperlink ref="O56" r:id="rId35" xr:uid="{B5396D28-32BE-4F48-AF78-CA35AE466BD4}"/>
    <hyperlink ref="P56" r:id="rId36" xr:uid="{301ED2E0-86DA-4A04-B632-29BBA51410F6}"/>
    <hyperlink ref="O28" r:id="rId37" xr:uid="{E94B306D-1955-42CF-9DB3-746B64A3CF61}"/>
    <hyperlink ref="P28" r:id="rId38" xr:uid="{AF807C92-FC97-4BDE-88DD-8ED9BD7F1F7C}"/>
    <hyperlink ref="O49" r:id="rId39" xr:uid="{834894DE-0D18-42A9-BE6A-18799B9F3C53}"/>
    <hyperlink ref="P49" r:id="rId40" xr:uid="{8A01377B-D2DE-485A-8B30-6106ACE6A015}"/>
    <hyperlink ref="O8" r:id="rId41" xr:uid="{AB850A4F-B3BA-4C97-9F27-33003471F9A4}"/>
    <hyperlink ref="P8" r:id="rId42" xr:uid="{29550A28-9ADF-4DCF-BD87-CAB393694D40}"/>
    <hyperlink ref="O40" r:id="rId43" xr:uid="{A0AD27E5-0D5E-4403-AAF2-4E47EB4A5FB6}"/>
    <hyperlink ref="P40" r:id="rId44" xr:uid="{FA8F3C2D-1F9F-4C6B-A9C2-41B8E1E8EC8B}"/>
    <hyperlink ref="O45" r:id="rId45" xr:uid="{90F71E12-3AA7-479A-90A1-1872B109B0D8}"/>
    <hyperlink ref="P45" r:id="rId46" xr:uid="{7DBBE725-EE56-4544-8483-FA852322F564}"/>
    <hyperlink ref="O64" r:id="rId47" xr:uid="{29125C76-3123-46F9-B2D3-0BDFE7DB2744}"/>
    <hyperlink ref="P64" r:id="rId48" xr:uid="{F5B51C55-87F2-4C75-844D-E0B4DFA64CAB}"/>
    <hyperlink ref="O77" r:id="rId49" xr:uid="{2D3555A6-ADEC-411E-AD4A-15BC488F3858}"/>
    <hyperlink ref="P77" r:id="rId50" xr:uid="{D76C6D32-F773-4462-8D7C-9A3C791897D0}"/>
    <hyperlink ref="O61" r:id="rId51" xr:uid="{312D69DF-825B-4ED0-B1EA-AF87827E4067}"/>
    <hyperlink ref="P61" r:id="rId52" xr:uid="{37CBA93B-C536-496F-A26B-BDC823BD5866}"/>
    <hyperlink ref="O52" r:id="rId53" xr:uid="{642A14B9-55E4-4324-AD14-13574CD395AE}"/>
    <hyperlink ref="P52" r:id="rId54" xr:uid="{D7B9141A-33BF-451A-85F9-C54CE073EB35}"/>
    <hyperlink ref="O65" r:id="rId55" xr:uid="{32AAD92D-051F-4E1F-9F45-D4F2E505E492}"/>
    <hyperlink ref="P65" r:id="rId56" xr:uid="{0F7181CD-90FE-4FC1-8A4F-7E4635A33F3B}"/>
    <hyperlink ref="O60" r:id="rId57" xr:uid="{E8B21C12-6E12-4185-8CDA-384A17E326F7}"/>
    <hyperlink ref="P60" r:id="rId58" xr:uid="{E31F03FB-7B46-4701-A66D-01E3D7BFAF97}"/>
    <hyperlink ref="O33" r:id="rId59" xr:uid="{B4504C46-87C4-4C79-8F37-B49A018CD37A}"/>
    <hyperlink ref="P33" r:id="rId60" xr:uid="{53B462F6-A918-43F8-88D2-256F7690CB20}"/>
    <hyperlink ref="O70" r:id="rId61" xr:uid="{99E97DCB-38B5-44C7-B80D-4A33103B8C42}"/>
    <hyperlink ref="P70" r:id="rId62" xr:uid="{73F2592B-562A-4C6E-808B-0F23274AAAAC}"/>
    <hyperlink ref="O13" r:id="rId63" xr:uid="{F32C07CD-5194-4994-BA2F-D2BA9D45A7EC}"/>
    <hyperlink ref="P13" r:id="rId64" xr:uid="{44198C1E-9500-4A44-B636-F4753BB18816}"/>
    <hyperlink ref="O11" r:id="rId65" xr:uid="{18BB513C-6FE2-41D7-BA99-75CCA37B35A0}"/>
    <hyperlink ref="P11" r:id="rId66" xr:uid="{2B10A2A1-88D4-4FDC-922F-7FC54A7C04CE}"/>
    <hyperlink ref="O3" r:id="rId67" xr:uid="{CFF85DCF-50CD-4CFC-9F94-9ADD58A6CBD0}"/>
    <hyperlink ref="P3" r:id="rId68" xr:uid="{CA7A61D9-480D-44A6-B277-54EF7DE30D7E}"/>
    <hyperlink ref="O9" r:id="rId69" xr:uid="{523F5797-992D-493B-8FC6-A173D32206F6}"/>
    <hyperlink ref="P9" r:id="rId70" xr:uid="{E0169919-D98C-41B8-9CF4-95F48DE1AA49}"/>
    <hyperlink ref="O10" r:id="rId71" xr:uid="{592EBC9B-A5E2-49BF-A675-48BA6D05853C}"/>
    <hyperlink ref="P10" r:id="rId72" xr:uid="{A3DC5564-6E3D-4589-981C-35DF5A35280A}"/>
    <hyperlink ref="O38" r:id="rId73" xr:uid="{4751919A-991C-43F3-A73A-304B1017DE63}"/>
    <hyperlink ref="P38" r:id="rId74" xr:uid="{3587F9EA-C499-48FB-AC6F-F2580F6BA1CB}"/>
    <hyperlink ref="O16" r:id="rId75" xr:uid="{31E34CA3-F79C-43F2-B77F-973E5D5EBC45}"/>
    <hyperlink ref="P16" r:id="rId76" xr:uid="{7C61EAD3-7A41-47C3-8965-2AC7F14677E6}"/>
    <hyperlink ref="O19" r:id="rId77" xr:uid="{FB7C673F-EBC3-482F-B227-998BBB739B88}"/>
    <hyperlink ref="P19" r:id="rId78" xr:uid="{A4475FBE-27F4-44CE-B9BA-414CD21AB6D2}"/>
    <hyperlink ref="O12" r:id="rId79" xr:uid="{D1866BB7-3A85-4587-BEED-1750977AC538}"/>
    <hyperlink ref="P12" r:id="rId80" xr:uid="{A7171BCB-F0D3-4985-B047-CEBD4BE3894E}"/>
    <hyperlink ref="O32" r:id="rId81" xr:uid="{D26C561B-88EE-44C8-BE5C-801FD722B1E2}"/>
    <hyperlink ref="P32" r:id="rId82" xr:uid="{7C012CEE-701D-4D2E-B87E-D07FB7F72996}"/>
    <hyperlink ref="O42" r:id="rId83" xr:uid="{1BC8FE22-A5C7-4AC7-9107-51C1E6B118AE}"/>
    <hyperlink ref="P42" r:id="rId84" xr:uid="{140B994A-F15C-424A-AD02-895FC2623937}"/>
    <hyperlink ref="O41" r:id="rId85" xr:uid="{8B295638-A2F5-4A26-BBC9-5050B9133E7D}"/>
    <hyperlink ref="P41" r:id="rId86" xr:uid="{DF239956-38C4-4BFD-BE6B-BD8D65145EA0}"/>
    <hyperlink ref="O39" r:id="rId87" xr:uid="{9D8851D4-208D-411C-90F7-37B1093439D1}"/>
    <hyperlink ref="P39" r:id="rId88" xr:uid="{A937E9CF-EE0B-41FB-9F0C-B8B4682375C2}"/>
    <hyperlink ref="O5" r:id="rId89" xr:uid="{5A9D24E5-BD43-4587-AA5F-AE83C7460719}"/>
    <hyperlink ref="P5" r:id="rId90" xr:uid="{4A93B835-0E9D-4D47-9ACD-E2DA29CFA54B}"/>
    <hyperlink ref="O14" r:id="rId91" xr:uid="{973E8E62-1438-4F0A-89D7-E616D1C87F9C}"/>
    <hyperlink ref="P14" r:id="rId92" xr:uid="{38075B44-E105-4FA6-A932-B39112B05504}"/>
    <hyperlink ref="O43" r:id="rId93" xr:uid="{1A14F93B-CD43-4D26-92D9-940EECF64C02}"/>
    <hyperlink ref="P43" r:id="rId94" xr:uid="{CB291C57-046F-476C-9E32-BCCBA1FB3A3C}"/>
    <hyperlink ref="O46" r:id="rId95" xr:uid="{1BA06448-FD60-4907-BDC8-CBC781D3D60D}"/>
    <hyperlink ref="P46" r:id="rId96" xr:uid="{F1CA8959-5C6A-467A-B2C1-6040880E4ECB}"/>
    <hyperlink ref="O47" r:id="rId97" xr:uid="{C6506A2D-3A19-4636-BBF9-67E4508D5E6D}"/>
    <hyperlink ref="P47" r:id="rId98" xr:uid="{6FE06C17-2855-43D0-9574-730873486C0B}"/>
    <hyperlink ref="O55" r:id="rId99" xr:uid="{35AC2B3F-AD06-4BEC-9149-DB51D59CA474}"/>
    <hyperlink ref="P55" r:id="rId100" xr:uid="{F3D1C25A-8247-493D-BE4B-3BB121ACB550}"/>
    <hyperlink ref="O2" r:id="rId101" xr:uid="{48A7961F-91CA-40FC-8517-F882FE67F2FC}"/>
    <hyperlink ref="P2" r:id="rId102" xr:uid="{BAA58A4C-1C3B-46BC-968C-76EE9411BBB0}"/>
    <hyperlink ref="O66" r:id="rId103" xr:uid="{0760FC3E-AA90-413B-935E-D2BA8BDB4B6D}"/>
    <hyperlink ref="P66" r:id="rId104" xr:uid="{DC8AED46-568F-4711-8614-E3459186AEFC}"/>
    <hyperlink ref="O62" r:id="rId105" xr:uid="{FED01DDE-F413-4C6A-A62C-EBC0B2CEC51D}"/>
    <hyperlink ref="P62" r:id="rId106" xr:uid="{A80B8772-3DB0-46DB-A376-8872A87B963E}"/>
    <hyperlink ref="O75" r:id="rId107" xr:uid="{FAF3009E-14C1-4DBA-8E8C-F44884F08F69}"/>
    <hyperlink ref="P75" r:id="rId108" xr:uid="{39FA6BBD-D9FD-44AD-ABC0-791B307FEF96}"/>
    <hyperlink ref="O44" r:id="rId109" xr:uid="{ED2D824B-AA23-44E4-9A73-1505BFED61F6}"/>
    <hyperlink ref="P44" r:id="rId110" xr:uid="{07C94ED5-D8AA-49AA-B1C7-3EE645ED7D43}"/>
    <hyperlink ref="O18" r:id="rId111" xr:uid="{6B14F5BF-1C52-4666-87C9-2BBA49C13E93}"/>
    <hyperlink ref="P18" r:id="rId112" xr:uid="{3DEB7AAF-73BC-43F0-A144-CBF4475E2B7C}"/>
    <hyperlink ref="O17" r:id="rId113" xr:uid="{E66900F5-631A-4BCB-9FA0-7AB7C9B6A90F}"/>
    <hyperlink ref="P17" r:id="rId114" xr:uid="{2528D633-33DA-488D-A75B-FFFA94581FAE}"/>
    <hyperlink ref="O20" r:id="rId115" xr:uid="{1DB68FAC-160B-4472-BBAD-2FCAFAFE7086}"/>
    <hyperlink ref="P20" r:id="rId116" xr:uid="{3F8DF7FF-07B6-4FA8-ACD5-092034C52258}"/>
    <hyperlink ref="O23" r:id="rId117" xr:uid="{2F59CF05-6797-40B9-A894-3160D9C62E0A}"/>
    <hyperlink ref="P23" r:id="rId118" xr:uid="{A2E79CD6-2C58-4CEA-BFC4-4F728925DDE8}"/>
    <hyperlink ref="O24" r:id="rId119" xr:uid="{CF6005B0-451A-402C-9EFA-0BF449B9C021}"/>
    <hyperlink ref="P24" r:id="rId120" xr:uid="{7E7243ED-F518-4CDA-A305-B5A1F3DD9A15}"/>
    <hyperlink ref="O30" r:id="rId121" xr:uid="{C8DA84EC-8C1A-4E8D-BA03-29BD16E04EB5}"/>
    <hyperlink ref="P30" r:id="rId122" xr:uid="{87ADBC00-32AD-4343-8856-E2F2D06F1253}"/>
    <hyperlink ref="O4" r:id="rId123" xr:uid="{84485341-9DC1-432D-BB3B-BF2D617F6709}"/>
    <hyperlink ref="P4" r:id="rId124" xr:uid="{C72A6B7A-0D12-4EED-A43D-2B4A874342D1}"/>
    <hyperlink ref="O29" r:id="rId125" xr:uid="{5B7A2082-65EC-4485-902F-3C2E2D3F2233}"/>
    <hyperlink ref="P29" r:id="rId126" xr:uid="{F2C978D5-C179-4A51-B925-DC543CBDD3BC}"/>
    <hyperlink ref="O36" r:id="rId127" xr:uid="{7F835D12-7D11-4E30-9ED4-3E6A49D76598}"/>
    <hyperlink ref="P36" r:id="rId128" xr:uid="{2F395BD2-9178-436F-99E0-CDFBB35C392F}"/>
    <hyperlink ref="O25" r:id="rId129" xr:uid="{8E0651A0-DDE2-4C5E-A5BA-F98AB804D598}"/>
    <hyperlink ref="P25" r:id="rId130" xr:uid="{5A11915F-688F-4195-AFDE-8C0408C7404A}"/>
    <hyperlink ref="O35" r:id="rId131" xr:uid="{34947B49-F1B6-4B78-84A5-DE10B68F9D84}"/>
    <hyperlink ref="P35" r:id="rId132" xr:uid="{5773EA27-A9CD-4C14-8837-961F5A9E2210}"/>
    <hyperlink ref="O31" r:id="rId133" xr:uid="{DC327A58-E256-4673-A421-4558125181B4}"/>
    <hyperlink ref="P31" r:id="rId134" xr:uid="{0BD125A7-F5A4-4E9C-BCBB-8F7CFC5DDFFA}"/>
    <hyperlink ref="O73" r:id="rId135" xr:uid="{06529C59-481C-4EDA-933D-3B2F6182FA52}"/>
    <hyperlink ref="P73" r:id="rId136" xr:uid="{8A8005C4-C2BC-4237-B22B-2072A20AAE2F}"/>
    <hyperlink ref="O27" r:id="rId137" xr:uid="{A5F7F876-E194-481D-B8E3-5C31132182AC}"/>
    <hyperlink ref="P27" r:id="rId138" xr:uid="{241C2ABB-B0F0-4D3A-98CD-A166B69C84FA}"/>
    <hyperlink ref="O34" r:id="rId139" xr:uid="{1DEE6CFC-AC26-46B4-850D-3614E6F75BA7}"/>
    <hyperlink ref="P34" r:id="rId140" xr:uid="{F4C1FD44-1EBD-453A-B654-3F67793FA438}"/>
    <hyperlink ref="O48" r:id="rId141" xr:uid="{F9EF8A45-8477-4193-81C3-6AD6455D7C56}"/>
    <hyperlink ref="P48" r:id="rId142" xr:uid="{03A80AAC-6D8A-4712-A346-682D64E1CA01}"/>
    <hyperlink ref="O21" r:id="rId143" xr:uid="{0D018381-8415-4F8F-96AA-A2311B4FF506}"/>
    <hyperlink ref="P21" r:id="rId144" xr:uid="{967B506F-6F14-487A-A70B-DA3411C1F489}"/>
    <hyperlink ref="O50" r:id="rId145" xr:uid="{01A4647B-AE5F-4F9E-9463-25A42B038D34}"/>
    <hyperlink ref="P50" r:id="rId146" xr:uid="{6A4BEA7A-9683-47D5-98D4-15B4EB79AF8D}"/>
    <hyperlink ref="O51" r:id="rId147" xr:uid="{90C0431D-20FD-4605-BE95-88E73E774BD5}"/>
    <hyperlink ref="P51" r:id="rId148" xr:uid="{CAD45D45-CE42-42BA-A3B1-A943784BCAEF}"/>
    <hyperlink ref="O63" r:id="rId149" xr:uid="{4E0CADA4-D625-4570-AE7B-65ECFE62125C}"/>
    <hyperlink ref="P63" r:id="rId150" xr:uid="{180D9191-5B89-4CEF-A2BC-533381A81DC2}"/>
    <hyperlink ref="O59" r:id="rId151" xr:uid="{E21E3D2D-B1B1-4295-89A8-C309970F0577}"/>
    <hyperlink ref="P59" r:id="rId152" xr:uid="{0D290368-9112-4ED2-AF25-5A1A4A4D4B6F}"/>
  </hyperlinks>
  <pageMargins left="0.7" right="0.7" top="0.75" bottom="0.75" header="0.3" footer="0.3"/>
  <pageSetup paperSize="9" orientation="portrait" r:id="rId153"/>
  <drawing r:id="rId154"/>
  <legacyDrawing r:id="rId15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6" r:id="rId156" name="Button 2">
              <controlPr defaultSize="0" print="0" autoFill="0" autoPict="0" macro="[0]!mcrExit">
                <anchor moveWithCells="1" sizeWithCells="1">
                  <from>
                    <xdr:col>0</xdr:col>
                    <xdr:colOff>47625</xdr:colOff>
                    <xdr:row>0</xdr:row>
                    <xdr:rowOff>38100</xdr:rowOff>
                  </from>
                  <to>
                    <xdr:col>0</xdr:col>
                    <xdr:colOff>590550</xdr:colOff>
                    <xdr:row>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Stats"/>
  <dimension ref="A1:I37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defaultColWidth="9.140625" defaultRowHeight="12.75" x14ac:dyDescent="0.2"/>
  <cols>
    <col min="1" max="1" width="78.140625" style="7" customWidth="1"/>
    <col min="2" max="2" width="3" style="7" customWidth="1"/>
    <col min="3" max="8" width="9.140625" style="7"/>
    <col min="9" max="9" width="10.140625" style="7" bestFit="1" customWidth="1"/>
    <col min="10" max="16384" width="9.140625" style="7"/>
  </cols>
  <sheetData>
    <row r="1" spans="1:9" x14ac:dyDescent="0.2">
      <c r="A1" s="163" t="str">
        <f>HYPERLINK("https://pimportalprod2015.eagleaccess.com/Default.aspx","Derivative Cover "&amp;TEXT(H!$AJ$2,"dddd d mmmm yyyy")&amp;" from Eagle")</f>
        <v>Derivative Cover Friday 22 April 2022 from Eagle</v>
      </c>
      <c r="C1" s="7" t="s">
        <v>0</v>
      </c>
      <c r="D1" s="7" t="s">
        <v>55</v>
      </c>
      <c r="E1" s="7" t="s">
        <v>56</v>
      </c>
      <c r="I1" s="161"/>
    </row>
    <row r="2" spans="1:9" x14ac:dyDescent="0.2">
      <c r="A2" s="142" t="s">
        <v>10928</v>
      </c>
      <c r="C2" s="7" t="s">
        <v>11133</v>
      </c>
      <c r="D2" s="7">
        <f>MATCH(C2,H!A:A,0)</f>
        <v>2</v>
      </c>
      <c r="E2" s="7">
        <f>MATCH(C2,D!A:A,0)</f>
        <v>2</v>
      </c>
    </row>
    <row r="3" spans="1:9" x14ac:dyDescent="0.2">
      <c r="A3" s="136" t="str">
        <f>HYPERLINK("https://pimportalprod2015.eagleaccess.com/Reports/Reports.aspx","1) Get holdings from Eagle")</f>
        <v>1) Get holdings from Eagle</v>
      </c>
      <c r="C3" t="s">
        <v>11186</v>
      </c>
      <c r="D3" s="7">
        <f>MATCH(C3,H!A:A,0)</f>
        <v>49</v>
      </c>
      <c r="E3" s="7">
        <f>MATCH(C3,D!A:A,0)</f>
        <v>14</v>
      </c>
      <c r="I3" s="161"/>
    </row>
    <row r="4" spans="1:9" x14ac:dyDescent="0.2">
      <c r="A4" s="143" t="s">
        <v>10949</v>
      </c>
      <c r="C4" t="s">
        <v>11231</v>
      </c>
      <c r="D4" s="7">
        <f>MATCH(C4,H!A:A,0)</f>
        <v>100</v>
      </c>
      <c r="E4" s="7">
        <f>MATCH(C4,D!A:A,0)</f>
        <v>20</v>
      </c>
    </row>
    <row r="5" spans="1:9" x14ac:dyDescent="0.2">
      <c r="A5" s="145" t="s">
        <v>10936</v>
      </c>
      <c r="C5" t="s">
        <v>11240</v>
      </c>
      <c r="D5" s="7">
        <f>MATCH(C5,H!A:A,0)</f>
        <v>148</v>
      </c>
      <c r="E5" s="7">
        <f>MATCH(C5,D!A:A,0)</f>
        <v>32</v>
      </c>
    </row>
    <row r="6" spans="1:9" x14ac:dyDescent="0.2">
      <c r="A6" s="145" t="s">
        <v>10929</v>
      </c>
      <c r="C6" t="s">
        <v>11259</v>
      </c>
      <c r="D6" s="7">
        <f>MATCH(C6,H!A:A,0)</f>
        <v>158</v>
      </c>
      <c r="E6" s="7">
        <f>MATCH(C6,D!A:A,0)</f>
        <v>33</v>
      </c>
    </row>
    <row r="7" spans="1:9" x14ac:dyDescent="0.2">
      <c r="A7" s="145" t="s">
        <v>10930</v>
      </c>
      <c r="C7" t="s">
        <v>11419</v>
      </c>
      <c r="D7" s="7">
        <f>MATCH(C7,H!A:A,0)</f>
        <v>240</v>
      </c>
      <c r="E7" s="7">
        <f>MATCH(C7,D!A:A,0)</f>
        <v>34</v>
      </c>
    </row>
    <row r="8" spans="1:9" x14ac:dyDescent="0.2">
      <c r="A8" s="146" t="s">
        <v>10931</v>
      </c>
      <c r="C8" t="s">
        <v>11428</v>
      </c>
      <c r="D8" s="7">
        <f>MATCH(C8,H!A:A,0)</f>
        <v>246</v>
      </c>
      <c r="E8" s="7">
        <f>MATCH(C8,D!A:A,0)</f>
        <v>35</v>
      </c>
    </row>
    <row r="9" spans="1:9" x14ac:dyDescent="0.2">
      <c r="A9" s="146" t="s">
        <v>10932</v>
      </c>
      <c r="C9" t="s">
        <v>11430</v>
      </c>
      <c r="D9" s="7">
        <f>MATCH(C9,H!A:A,0)</f>
        <v>292</v>
      </c>
      <c r="E9" s="7">
        <f>MATCH(C9,D!A:A,0)</f>
        <v>47</v>
      </c>
    </row>
    <row r="10" spans="1:9" x14ac:dyDescent="0.2">
      <c r="A10" s="146" t="s">
        <v>10933</v>
      </c>
      <c r="C10" t="s">
        <v>11657</v>
      </c>
      <c r="D10" s="7">
        <f>MATCH(C10,H!A:A,0)</f>
        <v>382</v>
      </c>
      <c r="E10" s="7">
        <f>MATCH(C10,D!A:A,0)</f>
        <v>48</v>
      </c>
    </row>
    <row r="11" spans="1:9" x14ac:dyDescent="0.2">
      <c r="A11" s="146" t="s">
        <v>10937</v>
      </c>
      <c r="C11" t="s">
        <v>11749</v>
      </c>
      <c r="D11" s="7">
        <f>MATCH(C11,H!A:A,0)</f>
        <v>484</v>
      </c>
      <c r="E11" s="7">
        <f>MATCH(C11,D!A:A,0)</f>
        <v>49</v>
      </c>
    </row>
    <row r="12" spans="1:9" x14ac:dyDescent="0.2">
      <c r="A12" s="146" t="s">
        <v>10934</v>
      </c>
      <c r="C12" t="s">
        <v>11777</v>
      </c>
      <c r="D12" s="7">
        <f>MATCH(C12,H!A:A,0)</f>
        <v>563</v>
      </c>
      <c r="E12" s="7">
        <f>MATCH(C12,D!A:A,0)</f>
        <v>51</v>
      </c>
    </row>
    <row r="13" spans="1:9" x14ac:dyDescent="0.2">
      <c r="A13" s="146" t="s">
        <v>10940</v>
      </c>
      <c r="C13" t="s">
        <v>11779</v>
      </c>
      <c r="D13" s="7">
        <f>MATCH(C13,H!A:A,0)</f>
        <v>614</v>
      </c>
      <c r="E13" s="7">
        <f>MATCH(C13,D!A:A,0)</f>
        <v>57</v>
      </c>
    </row>
    <row r="14" spans="1:9" x14ac:dyDescent="0.2">
      <c r="A14" s="144" t="s">
        <v>10948</v>
      </c>
      <c r="C14" t="s">
        <v>11783</v>
      </c>
      <c r="D14" s="7">
        <f>MATCH(C14,H!A:A,0)</f>
        <v>649</v>
      </c>
      <c r="E14" s="7">
        <f>MATCH(C14,D!A:A,0)</f>
        <v>69</v>
      </c>
    </row>
    <row r="15" spans="1:9" x14ac:dyDescent="0.2">
      <c r="A15" s="145" t="s">
        <v>10935</v>
      </c>
      <c r="C15" t="s">
        <v>11911</v>
      </c>
      <c r="D15" s="7">
        <f>MATCH(C15,H!A:A,0)</f>
        <v>736</v>
      </c>
      <c r="E15" s="7">
        <f>MATCH(C15,D!A:A,0)</f>
        <v>70</v>
      </c>
    </row>
    <row r="16" spans="1:9" x14ac:dyDescent="0.2">
      <c r="A16" s="145" t="s">
        <v>10929</v>
      </c>
      <c r="C16" t="s">
        <v>11942</v>
      </c>
      <c r="D16" s="7">
        <f>MATCH(C16,H!A:A,0)</f>
        <v>820</v>
      </c>
      <c r="E16" s="7">
        <f>MATCH(C16,D!A:A,0)</f>
        <v>71</v>
      </c>
    </row>
    <row r="17" spans="1:5" x14ac:dyDescent="0.2">
      <c r="A17" s="145" t="s">
        <v>10930</v>
      </c>
      <c r="C17" t="s">
        <v>11944</v>
      </c>
      <c r="D17" s="7">
        <f>MATCH(C17,H!A:A,0)</f>
        <v>830</v>
      </c>
      <c r="E17" s="7">
        <f>MATCH(C17,D!A:A,0)</f>
        <v>72</v>
      </c>
    </row>
    <row r="18" spans="1:5" x14ac:dyDescent="0.2">
      <c r="A18" s="146" t="s">
        <v>10931</v>
      </c>
      <c r="C18" t="s">
        <v>11946</v>
      </c>
      <c r="D18" s="7">
        <f>MATCH(C18,H!A:A,0)</f>
        <v>878</v>
      </c>
      <c r="E18" s="7">
        <f>MATCH(C18,D!A:A,0)</f>
        <v>78</v>
      </c>
    </row>
    <row r="19" spans="1:5" x14ac:dyDescent="0.2">
      <c r="A19" s="146" t="s">
        <v>10932</v>
      </c>
      <c r="C19" t="s">
        <v>11952</v>
      </c>
      <c r="D19" s="7">
        <f>MATCH(C19,H!A:A,0)</f>
        <v>927</v>
      </c>
      <c r="E19" s="7">
        <f>MATCH(C19,D!A:A,0)</f>
        <v>90</v>
      </c>
    </row>
    <row r="20" spans="1:5" x14ac:dyDescent="0.2">
      <c r="A20" s="146" t="s">
        <v>10933</v>
      </c>
      <c r="C20" t="s">
        <v>11954</v>
      </c>
      <c r="D20" s="7">
        <f>MATCH(C20,H!A:A,0)</f>
        <v>976</v>
      </c>
      <c r="E20" s="7">
        <f>MATCH(C20,D!A:A,0)</f>
        <v>102</v>
      </c>
    </row>
    <row r="21" spans="1:5" x14ac:dyDescent="0.2">
      <c r="A21" s="146" t="s">
        <v>10937</v>
      </c>
      <c r="C21" t="s">
        <v>11977</v>
      </c>
      <c r="D21" s="7" t="e">
        <f>MATCH(C21,H!A:A,0)</f>
        <v>#N/A</v>
      </c>
      <c r="E21" s="7" t="e">
        <f>MATCH(C21,D!A:A,0)</f>
        <v>#N/A</v>
      </c>
    </row>
    <row r="22" spans="1:5" x14ac:dyDescent="0.2">
      <c r="A22" s="146" t="s">
        <v>10939</v>
      </c>
      <c r="C22" t="s">
        <v>11984</v>
      </c>
      <c r="D22" s="7">
        <f>MATCH(C22,H!A:A,0)</f>
        <v>1036</v>
      </c>
      <c r="E22" s="7">
        <f>MATCH(C22,D!A:A,0)</f>
        <v>103</v>
      </c>
    </row>
    <row r="23" spans="1:5" x14ac:dyDescent="0.2">
      <c r="A23" s="146" t="s">
        <v>10941</v>
      </c>
      <c r="C23" t="s">
        <v>12009</v>
      </c>
      <c r="D23" s="7">
        <f>MATCH(C23,H!A:A,0)</f>
        <v>1069</v>
      </c>
      <c r="E23" s="7">
        <f>MATCH(C23,D!A:A,0)</f>
        <v>110</v>
      </c>
    </row>
    <row r="24" spans="1:5" x14ac:dyDescent="0.2">
      <c r="A24" s="8" t="s">
        <v>10938</v>
      </c>
      <c r="C24" t="s">
        <v>12013</v>
      </c>
      <c r="D24" s="7">
        <f>MATCH(C24,H!A:A,0)</f>
        <v>1072</v>
      </c>
      <c r="E24" s="7">
        <f>MATCH(C24,D!A:A,0)</f>
        <v>111</v>
      </c>
    </row>
    <row r="25" spans="1:5" x14ac:dyDescent="0.2">
      <c r="A25" s="46" t="str">
        <f>HYPERLINK("\\pim-cpt-statpro\SPC_602\Client\Profiles\PIM\Exports","3) Get the results in the derivative check folder")</f>
        <v>3) Get the results in the derivative check folder</v>
      </c>
      <c r="C25" t="s">
        <v>12071</v>
      </c>
      <c r="D25" s="7">
        <f>MATCH(C25,H!A:A,0)</f>
        <v>1190</v>
      </c>
      <c r="E25" s="7">
        <f>MATCH(C25,D!A:A,0)</f>
        <v>113</v>
      </c>
    </row>
    <row r="26" spans="1:5" x14ac:dyDescent="0.2">
      <c r="A26"/>
      <c r="C26" t="s">
        <v>12088</v>
      </c>
      <c r="D26" s="7">
        <f>MATCH(C26,H!A:A,0)</f>
        <v>1210</v>
      </c>
      <c r="E26" s="7">
        <f>MATCH(C26,D!A:A,0)</f>
        <v>119</v>
      </c>
    </row>
    <row r="27" spans="1:5" x14ac:dyDescent="0.2">
      <c r="A27"/>
      <c r="C27" t="s">
        <v>12093</v>
      </c>
      <c r="D27" s="7">
        <f>MATCH(C27,H!A:A,0)</f>
        <v>1247</v>
      </c>
      <c r="E27" s="7">
        <f>MATCH(C27,D!A:A,0)</f>
        <v>120</v>
      </c>
    </row>
    <row r="28" spans="1:5" x14ac:dyDescent="0.2">
      <c r="C28" t="s">
        <v>12108</v>
      </c>
      <c r="D28" s="7">
        <f>MATCH(C28,H!A:A,0)</f>
        <v>1267</v>
      </c>
      <c r="E28" s="7">
        <f>MATCH(C28,D!A:A,0)</f>
        <v>121</v>
      </c>
    </row>
    <row r="29" spans="1:5" x14ac:dyDescent="0.2">
      <c r="C29" t="s">
        <v>12110</v>
      </c>
      <c r="D29" s="7">
        <f>MATCH(C29,H!A:A,0)</f>
        <v>1311</v>
      </c>
      <c r="E29" s="7">
        <f>MATCH(C29,D!A:A,0)</f>
        <v>133</v>
      </c>
    </row>
    <row r="30" spans="1:5" x14ac:dyDescent="0.2">
      <c r="C30" t="s">
        <v>12133</v>
      </c>
      <c r="D30" s="7">
        <f>MATCH(C30,H!A:A,0)</f>
        <v>1392</v>
      </c>
      <c r="E30" s="7">
        <f>MATCH(C30,D!A:A,0)</f>
        <v>135</v>
      </c>
    </row>
    <row r="31" spans="1:5" x14ac:dyDescent="0.2">
      <c r="A31"/>
      <c r="C31" t="s">
        <v>12139</v>
      </c>
      <c r="D31" s="7">
        <f>MATCH(C31,H!A:A,0)</f>
        <v>1469</v>
      </c>
      <c r="E31" s="7">
        <f>MATCH(C31,D!A:A,0)</f>
        <v>137</v>
      </c>
    </row>
    <row r="32" spans="1:5" x14ac:dyDescent="0.2">
      <c r="A32"/>
      <c r="C32" t="s">
        <v>12875</v>
      </c>
      <c r="D32" s="7">
        <f>MATCH(C32,H!A:A,0)</f>
        <v>1484</v>
      </c>
      <c r="E32" s="7">
        <f>MATCH(C32,D!A:A,0)</f>
        <v>138</v>
      </c>
    </row>
    <row r="33" spans="1:5" x14ac:dyDescent="0.2">
      <c r="A33"/>
      <c r="C33" t="s">
        <v>11079</v>
      </c>
      <c r="D33" s="7">
        <f>MATCH(C33,H!A:A,0)</f>
        <v>1487</v>
      </c>
      <c r="E33" s="7">
        <f>MATCH(C33,D!A:A,0)</f>
        <v>139</v>
      </c>
    </row>
    <row r="34" spans="1:5" x14ac:dyDescent="0.2">
      <c r="A34"/>
      <c r="B34" s="76"/>
      <c r="C34" t="s">
        <v>11113</v>
      </c>
      <c r="D34" s="7">
        <f>MATCH(C34,H!A:A,0)</f>
        <v>1528</v>
      </c>
      <c r="E34" s="7">
        <f>MATCH(C34,D!A:A,0)</f>
        <v>144</v>
      </c>
    </row>
    <row r="35" spans="1:5" x14ac:dyDescent="0.2">
      <c r="A35"/>
      <c r="C35" t="s">
        <v>12180</v>
      </c>
      <c r="D35" s="7">
        <f>MATCH(C35,H!A:A,0)</f>
        <v>1577</v>
      </c>
      <c r="E35" s="7">
        <f>MATCH(C35,D!A:A,0)</f>
        <v>152</v>
      </c>
    </row>
    <row r="36" spans="1:5" x14ac:dyDescent="0.2">
      <c r="A36"/>
      <c r="C36" t="s">
        <v>12199</v>
      </c>
      <c r="D36" s="7">
        <f>MATCH(C36,H!A:A,0)</f>
        <v>1677</v>
      </c>
      <c r="E36" s="7">
        <f>MATCH(C36,D!A:A,0)</f>
        <v>153</v>
      </c>
    </row>
    <row r="37" spans="1:5" x14ac:dyDescent="0.2">
      <c r="A37"/>
      <c r="C37" t="s">
        <v>12208</v>
      </c>
      <c r="D37" s="7">
        <f>MATCH(C37,H!A:A,0)</f>
        <v>1779</v>
      </c>
      <c r="E37" s="7">
        <f>MATCH(C37,D!A:A,0)</f>
        <v>155</v>
      </c>
    </row>
    <row r="38" spans="1:5" x14ac:dyDescent="0.2">
      <c r="A38"/>
      <c r="C38" t="s">
        <v>12239</v>
      </c>
      <c r="D38" s="7">
        <f>MATCH(C38,H!A:A,0)</f>
        <v>1885</v>
      </c>
      <c r="E38" s="7">
        <f>MATCH(C38,D!A:A,0)</f>
        <v>156</v>
      </c>
    </row>
    <row r="39" spans="1:5" x14ac:dyDescent="0.2">
      <c r="A39"/>
      <c r="C39" t="s">
        <v>12243</v>
      </c>
      <c r="D39" s="7">
        <f>MATCH(C39,H!A:A,0)</f>
        <v>1893</v>
      </c>
      <c r="E39" s="7">
        <f>MATCH(C39,D!A:A,0)</f>
        <v>157</v>
      </c>
    </row>
    <row r="40" spans="1:5" x14ac:dyDescent="0.2">
      <c r="A40"/>
      <c r="C40" t="s">
        <v>11126</v>
      </c>
      <c r="D40" s="7">
        <f>MATCH(C40,H!A:A,0)</f>
        <v>1921</v>
      </c>
      <c r="E40" s="7">
        <f>MATCH(C40,D!A:A,0)</f>
        <v>158</v>
      </c>
    </row>
    <row r="41" spans="1:5" x14ac:dyDescent="0.2">
      <c r="A41"/>
      <c r="C41" t="s">
        <v>12250</v>
      </c>
      <c r="D41" s="7">
        <f>MATCH(C41,H!A:A,0)</f>
        <v>1963</v>
      </c>
      <c r="E41" s="7">
        <f>MATCH(C41,D!A:A,0)</f>
        <v>163</v>
      </c>
    </row>
    <row r="42" spans="1:5" x14ac:dyDescent="0.2">
      <c r="A42"/>
      <c r="C42" t="s">
        <v>12260</v>
      </c>
      <c r="D42" s="7">
        <f>MATCH(C42,H!A:A,0)</f>
        <v>2043</v>
      </c>
      <c r="E42" s="7">
        <f>MATCH(C42,D!A:A,0)</f>
        <v>165</v>
      </c>
    </row>
    <row r="43" spans="1:5" x14ac:dyDescent="0.2">
      <c r="A43"/>
      <c r="C43" t="s">
        <v>12267</v>
      </c>
      <c r="D43" s="7">
        <f>MATCH(C43,H!A:A,0)</f>
        <v>2055</v>
      </c>
      <c r="E43" s="7">
        <f>MATCH(C43,D!A:A,0)</f>
        <v>166</v>
      </c>
    </row>
    <row r="44" spans="1:5" x14ac:dyDescent="0.2">
      <c r="A44"/>
      <c r="C44" t="s">
        <v>12306</v>
      </c>
      <c r="D44" s="7">
        <f>MATCH(C44,H!A:A,0)</f>
        <v>2128</v>
      </c>
      <c r="E44" s="7">
        <f>MATCH(C44,D!A:A,0)</f>
        <v>167</v>
      </c>
    </row>
    <row r="45" spans="1:5" x14ac:dyDescent="0.2">
      <c r="A45"/>
      <c r="C45" t="s">
        <v>12311</v>
      </c>
      <c r="D45" s="7">
        <f>MATCH(C45,H!A:A,0)</f>
        <v>2136</v>
      </c>
      <c r="E45" s="7">
        <f>MATCH(C45,D!A:A,0)</f>
        <v>168</v>
      </c>
    </row>
    <row r="46" spans="1:5" x14ac:dyDescent="0.2">
      <c r="A46"/>
      <c r="C46" t="s">
        <v>12315</v>
      </c>
      <c r="D46" s="7">
        <f>MATCH(C46,H!A:A,0)</f>
        <v>2142</v>
      </c>
      <c r="E46" s="7">
        <f>MATCH(C46,D!A:A,0)</f>
        <v>169</v>
      </c>
    </row>
    <row r="47" spans="1:5" x14ac:dyDescent="0.2">
      <c r="A47"/>
      <c r="C47" t="s">
        <v>12317</v>
      </c>
      <c r="D47" s="7">
        <f>MATCH(C47,H!A:A,0)</f>
        <v>2194</v>
      </c>
      <c r="E47" s="7">
        <f>MATCH(C47,D!A:A,0)</f>
        <v>181</v>
      </c>
    </row>
    <row r="48" spans="1:5" x14ac:dyDescent="0.2">
      <c r="A48"/>
      <c r="C48" t="s">
        <v>12356</v>
      </c>
      <c r="D48" s="7">
        <f>MATCH(C48,H!A:A,0)</f>
        <v>2238</v>
      </c>
      <c r="E48" s="7">
        <f>MATCH(C48,D!A:A,0)</f>
        <v>182</v>
      </c>
    </row>
    <row r="49" spans="1:5" x14ac:dyDescent="0.2">
      <c r="A49"/>
      <c r="C49" t="s">
        <v>12358</v>
      </c>
      <c r="D49" s="7">
        <f>MATCH(C49,H!A:A,0)</f>
        <v>2304</v>
      </c>
      <c r="E49" s="7">
        <f>MATCH(C49,D!A:A,0)</f>
        <v>183</v>
      </c>
    </row>
    <row r="50" spans="1:5" x14ac:dyDescent="0.2">
      <c r="A50"/>
      <c r="C50" t="s">
        <v>12366</v>
      </c>
      <c r="D50" s="7">
        <f>MATCH(C50,H!A:A,0)</f>
        <v>2388</v>
      </c>
      <c r="E50" s="7">
        <f>MATCH(C50,D!A:A,0)</f>
        <v>184</v>
      </c>
    </row>
    <row r="51" spans="1:5" x14ac:dyDescent="0.2">
      <c r="A51"/>
      <c r="C51" t="s">
        <v>12420</v>
      </c>
      <c r="D51" s="7">
        <f>MATCH(C51,H!A:A,0)</f>
        <v>2452</v>
      </c>
      <c r="E51" s="7">
        <f>MATCH(C51,D!A:A,0)</f>
        <v>185</v>
      </c>
    </row>
    <row r="52" spans="1:5" x14ac:dyDescent="0.2">
      <c r="A52"/>
      <c r="C52" t="s">
        <v>12422</v>
      </c>
      <c r="D52" s="7">
        <f>MATCH(C52,H!A:A,0)</f>
        <v>2502</v>
      </c>
      <c r="E52" s="7">
        <f>MATCH(C52,D!A:A,0)</f>
        <v>197</v>
      </c>
    </row>
    <row r="53" spans="1:5" x14ac:dyDescent="0.2">
      <c r="A53"/>
      <c r="C53" t="s">
        <v>12509</v>
      </c>
      <c r="D53" s="7">
        <f>MATCH(C53,H!A:A,0)</f>
        <v>2677</v>
      </c>
      <c r="E53" s="7">
        <f>MATCH(C53,D!A:A,0)</f>
        <v>201</v>
      </c>
    </row>
    <row r="54" spans="1:5" x14ac:dyDescent="0.2">
      <c r="A54"/>
      <c r="C54" t="s">
        <v>12584</v>
      </c>
      <c r="D54" s="7">
        <f>MATCH(C54,H!A:A,0)</f>
        <v>2711</v>
      </c>
      <c r="E54" s="7">
        <f>MATCH(C54,D!A:A,0)</f>
        <v>206</v>
      </c>
    </row>
    <row r="55" spans="1:5" x14ac:dyDescent="0.2">
      <c r="A55"/>
      <c r="C55" t="s">
        <v>12586</v>
      </c>
      <c r="D55" s="7">
        <f>MATCH(C55,H!A:A,0)</f>
        <v>2787</v>
      </c>
      <c r="E55" s="7">
        <f>MATCH(C55,D!A:A,0)</f>
        <v>207</v>
      </c>
    </row>
    <row r="56" spans="1:5" x14ac:dyDescent="0.2">
      <c r="A56"/>
      <c r="C56" t="s">
        <v>12591</v>
      </c>
      <c r="D56" s="7">
        <f>MATCH(C56,H!A:A,0)</f>
        <v>2863</v>
      </c>
      <c r="E56" s="7">
        <f>MATCH(C56,D!A:A,0)</f>
        <v>208</v>
      </c>
    </row>
    <row r="57" spans="1:5" x14ac:dyDescent="0.2">
      <c r="A57"/>
      <c r="C57" t="s">
        <v>12601</v>
      </c>
      <c r="D57" s="7">
        <f>MATCH(C57,H!A:A,0)</f>
        <v>2882</v>
      </c>
      <c r="E57" s="7">
        <f>MATCH(C57,D!A:A,0)</f>
        <v>209</v>
      </c>
    </row>
    <row r="58" spans="1:5" x14ac:dyDescent="0.2">
      <c r="A58"/>
      <c r="C58" t="s">
        <v>12609</v>
      </c>
      <c r="D58" s="7">
        <f>MATCH(C58,H!A:A,0)</f>
        <v>2908</v>
      </c>
      <c r="E58" s="7">
        <f>MATCH(C58,D!A:A,0)</f>
        <v>212</v>
      </c>
    </row>
    <row r="59" spans="1:5" x14ac:dyDescent="0.2">
      <c r="A59"/>
      <c r="C59" t="s">
        <v>12611</v>
      </c>
      <c r="D59" s="7">
        <f>MATCH(C59,H!A:A,0)</f>
        <v>2935</v>
      </c>
      <c r="E59" s="7">
        <f>MATCH(C59,D!A:A,0)</f>
        <v>215</v>
      </c>
    </row>
    <row r="60" spans="1:5" x14ac:dyDescent="0.2">
      <c r="A60"/>
      <c r="C60" t="s">
        <v>12613</v>
      </c>
      <c r="D60" s="7">
        <f>MATCH(C60,H!A:A,0)</f>
        <v>2962</v>
      </c>
      <c r="E60" s="7">
        <f>MATCH(C60,D!A:A,0)</f>
        <v>218</v>
      </c>
    </row>
    <row r="61" spans="1:5" x14ac:dyDescent="0.2">
      <c r="A61"/>
      <c r="C61" t="s">
        <v>12615</v>
      </c>
      <c r="D61" s="7">
        <f>MATCH(C61,H!A:A,0)</f>
        <v>3013</v>
      </c>
      <c r="E61" s="7">
        <f>MATCH(C61,D!A:A,0)</f>
        <v>219</v>
      </c>
    </row>
    <row r="62" spans="1:5" x14ac:dyDescent="0.2">
      <c r="A62"/>
      <c r="C62" t="s">
        <v>12629</v>
      </c>
      <c r="D62" s="7">
        <f>MATCH(C62,H!A:A,0)</f>
        <v>3105</v>
      </c>
      <c r="E62" s="7">
        <f>MATCH(C62,D!A:A,0)</f>
        <v>220</v>
      </c>
    </row>
    <row r="63" spans="1:5" x14ac:dyDescent="0.2">
      <c r="A63"/>
      <c r="C63" t="s">
        <v>12643</v>
      </c>
      <c r="D63" s="7">
        <f>MATCH(C63,H!A:A,0)</f>
        <v>3120</v>
      </c>
      <c r="E63" s="7">
        <f>MATCH(C63,D!A:A,0)</f>
        <v>221</v>
      </c>
    </row>
    <row r="64" spans="1:5" x14ac:dyDescent="0.2">
      <c r="A64"/>
      <c r="C64" t="s">
        <v>12645</v>
      </c>
      <c r="D64" s="7">
        <f>MATCH(C64,H!A:A,0)</f>
        <v>3165</v>
      </c>
      <c r="E64" s="7">
        <f>MATCH(C64,D!A:A,0)</f>
        <v>233</v>
      </c>
    </row>
    <row r="65" spans="1:5" x14ac:dyDescent="0.2">
      <c r="A65"/>
      <c r="C65" t="s">
        <v>12647</v>
      </c>
      <c r="D65" s="7">
        <f>MATCH(C65,H!A:A,0)</f>
        <v>3248</v>
      </c>
      <c r="E65" s="7">
        <f>MATCH(C65,D!A:A,0)</f>
        <v>234</v>
      </c>
    </row>
    <row r="66" spans="1:5" x14ac:dyDescent="0.2">
      <c r="A66"/>
      <c r="C66" t="s">
        <v>12649</v>
      </c>
      <c r="D66" s="7">
        <f>MATCH(C66,H!A:A,0)</f>
        <v>3252</v>
      </c>
      <c r="E66" s="7">
        <f>MATCH(C66,D!A:A,0)</f>
        <v>235</v>
      </c>
    </row>
    <row r="67" spans="1:5" x14ac:dyDescent="0.2">
      <c r="A67"/>
      <c r="C67" t="s">
        <v>12651</v>
      </c>
      <c r="D67" s="7">
        <f>MATCH(C67,H!A:A,0)</f>
        <v>3332</v>
      </c>
      <c r="E67" s="7">
        <f>MATCH(C67,D!A:A,0)</f>
        <v>236</v>
      </c>
    </row>
    <row r="68" spans="1:5" x14ac:dyDescent="0.2">
      <c r="A68"/>
      <c r="C68" t="s">
        <v>12653</v>
      </c>
      <c r="D68" s="7">
        <f>MATCH(C68,H!A:A,0)</f>
        <v>3340</v>
      </c>
      <c r="E68" s="7">
        <f>MATCH(C68,D!A:A,0)</f>
        <v>237</v>
      </c>
    </row>
    <row r="69" spans="1:5" x14ac:dyDescent="0.2">
      <c r="A69"/>
      <c r="C69" t="s">
        <v>12655</v>
      </c>
      <c r="D69" s="7">
        <f>MATCH(C69,H!A:A,0)</f>
        <v>3346</v>
      </c>
      <c r="E69" s="7">
        <f>MATCH(C69,D!A:A,0)</f>
        <v>238</v>
      </c>
    </row>
    <row r="70" spans="1:5" x14ac:dyDescent="0.2">
      <c r="A70"/>
      <c r="C70" t="s">
        <v>12657</v>
      </c>
      <c r="D70" s="7">
        <f>MATCH(C70,H!A:A,0)</f>
        <v>3419</v>
      </c>
      <c r="E70" s="7">
        <f>MATCH(C70,D!A:A,0)</f>
        <v>239</v>
      </c>
    </row>
    <row r="71" spans="1:5" x14ac:dyDescent="0.2">
      <c r="A71"/>
      <c r="C71" t="s">
        <v>12662</v>
      </c>
      <c r="D71" s="7">
        <f>MATCH(C71,H!A:A,0)</f>
        <v>3500</v>
      </c>
      <c r="E71" s="7">
        <f>MATCH(C71,D!A:A,0)</f>
        <v>240</v>
      </c>
    </row>
    <row r="72" spans="1:5" x14ac:dyDescent="0.2">
      <c r="A72"/>
      <c r="C72" t="s">
        <v>12664</v>
      </c>
      <c r="D72" s="7">
        <f>MATCH(C72,H!A:A,0)</f>
        <v>3507</v>
      </c>
      <c r="E72" s="7">
        <f>MATCH(C72,D!A:A,0)</f>
        <v>241</v>
      </c>
    </row>
    <row r="73" spans="1:5" x14ac:dyDescent="0.2">
      <c r="A73"/>
      <c r="C73" t="s">
        <v>12689</v>
      </c>
      <c r="D73" s="7">
        <f>MATCH(C73,H!A:A,0)</f>
        <v>3572</v>
      </c>
      <c r="E73" s="7">
        <f>MATCH(C73,D!A:A,0)</f>
        <v>242</v>
      </c>
    </row>
    <row r="74" spans="1:5" x14ac:dyDescent="0.2">
      <c r="A74"/>
      <c r="C74" t="s">
        <v>12694</v>
      </c>
      <c r="D74" s="7">
        <f>MATCH(C74,H!A:A,0)</f>
        <v>3593</v>
      </c>
      <c r="E74" s="7">
        <f>MATCH(C74,D!A:A,0)</f>
        <v>244</v>
      </c>
    </row>
    <row r="75" spans="1:5" x14ac:dyDescent="0.2">
      <c r="A75"/>
      <c r="C75" t="s">
        <v>12703</v>
      </c>
      <c r="D75" s="7">
        <f>MATCH(C75,H!A:A,0)</f>
        <v>3666</v>
      </c>
      <c r="E75" s="7">
        <f>MATCH(C75,D!A:A,0)</f>
        <v>245</v>
      </c>
    </row>
    <row r="76" spans="1:5" x14ac:dyDescent="0.2">
      <c r="A76"/>
      <c r="C76" t="s">
        <v>12705</v>
      </c>
      <c r="D76" s="7">
        <f>MATCH(C76,H!A:A,0)</f>
        <v>3712</v>
      </c>
      <c r="E76" s="7">
        <f>MATCH(C76,D!A:A,0)</f>
        <v>257</v>
      </c>
    </row>
    <row r="77" spans="1:5" x14ac:dyDescent="0.2">
      <c r="A77"/>
      <c r="C77" t="s">
        <v>12711</v>
      </c>
      <c r="D77" s="7">
        <f>MATCH(C77,H!A:A,0)</f>
        <v>3869</v>
      </c>
      <c r="E77" s="7">
        <f>MATCH(C77,D!A:A,0)</f>
        <v>259</v>
      </c>
    </row>
    <row r="78" spans="1:5" x14ac:dyDescent="0.2">
      <c r="A78"/>
      <c r="C78"/>
      <c r="D78" s="7">
        <v>3724</v>
      </c>
      <c r="E78" s="7">
        <v>361</v>
      </c>
    </row>
    <row r="79" spans="1:5" x14ac:dyDescent="0.2">
      <c r="A79"/>
      <c r="C79"/>
    </row>
    <row r="80" spans="1:5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C355"/>
    </row>
    <row r="356" spans="1:3" x14ac:dyDescent="0.2">
      <c r="C356"/>
    </row>
    <row r="357" spans="1:3" x14ac:dyDescent="0.2">
      <c r="C357"/>
    </row>
    <row r="358" spans="1:3" x14ac:dyDescent="0.2">
      <c r="C358"/>
    </row>
    <row r="359" spans="1:3" x14ac:dyDescent="0.2">
      <c r="C359"/>
    </row>
    <row r="360" spans="1:3" x14ac:dyDescent="0.2">
      <c r="C360"/>
    </row>
    <row r="361" spans="1:3" x14ac:dyDescent="0.2">
      <c r="C361"/>
    </row>
    <row r="362" spans="1:3" x14ac:dyDescent="0.2">
      <c r="C362"/>
    </row>
    <row r="363" spans="1:3" x14ac:dyDescent="0.2">
      <c r="C363"/>
    </row>
    <row r="364" spans="1:3" x14ac:dyDescent="0.2">
      <c r="C364"/>
    </row>
    <row r="365" spans="1:3" x14ac:dyDescent="0.2">
      <c r="C365"/>
    </row>
    <row r="366" spans="1:3" x14ac:dyDescent="0.2">
      <c r="C366"/>
    </row>
    <row r="367" spans="1:3" x14ac:dyDescent="0.2">
      <c r="C367"/>
    </row>
    <row r="368" spans="1:3" x14ac:dyDescent="0.2">
      <c r="C368"/>
    </row>
    <row r="369" spans="3:3" x14ac:dyDescent="0.2">
      <c r="C369"/>
    </row>
    <row r="370" spans="3:3" x14ac:dyDescent="0.2">
      <c r="C370"/>
    </row>
    <row r="371" spans="3:3" x14ac:dyDescent="0.2">
      <c r="C371"/>
    </row>
    <row r="372" spans="3:3" x14ac:dyDescent="0.2">
      <c r="C372"/>
    </row>
    <row r="373" spans="3:3" x14ac:dyDescent="0.2">
      <c r="C373"/>
    </row>
    <row r="374" spans="3:3" x14ac:dyDescent="0.2">
      <c r="C374"/>
    </row>
    <row r="375" spans="3:3" x14ac:dyDescent="0.2">
      <c r="C375"/>
    </row>
    <row r="376" spans="3:3" x14ac:dyDescent="0.2">
      <c r="C376"/>
    </row>
    <row r="377" spans="3:3" x14ac:dyDescent="0.2">
      <c r="C377"/>
    </row>
    <row r="378" spans="3:3" x14ac:dyDescent="0.2">
      <c r="C378"/>
    </row>
    <row r="379" spans="3:3" x14ac:dyDescent="0.2">
      <c r="C379"/>
    </row>
    <row r="380" spans="3:3" x14ac:dyDescent="0.2">
      <c r="C380"/>
    </row>
    <row r="381" spans="3:3" x14ac:dyDescent="0.2">
      <c r="C381"/>
    </row>
    <row r="382" spans="3:3" x14ac:dyDescent="0.2">
      <c r="C382"/>
    </row>
    <row r="383" spans="3:3" x14ac:dyDescent="0.2">
      <c r="C383"/>
    </row>
    <row r="384" spans="3:3" x14ac:dyDescent="0.2">
      <c r="C384"/>
    </row>
    <row r="385" spans="3:3" x14ac:dyDescent="0.2">
      <c r="C385"/>
    </row>
    <row r="386" spans="3:3" x14ac:dyDescent="0.2">
      <c r="C386"/>
    </row>
    <row r="387" spans="3:3" x14ac:dyDescent="0.2">
      <c r="C387"/>
    </row>
    <row r="388" spans="3:3" x14ac:dyDescent="0.2">
      <c r="C388"/>
    </row>
    <row r="389" spans="3:3" x14ac:dyDescent="0.2">
      <c r="C389"/>
    </row>
    <row r="390" spans="3:3" x14ac:dyDescent="0.2">
      <c r="C390"/>
    </row>
    <row r="391" spans="3:3" x14ac:dyDescent="0.2">
      <c r="C391"/>
    </row>
    <row r="392" spans="3:3" x14ac:dyDescent="0.2">
      <c r="C392"/>
    </row>
    <row r="393" spans="3:3" x14ac:dyDescent="0.2">
      <c r="C393"/>
    </row>
    <row r="394" spans="3:3" x14ac:dyDescent="0.2">
      <c r="C394"/>
    </row>
    <row r="395" spans="3:3" x14ac:dyDescent="0.2">
      <c r="C395"/>
    </row>
    <row r="396" spans="3:3" x14ac:dyDescent="0.2">
      <c r="C396"/>
    </row>
    <row r="397" spans="3:3" x14ac:dyDescent="0.2">
      <c r="C397"/>
    </row>
    <row r="398" spans="3:3" x14ac:dyDescent="0.2">
      <c r="C398"/>
    </row>
    <row r="399" spans="3:3" x14ac:dyDescent="0.2">
      <c r="C399"/>
    </row>
    <row r="400" spans="3:3" x14ac:dyDescent="0.2">
      <c r="C400"/>
    </row>
    <row r="401" spans="3:3" x14ac:dyDescent="0.2">
      <c r="C401"/>
    </row>
    <row r="402" spans="3:3" x14ac:dyDescent="0.2">
      <c r="C402"/>
    </row>
    <row r="403" spans="3:3" x14ac:dyDescent="0.2">
      <c r="C403"/>
    </row>
    <row r="404" spans="3:3" x14ac:dyDescent="0.2">
      <c r="C404"/>
    </row>
    <row r="405" spans="3:3" x14ac:dyDescent="0.2">
      <c r="C405"/>
    </row>
    <row r="406" spans="3:3" x14ac:dyDescent="0.2">
      <c r="C406"/>
    </row>
    <row r="407" spans="3:3" x14ac:dyDescent="0.2">
      <c r="C407"/>
    </row>
    <row r="408" spans="3:3" x14ac:dyDescent="0.2">
      <c r="C408"/>
    </row>
    <row r="409" spans="3:3" x14ac:dyDescent="0.2">
      <c r="C409"/>
    </row>
    <row r="410" spans="3:3" x14ac:dyDescent="0.2">
      <c r="C410"/>
    </row>
    <row r="411" spans="3:3" x14ac:dyDescent="0.2">
      <c r="C411"/>
    </row>
    <row r="412" spans="3:3" x14ac:dyDescent="0.2">
      <c r="C412"/>
    </row>
    <row r="413" spans="3:3" x14ac:dyDescent="0.2">
      <c r="C413"/>
    </row>
    <row r="414" spans="3:3" x14ac:dyDescent="0.2">
      <c r="C414"/>
    </row>
    <row r="415" spans="3:3" x14ac:dyDescent="0.2">
      <c r="C415"/>
    </row>
    <row r="416" spans="3:3" x14ac:dyDescent="0.2">
      <c r="C416"/>
    </row>
    <row r="417" spans="3:3" x14ac:dyDescent="0.2">
      <c r="C417"/>
    </row>
    <row r="418" spans="3:3" x14ac:dyDescent="0.2">
      <c r="C418"/>
    </row>
    <row r="419" spans="3:3" x14ac:dyDescent="0.2">
      <c r="C419"/>
    </row>
    <row r="420" spans="3:3" x14ac:dyDescent="0.2">
      <c r="C420"/>
    </row>
    <row r="421" spans="3:3" x14ac:dyDescent="0.2">
      <c r="C421"/>
    </row>
    <row r="422" spans="3:3" x14ac:dyDescent="0.2">
      <c r="C422"/>
    </row>
    <row r="423" spans="3:3" x14ac:dyDescent="0.2">
      <c r="C423"/>
    </row>
    <row r="424" spans="3:3" x14ac:dyDescent="0.2">
      <c r="C424"/>
    </row>
    <row r="425" spans="3:3" x14ac:dyDescent="0.2">
      <c r="C425"/>
    </row>
    <row r="426" spans="3:3" x14ac:dyDescent="0.2">
      <c r="C426"/>
    </row>
    <row r="427" spans="3:3" x14ac:dyDescent="0.2">
      <c r="C427"/>
    </row>
    <row r="428" spans="3:3" x14ac:dyDescent="0.2">
      <c r="C428"/>
    </row>
    <row r="429" spans="3:3" x14ac:dyDescent="0.2">
      <c r="C429"/>
    </row>
    <row r="430" spans="3:3" x14ac:dyDescent="0.2">
      <c r="C430"/>
    </row>
    <row r="431" spans="3:3" x14ac:dyDescent="0.2">
      <c r="C431"/>
    </row>
    <row r="432" spans="3:3" x14ac:dyDescent="0.2">
      <c r="C432"/>
    </row>
    <row r="433" spans="3:3" x14ac:dyDescent="0.2">
      <c r="C433"/>
    </row>
    <row r="434" spans="3:3" x14ac:dyDescent="0.2">
      <c r="C434"/>
    </row>
    <row r="435" spans="3:3" x14ac:dyDescent="0.2">
      <c r="C435"/>
    </row>
    <row r="436" spans="3:3" x14ac:dyDescent="0.2">
      <c r="C436"/>
    </row>
    <row r="437" spans="3:3" x14ac:dyDescent="0.2">
      <c r="C437"/>
    </row>
    <row r="438" spans="3:3" x14ac:dyDescent="0.2">
      <c r="C438"/>
    </row>
    <row r="439" spans="3:3" x14ac:dyDescent="0.2">
      <c r="C439"/>
    </row>
    <row r="440" spans="3:3" x14ac:dyDescent="0.2">
      <c r="C440"/>
    </row>
    <row r="441" spans="3:3" x14ac:dyDescent="0.2">
      <c r="C441"/>
    </row>
    <row r="442" spans="3:3" x14ac:dyDescent="0.2">
      <c r="C442"/>
    </row>
    <row r="443" spans="3:3" x14ac:dyDescent="0.2">
      <c r="C443"/>
    </row>
    <row r="444" spans="3:3" x14ac:dyDescent="0.2">
      <c r="C444"/>
    </row>
    <row r="445" spans="3:3" x14ac:dyDescent="0.2">
      <c r="C445"/>
    </row>
    <row r="446" spans="3:3" x14ac:dyDescent="0.2">
      <c r="C446"/>
    </row>
    <row r="447" spans="3:3" x14ac:dyDescent="0.2">
      <c r="C447"/>
    </row>
    <row r="448" spans="3:3" x14ac:dyDescent="0.2">
      <c r="C448"/>
    </row>
    <row r="449" spans="3:3" x14ac:dyDescent="0.2">
      <c r="C449"/>
    </row>
    <row r="450" spans="3:3" x14ac:dyDescent="0.2">
      <c r="C450"/>
    </row>
    <row r="451" spans="3:3" x14ac:dyDescent="0.2">
      <c r="C451"/>
    </row>
    <row r="452" spans="3:3" x14ac:dyDescent="0.2">
      <c r="C452"/>
    </row>
    <row r="453" spans="3:3" x14ac:dyDescent="0.2">
      <c r="C453"/>
    </row>
    <row r="454" spans="3:3" x14ac:dyDescent="0.2">
      <c r="C454"/>
    </row>
    <row r="455" spans="3:3" x14ac:dyDescent="0.2">
      <c r="C455"/>
    </row>
    <row r="456" spans="3:3" x14ac:dyDescent="0.2">
      <c r="C456"/>
    </row>
    <row r="457" spans="3:3" x14ac:dyDescent="0.2">
      <c r="C457"/>
    </row>
    <row r="458" spans="3:3" x14ac:dyDescent="0.2">
      <c r="C458"/>
    </row>
    <row r="459" spans="3:3" x14ac:dyDescent="0.2">
      <c r="C459"/>
    </row>
    <row r="460" spans="3:3" x14ac:dyDescent="0.2">
      <c r="C460"/>
    </row>
    <row r="461" spans="3:3" x14ac:dyDescent="0.2">
      <c r="C461"/>
    </row>
    <row r="462" spans="3:3" x14ac:dyDescent="0.2">
      <c r="C462"/>
    </row>
    <row r="463" spans="3:3" x14ac:dyDescent="0.2">
      <c r="C463"/>
    </row>
    <row r="464" spans="3:3" x14ac:dyDescent="0.2">
      <c r="C464"/>
    </row>
    <row r="465" spans="3:3" x14ac:dyDescent="0.2">
      <c r="C465"/>
    </row>
    <row r="466" spans="3:3" x14ac:dyDescent="0.2">
      <c r="C466"/>
    </row>
    <row r="467" spans="3:3" x14ac:dyDescent="0.2">
      <c r="C467"/>
    </row>
    <row r="468" spans="3:3" x14ac:dyDescent="0.2">
      <c r="C468"/>
    </row>
    <row r="469" spans="3:3" x14ac:dyDescent="0.2">
      <c r="C469"/>
    </row>
    <row r="470" spans="3:3" x14ac:dyDescent="0.2">
      <c r="C470"/>
    </row>
    <row r="471" spans="3:3" x14ac:dyDescent="0.2">
      <c r="C471"/>
    </row>
    <row r="472" spans="3:3" x14ac:dyDescent="0.2">
      <c r="C472"/>
    </row>
    <row r="473" spans="3:3" x14ac:dyDescent="0.2">
      <c r="C473"/>
    </row>
    <row r="474" spans="3:3" x14ac:dyDescent="0.2">
      <c r="C474"/>
    </row>
    <row r="475" spans="3:3" x14ac:dyDescent="0.2">
      <c r="C475"/>
    </row>
    <row r="476" spans="3:3" x14ac:dyDescent="0.2">
      <c r="C476"/>
    </row>
    <row r="477" spans="3:3" x14ac:dyDescent="0.2">
      <c r="C477"/>
    </row>
    <row r="478" spans="3:3" x14ac:dyDescent="0.2">
      <c r="C478"/>
    </row>
    <row r="479" spans="3:3" x14ac:dyDescent="0.2">
      <c r="C479"/>
    </row>
    <row r="480" spans="3:3" x14ac:dyDescent="0.2">
      <c r="C480"/>
    </row>
    <row r="481" spans="3:3" x14ac:dyDescent="0.2">
      <c r="C481"/>
    </row>
    <row r="482" spans="3:3" x14ac:dyDescent="0.2">
      <c r="C482"/>
    </row>
    <row r="483" spans="3:3" x14ac:dyDescent="0.2">
      <c r="C483"/>
    </row>
    <row r="484" spans="3:3" x14ac:dyDescent="0.2">
      <c r="C484"/>
    </row>
    <row r="485" spans="3:3" x14ac:dyDescent="0.2">
      <c r="C485"/>
    </row>
    <row r="486" spans="3:3" x14ac:dyDescent="0.2">
      <c r="C486"/>
    </row>
    <row r="487" spans="3:3" x14ac:dyDescent="0.2">
      <c r="C487"/>
    </row>
    <row r="488" spans="3:3" x14ac:dyDescent="0.2">
      <c r="C488"/>
    </row>
    <row r="489" spans="3:3" x14ac:dyDescent="0.2">
      <c r="C489"/>
    </row>
    <row r="490" spans="3:3" x14ac:dyDescent="0.2">
      <c r="C490"/>
    </row>
    <row r="491" spans="3:3" x14ac:dyDescent="0.2">
      <c r="C491"/>
    </row>
    <row r="492" spans="3:3" x14ac:dyDescent="0.2">
      <c r="C492"/>
    </row>
    <row r="493" spans="3:3" x14ac:dyDescent="0.2">
      <c r="C493"/>
    </row>
    <row r="494" spans="3:3" x14ac:dyDescent="0.2">
      <c r="C494"/>
    </row>
    <row r="495" spans="3:3" x14ac:dyDescent="0.2">
      <c r="C495"/>
    </row>
    <row r="496" spans="3:3" x14ac:dyDescent="0.2">
      <c r="C496"/>
    </row>
    <row r="497" spans="3:3" x14ac:dyDescent="0.2">
      <c r="C497"/>
    </row>
    <row r="498" spans="3:3" x14ac:dyDescent="0.2">
      <c r="C498"/>
    </row>
    <row r="499" spans="3:3" x14ac:dyDescent="0.2">
      <c r="C499"/>
    </row>
    <row r="500" spans="3:3" x14ac:dyDescent="0.2">
      <c r="C500"/>
    </row>
    <row r="501" spans="3:3" x14ac:dyDescent="0.2">
      <c r="C501"/>
    </row>
    <row r="502" spans="3:3" x14ac:dyDescent="0.2">
      <c r="C502"/>
    </row>
    <row r="503" spans="3:3" x14ac:dyDescent="0.2">
      <c r="C503"/>
    </row>
    <row r="504" spans="3:3" x14ac:dyDescent="0.2">
      <c r="C504"/>
    </row>
    <row r="505" spans="3:3" x14ac:dyDescent="0.2">
      <c r="C505"/>
    </row>
    <row r="506" spans="3:3" x14ac:dyDescent="0.2">
      <c r="C506"/>
    </row>
    <row r="507" spans="3:3" x14ac:dyDescent="0.2">
      <c r="C507"/>
    </row>
    <row r="508" spans="3:3" x14ac:dyDescent="0.2">
      <c r="C508"/>
    </row>
    <row r="509" spans="3:3" x14ac:dyDescent="0.2">
      <c r="C509"/>
    </row>
    <row r="510" spans="3:3" x14ac:dyDescent="0.2">
      <c r="C510"/>
    </row>
    <row r="511" spans="3:3" x14ac:dyDescent="0.2">
      <c r="C511"/>
    </row>
    <row r="512" spans="3:3" x14ac:dyDescent="0.2">
      <c r="C512"/>
    </row>
    <row r="513" spans="3:3" x14ac:dyDescent="0.2">
      <c r="C513"/>
    </row>
    <row r="514" spans="3:3" x14ac:dyDescent="0.2">
      <c r="C514"/>
    </row>
    <row r="515" spans="3:3" x14ac:dyDescent="0.2">
      <c r="C515"/>
    </row>
    <row r="516" spans="3:3" x14ac:dyDescent="0.2">
      <c r="C516"/>
    </row>
    <row r="517" spans="3:3" x14ac:dyDescent="0.2">
      <c r="C517"/>
    </row>
    <row r="518" spans="3:3" x14ac:dyDescent="0.2">
      <c r="C518"/>
    </row>
    <row r="519" spans="3:3" x14ac:dyDescent="0.2">
      <c r="C519"/>
    </row>
    <row r="520" spans="3:3" x14ac:dyDescent="0.2">
      <c r="C520"/>
    </row>
    <row r="521" spans="3:3" x14ac:dyDescent="0.2">
      <c r="C521"/>
    </row>
    <row r="522" spans="3:3" x14ac:dyDescent="0.2">
      <c r="C522"/>
    </row>
    <row r="523" spans="3:3" x14ac:dyDescent="0.2">
      <c r="C523"/>
    </row>
    <row r="524" spans="3:3" x14ac:dyDescent="0.2">
      <c r="C524"/>
    </row>
    <row r="525" spans="3:3" x14ac:dyDescent="0.2">
      <c r="C525"/>
    </row>
    <row r="526" spans="3:3" x14ac:dyDescent="0.2">
      <c r="C526"/>
    </row>
    <row r="527" spans="3:3" x14ac:dyDescent="0.2">
      <c r="C527"/>
    </row>
    <row r="528" spans="3:3" x14ac:dyDescent="0.2">
      <c r="C528"/>
    </row>
    <row r="529" spans="3:3" x14ac:dyDescent="0.2">
      <c r="C529"/>
    </row>
    <row r="530" spans="3:3" x14ac:dyDescent="0.2">
      <c r="C530"/>
    </row>
    <row r="531" spans="3:3" x14ac:dyDescent="0.2">
      <c r="C531"/>
    </row>
    <row r="532" spans="3:3" x14ac:dyDescent="0.2">
      <c r="C532"/>
    </row>
    <row r="533" spans="3:3" x14ac:dyDescent="0.2">
      <c r="C533"/>
    </row>
    <row r="534" spans="3:3" x14ac:dyDescent="0.2">
      <c r="C534"/>
    </row>
    <row r="535" spans="3:3" x14ac:dyDescent="0.2">
      <c r="C535"/>
    </row>
    <row r="536" spans="3:3" x14ac:dyDescent="0.2">
      <c r="C536"/>
    </row>
    <row r="537" spans="3:3" x14ac:dyDescent="0.2">
      <c r="C537"/>
    </row>
    <row r="538" spans="3:3" x14ac:dyDescent="0.2">
      <c r="C538"/>
    </row>
    <row r="539" spans="3:3" x14ac:dyDescent="0.2">
      <c r="C539"/>
    </row>
    <row r="540" spans="3:3" x14ac:dyDescent="0.2">
      <c r="C540"/>
    </row>
    <row r="541" spans="3:3" x14ac:dyDescent="0.2">
      <c r="C541"/>
    </row>
    <row r="542" spans="3:3" x14ac:dyDescent="0.2">
      <c r="C542"/>
    </row>
    <row r="543" spans="3:3" x14ac:dyDescent="0.2">
      <c r="C543"/>
    </row>
    <row r="544" spans="3:3" x14ac:dyDescent="0.2">
      <c r="C544"/>
    </row>
    <row r="545" spans="3:3" x14ac:dyDescent="0.2">
      <c r="C545"/>
    </row>
    <row r="546" spans="3:3" x14ac:dyDescent="0.2">
      <c r="C546"/>
    </row>
    <row r="547" spans="3:3" x14ac:dyDescent="0.2">
      <c r="C547"/>
    </row>
    <row r="548" spans="3:3" x14ac:dyDescent="0.2">
      <c r="C548"/>
    </row>
    <row r="549" spans="3:3" x14ac:dyDescent="0.2">
      <c r="C549"/>
    </row>
    <row r="550" spans="3:3" x14ac:dyDescent="0.2">
      <c r="C550"/>
    </row>
    <row r="551" spans="3:3" x14ac:dyDescent="0.2">
      <c r="C551"/>
    </row>
    <row r="552" spans="3:3" x14ac:dyDescent="0.2">
      <c r="C552"/>
    </row>
    <row r="553" spans="3:3" x14ac:dyDescent="0.2">
      <c r="C553"/>
    </row>
    <row r="554" spans="3:3" x14ac:dyDescent="0.2">
      <c r="C554"/>
    </row>
    <row r="555" spans="3:3" x14ac:dyDescent="0.2">
      <c r="C555"/>
    </row>
    <row r="556" spans="3:3" x14ac:dyDescent="0.2">
      <c r="C556"/>
    </row>
    <row r="557" spans="3:3" x14ac:dyDescent="0.2">
      <c r="C557"/>
    </row>
    <row r="558" spans="3:3" x14ac:dyDescent="0.2">
      <c r="C558"/>
    </row>
    <row r="559" spans="3:3" x14ac:dyDescent="0.2">
      <c r="C559"/>
    </row>
    <row r="560" spans="3:3" x14ac:dyDescent="0.2">
      <c r="C560"/>
    </row>
    <row r="561" spans="3:3" x14ac:dyDescent="0.2">
      <c r="C561"/>
    </row>
    <row r="562" spans="3:3" x14ac:dyDescent="0.2">
      <c r="C562"/>
    </row>
    <row r="563" spans="3:3" x14ac:dyDescent="0.2">
      <c r="C563"/>
    </row>
    <row r="564" spans="3:3" x14ac:dyDescent="0.2">
      <c r="C564"/>
    </row>
    <row r="565" spans="3:3" x14ac:dyDescent="0.2">
      <c r="C565"/>
    </row>
    <row r="566" spans="3:3" x14ac:dyDescent="0.2">
      <c r="C566"/>
    </row>
    <row r="567" spans="3:3" x14ac:dyDescent="0.2">
      <c r="C567"/>
    </row>
    <row r="568" spans="3:3" x14ac:dyDescent="0.2">
      <c r="C568"/>
    </row>
    <row r="569" spans="3:3" x14ac:dyDescent="0.2">
      <c r="C569"/>
    </row>
    <row r="570" spans="3:3" x14ac:dyDescent="0.2">
      <c r="C570"/>
    </row>
    <row r="571" spans="3:3" x14ac:dyDescent="0.2">
      <c r="C571"/>
    </row>
    <row r="572" spans="3:3" x14ac:dyDescent="0.2">
      <c r="C572"/>
    </row>
    <row r="573" spans="3:3" x14ac:dyDescent="0.2">
      <c r="C573"/>
    </row>
    <row r="574" spans="3:3" x14ac:dyDescent="0.2">
      <c r="C574"/>
    </row>
    <row r="575" spans="3:3" x14ac:dyDescent="0.2">
      <c r="C575"/>
    </row>
    <row r="576" spans="3:3" x14ac:dyDescent="0.2">
      <c r="C576"/>
    </row>
    <row r="577" spans="3:3" x14ac:dyDescent="0.2">
      <c r="C577"/>
    </row>
    <row r="578" spans="3:3" x14ac:dyDescent="0.2">
      <c r="C578"/>
    </row>
    <row r="579" spans="3:3" x14ac:dyDescent="0.2">
      <c r="C579"/>
    </row>
    <row r="580" spans="3:3" x14ac:dyDescent="0.2">
      <c r="C580"/>
    </row>
    <row r="581" spans="3:3" x14ac:dyDescent="0.2">
      <c r="C581"/>
    </row>
    <row r="582" spans="3:3" x14ac:dyDescent="0.2">
      <c r="C582"/>
    </row>
    <row r="583" spans="3:3" x14ac:dyDescent="0.2">
      <c r="C583"/>
    </row>
    <row r="584" spans="3:3" x14ac:dyDescent="0.2">
      <c r="C584"/>
    </row>
    <row r="585" spans="3:3" x14ac:dyDescent="0.2">
      <c r="C585"/>
    </row>
    <row r="586" spans="3:3" x14ac:dyDescent="0.2">
      <c r="C586"/>
    </row>
    <row r="587" spans="3:3" x14ac:dyDescent="0.2">
      <c r="C587"/>
    </row>
    <row r="588" spans="3:3" x14ac:dyDescent="0.2">
      <c r="C588"/>
    </row>
    <row r="589" spans="3:3" x14ac:dyDescent="0.2">
      <c r="C589"/>
    </row>
    <row r="590" spans="3:3" x14ac:dyDescent="0.2">
      <c r="C590"/>
    </row>
    <row r="591" spans="3:3" x14ac:dyDescent="0.2">
      <c r="C591"/>
    </row>
    <row r="592" spans="3:3" x14ac:dyDescent="0.2">
      <c r="C592"/>
    </row>
    <row r="593" spans="3:3" x14ac:dyDescent="0.2">
      <c r="C593"/>
    </row>
    <row r="594" spans="3:3" x14ac:dyDescent="0.2">
      <c r="C594"/>
    </row>
    <row r="595" spans="3:3" x14ac:dyDescent="0.2">
      <c r="C595"/>
    </row>
    <row r="596" spans="3:3" x14ac:dyDescent="0.2">
      <c r="C596"/>
    </row>
    <row r="597" spans="3:3" x14ac:dyDescent="0.2">
      <c r="C597"/>
    </row>
    <row r="598" spans="3:3" x14ac:dyDescent="0.2">
      <c r="C598"/>
    </row>
    <row r="599" spans="3:3" x14ac:dyDescent="0.2">
      <c r="C599"/>
    </row>
    <row r="600" spans="3:3" x14ac:dyDescent="0.2">
      <c r="C600"/>
    </row>
    <row r="601" spans="3:3" x14ac:dyDescent="0.2">
      <c r="C601"/>
    </row>
    <row r="602" spans="3:3" x14ac:dyDescent="0.2">
      <c r="C602"/>
    </row>
    <row r="603" spans="3:3" x14ac:dyDescent="0.2">
      <c r="C603"/>
    </row>
    <row r="604" spans="3:3" x14ac:dyDescent="0.2">
      <c r="C604"/>
    </row>
    <row r="605" spans="3:3" x14ac:dyDescent="0.2">
      <c r="C605"/>
    </row>
    <row r="606" spans="3:3" x14ac:dyDescent="0.2">
      <c r="C606"/>
    </row>
    <row r="607" spans="3:3" x14ac:dyDescent="0.2">
      <c r="C607"/>
    </row>
    <row r="608" spans="3:3" x14ac:dyDescent="0.2">
      <c r="C608"/>
    </row>
    <row r="609" spans="3:3" x14ac:dyDescent="0.2">
      <c r="C609"/>
    </row>
    <row r="610" spans="3:3" x14ac:dyDescent="0.2">
      <c r="C610"/>
    </row>
    <row r="611" spans="3:3" x14ac:dyDescent="0.2">
      <c r="C611"/>
    </row>
    <row r="612" spans="3:3" x14ac:dyDescent="0.2">
      <c r="C612"/>
    </row>
    <row r="613" spans="3:3" x14ac:dyDescent="0.2">
      <c r="C613"/>
    </row>
    <row r="614" spans="3:3" x14ac:dyDescent="0.2">
      <c r="C614"/>
    </row>
    <row r="615" spans="3:3" x14ac:dyDescent="0.2">
      <c r="C615"/>
    </row>
    <row r="616" spans="3:3" x14ac:dyDescent="0.2">
      <c r="C616"/>
    </row>
    <row r="617" spans="3:3" x14ac:dyDescent="0.2">
      <c r="C617"/>
    </row>
    <row r="618" spans="3:3" x14ac:dyDescent="0.2">
      <c r="C618"/>
    </row>
    <row r="619" spans="3:3" x14ac:dyDescent="0.2">
      <c r="C619"/>
    </row>
    <row r="620" spans="3:3" x14ac:dyDescent="0.2">
      <c r="C620"/>
    </row>
    <row r="621" spans="3:3" x14ac:dyDescent="0.2">
      <c r="C621"/>
    </row>
    <row r="622" spans="3:3" x14ac:dyDescent="0.2">
      <c r="C622"/>
    </row>
    <row r="623" spans="3:3" x14ac:dyDescent="0.2">
      <c r="C623"/>
    </row>
    <row r="624" spans="3:3" x14ac:dyDescent="0.2">
      <c r="C624"/>
    </row>
    <row r="625" spans="3:3" x14ac:dyDescent="0.2">
      <c r="C625"/>
    </row>
    <row r="626" spans="3:3" x14ac:dyDescent="0.2">
      <c r="C626"/>
    </row>
    <row r="627" spans="3:3" x14ac:dyDescent="0.2">
      <c r="C627"/>
    </row>
    <row r="628" spans="3:3" x14ac:dyDescent="0.2">
      <c r="C628"/>
    </row>
    <row r="629" spans="3:3" x14ac:dyDescent="0.2">
      <c r="C629"/>
    </row>
    <row r="630" spans="3:3" x14ac:dyDescent="0.2">
      <c r="C630"/>
    </row>
    <row r="631" spans="3:3" x14ac:dyDescent="0.2">
      <c r="C631"/>
    </row>
    <row r="632" spans="3:3" x14ac:dyDescent="0.2">
      <c r="C632"/>
    </row>
    <row r="633" spans="3:3" x14ac:dyDescent="0.2">
      <c r="C633"/>
    </row>
    <row r="634" spans="3:3" x14ac:dyDescent="0.2">
      <c r="C634"/>
    </row>
    <row r="635" spans="3:3" x14ac:dyDescent="0.2">
      <c r="C635"/>
    </row>
    <row r="636" spans="3:3" x14ac:dyDescent="0.2">
      <c r="C636"/>
    </row>
    <row r="637" spans="3:3" x14ac:dyDescent="0.2">
      <c r="C637"/>
    </row>
    <row r="638" spans="3:3" x14ac:dyDescent="0.2">
      <c r="C638"/>
    </row>
    <row r="639" spans="3:3" x14ac:dyDescent="0.2">
      <c r="C639"/>
    </row>
    <row r="640" spans="3:3" x14ac:dyDescent="0.2">
      <c r="C640"/>
    </row>
    <row r="641" spans="3:3" x14ac:dyDescent="0.2">
      <c r="C641"/>
    </row>
    <row r="642" spans="3:3" x14ac:dyDescent="0.2">
      <c r="C642"/>
    </row>
    <row r="643" spans="3:3" x14ac:dyDescent="0.2">
      <c r="C643"/>
    </row>
    <row r="644" spans="3:3" x14ac:dyDescent="0.2">
      <c r="C644"/>
    </row>
    <row r="645" spans="3:3" x14ac:dyDescent="0.2">
      <c r="C645"/>
    </row>
    <row r="646" spans="3:3" x14ac:dyDescent="0.2">
      <c r="C646"/>
    </row>
    <row r="647" spans="3:3" x14ac:dyDescent="0.2">
      <c r="C647"/>
    </row>
    <row r="648" spans="3:3" x14ac:dyDescent="0.2">
      <c r="C648"/>
    </row>
    <row r="649" spans="3:3" x14ac:dyDescent="0.2">
      <c r="C649"/>
    </row>
    <row r="650" spans="3:3" x14ac:dyDescent="0.2">
      <c r="C650"/>
    </row>
    <row r="651" spans="3:3" x14ac:dyDescent="0.2">
      <c r="C651"/>
    </row>
    <row r="652" spans="3:3" x14ac:dyDescent="0.2">
      <c r="C652"/>
    </row>
    <row r="653" spans="3:3" x14ac:dyDescent="0.2">
      <c r="C653"/>
    </row>
    <row r="654" spans="3:3" x14ac:dyDescent="0.2">
      <c r="C654"/>
    </row>
    <row r="655" spans="3:3" x14ac:dyDescent="0.2">
      <c r="C655"/>
    </row>
    <row r="656" spans="3:3" x14ac:dyDescent="0.2">
      <c r="C656"/>
    </row>
    <row r="657" spans="3:3" x14ac:dyDescent="0.2">
      <c r="C657"/>
    </row>
    <row r="658" spans="3:3" x14ac:dyDescent="0.2">
      <c r="C658"/>
    </row>
    <row r="659" spans="3:3" x14ac:dyDescent="0.2">
      <c r="C659"/>
    </row>
    <row r="660" spans="3:3" x14ac:dyDescent="0.2">
      <c r="C660"/>
    </row>
    <row r="661" spans="3:3" x14ac:dyDescent="0.2">
      <c r="C661"/>
    </row>
    <row r="662" spans="3:3" x14ac:dyDescent="0.2">
      <c r="C662"/>
    </row>
    <row r="663" spans="3:3" x14ac:dyDescent="0.2">
      <c r="C663"/>
    </row>
    <row r="664" spans="3:3" x14ac:dyDescent="0.2">
      <c r="C664"/>
    </row>
    <row r="665" spans="3:3" x14ac:dyDescent="0.2">
      <c r="C665"/>
    </row>
    <row r="666" spans="3:3" x14ac:dyDescent="0.2">
      <c r="C666"/>
    </row>
    <row r="667" spans="3:3" x14ac:dyDescent="0.2">
      <c r="C667"/>
    </row>
    <row r="668" spans="3:3" x14ac:dyDescent="0.2">
      <c r="C668"/>
    </row>
    <row r="669" spans="3:3" x14ac:dyDescent="0.2">
      <c r="C669"/>
    </row>
    <row r="670" spans="3:3" x14ac:dyDescent="0.2">
      <c r="C670"/>
    </row>
    <row r="671" spans="3:3" x14ac:dyDescent="0.2">
      <c r="C671"/>
    </row>
    <row r="672" spans="3:3" x14ac:dyDescent="0.2">
      <c r="C672"/>
    </row>
    <row r="673" spans="3:3" x14ac:dyDescent="0.2">
      <c r="C673"/>
    </row>
    <row r="674" spans="3:3" x14ac:dyDescent="0.2">
      <c r="C674"/>
    </row>
    <row r="675" spans="3:3" x14ac:dyDescent="0.2">
      <c r="C675"/>
    </row>
    <row r="676" spans="3:3" x14ac:dyDescent="0.2">
      <c r="C676"/>
    </row>
    <row r="677" spans="3:3" x14ac:dyDescent="0.2">
      <c r="C677"/>
    </row>
    <row r="678" spans="3:3" x14ac:dyDescent="0.2">
      <c r="C678"/>
    </row>
    <row r="679" spans="3:3" x14ac:dyDescent="0.2">
      <c r="C679"/>
    </row>
    <row r="680" spans="3:3" x14ac:dyDescent="0.2">
      <c r="C680"/>
    </row>
    <row r="681" spans="3:3" x14ac:dyDescent="0.2">
      <c r="C681"/>
    </row>
    <row r="682" spans="3:3" x14ac:dyDescent="0.2">
      <c r="C682"/>
    </row>
    <row r="683" spans="3:3" x14ac:dyDescent="0.2">
      <c r="C683"/>
    </row>
    <row r="684" spans="3:3" x14ac:dyDescent="0.2">
      <c r="C684"/>
    </row>
    <row r="685" spans="3:3" x14ac:dyDescent="0.2">
      <c r="C685"/>
    </row>
    <row r="686" spans="3:3" x14ac:dyDescent="0.2">
      <c r="C686"/>
    </row>
    <row r="687" spans="3:3" x14ac:dyDescent="0.2">
      <c r="C687"/>
    </row>
    <row r="688" spans="3:3" x14ac:dyDescent="0.2">
      <c r="C688"/>
    </row>
    <row r="689" spans="3:3" x14ac:dyDescent="0.2">
      <c r="C689"/>
    </row>
    <row r="690" spans="3:3" x14ac:dyDescent="0.2">
      <c r="C690"/>
    </row>
    <row r="691" spans="3:3" x14ac:dyDescent="0.2">
      <c r="C691"/>
    </row>
    <row r="692" spans="3:3" x14ac:dyDescent="0.2">
      <c r="C692"/>
    </row>
    <row r="693" spans="3:3" x14ac:dyDescent="0.2">
      <c r="C693"/>
    </row>
    <row r="694" spans="3:3" x14ac:dyDescent="0.2">
      <c r="C694"/>
    </row>
    <row r="695" spans="3:3" x14ac:dyDescent="0.2">
      <c r="C695"/>
    </row>
    <row r="696" spans="3:3" x14ac:dyDescent="0.2">
      <c r="C696"/>
    </row>
    <row r="697" spans="3:3" x14ac:dyDescent="0.2">
      <c r="C697"/>
    </row>
    <row r="698" spans="3:3" x14ac:dyDescent="0.2">
      <c r="C698"/>
    </row>
    <row r="699" spans="3:3" x14ac:dyDescent="0.2">
      <c r="C699"/>
    </row>
    <row r="700" spans="3:3" x14ac:dyDescent="0.2">
      <c r="C700"/>
    </row>
    <row r="701" spans="3:3" x14ac:dyDescent="0.2">
      <c r="C701"/>
    </row>
    <row r="702" spans="3:3" x14ac:dyDescent="0.2">
      <c r="C702"/>
    </row>
    <row r="703" spans="3:3" x14ac:dyDescent="0.2">
      <c r="C703"/>
    </row>
    <row r="704" spans="3:3" x14ac:dyDescent="0.2">
      <c r="C704"/>
    </row>
    <row r="705" spans="3:3" x14ac:dyDescent="0.2">
      <c r="C705"/>
    </row>
    <row r="706" spans="3:3" x14ac:dyDescent="0.2">
      <c r="C706"/>
    </row>
    <row r="707" spans="3:3" x14ac:dyDescent="0.2">
      <c r="C707"/>
    </row>
    <row r="708" spans="3:3" x14ac:dyDescent="0.2">
      <c r="C708"/>
    </row>
    <row r="709" spans="3:3" x14ac:dyDescent="0.2">
      <c r="C709"/>
    </row>
    <row r="710" spans="3:3" x14ac:dyDescent="0.2">
      <c r="C710"/>
    </row>
    <row r="711" spans="3:3" x14ac:dyDescent="0.2">
      <c r="C711"/>
    </row>
    <row r="712" spans="3:3" x14ac:dyDescent="0.2">
      <c r="C712"/>
    </row>
    <row r="713" spans="3:3" x14ac:dyDescent="0.2">
      <c r="C713"/>
    </row>
    <row r="714" spans="3:3" x14ac:dyDescent="0.2">
      <c r="C714"/>
    </row>
    <row r="715" spans="3:3" x14ac:dyDescent="0.2">
      <c r="C715"/>
    </row>
    <row r="716" spans="3:3" x14ac:dyDescent="0.2">
      <c r="C716"/>
    </row>
    <row r="717" spans="3:3" x14ac:dyDescent="0.2">
      <c r="C717"/>
    </row>
    <row r="718" spans="3:3" x14ac:dyDescent="0.2">
      <c r="C718"/>
    </row>
    <row r="719" spans="3:3" x14ac:dyDescent="0.2">
      <c r="C719"/>
    </row>
    <row r="720" spans="3:3" x14ac:dyDescent="0.2">
      <c r="C720"/>
    </row>
    <row r="721" spans="3:3" x14ac:dyDescent="0.2">
      <c r="C721"/>
    </row>
    <row r="722" spans="3:3" x14ac:dyDescent="0.2">
      <c r="C722"/>
    </row>
    <row r="723" spans="3:3" x14ac:dyDescent="0.2">
      <c r="C723"/>
    </row>
    <row r="724" spans="3:3" x14ac:dyDescent="0.2">
      <c r="C724"/>
    </row>
    <row r="725" spans="3:3" x14ac:dyDescent="0.2">
      <c r="C725"/>
    </row>
    <row r="726" spans="3:3" x14ac:dyDescent="0.2">
      <c r="C726"/>
    </row>
    <row r="727" spans="3:3" x14ac:dyDescent="0.2">
      <c r="C727"/>
    </row>
    <row r="728" spans="3:3" x14ac:dyDescent="0.2">
      <c r="C728"/>
    </row>
    <row r="729" spans="3:3" x14ac:dyDescent="0.2">
      <c r="C729"/>
    </row>
    <row r="730" spans="3:3" x14ac:dyDescent="0.2">
      <c r="C730"/>
    </row>
    <row r="731" spans="3:3" x14ac:dyDescent="0.2">
      <c r="C731"/>
    </row>
    <row r="732" spans="3:3" x14ac:dyDescent="0.2">
      <c r="C732"/>
    </row>
    <row r="733" spans="3:3" x14ac:dyDescent="0.2">
      <c r="C733"/>
    </row>
    <row r="734" spans="3:3" x14ac:dyDescent="0.2">
      <c r="C734"/>
    </row>
    <row r="735" spans="3:3" x14ac:dyDescent="0.2">
      <c r="C735"/>
    </row>
    <row r="736" spans="3:3" x14ac:dyDescent="0.2">
      <c r="C736"/>
    </row>
    <row r="737" spans="3:3" x14ac:dyDescent="0.2">
      <c r="C737"/>
    </row>
    <row r="738" spans="3:3" x14ac:dyDescent="0.2">
      <c r="C738"/>
    </row>
    <row r="739" spans="3:3" x14ac:dyDescent="0.2">
      <c r="C739"/>
    </row>
    <row r="740" spans="3:3" x14ac:dyDescent="0.2">
      <c r="C740"/>
    </row>
    <row r="741" spans="3:3" x14ac:dyDescent="0.2">
      <c r="C741"/>
    </row>
    <row r="742" spans="3:3" x14ac:dyDescent="0.2">
      <c r="C742"/>
    </row>
    <row r="743" spans="3:3" x14ac:dyDescent="0.2">
      <c r="C743"/>
    </row>
    <row r="744" spans="3:3" x14ac:dyDescent="0.2">
      <c r="C744"/>
    </row>
    <row r="745" spans="3:3" x14ac:dyDescent="0.2">
      <c r="C745"/>
    </row>
    <row r="746" spans="3:3" x14ac:dyDescent="0.2">
      <c r="C746"/>
    </row>
    <row r="747" spans="3:3" x14ac:dyDescent="0.2">
      <c r="C747"/>
    </row>
    <row r="748" spans="3:3" x14ac:dyDescent="0.2">
      <c r="C748"/>
    </row>
    <row r="749" spans="3:3" x14ac:dyDescent="0.2">
      <c r="C749"/>
    </row>
    <row r="750" spans="3:3" x14ac:dyDescent="0.2">
      <c r="C750"/>
    </row>
    <row r="751" spans="3:3" x14ac:dyDescent="0.2">
      <c r="C751"/>
    </row>
    <row r="752" spans="3:3" x14ac:dyDescent="0.2">
      <c r="C752"/>
    </row>
    <row r="753" spans="3:3" x14ac:dyDescent="0.2">
      <c r="C753"/>
    </row>
    <row r="754" spans="3:3" x14ac:dyDescent="0.2">
      <c r="C754"/>
    </row>
    <row r="755" spans="3:3" x14ac:dyDescent="0.2">
      <c r="C755"/>
    </row>
    <row r="756" spans="3:3" x14ac:dyDescent="0.2">
      <c r="C756"/>
    </row>
    <row r="757" spans="3:3" x14ac:dyDescent="0.2">
      <c r="C757"/>
    </row>
    <row r="758" spans="3:3" x14ac:dyDescent="0.2">
      <c r="C758"/>
    </row>
    <row r="759" spans="3:3" x14ac:dyDescent="0.2">
      <c r="C759"/>
    </row>
    <row r="760" spans="3:3" x14ac:dyDescent="0.2">
      <c r="C760"/>
    </row>
    <row r="761" spans="3:3" x14ac:dyDescent="0.2">
      <c r="C761"/>
    </row>
    <row r="762" spans="3:3" x14ac:dyDescent="0.2">
      <c r="C762"/>
    </row>
    <row r="763" spans="3:3" x14ac:dyDescent="0.2">
      <c r="C763"/>
    </row>
    <row r="764" spans="3:3" x14ac:dyDescent="0.2">
      <c r="C764"/>
    </row>
    <row r="765" spans="3:3" x14ac:dyDescent="0.2">
      <c r="C765"/>
    </row>
    <row r="766" spans="3:3" x14ac:dyDescent="0.2">
      <c r="C766"/>
    </row>
    <row r="767" spans="3:3" x14ac:dyDescent="0.2">
      <c r="C767"/>
    </row>
    <row r="768" spans="3:3" x14ac:dyDescent="0.2">
      <c r="C768"/>
    </row>
    <row r="769" spans="3:3" x14ac:dyDescent="0.2">
      <c r="C769"/>
    </row>
    <row r="770" spans="3:3" x14ac:dyDescent="0.2">
      <c r="C770"/>
    </row>
    <row r="771" spans="3:3" x14ac:dyDescent="0.2">
      <c r="C771"/>
    </row>
    <row r="772" spans="3:3" x14ac:dyDescent="0.2">
      <c r="C772"/>
    </row>
    <row r="773" spans="3:3" x14ac:dyDescent="0.2">
      <c r="C773"/>
    </row>
    <row r="774" spans="3:3" x14ac:dyDescent="0.2">
      <c r="C774"/>
    </row>
    <row r="775" spans="3:3" x14ac:dyDescent="0.2">
      <c r="C775"/>
    </row>
    <row r="776" spans="3:3" x14ac:dyDescent="0.2">
      <c r="C776"/>
    </row>
    <row r="777" spans="3:3" x14ac:dyDescent="0.2">
      <c r="C777"/>
    </row>
    <row r="778" spans="3:3" x14ac:dyDescent="0.2">
      <c r="C778"/>
    </row>
    <row r="779" spans="3:3" x14ac:dyDescent="0.2">
      <c r="C779"/>
    </row>
    <row r="780" spans="3:3" x14ac:dyDescent="0.2">
      <c r="C780"/>
    </row>
    <row r="781" spans="3:3" x14ac:dyDescent="0.2">
      <c r="C781"/>
    </row>
    <row r="782" spans="3:3" x14ac:dyDescent="0.2">
      <c r="C782"/>
    </row>
    <row r="783" spans="3:3" x14ac:dyDescent="0.2">
      <c r="C783"/>
    </row>
    <row r="784" spans="3:3" x14ac:dyDescent="0.2">
      <c r="C784"/>
    </row>
    <row r="785" spans="3:3" x14ac:dyDescent="0.2">
      <c r="C785"/>
    </row>
    <row r="786" spans="3:3" x14ac:dyDescent="0.2">
      <c r="C786"/>
    </row>
    <row r="787" spans="3:3" x14ac:dyDescent="0.2">
      <c r="C787"/>
    </row>
    <row r="788" spans="3:3" x14ac:dyDescent="0.2">
      <c r="C788"/>
    </row>
    <row r="789" spans="3:3" x14ac:dyDescent="0.2">
      <c r="C789"/>
    </row>
    <row r="790" spans="3:3" x14ac:dyDescent="0.2">
      <c r="C790"/>
    </row>
    <row r="791" spans="3:3" x14ac:dyDescent="0.2">
      <c r="C791"/>
    </row>
    <row r="792" spans="3:3" x14ac:dyDescent="0.2">
      <c r="C792"/>
    </row>
    <row r="793" spans="3:3" x14ac:dyDescent="0.2">
      <c r="C793"/>
    </row>
    <row r="794" spans="3:3" x14ac:dyDescent="0.2">
      <c r="C794"/>
    </row>
    <row r="795" spans="3:3" x14ac:dyDescent="0.2">
      <c r="C795"/>
    </row>
    <row r="796" spans="3:3" x14ac:dyDescent="0.2">
      <c r="C796"/>
    </row>
    <row r="797" spans="3:3" x14ac:dyDescent="0.2">
      <c r="C797"/>
    </row>
    <row r="798" spans="3:3" x14ac:dyDescent="0.2">
      <c r="C798"/>
    </row>
    <row r="799" spans="3:3" x14ac:dyDescent="0.2">
      <c r="C799"/>
    </row>
    <row r="800" spans="3:3" x14ac:dyDescent="0.2">
      <c r="C800"/>
    </row>
    <row r="801" spans="3:3" x14ac:dyDescent="0.2">
      <c r="C801"/>
    </row>
    <row r="802" spans="3:3" x14ac:dyDescent="0.2">
      <c r="C802"/>
    </row>
    <row r="803" spans="3:3" x14ac:dyDescent="0.2">
      <c r="C803"/>
    </row>
    <row r="804" spans="3:3" x14ac:dyDescent="0.2">
      <c r="C804"/>
    </row>
    <row r="805" spans="3:3" x14ac:dyDescent="0.2">
      <c r="C805"/>
    </row>
    <row r="806" spans="3:3" x14ac:dyDescent="0.2">
      <c r="C806"/>
    </row>
    <row r="807" spans="3:3" x14ac:dyDescent="0.2">
      <c r="C807"/>
    </row>
    <row r="808" spans="3:3" x14ac:dyDescent="0.2">
      <c r="C808"/>
    </row>
    <row r="809" spans="3:3" x14ac:dyDescent="0.2">
      <c r="C809"/>
    </row>
    <row r="810" spans="3:3" x14ac:dyDescent="0.2">
      <c r="C810"/>
    </row>
    <row r="811" spans="3:3" x14ac:dyDescent="0.2">
      <c r="C811"/>
    </row>
    <row r="812" spans="3:3" x14ac:dyDescent="0.2">
      <c r="C812"/>
    </row>
    <row r="813" spans="3:3" x14ac:dyDescent="0.2">
      <c r="C813"/>
    </row>
    <row r="814" spans="3:3" x14ac:dyDescent="0.2">
      <c r="C814"/>
    </row>
    <row r="815" spans="3:3" x14ac:dyDescent="0.2">
      <c r="C815"/>
    </row>
    <row r="816" spans="3:3" x14ac:dyDescent="0.2">
      <c r="C816"/>
    </row>
    <row r="817" spans="3:3" x14ac:dyDescent="0.2">
      <c r="C817"/>
    </row>
    <row r="818" spans="3:3" x14ac:dyDescent="0.2">
      <c r="C818"/>
    </row>
    <row r="819" spans="3:3" x14ac:dyDescent="0.2">
      <c r="C819"/>
    </row>
    <row r="820" spans="3:3" x14ac:dyDescent="0.2">
      <c r="C820"/>
    </row>
    <row r="821" spans="3:3" x14ac:dyDescent="0.2">
      <c r="C821"/>
    </row>
    <row r="822" spans="3:3" x14ac:dyDescent="0.2">
      <c r="C822"/>
    </row>
    <row r="823" spans="3:3" x14ac:dyDescent="0.2">
      <c r="C823"/>
    </row>
    <row r="824" spans="3:3" x14ac:dyDescent="0.2">
      <c r="C824"/>
    </row>
    <row r="825" spans="3:3" x14ac:dyDescent="0.2">
      <c r="C825"/>
    </row>
    <row r="826" spans="3:3" x14ac:dyDescent="0.2">
      <c r="C826"/>
    </row>
    <row r="827" spans="3:3" x14ac:dyDescent="0.2">
      <c r="C827"/>
    </row>
    <row r="828" spans="3:3" x14ac:dyDescent="0.2">
      <c r="C828"/>
    </row>
    <row r="829" spans="3:3" x14ac:dyDescent="0.2">
      <c r="C829"/>
    </row>
    <row r="830" spans="3:3" x14ac:dyDescent="0.2">
      <c r="C830"/>
    </row>
    <row r="831" spans="3:3" x14ac:dyDescent="0.2">
      <c r="C831"/>
    </row>
    <row r="832" spans="3:3" x14ac:dyDescent="0.2">
      <c r="C832"/>
    </row>
    <row r="833" spans="3:3" x14ac:dyDescent="0.2">
      <c r="C833"/>
    </row>
    <row r="834" spans="3:3" x14ac:dyDescent="0.2">
      <c r="C834"/>
    </row>
    <row r="835" spans="3:3" x14ac:dyDescent="0.2">
      <c r="C835"/>
    </row>
    <row r="836" spans="3:3" x14ac:dyDescent="0.2">
      <c r="C836"/>
    </row>
    <row r="837" spans="3:3" x14ac:dyDescent="0.2">
      <c r="C837"/>
    </row>
    <row r="838" spans="3:3" x14ac:dyDescent="0.2">
      <c r="C838"/>
    </row>
    <row r="839" spans="3:3" x14ac:dyDescent="0.2">
      <c r="C839"/>
    </row>
    <row r="840" spans="3:3" x14ac:dyDescent="0.2">
      <c r="C840"/>
    </row>
    <row r="841" spans="3:3" x14ac:dyDescent="0.2">
      <c r="C841"/>
    </row>
    <row r="842" spans="3:3" x14ac:dyDescent="0.2">
      <c r="C842"/>
    </row>
    <row r="843" spans="3:3" x14ac:dyDescent="0.2">
      <c r="C843"/>
    </row>
    <row r="844" spans="3:3" x14ac:dyDescent="0.2">
      <c r="C844"/>
    </row>
    <row r="845" spans="3:3" x14ac:dyDescent="0.2">
      <c r="C845"/>
    </row>
    <row r="846" spans="3:3" x14ac:dyDescent="0.2">
      <c r="C846"/>
    </row>
    <row r="847" spans="3:3" x14ac:dyDescent="0.2">
      <c r="C847"/>
    </row>
    <row r="848" spans="3:3" x14ac:dyDescent="0.2">
      <c r="C848"/>
    </row>
    <row r="849" spans="3:3" x14ac:dyDescent="0.2">
      <c r="C849"/>
    </row>
    <row r="850" spans="3:3" x14ac:dyDescent="0.2">
      <c r="C850"/>
    </row>
    <row r="851" spans="3:3" x14ac:dyDescent="0.2">
      <c r="C851"/>
    </row>
    <row r="852" spans="3:3" x14ac:dyDescent="0.2">
      <c r="C852"/>
    </row>
    <row r="853" spans="3:3" x14ac:dyDescent="0.2">
      <c r="C853"/>
    </row>
    <row r="854" spans="3:3" x14ac:dyDescent="0.2">
      <c r="C854"/>
    </row>
    <row r="855" spans="3:3" x14ac:dyDescent="0.2">
      <c r="C855"/>
    </row>
    <row r="856" spans="3:3" x14ac:dyDescent="0.2">
      <c r="C856"/>
    </row>
    <row r="857" spans="3:3" x14ac:dyDescent="0.2">
      <c r="C857"/>
    </row>
    <row r="858" spans="3:3" x14ac:dyDescent="0.2">
      <c r="C858"/>
    </row>
    <row r="859" spans="3:3" x14ac:dyDescent="0.2">
      <c r="C859"/>
    </row>
    <row r="860" spans="3:3" x14ac:dyDescent="0.2">
      <c r="C860"/>
    </row>
    <row r="861" spans="3:3" x14ac:dyDescent="0.2">
      <c r="C861"/>
    </row>
    <row r="862" spans="3:3" x14ac:dyDescent="0.2">
      <c r="C862"/>
    </row>
    <row r="863" spans="3:3" x14ac:dyDescent="0.2">
      <c r="C863"/>
    </row>
    <row r="864" spans="3:3" x14ac:dyDescent="0.2">
      <c r="C864"/>
    </row>
    <row r="865" spans="3:3" x14ac:dyDescent="0.2">
      <c r="C865"/>
    </row>
    <row r="866" spans="3:3" x14ac:dyDescent="0.2">
      <c r="C866"/>
    </row>
    <row r="867" spans="3:3" x14ac:dyDescent="0.2">
      <c r="C867"/>
    </row>
    <row r="868" spans="3:3" x14ac:dyDescent="0.2">
      <c r="C868"/>
    </row>
    <row r="869" spans="3:3" x14ac:dyDescent="0.2">
      <c r="C869"/>
    </row>
    <row r="870" spans="3:3" x14ac:dyDescent="0.2">
      <c r="C870"/>
    </row>
    <row r="871" spans="3:3" x14ac:dyDescent="0.2">
      <c r="C871"/>
    </row>
    <row r="872" spans="3:3" x14ac:dyDescent="0.2">
      <c r="C872"/>
    </row>
    <row r="873" spans="3:3" x14ac:dyDescent="0.2">
      <c r="C873"/>
    </row>
    <row r="874" spans="3:3" x14ac:dyDescent="0.2">
      <c r="C874"/>
    </row>
    <row r="875" spans="3:3" x14ac:dyDescent="0.2">
      <c r="C875"/>
    </row>
    <row r="876" spans="3:3" x14ac:dyDescent="0.2">
      <c r="C876"/>
    </row>
    <row r="877" spans="3:3" x14ac:dyDescent="0.2">
      <c r="C877"/>
    </row>
    <row r="878" spans="3:3" x14ac:dyDescent="0.2">
      <c r="C878"/>
    </row>
    <row r="879" spans="3:3" x14ac:dyDescent="0.2">
      <c r="C879"/>
    </row>
    <row r="880" spans="3:3" x14ac:dyDescent="0.2">
      <c r="C880"/>
    </row>
    <row r="881" spans="3:3" x14ac:dyDescent="0.2">
      <c r="C881"/>
    </row>
    <row r="882" spans="3:3" x14ac:dyDescent="0.2">
      <c r="C882"/>
    </row>
    <row r="883" spans="3:3" x14ac:dyDescent="0.2">
      <c r="C883"/>
    </row>
    <row r="884" spans="3:3" x14ac:dyDescent="0.2">
      <c r="C884"/>
    </row>
    <row r="885" spans="3:3" x14ac:dyDescent="0.2">
      <c r="C885"/>
    </row>
    <row r="886" spans="3:3" x14ac:dyDescent="0.2">
      <c r="C886"/>
    </row>
    <row r="887" spans="3:3" x14ac:dyDescent="0.2">
      <c r="C887"/>
    </row>
    <row r="888" spans="3:3" x14ac:dyDescent="0.2">
      <c r="C888"/>
    </row>
    <row r="889" spans="3:3" x14ac:dyDescent="0.2">
      <c r="C889"/>
    </row>
    <row r="890" spans="3:3" x14ac:dyDescent="0.2">
      <c r="C890"/>
    </row>
    <row r="891" spans="3:3" x14ac:dyDescent="0.2">
      <c r="C891"/>
    </row>
    <row r="892" spans="3:3" x14ac:dyDescent="0.2">
      <c r="C892"/>
    </row>
    <row r="893" spans="3:3" x14ac:dyDescent="0.2">
      <c r="C893"/>
    </row>
    <row r="894" spans="3:3" x14ac:dyDescent="0.2">
      <c r="C894"/>
    </row>
    <row r="895" spans="3:3" x14ac:dyDescent="0.2">
      <c r="C895"/>
    </row>
    <row r="896" spans="3:3" x14ac:dyDescent="0.2">
      <c r="C896"/>
    </row>
    <row r="897" spans="3:3" x14ac:dyDescent="0.2">
      <c r="C897"/>
    </row>
    <row r="898" spans="3:3" x14ac:dyDescent="0.2">
      <c r="C898"/>
    </row>
    <row r="899" spans="3:3" x14ac:dyDescent="0.2">
      <c r="C899"/>
    </row>
    <row r="900" spans="3:3" x14ac:dyDescent="0.2">
      <c r="C900"/>
    </row>
    <row r="901" spans="3:3" x14ac:dyDescent="0.2">
      <c r="C901"/>
    </row>
    <row r="902" spans="3:3" x14ac:dyDescent="0.2">
      <c r="C902"/>
    </row>
    <row r="903" spans="3:3" x14ac:dyDescent="0.2">
      <c r="C903"/>
    </row>
    <row r="904" spans="3:3" x14ac:dyDescent="0.2">
      <c r="C904"/>
    </row>
    <row r="905" spans="3:3" x14ac:dyDescent="0.2">
      <c r="C905"/>
    </row>
    <row r="906" spans="3:3" x14ac:dyDescent="0.2">
      <c r="C906"/>
    </row>
    <row r="907" spans="3:3" x14ac:dyDescent="0.2">
      <c r="C907"/>
    </row>
    <row r="908" spans="3:3" x14ac:dyDescent="0.2">
      <c r="C908"/>
    </row>
    <row r="909" spans="3:3" x14ac:dyDescent="0.2">
      <c r="C909"/>
    </row>
    <row r="910" spans="3:3" x14ac:dyDescent="0.2">
      <c r="C910"/>
    </row>
    <row r="911" spans="3:3" x14ac:dyDescent="0.2">
      <c r="C911"/>
    </row>
    <row r="912" spans="3:3" x14ac:dyDescent="0.2">
      <c r="C912"/>
    </row>
    <row r="913" spans="3:3" x14ac:dyDescent="0.2">
      <c r="C913"/>
    </row>
    <row r="914" spans="3:3" x14ac:dyDescent="0.2">
      <c r="C914"/>
    </row>
    <row r="915" spans="3:3" x14ac:dyDescent="0.2">
      <c r="C915"/>
    </row>
    <row r="916" spans="3:3" x14ac:dyDescent="0.2">
      <c r="C916"/>
    </row>
    <row r="917" spans="3:3" x14ac:dyDescent="0.2">
      <c r="C917"/>
    </row>
    <row r="918" spans="3:3" x14ac:dyDescent="0.2">
      <c r="C918"/>
    </row>
    <row r="919" spans="3:3" x14ac:dyDescent="0.2">
      <c r="C919"/>
    </row>
    <row r="920" spans="3:3" x14ac:dyDescent="0.2">
      <c r="C920"/>
    </row>
    <row r="921" spans="3:3" x14ac:dyDescent="0.2">
      <c r="C921"/>
    </row>
    <row r="922" spans="3:3" x14ac:dyDescent="0.2">
      <c r="C922"/>
    </row>
    <row r="923" spans="3:3" x14ac:dyDescent="0.2">
      <c r="C923"/>
    </row>
    <row r="924" spans="3:3" x14ac:dyDescent="0.2">
      <c r="C924"/>
    </row>
    <row r="925" spans="3:3" x14ac:dyDescent="0.2">
      <c r="C925"/>
    </row>
    <row r="926" spans="3:3" x14ac:dyDescent="0.2">
      <c r="C926"/>
    </row>
    <row r="927" spans="3:3" x14ac:dyDescent="0.2">
      <c r="C927"/>
    </row>
    <row r="928" spans="3:3" x14ac:dyDescent="0.2">
      <c r="C928"/>
    </row>
    <row r="929" spans="3:3" x14ac:dyDescent="0.2">
      <c r="C929"/>
    </row>
    <row r="930" spans="3:3" x14ac:dyDescent="0.2">
      <c r="C930"/>
    </row>
    <row r="931" spans="3:3" x14ac:dyDescent="0.2">
      <c r="C931"/>
    </row>
    <row r="932" spans="3:3" x14ac:dyDescent="0.2">
      <c r="C932"/>
    </row>
    <row r="933" spans="3:3" x14ac:dyDescent="0.2">
      <c r="C933"/>
    </row>
    <row r="934" spans="3:3" x14ac:dyDescent="0.2">
      <c r="C934"/>
    </row>
    <row r="935" spans="3:3" x14ac:dyDescent="0.2">
      <c r="C935"/>
    </row>
    <row r="936" spans="3:3" x14ac:dyDescent="0.2">
      <c r="C936"/>
    </row>
    <row r="937" spans="3:3" x14ac:dyDescent="0.2">
      <c r="C937"/>
    </row>
    <row r="938" spans="3:3" x14ac:dyDescent="0.2">
      <c r="C938"/>
    </row>
    <row r="939" spans="3:3" x14ac:dyDescent="0.2">
      <c r="C939"/>
    </row>
    <row r="940" spans="3:3" x14ac:dyDescent="0.2">
      <c r="C940"/>
    </row>
    <row r="941" spans="3:3" x14ac:dyDescent="0.2">
      <c r="C941"/>
    </row>
    <row r="942" spans="3:3" x14ac:dyDescent="0.2">
      <c r="C942"/>
    </row>
    <row r="943" spans="3:3" x14ac:dyDescent="0.2">
      <c r="C943"/>
    </row>
    <row r="944" spans="3:3" x14ac:dyDescent="0.2">
      <c r="C944"/>
    </row>
    <row r="945" spans="3:3" x14ac:dyDescent="0.2">
      <c r="C945"/>
    </row>
    <row r="946" spans="3:3" x14ac:dyDescent="0.2">
      <c r="C946"/>
    </row>
    <row r="947" spans="3:3" x14ac:dyDescent="0.2">
      <c r="C947"/>
    </row>
    <row r="948" spans="3:3" x14ac:dyDescent="0.2">
      <c r="C948"/>
    </row>
    <row r="949" spans="3:3" x14ac:dyDescent="0.2">
      <c r="C949"/>
    </row>
    <row r="950" spans="3:3" x14ac:dyDescent="0.2">
      <c r="C950"/>
    </row>
    <row r="951" spans="3:3" x14ac:dyDescent="0.2">
      <c r="C951"/>
    </row>
    <row r="952" spans="3:3" x14ac:dyDescent="0.2">
      <c r="C952"/>
    </row>
    <row r="953" spans="3:3" x14ac:dyDescent="0.2">
      <c r="C953"/>
    </row>
    <row r="954" spans="3:3" x14ac:dyDescent="0.2">
      <c r="C954"/>
    </row>
    <row r="955" spans="3:3" x14ac:dyDescent="0.2">
      <c r="C955"/>
    </row>
    <row r="956" spans="3:3" x14ac:dyDescent="0.2">
      <c r="C956"/>
    </row>
    <row r="957" spans="3:3" x14ac:dyDescent="0.2">
      <c r="C957"/>
    </row>
    <row r="958" spans="3:3" x14ac:dyDescent="0.2">
      <c r="C958"/>
    </row>
    <row r="959" spans="3:3" x14ac:dyDescent="0.2">
      <c r="C959"/>
    </row>
    <row r="960" spans="3:3" x14ac:dyDescent="0.2">
      <c r="C960"/>
    </row>
    <row r="961" spans="3:3" x14ac:dyDescent="0.2">
      <c r="C961"/>
    </row>
    <row r="962" spans="3:3" x14ac:dyDescent="0.2">
      <c r="C962"/>
    </row>
    <row r="963" spans="3:3" x14ac:dyDescent="0.2">
      <c r="C963"/>
    </row>
    <row r="964" spans="3:3" x14ac:dyDescent="0.2">
      <c r="C964"/>
    </row>
    <row r="965" spans="3:3" x14ac:dyDescent="0.2">
      <c r="C965"/>
    </row>
    <row r="966" spans="3:3" x14ac:dyDescent="0.2">
      <c r="C966"/>
    </row>
    <row r="967" spans="3:3" x14ac:dyDescent="0.2">
      <c r="C967"/>
    </row>
    <row r="968" spans="3:3" x14ac:dyDescent="0.2">
      <c r="C968"/>
    </row>
    <row r="969" spans="3:3" x14ac:dyDescent="0.2">
      <c r="C969"/>
    </row>
    <row r="970" spans="3:3" x14ac:dyDescent="0.2">
      <c r="C970"/>
    </row>
    <row r="971" spans="3:3" x14ac:dyDescent="0.2">
      <c r="C971"/>
    </row>
    <row r="972" spans="3:3" x14ac:dyDescent="0.2">
      <c r="C972"/>
    </row>
    <row r="973" spans="3:3" x14ac:dyDescent="0.2">
      <c r="C973"/>
    </row>
    <row r="974" spans="3:3" x14ac:dyDescent="0.2">
      <c r="C974"/>
    </row>
    <row r="975" spans="3:3" x14ac:dyDescent="0.2">
      <c r="C975"/>
    </row>
    <row r="976" spans="3:3" x14ac:dyDescent="0.2">
      <c r="C976"/>
    </row>
    <row r="977" spans="3:3" x14ac:dyDescent="0.2">
      <c r="C977"/>
    </row>
    <row r="978" spans="3:3" x14ac:dyDescent="0.2">
      <c r="C978"/>
    </row>
    <row r="979" spans="3:3" x14ac:dyDescent="0.2">
      <c r="C979"/>
    </row>
    <row r="980" spans="3:3" x14ac:dyDescent="0.2">
      <c r="C980"/>
    </row>
    <row r="981" spans="3:3" x14ac:dyDescent="0.2">
      <c r="C981"/>
    </row>
    <row r="982" spans="3:3" x14ac:dyDescent="0.2">
      <c r="C982"/>
    </row>
    <row r="983" spans="3:3" x14ac:dyDescent="0.2">
      <c r="C983"/>
    </row>
    <row r="984" spans="3:3" x14ac:dyDescent="0.2">
      <c r="C984"/>
    </row>
    <row r="985" spans="3:3" x14ac:dyDescent="0.2">
      <c r="C985"/>
    </row>
    <row r="986" spans="3:3" x14ac:dyDescent="0.2">
      <c r="C986"/>
    </row>
    <row r="987" spans="3:3" x14ac:dyDescent="0.2">
      <c r="C987"/>
    </row>
    <row r="988" spans="3:3" x14ac:dyDescent="0.2">
      <c r="C988"/>
    </row>
    <row r="989" spans="3:3" x14ac:dyDescent="0.2">
      <c r="C989"/>
    </row>
    <row r="990" spans="3:3" x14ac:dyDescent="0.2">
      <c r="C990"/>
    </row>
    <row r="991" spans="3:3" x14ac:dyDescent="0.2">
      <c r="C991"/>
    </row>
    <row r="992" spans="3:3" x14ac:dyDescent="0.2">
      <c r="C992"/>
    </row>
    <row r="993" spans="3:3" x14ac:dyDescent="0.2">
      <c r="C993"/>
    </row>
    <row r="994" spans="3:3" x14ac:dyDescent="0.2">
      <c r="C994"/>
    </row>
    <row r="995" spans="3:3" x14ac:dyDescent="0.2">
      <c r="C995"/>
    </row>
    <row r="996" spans="3:3" x14ac:dyDescent="0.2">
      <c r="C996"/>
    </row>
    <row r="997" spans="3:3" x14ac:dyDescent="0.2">
      <c r="C997"/>
    </row>
    <row r="998" spans="3:3" x14ac:dyDescent="0.2">
      <c r="C998"/>
    </row>
    <row r="999" spans="3:3" x14ac:dyDescent="0.2">
      <c r="C999"/>
    </row>
    <row r="1000" spans="3:3" x14ac:dyDescent="0.2">
      <c r="C1000"/>
    </row>
    <row r="1001" spans="3:3" x14ac:dyDescent="0.2">
      <c r="C1001"/>
    </row>
    <row r="1002" spans="3:3" x14ac:dyDescent="0.2">
      <c r="C1002"/>
    </row>
    <row r="1003" spans="3:3" x14ac:dyDescent="0.2">
      <c r="C1003"/>
    </row>
    <row r="1004" spans="3:3" x14ac:dyDescent="0.2">
      <c r="C1004"/>
    </row>
    <row r="1005" spans="3:3" x14ac:dyDescent="0.2">
      <c r="C1005"/>
    </row>
    <row r="1006" spans="3:3" x14ac:dyDescent="0.2">
      <c r="C1006"/>
    </row>
    <row r="1007" spans="3:3" x14ac:dyDescent="0.2">
      <c r="C1007"/>
    </row>
    <row r="1008" spans="3:3" x14ac:dyDescent="0.2">
      <c r="C1008"/>
    </row>
    <row r="1009" spans="3:3" x14ac:dyDescent="0.2">
      <c r="C1009"/>
    </row>
    <row r="1010" spans="3:3" x14ac:dyDescent="0.2">
      <c r="C1010"/>
    </row>
    <row r="1011" spans="3:3" x14ac:dyDescent="0.2">
      <c r="C1011"/>
    </row>
    <row r="1012" spans="3:3" x14ac:dyDescent="0.2">
      <c r="C1012"/>
    </row>
    <row r="1013" spans="3:3" x14ac:dyDescent="0.2">
      <c r="C1013"/>
    </row>
    <row r="1014" spans="3:3" x14ac:dyDescent="0.2">
      <c r="C1014"/>
    </row>
    <row r="1015" spans="3:3" x14ac:dyDescent="0.2">
      <c r="C1015"/>
    </row>
    <row r="1016" spans="3:3" x14ac:dyDescent="0.2">
      <c r="C1016"/>
    </row>
    <row r="1017" spans="3:3" x14ac:dyDescent="0.2">
      <c r="C1017"/>
    </row>
    <row r="1018" spans="3:3" x14ac:dyDescent="0.2">
      <c r="C1018"/>
    </row>
    <row r="1019" spans="3:3" x14ac:dyDescent="0.2">
      <c r="C1019"/>
    </row>
    <row r="1020" spans="3:3" x14ac:dyDescent="0.2">
      <c r="C1020"/>
    </row>
    <row r="1021" spans="3:3" x14ac:dyDescent="0.2">
      <c r="C1021"/>
    </row>
    <row r="1022" spans="3:3" x14ac:dyDescent="0.2">
      <c r="C1022"/>
    </row>
    <row r="1023" spans="3:3" x14ac:dyDescent="0.2">
      <c r="C1023"/>
    </row>
    <row r="1024" spans="3:3" x14ac:dyDescent="0.2">
      <c r="C1024"/>
    </row>
    <row r="1025" spans="3:3" x14ac:dyDescent="0.2">
      <c r="C1025"/>
    </row>
    <row r="1026" spans="3:3" x14ac:dyDescent="0.2">
      <c r="C1026"/>
    </row>
    <row r="1027" spans="3:3" x14ac:dyDescent="0.2">
      <c r="C1027"/>
    </row>
    <row r="1028" spans="3:3" x14ac:dyDescent="0.2">
      <c r="C1028"/>
    </row>
    <row r="1029" spans="3:3" x14ac:dyDescent="0.2">
      <c r="C1029"/>
    </row>
    <row r="1030" spans="3:3" x14ac:dyDescent="0.2">
      <c r="C1030"/>
    </row>
    <row r="1031" spans="3:3" x14ac:dyDescent="0.2">
      <c r="C1031"/>
    </row>
    <row r="1032" spans="3:3" x14ac:dyDescent="0.2">
      <c r="C1032"/>
    </row>
    <row r="1033" spans="3:3" x14ac:dyDescent="0.2">
      <c r="C1033"/>
    </row>
    <row r="1034" spans="3:3" x14ac:dyDescent="0.2">
      <c r="C1034"/>
    </row>
    <row r="1035" spans="3:3" x14ac:dyDescent="0.2">
      <c r="C1035"/>
    </row>
    <row r="1036" spans="3:3" x14ac:dyDescent="0.2">
      <c r="C1036"/>
    </row>
    <row r="1037" spans="3:3" x14ac:dyDescent="0.2">
      <c r="C1037"/>
    </row>
    <row r="1038" spans="3:3" x14ac:dyDescent="0.2">
      <c r="C1038"/>
    </row>
    <row r="1039" spans="3:3" x14ac:dyDescent="0.2">
      <c r="C1039"/>
    </row>
    <row r="1040" spans="3:3" x14ac:dyDescent="0.2">
      <c r="C1040"/>
    </row>
    <row r="1041" spans="3:3" x14ac:dyDescent="0.2">
      <c r="C1041"/>
    </row>
    <row r="1042" spans="3:3" x14ac:dyDescent="0.2">
      <c r="C1042"/>
    </row>
    <row r="1043" spans="3:3" x14ac:dyDescent="0.2">
      <c r="C1043"/>
    </row>
    <row r="1044" spans="3:3" x14ac:dyDescent="0.2">
      <c r="C1044"/>
    </row>
    <row r="1045" spans="3:3" x14ac:dyDescent="0.2">
      <c r="C1045"/>
    </row>
    <row r="1046" spans="3:3" x14ac:dyDescent="0.2">
      <c r="C1046"/>
    </row>
    <row r="1047" spans="3:3" x14ac:dyDescent="0.2">
      <c r="C1047"/>
    </row>
    <row r="1048" spans="3:3" x14ac:dyDescent="0.2">
      <c r="C1048"/>
    </row>
    <row r="1049" spans="3:3" x14ac:dyDescent="0.2">
      <c r="C1049"/>
    </row>
    <row r="1050" spans="3:3" x14ac:dyDescent="0.2">
      <c r="C1050"/>
    </row>
    <row r="1051" spans="3:3" x14ac:dyDescent="0.2">
      <c r="C1051"/>
    </row>
    <row r="1052" spans="3:3" x14ac:dyDescent="0.2">
      <c r="C1052"/>
    </row>
    <row r="1053" spans="3:3" x14ac:dyDescent="0.2">
      <c r="C1053"/>
    </row>
    <row r="1054" spans="3:3" x14ac:dyDescent="0.2">
      <c r="C1054"/>
    </row>
    <row r="1055" spans="3:3" x14ac:dyDescent="0.2">
      <c r="C1055"/>
    </row>
    <row r="1056" spans="3:3" x14ac:dyDescent="0.2">
      <c r="C1056"/>
    </row>
    <row r="1057" spans="3:3" x14ac:dyDescent="0.2">
      <c r="C1057"/>
    </row>
    <row r="1058" spans="3:3" x14ac:dyDescent="0.2">
      <c r="C1058"/>
    </row>
    <row r="1059" spans="3:3" x14ac:dyDescent="0.2">
      <c r="C1059"/>
    </row>
    <row r="1060" spans="3:3" x14ac:dyDescent="0.2">
      <c r="C1060"/>
    </row>
    <row r="1061" spans="3:3" x14ac:dyDescent="0.2">
      <c r="C1061"/>
    </row>
    <row r="1062" spans="3:3" x14ac:dyDescent="0.2">
      <c r="C1062"/>
    </row>
    <row r="1063" spans="3:3" x14ac:dyDescent="0.2">
      <c r="C1063"/>
    </row>
    <row r="1064" spans="3:3" x14ac:dyDescent="0.2">
      <c r="C1064"/>
    </row>
    <row r="1065" spans="3:3" x14ac:dyDescent="0.2">
      <c r="C1065"/>
    </row>
    <row r="1066" spans="3:3" x14ac:dyDescent="0.2">
      <c r="C1066"/>
    </row>
    <row r="1067" spans="3:3" x14ac:dyDescent="0.2">
      <c r="C1067"/>
    </row>
    <row r="1068" spans="3:3" x14ac:dyDescent="0.2">
      <c r="C1068"/>
    </row>
    <row r="1069" spans="3:3" x14ac:dyDescent="0.2">
      <c r="C1069"/>
    </row>
    <row r="1070" spans="3:3" x14ac:dyDescent="0.2">
      <c r="C1070"/>
    </row>
    <row r="1071" spans="3:3" x14ac:dyDescent="0.2">
      <c r="C1071"/>
    </row>
    <row r="1072" spans="3:3" x14ac:dyDescent="0.2">
      <c r="C1072"/>
    </row>
    <row r="1073" spans="3:3" x14ac:dyDescent="0.2">
      <c r="C1073"/>
    </row>
    <row r="1074" spans="3:3" x14ac:dyDescent="0.2">
      <c r="C1074"/>
    </row>
    <row r="1075" spans="3:3" x14ac:dyDescent="0.2">
      <c r="C1075"/>
    </row>
    <row r="1076" spans="3:3" x14ac:dyDescent="0.2">
      <c r="C1076"/>
    </row>
    <row r="1077" spans="3:3" x14ac:dyDescent="0.2">
      <c r="C1077"/>
    </row>
    <row r="1078" spans="3:3" x14ac:dyDescent="0.2">
      <c r="C1078"/>
    </row>
    <row r="1079" spans="3:3" x14ac:dyDescent="0.2">
      <c r="C1079"/>
    </row>
    <row r="1080" spans="3:3" x14ac:dyDescent="0.2">
      <c r="C1080"/>
    </row>
    <row r="1081" spans="3:3" x14ac:dyDescent="0.2">
      <c r="C1081"/>
    </row>
    <row r="1082" spans="3:3" x14ac:dyDescent="0.2">
      <c r="C1082"/>
    </row>
    <row r="1083" spans="3:3" x14ac:dyDescent="0.2">
      <c r="C1083"/>
    </row>
    <row r="1084" spans="3:3" x14ac:dyDescent="0.2">
      <c r="C1084"/>
    </row>
    <row r="1085" spans="3:3" x14ac:dyDescent="0.2">
      <c r="C1085"/>
    </row>
    <row r="1086" spans="3:3" x14ac:dyDescent="0.2">
      <c r="C1086"/>
    </row>
    <row r="1087" spans="3:3" x14ac:dyDescent="0.2">
      <c r="C1087"/>
    </row>
    <row r="1088" spans="3:3" x14ac:dyDescent="0.2">
      <c r="C1088"/>
    </row>
    <row r="1089" spans="3:3" x14ac:dyDescent="0.2">
      <c r="C1089"/>
    </row>
    <row r="1090" spans="3:3" x14ac:dyDescent="0.2">
      <c r="C1090"/>
    </row>
    <row r="1091" spans="3:3" x14ac:dyDescent="0.2">
      <c r="C1091"/>
    </row>
    <row r="1092" spans="3:3" x14ac:dyDescent="0.2">
      <c r="C1092"/>
    </row>
    <row r="1093" spans="3:3" x14ac:dyDescent="0.2">
      <c r="C1093"/>
    </row>
    <row r="1094" spans="3:3" x14ac:dyDescent="0.2">
      <c r="C1094"/>
    </row>
    <row r="1095" spans="3:3" x14ac:dyDescent="0.2">
      <c r="C1095"/>
    </row>
    <row r="1096" spans="3:3" x14ac:dyDescent="0.2">
      <c r="C1096"/>
    </row>
    <row r="1097" spans="3:3" x14ac:dyDescent="0.2">
      <c r="C1097"/>
    </row>
    <row r="1098" spans="3:3" x14ac:dyDescent="0.2">
      <c r="C1098"/>
    </row>
    <row r="1099" spans="3:3" x14ac:dyDescent="0.2">
      <c r="C1099"/>
    </row>
    <row r="1100" spans="3:3" x14ac:dyDescent="0.2">
      <c r="C1100"/>
    </row>
    <row r="1101" spans="3:3" x14ac:dyDescent="0.2">
      <c r="C1101"/>
    </row>
    <row r="1102" spans="3:3" x14ac:dyDescent="0.2">
      <c r="C1102"/>
    </row>
    <row r="1103" spans="3:3" x14ac:dyDescent="0.2">
      <c r="C1103"/>
    </row>
    <row r="1104" spans="3:3" x14ac:dyDescent="0.2">
      <c r="C1104"/>
    </row>
    <row r="1105" spans="3:3" x14ac:dyDescent="0.2">
      <c r="C1105"/>
    </row>
    <row r="1106" spans="3:3" x14ac:dyDescent="0.2">
      <c r="C1106"/>
    </row>
    <row r="1107" spans="3:3" x14ac:dyDescent="0.2">
      <c r="C1107"/>
    </row>
    <row r="1108" spans="3:3" x14ac:dyDescent="0.2">
      <c r="C1108"/>
    </row>
    <row r="1109" spans="3:3" x14ac:dyDescent="0.2">
      <c r="C1109"/>
    </row>
    <row r="1110" spans="3:3" x14ac:dyDescent="0.2">
      <c r="C1110"/>
    </row>
    <row r="1111" spans="3:3" x14ac:dyDescent="0.2">
      <c r="C1111"/>
    </row>
    <row r="1112" spans="3:3" x14ac:dyDescent="0.2">
      <c r="C1112"/>
    </row>
    <row r="1113" spans="3:3" x14ac:dyDescent="0.2">
      <c r="C1113"/>
    </row>
    <row r="1114" spans="3:3" x14ac:dyDescent="0.2">
      <c r="C1114"/>
    </row>
    <row r="1115" spans="3:3" x14ac:dyDescent="0.2">
      <c r="C1115"/>
    </row>
    <row r="1116" spans="3:3" x14ac:dyDescent="0.2">
      <c r="C1116"/>
    </row>
    <row r="1117" spans="3:3" x14ac:dyDescent="0.2">
      <c r="C1117"/>
    </row>
    <row r="1118" spans="3:3" x14ac:dyDescent="0.2">
      <c r="C1118"/>
    </row>
    <row r="1119" spans="3:3" x14ac:dyDescent="0.2">
      <c r="C1119"/>
    </row>
    <row r="1120" spans="3:3" x14ac:dyDescent="0.2">
      <c r="C1120"/>
    </row>
    <row r="1121" spans="3:3" x14ac:dyDescent="0.2">
      <c r="C1121"/>
    </row>
    <row r="1122" spans="3:3" x14ac:dyDescent="0.2">
      <c r="C1122"/>
    </row>
    <row r="1123" spans="3:3" x14ac:dyDescent="0.2">
      <c r="C1123"/>
    </row>
    <row r="1124" spans="3:3" x14ac:dyDescent="0.2">
      <c r="C1124"/>
    </row>
    <row r="1125" spans="3:3" x14ac:dyDescent="0.2">
      <c r="C1125"/>
    </row>
    <row r="1126" spans="3:3" x14ac:dyDescent="0.2">
      <c r="C1126"/>
    </row>
    <row r="1127" spans="3:3" x14ac:dyDescent="0.2">
      <c r="C1127"/>
    </row>
    <row r="1128" spans="3:3" x14ac:dyDescent="0.2">
      <c r="C1128"/>
    </row>
    <row r="1129" spans="3:3" x14ac:dyDescent="0.2">
      <c r="C1129"/>
    </row>
    <row r="1130" spans="3:3" x14ac:dyDescent="0.2">
      <c r="C1130"/>
    </row>
    <row r="1131" spans="3:3" x14ac:dyDescent="0.2">
      <c r="C1131"/>
    </row>
    <row r="1132" spans="3:3" x14ac:dyDescent="0.2">
      <c r="C1132"/>
    </row>
    <row r="1133" spans="3:3" x14ac:dyDescent="0.2">
      <c r="C1133"/>
    </row>
    <row r="1134" spans="3:3" x14ac:dyDescent="0.2">
      <c r="C1134"/>
    </row>
    <row r="1135" spans="3:3" x14ac:dyDescent="0.2">
      <c r="C1135"/>
    </row>
    <row r="1136" spans="3:3" x14ac:dyDescent="0.2">
      <c r="C1136"/>
    </row>
    <row r="1137" spans="3:3" x14ac:dyDescent="0.2">
      <c r="C1137"/>
    </row>
    <row r="1138" spans="3:3" x14ac:dyDescent="0.2">
      <c r="C1138"/>
    </row>
    <row r="1139" spans="3:3" x14ac:dyDescent="0.2">
      <c r="C1139"/>
    </row>
    <row r="1140" spans="3:3" x14ac:dyDescent="0.2">
      <c r="C1140"/>
    </row>
    <row r="1141" spans="3:3" x14ac:dyDescent="0.2">
      <c r="C1141"/>
    </row>
    <row r="1142" spans="3:3" x14ac:dyDescent="0.2">
      <c r="C1142"/>
    </row>
    <row r="1143" spans="3:3" x14ac:dyDescent="0.2">
      <c r="C1143"/>
    </row>
    <row r="1144" spans="3:3" x14ac:dyDescent="0.2">
      <c r="C1144"/>
    </row>
    <row r="1145" spans="3:3" x14ac:dyDescent="0.2">
      <c r="C1145"/>
    </row>
    <row r="1146" spans="3:3" x14ac:dyDescent="0.2">
      <c r="C1146"/>
    </row>
    <row r="1147" spans="3:3" x14ac:dyDescent="0.2">
      <c r="C1147"/>
    </row>
    <row r="1148" spans="3:3" x14ac:dyDescent="0.2">
      <c r="C1148"/>
    </row>
    <row r="1149" spans="3:3" x14ac:dyDescent="0.2">
      <c r="C1149"/>
    </row>
    <row r="1150" spans="3:3" x14ac:dyDescent="0.2">
      <c r="C1150"/>
    </row>
    <row r="1151" spans="3:3" x14ac:dyDescent="0.2">
      <c r="C1151"/>
    </row>
    <row r="1152" spans="3:3" x14ac:dyDescent="0.2">
      <c r="C1152"/>
    </row>
    <row r="1153" spans="3:3" x14ac:dyDescent="0.2">
      <c r="C1153"/>
    </row>
    <row r="1154" spans="3:3" x14ac:dyDescent="0.2">
      <c r="C1154"/>
    </row>
    <row r="1155" spans="3:3" x14ac:dyDescent="0.2">
      <c r="C1155"/>
    </row>
    <row r="1156" spans="3:3" x14ac:dyDescent="0.2">
      <c r="C1156"/>
    </row>
    <row r="1157" spans="3:3" x14ac:dyDescent="0.2">
      <c r="C1157"/>
    </row>
    <row r="1158" spans="3:3" x14ac:dyDescent="0.2">
      <c r="C1158"/>
    </row>
    <row r="1159" spans="3:3" x14ac:dyDescent="0.2">
      <c r="C1159"/>
    </row>
    <row r="1160" spans="3:3" x14ac:dyDescent="0.2">
      <c r="C1160"/>
    </row>
    <row r="1161" spans="3:3" x14ac:dyDescent="0.2">
      <c r="C1161"/>
    </row>
    <row r="1162" spans="3:3" x14ac:dyDescent="0.2">
      <c r="C1162"/>
    </row>
    <row r="1163" spans="3:3" x14ac:dyDescent="0.2">
      <c r="C1163"/>
    </row>
    <row r="1164" spans="3:3" x14ac:dyDescent="0.2">
      <c r="C1164"/>
    </row>
    <row r="1165" spans="3:3" x14ac:dyDescent="0.2">
      <c r="C1165"/>
    </row>
    <row r="1166" spans="3:3" x14ac:dyDescent="0.2">
      <c r="C1166"/>
    </row>
    <row r="1167" spans="3:3" x14ac:dyDescent="0.2">
      <c r="C1167"/>
    </row>
    <row r="1168" spans="3:3" x14ac:dyDescent="0.2">
      <c r="C1168"/>
    </row>
    <row r="1169" spans="3:3" x14ac:dyDescent="0.2">
      <c r="C1169"/>
    </row>
    <row r="1170" spans="3:3" x14ac:dyDescent="0.2">
      <c r="C1170"/>
    </row>
    <row r="1171" spans="3:3" x14ac:dyDescent="0.2">
      <c r="C1171"/>
    </row>
    <row r="1172" spans="3:3" x14ac:dyDescent="0.2">
      <c r="C1172"/>
    </row>
    <row r="1173" spans="3:3" x14ac:dyDescent="0.2">
      <c r="C1173"/>
    </row>
    <row r="1174" spans="3:3" x14ac:dyDescent="0.2">
      <c r="C1174"/>
    </row>
    <row r="1175" spans="3:3" x14ac:dyDescent="0.2">
      <c r="C1175"/>
    </row>
    <row r="1176" spans="3:3" x14ac:dyDescent="0.2">
      <c r="C1176"/>
    </row>
    <row r="1177" spans="3:3" x14ac:dyDescent="0.2">
      <c r="C1177"/>
    </row>
    <row r="1178" spans="3:3" x14ac:dyDescent="0.2">
      <c r="C1178"/>
    </row>
    <row r="1179" spans="3:3" x14ac:dyDescent="0.2">
      <c r="C1179"/>
    </row>
    <row r="1180" spans="3:3" x14ac:dyDescent="0.2">
      <c r="C1180"/>
    </row>
    <row r="1181" spans="3:3" x14ac:dyDescent="0.2">
      <c r="C1181"/>
    </row>
    <row r="1182" spans="3:3" x14ac:dyDescent="0.2">
      <c r="C1182"/>
    </row>
    <row r="1183" spans="3:3" x14ac:dyDescent="0.2">
      <c r="C1183"/>
    </row>
    <row r="1184" spans="3:3" x14ac:dyDescent="0.2">
      <c r="C1184"/>
    </row>
    <row r="1185" spans="3:3" x14ac:dyDescent="0.2">
      <c r="C1185"/>
    </row>
    <row r="1186" spans="3:3" x14ac:dyDescent="0.2">
      <c r="C1186"/>
    </row>
    <row r="1187" spans="3:3" x14ac:dyDescent="0.2">
      <c r="C1187"/>
    </row>
    <row r="1188" spans="3:3" x14ac:dyDescent="0.2">
      <c r="C1188"/>
    </row>
    <row r="1189" spans="3:3" x14ac:dyDescent="0.2">
      <c r="C1189"/>
    </row>
    <row r="1190" spans="3:3" x14ac:dyDescent="0.2">
      <c r="C1190"/>
    </row>
    <row r="1191" spans="3:3" x14ac:dyDescent="0.2">
      <c r="C1191"/>
    </row>
    <row r="1192" spans="3:3" x14ac:dyDescent="0.2">
      <c r="C1192"/>
    </row>
    <row r="1193" spans="3:3" x14ac:dyDescent="0.2">
      <c r="C1193"/>
    </row>
    <row r="1194" spans="3:3" x14ac:dyDescent="0.2">
      <c r="C1194"/>
    </row>
    <row r="1195" spans="3:3" x14ac:dyDescent="0.2">
      <c r="C1195"/>
    </row>
    <row r="1196" spans="3:3" x14ac:dyDescent="0.2">
      <c r="C1196"/>
    </row>
    <row r="1197" spans="3:3" x14ac:dyDescent="0.2">
      <c r="C1197"/>
    </row>
    <row r="1198" spans="3:3" x14ac:dyDescent="0.2">
      <c r="C1198"/>
    </row>
    <row r="1199" spans="3:3" x14ac:dyDescent="0.2">
      <c r="C1199"/>
    </row>
    <row r="1200" spans="3:3" x14ac:dyDescent="0.2">
      <c r="C1200"/>
    </row>
    <row r="1201" spans="3:3" x14ac:dyDescent="0.2">
      <c r="C1201"/>
    </row>
    <row r="1202" spans="3:3" x14ac:dyDescent="0.2">
      <c r="C1202"/>
    </row>
    <row r="1203" spans="3:3" x14ac:dyDescent="0.2">
      <c r="C1203"/>
    </row>
    <row r="1204" spans="3:3" x14ac:dyDescent="0.2">
      <c r="C1204"/>
    </row>
    <row r="1205" spans="3:3" x14ac:dyDescent="0.2">
      <c r="C1205"/>
    </row>
    <row r="1206" spans="3:3" x14ac:dyDescent="0.2">
      <c r="C1206"/>
    </row>
    <row r="1207" spans="3:3" x14ac:dyDescent="0.2">
      <c r="C1207"/>
    </row>
    <row r="1208" spans="3:3" x14ac:dyDescent="0.2">
      <c r="C1208"/>
    </row>
    <row r="1209" spans="3:3" x14ac:dyDescent="0.2">
      <c r="C1209"/>
    </row>
    <row r="1210" spans="3:3" x14ac:dyDescent="0.2">
      <c r="C1210"/>
    </row>
    <row r="1211" spans="3:3" x14ac:dyDescent="0.2">
      <c r="C1211"/>
    </row>
    <row r="1212" spans="3:3" x14ac:dyDescent="0.2">
      <c r="C1212"/>
    </row>
    <row r="1213" spans="3:3" x14ac:dyDescent="0.2">
      <c r="C1213"/>
    </row>
    <row r="1214" spans="3:3" x14ac:dyDescent="0.2">
      <c r="C1214"/>
    </row>
    <row r="1215" spans="3:3" x14ac:dyDescent="0.2">
      <c r="C1215"/>
    </row>
    <row r="1216" spans="3:3" x14ac:dyDescent="0.2">
      <c r="C1216"/>
    </row>
    <row r="1217" spans="3:3" x14ac:dyDescent="0.2">
      <c r="C1217"/>
    </row>
    <row r="1218" spans="3:3" x14ac:dyDescent="0.2">
      <c r="C1218"/>
    </row>
    <row r="1219" spans="3:3" x14ac:dyDescent="0.2">
      <c r="C1219"/>
    </row>
    <row r="1220" spans="3:3" x14ac:dyDescent="0.2">
      <c r="C1220"/>
    </row>
    <row r="1221" spans="3:3" x14ac:dyDescent="0.2">
      <c r="C1221"/>
    </row>
    <row r="1222" spans="3:3" x14ac:dyDescent="0.2">
      <c r="C1222"/>
    </row>
    <row r="1223" spans="3:3" x14ac:dyDescent="0.2">
      <c r="C1223"/>
    </row>
    <row r="1224" spans="3:3" x14ac:dyDescent="0.2">
      <c r="C1224"/>
    </row>
    <row r="1225" spans="3:3" x14ac:dyDescent="0.2">
      <c r="C1225"/>
    </row>
    <row r="1226" spans="3:3" x14ac:dyDescent="0.2">
      <c r="C1226"/>
    </row>
    <row r="1227" spans="3:3" x14ac:dyDescent="0.2">
      <c r="C1227"/>
    </row>
    <row r="1228" spans="3:3" x14ac:dyDescent="0.2">
      <c r="C1228"/>
    </row>
    <row r="1229" spans="3:3" x14ac:dyDescent="0.2">
      <c r="C1229"/>
    </row>
    <row r="1230" spans="3:3" x14ac:dyDescent="0.2">
      <c r="C1230"/>
    </row>
    <row r="1231" spans="3:3" x14ac:dyDescent="0.2">
      <c r="C1231"/>
    </row>
    <row r="1232" spans="3:3" x14ac:dyDescent="0.2">
      <c r="C1232"/>
    </row>
    <row r="1233" spans="3:3" x14ac:dyDescent="0.2">
      <c r="C1233"/>
    </row>
    <row r="1234" spans="3:3" x14ac:dyDescent="0.2">
      <c r="C1234"/>
    </row>
    <row r="1235" spans="3:3" x14ac:dyDescent="0.2">
      <c r="C1235"/>
    </row>
    <row r="1236" spans="3:3" x14ac:dyDescent="0.2">
      <c r="C1236"/>
    </row>
    <row r="1237" spans="3:3" x14ac:dyDescent="0.2">
      <c r="C1237"/>
    </row>
    <row r="1238" spans="3:3" x14ac:dyDescent="0.2">
      <c r="C1238"/>
    </row>
    <row r="1239" spans="3:3" x14ac:dyDescent="0.2">
      <c r="C1239"/>
    </row>
    <row r="1240" spans="3:3" x14ac:dyDescent="0.2">
      <c r="C1240"/>
    </row>
    <row r="1241" spans="3:3" x14ac:dyDescent="0.2">
      <c r="C1241"/>
    </row>
    <row r="1242" spans="3:3" x14ac:dyDescent="0.2">
      <c r="C1242"/>
    </row>
    <row r="1243" spans="3:3" x14ac:dyDescent="0.2">
      <c r="C1243"/>
    </row>
    <row r="1244" spans="3:3" x14ac:dyDescent="0.2">
      <c r="C1244"/>
    </row>
    <row r="1245" spans="3:3" x14ac:dyDescent="0.2">
      <c r="C1245"/>
    </row>
    <row r="1246" spans="3:3" x14ac:dyDescent="0.2">
      <c r="C1246"/>
    </row>
    <row r="1247" spans="3:3" x14ac:dyDescent="0.2">
      <c r="C1247"/>
    </row>
    <row r="1248" spans="3:3" x14ac:dyDescent="0.2">
      <c r="C1248"/>
    </row>
    <row r="1249" spans="3:3" x14ac:dyDescent="0.2">
      <c r="C1249"/>
    </row>
    <row r="1250" spans="3:3" x14ac:dyDescent="0.2">
      <c r="C1250"/>
    </row>
    <row r="1251" spans="3:3" x14ac:dyDescent="0.2">
      <c r="C1251"/>
    </row>
    <row r="1252" spans="3:3" x14ac:dyDescent="0.2">
      <c r="C1252"/>
    </row>
    <row r="1253" spans="3:3" x14ac:dyDescent="0.2">
      <c r="C1253"/>
    </row>
    <row r="1254" spans="3:3" x14ac:dyDescent="0.2">
      <c r="C1254"/>
    </row>
    <row r="1255" spans="3:3" x14ac:dyDescent="0.2">
      <c r="C1255"/>
    </row>
    <row r="1256" spans="3:3" x14ac:dyDescent="0.2">
      <c r="C1256"/>
    </row>
    <row r="1257" spans="3:3" x14ac:dyDescent="0.2">
      <c r="C1257"/>
    </row>
    <row r="1258" spans="3:3" x14ac:dyDescent="0.2">
      <c r="C1258"/>
    </row>
    <row r="1259" spans="3:3" x14ac:dyDescent="0.2">
      <c r="C1259"/>
    </row>
    <row r="1260" spans="3:3" x14ac:dyDescent="0.2">
      <c r="C1260"/>
    </row>
    <row r="1261" spans="3:3" x14ac:dyDescent="0.2">
      <c r="C1261"/>
    </row>
    <row r="1262" spans="3:3" x14ac:dyDescent="0.2">
      <c r="C1262"/>
    </row>
    <row r="1263" spans="3:3" x14ac:dyDescent="0.2">
      <c r="C1263"/>
    </row>
    <row r="1264" spans="3:3" x14ac:dyDescent="0.2">
      <c r="C1264"/>
    </row>
    <row r="1265" spans="3:3" x14ac:dyDescent="0.2">
      <c r="C1265"/>
    </row>
    <row r="1266" spans="3:3" x14ac:dyDescent="0.2">
      <c r="C1266"/>
    </row>
    <row r="1267" spans="3:3" x14ac:dyDescent="0.2">
      <c r="C1267"/>
    </row>
    <row r="1268" spans="3:3" x14ac:dyDescent="0.2">
      <c r="C1268"/>
    </row>
    <row r="1269" spans="3:3" x14ac:dyDescent="0.2">
      <c r="C1269"/>
    </row>
    <row r="1270" spans="3:3" x14ac:dyDescent="0.2">
      <c r="C1270"/>
    </row>
    <row r="1271" spans="3:3" x14ac:dyDescent="0.2">
      <c r="C1271"/>
    </row>
    <row r="1272" spans="3:3" x14ac:dyDescent="0.2">
      <c r="C1272"/>
    </row>
    <row r="1273" spans="3:3" x14ac:dyDescent="0.2">
      <c r="C1273"/>
    </row>
    <row r="1274" spans="3:3" x14ac:dyDescent="0.2">
      <c r="C1274"/>
    </row>
    <row r="1275" spans="3:3" x14ac:dyDescent="0.2">
      <c r="C1275"/>
    </row>
    <row r="1276" spans="3:3" x14ac:dyDescent="0.2">
      <c r="C1276"/>
    </row>
    <row r="1277" spans="3:3" x14ac:dyDescent="0.2">
      <c r="C1277"/>
    </row>
    <row r="1278" spans="3:3" x14ac:dyDescent="0.2">
      <c r="C1278"/>
    </row>
    <row r="1279" spans="3:3" x14ac:dyDescent="0.2">
      <c r="C1279"/>
    </row>
    <row r="1280" spans="3:3" x14ac:dyDescent="0.2">
      <c r="C1280"/>
    </row>
    <row r="1281" spans="3:3" x14ac:dyDescent="0.2">
      <c r="C1281"/>
    </row>
    <row r="1282" spans="3:3" x14ac:dyDescent="0.2">
      <c r="C1282"/>
    </row>
    <row r="1283" spans="3:3" x14ac:dyDescent="0.2">
      <c r="C1283"/>
    </row>
    <row r="1284" spans="3:3" x14ac:dyDescent="0.2">
      <c r="C1284"/>
    </row>
    <row r="1285" spans="3:3" x14ac:dyDescent="0.2">
      <c r="C1285"/>
    </row>
    <row r="1286" spans="3:3" x14ac:dyDescent="0.2">
      <c r="C1286"/>
    </row>
    <row r="1287" spans="3:3" x14ac:dyDescent="0.2">
      <c r="C1287"/>
    </row>
    <row r="1288" spans="3:3" x14ac:dyDescent="0.2">
      <c r="C1288"/>
    </row>
    <row r="1289" spans="3:3" x14ac:dyDescent="0.2">
      <c r="C1289"/>
    </row>
    <row r="1290" spans="3:3" x14ac:dyDescent="0.2">
      <c r="C1290"/>
    </row>
    <row r="1291" spans="3:3" x14ac:dyDescent="0.2">
      <c r="C1291"/>
    </row>
    <row r="1292" spans="3:3" x14ac:dyDescent="0.2">
      <c r="C1292"/>
    </row>
    <row r="1293" spans="3:3" x14ac:dyDescent="0.2">
      <c r="C1293"/>
    </row>
    <row r="1294" spans="3:3" x14ac:dyDescent="0.2">
      <c r="C1294"/>
    </row>
    <row r="1295" spans="3:3" x14ac:dyDescent="0.2">
      <c r="C1295"/>
    </row>
    <row r="1296" spans="3:3" x14ac:dyDescent="0.2">
      <c r="C1296"/>
    </row>
    <row r="1297" spans="3:3" x14ac:dyDescent="0.2">
      <c r="C1297"/>
    </row>
    <row r="1298" spans="3:3" x14ac:dyDescent="0.2">
      <c r="C1298"/>
    </row>
    <row r="1299" spans="3:3" x14ac:dyDescent="0.2">
      <c r="C1299"/>
    </row>
    <row r="1300" spans="3:3" x14ac:dyDescent="0.2">
      <c r="C1300"/>
    </row>
    <row r="1301" spans="3:3" x14ac:dyDescent="0.2">
      <c r="C1301"/>
    </row>
    <row r="1302" spans="3:3" x14ac:dyDescent="0.2">
      <c r="C1302"/>
    </row>
    <row r="1303" spans="3:3" x14ac:dyDescent="0.2">
      <c r="C1303"/>
    </row>
    <row r="1304" spans="3:3" x14ac:dyDescent="0.2">
      <c r="C1304"/>
    </row>
    <row r="1305" spans="3:3" x14ac:dyDescent="0.2">
      <c r="C1305"/>
    </row>
    <row r="1306" spans="3:3" x14ac:dyDescent="0.2">
      <c r="C1306"/>
    </row>
    <row r="1307" spans="3:3" x14ac:dyDescent="0.2">
      <c r="C1307"/>
    </row>
    <row r="1308" spans="3:3" x14ac:dyDescent="0.2">
      <c r="C1308"/>
    </row>
    <row r="1309" spans="3:3" x14ac:dyDescent="0.2">
      <c r="C1309"/>
    </row>
    <row r="1310" spans="3:3" x14ac:dyDescent="0.2">
      <c r="C1310"/>
    </row>
    <row r="1311" spans="3:3" x14ac:dyDescent="0.2">
      <c r="C1311"/>
    </row>
    <row r="1312" spans="3:3" x14ac:dyDescent="0.2">
      <c r="C1312"/>
    </row>
    <row r="1313" spans="3:3" x14ac:dyDescent="0.2">
      <c r="C1313"/>
    </row>
    <row r="1314" spans="3:3" x14ac:dyDescent="0.2">
      <c r="C1314"/>
    </row>
    <row r="1315" spans="3:3" x14ac:dyDescent="0.2">
      <c r="C1315"/>
    </row>
    <row r="1316" spans="3:3" x14ac:dyDescent="0.2">
      <c r="C1316"/>
    </row>
    <row r="1317" spans="3:3" x14ac:dyDescent="0.2">
      <c r="C1317"/>
    </row>
    <row r="1318" spans="3:3" x14ac:dyDescent="0.2">
      <c r="C1318"/>
    </row>
    <row r="1319" spans="3:3" x14ac:dyDescent="0.2">
      <c r="C1319"/>
    </row>
    <row r="1320" spans="3:3" x14ac:dyDescent="0.2">
      <c r="C1320"/>
    </row>
    <row r="1321" spans="3:3" x14ac:dyDescent="0.2">
      <c r="C1321"/>
    </row>
    <row r="1322" spans="3:3" x14ac:dyDescent="0.2">
      <c r="C1322"/>
    </row>
    <row r="1323" spans="3:3" x14ac:dyDescent="0.2">
      <c r="C1323"/>
    </row>
    <row r="1324" spans="3:3" x14ac:dyDescent="0.2">
      <c r="C1324"/>
    </row>
    <row r="1325" spans="3:3" x14ac:dyDescent="0.2">
      <c r="C1325"/>
    </row>
    <row r="1326" spans="3:3" x14ac:dyDescent="0.2">
      <c r="C1326"/>
    </row>
    <row r="1327" spans="3:3" x14ac:dyDescent="0.2">
      <c r="C1327"/>
    </row>
    <row r="1328" spans="3:3" x14ac:dyDescent="0.2">
      <c r="C1328"/>
    </row>
    <row r="1329" spans="3:3" x14ac:dyDescent="0.2">
      <c r="C1329"/>
    </row>
    <row r="1330" spans="3:3" x14ac:dyDescent="0.2">
      <c r="C1330"/>
    </row>
    <row r="1331" spans="3:3" x14ac:dyDescent="0.2">
      <c r="C1331"/>
    </row>
    <row r="1332" spans="3:3" x14ac:dyDescent="0.2">
      <c r="C1332"/>
    </row>
    <row r="1333" spans="3:3" x14ac:dyDescent="0.2">
      <c r="C1333"/>
    </row>
    <row r="1334" spans="3:3" x14ac:dyDescent="0.2">
      <c r="C1334"/>
    </row>
    <row r="1335" spans="3:3" x14ac:dyDescent="0.2">
      <c r="C1335"/>
    </row>
    <row r="1336" spans="3:3" x14ac:dyDescent="0.2">
      <c r="C1336"/>
    </row>
    <row r="1337" spans="3:3" x14ac:dyDescent="0.2">
      <c r="C1337"/>
    </row>
    <row r="1338" spans="3:3" x14ac:dyDescent="0.2">
      <c r="C1338"/>
    </row>
    <row r="1339" spans="3:3" x14ac:dyDescent="0.2">
      <c r="C1339"/>
    </row>
    <row r="1340" spans="3:3" x14ac:dyDescent="0.2">
      <c r="C1340"/>
    </row>
    <row r="1341" spans="3:3" x14ac:dyDescent="0.2">
      <c r="C1341"/>
    </row>
    <row r="1342" spans="3:3" x14ac:dyDescent="0.2">
      <c r="C1342"/>
    </row>
    <row r="1343" spans="3:3" x14ac:dyDescent="0.2">
      <c r="C1343"/>
    </row>
    <row r="1344" spans="3:3" x14ac:dyDescent="0.2">
      <c r="C1344"/>
    </row>
    <row r="1345" spans="3:3" x14ac:dyDescent="0.2">
      <c r="C1345"/>
    </row>
    <row r="1346" spans="3:3" x14ac:dyDescent="0.2">
      <c r="C1346"/>
    </row>
    <row r="1347" spans="3:3" x14ac:dyDescent="0.2">
      <c r="C1347"/>
    </row>
    <row r="1348" spans="3:3" x14ac:dyDescent="0.2">
      <c r="C1348"/>
    </row>
    <row r="1349" spans="3:3" x14ac:dyDescent="0.2">
      <c r="C1349"/>
    </row>
    <row r="1350" spans="3:3" x14ac:dyDescent="0.2">
      <c r="C1350"/>
    </row>
    <row r="1351" spans="3:3" x14ac:dyDescent="0.2">
      <c r="C1351"/>
    </row>
    <row r="1352" spans="3:3" x14ac:dyDescent="0.2">
      <c r="C1352"/>
    </row>
    <row r="1353" spans="3:3" x14ac:dyDescent="0.2">
      <c r="C1353"/>
    </row>
    <row r="1354" spans="3:3" x14ac:dyDescent="0.2">
      <c r="C1354"/>
    </row>
    <row r="1355" spans="3:3" x14ac:dyDescent="0.2">
      <c r="C1355"/>
    </row>
    <row r="1356" spans="3:3" x14ac:dyDescent="0.2">
      <c r="C1356"/>
    </row>
    <row r="1357" spans="3:3" x14ac:dyDescent="0.2">
      <c r="C1357"/>
    </row>
    <row r="1358" spans="3:3" x14ac:dyDescent="0.2">
      <c r="C1358"/>
    </row>
    <row r="1359" spans="3:3" x14ac:dyDescent="0.2">
      <c r="C1359"/>
    </row>
    <row r="1360" spans="3:3" x14ac:dyDescent="0.2">
      <c r="C1360"/>
    </row>
    <row r="1361" spans="3:3" x14ac:dyDescent="0.2">
      <c r="C1361"/>
    </row>
    <row r="1362" spans="3:3" x14ac:dyDescent="0.2">
      <c r="C1362"/>
    </row>
    <row r="1363" spans="3:3" x14ac:dyDescent="0.2">
      <c r="C1363"/>
    </row>
    <row r="1364" spans="3:3" x14ac:dyDescent="0.2">
      <c r="C1364"/>
    </row>
    <row r="1365" spans="3:3" x14ac:dyDescent="0.2">
      <c r="C1365"/>
    </row>
    <row r="1366" spans="3:3" x14ac:dyDescent="0.2">
      <c r="C1366"/>
    </row>
    <row r="1367" spans="3:3" x14ac:dyDescent="0.2">
      <c r="C1367"/>
    </row>
    <row r="1368" spans="3:3" x14ac:dyDescent="0.2">
      <c r="C1368"/>
    </row>
    <row r="1369" spans="3:3" x14ac:dyDescent="0.2">
      <c r="C1369"/>
    </row>
    <row r="1370" spans="3:3" x14ac:dyDescent="0.2">
      <c r="C1370"/>
    </row>
    <row r="1371" spans="3:3" x14ac:dyDescent="0.2">
      <c r="C1371"/>
    </row>
    <row r="1372" spans="3:3" x14ac:dyDescent="0.2">
      <c r="C1372"/>
    </row>
    <row r="1373" spans="3:3" x14ac:dyDescent="0.2">
      <c r="C1373"/>
    </row>
    <row r="1374" spans="3:3" x14ac:dyDescent="0.2">
      <c r="C1374"/>
    </row>
    <row r="1375" spans="3:3" x14ac:dyDescent="0.2">
      <c r="C1375"/>
    </row>
    <row r="1376" spans="3:3" x14ac:dyDescent="0.2">
      <c r="C1376"/>
    </row>
    <row r="1377" spans="3:3" x14ac:dyDescent="0.2">
      <c r="C1377"/>
    </row>
    <row r="1378" spans="3:3" x14ac:dyDescent="0.2">
      <c r="C1378"/>
    </row>
    <row r="1379" spans="3:3" x14ac:dyDescent="0.2">
      <c r="C1379"/>
    </row>
    <row r="1380" spans="3:3" x14ac:dyDescent="0.2">
      <c r="C1380"/>
    </row>
    <row r="1381" spans="3:3" x14ac:dyDescent="0.2">
      <c r="C1381"/>
    </row>
    <row r="1382" spans="3:3" x14ac:dyDescent="0.2">
      <c r="C1382"/>
    </row>
    <row r="1383" spans="3:3" x14ac:dyDescent="0.2">
      <c r="C1383"/>
    </row>
    <row r="1384" spans="3:3" x14ac:dyDescent="0.2">
      <c r="C1384"/>
    </row>
    <row r="1385" spans="3:3" x14ac:dyDescent="0.2">
      <c r="C1385"/>
    </row>
    <row r="1386" spans="3:3" x14ac:dyDescent="0.2">
      <c r="C1386"/>
    </row>
    <row r="1387" spans="3:3" x14ac:dyDescent="0.2">
      <c r="C1387"/>
    </row>
    <row r="1388" spans="3:3" x14ac:dyDescent="0.2">
      <c r="C1388"/>
    </row>
    <row r="1389" spans="3:3" x14ac:dyDescent="0.2">
      <c r="C1389"/>
    </row>
    <row r="1390" spans="3:3" x14ac:dyDescent="0.2">
      <c r="C1390"/>
    </row>
    <row r="1391" spans="3:3" x14ac:dyDescent="0.2">
      <c r="C1391"/>
    </row>
    <row r="1392" spans="3:3" x14ac:dyDescent="0.2">
      <c r="C1392"/>
    </row>
    <row r="1393" spans="3:3" x14ac:dyDescent="0.2">
      <c r="C1393"/>
    </row>
    <row r="1394" spans="3:3" x14ac:dyDescent="0.2">
      <c r="C1394"/>
    </row>
    <row r="1395" spans="3:3" x14ac:dyDescent="0.2">
      <c r="C1395"/>
    </row>
    <row r="1396" spans="3:3" x14ac:dyDescent="0.2">
      <c r="C1396"/>
    </row>
    <row r="1397" spans="3:3" x14ac:dyDescent="0.2">
      <c r="C1397"/>
    </row>
    <row r="1398" spans="3:3" x14ac:dyDescent="0.2">
      <c r="C1398"/>
    </row>
    <row r="1399" spans="3:3" x14ac:dyDescent="0.2">
      <c r="C1399"/>
    </row>
    <row r="1400" spans="3:3" x14ac:dyDescent="0.2">
      <c r="C1400"/>
    </row>
    <row r="1401" spans="3:3" x14ac:dyDescent="0.2">
      <c r="C1401"/>
    </row>
    <row r="1402" spans="3:3" x14ac:dyDescent="0.2">
      <c r="C1402"/>
    </row>
    <row r="1403" spans="3:3" x14ac:dyDescent="0.2">
      <c r="C1403"/>
    </row>
    <row r="1404" spans="3:3" x14ac:dyDescent="0.2">
      <c r="C1404"/>
    </row>
    <row r="1405" spans="3:3" x14ac:dyDescent="0.2">
      <c r="C1405"/>
    </row>
    <row r="1406" spans="3:3" x14ac:dyDescent="0.2">
      <c r="C1406"/>
    </row>
    <row r="1407" spans="3:3" x14ac:dyDescent="0.2">
      <c r="C1407"/>
    </row>
    <row r="1408" spans="3:3" x14ac:dyDescent="0.2">
      <c r="C1408"/>
    </row>
    <row r="1409" spans="3:3" x14ac:dyDescent="0.2">
      <c r="C1409"/>
    </row>
    <row r="1410" spans="3:3" x14ac:dyDescent="0.2">
      <c r="C1410"/>
    </row>
    <row r="1411" spans="3:3" x14ac:dyDescent="0.2">
      <c r="C1411"/>
    </row>
    <row r="1412" spans="3:3" x14ac:dyDescent="0.2">
      <c r="C1412"/>
    </row>
    <row r="1413" spans="3:3" x14ac:dyDescent="0.2">
      <c r="C1413"/>
    </row>
    <row r="1414" spans="3:3" x14ac:dyDescent="0.2">
      <c r="C1414"/>
    </row>
    <row r="1415" spans="3:3" x14ac:dyDescent="0.2">
      <c r="C1415"/>
    </row>
    <row r="1416" spans="3:3" x14ac:dyDescent="0.2">
      <c r="C1416"/>
    </row>
    <row r="1417" spans="3:3" x14ac:dyDescent="0.2">
      <c r="C1417"/>
    </row>
    <row r="1418" spans="3:3" x14ac:dyDescent="0.2">
      <c r="C1418"/>
    </row>
    <row r="1419" spans="3:3" x14ac:dyDescent="0.2">
      <c r="C1419"/>
    </row>
    <row r="1420" spans="3:3" x14ac:dyDescent="0.2">
      <c r="C1420"/>
    </row>
    <row r="1421" spans="3:3" x14ac:dyDescent="0.2">
      <c r="C1421"/>
    </row>
    <row r="1422" spans="3:3" x14ac:dyDescent="0.2">
      <c r="C1422"/>
    </row>
    <row r="1423" spans="3:3" x14ac:dyDescent="0.2">
      <c r="C1423"/>
    </row>
    <row r="1424" spans="3:3" x14ac:dyDescent="0.2">
      <c r="C1424"/>
    </row>
    <row r="1425" spans="3:3" x14ac:dyDescent="0.2">
      <c r="C1425"/>
    </row>
    <row r="1426" spans="3:3" x14ac:dyDescent="0.2">
      <c r="C1426"/>
    </row>
    <row r="1427" spans="3:3" x14ac:dyDescent="0.2">
      <c r="C1427"/>
    </row>
    <row r="1428" spans="3:3" x14ac:dyDescent="0.2">
      <c r="C1428"/>
    </row>
    <row r="1429" spans="3:3" x14ac:dyDescent="0.2">
      <c r="C1429"/>
    </row>
    <row r="1430" spans="3:3" x14ac:dyDescent="0.2">
      <c r="C1430"/>
    </row>
    <row r="1431" spans="3:3" x14ac:dyDescent="0.2">
      <c r="C1431"/>
    </row>
    <row r="1432" spans="3:3" x14ac:dyDescent="0.2">
      <c r="C1432"/>
    </row>
    <row r="1433" spans="3:3" x14ac:dyDescent="0.2">
      <c r="C1433"/>
    </row>
    <row r="1434" spans="3:3" x14ac:dyDescent="0.2">
      <c r="C1434"/>
    </row>
    <row r="1435" spans="3:3" x14ac:dyDescent="0.2">
      <c r="C1435"/>
    </row>
    <row r="1436" spans="3:3" x14ac:dyDescent="0.2">
      <c r="C1436"/>
    </row>
    <row r="1437" spans="3:3" x14ac:dyDescent="0.2">
      <c r="C1437"/>
    </row>
    <row r="1438" spans="3:3" x14ac:dyDescent="0.2">
      <c r="C1438"/>
    </row>
    <row r="1439" spans="3:3" x14ac:dyDescent="0.2">
      <c r="C1439"/>
    </row>
    <row r="1440" spans="3:3" x14ac:dyDescent="0.2">
      <c r="C1440"/>
    </row>
    <row r="1441" spans="3:3" x14ac:dyDescent="0.2">
      <c r="C1441"/>
    </row>
    <row r="1442" spans="3:3" x14ac:dyDescent="0.2">
      <c r="C1442"/>
    </row>
    <row r="1443" spans="3:3" x14ac:dyDescent="0.2">
      <c r="C1443"/>
    </row>
    <row r="1444" spans="3:3" x14ac:dyDescent="0.2">
      <c r="C1444"/>
    </row>
    <row r="1445" spans="3:3" x14ac:dyDescent="0.2">
      <c r="C1445"/>
    </row>
    <row r="1446" spans="3:3" x14ac:dyDescent="0.2">
      <c r="C1446"/>
    </row>
    <row r="1447" spans="3:3" x14ac:dyDescent="0.2">
      <c r="C1447"/>
    </row>
    <row r="1448" spans="3:3" x14ac:dyDescent="0.2">
      <c r="C1448"/>
    </row>
    <row r="1449" spans="3:3" x14ac:dyDescent="0.2">
      <c r="C1449"/>
    </row>
    <row r="1450" spans="3:3" x14ac:dyDescent="0.2">
      <c r="C1450"/>
    </row>
    <row r="1451" spans="3:3" x14ac:dyDescent="0.2">
      <c r="C1451"/>
    </row>
    <row r="1452" spans="3:3" x14ac:dyDescent="0.2">
      <c r="C1452"/>
    </row>
    <row r="1453" spans="3:3" x14ac:dyDescent="0.2">
      <c r="C1453"/>
    </row>
    <row r="1454" spans="3:3" x14ac:dyDescent="0.2">
      <c r="C1454"/>
    </row>
    <row r="1455" spans="3:3" x14ac:dyDescent="0.2">
      <c r="C1455"/>
    </row>
    <row r="1456" spans="3:3" x14ac:dyDescent="0.2">
      <c r="C1456"/>
    </row>
    <row r="1457" spans="3:3" x14ac:dyDescent="0.2">
      <c r="C1457"/>
    </row>
    <row r="1458" spans="3:3" x14ac:dyDescent="0.2">
      <c r="C1458"/>
    </row>
    <row r="1459" spans="3:3" x14ac:dyDescent="0.2">
      <c r="C1459"/>
    </row>
    <row r="1460" spans="3:3" x14ac:dyDescent="0.2">
      <c r="C1460"/>
    </row>
    <row r="1461" spans="3:3" x14ac:dyDescent="0.2">
      <c r="C1461"/>
    </row>
    <row r="1462" spans="3:3" x14ac:dyDescent="0.2">
      <c r="C1462"/>
    </row>
    <row r="1463" spans="3:3" x14ac:dyDescent="0.2">
      <c r="C1463"/>
    </row>
    <row r="1464" spans="3:3" x14ac:dyDescent="0.2">
      <c r="C1464"/>
    </row>
    <row r="1465" spans="3:3" x14ac:dyDescent="0.2">
      <c r="C1465"/>
    </row>
    <row r="1466" spans="3:3" x14ac:dyDescent="0.2">
      <c r="C1466"/>
    </row>
    <row r="1467" spans="3:3" x14ac:dyDescent="0.2">
      <c r="C1467"/>
    </row>
    <row r="1468" spans="3:3" x14ac:dyDescent="0.2">
      <c r="C1468"/>
    </row>
    <row r="1469" spans="3:3" x14ac:dyDescent="0.2">
      <c r="C1469"/>
    </row>
    <row r="1470" spans="3:3" x14ac:dyDescent="0.2">
      <c r="C1470"/>
    </row>
    <row r="1471" spans="3:3" x14ac:dyDescent="0.2">
      <c r="C1471"/>
    </row>
    <row r="1472" spans="3:3" x14ac:dyDescent="0.2">
      <c r="C1472"/>
    </row>
    <row r="1473" spans="3:3" x14ac:dyDescent="0.2">
      <c r="C1473"/>
    </row>
    <row r="1474" spans="3:3" x14ac:dyDescent="0.2">
      <c r="C1474"/>
    </row>
    <row r="1475" spans="3:3" x14ac:dyDescent="0.2">
      <c r="C1475"/>
    </row>
    <row r="1476" spans="3:3" x14ac:dyDescent="0.2">
      <c r="C1476"/>
    </row>
    <row r="1477" spans="3:3" x14ac:dyDescent="0.2">
      <c r="C1477"/>
    </row>
    <row r="1478" spans="3:3" x14ac:dyDescent="0.2">
      <c r="C1478"/>
    </row>
    <row r="1479" spans="3:3" x14ac:dyDescent="0.2">
      <c r="C1479"/>
    </row>
    <row r="1480" spans="3:3" x14ac:dyDescent="0.2">
      <c r="C1480"/>
    </row>
    <row r="1481" spans="3:3" x14ac:dyDescent="0.2">
      <c r="C1481"/>
    </row>
    <row r="1482" spans="3:3" x14ac:dyDescent="0.2">
      <c r="C1482"/>
    </row>
    <row r="1483" spans="3:3" x14ac:dyDescent="0.2">
      <c r="C1483"/>
    </row>
    <row r="1484" spans="3:3" x14ac:dyDescent="0.2">
      <c r="C1484"/>
    </row>
    <row r="1485" spans="3:3" x14ac:dyDescent="0.2">
      <c r="C1485"/>
    </row>
    <row r="1486" spans="3:3" x14ac:dyDescent="0.2">
      <c r="C1486"/>
    </row>
    <row r="1487" spans="3:3" x14ac:dyDescent="0.2">
      <c r="C1487"/>
    </row>
    <row r="1488" spans="3:3" x14ac:dyDescent="0.2">
      <c r="C1488"/>
    </row>
    <row r="1489" spans="3:3" x14ac:dyDescent="0.2">
      <c r="C1489"/>
    </row>
    <row r="1490" spans="3:3" x14ac:dyDescent="0.2">
      <c r="C1490"/>
    </row>
    <row r="1491" spans="3:3" x14ac:dyDescent="0.2">
      <c r="C1491"/>
    </row>
    <row r="1492" spans="3:3" x14ac:dyDescent="0.2">
      <c r="C1492"/>
    </row>
    <row r="1493" spans="3:3" x14ac:dyDescent="0.2">
      <c r="C1493"/>
    </row>
    <row r="1494" spans="3:3" x14ac:dyDescent="0.2">
      <c r="C1494"/>
    </row>
    <row r="1495" spans="3:3" x14ac:dyDescent="0.2">
      <c r="C1495"/>
    </row>
    <row r="1496" spans="3:3" x14ac:dyDescent="0.2">
      <c r="C1496"/>
    </row>
    <row r="1497" spans="3:3" x14ac:dyDescent="0.2">
      <c r="C1497"/>
    </row>
    <row r="1498" spans="3:3" x14ac:dyDescent="0.2">
      <c r="C1498"/>
    </row>
    <row r="1499" spans="3:3" x14ac:dyDescent="0.2">
      <c r="C1499"/>
    </row>
    <row r="1500" spans="3:3" x14ac:dyDescent="0.2">
      <c r="C1500"/>
    </row>
    <row r="1501" spans="3:3" x14ac:dyDescent="0.2">
      <c r="C1501"/>
    </row>
    <row r="1502" spans="3:3" x14ac:dyDescent="0.2">
      <c r="C1502"/>
    </row>
    <row r="1503" spans="3:3" x14ac:dyDescent="0.2">
      <c r="C1503"/>
    </row>
    <row r="1504" spans="3:3" x14ac:dyDescent="0.2">
      <c r="C1504"/>
    </row>
    <row r="1505" spans="3:3" x14ac:dyDescent="0.2">
      <c r="C1505"/>
    </row>
    <row r="1506" spans="3:3" x14ac:dyDescent="0.2">
      <c r="C1506"/>
    </row>
    <row r="1507" spans="3:3" x14ac:dyDescent="0.2">
      <c r="C1507"/>
    </row>
    <row r="1508" spans="3:3" x14ac:dyDescent="0.2">
      <c r="C1508"/>
    </row>
    <row r="1509" spans="3:3" x14ac:dyDescent="0.2">
      <c r="C1509"/>
    </row>
    <row r="1510" spans="3:3" x14ac:dyDescent="0.2">
      <c r="C1510"/>
    </row>
    <row r="1511" spans="3:3" x14ac:dyDescent="0.2">
      <c r="C1511"/>
    </row>
    <row r="1512" spans="3:3" x14ac:dyDescent="0.2">
      <c r="C1512"/>
    </row>
    <row r="1513" spans="3:3" x14ac:dyDescent="0.2">
      <c r="C1513"/>
    </row>
    <row r="1514" spans="3:3" x14ac:dyDescent="0.2">
      <c r="C1514"/>
    </row>
    <row r="1515" spans="3:3" x14ac:dyDescent="0.2">
      <c r="C1515"/>
    </row>
    <row r="1516" spans="3:3" x14ac:dyDescent="0.2">
      <c r="C1516"/>
    </row>
    <row r="1517" spans="3:3" x14ac:dyDescent="0.2">
      <c r="C1517"/>
    </row>
    <row r="1518" spans="3:3" x14ac:dyDescent="0.2">
      <c r="C1518"/>
    </row>
    <row r="1519" spans="3:3" x14ac:dyDescent="0.2">
      <c r="C1519"/>
    </row>
    <row r="1520" spans="3:3" x14ac:dyDescent="0.2">
      <c r="C1520"/>
    </row>
    <row r="1521" spans="3:3" x14ac:dyDescent="0.2">
      <c r="C1521"/>
    </row>
    <row r="1522" spans="3:3" x14ac:dyDescent="0.2">
      <c r="C1522"/>
    </row>
    <row r="1523" spans="3:3" x14ac:dyDescent="0.2">
      <c r="C1523"/>
    </row>
    <row r="1524" spans="3:3" x14ac:dyDescent="0.2">
      <c r="C1524"/>
    </row>
    <row r="1525" spans="3:3" x14ac:dyDescent="0.2">
      <c r="C1525"/>
    </row>
    <row r="1526" spans="3:3" x14ac:dyDescent="0.2">
      <c r="C1526"/>
    </row>
    <row r="1527" spans="3:3" x14ac:dyDescent="0.2">
      <c r="C1527"/>
    </row>
    <row r="1528" spans="3:3" x14ac:dyDescent="0.2">
      <c r="C1528"/>
    </row>
    <row r="1529" spans="3:3" x14ac:dyDescent="0.2">
      <c r="C1529"/>
    </row>
    <row r="1530" spans="3:3" x14ac:dyDescent="0.2">
      <c r="C1530"/>
    </row>
    <row r="1531" spans="3:3" x14ac:dyDescent="0.2">
      <c r="C1531"/>
    </row>
    <row r="1532" spans="3:3" x14ac:dyDescent="0.2">
      <c r="C1532"/>
    </row>
    <row r="1533" spans="3:3" x14ac:dyDescent="0.2">
      <c r="C1533"/>
    </row>
    <row r="1534" spans="3:3" x14ac:dyDescent="0.2">
      <c r="C1534"/>
    </row>
    <row r="1535" spans="3:3" x14ac:dyDescent="0.2">
      <c r="C1535"/>
    </row>
    <row r="1536" spans="3:3" x14ac:dyDescent="0.2">
      <c r="C1536"/>
    </row>
    <row r="1537" spans="3:3" x14ac:dyDescent="0.2">
      <c r="C1537"/>
    </row>
    <row r="1538" spans="3:3" x14ac:dyDescent="0.2">
      <c r="C1538"/>
    </row>
    <row r="1539" spans="3:3" x14ac:dyDescent="0.2">
      <c r="C1539"/>
    </row>
    <row r="1540" spans="3:3" x14ac:dyDescent="0.2">
      <c r="C1540"/>
    </row>
    <row r="1541" spans="3:3" x14ac:dyDescent="0.2">
      <c r="C1541"/>
    </row>
    <row r="1542" spans="3:3" x14ac:dyDescent="0.2">
      <c r="C1542"/>
    </row>
    <row r="1543" spans="3:3" x14ac:dyDescent="0.2">
      <c r="C1543"/>
    </row>
    <row r="1544" spans="3:3" x14ac:dyDescent="0.2">
      <c r="C1544"/>
    </row>
    <row r="1545" spans="3:3" x14ac:dyDescent="0.2">
      <c r="C1545"/>
    </row>
    <row r="1546" spans="3:3" x14ac:dyDescent="0.2">
      <c r="C1546"/>
    </row>
    <row r="1547" spans="3:3" x14ac:dyDescent="0.2">
      <c r="C1547"/>
    </row>
    <row r="1548" spans="3:3" x14ac:dyDescent="0.2">
      <c r="C1548"/>
    </row>
    <row r="1549" spans="3:3" x14ac:dyDescent="0.2">
      <c r="C1549"/>
    </row>
    <row r="1550" spans="3:3" x14ac:dyDescent="0.2">
      <c r="C1550"/>
    </row>
    <row r="1551" spans="3:3" x14ac:dyDescent="0.2">
      <c r="C1551"/>
    </row>
    <row r="1552" spans="3:3" x14ac:dyDescent="0.2">
      <c r="C1552"/>
    </row>
    <row r="1553" spans="3:3" x14ac:dyDescent="0.2">
      <c r="C1553"/>
    </row>
    <row r="1554" spans="3:3" x14ac:dyDescent="0.2">
      <c r="C1554"/>
    </row>
    <row r="1555" spans="3:3" x14ac:dyDescent="0.2">
      <c r="C1555"/>
    </row>
    <row r="1556" spans="3:3" x14ac:dyDescent="0.2">
      <c r="C1556"/>
    </row>
    <row r="1557" spans="3:3" x14ac:dyDescent="0.2">
      <c r="C1557"/>
    </row>
    <row r="1558" spans="3:3" x14ac:dyDescent="0.2">
      <c r="C1558"/>
    </row>
    <row r="1559" spans="3:3" x14ac:dyDescent="0.2">
      <c r="C1559"/>
    </row>
    <row r="1560" spans="3:3" x14ac:dyDescent="0.2">
      <c r="C1560"/>
    </row>
    <row r="1561" spans="3:3" x14ac:dyDescent="0.2">
      <c r="C1561"/>
    </row>
    <row r="1562" spans="3:3" x14ac:dyDescent="0.2">
      <c r="C1562"/>
    </row>
    <row r="1563" spans="3:3" x14ac:dyDescent="0.2">
      <c r="C1563"/>
    </row>
    <row r="1564" spans="3:3" x14ac:dyDescent="0.2">
      <c r="C1564"/>
    </row>
    <row r="1565" spans="3:3" x14ac:dyDescent="0.2">
      <c r="C1565"/>
    </row>
    <row r="1566" spans="3:3" x14ac:dyDescent="0.2">
      <c r="C1566"/>
    </row>
    <row r="1567" spans="3:3" x14ac:dyDescent="0.2">
      <c r="C1567"/>
    </row>
    <row r="1568" spans="3:3" x14ac:dyDescent="0.2">
      <c r="C1568"/>
    </row>
    <row r="1569" spans="3:3" x14ac:dyDescent="0.2">
      <c r="C1569"/>
    </row>
    <row r="1570" spans="3:3" x14ac:dyDescent="0.2">
      <c r="C1570"/>
    </row>
    <row r="1571" spans="3:3" x14ac:dyDescent="0.2">
      <c r="C1571"/>
    </row>
    <row r="1572" spans="3:3" x14ac:dyDescent="0.2">
      <c r="C1572"/>
    </row>
    <row r="1573" spans="3:3" x14ac:dyDescent="0.2">
      <c r="C1573"/>
    </row>
    <row r="1574" spans="3:3" x14ac:dyDescent="0.2">
      <c r="C1574"/>
    </row>
    <row r="1575" spans="3:3" x14ac:dyDescent="0.2">
      <c r="C1575"/>
    </row>
    <row r="1576" spans="3:3" x14ac:dyDescent="0.2">
      <c r="C1576"/>
    </row>
    <row r="1577" spans="3:3" x14ac:dyDescent="0.2">
      <c r="C1577"/>
    </row>
    <row r="1578" spans="3:3" x14ac:dyDescent="0.2">
      <c r="C1578"/>
    </row>
    <row r="1579" spans="3:3" x14ac:dyDescent="0.2">
      <c r="C1579"/>
    </row>
    <row r="1580" spans="3:3" x14ac:dyDescent="0.2">
      <c r="C1580"/>
    </row>
    <row r="1581" spans="3:3" x14ac:dyDescent="0.2">
      <c r="C1581"/>
    </row>
    <row r="1582" spans="3:3" x14ac:dyDescent="0.2">
      <c r="C1582"/>
    </row>
    <row r="1583" spans="3:3" x14ac:dyDescent="0.2">
      <c r="C1583"/>
    </row>
    <row r="1584" spans="3:3" x14ac:dyDescent="0.2">
      <c r="C1584"/>
    </row>
    <row r="1585" spans="3:3" x14ac:dyDescent="0.2">
      <c r="C1585"/>
    </row>
    <row r="1586" spans="3:3" x14ac:dyDescent="0.2">
      <c r="C1586"/>
    </row>
    <row r="1587" spans="3:3" x14ac:dyDescent="0.2">
      <c r="C1587"/>
    </row>
    <row r="1588" spans="3:3" x14ac:dyDescent="0.2">
      <c r="C1588"/>
    </row>
    <row r="1589" spans="3:3" x14ac:dyDescent="0.2">
      <c r="C1589"/>
    </row>
    <row r="1590" spans="3:3" x14ac:dyDescent="0.2">
      <c r="C1590"/>
    </row>
    <row r="1591" spans="3:3" x14ac:dyDescent="0.2">
      <c r="C1591"/>
    </row>
    <row r="1592" spans="3:3" x14ac:dyDescent="0.2">
      <c r="C1592"/>
    </row>
    <row r="1593" spans="3:3" x14ac:dyDescent="0.2">
      <c r="C1593"/>
    </row>
    <row r="1594" spans="3:3" x14ac:dyDescent="0.2">
      <c r="C1594"/>
    </row>
    <row r="1595" spans="3:3" x14ac:dyDescent="0.2">
      <c r="C1595"/>
    </row>
    <row r="1596" spans="3:3" x14ac:dyDescent="0.2">
      <c r="C1596"/>
    </row>
    <row r="1597" spans="3:3" x14ac:dyDescent="0.2">
      <c r="C1597"/>
    </row>
    <row r="1598" spans="3:3" x14ac:dyDescent="0.2">
      <c r="C1598"/>
    </row>
    <row r="1599" spans="3:3" x14ac:dyDescent="0.2">
      <c r="C1599"/>
    </row>
    <row r="1600" spans="3:3" x14ac:dyDescent="0.2">
      <c r="C1600"/>
    </row>
    <row r="1601" spans="3:3" x14ac:dyDescent="0.2">
      <c r="C1601"/>
    </row>
    <row r="1602" spans="3:3" x14ac:dyDescent="0.2">
      <c r="C1602"/>
    </row>
    <row r="1603" spans="3:3" x14ac:dyDescent="0.2">
      <c r="C1603"/>
    </row>
    <row r="1604" spans="3:3" x14ac:dyDescent="0.2">
      <c r="C1604"/>
    </row>
    <row r="1605" spans="3:3" x14ac:dyDescent="0.2">
      <c r="C1605"/>
    </row>
    <row r="1606" spans="3:3" x14ac:dyDescent="0.2">
      <c r="C1606"/>
    </row>
    <row r="1607" spans="3:3" x14ac:dyDescent="0.2">
      <c r="C1607"/>
    </row>
    <row r="1608" spans="3:3" x14ac:dyDescent="0.2">
      <c r="C1608"/>
    </row>
    <row r="1609" spans="3:3" x14ac:dyDescent="0.2">
      <c r="C1609"/>
    </row>
    <row r="1610" spans="3:3" x14ac:dyDescent="0.2">
      <c r="C1610"/>
    </row>
    <row r="1611" spans="3:3" x14ac:dyDescent="0.2">
      <c r="C1611"/>
    </row>
    <row r="1612" spans="3:3" x14ac:dyDescent="0.2">
      <c r="C1612"/>
    </row>
    <row r="1613" spans="3:3" x14ac:dyDescent="0.2">
      <c r="C1613"/>
    </row>
    <row r="1614" spans="3:3" x14ac:dyDescent="0.2">
      <c r="C1614"/>
    </row>
    <row r="1615" spans="3:3" x14ac:dyDescent="0.2">
      <c r="C1615"/>
    </row>
    <row r="1616" spans="3:3" x14ac:dyDescent="0.2">
      <c r="C1616"/>
    </row>
    <row r="1617" spans="3:3" x14ac:dyDescent="0.2">
      <c r="C1617"/>
    </row>
    <row r="1618" spans="3:3" x14ac:dyDescent="0.2">
      <c r="C1618"/>
    </row>
    <row r="1619" spans="3:3" x14ac:dyDescent="0.2">
      <c r="C1619"/>
    </row>
    <row r="1620" spans="3:3" x14ac:dyDescent="0.2">
      <c r="C1620"/>
    </row>
    <row r="1621" spans="3:3" x14ac:dyDescent="0.2">
      <c r="C1621"/>
    </row>
    <row r="1622" spans="3:3" x14ac:dyDescent="0.2">
      <c r="C1622"/>
    </row>
    <row r="1623" spans="3:3" x14ac:dyDescent="0.2">
      <c r="C1623"/>
    </row>
    <row r="1624" spans="3:3" x14ac:dyDescent="0.2">
      <c r="C1624"/>
    </row>
    <row r="1625" spans="3:3" x14ac:dyDescent="0.2">
      <c r="C1625"/>
    </row>
    <row r="1626" spans="3:3" x14ac:dyDescent="0.2">
      <c r="C1626"/>
    </row>
    <row r="1627" spans="3:3" x14ac:dyDescent="0.2">
      <c r="C1627"/>
    </row>
    <row r="1628" spans="3:3" x14ac:dyDescent="0.2">
      <c r="C1628"/>
    </row>
    <row r="1629" spans="3:3" x14ac:dyDescent="0.2">
      <c r="C1629"/>
    </row>
    <row r="1630" spans="3:3" x14ac:dyDescent="0.2">
      <c r="C1630"/>
    </row>
    <row r="1631" spans="3:3" x14ac:dyDescent="0.2">
      <c r="C1631"/>
    </row>
    <row r="1632" spans="3:3" x14ac:dyDescent="0.2">
      <c r="C1632"/>
    </row>
    <row r="1633" spans="3:3" x14ac:dyDescent="0.2">
      <c r="C1633"/>
    </row>
    <row r="1634" spans="3:3" x14ac:dyDescent="0.2">
      <c r="C1634"/>
    </row>
    <row r="1635" spans="3:3" x14ac:dyDescent="0.2">
      <c r="C1635"/>
    </row>
    <row r="1636" spans="3:3" x14ac:dyDescent="0.2">
      <c r="C1636"/>
    </row>
    <row r="1637" spans="3:3" x14ac:dyDescent="0.2">
      <c r="C1637"/>
    </row>
    <row r="1638" spans="3:3" x14ac:dyDescent="0.2">
      <c r="C1638"/>
    </row>
    <row r="1639" spans="3:3" x14ac:dyDescent="0.2">
      <c r="C1639"/>
    </row>
    <row r="1640" spans="3:3" x14ac:dyDescent="0.2">
      <c r="C1640"/>
    </row>
    <row r="1641" spans="3:3" x14ac:dyDescent="0.2">
      <c r="C1641"/>
    </row>
    <row r="1642" spans="3:3" x14ac:dyDescent="0.2">
      <c r="C1642"/>
    </row>
    <row r="1643" spans="3:3" x14ac:dyDescent="0.2">
      <c r="C1643"/>
    </row>
    <row r="1644" spans="3:3" x14ac:dyDescent="0.2">
      <c r="C1644"/>
    </row>
    <row r="1645" spans="3:3" x14ac:dyDescent="0.2">
      <c r="C1645"/>
    </row>
    <row r="1646" spans="3:3" x14ac:dyDescent="0.2">
      <c r="C1646"/>
    </row>
    <row r="1647" spans="3:3" x14ac:dyDescent="0.2">
      <c r="C1647"/>
    </row>
    <row r="1648" spans="3:3" x14ac:dyDescent="0.2">
      <c r="C1648"/>
    </row>
    <row r="1649" spans="3:3" x14ac:dyDescent="0.2">
      <c r="C1649"/>
    </row>
    <row r="1650" spans="3:3" x14ac:dyDescent="0.2">
      <c r="C1650"/>
    </row>
    <row r="1651" spans="3:3" x14ac:dyDescent="0.2">
      <c r="C1651"/>
    </row>
    <row r="1652" spans="3:3" x14ac:dyDescent="0.2">
      <c r="C1652"/>
    </row>
    <row r="1653" spans="3:3" x14ac:dyDescent="0.2">
      <c r="C1653"/>
    </row>
    <row r="1654" spans="3:3" x14ac:dyDescent="0.2">
      <c r="C1654"/>
    </row>
    <row r="1655" spans="3:3" x14ac:dyDescent="0.2">
      <c r="C1655"/>
    </row>
    <row r="1656" spans="3:3" x14ac:dyDescent="0.2">
      <c r="C1656"/>
    </row>
    <row r="1657" spans="3:3" x14ac:dyDescent="0.2">
      <c r="C1657"/>
    </row>
    <row r="1658" spans="3:3" x14ac:dyDescent="0.2">
      <c r="C1658"/>
    </row>
    <row r="1659" spans="3:3" x14ac:dyDescent="0.2">
      <c r="C1659"/>
    </row>
    <row r="1660" spans="3:3" x14ac:dyDescent="0.2">
      <c r="C1660"/>
    </row>
    <row r="1661" spans="3:3" x14ac:dyDescent="0.2">
      <c r="C1661"/>
    </row>
    <row r="1662" spans="3:3" x14ac:dyDescent="0.2">
      <c r="C1662"/>
    </row>
    <row r="1663" spans="3:3" x14ac:dyDescent="0.2">
      <c r="C1663"/>
    </row>
    <row r="1664" spans="3:3" x14ac:dyDescent="0.2">
      <c r="C1664"/>
    </row>
    <row r="1665" spans="3:3" x14ac:dyDescent="0.2">
      <c r="C1665"/>
    </row>
    <row r="1666" spans="3:3" x14ac:dyDescent="0.2">
      <c r="C1666"/>
    </row>
    <row r="1667" spans="3:3" x14ac:dyDescent="0.2">
      <c r="C1667"/>
    </row>
    <row r="1668" spans="3:3" x14ac:dyDescent="0.2">
      <c r="C1668"/>
    </row>
    <row r="1669" spans="3:3" x14ac:dyDescent="0.2">
      <c r="C1669"/>
    </row>
    <row r="1670" spans="3:3" x14ac:dyDescent="0.2">
      <c r="C1670"/>
    </row>
    <row r="1671" spans="3:3" x14ac:dyDescent="0.2">
      <c r="C1671"/>
    </row>
    <row r="1672" spans="3:3" x14ac:dyDescent="0.2">
      <c r="C1672"/>
    </row>
    <row r="1673" spans="3:3" x14ac:dyDescent="0.2">
      <c r="C1673"/>
    </row>
    <row r="1674" spans="3:3" x14ac:dyDescent="0.2">
      <c r="C1674"/>
    </row>
    <row r="1675" spans="3:3" x14ac:dyDescent="0.2">
      <c r="C1675"/>
    </row>
    <row r="1676" spans="3:3" x14ac:dyDescent="0.2">
      <c r="C1676"/>
    </row>
    <row r="1677" spans="3:3" x14ac:dyDescent="0.2">
      <c r="C1677"/>
    </row>
    <row r="1678" spans="3:3" x14ac:dyDescent="0.2">
      <c r="C1678"/>
    </row>
    <row r="1679" spans="3:3" x14ac:dyDescent="0.2">
      <c r="C1679"/>
    </row>
    <row r="1680" spans="3:3" x14ac:dyDescent="0.2">
      <c r="C1680"/>
    </row>
    <row r="1681" spans="3:3" x14ac:dyDescent="0.2">
      <c r="C1681"/>
    </row>
    <row r="1682" spans="3:3" x14ac:dyDescent="0.2">
      <c r="C1682"/>
    </row>
    <row r="1683" spans="3:3" x14ac:dyDescent="0.2">
      <c r="C1683"/>
    </row>
    <row r="1684" spans="3:3" x14ac:dyDescent="0.2">
      <c r="C1684"/>
    </row>
    <row r="1685" spans="3:3" x14ac:dyDescent="0.2">
      <c r="C1685"/>
    </row>
    <row r="1686" spans="3:3" x14ac:dyDescent="0.2">
      <c r="C1686"/>
    </row>
    <row r="1687" spans="3:3" x14ac:dyDescent="0.2">
      <c r="C1687"/>
    </row>
    <row r="1688" spans="3:3" x14ac:dyDescent="0.2">
      <c r="C1688"/>
    </row>
    <row r="1689" spans="3:3" x14ac:dyDescent="0.2">
      <c r="C1689"/>
    </row>
    <row r="1690" spans="3:3" x14ac:dyDescent="0.2">
      <c r="C1690"/>
    </row>
    <row r="1691" spans="3:3" x14ac:dyDescent="0.2">
      <c r="C1691"/>
    </row>
    <row r="1692" spans="3:3" x14ac:dyDescent="0.2">
      <c r="C1692"/>
    </row>
    <row r="1693" spans="3:3" x14ac:dyDescent="0.2">
      <c r="C1693"/>
    </row>
    <row r="1694" spans="3:3" x14ac:dyDescent="0.2">
      <c r="C1694"/>
    </row>
    <row r="1695" spans="3:3" x14ac:dyDescent="0.2">
      <c r="C1695"/>
    </row>
    <row r="1696" spans="3:3" x14ac:dyDescent="0.2">
      <c r="C1696"/>
    </row>
    <row r="1697" spans="3:3" x14ac:dyDescent="0.2">
      <c r="C1697"/>
    </row>
    <row r="1698" spans="3:3" x14ac:dyDescent="0.2">
      <c r="C1698"/>
    </row>
    <row r="1699" spans="3:3" x14ac:dyDescent="0.2">
      <c r="C1699"/>
    </row>
    <row r="1700" spans="3:3" x14ac:dyDescent="0.2">
      <c r="C1700"/>
    </row>
    <row r="1701" spans="3:3" x14ac:dyDescent="0.2">
      <c r="C1701"/>
    </row>
    <row r="1702" spans="3:3" x14ac:dyDescent="0.2">
      <c r="C1702"/>
    </row>
    <row r="1703" spans="3:3" x14ac:dyDescent="0.2">
      <c r="C1703"/>
    </row>
    <row r="1704" spans="3:3" x14ac:dyDescent="0.2">
      <c r="C1704"/>
    </row>
    <row r="1705" spans="3:3" x14ac:dyDescent="0.2">
      <c r="C1705"/>
    </row>
    <row r="1706" spans="3:3" x14ac:dyDescent="0.2">
      <c r="C1706"/>
    </row>
    <row r="1707" spans="3:3" x14ac:dyDescent="0.2">
      <c r="C1707"/>
    </row>
    <row r="1708" spans="3:3" x14ac:dyDescent="0.2">
      <c r="C1708"/>
    </row>
    <row r="1709" spans="3:3" x14ac:dyDescent="0.2">
      <c r="C1709"/>
    </row>
    <row r="1710" spans="3:3" x14ac:dyDescent="0.2">
      <c r="C1710"/>
    </row>
    <row r="1711" spans="3:3" x14ac:dyDescent="0.2">
      <c r="C1711"/>
    </row>
    <row r="1712" spans="3:3" x14ac:dyDescent="0.2">
      <c r="C1712"/>
    </row>
    <row r="1713" spans="3:3" x14ac:dyDescent="0.2">
      <c r="C1713"/>
    </row>
    <row r="1714" spans="3:3" x14ac:dyDescent="0.2">
      <c r="C1714"/>
    </row>
    <row r="1715" spans="3:3" x14ac:dyDescent="0.2">
      <c r="C1715"/>
    </row>
    <row r="1716" spans="3:3" x14ac:dyDescent="0.2">
      <c r="C1716"/>
    </row>
    <row r="1717" spans="3:3" x14ac:dyDescent="0.2">
      <c r="C1717"/>
    </row>
    <row r="1718" spans="3:3" x14ac:dyDescent="0.2">
      <c r="C1718"/>
    </row>
    <row r="1719" spans="3:3" x14ac:dyDescent="0.2">
      <c r="C1719"/>
    </row>
    <row r="1720" spans="3:3" x14ac:dyDescent="0.2">
      <c r="C1720"/>
    </row>
    <row r="1721" spans="3:3" x14ac:dyDescent="0.2">
      <c r="C1721"/>
    </row>
    <row r="1722" spans="3:3" x14ac:dyDescent="0.2">
      <c r="C1722"/>
    </row>
    <row r="1723" spans="3:3" x14ac:dyDescent="0.2">
      <c r="C1723"/>
    </row>
    <row r="1724" spans="3:3" x14ac:dyDescent="0.2">
      <c r="C1724"/>
    </row>
    <row r="1725" spans="3:3" x14ac:dyDescent="0.2">
      <c r="C1725"/>
    </row>
    <row r="1726" spans="3:3" x14ac:dyDescent="0.2">
      <c r="C1726"/>
    </row>
    <row r="1727" spans="3:3" x14ac:dyDescent="0.2">
      <c r="C1727"/>
    </row>
    <row r="1728" spans="3:3" x14ac:dyDescent="0.2">
      <c r="C1728"/>
    </row>
    <row r="1729" spans="3:3" x14ac:dyDescent="0.2">
      <c r="C1729"/>
    </row>
    <row r="1730" spans="3:3" x14ac:dyDescent="0.2">
      <c r="C1730"/>
    </row>
    <row r="1731" spans="3:3" x14ac:dyDescent="0.2">
      <c r="C1731"/>
    </row>
    <row r="1732" spans="3:3" x14ac:dyDescent="0.2">
      <c r="C1732"/>
    </row>
    <row r="1733" spans="3:3" x14ac:dyDescent="0.2">
      <c r="C1733"/>
    </row>
    <row r="1734" spans="3:3" x14ac:dyDescent="0.2">
      <c r="C1734"/>
    </row>
    <row r="1735" spans="3:3" x14ac:dyDescent="0.2">
      <c r="C1735"/>
    </row>
    <row r="1736" spans="3:3" x14ac:dyDescent="0.2">
      <c r="C1736"/>
    </row>
    <row r="1737" spans="3:3" x14ac:dyDescent="0.2">
      <c r="C1737"/>
    </row>
    <row r="1738" spans="3:3" x14ac:dyDescent="0.2">
      <c r="C1738"/>
    </row>
    <row r="1739" spans="3:3" x14ac:dyDescent="0.2">
      <c r="C1739"/>
    </row>
    <row r="1740" spans="3:3" x14ac:dyDescent="0.2">
      <c r="C1740"/>
    </row>
    <row r="1741" spans="3:3" x14ac:dyDescent="0.2">
      <c r="C1741"/>
    </row>
    <row r="1742" spans="3:3" x14ac:dyDescent="0.2">
      <c r="C1742"/>
    </row>
    <row r="1743" spans="3:3" x14ac:dyDescent="0.2">
      <c r="C1743"/>
    </row>
    <row r="1744" spans="3:3" x14ac:dyDescent="0.2">
      <c r="C1744"/>
    </row>
    <row r="1745" spans="3:3" x14ac:dyDescent="0.2">
      <c r="C1745"/>
    </row>
    <row r="1746" spans="3:3" x14ac:dyDescent="0.2">
      <c r="C1746"/>
    </row>
    <row r="1747" spans="3:3" x14ac:dyDescent="0.2">
      <c r="C1747"/>
    </row>
    <row r="1748" spans="3:3" x14ac:dyDescent="0.2">
      <c r="C1748"/>
    </row>
    <row r="1749" spans="3:3" x14ac:dyDescent="0.2">
      <c r="C1749"/>
    </row>
    <row r="1750" spans="3:3" x14ac:dyDescent="0.2">
      <c r="C1750"/>
    </row>
    <row r="1751" spans="3:3" x14ac:dyDescent="0.2">
      <c r="C1751"/>
    </row>
    <row r="1752" spans="3:3" x14ac:dyDescent="0.2">
      <c r="C1752"/>
    </row>
    <row r="1753" spans="3:3" x14ac:dyDescent="0.2">
      <c r="C1753"/>
    </row>
    <row r="1754" spans="3:3" x14ac:dyDescent="0.2">
      <c r="C1754"/>
    </row>
    <row r="1755" spans="3:3" x14ac:dyDescent="0.2">
      <c r="C1755"/>
    </row>
    <row r="1756" spans="3:3" x14ac:dyDescent="0.2">
      <c r="C1756"/>
    </row>
    <row r="1757" spans="3:3" x14ac:dyDescent="0.2">
      <c r="C1757"/>
    </row>
    <row r="1758" spans="3:3" x14ac:dyDescent="0.2">
      <c r="C1758"/>
    </row>
    <row r="1759" spans="3:3" x14ac:dyDescent="0.2">
      <c r="C1759"/>
    </row>
    <row r="1760" spans="3:3" x14ac:dyDescent="0.2">
      <c r="C1760"/>
    </row>
    <row r="1761" spans="3:3" x14ac:dyDescent="0.2">
      <c r="C1761"/>
    </row>
    <row r="1762" spans="3:3" x14ac:dyDescent="0.2">
      <c r="C1762"/>
    </row>
    <row r="1763" spans="3:3" x14ac:dyDescent="0.2">
      <c r="C1763"/>
    </row>
    <row r="1764" spans="3:3" x14ac:dyDescent="0.2">
      <c r="C1764"/>
    </row>
    <row r="1765" spans="3:3" x14ac:dyDescent="0.2">
      <c r="C1765"/>
    </row>
    <row r="1766" spans="3:3" x14ac:dyDescent="0.2">
      <c r="C1766"/>
    </row>
    <row r="1767" spans="3:3" x14ac:dyDescent="0.2">
      <c r="C1767"/>
    </row>
    <row r="1768" spans="3:3" x14ac:dyDescent="0.2">
      <c r="C1768"/>
    </row>
    <row r="1769" spans="3:3" x14ac:dyDescent="0.2">
      <c r="C1769"/>
    </row>
    <row r="1770" spans="3:3" x14ac:dyDescent="0.2">
      <c r="C1770"/>
    </row>
    <row r="1771" spans="3:3" x14ac:dyDescent="0.2">
      <c r="C1771"/>
    </row>
    <row r="1772" spans="3:3" x14ac:dyDescent="0.2">
      <c r="C1772"/>
    </row>
    <row r="1773" spans="3:3" x14ac:dyDescent="0.2">
      <c r="C1773"/>
    </row>
    <row r="1774" spans="3:3" x14ac:dyDescent="0.2">
      <c r="C1774"/>
    </row>
    <row r="1775" spans="3:3" x14ac:dyDescent="0.2">
      <c r="C1775"/>
    </row>
    <row r="1776" spans="3:3" x14ac:dyDescent="0.2">
      <c r="C1776"/>
    </row>
    <row r="1777" spans="3:3" x14ac:dyDescent="0.2">
      <c r="C1777"/>
    </row>
    <row r="1778" spans="3:3" x14ac:dyDescent="0.2">
      <c r="C1778"/>
    </row>
    <row r="1779" spans="3:3" x14ac:dyDescent="0.2">
      <c r="C1779"/>
    </row>
    <row r="1780" spans="3:3" x14ac:dyDescent="0.2">
      <c r="C1780"/>
    </row>
    <row r="1781" spans="3:3" x14ac:dyDescent="0.2">
      <c r="C1781"/>
    </row>
    <row r="1782" spans="3:3" x14ac:dyDescent="0.2">
      <c r="C1782"/>
    </row>
    <row r="1783" spans="3:3" x14ac:dyDescent="0.2">
      <c r="C1783"/>
    </row>
    <row r="1784" spans="3:3" x14ac:dyDescent="0.2">
      <c r="C1784"/>
    </row>
    <row r="1785" spans="3:3" x14ac:dyDescent="0.2">
      <c r="C1785"/>
    </row>
    <row r="1786" spans="3:3" x14ac:dyDescent="0.2">
      <c r="C1786"/>
    </row>
    <row r="1787" spans="3:3" x14ac:dyDescent="0.2">
      <c r="C1787"/>
    </row>
    <row r="1788" spans="3:3" x14ac:dyDescent="0.2">
      <c r="C1788"/>
    </row>
    <row r="1789" spans="3:3" x14ac:dyDescent="0.2">
      <c r="C1789"/>
    </row>
    <row r="1790" spans="3:3" x14ac:dyDescent="0.2">
      <c r="C1790"/>
    </row>
    <row r="1791" spans="3:3" x14ac:dyDescent="0.2">
      <c r="C1791"/>
    </row>
    <row r="1792" spans="3:3" x14ac:dyDescent="0.2">
      <c r="C1792"/>
    </row>
    <row r="1793" spans="3:3" x14ac:dyDescent="0.2">
      <c r="C1793"/>
    </row>
    <row r="1794" spans="3:3" x14ac:dyDescent="0.2">
      <c r="C1794"/>
    </row>
    <row r="1795" spans="3:3" x14ac:dyDescent="0.2">
      <c r="C1795"/>
    </row>
    <row r="1796" spans="3:3" x14ac:dyDescent="0.2">
      <c r="C1796"/>
    </row>
    <row r="1797" spans="3:3" x14ac:dyDescent="0.2">
      <c r="C1797"/>
    </row>
    <row r="1798" spans="3:3" x14ac:dyDescent="0.2">
      <c r="C1798"/>
    </row>
    <row r="1799" spans="3:3" x14ac:dyDescent="0.2">
      <c r="C1799"/>
    </row>
    <row r="1800" spans="3:3" x14ac:dyDescent="0.2">
      <c r="C1800"/>
    </row>
    <row r="1801" spans="3:3" x14ac:dyDescent="0.2">
      <c r="C1801"/>
    </row>
    <row r="1802" spans="3:3" x14ac:dyDescent="0.2">
      <c r="C1802"/>
    </row>
    <row r="1803" spans="3:3" x14ac:dyDescent="0.2">
      <c r="C1803"/>
    </row>
    <row r="1804" spans="3:3" x14ac:dyDescent="0.2">
      <c r="C1804"/>
    </row>
    <row r="1805" spans="3:3" x14ac:dyDescent="0.2">
      <c r="C1805"/>
    </row>
    <row r="1806" spans="3:3" x14ac:dyDescent="0.2">
      <c r="C1806"/>
    </row>
    <row r="1807" spans="3:3" x14ac:dyDescent="0.2">
      <c r="C1807"/>
    </row>
    <row r="1808" spans="3:3" x14ac:dyDescent="0.2">
      <c r="C1808"/>
    </row>
    <row r="1809" spans="3:3" x14ac:dyDescent="0.2">
      <c r="C1809"/>
    </row>
    <row r="1810" spans="3:3" x14ac:dyDescent="0.2">
      <c r="C1810"/>
    </row>
    <row r="1811" spans="3:3" x14ac:dyDescent="0.2">
      <c r="C1811"/>
    </row>
    <row r="1812" spans="3:3" x14ac:dyDescent="0.2">
      <c r="C1812"/>
    </row>
    <row r="1813" spans="3:3" x14ac:dyDescent="0.2">
      <c r="C1813"/>
    </row>
    <row r="1814" spans="3:3" x14ac:dyDescent="0.2">
      <c r="C1814"/>
    </row>
    <row r="1815" spans="3:3" x14ac:dyDescent="0.2">
      <c r="C1815"/>
    </row>
    <row r="1816" spans="3:3" x14ac:dyDescent="0.2">
      <c r="C1816"/>
    </row>
    <row r="1817" spans="3:3" x14ac:dyDescent="0.2">
      <c r="C1817"/>
    </row>
    <row r="1818" spans="3:3" x14ac:dyDescent="0.2">
      <c r="C1818"/>
    </row>
    <row r="1819" spans="3:3" x14ac:dyDescent="0.2">
      <c r="C1819"/>
    </row>
    <row r="1820" spans="3:3" x14ac:dyDescent="0.2">
      <c r="C1820"/>
    </row>
    <row r="1821" spans="3:3" x14ac:dyDescent="0.2">
      <c r="C1821"/>
    </row>
    <row r="1822" spans="3:3" x14ac:dyDescent="0.2">
      <c r="C1822"/>
    </row>
    <row r="1823" spans="3:3" x14ac:dyDescent="0.2">
      <c r="C1823"/>
    </row>
    <row r="1824" spans="3:3" x14ac:dyDescent="0.2">
      <c r="C1824"/>
    </row>
    <row r="1825" spans="3:3" x14ac:dyDescent="0.2">
      <c r="C1825"/>
    </row>
    <row r="1826" spans="3:3" x14ac:dyDescent="0.2">
      <c r="C1826"/>
    </row>
    <row r="1827" spans="3:3" x14ac:dyDescent="0.2">
      <c r="C1827"/>
    </row>
    <row r="1828" spans="3:3" x14ac:dyDescent="0.2">
      <c r="C1828"/>
    </row>
    <row r="1829" spans="3:3" x14ac:dyDescent="0.2">
      <c r="C1829"/>
    </row>
    <row r="1830" spans="3:3" x14ac:dyDescent="0.2">
      <c r="C1830"/>
    </row>
    <row r="1831" spans="3:3" x14ac:dyDescent="0.2">
      <c r="C1831"/>
    </row>
    <row r="1832" spans="3:3" x14ac:dyDescent="0.2">
      <c r="C1832"/>
    </row>
    <row r="1833" spans="3:3" x14ac:dyDescent="0.2">
      <c r="C1833"/>
    </row>
    <row r="1834" spans="3:3" x14ac:dyDescent="0.2">
      <c r="C1834"/>
    </row>
    <row r="1835" spans="3:3" x14ac:dyDescent="0.2">
      <c r="C1835"/>
    </row>
    <row r="1836" spans="3:3" x14ac:dyDescent="0.2">
      <c r="C1836"/>
    </row>
    <row r="1837" spans="3:3" x14ac:dyDescent="0.2">
      <c r="C1837"/>
    </row>
    <row r="1838" spans="3:3" x14ac:dyDescent="0.2">
      <c r="C1838"/>
    </row>
    <row r="1839" spans="3:3" x14ac:dyDescent="0.2">
      <c r="C1839"/>
    </row>
    <row r="1840" spans="3:3" x14ac:dyDescent="0.2">
      <c r="C1840"/>
    </row>
    <row r="1841" spans="3:3" x14ac:dyDescent="0.2">
      <c r="C1841"/>
    </row>
    <row r="1842" spans="3:3" x14ac:dyDescent="0.2">
      <c r="C1842"/>
    </row>
    <row r="1843" spans="3:3" x14ac:dyDescent="0.2">
      <c r="C1843"/>
    </row>
    <row r="1844" spans="3:3" x14ac:dyDescent="0.2">
      <c r="C1844"/>
    </row>
    <row r="1845" spans="3:3" x14ac:dyDescent="0.2">
      <c r="C1845"/>
    </row>
    <row r="1846" spans="3:3" x14ac:dyDescent="0.2">
      <c r="C1846"/>
    </row>
    <row r="1847" spans="3:3" x14ac:dyDescent="0.2">
      <c r="C1847"/>
    </row>
    <row r="1848" spans="3:3" x14ac:dyDescent="0.2">
      <c r="C1848"/>
    </row>
    <row r="1849" spans="3:3" x14ac:dyDescent="0.2">
      <c r="C1849"/>
    </row>
    <row r="1850" spans="3:3" x14ac:dyDescent="0.2">
      <c r="C1850"/>
    </row>
    <row r="1851" spans="3:3" x14ac:dyDescent="0.2">
      <c r="C1851"/>
    </row>
    <row r="1852" spans="3:3" x14ac:dyDescent="0.2">
      <c r="C1852"/>
    </row>
    <row r="1853" spans="3:3" x14ac:dyDescent="0.2">
      <c r="C1853"/>
    </row>
    <row r="1854" spans="3:3" x14ac:dyDescent="0.2">
      <c r="C1854"/>
    </row>
    <row r="1855" spans="3:3" x14ac:dyDescent="0.2">
      <c r="C1855"/>
    </row>
    <row r="1856" spans="3:3" x14ac:dyDescent="0.2">
      <c r="C1856"/>
    </row>
    <row r="1857" spans="3:3" x14ac:dyDescent="0.2">
      <c r="C1857"/>
    </row>
    <row r="1858" spans="3:3" x14ac:dyDescent="0.2">
      <c r="C1858"/>
    </row>
    <row r="1859" spans="3:3" x14ac:dyDescent="0.2">
      <c r="C1859"/>
    </row>
    <row r="1860" spans="3:3" x14ac:dyDescent="0.2">
      <c r="C1860"/>
    </row>
    <row r="1861" spans="3:3" x14ac:dyDescent="0.2">
      <c r="C1861"/>
    </row>
    <row r="1862" spans="3:3" x14ac:dyDescent="0.2">
      <c r="C1862"/>
    </row>
    <row r="1863" spans="3:3" x14ac:dyDescent="0.2">
      <c r="C1863"/>
    </row>
    <row r="1864" spans="3:3" x14ac:dyDescent="0.2">
      <c r="C1864"/>
    </row>
    <row r="1865" spans="3:3" x14ac:dyDescent="0.2">
      <c r="C1865"/>
    </row>
    <row r="1866" spans="3:3" x14ac:dyDescent="0.2">
      <c r="C1866"/>
    </row>
    <row r="1867" spans="3:3" x14ac:dyDescent="0.2">
      <c r="C1867"/>
    </row>
    <row r="1868" spans="3:3" x14ac:dyDescent="0.2">
      <c r="C1868"/>
    </row>
    <row r="1869" spans="3:3" x14ac:dyDescent="0.2">
      <c r="C1869"/>
    </row>
    <row r="1870" spans="3:3" x14ac:dyDescent="0.2">
      <c r="C1870"/>
    </row>
    <row r="1871" spans="3:3" x14ac:dyDescent="0.2">
      <c r="C1871"/>
    </row>
    <row r="1872" spans="3:3" x14ac:dyDescent="0.2">
      <c r="C1872"/>
    </row>
    <row r="1873" spans="3:3" x14ac:dyDescent="0.2">
      <c r="C1873"/>
    </row>
    <row r="1874" spans="3:3" x14ac:dyDescent="0.2">
      <c r="C1874"/>
    </row>
    <row r="1875" spans="3:3" x14ac:dyDescent="0.2">
      <c r="C1875"/>
    </row>
    <row r="1876" spans="3:3" x14ac:dyDescent="0.2">
      <c r="C1876"/>
    </row>
    <row r="1877" spans="3:3" x14ac:dyDescent="0.2">
      <c r="C1877"/>
    </row>
    <row r="1878" spans="3:3" x14ac:dyDescent="0.2">
      <c r="C1878"/>
    </row>
    <row r="1879" spans="3:3" x14ac:dyDescent="0.2">
      <c r="C1879"/>
    </row>
    <row r="1880" spans="3:3" x14ac:dyDescent="0.2">
      <c r="C1880"/>
    </row>
    <row r="1881" spans="3:3" x14ac:dyDescent="0.2">
      <c r="C1881"/>
    </row>
    <row r="1882" spans="3:3" x14ac:dyDescent="0.2">
      <c r="C1882"/>
    </row>
    <row r="1883" spans="3:3" x14ac:dyDescent="0.2">
      <c r="C1883"/>
    </row>
    <row r="1884" spans="3:3" x14ac:dyDescent="0.2">
      <c r="C1884"/>
    </row>
    <row r="1885" spans="3:3" x14ac:dyDescent="0.2">
      <c r="C1885"/>
    </row>
    <row r="1886" spans="3:3" x14ac:dyDescent="0.2">
      <c r="C1886"/>
    </row>
    <row r="1887" spans="3:3" x14ac:dyDescent="0.2">
      <c r="C1887"/>
    </row>
    <row r="1888" spans="3:3" x14ac:dyDescent="0.2">
      <c r="C1888"/>
    </row>
    <row r="1889" spans="3:3" x14ac:dyDescent="0.2">
      <c r="C1889"/>
    </row>
    <row r="1890" spans="3:3" x14ac:dyDescent="0.2">
      <c r="C1890"/>
    </row>
    <row r="1891" spans="3:3" x14ac:dyDescent="0.2">
      <c r="C1891"/>
    </row>
    <row r="1892" spans="3:3" x14ac:dyDescent="0.2">
      <c r="C1892"/>
    </row>
    <row r="1893" spans="3:3" x14ac:dyDescent="0.2">
      <c r="C1893"/>
    </row>
    <row r="1894" spans="3:3" x14ac:dyDescent="0.2">
      <c r="C1894"/>
    </row>
    <row r="1895" spans="3:3" x14ac:dyDescent="0.2">
      <c r="C1895"/>
    </row>
    <row r="1896" spans="3:3" x14ac:dyDescent="0.2">
      <c r="C1896"/>
    </row>
    <row r="1897" spans="3:3" x14ac:dyDescent="0.2">
      <c r="C1897"/>
    </row>
    <row r="1898" spans="3:3" x14ac:dyDescent="0.2">
      <c r="C1898"/>
    </row>
    <row r="1899" spans="3:3" x14ac:dyDescent="0.2">
      <c r="C1899"/>
    </row>
    <row r="1900" spans="3:3" x14ac:dyDescent="0.2">
      <c r="C1900"/>
    </row>
    <row r="1901" spans="3:3" x14ac:dyDescent="0.2">
      <c r="C1901"/>
    </row>
    <row r="1902" spans="3:3" x14ac:dyDescent="0.2">
      <c r="C1902"/>
    </row>
    <row r="1903" spans="3:3" x14ac:dyDescent="0.2">
      <c r="C1903"/>
    </row>
    <row r="1904" spans="3:3" x14ac:dyDescent="0.2">
      <c r="C1904"/>
    </row>
    <row r="1905" spans="3:3" x14ac:dyDescent="0.2">
      <c r="C1905"/>
    </row>
    <row r="1906" spans="3:3" x14ac:dyDescent="0.2">
      <c r="C1906"/>
    </row>
    <row r="1907" spans="3:3" x14ac:dyDescent="0.2">
      <c r="C1907"/>
    </row>
    <row r="1908" spans="3:3" x14ac:dyDescent="0.2">
      <c r="C1908"/>
    </row>
    <row r="1909" spans="3:3" x14ac:dyDescent="0.2">
      <c r="C1909"/>
    </row>
    <row r="1910" spans="3:3" x14ac:dyDescent="0.2">
      <c r="C1910"/>
    </row>
    <row r="1911" spans="3:3" x14ac:dyDescent="0.2">
      <c r="C1911"/>
    </row>
    <row r="1912" spans="3:3" x14ac:dyDescent="0.2">
      <c r="C1912"/>
    </row>
    <row r="1913" spans="3:3" x14ac:dyDescent="0.2">
      <c r="C1913"/>
    </row>
    <row r="1914" spans="3:3" x14ac:dyDescent="0.2">
      <c r="C1914"/>
    </row>
    <row r="1915" spans="3:3" x14ac:dyDescent="0.2">
      <c r="C1915"/>
    </row>
    <row r="1916" spans="3:3" x14ac:dyDescent="0.2">
      <c r="C1916"/>
    </row>
    <row r="1917" spans="3:3" x14ac:dyDescent="0.2">
      <c r="C1917"/>
    </row>
    <row r="1918" spans="3:3" x14ac:dyDescent="0.2">
      <c r="C1918"/>
    </row>
    <row r="1919" spans="3:3" x14ac:dyDescent="0.2">
      <c r="C1919"/>
    </row>
    <row r="1920" spans="3:3" x14ac:dyDescent="0.2">
      <c r="C1920"/>
    </row>
    <row r="1921" spans="3:3" x14ac:dyDescent="0.2">
      <c r="C1921"/>
    </row>
    <row r="1922" spans="3:3" x14ac:dyDescent="0.2">
      <c r="C1922"/>
    </row>
    <row r="1923" spans="3:3" x14ac:dyDescent="0.2">
      <c r="C1923"/>
    </row>
    <row r="1924" spans="3:3" x14ac:dyDescent="0.2">
      <c r="C1924"/>
    </row>
    <row r="1925" spans="3:3" x14ac:dyDescent="0.2">
      <c r="C1925"/>
    </row>
    <row r="1926" spans="3:3" x14ac:dyDescent="0.2">
      <c r="C1926"/>
    </row>
    <row r="1927" spans="3:3" x14ac:dyDescent="0.2">
      <c r="C1927"/>
    </row>
    <row r="1928" spans="3:3" x14ac:dyDescent="0.2">
      <c r="C1928"/>
    </row>
    <row r="1929" spans="3:3" x14ac:dyDescent="0.2">
      <c r="C1929"/>
    </row>
    <row r="1930" spans="3:3" x14ac:dyDescent="0.2">
      <c r="C1930"/>
    </row>
    <row r="1931" spans="3:3" x14ac:dyDescent="0.2">
      <c r="C1931"/>
    </row>
    <row r="1932" spans="3:3" x14ac:dyDescent="0.2">
      <c r="C1932"/>
    </row>
    <row r="1933" spans="3:3" x14ac:dyDescent="0.2">
      <c r="C1933"/>
    </row>
    <row r="1934" spans="3:3" x14ac:dyDescent="0.2">
      <c r="C1934"/>
    </row>
    <row r="1935" spans="3:3" x14ac:dyDescent="0.2">
      <c r="C1935"/>
    </row>
    <row r="1936" spans="3:3" x14ac:dyDescent="0.2">
      <c r="C1936"/>
    </row>
    <row r="1937" spans="3:3" x14ac:dyDescent="0.2">
      <c r="C1937"/>
    </row>
    <row r="1938" spans="3:3" x14ac:dyDescent="0.2">
      <c r="C1938"/>
    </row>
    <row r="1939" spans="3:3" x14ac:dyDescent="0.2">
      <c r="C1939"/>
    </row>
    <row r="1940" spans="3:3" x14ac:dyDescent="0.2">
      <c r="C1940"/>
    </row>
    <row r="1941" spans="3:3" x14ac:dyDescent="0.2">
      <c r="C1941"/>
    </row>
    <row r="1942" spans="3:3" x14ac:dyDescent="0.2">
      <c r="C1942"/>
    </row>
    <row r="1943" spans="3:3" x14ac:dyDescent="0.2">
      <c r="C1943"/>
    </row>
    <row r="1944" spans="3:3" x14ac:dyDescent="0.2">
      <c r="C1944"/>
    </row>
    <row r="1945" spans="3:3" x14ac:dyDescent="0.2">
      <c r="C1945"/>
    </row>
    <row r="1946" spans="3:3" x14ac:dyDescent="0.2">
      <c r="C1946"/>
    </row>
    <row r="1947" spans="3:3" x14ac:dyDescent="0.2">
      <c r="C1947"/>
    </row>
    <row r="1948" spans="3:3" x14ac:dyDescent="0.2">
      <c r="C1948"/>
    </row>
    <row r="1949" spans="3:3" x14ac:dyDescent="0.2">
      <c r="C1949"/>
    </row>
    <row r="1950" spans="3:3" x14ac:dyDescent="0.2">
      <c r="C1950"/>
    </row>
    <row r="1951" spans="3:3" x14ac:dyDescent="0.2">
      <c r="C1951"/>
    </row>
    <row r="1952" spans="3:3" x14ac:dyDescent="0.2">
      <c r="C1952"/>
    </row>
    <row r="1953" spans="3:3" x14ac:dyDescent="0.2">
      <c r="C1953"/>
    </row>
    <row r="1954" spans="3:3" x14ac:dyDescent="0.2">
      <c r="C1954"/>
    </row>
    <row r="1955" spans="3:3" x14ac:dyDescent="0.2">
      <c r="C1955"/>
    </row>
    <row r="1956" spans="3:3" x14ac:dyDescent="0.2">
      <c r="C1956"/>
    </row>
    <row r="1957" spans="3:3" x14ac:dyDescent="0.2">
      <c r="C1957"/>
    </row>
    <row r="1958" spans="3:3" x14ac:dyDescent="0.2">
      <c r="C1958"/>
    </row>
    <row r="1959" spans="3:3" x14ac:dyDescent="0.2">
      <c r="C1959"/>
    </row>
    <row r="1960" spans="3:3" x14ac:dyDescent="0.2">
      <c r="C1960"/>
    </row>
    <row r="1961" spans="3:3" x14ac:dyDescent="0.2">
      <c r="C1961"/>
    </row>
    <row r="1962" spans="3:3" x14ac:dyDescent="0.2">
      <c r="C1962"/>
    </row>
    <row r="1963" spans="3:3" x14ac:dyDescent="0.2">
      <c r="C1963"/>
    </row>
    <row r="1964" spans="3:3" x14ac:dyDescent="0.2">
      <c r="C1964"/>
    </row>
    <row r="1965" spans="3:3" x14ac:dyDescent="0.2">
      <c r="C1965"/>
    </row>
    <row r="1966" spans="3:3" x14ac:dyDescent="0.2">
      <c r="C1966"/>
    </row>
    <row r="1967" spans="3:3" x14ac:dyDescent="0.2">
      <c r="C1967"/>
    </row>
    <row r="1968" spans="3:3" x14ac:dyDescent="0.2">
      <c r="C1968"/>
    </row>
    <row r="1969" spans="3:3" x14ac:dyDescent="0.2">
      <c r="C1969"/>
    </row>
    <row r="1970" spans="3:3" x14ac:dyDescent="0.2">
      <c r="C1970"/>
    </row>
    <row r="1971" spans="3:3" x14ac:dyDescent="0.2">
      <c r="C1971"/>
    </row>
    <row r="1972" spans="3:3" x14ac:dyDescent="0.2">
      <c r="C1972"/>
    </row>
    <row r="1973" spans="3:3" x14ac:dyDescent="0.2">
      <c r="C1973"/>
    </row>
    <row r="1974" spans="3:3" x14ac:dyDescent="0.2">
      <c r="C1974"/>
    </row>
    <row r="1975" spans="3:3" x14ac:dyDescent="0.2">
      <c r="C1975"/>
    </row>
    <row r="1976" spans="3:3" x14ac:dyDescent="0.2">
      <c r="C1976"/>
    </row>
    <row r="1977" spans="3:3" x14ac:dyDescent="0.2">
      <c r="C1977"/>
    </row>
    <row r="1978" spans="3:3" x14ac:dyDescent="0.2">
      <c r="C1978"/>
    </row>
    <row r="1979" spans="3:3" x14ac:dyDescent="0.2">
      <c r="C1979"/>
    </row>
    <row r="1980" spans="3:3" x14ac:dyDescent="0.2">
      <c r="C1980"/>
    </row>
    <row r="1981" spans="3:3" x14ac:dyDescent="0.2">
      <c r="C1981"/>
    </row>
    <row r="1982" spans="3:3" x14ac:dyDescent="0.2">
      <c r="C1982"/>
    </row>
    <row r="1983" spans="3:3" x14ac:dyDescent="0.2">
      <c r="C1983"/>
    </row>
    <row r="1984" spans="3:3" x14ac:dyDescent="0.2">
      <c r="C1984"/>
    </row>
    <row r="1985" spans="3:3" x14ac:dyDescent="0.2">
      <c r="C1985"/>
    </row>
    <row r="1986" spans="3:3" x14ac:dyDescent="0.2">
      <c r="C1986"/>
    </row>
    <row r="1987" spans="3:3" x14ac:dyDescent="0.2">
      <c r="C1987"/>
    </row>
    <row r="1988" spans="3:3" x14ac:dyDescent="0.2">
      <c r="C1988"/>
    </row>
    <row r="1989" spans="3:3" x14ac:dyDescent="0.2">
      <c r="C1989"/>
    </row>
    <row r="1990" spans="3:3" x14ac:dyDescent="0.2">
      <c r="C1990"/>
    </row>
    <row r="1991" spans="3:3" x14ac:dyDescent="0.2">
      <c r="C1991"/>
    </row>
    <row r="1992" spans="3:3" x14ac:dyDescent="0.2">
      <c r="C1992"/>
    </row>
    <row r="1993" spans="3:3" x14ac:dyDescent="0.2">
      <c r="C1993"/>
    </row>
    <row r="1994" spans="3:3" x14ac:dyDescent="0.2">
      <c r="C1994"/>
    </row>
    <row r="1995" spans="3:3" x14ac:dyDescent="0.2">
      <c r="C1995"/>
    </row>
    <row r="1996" spans="3:3" x14ac:dyDescent="0.2">
      <c r="C1996"/>
    </row>
    <row r="1997" spans="3:3" x14ac:dyDescent="0.2">
      <c r="C1997"/>
    </row>
    <row r="1998" spans="3:3" x14ac:dyDescent="0.2">
      <c r="C1998"/>
    </row>
    <row r="1999" spans="3:3" x14ac:dyDescent="0.2">
      <c r="C1999"/>
    </row>
    <row r="2000" spans="3:3" x14ac:dyDescent="0.2">
      <c r="C2000"/>
    </row>
    <row r="2001" spans="3:3" x14ac:dyDescent="0.2">
      <c r="C2001"/>
    </row>
    <row r="2002" spans="3:3" x14ac:dyDescent="0.2">
      <c r="C2002"/>
    </row>
    <row r="2003" spans="3:3" x14ac:dyDescent="0.2">
      <c r="C2003"/>
    </row>
    <row r="2004" spans="3:3" x14ac:dyDescent="0.2">
      <c r="C2004"/>
    </row>
    <row r="2005" spans="3:3" x14ac:dyDescent="0.2">
      <c r="C2005"/>
    </row>
    <row r="2006" spans="3:3" x14ac:dyDescent="0.2">
      <c r="C2006"/>
    </row>
    <row r="2007" spans="3:3" x14ac:dyDescent="0.2">
      <c r="C2007"/>
    </row>
    <row r="2008" spans="3:3" x14ac:dyDescent="0.2">
      <c r="C2008"/>
    </row>
    <row r="2009" spans="3:3" x14ac:dyDescent="0.2">
      <c r="C2009"/>
    </row>
    <row r="2010" spans="3:3" x14ac:dyDescent="0.2">
      <c r="C2010"/>
    </row>
    <row r="2011" spans="3:3" x14ac:dyDescent="0.2">
      <c r="C2011"/>
    </row>
    <row r="2012" spans="3:3" x14ac:dyDescent="0.2">
      <c r="C2012"/>
    </row>
    <row r="2013" spans="3:3" x14ac:dyDescent="0.2">
      <c r="C2013"/>
    </row>
    <row r="2014" spans="3:3" x14ac:dyDescent="0.2">
      <c r="C2014"/>
    </row>
    <row r="2015" spans="3:3" x14ac:dyDescent="0.2">
      <c r="C2015"/>
    </row>
    <row r="2016" spans="3:3" x14ac:dyDescent="0.2">
      <c r="C2016"/>
    </row>
    <row r="2017" spans="3:3" x14ac:dyDescent="0.2">
      <c r="C2017"/>
    </row>
    <row r="2018" spans="3:3" x14ac:dyDescent="0.2">
      <c r="C2018"/>
    </row>
    <row r="2019" spans="3:3" x14ac:dyDescent="0.2">
      <c r="C2019"/>
    </row>
    <row r="2020" spans="3:3" x14ac:dyDescent="0.2">
      <c r="C2020"/>
    </row>
    <row r="2021" spans="3:3" x14ac:dyDescent="0.2">
      <c r="C2021"/>
    </row>
    <row r="2022" spans="3:3" x14ac:dyDescent="0.2">
      <c r="C2022"/>
    </row>
    <row r="2023" spans="3:3" x14ac:dyDescent="0.2">
      <c r="C2023"/>
    </row>
    <row r="2024" spans="3:3" x14ac:dyDescent="0.2">
      <c r="C2024"/>
    </row>
    <row r="2025" spans="3:3" x14ac:dyDescent="0.2">
      <c r="C2025"/>
    </row>
    <row r="2026" spans="3:3" x14ac:dyDescent="0.2">
      <c r="C2026"/>
    </row>
    <row r="2027" spans="3:3" x14ac:dyDescent="0.2">
      <c r="C2027"/>
    </row>
    <row r="2028" spans="3:3" x14ac:dyDescent="0.2">
      <c r="C2028"/>
    </row>
    <row r="2029" spans="3:3" x14ac:dyDescent="0.2">
      <c r="C2029"/>
    </row>
    <row r="2030" spans="3:3" x14ac:dyDescent="0.2">
      <c r="C2030"/>
    </row>
    <row r="2031" spans="3:3" x14ac:dyDescent="0.2">
      <c r="C2031"/>
    </row>
    <row r="2032" spans="3:3" x14ac:dyDescent="0.2">
      <c r="C2032"/>
    </row>
    <row r="2033" spans="3:3" x14ac:dyDescent="0.2">
      <c r="C2033"/>
    </row>
    <row r="2034" spans="3:3" x14ac:dyDescent="0.2">
      <c r="C2034"/>
    </row>
    <row r="2035" spans="3:3" x14ac:dyDescent="0.2">
      <c r="C2035"/>
    </row>
    <row r="2036" spans="3:3" x14ac:dyDescent="0.2">
      <c r="C2036"/>
    </row>
    <row r="2037" spans="3:3" x14ac:dyDescent="0.2">
      <c r="C2037"/>
    </row>
    <row r="2038" spans="3:3" x14ac:dyDescent="0.2">
      <c r="C2038"/>
    </row>
    <row r="2039" spans="3:3" x14ac:dyDescent="0.2">
      <c r="C2039"/>
    </row>
    <row r="2040" spans="3:3" x14ac:dyDescent="0.2">
      <c r="C2040"/>
    </row>
    <row r="2041" spans="3:3" x14ac:dyDescent="0.2">
      <c r="C2041"/>
    </row>
    <row r="2042" spans="3:3" x14ac:dyDescent="0.2">
      <c r="C2042"/>
    </row>
    <row r="2043" spans="3:3" x14ac:dyDescent="0.2">
      <c r="C2043"/>
    </row>
    <row r="2044" spans="3:3" x14ac:dyDescent="0.2">
      <c r="C2044"/>
    </row>
    <row r="2045" spans="3:3" x14ac:dyDescent="0.2">
      <c r="C2045"/>
    </row>
    <row r="2046" spans="3:3" x14ac:dyDescent="0.2">
      <c r="C2046"/>
    </row>
    <row r="2047" spans="3:3" x14ac:dyDescent="0.2">
      <c r="C2047"/>
    </row>
    <row r="2048" spans="3:3" x14ac:dyDescent="0.2">
      <c r="C2048"/>
    </row>
    <row r="2049" spans="3:3" x14ac:dyDescent="0.2">
      <c r="C2049"/>
    </row>
    <row r="2050" spans="3:3" x14ac:dyDescent="0.2">
      <c r="C2050"/>
    </row>
    <row r="2051" spans="3:3" x14ac:dyDescent="0.2">
      <c r="C2051"/>
    </row>
    <row r="2052" spans="3:3" x14ac:dyDescent="0.2">
      <c r="C2052"/>
    </row>
    <row r="2053" spans="3:3" x14ac:dyDescent="0.2">
      <c r="C2053"/>
    </row>
    <row r="2054" spans="3:3" x14ac:dyDescent="0.2">
      <c r="C2054"/>
    </row>
    <row r="2055" spans="3:3" x14ac:dyDescent="0.2">
      <c r="C2055"/>
    </row>
    <row r="2056" spans="3:3" x14ac:dyDescent="0.2">
      <c r="C2056"/>
    </row>
    <row r="2057" spans="3:3" x14ac:dyDescent="0.2">
      <c r="C2057"/>
    </row>
    <row r="2058" spans="3:3" x14ac:dyDescent="0.2">
      <c r="C2058"/>
    </row>
    <row r="2059" spans="3:3" x14ac:dyDescent="0.2">
      <c r="C2059"/>
    </row>
    <row r="2060" spans="3:3" x14ac:dyDescent="0.2">
      <c r="C2060"/>
    </row>
    <row r="2061" spans="3:3" x14ac:dyDescent="0.2">
      <c r="C2061"/>
    </row>
    <row r="2062" spans="3:3" x14ac:dyDescent="0.2">
      <c r="C2062"/>
    </row>
    <row r="2063" spans="3:3" x14ac:dyDescent="0.2">
      <c r="C2063"/>
    </row>
    <row r="2064" spans="3:3" x14ac:dyDescent="0.2">
      <c r="C2064"/>
    </row>
    <row r="2065" spans="3:3" x14ac:dyDescent="0.2">
      <c r="C2065"/>
    </row>
    <row r="2066" spans="3:3" x14ac:dyDescent="0.2">
      <c r="C2066"/>
    </row>
    <row r="2067" spans="3:3" x14ac:dyDescent="0.2">
      <c r="C2067"/>
    </row>
    <row r="2068" spans="3:3" x14ac:dyDescent="0.2">
      <c r="C2068"/>
    </row>
    <row r="2069" spans="3:3" x14ac:dyDescent="0.2">
      <c r="C2069"/>
    </row>
    <row r="2070" spans="3:3" x14ac:dyDescent="0.2">
      <c r="C2070"/>
    </row>
    <row r="2071" spans="3:3" x14ac:dyDescent="0.2">
      <c r="C2071"/>
    </row>
    <row r="2072" spans="3:3" x14ac:dyDescent="0.2">
      <c r="C2072"/>
    </row>
    <row r="2073" spans="3:3" x14ac:dyDescent="0.2">
      <c r="C2073"/>
    </row>
    <row r="2074" spans="3:3" x14ac:dyDescent="0.2">
      <c r="C2074"/>
    </row>
    <row r="2075" spans="3:3" x14ac:dyDescent="0.2">
      <c r="C2075"/>
    </row>
    <row r="2076" spans="3:3" x14ac:dyDescent="0.2">
      <c r="C2076"/>
    </row>
    <row r="2077" spans="3:3" x14ac:dyDescent="0.2">
      <c r="C2077"/>
    </row>
    <row r="2078" spans="3:3" x14ac:dyDescent="0.2">
      <c r="C2078"/>
    </row>
    <row r="2079" spans="3:3" x14ac:dyDescent="0.2">
      <c r="C2079"/>
    </row>
    <row r="2080" spans="3:3" x14ac:dyDescent="0.2">
      <c r="C2080"/>
    </row>
    <row r="2081" spans="3:3" x14ac:dyDescent="0.2">
      <c r="C2081"/>
    </row>
    <row r="2082" spans="3:3" x14ac:dyDescent="0.2">
      <c r="C2082"/>
    </row>
    <row r="2083" spans="3:3" x14ac:dyDescent="0.2">
      <c r="C2083"/>
    </row>
    <row r="2084" spans="3:3" x14ac:dyDescent="0.2">
      <c r="C2084"/>
    </row>
    <row r="2085" spans="3:3" x14ac:dyDescent="0.2">
      <c r="C2085"/>
    </row>
    <row r="2086" spans="3:3" x14ac:dyDescent="0.2">
      <c r="C2086"/>
    </row>
    <row r="2087" spans="3:3" x14ac:dyDescent="0.2">
      <c r="C2087"/>
    </row>
    <row r="2088" spans="3:3" x14ac:dyDescent="0.2">
      <c r="C2088"/>
    </row>
    <row r="2089" spans="3:3" x14ac:dyDescent="0.2">
      <c r="C2089"/>
    </row>
    <row r="2090" spans="3:3" x14ac:dyDescent="0.2">
      <c r="C2090"/>
    </row>
    <row r="2091" spans="3:3" x14ac:dyDescent="0.2">
      <c r="C2091"/>
    </row>
    <row r="2092" spans="3:3" x14ac:dyDescent="0.2">
      <c r="C2092"/>
    </row>
    <row r="2093" spans="3:3" x14ac:dyDescent="0.2">
      <c r="C2093"/>
    </row>
    <row r="2094" spans="3:3" x14ac:dyDescent="0.2">
      <c r="C2094"/>
    </row>
    <row r="2095" spans="3:3" x14ac:dyDescent="0.2">
      <c r="C2095"/>
    </row>
    <row r="2096" spans="3:3" x14ac:dyDescent="0.2">
      <c r="C2096"/>
    </row>
    <row r="2097" spans="3:3" x14ac:dyDescent="0.2">
      <c r="C2097"/>
    </row>
    <row r="2098" spans="3:3" x14ac:dyDescent="0.2">
      <c r="C2098"/>
    </row>
    <row r="2099" spans="3:3" x14ac:dyDescent="0.2">
      <c r="C2099"/>
    </row>
    <row r="2100" spans="3:3" x14ac:dyDescent="0.2">
      <c r="C2100"/>
    </row>
    <row r="2101" spans="3:3" x14ac:dyDescent="0.2">
      <c r="C2101"/>
    </row>
    <row r="2102" spans="3:3" x14ac:dyDescent="0.2">
      <c r="C2102"/>
    </row>
    <row r="2103" spans="3:3" x14ac:dyDescent="0.2">
      <c r="C2103"/>
    </row>
    <row r="2104" spans="3:3" x14ac:dyDescent="0.2">
      <c r="C2104"/>
    </row>
    <row r="2105" spans="3:3" x14ac:dyDescent="0.2">
      <c r="C2105"/>
    </row>
    <row r="2106" spans="3:3" x14ac:dyDescent="0.2">
      <c r="C2106"/>
    </row>
    <row r="2107" spans="3:3" x14ac:dyDescent="0.2">
      <c r="C2107"/>
    </row>
    <row r="2108" spans="3:3" x14ac:dyDescent="0.2">
      <c r="C2108"/>
    </row>
    <row r="2109" spans="3:3" x14ac:dyDescent="0.2">
      <c r="C2109"/>
    </row>
    <row r="2110" spans="3:3" x14ac:dyDescent="0.2">
      <c r="C2110"/>
    </row>
    <row r="2111" spans="3:3" x14ac:dyDescent="0.2">
      <c r="C2111"/>
    </row>
    <row r="2112" spans="3:3" x14ac:dyDescent="0.2">
      <c r="C2112"/>
    </row>
    <row r="2113" spans="3:3" x14ac:dyDescent="0.2">
      <c r="C2113"/>
    </row>
    <row r="2114" spans="3:3" x14ac:dyDescent="0.2">
      <c r="C2114"/>
    </row>
    <row r="2115" spans="3:3" x14ac:dyDescent="0.2">
      <c r="C2115"/>
    </row>
    <row r="2116" spans="3:3" x14ac:dyDescent="0.2">
      <c r="C2116"/>
    </row>
    <row r="2117" spans="3:3" x14ac:dyDescent="0.2">
      <c r="C2117"/>
    </row>
    <row r="2118" spans="3:3" x14ac:dyDescent="0.2">
      <c r="C2118"/>
    </row>
    <row r="2119" spans="3:3" x14ac:dyDescent="0.2">
      <c r="C2119"/>
    </row>
    <row r="2120" spans="3:3" x14ac:dyDescent="0.2">
      <c r="C2120"/>
    </row>
    <row r="2121" spans="3:3" x14ac:dyDescent="0.2">
      <c r="C2121"/>
    </row>
    <row r="2122" spans="3:3" x14ac:dyDescent="0.2">
      <c r="C2122"/>
    </row>
    <row r="2123" spans="3:3" x14ac:dyDescent="0.2">
      <c r="C2123"/>
    </row>
    <row r="2124" spans="3:3" x14ac:dyDescent="0.2">
      <c r="C2124"/>
    </row>
    <row r="2125" spans="3:3" x14ac:dyDescent="0.2">
      <c r="C2125"/>
    </row>
    <row r="2126" spans="3:3" x14ac:dyDescent="0.2">
      <c r="C2126"/>
    </row>
    <row r="2127" spans="3:3" x14ac:dyDescent="0.2">
      <c r="C2127"/>
    </row>
    <row r="2128" spans="3:3" x14ac:dyDescent="0.2">
      <c r="C2128"/>
    </row>
    <row r="2129" spans="3:3" x14ac:dyDescent="0.2">
      <c r="C2129"/>
    </row>
    <row r="2130" spans="3:3" x14ac:dyDescent="0.2">
      <c r="C2130"/>
    </row>
    <row r="2131" spans="3:3" x14ac:dyDescent="0.2">
      <c r="C2131"/>
    </row>
    <row r="2132" spans="3:3" x14ac:dyDescent="0.2">
      <c r="C2132"/>
    </row>
    <row r="2133" spans="3:3" x14ac:dyDescent="0.2">
      <c r="C2133"/>
    </row>
    <row r="2134" spans="3:3" x14ac:dyDescent="0.2">
      <c r="C2134"/>
    </row>
    <row r="2135" spans="3:3" x14ac:dyDescent="0.2">
      <c r="C2135"/>
    </row>
    <row r="2136" spans="3:3" x14ac:dyDescent="0.2">
      <c r="C2136"/>
    </row>
    <row r="2137" spans="3:3" x14ac:dyDescent="0.2">
      <c r="C2137"/>
    </row>
    <row r="2138" spans="3:3" x14ac:dyDescent="0.2">
      <c r="C2138"/>
    </row>
    <row r="2139" spans="3:3" x14ac:dyDescent="0.2">
      <c r="C2139"/>
    </row>
    <row r="2140" spans="3:3" x14ac:dyDescent="0.2">
      <c r="C2140"/>
    </row>
    <row r="2141" spans="3:3" x14ac:dyDescent="0.2">
      <c r="C2141"/>
    </row>
    <row r="2142" spans="3:3" x14ac:dyDescent="0.2">
      <c r="C2142"/>
    </row>
    <row r="2143" spans="3:3" x14ac:dyDescent="0.2">
      <c r="C2143"/>
    </row>
    <row r="2144" spans="3:3" x14ac:dyDescent="0.2">
      <c r="C2144"/>
    </row>
    <row r="2145" spans="3:3" x14ac:dyDescent="0.2">
      <c r="C2145"/>
    </row>
    <row r="2146" spans="3:3" x14ac:dyDescent="0.2">
      <c r="C2146"/>
    </row>
    <row r="2147" spans="3:3" x14ac:dyDescent="0.2">
      <c r="C2147"/>
    </row>
    <row r="2148" spans="3:3" x14ac:dyDescent="0.2">
      <c r="C2148"/>
    </row>
    <row r="2149" spans="3:3" x14ac:dyDescent="0.2">
      <c r="C2149"/>
    </row>
    <row r="2150" spans="3:3" x14ac:dyDescent="0.2">
      <c r="C2150"/>
    </row>
    <row r="2151" spans="3:3" x14ac:dyDescent="0.2">
      <c r="C2151"/>
    </row>
    <row r="2152" spans="3:3" x14ac:dyDescent="0.2">
      <c r="C2152"/>
    </row>
    <row r="2153" spans="3:3" x14ac:dyDescent="0.2">
      <c r="C2153"/>
    </row>
    <row r="2154" spans="3:3" x14ac:dyDescent="0.2">
      <c r="C2154"/>
    </row>
    <row r="2155" spans="3:3" x14ac:dyDescent="0.2">
      <c r="C2155"/>
    </row>
    <row r="2156" spans="3:3" x14ac:dyDescent="0.2">
      <c r="C2156"/>
    </row>
    <row r="2157" spans="3:3" x14ac:dyDescent="0.2">
      <c r="C2157"/>
    </row>
    <row r="2158" spans="3:3" x14ac:dyDescent="0.2">
      <c r="C2158"/>
    </row>
    <row r="2159" spans="3:3" x14ac:dyDescent="0.2">
      <c r="C2159"/>
    </row>
    <row r="2160" spans="3:3" x14ac:dyDescent="0.2">
      <c r="C2160"/>
    </row>
    <row r="2161" spans="3:3" x14ac:dyDescent="0.2">
      <c r="C2161"/>
    </row>
    <row r="2162" spans="3:3" x14ac:dyDescent="0.2">
      <c r="C2162"/>
    </row>
    <row r="2163" spans="3:3" x14ac:dyDescent="0.2">
      <c r="C2163"/>
    </row>
    <row r="2164" spans="3:3" x14ac:dyDescent="0.2">
      <c r="C2164"/>
    </row>
    <row r="2165" spans="3:3" x14ac:dyDescent="0.2">
      <c r="C2165"/>
    </row>
    <row r="2166" spans="3:3" x14ac:dyDescent="0.2">
      <c r="C2166"/>
    </row>
    <row r="2167" spans="3:3" x14ac:dyDescent="0.2">
      <c r="C2167"/>
    </row>
    <row r="2168" spans="3:3" x14ac:dyDescent="0.2">
      <c r="C2168"/>
    </row>
    <row r="2169" spans="3:3" x14ac:dyDescent="0.2">
      <c r="C2169"/>
    </row>
    <row r="2170" spans="3:3" x14ac:dyDescent="0.2">
      <c r="C2170"/>
    </row>
    <row r="2171" spans="3:3" x14ac:dyDescent="0.2">
      <c r="C2171"/>
    </row>
    <row r="2172" spans="3:3" x14ac:dyDescent="0.2">
      <c r="C2172"/>
    </row>
    <row r="2173" spans="3:3" x14ac:dyDescent="0.2">
      <c r="C2173"/>
    </row>
    <row r="2174" spans="3:3" x14ac:dyDescent="0.2">
      <c r="C2174"/>
    </row>
    <row r="2175" spans="3:3" x14ac:dyDescent="0.2">
      <c r="C2175"/>
    </row>
    <row r="2176" spans="3:3" x14ac:dyDescent="0.2">
      <c r="C2176"/>
    </row>
    <row r="2177" spans="3:3" x14ac:dyDescent="0.2">
      <c r="C2177"/>
    </row>
    <row r="2178" spans="3:3" x14ac:dyDescent="0.2">
      <c r="C2178"/>
    </row>
    <row r="2179" spans="3:3" x14ac:dyDescent="0.2">
      <c r="C2179"/>
    </row>
    <row r="2180" spans="3:3" x14ac:dyDescent="0.2">
      <c r="C2180"/>
    </row>
    <row r="2181" spans="3:3" x14ac:dyDescent="0.2">
      <c r="C2181"/>
    </row>
    <row r="2182" spans="3:3" x14ac:dyDescent="0.2">
      <c r="C2182"/>
    </row>
    <row r="2183" spans="3:3" x14ac:dyDescent="0.2">
      <c r="C2183"/>
    </row>
    <row r="2184" spans="3:3" x14ac:dyDescent="0.2">
      <c r="C2184"/>
    </row>
    <row r="2185" spans="3:3" x14ac:dyDescent="0.2">
      <c r="C2185"/>
    </row>
    <row r="2186" spans="3:3" x14ac:dyDescent="0.2">
      <c r="C2186"/>
    </row>
    <row r="2187" spans="3:3" x14ac:dyDescent="0.2">
      <c r="C2187"/>
    </row>
    <row r="2188" spans="3:3" x14ac:dyDescent="0.2">
      <c r="C2188"/>
    </row>
    <row r="2189" spans="3:3" x14ac:dyDescent="0.2">
      <c r="C2189"/>
    </row>
    <row r="2190" spans="3:3" x14ac:dyDescent="0.2">
      <c r="C2190"/>
    </row>
    <row r="2191" spans="3:3" x14ac:dyDescent="0.2">
      <c r="C2191"/>
    </row>
    <row r="2192" spans="3:3" x14ac:dyDescent="0.2">
      <c r="C2192"/>
    </row>
    <row r="2193" spans="3:3" x14ac:dyDescent="0.2">
      <c r="C2193"/>
    </row>
    <row r="2194" spans="3:3" x14ac:dyDescent="0.2">
      <c r="C2194"/>
    </row>
    <row r="2195" spans="3:3" x14ac:dyDescent="0.2">
      <c r="C2195"/>
    </row>
    <row r="2196" spans="3:3" x14ac:dyDescent="0.2">
      <c r="C2196"/>
    </row>
    <row r="2197" spans="3:3" x14ac:dyDescent="0.2">
      <c r="C2197"/>
    </row>
    <row r="2198" spans="3:3" x14ac:dyDescent="0.2">
      <c r="C2198"/>
    </row>
    <row r="2199" spans="3:3" x14ac:dyDescent="0.2">
      <c r="C2199"/>
    </row>
    <row r="2200" spans="3:3" x14ac:dyDescent="0.2">
      <c r="C2200"/>
    </row>
    <row r="2201" spans="3:3" x14ac:dyDescent="0.2">
      <c r="C2201"/>
    </row>
    <row r="2202" spans="3:3" x14ac:dyDescent="0.2">
      <c r="C2202"/>
    </row>
    <row r="2203" spans="3:3" x14ac:dyDescent="0.2">
      <c r="C2203"/>
    </row>
    <row r="2204" spans="3:3" x14ac:dyDescent="0.2">
      <c r="C2204"/>
    </row>
    <row r="2205" spans="3:3" x14ac:dyDescent="0.2">
      <c r="C2205"/>
    </row>
    <row r="2206" spans="3:3" x14ac:dyDescent="0.2">
      <c r="C2206"/>
    </row>
    <row r="2207" spans="3:3" x14ac:dyDescent="0.2">
      <c r="C2207"/>
    </row>
    <row r="2208" spans="3:3" x14ac:dyDescent="0.2">
      <c r="C2208"/>
    </row>
    <row r="2209" spans="3:3" x14ac:dyDescent="0.2">
      <c r="C2209"/>
    </row>
    <row r="2210" spans="3:3" x14ac:dyDescent="0.2">
      <c r="C2210"/>
    </row>
    <row r="2211" spans="3:3" x14ac:dyDescent="0.2">
      <c r="C2211"/>
    </row>
    <row r="2212" spans="3:3" x14ac:dyDescent="0.2">
      <c r="C2212"/>
    </row>
    <row r="2213" spans="3:3" x14ac:dyDescent="0.2">
      <c r="C2213"/>
    </row>
    <row r="2214" spans="3:3" x14ac:dyDescent="0.2">
      <c r="C2214"/>
    </row>
    <row r="2215" spans="3:3" x14ac:dyDescent="0.2">
      <c r="C2215"/>
    </row>
    <row r="2216" spans="3:3" x14ac:dyDescent="0.2">
      <c r="C2216"/>
    </row>
    <row r="2217" spans="3:3" x14ac:dyDescent="0.2">
      <c r="C2217"/>
    </row>
    <row r="2218" spans="3:3" x14ac:dyDescent="0.2">
      <c r="C2218"/>
    </row>
    <row r="2219" spans="3:3" x14ac:dyDescent="0.2">
      <c r="C2219"/>
    </row>
    <row r="2220" spans="3:3" x14ac:dyDescent="0.2">
      <c r="C2220"/>
    </row>
    <row r="2221" spans="3:3" x14ac:dyDescent="0.2">
      <c r="C2221"/>
    </row>
    <row r="2222" spans="3:3" x14ac:dyDescent="0.2">
      <c r="C2222"/>
    </row>
    <row r="2223" spans="3:3" x14ac:dyDescent="0.2">
      <c r="C2223"/>
    </row>
    <row r="2224" spans="3:3" x14ac:dyDescent="0.2">
      <c r="C2224"/>
    </row>
    <row r="2225" spans="3:3" x14ac:dyDescent="0.2">
      <c r="C2225"/>
    </row>
    <row r="2226" spans="3:3" x14ac:dyDescent="0.2">
      <c r="C2226"/>
    </row>
    <row r="2227" spans="3:3" x14ac:dyDescent="0.2">
      <c r="C2227"/>
    </row>
    <row r="2228" spans="3:3" x14ac:dyDescent="0.2">
      <c r="C2228"/>
    </row>
    <row r="2229" spans="3:3" x14ac:dyDescent="0.2">
      <c r="C2229"/>
    </row>
    <row r="2230" spans="3:3" x14ac:dyDescent="0.2">
      <c r="C2230"/>
    </row>
    <row r="2231" spans="3:3" x14ac:dyDescent="0.2">
      <c r="C2231"/>
    </row>
    <row r="2232" spans="3:3" x14ac:dyDescent="0.2">
      <c r="C2232"/>
    </row>
    <row r="2233" spans="3:3" x14ac:dyDescent="0.2">
      <c r="C2233"/>
    </row>
    <row r="2234" spans="3:3" x14ac:dyDescent="0.2">
      <c r="C2234"/>
    </row>
    <row r="2235" spans="3:3" x14ac:dyDescent="0.2">
      <c r="C2235"/>
    </row>
    <row r="2236" spans="3:3" x14ac:dyDescent="0.2">
      <c r="C2236"/>
    </row>
    <row r="2237" spans="3:3" x14ac:dyDescent="0.2">
      <c r="C2237"/>
    </row>
    <row r="2238" spans="3:3" x14ac:dyDescent="0.2">
      <c r="C2238"/>
    </row>
    <row r="2239" spans="3:3" x14ac:dyDescent="0.2">
      <c r="C2239"/>
    </row>
    <row r="2240" spans="3:3" x14ac:dyDescent="0.2">
      <c r="C2240"/>
    </row>
    <row r="2241" spans="3:3" x14ac:dyDescent="0.2">
      <c r="C2241"/>
    </row>
    <row r="2242" spans="3:3" x14ac:dyDescent="0.2">
      <c r="C2242"/>
    </row>
    <row r="2243" spans="3:3" x14ac:dyDescent="0.2">
      <c r="C2243"/>
    </row>
    <row r="2244" spans="3:3" x14ac:dyDescent="0.2">
      <c r="C2244"/>
    </row>
    <row r="2245" spans="3:3" x14ac:dyDescent="0.2">
      <c r="C2245"/>
    </row>
    <row r="2246" spans="3:3" x14ac:dyDescent="0.2">
      <c r="C2246"/>
    </row>
    <row r="2247" spans="3:3" x14ac:dyDescent="0.2">
      <c r="C2247"/>
    </row>
    <row r="2248" spans="3:3" x14ac:dyDescent="0.2">
      <c r="C2248"/>
    </row>
    <row r="2249" spans="3:3" x14ac:dyDescent="0.2">
      <c r="C2249"/>
    </row>
    <row r="2250" spans="3:3" x14ac:dyDescent="0.2">
      <c r="C2250"/>
    </row>
    <row r="2251" spans="3:3" x14ac:dyDescent="0.2">
      <c r="C2251"/>
    </row>
    <row r="2252" spans="3:3" x14ac:dyDescent="0.2">
      <c r="C2252"/>
    </row>
    <row r="2253" spans="3:3" x14ac:dyDescent="0.2">
      <c r="C2253"/>
    </row>
    <row r="2254" spans="3:3" x14ac:dyDescent="0.2">
      <c r="C2254"/>
    </row>
    <row r="2255" spans="3:3" x14ac:dyDescent="0.2">
      <c r="C2255"/>
    </row>
    <row r="2256" spans="3:3" x14ac:dyDescent="0.2">
      <c r="C2256"/>
    </row>
    <row r="2257" spans="3:3" x14ac:dyDescent="0.2">
      <c r="C2257"/>
    </row>
    <row r="2258" spans="3:3" x14ac:dyDescent="0.2">
      <c r="C2258"/>
    </row>
    <row r="2259" spans="3:3" x14ac:dyDescent="0.2">
      <c r="C2259"/>
    </row>
    <row r="2260" spans="3:3" x14ac:dyDescent="0.2">
      <c r="C2260"/>
    </row>
    <row r="2261" spans="3:3" x14ac:dyDescent="0.2">
      <c r="C2261"/>
    </row>
    <row r="2262" spans="3:3" x14ac:dyDescent="0.2">
      <c r="C2262"/>
    </row>
    <row r="2263" spans="3:3" x14ac:dyDescent="0.2">
      <c r="C2263"/>
    </row>
    <row r="2264" spans="3:3" x14ac:dyDescent="0.2">
      <c r="C2264"/>
    </row>
    <row r="2265" spans="3:3" x14ac:dyDescent="0.2">
      <c r="C2265"/>
    </row>
    <row r="2266" spans="3:3" x14ac:dyDescent="0.2">
      <c r="C2266"/>
    </row>
    <row r="2267" spans="3:3" x14ac:dyDescent="0.2">
      <c r="C2267"/>
    </row>
    <row r="2268" spans="3:3" x14ac:dyDescent="0.2">
      <c r="C2268"/>
    </row>
    <row r="2269" spans="3:3" x14ac:dyDescent="0.2">
      <c r="C2269"/>
    </row>
    <row r="2270" spans="3:3" x14ac:dyDescent="0.2">
      <c r="C2270"/>
    </row>
    <row r="2271" spans="3:3" x14ac:dyDescent="0.2">
      <c r="C2271"/>
    </row>
    <row r="2272" spans="3:3" x14ac:dyDescent="0.2">
      <c r="C2272"/>
    </row>
    <row r="2273" spans="3:3" x14ac:dyDescent="0.2">
      <c r="C2273"/>
    </row>
    <row r="2274" spans="3:3" x14ac:dyDescent="0.2">
      <c r="C2274"/>
    </row>
    <row r="2275" spans="3:3" x14ac:dyDescent="0.2">
      <c r="C2275"/>
    </row>
    <row r="2276" spans="3:3" x14ac:dyDescent="0.2">
      <c r="C2276"/>
    </row>
    <row r="2277" spans="3:3" x14ac:dyDescent="0.2">
      <c r="C2277"/>
    </row>
    <row r="2278" spans="3:3" x14ac:dyDescent="0.2">
      <c r="C2278"/>
    </row>
    <row r="2279" spans="3:3" x14ac:dyDescent="0.2">
      <c r="C2279"/>
    </row>
    <row r="2280" spans="3:3" x14ac:dyDescent="0.2">
      <c r="C2280"/>
    </row>
    <row r="2281" spans="3:3" x14ac:dyDescent="0.2">
      <c r="C2281"/>
    </row>
    <row r="2282" spans="3:3" x14ac:dyDescent="0.2">
      <c r="C2282"/>
    </row>
    <row r="2283" spans="3:3" x14ac:dyDescent="0.2">
      <c r="C2283"/>
    </row>
    <row r="2284" spans="3:3" x14ac:dyDescent="0.2">
      <c r="C2284"/>
    </row>
    <row r="2285" spans="3:3" x14ac:dyDescent="0.2">
      <c r="C2285"/>
    </row>
    <row r="2286" spans="3:3" x14ac:dyDescent="0.2">
      <c r="C2286"/>
    </row>
    <row r="2287" spans="3:3" x14ac:dyDescent="0.2">
      <c r="C2287"/>
    </row>
    <row r="2288" spans="3:3" x14ac:dyDescent="0.2">
      <c r="C2288"/>
    </row>
    <row r="2289" spans="3:3" x14ac:dyDescent="0.2">
      <c r="C2289"/>
    </row>
    <row r="2290" spans="3:3" x14ac:dyDescent="0.2">
      <c r="C2290"/>
    </row>
    <row r="2291" spans="3:3" x14ac:dyDescent="0.2">
      <c r="C2291"/>
    </row>
    <row r="2292" spans="3:3" x14ac:dyDescent="0.2">
      <c r="C2292"/>
    </row>
    <row r="2293" spans="3:3" x14ac:dyDescent="0.2">
      <c r="C2293"/>
    </row>
    <row r="2294" spans="3:3" x14ac:dyDescent="0.2">
      <c r="C2294"/>
    </row>
    <row r="2295" spans="3:3" x14ac:dyDescent="0.2">
      <c r="C2295"/>
    </row>
    <row r="2296" spans="3:3" x14ac:dyDescent="0.2">
      <c r="C2296"/>
    </row>
    <row r="2297" spans="3:3" x14ac:dyDescent="0.2">
      <c r="C2297"/>
    </row>
    <row r="2298" spans="3:3" x14ac:dyDescent="0.2">
      <c r="C2298"/>
    </row>
    <row r="2299" spans="3:3" x14ac:dyDescent="0.2">
      <c r="C2299"/>
    </row>
    <row r="2300" spans="3:3" x14ac:dyDescent="0.2">
      <c r="C2300"/>
    </row>
    <row r="2301" spans="3:3" x14ac:dyDescent="0.2">
      <c r="C2301"/>
    </row>
    <row r="2302" spans="3:3" x14ac:dyDescent="0.2">
      <c r="C2302"/>
    </row>
    <row r="2303" spans="3:3" x14ac:dyDescent="0.2">
      <c r="C2303"/>
    </row>
    <row r="2304" spans="3:3" x14ac:dyDescent="0.2">
      <c r="C2304"/>
    </row>
    <row r="2305" spans="3:3" x14ac:dyDescent="0.2">
      <c r="C2305"/>
    </row>
    <row r="2306" spans="3:3" x14ac:dyDescent="0.2">
      <c r="C2306"/>
    </row>
    <row r="2307" spans="3:3" x14ac:dyDescent="0.2">
      <c r="C2307"/>
    </row>
    <row r="2308" spans="3:3" x14ac:dyDescent="0.2">
      <c r="C2308"/>
    </row>
    <row r="2309" spans="3:3" x14ac:dyDescent="0.2">
      <c r="C2309"/>
    </row>
    <row r="2310" spans="3:3" x14ac:dyDescent="0.2">
      <c r="C2310"/>
    </row>
    <row r="2311" spans="3:3" x14ac:dyDescent="0.2">
      <c r="C2311"/>
    </row>
    <row r="2312" spans="3:3" x14ac:dyDescent="0.2">
      <c r="C2312"/>
    </row>
    <row r="2313" spans="3:3" x14ac:dyDescent="0.2">
      <c r="C2313"/>
    </row>
    <row r="2314" spans="3:3" x14ac:dyDescent="0.2">
      <c r="C2314"/>
    </row>
    <row r="2315" spans="3:3" x14ac:dyDescent="0.2">
      <c r="C2315"/>
    </row>
    <row r="2316" spans="3:3" x14ac:dyDescent="0.2">
      <c r="C2316"/>
    </row>
    <row r="2317" spans="3:3" x14ac:dyDescent="0.2">
      <c r="C2317"/>
    </row>
    <row r="2318" spans="3:3" x14ac:dyDescent="0.2">
      <c r="C2318"/>
    </row>
    <row r="2319" spans="3:3" x14ac:dyDescent="0.2">
      <c r="C2319"/>
    </row>
    <row r="2320" spans="3:3" x14ac:dyDescent="0.2">
      <c r="C2320"/>
    </row>
    <row r="2321" spans="3:3" x14ac:dyDescent="0.2">
      <c r="C2321"/>
    </row>
    <row r="2322" spans="3:3" x14ac:dyDescent="0.2">
      <c r="C2322"/>
    </row>
    <row r="2323" spans="3:3" x14ac:dyDescent="0.2">
      <c r="C2323"/>
    </row>
    <row r="2324" spans="3:3" x14ac:dyDescent="0.2">
      <c r="C2324"/>
    </row>
    <row r="2325" spans="3:3" x14ac:dyDescent="0.2">
      <c r="C2325"/>
    </row>
    <row r="2326" spans="3:3" x14ac:dyDescent="0.2">
      <c r="C2326"/>
    </row>
    <row r="2327" spans="3:3" x14ac:dyDescent="0.2">
      <c r="C2327"/>
    </row>
    <row r="2328" spans="3:3" x14ac:dyDescent="0.2">
      <c r="C2328"/>
    </row>
    <row r="2329" spans="3:3" x14ac:dyDescent="0.2">
      <c r="C2329"/>
    </row>
    <row r="2330" spans="3:3" x14ac:dyDescent="0.2">
      <c r="C2330"/>
    </row>
    <row r="2331" spans="3:3" x14ac:dyDescent="0.2">
      <c r="C2331"/>
    </row>
    <row r="2332" spans="3:3" x14ac:dyDescent="0.2">
      <c r="C2332"/>
    </row>
    <row r="2333" spans="3:3" x14ac:dyDescent="0.2">
      <c r="C2333"/>
    </row>
    <row r="2334" spans="3:3" x14ac:dyDescent="0.2">
      <c r="C2334"/>
    </row>
    <row r="2335" spans="3:3" x14ac:dyDescent="0.2">
      <c r="C2335"/>
    </row>
    <row r="2336" spans="3:3" x14ac:dyDescent="0.2">
      <c r="C2336"/>
    </row>
    <row r="2337" spans="3:3" x14ac:dyDescent="0.2">
      <c r="C2337"/>
    </row>
    <row r="2338" spans="3:3" x14ac:dyDescent="0.2">
      <c r="C2338"/>
    </row>
    <row r="2339" spans="3:3" x14ac:dyDescent="0.2">
      <c r="C2339"/>
    </row>
    <row r="2340" spans="3:3" x14ac:dyDescent="0.2">
      <c r="C2340"/>
    </row>
    <row r="2341" spans="3:3" x14ac:dyDescent="0.2">
      <c r="C2341"/>
    </row>
    <row r="2342" spans="3:3" x14ac:dyDescent="0.2">
      <c r="C2342"/>
    </row>
    <row r="2343" spans="3:3" x14ac:dyDescent="0.2">
      <c r="C2343"/>
    </row>
    <row r="2344" spans="3:3" x14ac:dyDescent="0.2">
      <c r="C2344"/>
    </row>
    <row r="2345" spans="3:3" x14ac:dyDescent="0.2">
      <c r="C2345"/>
    </row>
    <row r="2346" spans="3:3" x14ac:dyDescent="0.2">
      <c r="C2346"/>
    </row>
    <row r="2347" spans="3:3" x14ac:dyDescent="0.2">
      <c r="C2347"/>
    </row>
    <row r="2348" spans="3:3" x14ac:dyDescent="0.2">
      <c r="C2348"/>
    </row>
    <row r="2349" spans="3:3" x14ac:dyDescent="0.2">
      <c r="C2349"/>
    </row>
    <row r="2350" spans="3:3" x14ac:dyDescent="0.2">
      <c r="C2350"/>
    </row>
    <row r="2351" spans="3:3" x14ac:dyDescent="0.2">
      <c r="C2351"/>
    </row>
    <row r="2352" spans="3:3" x14ac:dyDescent="0.2">
      <c r="C2352"/>
    </row>
    <row r="2353" spans="3:3" x14ac:dyDescent="0.2">
      <c r="C2353"/>
    </row>
    <row r="2354" spans="3:3" x14ac:dyDescent="0.2">
      <c r="C2354"/>
    </row>
    <row r="2355" spans="3:3" x14ac:dyDescent="0.2">
      <c r="C2355"/>
    </row>
    <row r="2356" spans="3:3" x14ac:dyDescent="0.2">
      <c r="C2356"/>
    </row>
    <row r="2357" spans="3:3" x14ac:dyDescent="0.2">
      <c r="C2357"/>
    </row>
    <row r="2358" spans="3:3" x14ac:dyDescent="0.2">
      <c r="C2358"/>
    </row>
    <row r="2359" spans="3:3" x14ac:dyDescent="0.2">
      <c r="C2359"/>
    </row>
    <row r="2360" spans="3:3" x14ac:dyDescent="0.2">
      <c r="C2360"/>
    </row>
    <row r="2361" spans="3:3" x14ac:dyDescent="0.2">
      <c r="C2361"/>
    </row>
    <row r="2362" spans="3:3" x14ac:dyDescent="0.2">
      <c r="C2362"/>
    </row>
    <row r="2363" spans="3:3" x14ac:dyDescent="0.2">
      <c r="C2363"/>
    </row>
    <row r="2364" spans="3:3" x14ac:dyDescent="0.2">
      <c r="C2364"/>
    </row>
    <row r="2365" spans="3:3" x14ac:dyDescent="0.2">
      <c r="C2365"/>
    </row>
    <row r="2366" spans="3:3" x14ac:dyDescent="0.2">
      <c r="C2366"/>
    </row>
    <row r="2367" spans="3:3" x14ac:dyDescent="0.2">
      <c r="C2367"/>
    </row>
    <row r="2368" spans="3:3" x14ac:dyDescent="0.2">
      <c r="C2368"/>
    </row>
    <row r="2369" spans="3:3" x14ac:dyDescent="0.2">
      <c r="C2369"/>
    </row>
    <row r="2370" spans="3:3" x14ac:dyDescent="0.2">
      <c r="C2370"/>
    </row>
    <row r="2371" spans="3:3" x14ac:dyDescent="0.2">
      <c r="C2371"/>
    </row>
    <row r="2372" spans="3:3" x14ac:dyDescent="0.2">
      <c r="C2372"/>
    </row>
    <row r="2373" spans="3:3" x14ac:dyDescent="0.2">
      <c r="C2373"/>
    </row>
    <row r="2374" spans="3:3" x14ac:dyDescent="0.2">
      <c r="C2374"/>
    </row>
    <row r="2375" spans="3:3" x14ac:dyDescent="0.2">
      <c r="C2375"/>
    </row>
    <row r="2376" spans="3:3" x14ac:dyDescent="0.2">
      <c r="C2376"/>
    </row>
    <row r="2377" spans="3:3" x14ac:dyDescent="0.2">
      <c r="C2377"/>
    </row>
    <row r="2378" spans="3:3" x14ac:dyDescent="0.2">
      <c r="C2378"/>
    </row>
    <row r="2379" spans="3:3" x14ac:dyDescent="0.2">
      <c r="C2379"/>
    </row>
    <row r="2380" spans="3:3" x14ac:dyDescent="0.2">
      <c r="C2380"/>
    </row>
    <row r="2381" spans="3:3" x14ac:dyDescent="0.2">
      <c r="C2381"/>
    </row>
    <row r="2382" spans="3:3" x14ac:dyDescent="0.2">
      <c r="C2382"/>
    </row>
    <row r="2383" spans="3:3" x14ac:dyDescent="0.2">
      <c r="C2383"/>
    </row>
    <row r="2384" spans="3:3" x14ac:dyDescent="0.2">
      <c r="C2384"/>
    </row>
    <row r="2385" spans="3:3" x14ac:dyDescent="0.2">
      <c r="C2385"/>
    </row>
    <row r="2386" spans="3:3" x14ac:dyDescent="0.2">
      <c r="C2386"/>
    </row>
    <row r="2387" spans="3:3" x14ac:dyDescent="0.2">
      <c r="C2387"/>
    </row>
    <row r="2388" spans="3:3" x14ac:dyDescent="0.2">
      <c r="C2388"/>
    </row>
    <row r="2389" spans="3:3" x14ac:dyDescent="0.2">
      <c r="C2389"/>
    </row>
    <row r="2390" spans="3:3" x14ac:dyDescent="0.2">
      <c r="C2390"/>
    </row>
    <row r="2391" spans="3:3" x14ac:dyDescent="0.2">
      <c r="C2391"/>
    </row>
    <row r="2392" spans="3:3" x14ac:dyDescent="0.2">
      <c r="C2392"/>
    </row>
    <row r="2393" spans="3:3" x14ac:dyDescent="0.2">
      <c r="C2393"/>
    </row>
    <row r="2394" spans="3:3" x14ac:dyDescent="0.2">
      <c r="C2394"/>
    </row>
    <row r="2395" spans="3:3" x14ac:dyDescent="0.2">
      <c r="C2395"/>
    </row>
    <row r="2396" spans="3:3" x14ac:dyDescent="0.2">
      <c r="C2396"/>
    </row>
    <row r="2397" spans="3:3" x14ac:dyDescent="0.2">
      <c r="C2397"/>
    </row>
    <row r="2398" spans="3:3" x14ac:dyDescent="0.2">
      <c r="C2398"/>
    </row>
    <row r="2399" spans="3:3" x14ac:dyDescent="0.2">
      <c r="C2399"/>
    </row>
    <row r="2400" spans="3:3" x14ac:dyDescent="0.2">
      <c r="C2400"/>
    </row>
    <row r="2401" spans="3:3" x14ac:dyDescent="0.2">
      <c r="C2401"/>
    </row>
    <row r="2402" spans="3:3" x14ac:dyDescent="0.2">
      <c r="C2402"/>
    </row>
    <row r="2403" spans="3:3" x14ac:dyDescent="0.2">
      <c r="C2403"/>
    </row>
    <row r="2404" spans="3:3" x14ac:dyDescent="0.2">
      <c r="C2404"/>
    </row>
    <row r="2405" spans="3:3" x14ac:dyDescent="0.2">
      <c r="C2405"/>
    </row>
    <row r="2406" spans="3:3" x14ac:dyDescent="0.2">
      <c r="C2406"/>
    </row>
    <row r="2407" spans="3:3" x14ac:dyDescent="0.2">
      <c r="C2407"/>
    </row>
    <row r="2408" spans="3:3" x14ac:dyDescent="0.2">
      <c r="C2408"/>
    </row>
    <row r="2409" spans="3:3" x14ac:dyDescent="0.2">
      <c r="C2409"/>
    </row>
    <row r="2410" spans="3:3" x14ac:dyDescent="0.2">
      <c r="C2410"/>
    </row>
    <row r="2411" spans="3:3" x14ac:dyDescent="0.2">
      <c r="C2411"/>
    </row>
    <row r="2412" spans="3:3" x14ac:dyDescent="0.2">
      <c r="C2412"/>
    </row>
    <row r="2413" spans="3:3" x14ac:dyDescent="0.2">
      <c r="C2413"/>
    </row>
    <row r="2414" spans="3:3" x14ac:dyDescent="0.2">
      <c r="C2414"/>
    </row>
    <row r="2415" spans="3:3" x14ac:dyDescent="0.2">
      <c r="C2415"/>
    </row>
    <row r="2416" spans="3:3" x14ac:dyDescent="0.2">
      <c r="C2416"/>
    </row>
    <row r="2417" spans="3:3" x14ac:dyDescent="0.2">
      <c r="C2417"/>
    </row>
    <row r="2418" spans="3:3" x14ac:dyDescent="0.2">
      <c r="C2418"/>
    </row>
    <row r="2419" spans="3:3" x14ac:dyDescent="0.2">
      <c r="C2419"/>
    </row>
    <row r="2420" spans="3:3" x14ac:dyDescent="0.2">
      <c r="C2420"/>
    </row>
    <row r="2421" spans="3:3" x14ac:dyDescent="0.2">
      <c r="C2421"/>
    </row>
    <row r="2422" spans="3:3" x14ac:dyDescent="0.2">
      <c r="C2422"/>
    </row>
    <row r="2423" spans="3:3" x14ac:dyDescent="0.2">
      <c r="C2423"/>
    </row>
    <row r="2424" spans="3:3" x14ac:dyDescent="0.2">
      <c r="C2424"/>
    </row>
    <row r="2425" spans="3:3" x14ac:dyDescent="0.2">
      <c r="C2425"/>
    </row>
    <row r="2426" spans="3:3" x14ac:dyDescent="0.2">
      <c r="C2426"/>
    </row>
    <row r="2427" spans="3:3" x14ac:dyDescent="0.2">
      <c r="C2427"/>
    </row>
    <row r="2428" spans="3:3" x14ac:dyDescent="0.2">
      <c r="C2428"/>
    </row>
    <row r="2429" spans="3:3" x14ac:dyDescent="0.2">
      <c r="C2429"/>
    </row>
    <row r="2430" spans="3:3" x14ac:dyDescent="0.2">
      <c r="C2430"/>
    </row>
    <row r="2431" spans="3:3" x14ac:dyDescent="0.2">
      <c r="C2431"/>
    </row>
    <row r="2432" spans="3:3" x14ac:dyDescent="0.2">
      <c r="C2432"/>
    </row>
    <row r="2433" spans="3:3" x14ac:dyDescent="0.2">
      <c r="C2433"/>
    </row>
    <row r="2434" spans="3:3" x14ac:dyDescent="0.2">
      <c r="C2434"/>
    </row>
    <row r="2435" spans="3:3" x14ac:dyDescent="0.2">
      <c r="C2435"/>
    </row>
    <row r="2436" spans="3:3" x14ac:dyDescent="0.2">
      <c r="C2436"/>
    </row>
    <row r="2437" spans="3:3" x14ac:dyDescent="0.2">
      <c r="C2437"/>
    </row>
    <row r="2438" spans="3:3" x14ac:dyDescent="0.2">
      <c r="C2438"/>
    </row>
    <row r="2439" spans="3:3" x14ac:dyDescent="0.2">
      <c r="C2439"/>
    </row>
    <row r="2440" spans="3:3" x14ac:dyDescent="0.2">
      <c r="C2440"/>
    </row>
    <row r="2441" spans="3:3" x14ac:dyDescent="0.2">
      <c r="C2441"/>
    </row>
    <row r="2442" spans="3:3" x14ac:dyDescent="0.2">
      <c r="C2442"/>
    </row>
    <row r="2443" spans="3:3" x14ac:dyDescent="0.2">
      <c r="C2443"/>
    </row>
    <row r="2444" spans="3:3" x14ac:dyDescent="0.2">
      <c r="C2444"/>
    </row>
    <row r="2445" spans="3:3" x14ac:dyDescent="0.2">
      <c r="C2445"/>
    </row>
    <row r="2446" spans="3:3" x14ac:dyDescent="0.2">
      <c r="C2446"/>
    </row>
    <row r="2447" spans="3:3" x14ac:dyDescent="0.2">
      <c r="C2447"/>
    </row>
    <row r="2448" spans="3:3" x14ac:dyDescent="0.2">
      <c r="C2448"/>
    </row>
    <row r="2449" spans="3:3" x14ac:dyDescent="0.2">
      <c r="C2449"/>
    </row>
    <row r="2450" spans="3:3" x14ac:dyDescent="0.2">
      <c r="C2450"/>
    </row>
    <row r="2451" spans="3:3" x14ac:dyDescent="0.2">
      <c r="C2451"/>
    </row>
    <row r="2452" spans="3:3" x14ac:dyDescent="0.2">
      <c r="C2452"/>
    </row>
    <row r="2453" spans="3:3" x14ac:dyDescent="0.2">
      <c r="C2453"/>
    </row>
    <row r="2454" spans="3:3" x14ac:dyDescent="0.2">
      <c r="C2454"/>
    </row>
    <row r="2455" spans="3:3" x14ac:dyDescent="0.2">
      <c r="C2455"/>
    </row>
    <row r="2456" spans="3:3" x14ac:dyDescent="0.2">
      <c r="C2456"/>
    </row>
    <row r="2457" spans="3:3" x14ac:dyDescent="0.2">
      <c r="C2457"/>
    </row>
    <row r="2458" spans="3:3" x14ac:dyDescent="0.2">
      <c r="C2458"/>
    </row>
    <row r="2459" spans="3:3" x14ac:dyDescent="0.2">
      <c r="C2459"/>
    </row>
    <row r="2460" spans="3:3" x14ac:dyDescent="0.2">
      <c r="C2460"/>
    </row>
    <row r="2461" spans="3:3" x14ac:dyDescent="0.2">
      <c r="C2461"/>
    </row>
    <row r="2462" spans="3:3" x14ac:dyDescent="0.2">
      <c r="C2462"/>
    </row>
    <row r="2463" spans="3:3" x14ac:dyDescent="0.2">
      <c r="C2463"/>
    </row>
    <row r="2464" spans="3:3" x14ac:dyDescent="0.2">
      <c r="C2464"/>
    </row>
    <row r="2465" spans="3:3" x14ac:dyDescent="0.2">
      <c r="C2465"/>
    </row>
    <row r="2466" spans="3:3" x14ac:dyDescent="0.2">
      <c r="C2466"/>
    </row>
    <row r="2467" spans="3:3" x14ac:dyDescent="0.2">
      <c r="C2467"/>
    </row>
    <row r="2468" spans="3:3" x14ac:dyDescent="0.2">
      <c r="C2468"/>
    </row>
    <row r="2469" spans="3:3" x14ac:dyDescent="0.2">
      <c r="C2469"/>
    </row>
    <row r="2470" spans="3:3" x14ac:dyDescent="0.2">
      <c r="C2470"/>
    </row>
    <row r="2471" spans="3:3" x14ac:dyDescent="0.2">
      <c r="C2471"/>
    </row>
    <row r="2472" spans="3:3" x14ac:dyDescent="0.2">
      <c r="C2472"/>
    </row>
    <row r="2473" spans="3:3" x14ac:dyDescent="0.2">
      <c r="C2473"/>
    </row>
    <row r="2474" spans="3:3" x14ac:dyDescent="0.2">
      <c r="C2474"/>
    </row>
    <row r="2475" spans="3:3" x14ac:dyDescent="0.2">
      <c r="C2475"/>
    </row>
    <row r="2476" spans="3:3" x14ac:dyDescent="0.2">
      <c r="C2476"/>
    </row>
    <row r="2477" spans="3:3" x14ac:dyDescent="0.2">
      <c r="C2477"/>
    </row>
    <row r="2478" spans="3:3" x14ac:dyDescent="0.2">
      <c r="C2478"/>
    </row>
    <row r="2479" spans="3:3" x14ac:dyDescent="0.2">
      <c r="C2479"/>
    </row>
    <row r="2480" spans="3:3" x14ac:dyDescent="0.2">
      <c r="C2480"/>
    </row>
    <row r="2481" spans="3:3" x14ac:dyDescent="0.2">
      <c r="C2481"/>
    </row>
    <row r="2482" spans="3:3" x14ac:dyDescent="0.2">
      <c r="C2482"/>
    </row>
    <row r="2483" spans="3:3" x14ac:dyDescent="0.2">
      <c r="C2483"/>
    </row>
    <row r="2484" spans="3:3" x14ac:dyDescent="0.2">
      <c r="C2484"/>
    </row>
    <row r="2485" spans="3:3" x14ac:dyDescent="0.2">
      <c r="C2485"/>
    </row>
    <row r="2486" spans="3:3" x14ac:dyDescent="0.2">
      <c r="C2486"/>
    </row>
    <row r="2487" spans="3:3" x14ac:dyDescent="0.2">
      <c r="C2487"/>
    </row>
    <row r="2488" spans="3:3" x14ac:dyDescent="0.2">
      <c r="C2488"/>
    </row>
    <row r="2489" spans="3:3" x14ac:dyDescent="0.2">
      <c r="C2489"/>
    </row>
    <row r="2490" spans="3:3" x14ac:dyDescent="0.2">
      <c r="C2490"/>
    </row>
    <row r="2491" spans="3:3" x14ac:dyDescent="0.2">
      <c r="C2491"/>
    </row>
    <row r="2492" spans="3:3" x14ac:dyDescent="0.2">
      <c r="C2492"/>
    </row>
    <row r="2493" spans="3:3" x14ac:dyDescent="0.2">
      <c r="C2493"/>
    </row>
    <row r="2494" spans="3:3" x14ac:dyDescent="0.2">
      <c r="C2494"/>
    </row>
    <row r="2495" spans="3:3" x14ac:dyDescent="0.2">
      <c r="C2495"/>
    </row>
    <row r="2496" spans="3:3" x14ac:dyDescent="0.2">
      <c r="C2496"/>
    </row>
    <row r="2497" spans="3:3" x14ac:dyDescent="0.2">
      <c r="C2497"/>
    </row>
    <row r="2498" spans="3:3" x14ac:dyDescent="0.2">
      <c r="C2498"/>
    </row>
    <row r="2499" spans="3:3" x14ac:dyDescent="0.2">
      <c r="C2499"/>
    </row>
    <row r="2500" spans="3:3" x14ac:dyDescent="0.2">
      <c r="C2500"/>
    </row>
    <row r="2501" spans="3:3" x14ac:dyDescent="0.2">
      <c r="C2501"/>
    </row>
    <row r="2502" spans="3:3" x14ac:dyDescent="0.2">
      <c r="C2502"/>
    </row>
    <row r="2503" spans="3:3" x14ac:dyDescent="0.2">
      <c r="C2503"/>
    </row>
    <row r="2504" spans="3:3" x14ac:dyDescent="0.2">
      <c r="C2504"/>
    </row>
    <row r="2505" spans="3:3" x14ac:dyDescent="0.2">
      <c r="C2505"/>
    </row>
    <row r="2506" spans="3:3" x14ac:dyDescent="0.2">
      <c r="C2506"/>
    </row>
    <row r="2507" spans="3:3" x14ac:dyDescent="0.2">
      <c r="C2507"/>
    </row>
    <row r="2508" spans="3:3" x14ac:dyDescent="0.2">
      <c r="C2508"/>
    </row>
    <row r="2509" spans="3:3" x14ac:dyDescent="0.2">
      <c r="C2509"/>
    </row>
    <row r="2510" spans="3:3" x14ac:dyDescent="0.2">
      <c r="C2510"/>
    </row>
    <row r="2511" spans="3:3" x14ac:dyDescent="0.2">
      <c r="C2511"/>
    </row>
    <row r="2512" spans="3:3" x14ac:dyDescent="0.2">
      <c r="C2512"/>
    </row>
    <row r="2513" spans="3:3" x14ac:dyDescent="0.2">
      <c r="C2513"/>
    </row>
    <row r="2514" spans="3:3" x14ac:dyDescent="0.2">
      <c r="C2514"/>
    </row>
    <row r="2515" spans="3:3" x14ac:dyDescent="0.2">
      <c r="C2515"/>
    </row>
    <row r="2516" spans="3:3" x14ac:dyDescent="0.2">
      <c r="C2516"/>
    </row>
    <row r="2517" spans="3:3" x14ac:dyDescent="0.2">
      <c r="C2517"/>
    </row>
    <row r="2518" spans="3:3" x14ac:dyDescent="0.2">
      <c r="C2518"/>
    </row>
    <row r="2519" spans="3:3" x14ac:dyDescent="0.2">
      <c r="C2519"/>
    </row>
    <row r="2520" spans="3:3" x14ac:dyDescent="0.2">
      <c r="C2520"/>
    </row>
    <row r="2521" spans="3:3" x14ac:dyDescent="0.2">
      <c r="C2521"/>
    </row>
    <row r="2522" spans="3:3" x14ac:dyDescent="0.2">
      <c r="C2522"/>
    </row>
    <row r="2523" spans="3:3" x14ac:dyDescent="0.2">
      <c r="C2523"/>
    </row>
    <row r="2524" spans="3:3" x14ac:dyDescent="0.2">
      <c r="C2524"/>
    </row>
    <row r="2525" spans="3:3" x14ac:dyDescent="0.2">
      <c r="C2525"/>
    </row>
    <row r="2526" spans="3:3" x14ac:dyDescent="0.2">
      <c r="C2526"/>
    </row>
    <row r="2527" spans="3:3" x14ac:dyDescent="0.2">
      <c r="C2527"/>
    </row>
    <row r="2528" spans="3:3" x14ac:dyDescent="0.2">
      <c r="C2528"/>
    </row>
    <row r="2529" spans="3:3" x14ac:dyDescent="0.2">
      <c r="C2529"/>
    </row>
    <row r="2530" spans="3:3" x14ac:dyDescent="0.2">
      <c r="C2530"/>
    </row>
    <row r="2531" spans="3:3" x14ac:dyDescent="0.2">
      <c r="C2531"/>
    </row>
    <row r="2532" spans="3:3" x14ac:dyDescent="0.2">
      <c r="C2532"/>
    </row>
    <row r="2533" spans="3:3" x14ac:dyDescent="0.2">
      <c r="C2533"/>
    </row>
    <row r="2534" spans="3:3" x14ac:dyDescent="0.2">
      <c r="C2534"/>
    </row>
    <row r="2535" spans="3:3" x14ac:dyDescent="0.2">
      <c r="C2535"/>
    </row>
    <row r="2536" spans="3:3" x14ac:dyDescent="0.2">
      <c r="C2536"/>
    </row>
    <row r="2537" spans="3:3" x14ac:dyDescent="0.2">
      <c r="C2537"/>
    </row>
    <row r="2538" spans="3:3" x14ac:dyDescent="0.2">
      <c r="C2538"/>
    </row>
    <row r="2539" spans="3:3" x14ac:dyDescent="0.2">
      <c r="C2539"/>
    </row>
    <row r="2540" spans="3:3" x14ac:dyDescent="0.2">
      <c r="C2540"/>
    </row>
    <row r="2541" spans="3:3" x14ac:dyDescent="0.2">
      <c r="C2541"/>
    </row>
    <row r="2542" spans="3:3" x14ac:dyDescent="0.2">
      <c r="C2542"/>
    </row>
    <row r="2543" spans="3:3" x14ac:dyDescent="0.2">
      <c r="C2543"/>
    </row>
    <row r="2544" spans="3:3" x14ac:dyDescent="0.2">
      <c r="C2544"/>
    </row>
    <row r="2545" spans="3:3" x14ac:dyDescent="0.2">
      <c r="C2545"/>
    </row>
    <row r="2546" spans="3:3" x14ac:dyDescent="0.2">
      <c r="C2546"/>
    </row>
    <row r="2547" spans="3:3" x14ac:dyDescent="0.2">
      <c r="C2547"/>
    </row>
    <row r="2548" spans="3:3" x14ac:dyDescent="0.2">
      <c r="C2548"/>
    </row>
    <row r="2549" spans="3:3" x14ac:dyDescent="0.2">
      <c r="C2549"/>
    </row>
    <row r="2550" spans="3:3" x14ac:dyDescent="0.2">
      <c r="C2550"/>
    </row>
    <row r="2551" spans="3:3" x14ac:dyDescent="0.2">
      <c r="C2551"/>
    </row>
    <row r="2552" spans="3:3" x14ac:dyDescent="0.2">
      <c r="C2552"/>
    </row>
    <row r="2553" spans="3:3" x14ac:dyDescent="0.2">
      <c r="C2553"/>
    </row>
    <row r="2554" spans="3:3" x14ac:dyDescent="0.2">
      <c r="C2554"/>
    </row>
    <row r="2555" spans="3:3" x14ac:dyDescent="0.2">
      <c r="C2555"/>
    </row>
    <row r="2556" spans="3:3" x14ac:dyDescent="0.2">
      <c r="C2556"/>
    </row>
    <row r="2557" spans="3:3" x14ac:dyDescent="0.2">
      <c r="C2557"/>
    </row>
    <row r="2558" spans="3:3" x14ac:dyDescent="0.2">
      <c r="C2558"/>
    </row>
    <row r="2559" spans="3:3" x14ac:dyDescent="0.2">
      <c r="C2559"/>
    </row>
    <row r="2560" spans="3:3" x14ac:dyDescent="0.2">
      <c r="C2560"/>
    </row>
    <row r="2561" spans="3:3" x14ac:dyDescent="0.2">
      <c r="C2561"/>
    </row>
    <row r="2562" spans="3:3" x14ac:dyDescent="0.2">
      <c r="C2562"/>
    </row>
    <row r="2563" spans="3:3" x14ac:dyDescent="0.2">
      <c r="C2563"/>
    </row>
    <row r="2564" spans="3:3" x14ac:dyDescent="0.2">
      <c r="C2564"/>
    </row>
    <row r="2565" spans="3:3" x14ac:dyDescent="0.2">
      <c r="C2565"/>
    </row>
    <row r="2566" spans="3:3" x14ac:dyDescent="0.2">
      <c r="C2566"/>
    </row>
    <row r="2567" spans="3:3" x14ac:dyDescent="0.2">
      <c r="C2567"/>
    </row>
    <row r="2568" spans="3:3" x14ac:dyDescent="0.2">
      <c r="C2568"/>
    </row>
    <row r="2569" spans="3:3" x14ac:dyDescent="0.2">
      <c r="C2569"/>
    </row>
    <row r="2570" spans="3:3" x14ac:dyDescent="0.2">
      <c r="C2570"/>
    </row>
    <row r="2571" spans="3:3" x14ac:dyDescent="0.2">
      <c r="C2571"/>
    </row>
    <row r="2572" spans="3:3" x14ac:dyDescent="0.2">
      <c r="C2572"/>
    </row>
    <row r="2573" spans="3:3" x14ac:dyDescent="0.2">
      <c r="C2573"/>
    </row>
    <row r="2574" spans="3:3" x14ac:dyDescent="0.2">
      <c r="C2574"/>
    </row>
    <row r="2575" spans="3:3" x14ac:dyDescent="0.2">
      <c r="C2575"/>
    </row>
    <row r="2576" spans="3:3" x14ac:dyDescent="0.2">
      <c r="C2576"/>
    </row>
    <row r="2577" spans="3:3" x14ac:dyDescent="0.2">
      <c r="C2577"/>
    </row>
    <row r="2578" spans="3:3" x14ac:dyDescent="0.2">
      <c r="C2578"/>
    </row>
    <row r="2579" spans="3:3" x14ac:dyDescent="0.2">
      <c r="C2579"/>
    </row>
    <row r="2580" spans="3:3" x14ac:dyDescent="0.2">
      <c r="C2580"/>
    </row>
    <row r="2581" spans="3:3" x14ac:dyDescent="0.2">
      <c r="C2581"/>
    </row>
    <row r="2582" spans="3:3" x14ac:dyDescent="0.2">
      <c r="C2582"/>
    </row>
    <row r="2583" spans="3:3" x14ac:dyDescent="0.2">
      <c r="C2583"/>
    </row>
    <row r="2584" spans="3:3" x14ac:dyDescent="0.2">
      <c r="C2584"/>
    </row>
    <row r="2585" spans="3:3" x14ac:dyDescent="0.2">
      <c r="C2585"/>
    </row>
    <row r="2586" spans="3:3" x14ac:dyDescent="0.2">
      <c r="C2586"/>
    </row>
    <row r="2587" spans="3:3" x14ac:dyDescent="0.2">
      <c r="C2587"/>
    </row>
    <row r="2588" spans="3:3" x14ac:dyDescent="0.2">
      <c r="C2588"/>
    </row>
    <row r="2589" spans="3:3" x14ac:dyDescent="0.2">
      <c r="C2589"/>
    </row>
    <row r="2590" spans="3:3" x14ac:dyDescent="0.2">
      <c r="C2590"/>
    </row>
    <row r="2591" spans="3:3" x14ac:dyDescent="0.2">
      <c r="C2591"/>
    </row>
    <row r="2592" spans="3:3" x14ac:dyDescent="0.2">
      <c r="C2592"/>
    </row>
    <row r="2593" spans="3:3" x14ac:dyDescent="0.2">
      <c r="C2593"/>
    </row>
    <row r="2594" spans="3:3" x14ac:dyDescent="0.2">
      <c r="C2594"/>
    </row>
    <row r="2595" spans="3:3" x14ac:dyDescent="0.2">
      <c r="C2595"/>
    </row>
    <row r="2596" spans="3:3" x14ac:dyDescent="0.2">
      <c r="C2596"/>
    </row>
    <row r="2597" spans="3:3" x14ac:dyDescent="0.2">
      <c r="C2597"/>
    </row>
    <row r="2598" spans="3:3" x14ac:dyDescent="0.2">
      <c r="C2598"/>
    </row>
    <row r="2599" spans="3:3" x14ac:dyDescent="0.2">
      <c r="C2599"/>
    </row>
    <row r="2600" spans="3:3" x14ac:dyDescent="0.2">
      <c r="C2600"/>
    </row>
    <row r="2601" spans="3:3" x14ac:dyDescent="0.2">
      <c r="C2601"/>
    </row>
    <row r="2602" spans="3:3" x14ac:dyDescent="0.2">
      <c r="C2602"/>
    </row>
    <row r="2603" spans="3:3" x14ac:dyDescent="0.2">
      <c r="C2603"/>
    </row>
    <row r="2604" spans="3:3" x14ac:dyDescent="0.2">
      <c r="C2604"/>
    </row>
    <row r="2605" spans="3:3" x14ac:dyDescent="0.2">
      <c r="C2605"/>
    </row>
    <row r="2606" spans="3:3" x14ac:dyDescent="0.2">
      <c r="C2606"/>
    </row>
    <row r="2607" spans="3:3" x14ac:dyDescent="0.2">
      <c r="C2607"/>
    </row>
    <row r="2608" spans="3:3" x14ac:dyDescent="0.2">
      <c r="C2608"/>
    </row>
    <row r="2609" spans="3:3" x14ac:dyDescent="0.2">
      <c r="C2609"/>
    </row>
    <row r="2610" spans="3:3" x14ac:dyDescent="0.2">
      <c r="C2610"/>
    </row>
    <row r="2611" spans="3:3" x14ac:dyDescent="0.2">
      <c r="C2611"/>
    </row>
    <row r="2612" spans="3:3" x14ac:dyDescent="0.2">
      <c r="C2612"/>
    </row>
    <row r="2613" spans="3:3" x14ac:dyDescent="0.2">
      <c r="C2613"/>
    </row>
    <row r="2614" spans="3:3" x14ac:dyDescent="0.2">
      <c r="C2614"/>
    </row>
    <row r="2615" spans="3:3" x14ac:dyDescent="0.2">
      <c r="C2615"/>
    </row>
    <row r="2616" spans="3:3" x14ac:dyDescent="0.2">
      <c r="C2616"/>
    </row>
    <row r="2617" spans="3:3" x14ac:dyDescent="0.2">
      <c r="C2617"/>
    </row>
    <row r="2618" spans="3:3" x14ac:dyDescent="0.2">
      <c r="C2618"/>
    </row>
    <row r="2619" spans="3:3" x14ac:dyDescent="0.2">
      <c r="C2619"/>
    </row>
    <row r="2620" spans="3:3" x14ac:dyDescent="0.2">
      <c r="C2620"/>
    </row>
    <row r="2621" spans="3:3" x14ac:dyDescent="0.2">
      <c r="C2621"/>
    </row>
    <row r="2622" spans="3:3" x14ac:dyDescent="0.2">
      <c r="C2622"/>
    </row>
    <row r="2623" spans="3:3" x14ac:dyDescent="0.2">
      <c r="C2623"/>
    </row>
    <row r="2624" spans="3:3" x14ac:dyDescent="0.2">
      <c r="C2624"/>
    </row>
    <row r="2625" spans="3:3" x14ac:dyDescent="0.2">
      <c r="C2625"/>
    </row>
    <row r="2626" spans="3:3" x14ac:dyDescent="0.2">
      <c r="C2626"/>
    </row>
    <row r="2627" spans="3:3" x14ac:dyDescent="0.2">
      <c r="C2627"/>
    </row>
    <row r="2628" spans="3:3" x14ac:dyDescent="0.2">
      <c r="C2628"/>
    </row>
    <row r="2629" spans="3:3" x14ac:dyDescent="0.2">
      <c r="C2629"/>
    </row>
    <row r="2630" spans="3:3" x14ac:dyDescent="0.2">
      <c r="C2630"/>
    </row>
    <row r="2631" spans="3:3" x14ac:dyDescent="0.2">
      <c r="C2631"/>
    </row>
    <row r="2632" spans="3:3" x14ac:dyDescent="0.2">
      <c r="C2632"/>
    </row>
    <row r="2633" spans="3:3" x14ac:dyDescent="0.2">
      <c r="C2633"/>
    </row>
    <row r="2634" spans="3:3" x14ac:dyDescent="0.2">
      <c r="C2634"/>
    </row>
    <row r="2635" spans="3:3" x14ac:dyDescent="0.2">
      <c r="C2635"/>
    </row>
    <row r="2636" spans="3:3" x14ac:dyDescent="0.2">
      <c r="C2636"/>
    </row>
    <row r="2637" spans="3:3" x14ac:dyDescent="0.2">
      <c r="C2637"/>
    </row>
    <row r="2638" spans="3:3" x14ac:dyDescent="0.2">
      <c r="C2638"/>
    </row>
    <row r="2639" spans="3:3" x14ac:dyDescent="0.2">
      <c r="C2639"/>
    </row>
    <row r="2640" spans="3:3" x14ac:dyDescent="0.2">
      <c r="C2640"/>
    </row>
    <row r="2641" spans="3:3" x14ac:dyDescent="0.2">
      <c r="C2641"/>
    </row>
    <row r="2642" spans="3:3" x14ac:dyDescent="0.2">
      <c r="C2642"/>
    </row>
    <row r="2643" spans="3:3" x14ac:dyDescent="0.2">
      <c r="C2643"/>
    </row>
    <row r="2644" spans="3:3" x14ac:dyDescent="0.2">
      <c r="C2644"/>
    </row>
    <row r="2645" spans="3:3" x14ac:dyDescent="0.2">
      <c r="C2645"/>
    </row>
    <row r="2646" spans="3:3" x14ac:dyDescent="0.2">
      <c r="C2646"/>
    </row>
    <row r="2647" spans="3:3" x14ac:dyDescent="0.2">
      <c r="C2647"/>
    </row>
    <row r="2648" spans="3:3" x14ac:dyDescent="0.2">
      <c r="C2648"/>
    </row>
    <row r="2649" spans="3:3" x14ac:dyDescent="0.2">
      <c r="C2649"/>
    </row>
    <row r="2650" spans="3:3" x14ac:dyDescent="0.2">
      <c r="C2650"/>
    </row>
    <row r="2651" spans="3:3" x14ac:dyDescent="0.2">
      <c r="C2651"/>
    </row>
    <row r="2652" spans="3:3" x14ac:dyDescent="0.2">
      <c r="C2652"/>
    </row>
    <row r="2653" spans="3:3" x14ac:dyDescent="0.2">
      <c r="C2653"/>
    </row>
    <row r="2654" spans="3:3" x14ac:dyDescent="0.2">
      <c r="C2654"/>
    </row>
    <row r="2655" spans="3:3" x14ac:dyDescent="0.2">
      <c r="C2655"/>
    </row>
    <row r="2656" spans="3:3" x14ac:dyDescent="0.2">
      <c r="C2656"/>
    </row>
    <row r="2657" spans="3:3" x14ac:dyDescent="0.2">
      <c r="C2657"/>
    </row>
    <row r="2658" spans="3:3" x14ac:dyDescent="0.2">
      <c r="C2658"/>
    </row>
    <row r="2659" spans="3:3" x14ac:dyDescent="0.2">
      <c r="C2659"/>
    </row>
    <row r="2660" spans="3:3" x14ac:dyDescent="0.2">
      <c r="C2660"/>
    </row>
    <row r="2661" spans="3:3" x14ac:dyDescent="0.2">
      <c r="C2661"/>
    </row>
    <row r="2662" spans="3:3" x14ac:dyDescent="0.2">
      <c r="C2662"/>
    </row>
    <row r="2663" spans="3:3" x14ac:dyDescent="0.2">
      <c r="C2663"/>
    </row>
    <row r="2664" spans="3:3" x14ac:dyDescent="0.2">
      <c r="C2664"/>
    </row>
    <row r="2665" spans="3:3" x14ac:dyDescent="0.2">
      <c r="C2665"/>
    </row>
    <row r="2666" spans="3:3" x14ac:dyDescent="0.2">
      <c r="C2666"/>
    </row>
    <row r="2667" spans="3:3" x14ac:dyDescent="0.2">
      <c r="C2667"/>
    </row>
    <row r="2668" spans="3:3" x14ac:dyDescent="0.2">
      <c r="C2668"/>
    </row>
    <row r="2669" spans="3:3" x14ac:dyDescent="0.2">
      <c r="C2669"/>
    </row>
    <row r="2670" spans="3:3" x14ac:dyDescent="0.2">
      <c r="C2670"/>
    </row>
    <row r="2671" spans="3:3" x14ac:dyDescent="0.2">
      <c r="C2671"/>
    </row>
    <row r="2672" spans="3:3" x14ac:dyDescent="0.2">
      <c r="C2672"/>
    </row>
    <row r="2673" spans="3:3" x14ac:dyDescent="0.2">
      <c r="C2673"/>
    </row>
    <row r="2674" spans="3:3" x14ac:dyDescent="0.2">
      <c r="C2674"/>
    </row>
    <row r="2675" spans="3:3" x14ac:dyDescent="0.2">
      <c r="C2675"/>
    </row>
    <row r="2676" spans="3:3" x14ac:dyDescent="0.2">
      <c r="C2676"/>
    </row>
    <row r="2677" spans="3:3" x14ac:dyDescent="0.2">
      <c r="C2677"/>
    </row>
    <row r="2678" spans="3:3" x14ac:dyDescent="0.2">
      <c r="C2678"/>
    </row>
    <row r="2679" spans="3:3" x14ac:dyDescent="0.2">
      <c r="C2679"/>
    </row>
    <row r="2680" spans="3:3" x14ac:dyDescent="0.2">
      <c r="C2680"/>
    </row>
    <row r="2681" spans="3:3" x14ac:dyDescent="0.2">
      <c r="C2681"/>
    </row>
    <row r="2682" spans="3:3" x14ac:dyDescent="0.2">
      <c r="C2682"/>
    </row>
    <row r="2683" spans="3:3" x14ac:dyDescent="0.2">
      <c r="C2683"/>
    </row>
    <row r="2684" spans="3:3" x14ac:dyDescent="0.2">
      <c r="C2684"/>
    </row>
    <row r="2685" spans="3:3" x14ac:dyDescent="0.2">
      <c r="C2685"/>
    </row>
    <row r="2686" spans="3:3" x14ac:dyDescent="0.2">
      <c r="C2686"/>
    </row>
    <row r="2687" spans="3:3" x14ac:dyDescent="0.2">
      <c r="C2687"/>
    </row>
    <row r="2688" spans="3:3" x14ac:dyDescent="0.2">
      <c r="C2688"/>
    </row>
    <row r="2689" spans="3:3" x14ac:dyDescent="0.2">
      <c r="C2689"/>
    </row>
    <row r="2690" spans="3:3" x14ac:dyDescent="0.2">
      <c r="C2690"/>
    </row>
    <row r="2691" spans="3:3" x14ac:dyDescent="0.2">
      <c r="C2691"/>
    </row>
    <row r="2692" spans="3:3" x14ac:dyDescent="0.2">
      <c r="C2692"/>
    </row>
    <row r="2693" spans="3:3" x14ac:dyDescent="0.2">
      <c r="C2693"/>
    </row>
    <row r="2694" spans="3:3" x14ac:dyDescent="0.2">
      <c r="C2694"/>
    </row>
    <row r="2695" spans="3:3" x14ac:dyDescent="0.2">
      <c r="C2695"/>
    </row>
    <row r="2696" spans="3:3" x14ac:dyDescent="0.2">
      <c r="C2696"/>
    </row>
    <row r="2697" spans="3:3" x14ac:dyDescent="0.2">
      <c r="C2697"/>
    </row>
    <row r="2698" spans="3:3" x14ac:dyDescent="0.2">
      <c r="C2698"/>
    </row>
    <row r="2699" spans="3:3" x14ac:dyDescent="0.2">
      <c r="C2699"/>
    </row>
    <row r="2700" spans="3:3" x14ac:dyDescent="0.2">
      <c r="C2700"/>
    </row>
    <row r="2701" spans="3:3" x14ac:dyDescent="0.2">
      <c r="C2701"/>
    </row>
    <row r="2702" spans="3:3" x14ac:dyDescent="0.2">
      <c r="C2702"/>
    </row>
    <row r="2703" spans="3:3" x14ac:dyDescent="0.2">
      <c r="C2703"/>
    </row>
    <row r="2704" spans="3:3" x14ac:dyDescent="0.2">
      <c r="C2704"/>
    </row>
    <row r="2705" spans="3:3" x14ac:dyDescent="0.2">
      <c r="C2705"/>
    </row>
    <row r="2706" spans="3:3" x14ac:dyDescent="0.2">
      <c r="C2706"/>
    </row>
    <row r="2707" spans="3:3" x14ac:dyDescent="0.2">
      <c r="C2707"/>
    </row>
    <row r="2708" spans="3:3" x14ac:dyDescent="0.2">
      <c r="C2708"/>
    </row>
    <row r="2709" spans="3:3" x14ac:dyDescent="0.2">
      <c r="C2709"/>
    </row>
    <row r="2710" spans="3:3" x14ac:dyDescent="0.2">
      <c r="C2710"/>
    </row>
    <row r="2711" spans="3:3" x14ac:dyDescent="0.2">
      <c r="C2711"/>
    </row>
    <row r="2712" spans="3:3" x14ac:dyDescent="0.2">
      <c r="C2712"/>
    </row>
    <row r="2713" spans="3:3" x14ac:dyDescent="0.2">
      <c r="C2713"/>
    </row>
    <row r="2714" spans="3:3" x14ac:dyDescent="0.2">
      <c r="C2714"/>
    </row>
    <row r="2715" spans="3:3" x14ac:dyDescent="0.2">
      <c r="C2715"/>
    </row>
    <row r="2716" spans="3:3" x14ac:dyDescent="0.2">
      <c r="C2716"/>
    </row>
    <row r="2717" spans="3:3" x14ac:dyDescent="0.2">
      <c r="C2717"/>
    </row>
    <row r="2718" spans="3:3" x14ac:dyDescent="0.2">
      <c r="C2718"/>
    </row>
    <row r="2719" spans="3:3" x14ac:dyDescent="0.2">
      <c r="C2719"/>
    </row>
    <row r="2720" spans="3:3" x14ac:dyDescent="0.2">
      <c r="C2720"/>
    </row>
    <row r="2721" spans="3:3" x14ac:dyDescent="0.2">
      <c r="C2721"/>
    </row>
    <row r="2722" spans="3:3" x14ac:dyDescent="0.2">
      <c r="C2722"/>
    </row>
    <row r="2723" spans="3:3" x14ac:dyDescent="0.2">
      <c r="C2723"/>
    </row>
    <row r="2724" spans="3:3" x14ac:dyDescent="0.2">
      <c r="C2724"/>
    </row>
    <row r="2725" spans="3:3" x14ac:dyDescent="0.2">
      <c r="C2725"/>
    </row>
    <row r="2726" spans="3:3" x14ac:dyDescent="0.2">
      <c r="C2726"/>
    </row>
    <row r="2727" spans="3:3" x14ac:dyDescent="0.2">
      <c r="C2727"/>
    </row>
    <row r="2728" spans="3:3" x14ac:dyDescent="0.2">
      <c r="C2728"/>
    </row>
    <row r="2729" spans="3:3" x14ac:dyDescent="0.2">
      <c r="C2729"/>
    </row>
    <row r="2730" spans="3:3" x14ac:dyDescent="0.2">
      <c r="C2730"/>
    </row>
    <row r="2731" spans="3:3" x14ac:dyDescent="0.2">
      <c r="C2731"/>
    </row>
    <row r="2732" spans="3:3" x14ac:dyDescent="0.2">
      <c r="C2732"/>
    </row>
    <row r="2733" spans="3:3" x14ac:dyDescent="0.2">
      <c r="C2733"/>
    </row>
    <row r="2734" spans="3:3" x14ac:dyDescent="0.2">
      <c r="C2734"/>
    </row>
    <row r="2735" spans="3:3" x14ac:dyDescent="0.2">
      <c r="C2735"/>
    </row>
    <row r="2736" spans="3:3" x14ac:dyDescent="0.2">
      <c r="C2736"/>
    </row>
    <row r="2737" spans="3:3" x14ac:dyDescent="0.2">
      <c r="C2737"/>
    </row>
    <row r="2738" spans="3:3" x14ac:dyDescent="0.2">
      <c r="C2738"/>
    </row>
    <row r="2739" spans="3:3" x14ac:dyDescent="0.2">
      <c r="C2739"/>
    </row>
    <row r="2740" spans="3:3" x14ac:dyDescent="0.2">
      <c r="C2740"/>
    </row>
    <row r="2741" spans="3:3" x14ac:dyDescent="0.2">
      <c r="C2741"/>
    </row>
    <row r="2742" spans="3:3" x14ac:dyDescent="0.2">
      <c r="C2742"/>
    </row>
    <row r="2743" spans="3:3" x14ac:dyDescent="0.2">
      <c r="C2743"/>
    </row>
    <row r="2744" spans="3:3" x14ac:dyDescent="0.2">
      <c r="C2744"/>
    </row>
    <row r="2745" spans="3:3" x14ac:dyDescent="0.2">
      <c r="C2745"/>
    </row>
    <row r="2746" spans="3:3" x14ac:dyDescent="0.2">
      <c r="C2746"/>
    </row>
    <row r="2747" spans="3:3" x14ac:dyDescent="0.2">
      <c r="C2747"/>
    </row>
    <row r="2748" spans="3:3" x14ac:dyDescent="0.2">
      <c r="C2748"/>
    </row>
    <row r="2749" spans="3:3" x14ac:dyDescent="0.2">
      <c r="C2749"/>
    </row>
    <row r="2750" spans="3:3" x14ac:dyDescent="0.2">
      <c r="C2750"/>
    </row>
    <row r="2751" spans="3:3" x14ac:dyDescent="0.2">
      <c r="C2751"/>
    </row>
    <row r="2752" spans="3:3" x14ac:dyDescent="0.2">
      <c r="C2752"/>
    </row>
    <row r="2753" spans="3:3" x14ac:dyDescent="0.2">
      <c r="C2753"/>
    </row>
    <row r="2754" spans="3:3" x14ac:dyDescent="0.2">
      <c r="C2754"/>
    </row>
    <row r="2755" spans="3:3" x14ac:dyDescent="0.2">
      <c r="C2755"/>
    </row>
    <row r="2756" spans="3:3" x14ac:dyDescent="0.2">
      <c r="C2756"/>
    </row>
    <row r="2757" spans="3:3" x14ac:dyDescent="0.2">
      <c r="C2757"/>
    </row>
    <row r="2758" spans="3:3" x14ac:dyDescent="0.2">
      <c r="C2758"/>
    </row>
    <row r="2759" spans="3:3" x14ac:dyDescent="0.2">
      <c r="C2759"/>
    </row>
    <row r="2760" spans="3:3" x14ac:dyDescent="0.2">
      <c r="C2760"/>
    </row>
    <row r="2761" spans="3:3" x14ac:dyDescent="0.2">
      <c r="C2761"/>
    </row>
    <row r="2762" spans="3:3" x14ac:dyDescent="0.2">
      <c r="C2762"/>
    </row>
    <row r="2763" spans="3:3" x14ac:dyDescent="0.2">
      <c r="C2763"/>
    </row>
    <row r="2764" spans="3:3" x14ac:dyDescent="0.2">
      <c r="C2764"/>
    </row>
    <row r="2765" spans="3:3" x14ac:dyDescent="0.2">
      <c r="C2765"/>
    </row>
    <row r="2766" spans="3:3" x14ac:dyDescent="0.2">
      <c r="C2766"/>
    </row>
    <row r="2767" spans="3:3" x14ac:dyDescent="0.2">
      <c r="C2767"/>
    </row>
    <row r="2768" spans="3:3" x14ac:dyDescent="0.2">
      <c r="C2768"/>
    </row>
    <row r="2769" spans="3:3" x14ac:dyDescent="0.2">
      <c r="C2769"/>
    </row>
    <row r="2770" spans="3:3" x14ac:dyDescent="0.2">
      <c r="C2770"/>
    </row>
    <row r="2771" spans="3:3" x14ac:dyDescent="0.2">
      <c r="C2771"/>
    </row>
    <row r="2772" spans="3:3" x14ac:dyDescent="0.2">
      <c r="C2772"/>
    </row>
    <row r="2773" spans="3:3" x14ac:dyDescent="0.2">
      <c r="C2773"/>
    </row>
    <row r="2774" spans="3:3" x14ac:dyDescent="0.2">
      <c r="C2774"/>
    </row>
    <row r="2775" spans="3:3" x14ac:dyDescent="0.2">
      <c r="C2775"/>
    </row>
    <row r="2776" spans="3:3" x14ac:dyDescent="0.2">
      <c r="C2776"/>
    </row>
    <row r="2777" spans="3:3" x14ac:dyDescent="0.2">
      <c r="C2777"/>
    </row>
    <row r="2778" spans="3:3" x14ac:dyDescent="0.2">
      <c r="C2778"/>
    </row>
    <row r="2779" spans="3:3" x14ac:dyDescent="0.2">
      <c r="C2779"/>
    </row>
    <row r="2780" spans="3:3" x14ac:dyDescent="0.2">
      <c r="C2780"/>
    </row>
    <row r="2781" spans="3:3" x14ac:dyDescent="0.2">
      <c r="C2781"/>
    </row>
    <row r="2782" spans="3:3" x14ac:dyDescent="0.2">
      <c r="C2782"/>
    </row>
    <row r="2783" spans="3:3" x14ac:dyDescent="0.2">
      <c r="C2783"/>
    </row>
    <row r="2784" spans="3:3" x14ac:dyDescent="0.2">
      <c r="C2784"/>
    </row>
    <row r="2785" spans="3:3" x14ac:dyDescent="0.2">
      <c r="C2785"/>
    </row>
    <row r="2786" spans="3:3" x14ac:dyDescent="0.2">
      <c r="C2786"/>
    </row>
    <row r="2787" spans="3:3" x14ac:dyDescent="0.2">
      <c r="C2787"/>
    </row>
    <row r="2788" spans="3:3" x14ac:dyDescent="0.2">
      <c r="C2788"/>
    </row>
    <row r="2789" spans="3:3" x14ac:dyDescent="0.2">
      <c r="C2789"/>
    </row>
    <row r="2790" spans="3:3" x14ac:dyDescent="0.2">
      <c r="C2790"/>
    </row>
    <row r="2791" spans="3:3" x14ac:dyDescent="0.2">
      <c r="C2791"/>
    </row>
    <row r="2792" spans="3:3" x14ac:dyDescent="0.2">
      <c r="C2792"/>
    </row>
    <row r="2793" spans="3:3" x14ac:dyDescent="0.2">
      <c r="C2793"/>
    </row>
    <row r="2794" spans="3:3" x14ac:dyDescent="0.2">
      <c r="C2794"/>
    </row>
    <row r="2795" spans="3:3" x14ac:dyDescent="0.2">
      <c r="C2795"/>
    </row>
    <row r="2796" spans="3:3" x14ac:dyDescent="0.2">
      <c r="C2796"/>
    </row>
    <row r="2797" spans="3:3" x14ac:dyDescent="0.2">
      <c r="C2797"/>
    </row>
    <row r="2798" spans="3:3" x14ac:dyDescent="0.2">
      <c r="C2798"/>
    </row>
    <row r="2799" spans="3:3" x14ac:dyDescent="0.2">
      <c r="C2799"/>
    </row>
    <row r="2800" spans="3:3" x14ac:dyDescent="0.2">
      <c r="C2800"/>
    </row>
    <row r="2801" spans="3:3" x14ac:dyDescent="0.2">
      <c r="C2801"/>
    </row>
    <row r="2802" spans="3:3" x14ac:dyDescent="0.2">
      <c r="C2802"/>
    </row>
    <row r="2803" spans="3:3" x14ac:dyDescent="0.2">
      <c r="C2803"/>
    </row>
    <row r="2804" spans="3:3" x14ac:dyDescent="0.2">
      <c r="C2804"/>
    </row>
    <row r="2805" spans="3:3" x14ac:dyDescent="0.2">
      <c r="C2805"/>
    </row>
    <row r="2806" spans="3:3" x14ac:dyDescent="0.2">
      <c r="C2806"/>
    </row>
    <row r="2807" spans="3:3" x14ac:dyDescent="0.2">
      <c r="C2807"/>
    </row>
    <row r="2808" spans="3:3" x14ac:dyDescent="0.2">
      <c r="C2808"/>
    </row>
    <row r="2809" spans="3:3" x14ac:dyDescent="0.2">
      <c r="C2809"/>
    </row>
    <row r="2810" spans="3:3" x14ac:dyDescent="0.2">
      <c r="C2810"/>
    </row>
    <row r="2811" spans="3:3" x14ac:dyDescent="0.2">
      <c r="C2811"/>
    </row>
    <row r="2812" spans="3:3" x14ac:dyDescent="0.2">
      <c r="C2812"/>
    </row>
    <row r="2813" spans="3:3" x14ac:dyDescent="0.2">
      <c r="C2813"/>
    </row>
    <row r="2814" spans="3:3" x14ac:dyDescent="0.2">
      <c r="C2814"/>
    </row>
    <row r="2815" spans="3:3" x14ac:dyDescent="0.2">
      <c r="C2815"/>
    </row>
    <row r="2816" spans="3:3" x14ac:dyDescent="0.2">
      <c r="C2816"/>
    </row>
    <row r="2817" spans="3:3" x14ac:dyDescent="0.2">
      <c r="C2817"/>
    </row>
    <row r="2818" spans="3:3" x14ac:dyDescent="0.2">
      <c r="C2818"/>
    </row>
    <row r="2819" spans="3:3" x14ac:dyDescent="0.2">
      <c r="C2819"/>
    </row>
    <row r="2820" spans="3:3" x14ac:dyDescent="0.2">
      <c r="C2820"/>
    </row>
    <row r="2821" spans="3:3" x14ac:dyDescent="0.2">
      <c r="C2821"/>
    </row>
    <row r="2822" spans="3:3" x14ac:dyDescent="0.2">
      <c r="C2822"/>
    </row>
    <row r="2823" spans="3:3" x14ac:dyDescent="0.2">
      <c r="C2823"/>
    </row>
    <row r="2824" spans="3:3" x14ac:dyDescent="0.2">
      <c r="C2824"/>
    </row>
    <row r="2825" spans="3:3" x14ac:dyDescent="0.2">
      <c r="C2825"/>
    </row>
    <row r="2826" spans="3:3" x14ac:dyDescent="0.2">
      <c r="C2826"/>
    </row>
    <row r="2827" spans="3:3" x14ac:dyDescent="0.2">
      <c r="C2827"/>
    </row>
    <row r="2828" spans="3:3" x14ac:dyDescent="0.2">
      <c r="C2828"/>
    </row>
    <row r="2829" spans="3:3" x14ac:dyDescent="0.2">
      <c r="C2829"/>
    </row>
    <row r="2830" spans="3:3" x14ac:dyDescent="0.2">
      <c r="C2830"/>
    </row>
    <row r="2831" spans="3:3" x14ac:dyDescent="0.2">
      <c r="C2831"/>
    </row>
    <row r="2832" spans="3:3" x14ac:dyDescent="0.2">
      <c r="C2832"/>
    </row>
    <row r="2833" spans="3:3" x14ac:dyDescent="0.2">
      <c r="C2833"/>
    </row>
    <row r="2834" spans="3:3" x14ac:dyDescent="0.2">
      <c r="C2834"/>
    </row>
    <row r="2835" spans="3:3" x14ac:dyDescent="0.2">
      <c r="C2835"/>
    </row>
    <row r="2836" spans="3:3" x14ac:dyDescent="0.2">
      <c r="C2836"/>
    </row>
    <row r="2837" spans="3:3" x14ac:dyDescent="0.2">
      <c r="C2837"/>
    </row>
    <row r="2838" spans="3:3" x14ac:dyDescent="0.2">
      <c r="C2838"/>
    </row>
    <row r="2839" spans="3:3" x14ac:dyDescent="0.2">
      <c r="C2839"/>
    </row>
    <row r="2840" spans="3:3" x14ac:dyDescent="0.2">
      <c r="C2840"/>
    </row>
    <row r="2841" spans="3:3" x14ac:dyDescent="0.2">
      <c r="C2841"/>
    </row>
    <row r="2842" spans="3:3" x14ac:dyDescent="0.2">
      <c r="C2842"/>
    </row>
    <row r="2843" spans="3:3" x14ac:dyDescent="0.2">
      <c r="C2843"/>
    </row>
    <row r="2844" spans="3:3" x14ac:dyDescent="0.2">
      <c r="C2844"/>
    </row>
    <row r="2845" spans="3:3" x14ac:dyDescent="0.2">
      <c r="C2845"/>
    </row>
    <row r="2846" spans="3:3" x14ac:dyDescent="0.2">
      <c r="C2846"/>
    </row>
    <row r="2847" spans="3:3" x14ac:dyDescent="0.2">
      <c r="C2847"/>
    </row>
    <row r="2848" spans="3:3" x14ac:dyDescent="0.2">
      <c r="C2848"/>
    </row>
    <row r="2849" spans="3:3" x14ac:dyDescent="0.2">
      <c r="C2849"/>
    </row>
    <row r="2850" spans="3:3" x14ac:dyDescent="0.2">
      <c r="C2850"/>
    </row>
    <row r="2851" spans="3:3" x14ac:dyDescent="0.2">
      <c r="C2851"/>
    </row>
    <row r="2852" spans="3:3" x14ac:dyDescent="0.2">
      <c r="C2852"/>
    </row>
    <row r="2853" spans="3:3" x14ac:dyDescent="0.2">
      <c r="C2853"/>
    </row>
    <row r="2854" spans="3:3" x14ac:dyDescent="0.2">
      <c r="C2854"/>
    </row>
    <row r="2855" spans="3:3" x14ac:dyDescent="0.2">
      <c r="C2855"/>
    </row>
    <row r="2856" spans="3:3" x14ac:dyDescent="0.2">
      <c r="C2856"/>
    </row>
    <row r="2857" spans="3:3" x14ac:dyDescent="0.2">
      <c r="C2857"/>
    </row>
    <row r="2858" spans="3:3" x14ac:dyDescent="0.2">
      <c r="C2858"/>
    </row>
    <row r="2859" spans="3:3" x14ac:dyDescent="0.2">
      <c r="C2859"/>
    </row>
    <row r="2860" spans="3:3" x14ac:dyDescent="0.2">
      <c r="C2860"/>
    </row>
    <row r="2861" spans="3:3" x14ac:dyDescent="0.2">
      <c r="C2861"/>
    </row>
    <row r="2862" spans="3:3" x14ac:dyDescent="0.2">
      <c r="C2862"/>
    </row>
    <row r="2863" spans="3:3" x14ac:dyDescent="0.2">
      <c r="C2863"/>
    </row>
    <row r="2864" spans="3:3" x14ac:dyDescent="0.2">
      <c r="C2864"/>
    </row>
    <row r="2865" spans="3:3" x14ac:dyDescent="0.2">
      <c r="C2865"/>
    </row>
    <row r="2866" spans="3:3" x14ac:dyDescent="0.2">
      <c r="C2866"/>
    </row>
    <row r="2867" spans="3:3" x14ac:dyDescent="0.2">
      <c r="C2867"/>
    </row>
    <row r="2868" spans="3:3" x14ac:dyDescent="0.2">
      <c r="C2868"/>
    </row>
    <row r="2869" spans="3:3" x14ac:dyDescent="0.2">
      <c r="C2869"/>
    </row>
    <row r="2870" spans="3:3" x14ac:dyDescent="0.2">
      <c r="C2870"/>
    </row>
    <row r="2871" spans="3:3" x14ac:dyDescent="0.2">
      <c r="C2871"/>
    </row>
    <row r="2872" spans="3:3" x14ac:dyDescent="0.2">
      <c r="C2872"/>
    </row>
    <row r="2873" spans="3:3" x14ac:dyDescent="0.2">
      <c r="C2873"/>
    </row>
    <row r="2874" spans="3:3" x14ac:dyDescent="0.2">
      <c r="C2874"/>
    </row>
    <row r="2875" spans="3:3" x14ac:dyDescent="0.2">
      <c r="C2875"/>
    </row>
    <row r="2876" spans="3:3" x14ac:dyDescent="0.2">
      <c r="C2876"/>
    </row>
    <row r="2877" spans="3:3" x14ac:dyDescent="0.2">
      <c r="C2877"/>
    </row>
    <row r="2878" spans="3:3" x14ac:dyDescent="0.2">
      <c r="C2878"/>
    </row>
    <row r="2879" spans="3:3" x14ac:dyDescent="0.2">
      <c r="C2879"/>
    </row>
    <row r="2880" spans="3:3" x14ac:dyDescent="0.2">
      <c r="C2880"/>
    </row>
    <row r="2881" spans="3:3" x14ac:dyDescent="0.2">
      <c r="C2881"/>
    </row>
    <row r="2882" spans="3:3" x14ac:dyDescent="0.2">
      <c r="C2882"/>
    </row>
    <row r="2883" spans="3:3" x14ac:dyDescent="0.2">
      <c r="C2883"/>
    </row>
    <row r="2884" spans="3:3" x14ac:dyDescent="0.2">
      <c r="C2884"/>
    </row>
    <row r="2885" spans="3:3" x14ac:dyDescent="0.2">
      <c r="C2885"/>
    </row>
    <row r="2886" spans="3:3" x14ac:dyDescent="0.2">
      <c r="C2886"/>
    </row>
    <row r="2887" spans="3:3" x14ac:dyDescent="0.2">
      <c r="C2887"/>
    </row>
    <row r="2888" spans="3:3" x14ac:dyDescent="0.2">
      <c r="C2888"/>
    </row>
    <row r="2889" spans="3:3" x14ac:dyDescent="0.2">
      <c r="C2889"/>
    </row>
    <row r="2890" spans="3:3" x14ac:dyDescent="0.2">
      <c r="C2890"/>
    </row>
    <row r="2891" spans="3:3" x14ac:dyDescent="0.2">
      <c r="C2891"/>
    </row>
    <row r="2892" spans="3:3" x14ac:dyDescent="0.2">
      <c r="C2892"/>
    </row>
    <row r="2893" spans="3:3" x14ac:dyDescent="0.2">
      <c r="C2893"/>
    </row>
    <row r="2894" spans="3:3" x14ac:dyDescent="0.2">
      <c r="C2894"/>
    </row>
    <row r="2895" spans="3:3" x14ac:dyDescent="0.2">
      <c r="C2895"/>
    </row>
    <row r="2896" spans="3:3" x14ac:dyDescent="0.2">
      <c r="C2896"/>
    </row>
    <row r="2897" spans="3:3" x14ac:dyDescent="0.2">
      <c r="C2897"/>
    </row>
    <row r="2898" spans="3:3" x14ac:dyDescent="0.2">
      <c r="C2898"/>
    </row>
    <row r="2899" spans="3:3" x14ac:dyDescent="0.2">
      <c r="C2899"/>
    </row>
    <row r="2900" spans="3:3" x14ac:dyDescent="0.2">
      <c r="C2900"/>
    </row>
    <row r="2901" spans="3:3" x14ac:dyDescent="0.2">
      <c r="C2901"/>
    </row>
    <row r="2902" spans="3:3" x14ac:dyDescent="0.2">
      <c r="C2902"/>
    </row>
    <row r="2903" spans="3:3" x14ac:dyDescent="0.2">
      <c r="C2903"/>
    </row>
    <row r="2904" spans="3:3" x14ac:dyDescent="0.2">
      <c r="C2904"/>
    </row>
    <row r="2905" spans="3:3" x14ac:dyDescent="0.2">
      <c r="C2905"/>
    </row>
    <row r="2906" spans="3:3" x14ac:dyDescent="0.2">
      <c r="C2906"/>
    </row>
    <row r="2907" spans="3:3" x14ac:dyDescent="0.2">
      <c r="C2907"/>
    </row>
    <row r="2908" spans="3:3" x14ac:dyDescent="0.2">
      <c r="C2908"/>
    </row>
    <row r="2909" spans="3:3" x14ac:dyDescent="0.2">
      <c r="C2909"/>
    </row>
    <row r="2910" spans="3:3" x14ac:dyDescent="0.2">
      <c r="C2910"/>
    </row>
    <row r="2911" spans="3:3" x14ac:dyDescent="0.2">
      <c r="C2911"/>
    </row>
    <row r="2912" spans="3:3" x14ac:dyDescent="0.2">
      <c r="C2912"/>
    </row>
    <row r="2913" spans="3:3" x14ac:dyDescent="0.2">
      <c r="C2913"/>
    </row>
    <row r="2914" spans="3:3" x14ac:dyDescent="0.2">
      <c r="C2914"/>
    </row>
    <row r="2915" spans="3:3" x14ac:dyDescent="0.2">
      <c r="C2915"/>
    </row>
    <row r="2916" spans="3:3" x14ac:dyDescent="0.2">
      <c r="C2916"/>
    </row>
    <row r="2917" spans="3:3" x14ac:dyDescent="0.2">
      <c r="C2917"/>
    </row>
    <row r="2918" spans="3:3" x14ac:dyDescent="0.2">
      <c r="C2918"/>
    </row>
    <row r="2919" spans="3:3" x14ac:dyDescent="0.2">
      <c r="C2919"/>
    </row>
    <row r="2920" spans="3:3" x14ac:dyDescent="0.2">
      <c r="C2920"/>
    </row>
    <row r="2921" spans="3:3" x14ac:dyDescent="0.2">
      <c r="C2921"/>
    </row>
    <row r="2922" spans="3:3" x14ac:dyDescent="0.2">
      <c r="C2922"/>
    </row>
    <row r="2923" spans="3:3" x14ac:dyDescent="0.2">
      <c r="C2923"/>
    </row>
    <row r="2924" spans="3:3" x14ac:dyDescent="0.2">
      <c r="C2924"/>
    </row>
    <row r="2925" spans="3:3" x14ac:dyDescent="0.2">
      <c r="C2925"/>
    </row>
    <row r="2926" spans="3:3" x14ac:dyDescent="0.2">
      <c r="C2926"/>
    </row>
    <row r="2927" spans="3:3" x14ac:dyDescent="0.2">
      <c r="C2927"/>
    </row>
    <row r="2928" spans="3:3" x14ac:dyDescent="0.2">
      <c r="C2928"/>
    </row>
    <row r="2929" spans="3:3" x14ac:dyDescent="0.2">
      <c r="C2929"/>
    </row>
    <row r="2930" spans="3:3" x14ac:dyDescent="0.2">
      <c r="C2930"/>
    </row>
    <row r="2931" spans="3:3" x14ac:dyDescent="0.2">
      <c r="C2931"/>
    </row>
    <row r="2932" spans="3:3" x14ac:dyDescent="0.2">
      <c r="C2932"/>
    </row>
    <row r="2933" spans="3:3" x14ac:dyDescent="0.2">
      <c r="C2933"/>
    </row>
    <row r="2934" spans="3:3" x14ac:dyDescent="0.2">
      <c r="C2934"/>
    </row>
    <row r="2935" spans="3:3" x14ac:dyDescent="0.2">
      <c r="C2935"/>
    </row>
    <row r="2936" spans="3:3" x14ac:dyDescent="0.2">
      <c r="C2936"/>
    </row>
    <row r="2937" spans="3:3" x14ac:dyDescent="0.2">
      <c r="C2937"/>
    </row>
    <row r="2938" spans="3:3" x14ac:dyDescent="0.2">
      <c r="C2938"/>
    </row>
    <row r="2939" spans="3:3" x14ac:dyDescent="0.2">
      <c r="C2939"/>
    </row>
    <row r="2940" spans="3:3" x14ac:dyDescent="0.2">
      <c r="C2940"/>
    </row>
    <row r="2941" spans="3:3" x14ac:dyDescent="0.2">
      <c r="C2941"/>
    </row>
    <row r="2942" spans="3:3" x14ac:dyDescent="0.2">
      <c r="C2942"/>
    </row>
    <row r="2943" spans="3:3" x14ac:dyDescent="0.2">
      <c r="C2943"/>
    </row>
    <row r="2944" spans="3:3" x14ac:dyDescent="0.2">
      <c r="C2944"/>
    </row>
    <row r="2945" spans="3:3" x14ac:dyDescent="0.2">
      <c r="C2945"/>
    </row>
    <row r="2946" spans="3:3" x14ac:dyDescent="0.2">
      <c r="C2946"/>
    </row>
    <row r="2947" spans="3:3" x14ac:dyDescent="0.2">
      <c r="C2947"/>
    </row>
    <row r="2948" spans="3:3" x14ac:dyDescent="0.2">
      <c r="C2948"/>
    </row>
    <row r="2949" spans="3:3" x14ac:dyDescent="0.2">
      <c r="C2949"/>
    </row>
    <row r="2950" spans="3:3" x14ac:dyDescent="0.2">
      <c r="C2950"/>
    </row>
    <row r="2951" spans="3:3" x14ac:dyDescent="0.2">
      <c r="C2951"/>
    </row>
    <row r="2952" spans="3:3" x14ac:dyDescent="0.2">
      <c r="C2952"/>
    </row>
    <row r="2953" spans="3:3" x14ac:dyDescent="0.2">
      <c r="C2953"/>
    </row>
    <row r="2954" spans="3:3" x14ac:dyDescent="0.2">
      <c r="C2954"/>
    </row>
    <row r="2955" spans="3:3" x14ac:dyDescent="0.2">
      <c r="C2955"/>
    </row>
    <row r="2956" spans="3:3" x14ac:dyDescent="0.2">
      <c r="C2956"/>
    </row>
    <row r="2957" spans="3:3" x14ac:dyDescent="0.2">
      <c r="C2957"/>
    </row>
    <row r="2958" spans="3:3" x14ac:dyDescent="0.2">
      <c r="C2958"/>
    </row>
    <row r="2959" spans="3:3" x14ac:dyDescent="0.2">
      <c r="C2959"/>
    </row>
    <row r="2960" spans="3:3" x14ac:dyDescent="0.2">
      <c r="C2960"/>
    </row>
    <row r="2961" spans="3:3" x14ac:dyDescent="0.2">
      <c r="C2961"/>
    </row>
    <row r="2962" spans="3:3" x14ac:dyDescent="0.2">
      <c r="C2962"/>
    </row>
    <row r="2963" spans="3:3" x14ac:dyDescent="0.2">
      <c r="C2963"/>
    </row>
    <row r="2964" spans="3:3" x14ac:dyDescent="0.2">
      <c r="C2964"/>
    </row>
    <row r="2965" spans="3:3" x14ac:dyDescent="0.2">
      <c r="C2965"/>
    </row>
    <row r="2966" spans="3:3" x14ac:dyDescent="0.2">
      <c r="C2966"/>
    </row>
    <row r="2967" spans="3:3" x14ac:dyDescent="0.2">
      <c r="C2967"/>
    </row>
    <row r="2968" spans="3:3" x14ac:dyDescent="0.2">
      <c r="C2968"/>
    </row>
    <row r="2969" spans="3:3" x14ac:dyDescent="0.2">
      <c r="C2969"/>
    </row>
    <row r="2970" spans="3:3" x14ac:dyDescent="0.2">
      <c r="C2970"/>
    </row>
    <row r="2971" spans="3:3" x14ac:dyDescent="0.2">
      <c r="C2971"/>
    </row>
    <row r="2972" spans="3:3" x14ac:dyDescent="0.2">
      <c r="C2972"/>
    </row>
    <row r="2973" spans="3:3" x14ac:dyDescent="0.2">
      <c r="C2973"/>
    </row>
    <row r="2974" spans="3:3" x14ac:dyDescent="0.2">
      <c r="C2974"/>
    </row>
    <row r="2975" spans="3:3" x14ac:dyDescent="0.2">
      <c r="C2975"/>
    </row>
    <row r="2976" spans="3:3" x14ac:dyDescent="0.2">
      <c r="C2976"/>
    </row>
    <row r="2977" spans="3:3" x14ac:dyDescent="0.2">
      <c r="C2977"/>
    </row>
    <row r="2978" spans="3:3" x14ac:dyDescent="0.2">
      <c r="C2978"/>
    </row>
    <row r="2979" spans="3:3" x14ac:dyDescent="0.2">
      <c r="C2979"/>
    </row>
    <row r="2980" spans="3:3" x14ac:dyDescent="0.2">
      <c r="C2980"/>
    </row>
    <row r="2981" spans="3:3" x14ac:dyDescent="0.2">
      <c r="C2981"/>
    </row>
    <row r="2982" spans="3:3" x14ac:dyDescent="0.2">
      <c r="C2982"/>
    </row>
    <row r="2983" spans="3:3" x14ac:dyDescent="0.2">
      <c r="C2983"/>
    </row>
    <row r="2984" spans="3:3" x14ac:dyDescent="0.2">
      <c r="C2984"/>
    </row>
    <row r="2985" spans="3:3" x14ac:dyDescent="0.2">
      <c r="C2985"/>
    </row>
    <row r="2986" spans="3:3" x14ac:dyDescent="0.2">
      <c r="C2986"/>
    </row>
    <row r="2987" spans="3:3" x14ac:dyDescent="0.2">
      <c r="C2987"/>
    </row>
    <row r="2988" spans="3:3" x14ac:dyDescent="0.2">
      <c r="C2988"/>
    </row>
    <row r="2989" spans="3:3" x14ac:dyDescent="0.2">
      <c r="C2989"/>
    </row>
    <row r="2990" spans="3:3" x14ac:dyDescent="0.2">
      <c r="C2990"/>
    </row>
    <row r="2991" spans="3:3" x14ac:dyDescent="0.2">
      <c r="C2991"/>
    </row>
    <row r="2992" spans="3:3" x14ac:dyDescent="0.2">
      <c r="C2992"/>
    </row>
    <row r="2993" spans="3:3" x14ac:dyDescent="0.2">
      <c r="C2993"/>
    </row>
    <row r="2994" spans="3:3" x14ac:dyDescent="0.2">
      <c r="C2994"/>
    </row>
    <row r="2995" spans="3:3" x14ac:dyDescent="0.2">
      <c r="C2995"/>
    </row>
    <row r="2996" spans="3:3" x14ac:dyDescent="0.2">
      <c r="C2996"/>
    </row>
    <row r="2997" spans="3:3" x14ac:dyDescent="0.2">
      <c r="C2997"/>
    </row>
    <row r="2998" spans="3:3" x14ac:dyDescent="0.2">
      <c r="C2998"/>
    </row>
    <row r="2999" spans="3:3" x14ac:dyDescent="0.2">
      <c r="C2999"/>
    </row>
    <row r="3000" spans="3:3" x14ac:dyDescent="0.2">
      <c r="C3000"/>
    </row>
    <row r="3001" spans="3:3" x14ac:dyDescent="0.2">
      <c r="C3001"/>
    </row>
    <row r="3002" spans="3:3" x14ac:dyDescent="0.2">
      <c r="C3002"/>
    </row>
    <row r="3003" spans="3:3" x14ac:dyDescent="0.2">
      <c r="C3003"/>
    </row>
    <row r="3004" spans="3:3" x14ac:dyDescent="0.2">
      <c r="C3004"/>
    </row>
    <row r="3005" spans="3:3" x14ac:dyDescent="0.2">
      <c r="C3005"/>
    </row>
    <row r="3006" spans="3:3" x14ac:dyDescent="0.2">
      <c r="C3006"/>
    </row>
    <row r="3007" spans="3:3" x14ac:dyDescent="0.2">
      <c r="C3007"/>
    </row>
    <row r="3008" spans="3:3" x14ac:dyDescent="0.2">
      <c r="C3008"/>
    </row>
    <row r="3009" spans="3:3" x14ac:dyDescent="0.2">
      <c r="C3009"/>
    </row>
    <row r="3010" spans="3:3" x14ac:dyDescent="0.2">
      <c r="C3010"/>
    </row>
    <row r="3011" spans="3:3" x14ac:dyDescent="0.2">
      <c r="C3011"/>
    </row>
    <row r="3012" spans="3:3" x14ac:dyDescent="0.2">
      <c r="C3012"/>
    </row>
    <row r="3013" spans="3:3" x14ac:dyDescent="0.2">
      <c r="C3013"/>
    </row>
    <row r="3014" spans="3:3" x14ac:dyDescent="0.2">
      <c r="C3014"/>
    </row>
    <row r="3015" spans="3:3" x14ac:dyDescent="0.2">
      <c r="C3015"/>
    </row>
    <row r="3016" spans="3:3" x14ac:dyDescent="0.2">
      <c r="C3016"/>
    </row>
    <row r="3017" spans="3:3" x14ac:dyDescent="0.2">
      <c r="C3017"/>
    </row>
    <row r="3018" spans="3:3" x14ac:dyDescent="0.2">
      <c r="C3018"/>
    </row>
    <row r="3019" spans="3:3" x14ac:dyDescent="0.2">
      <c r="C3019"/>
    </row>
    <row r="3020" spans="3:3" x14ac:dyDescent="0.2">
      <c r="C3020"/>
    </row>
    <row r="3021" spans="3:3" x14ac:dyDescent="0.2">
      <c r="C3021"/>
    </row>
    <row r="3022" spans="3:3" x14ac:dyDescent="0.2">
      <c r="C3022"/>
    </row>
    <row r="3023" spans="3:3" x14ac:dyDescent="0.2">
      <c r="C3023"/>
    </row>
    <row r="3024" spans="3:3" x14ac:dyDescent="0.2">
      <c r="C3024"/>
    </row>
    <row r="3025" spans="3:3" x14ac:dyDescent="0.2">
      <c r="C3025"/>
    </row>
    <row r="3026" spans="3:3" x14ac:dyDescent="0.2">
      <c r="C3026"/>
    </row>
    <row r="3027" spans="3:3" x14ac:dyDescent="0.2">
      <c r="C3027"/>
    </row>
    <row r="3028" spans="3:3" x14ac:dyDescent="0.2">
      <c r="C3028"/>
    </row>
    <row r="3029" spans="3:3" x14ac:dyDescent="0.2">
      <c r="C3029"/>
    </row>
    <row r="3030" spans="3:3" x14ac:dyDescent="0.2">
      <c r="C3030"/>
    </row>
    <row r="3031" spans="3:3" x14ac:dyDescent="0.2">
      <c r="C3031"/>
    </row>
    <row r="3032" spans="3:3" x14ac:dyDescent="0.2">
      <c r="C3032"/>
    </row>
    <row r="3033" spans="3:3" x14ac:dyDescent="0.2">
      <c r="C3033"/>
    </row>
    <row r="3034" spans="3:3" x14ac:dyDescent="0.2">
      <c r="C3034"/>
    </row>
    <row r="3035" spans="3:3" x14ac:dyDescent="0.2">
      <c r="C3035"/>
    </row>
    <row r="3036" spans="3:3" x14ac:dyDescent="0.2">
      <c r="C3036"/>
    </row>
    <row r="3037" spans="3:3" x14ac:dyDescent="0.2">
      <c r="C3037"/>
    </row>
    <row r="3038" spans="3:3" x14ac:dyDescent="0.2">
      <c r="C3038"/>
    </row>
    <row r="3039" spans="3:3" x14ac:dyDescent="0.2">
      <c r="C3039"/>
    </row>
    <row r="3040" spans="3:3" x14ac:dyDescent="0.2">
      <c r="C3040"/>
    </row>
    <row r="3041" spans="3:3" x14ac:dyDescent="0.2">
      <c r="C3041"/>
    </row>
    <row r="3042" spans="3:3" x14ac:dyDescent="0.2">
      <c r="C3042"/>
    </row>
    <row r="3043" spans="3:3" x14ac:dyDescent="0.2">
      <c r="C3043"/>
    </row>
    <row r="3044" spans="3:3" x14ac:dyDescent="0.2">
      <c r="C3044"/>
    </row>
    <row r="3045" spans="3:3" x14ac:dyDescent="0.2">
      <c r="C3045"/>
    </row>
    <row r="3046" spans="3:3" x14ac:dyDescent="0.2">
      <c r="C3046"/>
    </row>
    <row r="3047" spans="3:3" x14ac:dyDescent="0.2">
      <c r="C3047"/>
    </row>
    <row r="3048" spans="3:3" x14ac:dyDescent="0.2">
      <c r="C3048"/>
    </row>
    <row r="3049" spans="3:3" x14ac:dyDescent="0.2">
      <c r="C3049"/>
    </row>
    <row r="3050" spans="3:3" x14ac:dyDescent="0.2">
      <c r="C3050"/>
    </row>
    <row r="3051" spans="3:3" x14ac:dyDescent="0.2">
      <c r="C3051"/>
    </row>
    <row r="3052" spans="3:3" x14ac:dyDescent="0.2">
      <c r="C3052"/>
    </row>
    <row r="3053" spans="3:3" x14ac:dyDescent="0.2">
      <c r="C3053"/>
    </row>
    <row r="3054" spans="3:3" x14ac:dyDescent="0.2">
      <c r="C3054"/>
    </row>
    <row r="3055" spans="3:3" x14ac:dyDescent="0.2">
      <c r="C3055"/>
    </row>
    <row r="3056" spans="3:3" x14ac:dyDescent="0.2">
      <c r="C3056"/>
    </row>
    <row r="3057" spans="3:3" x14ac:dyDescent="0.2">
      <c r="C3057"/>
    </row>
    <row r="3058" spans="3:3" x14ac:dyDescent="0.2">
      <c r="C3058"/>
    </row>
    <row r="3059" spans="3:3" x14ac:dyDescent="0.2">
      <c r="C3059"/>
    </row>
    <row r="3060" spans="3:3" x14ac:dyDescent="0.2">
      <c r="C3060"/>
    </row>
    <row r="3061" spans="3:3" x14ac:dyDescent="0.2">
      <c r="C3061"/>
    </row>
    <row r="3062" spans="3:3" x14ac:dyDescent="0.2">
      <c r="C3062"/>
    </row>
    <row r="3063" spans="3:3" x14ac:dyDescent="0.2">
      <c r="C3063"/>
    </row>
    <row r="3064" spans="3:3" x14ac:dyDescent="0.2">
      <c r="C3064"/>
    </row>
    <row r="3065" spans="3:3" x14ac:dyDescent="0.2">
      <c r="C3065"/>
    </row>
    <row r="3066" spans="3:3" x14ac:dyDescent="0.2">
      <c r="C3066"/>
    </row>
    <row r="3067" spans="3:3" x14ac:dyDescent="0.2">
      <c r="C3067"/>
    </row>
    <row r="3068" spans="3:3" x14ac:dyDescent="0.2">
      <c r="C3068"/>
    </row>
    <row r="3069" spans="3:3" x14ac:dyDescent="0.2">
      <c r="C3069"/>
    </row>
    <row r="3070" spans="3:3" x14ac:dyDescent="0.2">
      <c r="C3070"/>
    </row>
    <row r="3071" spans="3:3" x14ac:dyDescent="0.2">
      <c r="C3071"/>
    </row>
    <row r="3072" spans="3:3" x14ac:dyDescent="0.2">
      <c r="C3072"/>
    </row>
    <row r="3073" spans="3:3" x14ac:dyDescent="0.2">
      <c r="C3073"/>
    </row>
    <row r="3074" spans="3:3" x14ac:dyDescent="0.2">
      <c r="C3074"/>
    </row>
    <row r="3075" spans="3:3" x14ac:dyDescent="0.2">
      <c r="C3075"/>
    </row>
    <row r="3076" spans="3:3" x14ac:dyDescent="0.2">
      <c r="C3076"/>
    </row>
    <row r="3077" spans="3:3" x14ac:dyDescent="0.2">
      <c r="C3077"/>
    </row>
    <row r="3078" spans="3:3" x14ac:dyDescent="0.2">
      <c r="C3078"/>
    </row>
    <row r="3079" spans="3:3" x14ac:dyDescent="0.2">
      <c r="C3079"/>
    </row>
    <row r="3080" spans="3:3" x14ac:dyDescent="0.2">
      <c r="C3080"/>
    </row>
    <row r="3081" spans="3:3" x14ac:dyDescent="0.2">
      <c r="C3081"/>
    </row>
    <row r="3082" spans="3:3" x14ac:dyDescent="0.2">
      <c r="C3082"/>
    </row>
    <row r="3083" spans="3:3" x14ac:dyDescent="0.2">
      <c r="C3083"/>
    </row>
    <row r="3084" spans="3:3" x14ac:dyDescent="0.2">
      <c r="C3084"/>
    </row>
    <row r="3085" spans="3:3" x14ac:dyDescent="0.2">
      <c r="C3085"/>
    </row>
    <row r="3086" spans="3:3" x14ac:dyDescent="0.2">
      <c r="C3086"/>
    </row>
    <row r="3087" spans="3:3" x14ac:dyDescent="0.2">
      <c r="C3087"/>
    </row>
    <row r="3088" spans="3:3" x14ac:dyDescent="0.2">
      <c r="C3088"/>
    </row>
    <row r="3089" spans="3:3" x14ac:dyDescent="0.2">
      <c r="C3089"/>
    </row>
    <row r="3090" spans="3:3" x14ac:dyDescent="0.2">
      <c r="C3090"/>
    </row>
    <row r="3091" spans="3:3" x14ac:dyDescent="0.2">
      <c r="C3091"/>
    </row>
    <row r="3092" spans="3:3" x14ac:dyDescent="0.2">
      <c r="C3092"/>
    </row>
    <row r="3093" spans="3:3" x14ac:dyDescent="0.2">
      <c r="C3093"/>
    </row>
    <row r="3094" spans="3:3" x14ac:dyDescent="0.2">
      <c r="C3094"/>
    </row>
    <row r="3095" spans="3:3" x14ac:dyDescent="0.2">
      <c r="C3095"/>
    </row>
    <row r="3096" spans="3:3" x14ac:dyDescent="0.2">
      <c r="C3096"/>
    </row>
    <row r="3097" spans="3:3" x14ac:dyDescent="0.2">
      <c r="C3097"/>
    </row>
    <row r="3098" spans="3:3" x14ac:dyDescent="0.2">
      <c r="C3098"/>
    </row>
    <row r="3099" spans="3:3" x14ac:dyDescent="0.2">
      <c r="C3099"/>
    </row>
    <row r="3100" spans="3:3" x14ac:dyDescent="0.2">
      <c r="C3100"/>
    </row>
    <row r="3101" spans="3:3" x14ac:dyDescent="0.2">
      <c r="C3101"/>
    </row>
    <row r="3102" spans="3:3" x14ac:dyDescent="0.2">
      <c r="C3102"/>
    </row>
    <row r="3103" spans="3:3" x14ac:dyDescent="0.2">
      <c r="C3103"/>
    </row>
    <row r="3104" spans="3:3" x14ac:dyDescent="0.2">
      <c r="C3104"/>
    </row>
    <row r="3105" spans="3:3" x14ac:dyDescent="0.2">
      <c r="C3105"/>
    </row>
    <row r="3106" spans="3:3" x14ac:dyDescent="0.2">
      <c r="C3106"/>
    </row>
    <row r="3107" spans="3:3" x14ac:dyDescent="0.2">
      <c r="C3107"/>
    </row>
    <row r="3108" spans="3:3" x14ac:dyDescent="0.2">
      <c r="C3108"/>
    </row>
    <row r="3109" spans="3:3" x14ac:dyDescent="0.2">
      <c r="C3109"/>
    </row>
    <row r="3110" spans="3:3" x14ac:dyDescent="0.2">
      <c r="C3110"/>
    </row>
    <row r="3111" spans="3:3" x14ac:dyDescent="0.2">
      <c r="C3111"/>
    </row>
    <row r="3112" spans="3:3" x14ac:dyDescent="0.2">
      <c r="C3112"/>
    </row>
    <row r="3113" spans="3:3" x14ac:dyDescent="0.2">
      <c r="C3113"/>
    </row>
    <row r="3114" spans="3:3" x14ac:dyDescent="0.2">
      <c r="C3114"/>
    </row>
    <row r="3115" spans="3:3" x14ac:dyDescent="0.2">
      <c r="C3115"/>
    </row>
    <row r="3116" spans="3:3" x14ac:dyDescent="0.2">
      <c r="C3116"/>
    </row>
    <row r="3117" spans="3:3" x14ac:dyDescent="0.2">
      <c r="C3117"/>
    </row>
    <row r="3118" spans="3:3" x14ac:dyDescent="0.2">
      <c r="C3118"/>
    </row>
    <row r="3119" spans="3:3" x14ac:dyDescent="0.2">
      <c r="C3119"/>
    </row>
    <row r="3120" spans="3:3" x14ac:dyDescent="0.2">
      <c r="C3120"/>
    </row>
    <row r="3121" spans="3:3" x14ac:dyDescent="0.2">
      <c r="C3121"/>
    </row>
    <row r="3122" spans="3:3" x14ac:dyDescent="0.2">
      <c r="C3122"/>
    </row>
    <row r="3123" spans="3:3" x14ac:dyDescent="0.2">
      <c r="C3123"/>
    </row>
    <row r="3124" spans="3:3" x14ac:dyDescent="0.2">
      <c r="C3124"/>
    </row>
    <row r="3125" spans="3:3" x14ac:dyDescent="0.2">
      <c r="C3125"/>
    </row>
    <row r="3126" spans="3:3" x14ac:dyDescent="0.2">
      <c r="C3126"/>
    </row>
    <row r="3127" spans="3:3" x14ac:dyDescent="0.2">
      <c r="C3127"/>
    </row>
    <row r="3128" spans="3:3" x14ac:dyDescent="0.2">
      <c r="C3128"/>
    </row>
    <row r="3129" spans="3:3" x14ac:dyDescent="0.2">
      <c r="C3129"/>
    </row>
    <row r="3130" spans="3:3" x14ac:dyDescent="0.2">
      <c r="C3130"/>
    </row>
    <row r="3131" spans="3:3" x14ac:dyDescent="0.2">
      <c r="C3131"/>
    </row>
    <row r="3132" spans="3:3" x14ac:dyDescent="0.2">
      <c r="C3132"/>
    </row>
    <row r="3133" spans="3:3" x14ac:dyDescent="0.2">
      <c r="C3133"/>
    </row>
    <row r="3134" spans="3:3" x14ac:dyDescent="0.2">
      <c r="C3134"/>
    </row>
    <row r="3135" spans="3:3" x14ac:dyDescent="0.2">
      <c r="C3135"/>
    </row>
    <row r="3136" spans="3:3" x14ac:dyDescent="0.2">
      <c r="C3136"/>
    </row>
    <row r="3137" spans="3:3" x14ac:dyDescent="0.2">
      <c r="C3137"/>
    </row>
    <row r="3138" spans="3:3" x14ac:dyDescent="0.2">
      <c r="C3138"/>
    </row>
    <row r="3139" spans="3:3" x14ac:dyDescent="0.2">
      <c r="C3139"/>
    </row>
    <row r="3140" spans="3:3" x14ac:dyDescent="0.2">
      <c r="C3140"/>
    </row>
    <row r="3141" spans="3:3" x14ac:dyDescent="0.2">
      <c r="C3141"/>
    </row>
    <row r="3142" spans="3:3" x14ac:dyDescent="0.2">
      <c r="C3142"/>
    </row>
    <row r="3143" spans="3:3" x14ac:dyDescent="0.2">
      <c r="C3143"/>
    </row>
    <row r="3144" spans="3:3" x14ac:dyDescent="0.2">
      <c r="C3144"/>
    </row>
    <row r="3145" spans="3:3" x14ac:dyDescent="0.2">
      <c r="C3145"/>
    </row>
    <row r="3146" spans="3:3" x14ac:dyDescent="0.2">
      <c r="C3146"/>
    </row>
    <row r="3147" spans="3:3" x14ac:dyDescent="0.2">
      <c r="C3147"/>
    </row>
    <row r="3148" spans="3:3" x14ac:dyDescent="0.2">
      <c r="C3148"/>
    </row>
    <row r="3149" spans="3:3" x14ac:dyDescent="0.2">
      <c r="C3149"/>
    </row>
    <row r="3150" spans="3:3" x14ac:dyDescent="0.2">
      <c r="C3150"/>
    </row>
    <row r="3151" spans="3:3" x14ac:dyDescent="0.2">
      <c r="C3151"/>
    </row>
    <row r="3152" spans="3:3" x14ac:dyDescent="0.2">
      <c r="C3152"/>
    </row>
    <row r="3153" spans="3:3" x14ac:dyDescent="0.2">
      <c r="C3153"/>
    </row>
    <row r="3154" spans="3:3" x14ac:dyDescent="0.2">
      <c r="C3154"/>
    </row>
    <row r="3155" spans="3:3" x14ac:dyDescent="0.2">
      <c r="C3155"/>
    </row>
    <row r="3156" spans="3:3" x14ac:dyDescent="0.2">
      <c r="C3156"/>
    </row>
    <row r="3157" spans="3:3" x14ac:dyDescent="0.2">
      <c r="C3157"/>
    </row>
    <row r="3158" spans="3:3" x14ac:dyDescent="0.2">
      <c r="C3158"/>
    </row>
    <row r="3159" spans="3:3" x14ac:dyDescent="0.2">
      <c r="C3159"/>
    </row>
    <row r="3160" spans="3:3" x14ac:dyDescent="0.2">
      <c r="C3160"/>
    </row>
    <row r="3161" spans="3:3" x14ac:dyDescent="0.2">
      <c r="C3161"/>
    </row>
    <row r="3162" spans="3:3" x14ac:dyDescent="0.2">
      <c r="C3162"/>
    </row>
    <row r="3163" spans="3:3" x14ac:dyDescent="0.2">
      <c r="C3163"/>
    </row>
    <row r="3164" spans="3:3" x14ac:dyDescent="0.2">
      <c r="C3164"/>
    </row>
    <row r="3165" spans="3:3" x14ac:dyDescent="0.2">
      <c r="C3165"/>
    </row>
    <row r="3166" spans="3:3" x14ac:dyDescent="0.2">
      <c r="C3166"/>
    </row>
    <row r="3167" spans="3:3" x14ac:dyDescent="0.2">
      <c r="C3167"/>
    </row>
    <row r="3168" spans="3:3" x14ac:dyDescent="0.2">
      <c r="C3168"/>
    </row>
    <row r="3169" spans="3:3" x14ac:dyDescent="0.2">
      <c r="C3169"/>
    </row>
    <row r="3170" spans="3:3" x14ac:dyDescent="0.2">
      <c r="C3170"/>
    </row>
    <row r="3171" spans="3:3" x14ac:dyDescent="0.2">
      <c r="C3171"/>
    </row>
    <row r="3172" spans="3:3" x14ac:dyDescent="0.2">
      <c r="C3172"/>
    </row>
    <row r="3173" spans="3:3" x14ac:dyDescent="0.2">
      <c r="C3173"/>
    </row>
    <row r="3174" spans="3:3" x14ac:dyDescent="0.2">
      <c r="C3174"/>
    </row>
    <row r="3175" spans="3:3" x14ac:dyDescent="0.2">
      <c r="C3175"/>
    </row>
    <row r="3176" spans="3:3" x14ac:dyDescent="0.2">
      <c r="C3176"/>
    </row>
    <row r="3177" spans="3:3" x14ac:dyDescent="0.2">
      <c r="C3177"/>
    </row>
    <row r="3178" spans="3:3" x14ac:dyDescent="0.2">
      <c r="C3178"/>
    </row>
    <row r="3179" spans="3:3" x14ac:dyDescent="0.2">
      <c r="C3179"/>
    </row>
    <row r="3180" spans="3:3" x14ac:dyDescent="0.2">
      <c r="C3180"/>
    </row>
    <row r="3181" spans="3:3" x14ac:dyDescent="0.2">
      <c r="C3181"/>
    </row>
    <row r="3182" spans="3:3" x14ac:dyDescent="0.2">
      <c r="C3182"/>
    </row>
    <row r="3183" spans="3:3" x14ac:dyDescent="0.2">
      <c r="C3183"/>
    </row>
    <row r="3184" spans="3:3" x14ac:dyDescent="0.2">
      <c r="C3184"/>
    </row>
    <row r="3185" spans="3:3" x14ac:dyDescent="0.2">
      <c r="C3185"/>
    </row>
    <row r="3186" spans="3:3" x14ac:dyDescent="0.2">
      <c r="C3186"/>
    </row>
    <row r="3187" spans="3:3" x14ac:dyDescent="0.2">
      <c r="C3187"/>
    </row>
    <row r="3188" spans="3:3" x14ac:dyDescent="0.2">
      <c r="C3188"/>
    </row>
    <row r="3189" spans="3:3" x14ac:dyDescent="0.2">
      <c r="C3189"/>
    </row>
    <row r="3190" spans="3:3" x14ac:dyDescent="0.2">
      <c r="C3190"/>
    </row>
    <row r="3191" spans="3:3" x14ac:dyDescent="0.2">
      <c r="C3191"/>
    </row>
    <row r="3192" spans="3:3" x14ac:dyDescent="0.2">
      <c r="C3192"/>
    </row>
    <row r="3193" spans="3:3" x14ac:dyDescent="0.2">
      <c r="C3193"/>
    </row>
    <row r="3194" spans="3:3" x14ac:dyDescent="0.2">
      <c r="C3194"/>
    </row>
    <row r="3195" spans="3:3" x14ac:dyDescent="0.2">
      <c r="C3195"/>
    </row>
    <row r="3196" spans="3:3" x14ac:dyDescent="0.2">
      <c r="C3196"/>
    </row>
    <row r="3197" spans="3:3" x14ac:dyDescent="0.2">
      <c r="C3197"/>
    </row>
    <row r="3198" spans="3:3" x14ac:dyDescent="0.2">
      <c r="C3198"/>
    </row>
    <row r="3199" spans="3:3" x14ac:dyDescent="0.2">
      <c r="C3199"/>
    </row>
    <row r="3200" spans="3:3" x14ac:dyDescent="0.2">
      <c r="C3200"/>
    </row>
    <row r="3201" spans="3:3" x14ac:dyDescent="0.2">
      <c r="C3201"/>
    </row>
    <row r="3202" spans="3:3" x14ac:dyDescent="0.2">
      <c r="C3202"/>
    </row>
    <row r="3203" spans="3:3" x14ac:dyDescent="0.2">
      <c r="C3203"/>
    </row>
    <row r="3204" spans="3:3" x14ac:dyDescent="0.2">
      <c r="C3204"/>
    </row>
    <row r="3205" spans="3:3" x14ac:dyDescent="0.2">
      <c r="C3205"/>
    </row>
    <row r="3206" spans="3:3" x14ac:dyDescent="0.2">
      <c r="C3206"/>
    </row>
    <row r="3207" spans="3:3" x14ac:dyDescent="0.2">
      <c r="C3207"/>
    </row>
    <row r="3208" spans="3:3" x14ac:dyDescent="0.2">
      <c r="C3208"/>
    </row>
    <row r="3209" spans="3:3" x14ac:dyDescent="0.2">
      <c r="C3209"/>
    </row>
    <row r="3210" spans="3:3" x14ac:dyDescent="0.2">
      <c r="C3210"/>
    </row>
    <row r="3211" spans="3:3" x14ac:dyDescent="0.2">
      <c r="C3211"/>
    </row>
    <row r="3212" spans="3:3" x14ac:dyDescent="0.2">
      <c r="C3212"/>
    </row>
    <row r="3213" spans="3:3" x14ac:dyDescent="0.2">
      <c r="C3213"/>
    </row>
    <row r="3214" spans="3:3" x14ac:dyDescent="0.2">
      <c r="C3214"/>
    </row>
    <row r="3215" spans="3:3" x14ac:dyDescent="0.2">
      <c r="C3215"/>
    </row>
    <row r="3216" spans="3:3" x14ac:dyDescent="0.2">
      <c r="C3216"/>
    </row>
    <row r="3217" spans="3:3" x14ac:dyDescent="0.2">
      <c r="C3217"/>
    </row>
    <row r="3218" spans="3:3" x14ac:dyDescent="0.2">
      <c r="C3218"/>
    </row>
    <row r="3219" spans="3:3" x14ac:dyDescent="0.2">
      <c r="C3219"/>
    </row>
    <row r="3220" spans="3:3" x14ac:dyDescent="0.2">
      <c r="C3220"/>
    </row>
    <row r="3221" spans="3:3" x14ac:dyDescent="0.2">
      <c r="C3221"/>
    </row>
    <row r="3222" spans="3:3" x14ac:dyDescent="0.2">
      <c r="C3222"/>
    </row>
    <row r="3223" spans="3:3" x14ac:dyDescent="0.2">
      <c r="C3223"/>
    </row>
    <row r="3224" spans="3:3" x14ac:dyDescent="0.2">
      <c r="C3224"/>
    </row>
    <row r="3225" spans="3:3" x14ac:dyDescent="0.2">
      <c r="C3225"/>
    </row>
    <row r="3226" spans="3:3" x14ac:dyDescent="0.2">
      <c r="C3226"/>
    </row>
    <row r="3227" spans="3:3" x14ac:dyDescent="0.2">
      <c r="C3227"/>
    </row>
    <row r="3228" spans="3:3" x14ac:dyDescent="0.2">
      <c r="C3228"/>
    </row>
    <row r="3229" spans="3:3" x14ac:dyDescent="0.2">
      <c r="C3229"/>
    </row>
    <row r="3230" spans="3:3" x14ac:dyDescent="0.2">
      <c r="C3230"/>
    </row>
    <row r="3231" spans="3:3" x14ac:dyDescent="0.2">
      <c r="C3231"/>
    </row>
    <row r="3232" spans="3:3" x14ac:dyDescent="0.2">
      <c r="C3232"/>
    </row>
    <row r="3233" spans="3:3" x14ac:dyDescent="0.2">
      <c r="C3233"/>
    </row>
    <row r="3234" spans="3:3" x14ac:dyDescent="0.2">
      <c r="C3234"/>
    </row>
    <row r="3235" spans="3:3" x14ac:dyDescent="0.2">
      <c r="C3235"/>
    </row>
    <row r="3236" spans="3:3" x14ac:dyDescent="0.2">
      <c r="C3236"/>
    </row>
    <row r="3237" spans="3:3" x14ac:dyDescent="0.2">
      <c r="C3237"/>
    </row>
    <row r="3238" spans="3:3" x14ac:dyDescent="0.2">
      <c r="C3238"/>
    </row>
    <row r="3239" spans="3:3" x14ac:dyDescent="0.2">
      <c r="C3239"/>
    </row>
    <row r="3240" spans="3:3" x14ac:dyDescent="0.2">
      <c r="C3240"/>
    </row>
    <row r="3241" spans="3:3" x14ac:dyDescent="0.2">
      <c r="C3241"/>
    </row>
    <row r="3242" spans="3:3" x14ac:dyDescent="0.2">
      <c r="C3242"/>
    </row>
    <row r="3243" spans="3:3" x14ac:dyDescent="0.2">
      <c r="C3243"/>
    </row>
    <row r="3244" spans="3:3" x14ac:dyDescent="0.2">
      <c r="C3244"/>
    </row>
    <row r="3245" spans="3:3" x14ac:dyDescent="0.2">
      <c r="C3245"/>
    </row>
    <row r="3246" spans="3:3" x14ac:dyDescent="0.2">
      <c r="C3246"/>
    </row>
    <row r="3247" spans="3:3" x14ac:dyDescent="0.2">
      <c r="C3247"/>
    </row>
    <row r="3248" spans="3:3" x14ac:dyDescent="0.2">
      <c r="C3248"/>
    </row>
    <row r="3249" spans="3:3" x14ac:dyDescent="0.2">
      <c r="C3249"/>
    </row>
    <row r="3250" spans="3:3" x14ac:dyDescent="0.2">
      <c r="C3250"/>
    </row>
    <row r="3251" spans="3:3" x14ac:dyDescent="0.2">
      <c r="C3251"/>
    </row>
    <row r="3252" spans="3:3" x14ac:dyDescent="0.2">
      <c r="C3252"/>
    </row>
    <row r="3253" spans="3:3" x14ac:dyDescent="0.2">
      <c r="C3253"/>
    </row>
    <row r="3254" spans="3:3" x14ac:dyDescent="0.2">
      <c r="C3254"/>
    </row>
    <row r="3255" spans="3:3" x14ac:dyDescent="0.2">
      <c r="C3255"/>
    </row>
    <row r="3256" spans="3:3" x14ac:dyDescent="0.2">
      <c r="C3256"/>
    </row>
    <row r="3257" spans="3:3" x14ac:dyDescent="0.2">
      <c r="C3257"/>
    </row>
    <row r="3258" spans="3:3" x14ac:dyDescent="0.2">
      <c r="C3258"/>
    </row>
    <row r="3259" spans="3:3" x14ac:dyDescent="0.2">
      <c r="C3259"/>
    </row>
    <row r="3260" spans="3:3" x14ac:dyDescent="0.2">
      <c r="C3260"/>
    </row>
    <row r="3261" spans="3:3" x14ac:dyDescent="0.2">
      <c r="C3261"/>
    </row>
    <row r="3262" spans="3:3" x14ac:dyDescent="0.2">
      <c r="C3262"/>
    </row>
    <row r="3263" spans="3:3" x14ac:dyDescent="0.2">
      <c r="C3263"/>
    </row>
    <row r="3264" spans="3:3" x14ac:dyDescent="0.2">
      <c r="C3264"/>
    </row>
    <row r="3265" spans="3:3" x14ac:dyDescent="0.2">
      <c r="C3265"/>
    </row>
    <row r="3266" spans="3:3" x14ac:dyDescent="0.2">
      <c r="C3266"/>
    </row>
    <row r="3267" spans="3:3" x14ac:dyDescent="0.2">
      <c r="C3267"/>
    </row>
    <row r="3268" spans="3:3" x14ac:dyDescent="0.2">
      <c r="C3268"/>
    </row>
    <row r="3269" spans="3:3" x14ac:dyDescent="0.2">
      <c r="C3269"/>
    </row>
    <row r="3270" spans="3:3" x14ac:dyDescent="0.2">
      <c r="C3270"/>
    </row>
    <row r="3271" spans="3:3" x14ac:dyDescent="0.2">
      <c r="C3271"/>
    </row>
    <row r="3272" spans="3:3" x14ac:dyDescent="0.2">
      <c r="C3272"/>
    </row>
    <row r="3273" spans="3:3" x14ac:dyDescent="0.2">
      <c r="C3273"/>
    </row>
    <row r="3274" spans="3:3" x14ac:dyDescent="0.2">
      <c r="C3274"/>
    </row>
    <row r="3275" spans="3:3" x14ac:dyDescent="0.2">
      <c r="C3275"/>
    </row>
    <row r="3276" spans="3:3" x14ac:dyDescent="0.2">
      <c r="C3276"/>
    </row>
    <row r="3277" spans="3:3" x14ac:dyDescent="0.2">
      <c r="C3277"/>
    </row>
    <row r="3278" spans="3:3" x14ac:dyDescent="0.2">
      <c r="C3278"/>
    </row>
    <row r="3279" spans="3:3" x14ac:dyDescent="0.2">
      <c r="C3279"/>
    </row>
    <row r="3280" spans="3:3" x14ac:dyDescent="0.2">
      <c r="C3280"/>
    </row>
    <row r="3281" spans="3:3" x14ac:dyDescent="0.2">
      <c r="C3281"/>
    </row>
    <row r="3282" spans="3:3" x14ac:dyDescent="0.2">
      <c r="C3282"/>
    </row>
    <row r="3283" spans="3:3" x14ac:dyDescent="0.2">
      <c r="C3283"/>
    </row>
    <row r="3284" spans="3:3" x14ac:dyDescent="0.2">
      <c r="C3284"/>
    </row>
    <row r="3285" spans="3:3" x14ac:dyDescent="0.2">
      <c r="C3285"/>
    </row>
    <row r="3286" spans="3:3" x14ac:dyDescent="0.2">
      <c r="C3286"/>
    </row>
    <row r="3287" spans="3:3" x14ac:dyDescent="0.2">
      <c r="C3287"/>
    </row>
    <row r="3288" spans="3:3" x14ac:dyDescent="0.2">
      <c r="C3288"/>
    </row>
    <row r="3289" spans="3:3" x14ac:dyDescent="0.2">
      <c r="C3289"/>
    </row>
    <row r="3290" spans="3:3" x14ac:dyDescent="0.2">
      <c r="C3290"/>
    </row>
    <row r="3291" spans="3:3" x14ac:dyDescent="0.2">
      <c r="C3291"/>
    </row>
    <row r="3292" spans="3:3" x14ac:dyDescent="0.2">
      <c r="C3292"/>
    </row>
    <row r="3293" spans="3:3" x14ac:dyDescent="0.2">
      <c r="C3293"/>
    </row>
    <row r="3294" spans="3:3" x14ac:dyDescent="0.2">
      <c r="C3294"/>
    </row>
    <row r="3295" spans="3:3" x14ac:dyDescent="0.2">
      <c r="C3295"/>
    </row>
    <row r="3296" spans="3:3" x14ac:dyDescent="0.2">
      <c r="C3296"/>
    </row>
    <row r="3297" spans="3:3" x14ac:dyDescent="0.2">
      <c r="C3297"/>
    </row>
    <row r="3298" spans="3:3" x14ac:dyDescent="0.2">
      <c r="C3298"/>
    </row>
    <row r="3299" spans="3:3" x14ac:dyDescent="0.2">
      <c r="C3299"/>
    </row>
    <row r="3300" spans="3:3" x14ac:dyDescent="0.2">
      <c r="C3300"/>
    </row>
    <row r="3301" spans="3:3" x14ac:dyDescent="0.2">
      <c r="C3301"/>
    </row>
    <row r="3302" spans="3:3" x14ac:dyDescent="0.2">
      <c r="C3302"/>
    </row>
    <row r="3303" spans="3:3" x14ac:dyDescent="0.2">
      <c r="C3303"/>
    </row>
    <row r="3304" spans="3:3" x14ac:dyDescent="0.2">
      <c r="C3304"/>
    </row>
    <row r="3305" spans="3:3" x14ac:dyDescent="0.2">
      <c r="C3305"/>
    </row>
    <row r="3306" spans="3:3" x14ac:dyDescent="0.2">
      <c r="C3306"/>
    </row>
    <row r="3307" spans="3:3" x14ac:dyDescent="0.2">
      <c r="C3307"/>
    </row>
    <row r="3308" spans="3:3" x14ac:dyDescent="0.2">
      <c r="C3308"/>
    </row>
    <row r="3309" spans="3:3" x14ac:dyDescent="0.2">
      <c r="C3309"/>
    </row>
    <row r="3310" spans="3:3" x14ac:dyDescent="0.2">
      <c r="C3310"/>
    </row>
    <row r="3311" spans="3:3" x14ac:dyDescent="0.2">
      <c r="C3311"/>
    </row>
    <row r="3312" spans="3:3" x14ac:dyDescent="0.2">
      <c r="C3312"/>
    </row>
    <row r="3313" spans="3:3" x14ac:dyDescent="0.2">
      <c r="C3313"/>
    </row>
    <row r="3314" spans="3:3" x14ac:dyDescent="0.2">
      <c r="C3314"/>
    </row>
    <row r="3315" spans="3:3" x14ac:dyDescent="0.2">
      <c r="C3315"/>
    </row>
    <row r="3316" spans="3:3" x14ac:dyDescent="0.2">
      <c r="C3316"/>
    </row>
    <row r="3317" spans="3:3" x14ac:dyDescent="0.2">
      <c r="C3317"/>
    </row>
    <row r="3318" spans="3:3" x14ac:dyDescent="0.2">
      <c r="C3318"/>
    </row>
    <row r="3319" spans="3:3" x14ac:dyDescent="0.2">
      <c r="C3319"/>
    </row>
    <row r="3320" spans="3:3" x14ac:dyDescent="0.2">
      <c r="C3320"/>
    </row>
    <row r="3321" spans="3:3" x14ac:dyDescent="0.2">
      <c r="C3321"/>
    </row>
    <row r="3322" spans="3:3" x14ac:dyDescent="0.2">
      <c r="C3322"/>
    </row>
    <row r="3323" spans="3:3" x14ac:dyDescent="0.2">
      <c r="C3323"/>
    </row>
    <row r="3324" spans="3:3" x14ac:dyDescent="0.2">
      <c r="C3324"/>
    </row>
    <row r="3325" spans="3:3" x14ac:dyDescent="0.2">
      <c r="C3325"/>
    </row>
    <row r="3326" spans="3:3" x14ac:dyDescent="0.2">
      <c r="C3326"/>
    </row>
    <row r="3327" spans="3:3" x14ac:dyDescent="0.2">
      <c r="C3327"/>
    </row>
    <row r="3328" spans="3:3" x14ac:dyDescent="0.2">
      <c r="C3328"/>
    </row>
    <row r="3329" spans="3:3" x14ac:dyDescent="0.2">
      <c r="C3329"/>
    </row>
    <row r="3330" spans="3:3" x14ac:dyDescent="0.2">
      <c r="C3330"/>
    </row>
    <row r="3331" spans="3:3" x14ac:dyDescent="0.2">
      <c r="C3331"/>
    </row>
    <row r="3332" spans="3:3" x14ac:dyDescent="0.2">
      <c r="C3332"/>
    </row>
    <row r="3333" spans="3:3" x14ac:dyDescent="0.2">
      <c r="C3333"/>
    </row>
    <row r="3334" spans="3:3" x14ac:dyDescent="0.2">
      <c r="C3334"/>
    </row>
    <row r="3335" spans="3:3" x14ac:dyDescent="0.2">
      <c r="C3335"/>
    </row>
    <row r="3336" spans="3:3" x14ac:dyDescent="0.2">
      <c r="C3336"/>
    </row>
    <row r="3337" spans="3:3" x14ac:dyDescent="0.2">
      <c r="C3337"/>
    </row>
    <row r="3338" spans="3:3" x14ac:dyDescent="0.2">
      <c r="C3338"/>
    </row>
    <row r="3339" spans="3:3" x14ac:dyDescent="0.2">
      <c r="C3339"/>
    </row>
    <row r="3340" spans="3:3" x14ac:dyDescent="0.2">
      <c r="C3340"/>
    </row>
    <row r="3341" spans="3:3" x14ac:dyDescent="0.2">
      <c r="C3341"/>
    </row>
    <row r="3342" spans="3:3" x14ac:dyDescent="0.2">
      <c r="C3342"/>
    </row>
    <row r="3343" spans="3:3" x14ac:dyDescent="0.2">
      <c r="C3343"/>
    </row>
    <row r="3344" spans="3:3" x14ac:dyDescent="0.2">
      <c r="C3344"/>
    </row>
    <row r="3345" spans="3:3" x14ac:dyDescent="0.2">
      <c r="C3345"/>
    </row>
    <row r="3346" spans="3:3" x14ac:dyDescent="0.2">
      <c r="C3346"/>
    </row>
    <row r="3347" spans="3:3" x14ac:dyDescent="0.2">
      <c r="C3347"/>
    </row>
    <row r="3348" spans="3:3" x14ac:dyDescent="0.2">
      <c r="C3348"/>
    </row>
    <row r="3349" spans="3:3" x14ac:dyDescent="0.2">
      <c r="C3349"/>
    </row>
    <row r="3350" spans="3:3" x14ac:dyDescent="0.2">
      <c r="C3350"/>
    </row>
    <row r="3351" spans="3:3" x14ac:dyDescent="0.2">
      <c r="C3351"/>
    </row>
    <row r="3352" spans="3:3" x14ac:dyDescent="0.2">
      <c r="C3352"/>
    </row>
    <row r="3353" spans="3:3" x14ac:dyDescent="0.2">
      <c r="C3353"/>
    </row>
    <row r="3354" spans="3:3" x14ac:dyDescent="0.2">
      <c r="C3354"/>
    </row>
    <row r="3355" spans="3:3" x14ac:dyDescent="0.2">
      <c r="C3355"/>
    </row>
    <row r="3356" spans="3:3" x14ac:dyDescent="0.2">
      <c r="C3356"/>
    </row>
    <row r="3357" spans="3:3" x14ac:dyDescent="0.2">
      <c r="C3357"/>
    </row>
    <row r="3358" spans="3:3" x14ac:dyDescent="0.2">
      <c r="C3358"/>
    </row>
    <row r="3359" spans="3:3" x14ac:dyDescent="0.2">
      <c r="C3359"/>
    </row>
    <row r="3360" spans="3:3" x14ac:dyDescent="0.2">
      <c r="C3360"/>
    </row>
    <row r="3361" spans="3:3" x14ac:dyDescent="0.2">
      <c r="C3361"/>
    </row>
    <row r="3362" spans="3:3" x14ac:dyDescent="0.2">
      <c r="C3362"/>
    </row>
    <row r="3363" spans="3:3" x14ac:dyDescent="0.2">
      <c r="C3363"/>
    </row>
    <row r="3364" spans="3:3" x14ac:dyDescent="0.2">
      <c r="C3364"/>
    </row>
    <row r="3365" spans="3:3" x14ac:dyDescent="0.2">
      <c r="C3365"/>
    </row>
    <row r="3366" spans="3:3" x14ac:dyDescent="0.2">
      <c r="C3366"/>
    </row>
    <row r="3367" spans="3:3" x14ac:dyDescent="0.2">
      <c r="C3367"/>
    </row>
    <row r="3368" spans="3:3" x14ac:dyDescent="0.2">
      <c r="C3368"/>
    </row>
    <row r="3369" spans="3:3" x14ac:dyDescent="0.2">
      <c r="C3369"/>
    </row>
    <row r="3370" spans="3:3" x14ac:dyDescent="0.2">
      <c r="C3370"/>
    </row>
    <row r="3371" spans="3:3" x14ac:dyDescent="0.2">
      <c r="C3371"/>
    </row>
    <row r="3372" spans="3:3" x14ac:dyDescent="0.2">
      <c r="C3372"/>
    </row>
    <row r="3373" spans="3:3" x14ac:dyDescent="0.2">
      <c r="C3373"/>
    </row>
    <row r="3374" spans="3:3" x14ac:dyDescent="0.2">
      <c r="C3374"/>
    </row>
    <row r="3375" spans="3:3" x14ac:dyDescent="0.2">
      <c r="C3375"/>
    </row>
    <row r="3376" spans="3:3" x14ac:dyDescent="0.2">
      <c r="C3376"/>
    </row>
    <row r="3377" spans="3:3" x14ac:dyDescent="0.2">
      <c r="C3377"/>
    </row>
    <row r="3378" spans="3:3" x14ac:dyDescent="0.2">
      <c r="C3378"/>
    </row>
    <row r="3379" spans="3:3" x14ac:dyDescent="0.2">
      <c r="C3379"/>
    </row>
    <row r="3380" spans="3:3" x14ac:dyDescent="0.2">
      <c r="C3380"/>
    </row>
    <row r="3381" spans="3:3" x14ac:dyDescent="0.2">
      <c r="C3381"/>
    </row>
    <row r="3382" spans="3:3" x14ac:dyDescent="0.2">
      <c r="C3382"/>
    </row>
    <row r="3383" spans="3:3" x14ac:dyDescent="0.2">
      <c r="C3383"/>
    </row>
    <row r="3384" spans="3:3" x14ac:dyDescent="0.2">
      <c r="C3384"/>
    </row>
    <row r="3385" spans="3:3" x14ac:dyDescent="0.2">
      <c r="C3385"/>
    </row>
    <row r="3386" spans="3:3" x14ac:dyDescent="0.2">
      <c r="C3386"/>
    </row>
    <row r="3387" spans="3:3" x14ac:dyDescent="0.2">
      <c r="C3387"/>
    </row>
    <row r="3388" spans="3:3" x14ac:dyDescent="0.2">
      <c r="C3388"/>
    </row>
    <row r="3389" spans="3:3" x14ac:dyDescent="0.2">
      <c r="C3389"/>
    </row>
    <row r="3390" spans="3:3" x14ac:dyDescent="0.2">
      <c r="C3390"/>
    </row>
    <row r="3391" spans="3:3" x14ac:dyDescent="0.2">
      <c r="C3391"/>
    </row>
    <row r="3392" spans="3:3" x14ac:dyDescent="0.2">
      <c r="C3392"/>
    </row>
    <row r="3393" spans="3:3" x14ac:dyDescent="0.2">
      <c r="C3393"/>
    </row>
    <row r="3394" spans="3:3" x14ac:dyDescent="0.2">
      <c r="C3394"/>
    </row>
    <row r="3395" spans="3:3" x14ac:dyDescent="0.2">
      <c r="C3395"/>
    </row>
    <row r="3396" spans="3:3" x14ac:dyDescent="0.2">
      <c r="C3396"/>
    </row>
    <row r="3397" spans="3:3" x14ac:dyDescent="0.2">
      <c r="C3397"/>
    </row>
    <row r="3398" spans="3:3" x14ac:dyDescent="0.2">
      <c r="C3398"/>
    </row>
    <row r="3399" spans="3:3" x14ac:dyDescent="0.2">
      <c r="C3399"/>
    </row>
    <row r="3400" spans="3:3" x14ac:dyDescent="0.2">
      <c r="C3400"/>
    </row>
    <row r="3401" spans="3:3" x14ac:dyDescent="0.2">
      <c r="C3401"/>
    </row>
    <row r="3402" spans="3:3" x14ac:dyDescent="0.2">
      <c r="C3402"/>
    </row>
    <row r="3403" spans="3:3" x14ac:dyDescent="0.2">
      <c r="C3403"/>
    </row>
    <row r="3404" spans="3:3" x14ac:dyDescent="0.2">
      <c r="C3404"/>
    </row>
    <row r="3405" spans="3:3" x14ac:dyDescent="0.2">
      <c r="C3405"/>
    </row>
    <row r="3406" spans="3:3" x14ac:dyDescent="0.2">
      <c r="C3406"/>
    </row>
    <row r="3407" spans="3:3" x14ac:dyDescent="0.2">
      <c r="C3407"/>
    </row>
    <row r="3408" spans="3:3" x14ac:dyDescent="0.2">
      <c r="C3408"/>
    </row>
    <row r="3409" spans="3:3" x14ac:dyDescent="0.2">
      <c r="C3409"/>
    </row>
    <row r="3410" spans="3:3" x14ac:dyDescent="0.2">
      <c r="C3410"/>
    </row>
    <row r="3411" spans="3:3" x14ac:dyDescent="0.2">
      <c r="C3411"/>
    </row>
    <row r="3412" spans="3:3" x14ac:dyDescent="0.2">
      <c r="C3412"/>
    </row>
    <row r="3413" spans="3:3" x14ac:dyDescent="0.2">
      <c r="C3413"/>
    </row>
    <row r="3414" spans="3:3" x14ac:dyDescent="0.2">
      <c r="C3414"/>
    </row>
    <row r="3415" spans="3:3" x14ac:dyDescent="0.2">
      <c r="C3415"/>
    </row>
    <row r="3416" spans="3:3" x14ac:dyDescent="0.2">
      <c r="C3416"/>
    </row>
    <row r="3417" spans="3:3" x14ac:dyDescent="0.2">
      <c r="C3417"/>
    </row>
    <row r="3418" spans="3:3" x14ac:dyDescent="0.2">
      <c r="C3418"/>
    </row>
    <row r="3419" spans="3:3" x14ac:dyDescent="0.2">
      <c r="C3419"/>
    </row>
    <row r="3420" spans="3:3" x14ac:dyDescent="0.2">
      <c r="C3420"/>
    </row>
    <row r="3421" spans="3:3" x14ac:dyDescent="0.2">
      <c r="C3421"/>
    </row>
    <row r="3422" spans="3:3" x14ac:dyDescent="0.2">
      <c r="C3422"/>
    </row>
    <row r="3423" spans="3:3" x14ac:dyDescent="0.2">
      <c r="C3423"/>
    </row>
    <row r="3424" spans="3:3" x14ac:dyDescent="0.2">
      <c r="C3424"/>
    </row>
    <row r="3425" spans="3:3" x14ac:dyDescent="0.2">
      <c r="C3425"/>
    </row>
    <row r="3426" spans="3:3" x14ac:dyDescent="0.2">
      <c r="C3426"/>
    </row>
    <row r="3427" spans="3:3" x14ac:dyDescent="0.2">
      <c r="C3427"/>
    </row>
    <row r="3428" spans="3:3" x14ac:dyDescent="0.2">
      <c r="C3428"/>
    </row>
    <row r="3429" spans="3:3" x14ac:dyDescent="0.2">
      <c r="C3429"/>
    </row>
    <row r="3430" spans="3:3" x14ac:dyDescent="0.2">
      <c r="C3430"/>
    </row>
    <row r="3431" spans="3:3" x14ac:dyDescent="0.2">
      <c r="C3431"/>
    </row>
    <row r="3432" spans="3:3" x14ac:dyDescent="0.2">
      <c r="C3432"/>
    </row>
    <row r="3433" spans="3:3" x14ac:dyDescent="0.2">
      <c r="C3433"/>
    </row>
    <row r="3434" spans="3:3" x14ac:dyDescent="0.2">
      <c r="C3434"/>
    </row>
    <row r="3435" spans="3:3" x14ac:dyDescent="0.2">
      <c r="C3435"/>
    </row>
    <row r="3436" spans="3:3" x14ac:dyDescent="0.2">
      <c r="C3436"/>
    </row>
    <row r="3437" spans="3:3" x14ac:dyDescent="0.2">
      <c r="C3437"/>
    </row>
    <row r="3438" spans="3:3" x14ac:dyDescent="0.2">
      <c r="C3438"/>
    </row>
    <row r="3439" spans="3:3" x14ac:dyDescent="0.2">
      <c r="C3439"/>
    </row>
    <row r="3440" spans="3:3" x14ac:dyDescent="0.2">
      <c r="C3440"/>
    </row>
    <row r="3441" spans="3:3" x14ac:dyDescent="0.2">
      <c r="C3441"/>
    </row>
    <row r="3442" spans="3:3" x14ac:dyDescent="0.2">
      <c r="C3442"/>
    </row>
    <row r="3443" spans="3:3" x14ac:dyDescent="0.2">
      <c r="C3443"/>
    </row>
    <row r="3444" spans="3:3" x14ac:dyDescent="0.2">
      <c r="C3444"/>
    </row>
    <row r="3445" spans="3:3" x14ac:dyDescent="0.2">
      <c r="C3445"/>
    </row>
    <row r="3446" spans="3:3" x14ac:dyDescent="0.2">
      <c r="C3446"/>
    </row>
    <row r="3447" spans="3:3" x14ac:dyDescent="0.2">
      <c r="C3447"/>
    </row>
    <row r="3448" spans="3:3" x14ac:dyDescent="0.2">
      <c r="C3448"/>
    </row>
    <row r="3449" spans="3:3" x14ac:dyDescent="0.2">
      <c r="C3449"/>
    </row>
    <row r="3450" spans="3:3" x14ac:dyDescent="0.2">
      <c r="C3450"/>
    </row>
    <row r="3451" spans="3:3" x14ac:dyDescent="0.2">
      <c r="C3451"/>
    </row>
    <row r="3452" spans="3:3" x14ac:dyDescent="0.2">
      <c r="C3452"/>
    </row>
    <row r="3453" spans="3:3" x14ac:dyDescent="0.2">
      <c r="C3453"/>
    </row>
    <row r="3454" spans="3:3" x14ac:dyDescent="0.2">
      <c r="C3454"/>
    </row>
    <row r="3455" spans="3:3" x14ac:dyDescent="0.2">
      <c r="C3455"/>
    </row>
    <row r="3456" spans="3:3" x14ac:dyDescent="0.2">
      <c r="C3456"/>
    </row>
    <row r="3457" spans="3:3" x14ac:dyDescent="0.2">
      <c r="C3457"/>
    </row>
    <row r="3458" spans="3:3" x14ac:dyDescent="0.2">
      <c r="C3458"/>
    </row>
    <row r="3459" spans="3:3" x14ac:dyDescent="0.2">
      <c r="C3459"/>
    </row>
    <row r="3460" spans="3:3" x14ac:dyDescent="0.2">
      <c r="C3460"/>
    </row>
    <row r="3461" spans="3:3" x14ac:dyDescent="0.2">
      <c r="C3461"/>
    </row>
    <row r="3462" spans="3:3" x14ac:dyDescent="0.2">
      <c r="C3462"/>
    </row>
    <row r="3463" spans="3:3" x14ac:dyDescent="0.2">
      <c r="C3463"/>
    </row>
    <row r="3464" spans="3:3" x14ac:dyDescent="0.2">
      <c r="C3464"/>
    </row>
    <row r="3465" spans="3:3" x14ac:dyDescent="0.2">
      <c r="C3465"/>
    </row>
    <row r="3466" spans="3:3" x14ac:dyDescent="0.2">
      <c r="C3466"/>
    </row>
    <row r="3467" spans="3:3" x14ac:dyDescent="0.2">
      <c r="C3467"/>
    </row>
    <row r="3468" spans="3:3" x14ac:dyDescent="0.2">
      <c r="C3468"/>
    </row>
    <row r="3469" spans="3:3" x14ac:dyDescent="0.2">
      <c r="C3469"/>
    </row>
    <row r="3470" spans="3:3" x14ac:dyDescent="0.2">
      <c r="C3470"/>
    </row>
    <row r="3471" spans="3:3" x14ac:dyDescent="0.2">
      <c r="C3471"/>
    </row>
    <row r="3472" spans="3:3" x14ac:dyDescent="0.2">
      <c r="C3472"/>
    </row>
    <row r="3473" spans="3:3" x14ac:dyDescent="0.2">
      <c r="C3473"/>
    </row>
    <row r="3474" spans="3:3" x14ac:dyDescent="0.2">
      <c r="C3474"/>
    </row>
    <row r="3475" spans="3:3" x14ac:dyDescent="0.2">
      <c r="C3475"/>
    </row>
    <row r="3476" spans="3:3" x14ac:dyDescent="0.2">
      <c r="C3476"/>
    </row>
    <row r="3477" spans="3:3" x14ac:dyDescent="0.2">
      <c r="C3477"/>
    </row>
    <row r="3478" spans="3:3" x14ac:dyDescent="0.2">
      <c r="C3478"/>
    </row>
    <row r="3479" spans="3:3" x14ac:dyDescent="0.2">
      <c r="C3479"/>
    </row>
    <row r="3480" spans="3:3" x14ac:dyDescent="0.2">
      <c r="C3480"/>
    </row>
    <row r="3481" spans="3:3" x14ac:dyDescent="0.2">
      <c r="C3481"/>
    </row>
    <row r="3482" spans="3:3" x14ac:dyDescent="0.2">
      <c r="C3482"/>
    </row>
    <row r="3483" spans="3:3" x14ac:dyDescent="0.2">
      <c r="C3483"/>
    </row>
    <row r="3484" spans="3:3" x14ac:dyDescent="0.2">
      <c r="C3484"/>
    </row>
    <row r="3485" spans="3:3" x14ac:dyDescent="0.2">
      <c r="C3485"/>
    </row>
    <row r="3486" spans="3:3" x14ac:dyDescent="0.2">
      <c r="C3486"/>
    </row>
    <row r="3487" spans="3:3" x14ac:dyDescent="0.2">
      <c r="C3487"/>
    </row>
    <row r="3488" spans="3:3" x14ac:dyDescent="0.2">
      <c r="C3488"/>
    </row>
    <row r="3489" spans="3:3" x14ac:dyDescent="0.2">
      <c r="C3489"/>
    </row>
    <row r="3490" spans="3:3" x14ac:dyDescent="0.2">
      <c r="C3490"/>
    </row>
    <row r="3491" spans="3:3" x14ac:dyDescent="0.2">
      <c r="C3491"/>
    </row>
    <row r="3492" spans="3:3" x14ac:dyDescent="0.2">
      <c r="C3492"/>
    </row>
    <row r="3493" spans="3:3" x14ac:dyDescent="0.2">
      <c r="C3493"/>
    </row>
    <row r="3494" spans="3:3" x14ac:dyDescent="0.2">
      <c r="C3494"/>
    </row>
    <row r="3495" spans="3:3" x14ac:dyDescent="0.2">
      <c r="C3495"/>
    </row>
    <row r="3496" spans="3:3" x14ac:dyDescent="0.2">
      <c r="C3496"/>
    </row>
    <row r="3497" spans="3:3" x14ac:dyDescent="0.2">
      <c r="C3497"/>
    </row>
    <row r="3498" spans="3:3" x14ac:dyDescent="0.2">
      <c r="C3498"/>
    </row>
    <row r="3499" spans="3:3" x14ac:dyDescent="0.2">
      <c r="C3499"/>
    </row>
    <row r="3500" spans="3:3" x14ac:dyDescent="0.2">
      <c r="C3500"/>
    </row>
    <row r="3501" spans="3:3" x14ac:dyDescent="0.2">
      <c r="C3501"/>
    </row>
    <row r="3502" spans="3:3" x14ac:dyDescent="0.2">
      <c r="C3502"/>
    </row>
    <row r="3503" spans="3:3" x14ac:dyDescent="0.2">
      <c r="C3503"/>
    </row>
    <row r="3504" spans="3:3" x14ac:dyDescent="0.2">
      <c r="C3504"/>
    </row>
    <row r="3505" spans="3:3" x14ac:dyDescent="0.2">
      <c r="C3505"/>
    </row>
    <row r="3506" spans="3:3" x14ac:dyDescent="0.2">
      <c r="C3506"/>
    </row>
    <row r="3507" spans="3:3" x14ac:dyDescent="0.2">
      <c r="C3507"/>
    </row>
    <row r="3508" spans="3:3" x14ac:dyDescent="0.2">
      <c r="C3508"/>
    </row>
    <row r="3509" spans="3:3" x14ac:dyDescent="0.2">
      <c r="C3509"/>
    </row>
    <row r="3510" spans="3:3" x14ac:dyDescent="0.2">
      <c r="C3510"/>
    </row>
    <row r="3511" spans="3:3" x14ac:dyDescent="0.2">
      <c r="C3511"/>
    </row>
    <row r="3512" spans="3:3" x14ac:dyDescent="0.2">
      <c r="C3512"/>
    </row>
    <row r="3513" spans="3:3" x14ac:dyDescent="0.2">
      <c r="C3513"/>
    </row>
    <row r="3514" spans="3:3" x14ac:dyDescent="0.2">
      <c r="C3514"/>
    </row>
    <row r="3515" spans="3:3" x14ac:dyDescent="0.2">
      <c r="C3515"/>
    </row>
    <row r="3516" spans="3:3" x14ac:dyDescent="0.2">
      <c r="C3516"/>
    </row>
    <row r="3517" spans="3:3" x14ac:dyDescent="0.2">
      <c r="C3517"/>
    </row>
    <row r="3518" spans="3:3" x14ac:dyDescent="0.2">
      <c r="C3518"/>
    </row>
    <row r="3519" spans="3:3" x14ac:dyDescent="0.2">
      <c r="C3519"/>
    </row>
    <row r="3520" spans="3:3" x14ac:dyDescent="0.2">
      <c r="C3520"/>
    </row>
    <row r="3521" spans="3:3" x14ac:dyDescent="0.2">
      <c r="C3521"/>
    </row>
    <row r="3522" spans="3:3" x14ac:dyDescent="0.2">
      <c r="C3522"/>
    </row>
    <row r="3523" spans="3:3" x14ac:dyDescent="0.2">
      <c r="C3523"/>
    </row>
    <row r="3524" spans="3:3" x14ac:dyDescent="0.2">
      <c r="C3524"/>
    </row>
    <row r="3525" spans="3:3" x14ac:dyDescent="0.2">
      <c r="C3525"/>
    </row>
    <row r="3526" spans="3:3" x14ac:dyDescent="0.2">
      <c r="C3526"/>
    </row>
    <row r="3527" spans="3:3" x14ac:dyDescent="0.2">
      <c r="C3527"/>
    </row>
    <row r="3528" spans="3:3" x14ac:dyDescent="0.2">
      <c r="C3528"/>
    </row>
    <row r="3529" spans="3:3" x14ac:dyDescent="0.2">
      <c r="C3529"/>
    </row>
    <row r="3530" spans="3:3" x14ac:dyDescent="0.2">
      <c r="C3530"/>
    </row>
    <row r="3531" spans="3:3" x14ac:dyDescent="0.2">
      <c r="C3531"/>
    </row>
    <row r="3532" spans="3:3" x14ac:dyDescent="0.2">
      <c r="C3532"/>
    </row>
    <row r="3533" spans="3:3" x14ac:dyDescent="0.2">
      <c r="C3533"/>
    </row>
    <row r="3534" spans="3:3" x14ac:dyDescent="0.2">
      <c r="C3534"/>
    </row>
    <row r="3535" spans="3:3" x14ac:dyDescent="0.2">
      <c r="C3535"/>
    </row>
    <row r="3536" spans="3:3" x14ac:dyDescent="0.2">
      <c r="C3536"/>
    </row>
    <row r="3537" spans="3:3" x14ac:dyDescent="0.2">
      <c r="C3537"/>
    </row>
    <row r="3538" spans="3:3" x14ac:dyDescent="0.2">
      <c r="C3538"/>
    </row>
    <row r="3539" spans="3:3" x14ac:dyDescent="0.2">
      <c r="C3539"/>
    </row>
    <row r="3540" spans="3:3" x14ac:dyDescent="0.2">
      <c r="C3540"/>
    </row>
    <row r="3541" spans="3:3" x14ac:dyDescent="0.2">
      <c r="C3541"/>
    </row>
    <row r="3542" spans="3:3" x14ac:dyDescent="0.2">
      <c r="C3542"/>
    </row>
    <row r="3543" spans="3:3" x14ac:dyDescent="0.2">
      <c r="C3543"/>
    </row>
    <row r="3544" spans="3:3" x14ac:dyDescent="0.2">
      <c r="C3544"/>
    </row>
    <row r="3545" spans="3:3" x14ac:dyDescent="0.2">
      <c r="C3545"/>
    </row>
    <row r="3546" spans="3:3" x14ac:dyDescent="0.2">
      <c r="C3546"/>
    </row>
    <row r="3547" spans="3:3" x14ac:dyDescent="0.2">
      <c r="C3547"/>
    </row>
    <row r="3548" spans="3:3" x14ac:dyDescent="0.2">
      <c r="C3548"/>
    </row>
    <row r="3549" spans="3:3" x14ac:dyDescent="0.2">
      <c r="C3549"/>
    </row>
    <row r="3550" spans="3:3" x14ac:dyDescent="0.2">
      <c r="C3550"/>
    </row>
    <row r="3551" spans="3:3" x14ac:dyDescent="0.2">
      <c r="C3551"/>
    </row>
    <row r="3552" spans="3:3" x14ac:dyDescent="0.2">
      <c r="C3552"/>
    </row>
    <row r="3553" spans="3:3" x14ac:dyDescent="0.2">
      <c r="C3553"/>
    </row>
    <row r="3554" spans="3:3" x14ac:dyDescent="0.2">
      <c r="C3554"/>
    </row>
    <row r="3555" spans="3:3" x14ac:dyDescent="0.2">
      <c r="C3555"/>
    </row>
    <row r="3556" spans="3:3" x14ac:dyDescent="0.2">
      <c r="C3556"/>
    </row>
    <row r="3557" spans="3:3" x14ac:dyDescent="0.2">
      <c r="C3557"/>
    </row>
    <row r="3558" spans="3:3" x14ac:dyDescent="0.2">
      <c r="C3558"/>
    </row>
    <row r="3559" spans="3:3" x14ac:dyDescent="0.2">
      <c r="C3559"/>
    </row>
    <row r="3560" spans="3:3" x14ac:dyDescent="0.2">
      <c r="C3560"/>
    </row>
    <row r="3561" spans="3:3" x14ac:dyDescent="0.2">
      <c r="C3561"/>
    </row>
    <row r="3562" spans="3:3" x14ac:dyDescent="0.2">
      <c r="C3562"/>
    </row>
    <row r="3563" spans="3:3" x14ac:dyDescent="0.2">
      <c r="C3563"/>
    </row>
    <row r="3564" spans="3:3" x14ac:dyDescent="0.2">
      <c r="C3564"/>
    </row>
    <row r="3565" spans="3:3" x14ac:dyDescent="0.2">
      <c r="C3565"/>
    </row>
    <row r="3566" spans="3:3" x14ac:dyDescent="0.2">
      <c r="C3566"/>
    </row>
    <row r="3567" spans="3:3" x14ac:dyDescent="0.2">
      <c r="C3567"/>
    </row>
    <row r="3568" spans="3:3" x14ac:dyDescent="0.2">
      <c r="C3568"/>
    </row>
    <row r="3569" spans="3:3" x14ac:dyDescent="0.2">
      <c r="C3569"/>
    </row>
    <row r="3570" spans="3:3" x14ac:dyDescent="0.2">
      <c r="C3570"/>
    </row>
    <row r="3571" spans="3:3" x14ac:dyDescent="0.2">
      <c r="C3571"/>
    </row>
    <row r="3572" spans="3:3" x14ac:dyDescent="0.2">
      <c r="C3572"/>
    </row>
    <row r="3573" spans="3:3" x14ac:dyDescent="0.2">
      <c r="C3573"/>
    </row>
    <row r="3574" spans="3:3" x14ac:dyDescent="0.2">
      <c r="C3574"/>
    </row>
    <row r="3575" spans="3:3" x14ac:dyDescent="0.2">
      <c r="C3575"/>
    </row>
    <row r="3576" spans="3:3" x14ac:dyDescent="0.2">
      <c r="C3576"/>
    </row>
    <row r="3577" spans="3:3" x14ac:dyDescent="0.2">
      <c r="C3577"/>
    </row>
    <row r="3578" spans="3:3" x14ac:dyDescent="0.2">
      <c r="C3578"/>
    </row>
    <row r="3579" spans="3:3" x14ac:dyDescent="0.2">
      <c r="C3579"/>
    </row>
    <row r="3580" spans="3:3" x14ac:dyDescent="0.2">
      <c r="C3580"/>
    </row>
    <row r="3581" spans="3:3" x14ac:dyDescent="0.2">
      <c r="C3581"/>
    </row>
    <row r="3582" spans="3:3" x14ac:dyDescent="0.2">
      <c r="C3582"/>
    </row>
    <row r="3583" spans="3:3" x14ac:dyDescent="0.2">
      <c r="C3583"/>
    </row>
    <row r="3584" spans="3:3" x14ac:dyDescent="0.2">
      <c r="C3584"/>
    </row>
    <row r="3585" spans="3:3" x14ac:dyDescent="0.2">
      <c r="C3585"/>
    </row>
    <row r="3586" spans="3:3" x14ac:dyDescent="0.2">
      <c r="C3586"/>
    </row>
    <row r="3587" spans="3:3" x14ac:dyDescent="0.2">
      <c r="C3587"/>
    </row>
    <row r="3588" spans="3:3" x14ac:dyDescent="0.2">
      <c r="C3588"/>
    </row>
    <row r="3589" spans="3:3" x14ac:dyDescent="0.2">
      <c r="C3589"/>
    </row>
    <row r="3590" spans="3:3" x14ac:dyDescent="0.2">
      <c r="C3590"/>
    </row>
    <row r="3591" spans="3:3" x14ac:dyDescent="0.2">
      <c r="C3591"/>
    </row>
    <row r="3592" spans="3:3" x14ac:dyDescent="0.2">
      <c r="C3592"/>
    </row>
    <row r="3593" spans="3:3" x14ac:dyDescent="0.2">
      <c r="C3593"/>
    </row>
    <row r="3594" spans="3:3" x14ac:dyDescent="0.2">
      <c r="C3594"/>
    </row>
    <row r="3595" spans="3:3" x14ac:dyDescent="0.2">
      <c r="C3595"/>
    </row>
    <row r="3596" spans="3:3" x14ac:dyDescent="0.2">
      <c r="C3596"/>
    </row>
    <row r="3597" spans="3:3" x14ac:dyDescent="0.2">
      <c r="C3597"/>
    </row>
    <row r="3598" spans="3:3" x14ac:dyDescent="0.2">
      <c r="C3598"/>
    </row>
    <row r="3599" spans="3:3" x14ac:dyDescent="0.2">
      <c r="C3599"/>
    </row>
    <row r="3600" spans="3:3" x14ac:dyDescent="0.2">
      <c r="C3600"/>
    </row>
    <row r="3601" spans="3:3" x14ac:dyDescent="0.2">
      <c r="C3601"/>
    </row>
    <row r="3602" spans="3:3" x14ac:dyDescent="0.2">
      <c r="C3602"/>
    </row>
    <row r="3603" spans="3:3" x14ac:dyDescent="0.2">
      <c r="C3603"/>
    </row>
    <row r="3604" spans="3:3" x14ac:dyDescent="0.2">
      <c r="C3604"/>
    </row>
    <row r="3605" spans="3:3" x14ac:dyDescent="0.2">
      <c r="C3605"/>
    </row>
    <row r="3606" spans="3:3" x14ac:dyDescent="0.2">
      <c r="C3606"/>
    </row>
    <row r="3607" spans="3:3" x14ac:dyDescent="0.2">
      <c r="C3607"/>
    </row>
    <row r="3608" spans="3:3" x14ac:dyDescent="0.2">
      <c r="C3608"/>
    </row>
    <row r="3609" spans="3:3" x14ac:dyDescent="0.2">
      <c r="C3609"/>
    </row>
    <row r="3610" spans="3:3" x14ac:dyDescent="0.2">
      <c r="C3610"/>
    </row>
    <row r="3611" spans="3:3" x14ac:dyDescent="0.2">
      <c r="C3611"/>
    </row>
    <row r="3612" spans="3:3" x14ac:dyDescent="0.2">
      <c r="C3612"/>
    </row>
    <row r="3613" spans="3:3" x14ac:dyDescent="0.2">
      <c r="C3613"/>
    </row>
    <row r="3614" spans="3:3" x14ac:dyDescent="0.2">
      <c r="C3614"/>
    </row>
    <row r="3615" spans="3:3" x14ac:dyDescent="0.2">
      <c r="C3615"/>
    </row>
    <row r="3616" spans="3:3" x14ac:dyDescent="0.2">
      <c r="C3616"/>
    </row>
    <row r="3617" spans="3:3" x14ac:dyDescent="0.2">
      <c r="C3617"/>
    </row>
    <row r="3618" spans="3:3" x14ac:dyDescent="0.2">
      <c r="C3618"/>
    </row>
    <row r="3619" spans="3:3" x14ac:dyDescent="0.2">
      <c r="C3619"/>
    </row>
    <row r="3620" spans="3:3" x14ac:dyDescent="0.2">
      <c r="C3620"/>
    </row>
    <row r="3621" spans="3:3" x14ac:dyDescent="0.2">
      <c r="C3621"/>
    </row>
    <row r="3622" spans="3:3" x14ac:dyDescent="0.2">
      <c r="C3622"/>
    </row>
    <row r="3623" spans="3:3" x14ac:dyDescent="0.2">
      <c r="C3623"/>
    </row>
    <row r="3624" spans="3:3" x14ac:dyDescent="0.2">
      <c r="C3624"/>
    </row>
    <row r="3625" spans="3:3" x14ac:dyDescent="0.2">
      <c r="C3625"/>
    </row>
    <row r="3626" spans="3:3" x14ac:dyDescent="0.2">
      <c r="C3626"/>
    </row>
    <row r="3627" spans="3:3" x14ac:dyDescent="0.2">
      <c r="C3627"/>
    </row>
    <row r="3628" spans="3:3" x14ac:dyDescent="0.2">
      <c r="C3628"/>
    </row>
    <row r="3629" spans="3:3" x14ac:dyDescent="0.2">
      <c r="C3629"/>
    </row>
    <row r="3630" spans="3:3" x14ac:dyDescent="0.2">
      <c r="C3630"/>
    </row>
    <row r="3631" spans="3:3" x14ac:dyDescent="0.2">
      <c r="C3631"/>
    </row>
    <row r="3632" spans="3:3" x14ac:dyDescent="0.2">
      <c r="C3632"/>
    </row>
    <row r="3633" spans="3:3" x14ac:dyDescent="0.2">
      <c r="C3633"/>
    </row>
    <row r="3634" spans="3:3" x14ac:dyDescent="0.2">
      <c r="C3634"/>
    </row>
    <row r="3635" spans="3:3" x14ac:dyDescent="0.2">
      <c r="C3635"/>
    </row>
    <row r="3636" spans="3:3" x14ac:dyDescent="0.2">
      <c r="C3636"/>
    </row>
    <row r="3637" spans="3:3" x14ac:dyDescent="0.2">
      <c r="C3637"/>
    </row>
    <row r="3638" spans="3:3" x14ac:dyDescent="0.2">
      <c r="C3638"/>
    </row>
    <row r="3639" spans="3:3" x14ac:dyDescent="0.2">
      <c r="C3639"/>
    </row>
    <row r="3640" spans="3:3" x14ac:dyDescent="0.2">
      <c r="C3640"/>
    </row>
    <row r="3641" spans="3:3" x14ac:dyDescent="0.2">
      <c r="C3641"/>
    </row>
    <row r="3642" spans="3:3" x14ac:dyDescent="0.2">
      <c r="C3642"/>
    </row>
    <row r="3643" spans="3:3" x14ac:dyDescent="0.2">
      <c r="C3643"/>
    </row>
    <row r="3644" spans="3:3" x14ac:dyDescent="0.2">
      <c r="C3644"/>
    </row>
    <row r="3645" spans="3:3" x14ac:dyDescent="0.2">
      <c r="C3645"/>
    </row>
    <row r="3646" spans="3:3" x14ac:dyDescent="0.2">
      <c r="C3646"/>
    </row>
    <row r="3647" spans="3:3" x14ac:dyDescent="0.2">
      <c r="C3647"/>
    </row>
    <row r="3648" spans="3:3" x14ac:dyDescent="0.2">
      <c r="C3648"/>
    </row>
    <row r="3649" spans="3:3" x14ac:dyDescent="0.2">
      <c r="C3649"/>
    </row>
    <row r="3650" spans="3:3" x14ac:dyDescent="0.2">
      <c r="C3650"/>
    </row>
    <row r="3651" spans="3:3" x14ac:dyDescent="0.2">
      <c r="C3651"/>
    </row>
    <row r="3652" spans="3:3" x14ac:dyDescent="0.2">
      <c r="C3652"/>
    </row>
    <row r="3653" spans="3:3" x14ac:dyDescent="0.2">
      <c r="C3653"/>
    </row>
    <row r="3654" spans="3:3" x14ac:dyDescent="0.2">
      <c r="C3654"/>
    </row>
    <row r="3655" spans="3:3" x14ac:dyDescent="0.2">
      <c r="C3655"/>
    </row>
    <row r="3656" spans="3:3" x14ac:dyDescent="0.2">
      <c r="C3656"/>
    </row>
    <row r="3657" spans="3:3" x14ac:dyDescent="0.2">
      <c r="C3657"/>
    </row>
    <row r="3658" spans="3:3" x14ac:dyDescent="0.2">
      <c r="C3658"/>
    </row>
    <row r="3659" spans="3:3" x14ac:dyDescent="0.2">
      <c r="C3659"/>
    </row>
    <row r="3660" spans="3:3" x14ac:dyDescent="0.2">
      <c r="C3660"/>
    </row>
    <row r="3661" spans="3:3" x14ac:dyDescent="0.2">
      <c r="C3661"/>
    </row>
    <row r="3662" spans="3:3" x14ac:dyDescent="0.2">
      <c r="C3662"/>
    </row>
    <row r="3663" spans="3:3" x14ac:dyDescent="0.2">
      <c r="C3663"/>
    </row>
    <row r="3664" spans="3:3" x14ac:dyDescent="0.2">
      <c r="C3664"/>
    </row>
    <row r="3665" spans="3:3" x14ac:dyDescent="0.2">
      <c r="C3665"/>
    </row>
    <row r="3666" spans="3:3" x14ac:dyDescent="0.2">
      <c r="C3666"/>
    </row>
    <row r="3667" spans="3:3" x14ac:dyDescent="0.2">
      <c r="C3667"/>
    </row>
    <row r="3668" spans="3:3" x14ac:dyDescent="0.2">
      <c r="C3668"/>
    </row>
    <row r="3669" spans="3:3" x14ac:dyDescent="0.2">
      <c r="C3669"/>
    </row>
    <row r="3670" spans="3:3" x14ac:dyDescent="0.2">
      <c r="C3670"/>
    </row>
    <row r="3671" spans="3:3" x14ac:dyDescent="0.2">
      <c r="C3671"/>
    </row>
    <row r="3672" spans="3:3" x14ac:dyDescent="0.2">
      <c r="C3672"/>
    </row>
    <row r="3673" spans="3:3" x14ac:dyDescent="0.2">
      <c r="C3673"/>
    </row>
    <row r="3674" spans="3:3" x14ac:dyDescent="0.2">
      <c r="C3674"/>
    </row>
    <row r="3675" spans="3:3" x14ac:dyDescent="0.2">
      <c r="C3675"/>
    </row>
    <row r="3676" spans="3:3" x14ac:dyDescent="0.2">
      <c r="C3676"/>
    </row>
    <row r="3677" spans="3:3" x14ac:dyDescent="0.2">
      <c r="C3677"/>
    </row>
    <row r="3678" spans="3:3" x14ac:dyDescent="0.2">
      <c r="C3678"/>
    </row>
    <row r="3679" spans="3:3" x14ac:dyDescent="0.2">
      <c r="C3679"/>
    </row>
    <row r="3680" spans="3:3" x14ac:dyDescent="0.2">
      <c r="C3680"/>
    </row>
    <row r="3681" spans="3:3" x14ac:dyDescent="0.2">
      <c r="C3681"/>
    </row>
    <row r="3682" spans="3:3" x14ac:dyDescent="0.2">
      <c r="C3682"/>
    </row>
    <row r="3683" spans="3:3" x14ac:dyDescent="0.2">
      <c r="C3683"/>
    </row>
    <row r="3684" spans="3:3" x14ac:dyDescent="0.2">
      <c r="C3684"/>
    </row>
    <row r="3685" spans="3:3" x14ac:dyDescent="0.2">
      <c r="C3685"/>
    </row>
    <row r="3686" spans="3:3" x14ac:dyDescent="0.2">
      <c r="C3686"/>
    </row>
    <row r="3687" spans="3:3" x14ac:dyDescent="0.2">
      <c r="C3687"/>
    </row>
    <row r="3688" spans="3:3" x14ac:dyDescent="0.2">
      <c r="C3688"/>
    </row>
    <row r="3689" spans="3:3" x14ac:dyDescent="0.2">
      <c r="C3689"/>
    </row>
    <row r="3690" spans="3:3" x14ac:dyDescent="0.2">
      <c r="C3690"/>
    </row>
    <row r="3691" spans="3:3" x14ac:dyDescent="0.2">
      <c r="C3691"/>
    </row>
    <row r="3692" spans="3:3" x14ac:dyDescent="0.2">
      <c r="C3692"/>
    </row>
    <row r="3693" spans="3:3" x14ac:dyDescent="0.2">
      <c r="C3693"/>
    </row>
    <row r="3694" spans="3:3" x14ac:dyDescent="0.2">
      <c r="C3694"/>
    </row>
    <row r="3695" spans="3:3" x14ac:dyDescent="0.2">
      <c r="C3695"/>
    </row>
    <row r="3696" spans="3:3" x14ac:dyDescent="0.2">
      <c r="C3696"/>
    </row>
    <row r="3697" spans="3:3" x14ac:dyDescent="0.2">
      <c r="C3697"/>
    </row>
    <row r="3698" spans="3:3" x14ac:dyDescent="0.2">
      <c r="C3698"/>
    </row>
    <row r="3699" spans="3:3" x14ac:dyDescent="0.2">
      <c r="C3699"/>
    </row>
    <row r="3700" spans="3:3" x14ac:dyDescent="0.2">
      <c r="C3700"/>
    </row>
    <row r="3701" spans="3:3" x14ac:dyDescent="0.2">
      <c r="C3701"/>
    </row>
    <row r="3702" spans="3:3" x14ac:dyDescent="0.2">
      <c r="C3702"/>
    </row>
    <row r="3703" spans="3:3" x14ac:dyDescent="0.2">
      <c r="C3703"/>
    </row>
    <row r="3704" spans="3:3" x14ac:dyDescent="0.2">
      <c r="C3704"/>
    </row>
    <row r="3705" spans="3:3" x14ac:dyDescent="0.2">
      <c r="C3705"/>
    </row>
    <row r="3706" spans="3:3" x14ac:dyDescent="0.2">
      <c r="C3706"/>
    </row>
    <row r="3707" spans="3:3" x14ac:dyDescent="0.2">
      <c r="C3707"/>
    </row>
    <row r="3708" spans="3:3" x14ac:dyDescent="0.2">
      <c r="C3708"/>
    </row>
    <row r="3709" spans="3:3" x14ac:dyDescent="0.2">
      <c r="C3709"/>
    </row>
    <row r="3710" spans="3:3" x14ac:dyDescent="0.2">
      <c r="C3710"/>
    </row>
    <row r="3711" spans="3:3" x14ac:dyDescent="0.2">
      <c r="C3711"/>
    </row>
    <row r="3712" spans="3:3" x14ac:dyDescent="0.2">
      <c r="C3712"/>
    </row>
    <row r="3713" spans="3:3" x14ac:dyDescent="0.2">
      <c r="C3713"/>
    </row>
    <row r="3714" spans="3:3" x14ac:dyDescent="0.2">
      <c r="C3714"/>
    </row>
    <row r="3715" spans="3:3" x14ac:dyDescent="0.2">
      <c r="C3715"/>
    </row>
    <row r="3716" spans="3:3" x14ac:dyDescent="0.2">
      <c r="C3716"/>
    </row>
    <row r="3717" spans="3:3" x14ac:dyDescent="0.2">
      <c r="C3717"/>
    </row>
    <row r="3718" spans="3:3" x14ac:dyDescent="0.2">
      <c r="C3718"/>
    </row>
    <row r="3719" spans="3:3" x14ac:dyDescent="0.2">
      <c r="C3719"/>
    </row>
    <row r="3720" spans="3:3" x14ac:dyDescent="0.2">
      <c r="C3720"/>
    </row>
    <row r="3721" spans="3:3" x14ac:dyDescent="0.2">
      <c r="C3721"/>
    </row>
    <row r="3722" spans="3:3" x14ac:dyDescent="0.2">
      <c r="C3722"/>
    </row>
    <row r="3723" spans="3:3" x14ac:dyDescent="0.2">
      <c r="C3723"/>
    </row>
    <row r="3724" spans="3:3" x14ac:dyDescent="0.2">
      <c r="C3724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Button 3">
              <controlPr defaultSize="0" print="0" autoFill="0" autoPict="0" macro="[0]!mcrRunAll">
                <anchor moveWithCells="1" sizeWithCells="1">
                  <from>
                    <xdr:col>0</xdr:col>
                    <xdr:colOff>209550</xdr:colOff>
                    <xdr:row>23</xdr:row>
                    <xdr:rowOff>19050</xdr:rowOff>
                  </from>
                  <to>
                    <xdr:col>0</xdr:col>
                    <xdr:colOff>3867150</xdr:colOff>
                    <xdr:row>23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BCF2-07B6-40AC-B0D7-C577C502371B}">
  <sheetPr codeName="shStatic"/>
  <dimension ref="A1:D29"/>
  <sheetViews>
    <sheetView workbookViewId="0">
      <selection activeCell="D19" sqref="D19"/>
    </sheetView>
  </sheetViews>
  <sheetFormatPr defaultRowHeight="12.75" x14ac:dyDescent="0.2"/>
  <cols>
    <col min="1" max="1" width="16" bestFit="1" customWidth="1"/>
    <col min="2" max="2" width="24" bestFit="1" customWidth="1"/>
  </cols>
  <sheetData>
    <row r="1" spans="1:4" ht="13.5" thickTop="1" x14ac:dyDescent="0.2">
      <c r="A1" s="159">
        <v>44181</v>
      </c>
      <c r="B1" s="160" t="s">
        <v>10955</v>
      </c>
      <c r="D1" s="162" t="s">
        <v>10971</v>
      </c>
    </row>
    <row r="2" spans="1:4" x14ac:dyDescent="0.2">
      <c r="A2" s="159">
        <v>44190</v>
      </c>
      <c r="B2" s="160" t="s">
        <v>10956</v>
      </c>
    </row>
    <row r="3" spans="1:4" x14ac:dyDescent="0.2">
      <c r="A3" s="159">
        <v>44191</v>
      </c>
      <c r="B3" s="160" t="s">
        <v>10957</v>
      </c>
    </row>
    <row r="4" spans="1:4" x14ac:dyDescent="0.2">
      <c r="A4" s="159">
        <v>44197</v>
      </c>
      <c r="B4" s="160" t="s">
        <v>10958</v>
      </c>
    </row>
    <row r="5" spans="1:4" x14ac:dyDescent="0.2">
      <c r="A5" s="159">
        <v>44277</v>
      </c>
      <c r="B5" s="160" t="s">
        <v>10959</v>
      </c>
    </row>
    <row r="6" spans="1:4" x14ac:dyDescent="0.2">
      <c r="A6" s="159">
        <v>44288</v>
      </c>
      <c r="B6" s="160" t="s">
        <v>10960</v>
      </c>
    </row>
    <row r="7" spans="1:4" x14ac:dyDescent="0.2">
      <c r="A7" s="159">
        <v>44291</v>
      </c>
      <c r="B7" s="160" t="s">
        <v>10961</v>
      </c>
    </row>
    <row r="8" spans="1:4" x14ac:dyDescent="0.2">
      <c r="A8" s="159">
        <v>44313</v>
      </c>
      <c r="B8" s="160" t="s">
        <v>10962</v>
      </c>
    </row>
    <row r="9" spans="1:4" x14ac:dyDescent="0.2">
      <c r="A9" s="159">
        <v>44317</v>
      </c>
      <c r="B9" s="160" t="s">
        <v>10963</v>
      </c>
    </row>
    <row r="10" spans="1:4" x14ac:dyDescent="0.2">
      <c r="A10" s="159">
        <v>44363</v>
      </c>
      <c r="B10" s="160" t="s">
        <v>10964</v>
      </c>
    </row>
    <row r="11" spans="1:4" x14ac:dyDescent="0.2">
      <c r="A11" s="159">
        <v>44417</v>
      </c>
      <c r="B11" s="160" t="s">
        <v>10965</v>
      </c>
    </row>
    <row r="12" spans="1:4" x14ac:dyDescent="0.2">
      <c r="A12" s="159">
        <v>44463</v>
      </c>
      <c r="B12" s="160" t="s">
        <v>10966</v>
      </c>
    </row>
    <row r="13" spans="1:4" x14ac:dyDescent="0.2">
      <c r="A13" s="159">
        <v>44501</v>
      </c>
      <c r="B13" s="160" t="s">
        <v>10972</v>
      </c>
    </row>
    <row r="14" spans="1:4" x14ac:dyDescent="0.2">
      <c r="A14" s="159">
        <v>44546</v>
      </c>
      <c r="B14" s="160" t="s">
        <v>10955</v>
      </c>
    </row>
    <row r="15" spans="1:4" x14ac:dyDescent="0.2">
      <c r="A15" s="159">
        <v>44555</v>
      </c>
      <c r="B15" s="160" t="s">
        <v>10956</v>
      </c>
    </row>
    <row r="16" spans="1:4" x14ac:dyDescent="0.2">
      <c r="A16" s="159">
        <v>44557</v>
      </c>
      <c r="B16" s="160" t="s">
        <v>10957</v>
      </c>
    </row>
    <row r="17" spans="1:2" x14ac:dyDescent="0.2">
      <c r="A17" s="159">
        <v>44562</v>
      </c>
      <c r="B17" s="160" t="s">
        <v>10958</v>
      </c>
    </row>
    <row r="18" spans="1:2" x14ac:dyDescent="0.2">
      <c r="A18" s="159">
        <v>44641</v>
      </c>
      <c r="B18" s="160" t="s">
        <v>10959</v>
      </c>
    </row>
    <row r="19" spans="1:2" x14ac:dyDescent="0.2">
      <c r="A19" s="159">
        <v>44666</v>
      </c>
      <c r="B19" s="160" t="s">
        <v>10960</v>
      </c>
    </row>
    <row r="20" spans="1:2" x14ac:dyDescent="0.2">
      <c r="A20" s="159">
        <v>44669</v>
      </c>
      <c r="B20" s="160" t="s">
        <v>10961</v>
      </c>
    </row>
    <row r="21" spans="1:2" x14ac:dyDescent="0.2">
      <c r="A21" s="159">
        <v>44678</v>
      </c>
      <c r="B21" s="160" t="s">
        <v>10962</v>
      </c>
    </row>
    <row r="22" spans="1:2" x14ac:dyDescent="0.2">
      <c r="A22" s="159">
        <v>44682</v>
      </c>
      <c r="B22" s="160" t="s">
        <v>10967</v>
      </c>
    </row>
    <row r="23" spans="1:2" x14ac:dyDescent="0.2">
      <c r="A23" s="159">
        <v>44683</v>
      </c>
      <c r="B23" s="160" t="s">
        <v>10968</v>
      </c>
    </row>
    <row r="24" spans="1:2" x14ac:dyDescent="0.2">
      <c r="A24" s="159">
        <v>44728</v>
      </c>
      <c r="B24" s="160" t="s">
        <v>10969</v>
      </c>
    </row>
    <row r="25" spans="1:2" x14ac:dyDescent="0.2">
      <c r="A25" s="159">
        <v>44782</v>
      </c>
      <c r="B25" s="160" t="s">
        <v>10965</v>
      </c>
    </row>
    <row r="26" spans="1:2" x14ac:dyDescent="0.2">
      <c r="A26" s="159">
        <v>44828</v>
      </c>
      <c r="B26" s="160" t="s">
        <v>10966</v>
      </c>
    </row>
    <row r="27" spans="1:2" x14ac:dyDescent="0.2">
      <c r="A27" s="159">
        <v>44911</v>
      </c>
      <c r="B27" s="160" t="s">
        <v>10955</v>
      </c>
    </row>
    <row r="28" spans="1:2" x14ac:dyDescent="0.2">
      <c r="A28" s="159">
        <v>44920</v>
      </c>
      <c r="B28" s="160" t="s">
        <v>10956</v>
      </c>
    </row>
    <row r="29" spans="1:2" x14ac:dyDescent="0.2">
      <c r="A29" s="159">
        <v>44921</v>
      </c>
      <c r="B29" s="160" t="s">
        <v>10970</v>
      </c>
    </row>
  </sheetData>
  <hyperlinks>
    <hyperlink ref="B18" r:id="rId1" display="https://publicholidays.co.za/human-rights-day/" xr:uid="{101C7B87-AD42-4D25-9D64-F5CC83C5CD58}"/>
    <hyperlink ref="B19" r:id="rId2" display="https://publicholidays.co.za/easter/" xr:uid="{E7FB45C3-3B95-4CD7-8543-02BB9AEB2DE0}"/>
    <hyperlink ref="B20" r:id="rId3" display="https://publicholidays.co.za/easter/" xr:uid="{C6088781-8345-427F-BFA7-A9B66076202E}"/>
    <hyperlink ref="B21" r:id="rId4" display="https://publicholidays.co.za/freedom-day/" xr:uid="{559B87A3-FB6E-4966-B7D5-882A6A37E0FD}"/>
    <hyperlink ref="B22" r:id="rId5" display="https://publicholidays.co.za/workers-day/" xr:uid="{B26F9D92-14C8-476D-9471-26ABF385EF7A}"/>
    <hyperlink ref="B23" r:id="rId6" display="https://publicholidays.co.za/workers-day/" xr:uid="{BDB07905-ECC1-4E9E-A031-8C075B4F72C0}"/>
    <hyperlink ref="B24" r:id="rId7" display="https://publicholidays.co.za/youth-day/" xr:uid="{5FF842D1-3043-4114-A6B4-4004C9501F9E}"/>
    <hyperlink ref="B25" r:id="rId8" display="https://publicholidays.co.za/national-womens-day/" xr:uid="{5B89C0B6-521D-4C85-9A7A-374A7C26BB39}"/>
    <hyperlink ref="B26" r:id="rId9" display="https://publicholidays.co.za/heritage-day/" xr:uid="{CA668709-D5AD-4B48-907A-F8FC061AE320}"/>
    <hyperlink ref="B27" r:id="rId10" display="https://publicholidays.co.za/day-of-reconciliation/" xr:uid="{9AF21DFE-2CA8-45E1-8F0A-D6F2D8C6320F}"/>
    <hyperlink ref="B28" r:id="rId11" display="https://publicholidays.co.za/christmas/" xr:uid="{A0E5A821-730C-4C1C-9089-BAFDD69F9C1C}"/>
    <hyperlink ref="B29" r:id="rId12" display="https://publicholidays.co.za/day-of-goodwill/" xr:uid="{A8972EDA-9CCB-4031-8D9F-925141658CFE}"/>
    <hyperlink ref="D1" location="Links!B553" display="Back to links" xr:uid="{FB60380C-F137-4C06-92C2-0B31C350914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D5AD-8C33-4071-A06C-0E2554F643AB}">
  <sheetPr codeName="shSummary"/>
  <dimension ref="A1:DO83"/>
  <sheetViews>
    <sheetView workbookViewId="0">
      <pane xSplit="1" ySplit="5" topLeftCell="B33" activePane="bottomRight" state="frozen"/>
      <selection activeCell="L2" sqref="L2"/>
      <selection pane="topRight" activeCell="L2" sqref="L2"/>
      <selection pane="bottomLeft" activeCell="L2" sqref="L2"/>
      <selection pane="bottomRight" activeCell="L2" sqref="L2"/>
    </sheetView>
  </sheetViews>
  <sheetFormatPr defaultColWidth="9.140625" defaultRowHeight="15.75" x14ac:dyDescent="0.3"/>
  <cols>
    <col min="1" max="1" width="70" style="64" bestFit="1" customWidth="1"/>
    <col min="2" max="2" width="16.85546875" style="64" bestFit="1" customWidth="1"/>
    <col min="3" max="3" width="13.140625" style="64" bestFit="1" customWidth="1"/>
    <col min="4" max="4" width="9.140625" style="64" customWidth="1"/>
    <col min="5" max="5" width="8" style="22" customWidth="1"/>
    <col min="6" max="6" width="58.7109375" style="22" customWidth="1"/>
    <col min="7" max="7" width="9.85546875" style="64" customWidth="1"/>
    <col min="8" max="8" width="17.28515625" style="22" bestFit="1" customWidth="1"/>
    <col min="9" max="11" width="15.7109375" style="29" customWidth="1"/>
    <col min="12" max="19" width="9.140625" style="29" customWidth="1"/>
    <col min="20" max="60" width="9.140625" style="29"/>
    <col min="61" max="16384" width="9.140625" style="13"/>
  </cols>
  <sheetData>
    <row r="1" spans="1:119" x14ac:dyDescent="0.3">
      <c r="A1" s="9" t="str">
        <f>Data!$A$2&amp;" ("&amp;Data!$AK$2&amp;")"</f>
        <v>Tshwane Municipal Prov Fund (TSHMPF)</v>
      </c>
      <c r="B1" s="118" t="s">
        <v>33</v>
      </c>
      <c r="C1" s="118" t="s">
        <v>59</v>
      </c>
      <c r="D1" s="69"/>
      <c r="E1" s="10">
        <f>COUNTIF(Data!$B:$B,"Derivatives")+COUNTIF(Data!$B:$B,"Forwards")+COUNTIF(Data!$B:$B,"Swaps")</f>
        <v>8</v>
      </c>
      <c r="F1" s="10" t="str">
        <f>"derivative"&amp;IF(E1=1,"","s")</f>
        <v>derivatives</v>
      </c>
      <c r="G1" s="172" t="str">
        <f>HYPERLINK("J:\PProfile Operations\Legal\Legal and Compliance Framework\Hilton\Client Mandates\"&amp;SUBSTITUTE(Data!$AK$2,"_C","")&amp;" Rules.docx","Mandate")</f>
        <v>Mandate</v>
      </c>
      <c r="H1" s="177" t="str" cm="1">
        <f t="array" ref="H1">"SA equity indices ("&amp;SUMPRODUCT((Data!$C:$C="Equity Derivatives")*(Data!$W:$W="ZAR"))&amp;")"</f>
        <v>SA equity indices (2)</v>
      </c>
      <c r="I1" s="45" t="str" cm="1">
        <f t="array" ref="I1">IF(ISNA(MATCH(1,("Equity derivatives"=Data!C:C)*("ZAR"=Data!W:W),0)),"",INDEX(Data!D:D,MATCH(1,("Equity derivatives"=Data!C:C)*("ZAR"=Data!W:W),0)))</f>
        <v>15JUN22 DCAP</v>
      </c>
      <c r="J1" s="11" t="str" cm="1">
        <f t="array" ref="J1">IF(COUNTA($I$1:I$1)&lt;COUNTIFS(Data!$C:$C,"Equity derivatives",Data!$W:$W,"ZAR"),INDEX(Data!$D:$D,MATCH(I$1,Data!$D:$D,0)+1),"")</f>
        <v>15JUN22 DCAR</v>
      </c>
      <c r="K1" s="11" t="str" cm="1">
        <f t="array" ref="K1">IF(COUNTA($I$1:J$1)&lt;COUNTIFS(Data!$C:$C,"Equity derivatives",Data!$W:$W,"ZAR"),INDEX(Data!$D:$D,MATCH(J$1,Data!$D:$D,0)+1),"")</f>
        <v/>
      </c>
      <c r="L1" s="11" t="str" cm="1">
        <f t="array" ref="L1">IF(COUNTA($I$1:K$1)&lt;COUNTIFS(Data!$C:$C,"Equity derivatives",Data!$W:$W,"ZAR"),INDEX(Data!$D:$D,MATCH(K$1,Data!$D:$D,0)+1),"")</f>
        <v/>
      </c>
      <c r="M1" s="11" t="str" cm="1">
        <f t="array" ref="M1">IF(COUNTA($I$1:L$1)&lt;COUNTIFS(Data!$C:$C,"Equity derivatives",Data!$W:$W,"ZAR"),INDEX(Data!$D:$D,MATCH(L$1,Data!$D:$D,0)+1),"")</f>
        <v/>
      </c>
      <c r="N1" s="11" t="str" cm="1">
        <f t="array" ref="N1">IF(COUNTA($I$1:M$1)&lt;COUNTIFS(Data!$C:$C,"Equity derivatives",Data!$W:$W,"ZAR"),INDEX(Data!$D:$D,MATCH(M$1,Data!$D:$D,0)+1),"")</f>
        <v/>
      </c>
      <c r="O1" s="11" t="str" cm="1">
        <f t="array" ref="O1">IF(COUNTA($I$1:N$1)&lt;COUNTIFS(Data!$C:$C,"Equity derivatives",Data!$W:$W,"ZAR"),INDEX(Data!$D:$D,MATCH(N$1,Data!$D:$D,0)+1),"")</f>
        <v/>
      </c>
      <c r="P1" s="11" t="str" cm="1">
        <f t="array" ref="P1">IF(COUNTA($I$1:O$1)&lt;COUNTIFS(Data!$C:$C,"Equity derivatives",Data!$W:$W,"ZAR"),INDEX(Data!$D:$D,MATCH(O$1,Data!$D:$D,0)+1),"")</f>
        <v/>
      </c>
      <c r="Q1" s="11" t="str" cm="1">
        <f t="array" ref="Q1">IF(COUNTA($I$1:P$1)&lt;COUNTIFS(Data!$C:$C,"Equity derivatives",Data!$W:$W,"ZAR"),INDEX(Data!$D:$D,MATCH(P$1,Data!$D:$D,0)+1),"")</f>
        <v/>
      </c>
      <c r="R1" s="11" t="str" cm="1">
        <f t="array" ref="R1">IF(COUNTA($I$1:Q$1)&lt;COUNTIFS(Data!$C:$C,"Equity derivatives",Data!$W:$W,"ZAR"),INDEX(Data!$D:$D,MATCH(Q$1,Data!$D:$D,0)+1),"")</f>
        <v/>
      </c>
      <c r="S1" s="11" t="str" cm="1">
        <f t="array" ref="S1">IF(COUNTA($I$1:R$1)&lt;COUNTIFS(Data!$C:$C,"Equity derivatives",Data!$W:$W,"ZAR"),INDEX(Data!$D:$D,MATCH(R$1,Data!$D:$D,0)+1),"")</f>
        <v/>
      </c>
      <c r="T1" s="11" t="str" cm="1">
        <f t="array" ref="T1">IF(COUNTA($I$1:S$1)&lt;COUNTIFS(Data!$C:$C,"Equity derivatives",Data!$W:$W,"ZAR"),INDEX(Data!$D:$D,MATCH(S$1,Data!$D:$D,0)+1),"")</f>
        <v/>
      </c>
      <c r="U1" s="11" t="str" cm="1">
        <f t="array" ref="U1">IF(COUNTA($I$1:T$1)&lt;COUNTIFS(Data!$C:$C,"Equity derivatives",Data!$W:$W,"ZAR"),INDEX(Data!$D:$D,MATCH(T$1,Data!$D:$D,0)+1),"")</f>
        <v/>
      </c>
      <c r="V1" s="11" t="str" cm="1">
        <f t="array" ref="V1">IF(COUNTA($I$1:U$1)&lt;COUNTIFS(Data!$C:$C,"Equity derivatives",Data!$W:$W,"ZAR"),INDEX(Data!$D:$D,MATCH(U$1,Data!$D:$D,0)+1),"")</f>
        <v/>
      </c>
      <c r="W1" s="11" t="str" cm="1">
        <f t="array" ref="W1">IF(COUNTA($I$1:V$1)&lt;COUNTIFS(Data!$C:$C,"Equity derivatives",Data!$W:$W,"ZAR"),INDEX(Data!$D:$D,MATCH(V$1,Data!$D:$D,0)+1),"")</f>
        <v/>
      </c>
      <c r="X1" s="11" t="str" cm="1">
        <f t="array" ref="X1">IF(COUNTA($I$1:W$1)&lt;COUNTIFS(Data!$C:$C,"Equity derivatives",Data!$W:$W,"ZAR"),INDEX(Data!$D:$D,MATCH(W$1,Data!$D:$D,0)+1),"")</f>
        <v/>
      </c>
      <c r="Y1" s="11" t="str" cm="1">
        <f t="array" ref="Y1">IF(COUNTA($I$1:X$1)&lt;COUNTIFS(Data!$C:$C,"Equity derivatives",Data!$W:$W,"ZAR"),INDEX(Data!$D:$D,MATCH(X$1,Data!$D:$D,0)+1),"")</f>
        <v/>
      </c>
      <c r="Z1" s="11" t="str" cm="1">
        <f t="array" ref="Z1">IF(COUNTA($I$1:Y$1)&lt;COUNTIFS(Data!$C:$C,"Equity derivatives",Data!$W:$W,"ZAR"),INDEX(Data!$D:$D,MATCH(Y$1,Data!$D:$D,0)+1),"")</f>
        <v/>
      </c>
      <c r="AA1" s="11" t="str" cm="1">
        <f t="array" ref="AA1">IF(COUNTA($I$1:Z$1)&lt;COUNTIFS(Data!$C:$C,"Equity derivatives",Data!$W:$W,"ZAR"),INDEX(Data!$D:$D,MATCH(Z$1,Data!$D:$D,0)+1),"")</f>
        <v/>
      </c>
      <c r="AB1" s="11" t="str" cm="1">
        <f t="array" ref="AB1">IF(COUNTA($I$1:AA$1)&lt;COUNTIFS(Data!$C:$C,"Equity derivatives",Data!$W:$W,"ZAR"),INDEX(Data!$D:$D,MATCH(AA$1,Data!$D:$D,0)+1),"")</f>
        <v/>
      </c>
      <c r="AC1" s="11" t="str" cm="1">
        <f t="array" ref="AC1">IF(COUNTA($I$1:AB$1)&lt;COUNTIFS(Data!$C:$C,"Equity derivatives",Data!$W:$W,"ZAR"),INDEX(Data!$D:$D,MATCH(AB$1,Data!$D:$D,0)+1),"")</f>
        <v/>
      </c>
      <c r="AD1" s="11" t="str" cm="1">
        <f t="array" ref="AD1">IF(COUNTA($I$1:AC$1)&lt;COUNTIFS(Data!$C:$C,"Equity derivatives",Data!$W:$W,"ZAR"),INDEX(Data!$D:$D,MATCH(AC$1,Data!$D:$D,0)+1),"")</f>
        <v/>
      </c>
      <c r="AE1" s="11" t="str" cm="1">
        <f t="array" ref="AE1">IF(COUNTA($I$1:AD$1)&lt;COUNTIFS(Data!$C:$C,"Equity derivatives",Data!$W:$W,"ZAR"),INDEX(Data!$D:$D,MATCH(AD$1,Data!$D:$D,0)+1),"")</f>
        <v/>
      </c>
      <c r="AF1" s="11" t="str" cm="1">
        <f t="array" ref="AF1">IF(COUNTA($I$1:AE$1)&lt;COUNTIFS(Data!$C:$C,"Equity derivatives",Data!$W:$W,"ZAR"),INDEX(Data!$D:$D,MATCH(AE$1,Data!$D:$D,0)+1),"")</f>
        <v/>
      </c>
      <c r="AG1" s="11" t="str" cm="1">
        <f t="array" ref="AG1">IF(COUNTA($I$1:AF$1)&lt;COUNTIFS(Data!$C:$C,"Equity derivatives",Data!$W:$W,"ZAR"),INDEX(Data!$D:$D,MATCH(AF$1,Data!$D:$D,0)+1),"")</f>
        <v/>
      </c>
      <c r="AH1" s="11" t="str" cm="1">
        <f t="array" ref="AH1">IF(COUNTA($I$1:AG$1)&lt;COUNTIFS(Data!$C:$C,"Equity derivatives",Data!$W:$W,"ZAR"),INDEX(Data!$D:$D,MATCH(AG$1,Data!$D:$D,0)+1),"")</f>
        <v/>
      </c>
      <c r="AI1" s="11" t="str" cm="1">
        <f t="array" ref="AI1">IF(COUNTA($I$1:AH$1)&lt;COUNTIFS(Data!$C:$C,"Equity derivatives",Data!$W:$W,"ZAR"),INDEX(Data!$D:$D,MATCH(AH$1,Data!$D:$D,0)+1),"")</f>
        <v/>
      </c>
      <c r="AJ1" s="11" t="str" cm="1">
        <f t="array" ref="AJ1">IF(COUNTA($I$1:AI$1)&lt;COUNTIFS(Data!$C:$C,"Equity derivatives",Data!$W:$W,"ZAR"),INDEX(Data!$D:$D,MATCH(AI$1,Data!$D:$D,0)+1),"")</f>
        <v/>
      </c>
      <c r="AK1" s="11" t="str" cm="1">
        <f t="array" ref="AK1">IF(COUNTA($I$1:AJ$1)&lt;COUNTIFS(Data!$C:$C,"Equity derivatives",Data!$W:$W,"ZAR"),INDEX(Data!$D:$D,MATCH(AJ$1,Data!$D:$D,0)+1),"")</f>
        <v/>
      </c>
      <c r="AL1" s="11" t="str" cm="1">
        <f t="array" ref="AL1">IF(COUNTA($I$1:AK$1)&lt;COUNTIFS(Data!$C:$C,"Equity derivatives",Data!$W:$W,"ZAR"),INDEX(Data!$D:$D,MATCH(AK$1,Data!$D:$D,0)+1),"")</f>
        <v/>
      </c>
      <c r="AM1" s="11" t="str" cm="1">
        <f t="array" ref="AM1">IF(COUNTA($I$1:AL$1)&lt;COUNTIFS(Data!$C:$C,"Equity derivatives",Data!$W:$W,"ZAR"),INDEX(Data!$D:$D,MATCH(AL$1,Data!$D:$D,0)+1),"")</f>
        <v/>
      </c>
      <c r="AN1" s="11" t="str" cm="1">
        <f t="array" ref="AN1">IF(COUNTA($I$1:AM$1)&lt;COUNTIFS(Data!$C:$C,"Equity derivatives",Data!$W:$W,"ZAR"),INDEX(Data!$D:$D,MATCH(AM$1,Data!$D:$D,0)+1),"")</f>
        <v/>
      </c>
      <c r="AO1" s="11" t="str" cm="1">
        <f t="array" ref="AO1">IF(COUNTA($I$1:AN$1)&lt;COUNTIFS(Data!$C:$C,"Equity derivatives",Data!$W:$W,"ZAR"),INDEX(Data!$D:$D,MATCH(AN$1,Data!$D:$D,0)+1),"")</f>
        <v/>
      </c>
      <c r="AP1" s="11" t="str" cm="1">
        <f t="array" ref="AP1">IF(COUNTA($I$1:AO$1)&lt;COUNTIFS(Data!$C:$C,"Equity derivatives",Data!$W:$W,"ZAR"),INDEX(Data!$D:$D,MATCH(AO$1,Data!$D:$D,0)+1),"")</f>
        <v/>
      </c>
      <c r="AQ1" s="11" t="str" cm="1">
        <f t="array" ref="AQ1">IF(COUNTA($I$1:AP$1)&lt;COUNTIFS(Data!$C:$C,"Equity derivatives",Data!$W:$W,"ZAR"),INDEX(Data!$D:$D,MATCH(AP$1,Data!$D:$D,0)+1),"")</f>
        <v/>
      </c>
      <c r="AR1" s="11" t="str" cm="1">
        <f t="array" ref="AR1">IF(COUNTA($I$1:AQ$1)&lt;COUNTIFS(Data!$C:$C,"Equity derivatives",Data!$W:$W,"ZAR"),INDEX(Data!$D:$D,MATCH(AQ$1,Data!$D:$D,0)+1),"")</f>
        <v/>
      </c>
      <c r="AS1" s="11" t="str" cm="1">
        <f t="array" ref="AS1">IF(COUNTA($I$1:AR$1)&lt;COUNTIFS(Data!$C:$C,"Equity derivatives",Data!$W:$W,"ZAR"),INDEX(Data!$D:$D,MATCH(AR$1,Data!$D:$D,0)+1),"")</f>
        <v/>
      </c>
      <c r="AT1" s="11" t="str" cm="1">
        <f t="array" ref="AT1">IF(COUNTA($I$1:AS$1)&lt;COUNTIFS(Data!$C:$C,"Equity derivatives",Data!$W:$W,"ZAR"),INDEX(Data!$D:$D,MATCH(AS$1,Data!$D:$D,0)+1),"")</f>
        <v/>
      </c>
      <c r="AU1" s="11" t="str" cm="1">
        <f t="array" ref="AU1">IF(COUNTA($I$1:AT$1)&lt;COUNTIFS(Data!$C:$C,"Equity derivatives",Data!$W:$W,"ZAR"),INDEX(Data!$D:$D,MATCH(AT$1,Data!$D:$D,0)+1),"")</f>
        <v/>
      </c>
      <c r="AV1" s="11" t="str" cm="1">
        <f t="array" ref="AV1">IF(COUNTA($I$1:AU$1)&lt;COUNTIFS(Data!$C:$C,"Equity derivatives",Data!$W:$W,"ZAR"),INDEX(Data!$D:$D,MATCH(AU$1,Data!$D:$D,0)+1),"")</f>
        <v/>
      </c>
      <c r="AW1" s="11" t="str" cm="1">
        <f t="array" ref="AW1">IF(COUNTA($I$1:AV$1)&lt;COUNTIFS(Data!$C:$C,"Equity derivatives",Data!$W:$W,"ZAR"),INDEX(Data!$D:$D,MATCH(AV$1,Data!$D:$D,0)+1),"")</f>
        <v/>
      </c>
      <c r="AX1" s="11" t="str" cm="1">
        <f t="array" ref="AX1">IF(COUNTA($I$1:AW$1)&lt;COUNTIFS(Data!$C:$C,"Equity derivatives",Data!$W:$W,"ZAR"),INDEX(Data!$D:$D,MATCH(AW$1,Data!$D:$D,0)+1),"")</f>
        <v/>
      </c>
      <c r="AY1" s="11" t="str" cm="1">
        <f t="array" ref="AY1">IF(COUNTA($I$1:AX$1)&lt;COUNTIFS(Data!$C:$C,"Equity derivatives",Data!$W:$W,"ZAR"),INDEX(Data!$D:$D,MATCH(AX$1,Data!$D:$D,0)+1),"")</f>
        <v/>
      </c>
      <c r="AZ1" s="11" t="str" cm="1">
        <f t="array" ref="AZ1">IF(COUNTA($I$1:AY$1)&lt;COUNTIFS(Data!$C:$C,"Equity derivatives",Data!$W:$W,"ZAR"),INDEX(Data!$D:$D,MATCH(AY$1,Data!$D:$D,0)+1),"")</f>
        <v/>
      </c>
      <c r="BA1" s="11" t="str" cm="1">
        <f t="array" ref="BA1">IF(COUNTA($I$1:AZ$1)&lt;COUNTIFS(Data!$C:$C,"Equity derivatives",Data!$W:$W,"ZAR"),INDEX(Data!$D:$D,MATCH(AZ$1,Data!$D:$D,0)+1),"")</f>
        <v/>
      </c>
      <c r="BB1" s="11" t="str" cm="1">
        <f t="array" ref="BB1">IF(COUNTA($I$1:BA$1)&lt;COUNTIFS(Data!$C:$C,"Equity derivatives",Data!$W:$W,"ZAR"),INDEX(Data!$D:$D,MATCH(BA$1,Data!$D:$D,0)+1),"")</f>
        <v/>
      </c>
      <c r="BC1" s="11" t="str" cm="1">
        <f t="array" ref="BC1">IF(COUNTA($I$1:BB$1)&lt;COUNTIFS(Data!$C:$C,"Equity derivatives",Data!$W:$W,"ZAR"),INDEX(Data!$D:$D,MATCH(BB$1,Data!$D:$D,0)+1),"")</f>
        <v/>
      </c>
      <c r="BD1" s="11" t="str" cm="1">
        <f t="array" ref="BD1">IF(COUNTA($I$1:BC$1)&lt;COUNTIFS(Data!$C:$C,"Equity derivatives",Data!$W:$W,"ZAR"),INDEX(Data!$D:$D,MATCH(BC$1,Data!$D:$D,0)+1),"")</f>
        <v/>
      </c>
      <c r="BE1" s="11" t="str" cm="1">
        <f t="array" ref="BE1">IF(COUNTA($I$1:BD$1)&lt;COUNTIFS(Data!$C:$C,"Equity derivatives",Data!$W:$W,"ZAR"),INDEX(Data!$D:$D,MATCH(BD$1,Data!$D:$D,0)+1),"")</f>
        <v/>
      </c>
      <c r="BF1" s="11" t="str" cm="1">
        <f t="array" ref="BF1">IF(COUNTA($I$1:BE$1)&lt;COUNTIFS(Data!$C:$C,"Equity derivatives",Data!$W:$W,"ZAR"),INDEX(Data!$D:$D,MATCH(BE$1,Data!$D:$D,0)+1),"")</f>
        <v/>
      </c>
      <c r="BG1" s="11" t="str" cm="1">
        <f t="array" ref="BG1">IF(COUNTA($I$1:BF$1)&lt;COUNTIFS(Data!$C:$C,"Equity derivatives",Data!$W:$W,"ZAR"),INDEX(Data!$D:$D,MATCH(BF$1,Data!$D:$D,0)+1),"")</f>
        <v/>
      </c>
      <c r="BH1" s="12" t="str" cm="1">
        <f t="array" ref="BH1">IF(COUNTA($I$1:BG$1)&lt;COUNTIFS(Data!$C:$C,"Equity derivatives",Data!$W:$W,"ZAR"),INDEX(Data!$D:$D,MATCH(BG$1,Data!$D:$D,0)+1),"")</f>
        <v/>
      </c>
    </row>
    <row r="2" spans="1:119" x14ac:dyDescent="0.3">
      <c r="A2" s="119" t="str">
        <f>HYPERLINK("https://pimportalprod2015.eagleaccess.com/Default.aspx","Derivative Cover "&amp;TEXT(Data!$AJ$2,"dddd d mmmm yyyy"))</f>
        <v>Derivative Cover Wednesday 6 April 2022</v>
      </c>
      <c r="B2" s="120" t="s">
        <v>63</v>
      </c>
      <c r="C2" s="120" t="s">
        <v>64</v>
      </c>
      <c r="D2" s="69"/>
      <c r="F2" s="15" t="s">
        <v>68</v>
      </c>
      <c r="G2" s="173" t="str" cm="1">
        <f t="array" aca="1" ref="G2" ca="1">CELL("filename")</f>
        <v>\\pim-cpt-fs\profile$\PProfile Operations\Legal\Legal and Compliance Framework\Hilton\W\[Derv.xlsm]k</v>
      </c>
      <c r="H2" s="178">
        <f>IF(ISNA(SUM(I2:BH2)),0,SUM(I2:BH2))</f>
        <v>0.13466470706437383</v>
      </c>
      <c r="I2" s="16">
        <f>IF(I$1="","",INDEX(Data!$AH:$AH,MATCH(I$1,Data!$D:$D,0))/$B$4)</f>
        <v>7.4538128821625069E-2</v>
      </c>
      <c r="J2" s="17">
        <f>IF(J$1="","",INDEX(Data!$AH:$AH,MATCH(J$1,Data!$D:$D,0))/$B$4)</f>
        <v>6.0126578242748752E-2</v>
      </c>
      <c r="K2" s="17" t="str">
        <f>IF(K$1="","",INDEX(Data!$AH:$AH,MATCH(K$1,Data!$D:$D,0))/$B$4)</f>
        <v/>
      </c>
      <c r="L2" s="17" t="str">
        <f>IF(L$1="","",INDEX(Data!$AH:$AH,MATCH(L$1,Data!$D:$D,0))/$B$4)</f>
        <v/>
      </c>
      <c r="M2" s="17" t="str">
        <f>IF(M$1="","",INDEX(Data!$AH:$AH,MATCH(M$1,Data!$D:$D,0))/$B$4)</f>
        <v/>
      </c>
      <c r="N2" s="17" t="str">
        <f>IF(N$1="","",INDEX(Data!$AH:$AH,MATCH(N$1,Data!$D:$D,0))/$B$4)</f>
        <v/>
      </c>
      <c r="O2" s="17" t="str">
        <f>IF(O$1="","",INDEX(Data!$AH:$AH,MATCH(O$1,Data!$D:$D,0))/$B$4)</f>
        <v/>
      </c>
      <c r="P2" s="17" t="str">
        <f>IF(P$1="","",INDEX(Data!$AH:$AH,MATCH(P$1,Data!$D:$D,0))/$B$4)</f>
        <v/>
      </c>
      <c r="Q2" s="17" t="str">
        <f>IF(Q$1="","",INDEX(Data!$AH:$AH,MATCH(Q$1,Data!$D:$D,0))/$B$4)</f>
        <v/>
      </c>
      <c r="R2" s="17" t="str">
        <f>IF(R$1="","",INDEX(Data!$AH:$AH,MATCH(R$1,Data!$D:$D,0))/$B$4)</f>
        <v/>
      </c>
      <c r="S2" s="17" t="str">
        <f>IF(S$1="","",INDEX(Data!$AH:$AH,MATCH(S$1,Data!$D:$D,0))/$B$4)</f>
        <v/>
      </c>
      <c r="T2" s="17" t="str">
        <f>IF(T$1="","",INDEX(Data!$AH:$AH,MATCH(T$1,Data!$D:$D,0))/$B$4)</f>
        <v/>
      </c>
      <c r="U2" s="17" t="str">
        <f>IF(U$1="","",INDEX(Data!$AH:$AH,MATCH(U$1,Data!$D:$D,0))/$B$4)</f>
        <v/>
      </c>
      <c r="V2" s="17" t="str">
        <f>IF(V$1="","",INDEX(Data!$AH:$AH,MATCH(V$1,Data!$D:$D,0))/$B$4)</f>
        <v/>
      </c>
      <c r="W2" s="17" t="str">
        <f>IF(W$1="","",INDEX(Data!$AH:$AH,MATCH(W$1,Data!$D:$D,0))/$B$4)</f>
        <v/>
      </c>
      <c r="X2" s="17" t="str">
        <f>IF(X$1="","",INDEX(Data!$AH:$AH,MATCH(X$1,Data!$D:$D,0))/$B$4)</f>
        <v/>
      </c>
      <c r="Y2" s="17" t="str">
        <f>IF(Y$1="","",INDEX(Data!$AH:$AH,MATCH(Y$1,Data!$D:$D,0))/$B$4)</f>
        <v/>
      </c>
      <c r="Z2" s="17" t="str">
        <f>IF(Z$1="","",INDEX(Data!$AH:$AH,MATCH(Z$1,Data!$D:$D,0))/$B$4)</f>
        <v/>
      </c>
      <c r="AA2" s="17" t="str">
        <f>IF(AA$1="","",INDEX(Data!$AH:$AH,MATCH(AA$1,Data!$D:$D,0))/$B$4)</f>
        <v/>
      </c>
      <c r="AB2" s="17" t="str">
        <f>IF(AB$1="","",INDEX(Data!$AH:$AH,MATCH(AB$1,Data!$D:$D,0))/$B$4)</f>
        <v/>
      </c>
      <c r="AC2" s="17" t="str">
        <f>IF(AC$1="","",INDEX(Data!$AH:$AH,MATCH(AC$1,Data!$D:$D,0))/$B$4)</f>
        <v/>
      </c>
      <c r="AD2" s="17" t="str">
        <f>IF(AD$1="","",INDEX(Data!$AH:$AH,MATCH(AD$1,Data!$D:$D,0))/$B$4)</f>
        <v/>
      </c>
      <c r="AE2" s="17" t="str">
        <f>IF(AE$1="","",INDEX(Data!$AH:$AH,MATCH(AE$1,Data!$D:$D,0))/$B$4)</f>
        <v/>
      </c>
      <c r="AF2" s="17" t="str">
        <f>IF(AF$1="","",INDEX(Data!$AH:$AH,MATCH(AF$1,Data!$D:$D,0))/$B$4)</f>
        <v/>
      </c>
      <c r="AG2" s="17" t="str">
        <f>IF(AG$1="","",INDEX(Data!$AH:$AH,MATCH(AG$1,Data!$D:$D,0))/$B$4)</f>
        <v/>
      </c>
      <c r="AH2" s="17" t="str">
        <f>IF(AH$1="","",INDEX(Data!$AH:$AH,MATCH(AH$1,Data!$D:$D,0))/$B$4)</f>
        <v/>
      </c>
      <c r="AI2" s="17" t="str">
        <f>IF(AI$1="","",INDEX(Data!$AH:$AH,MATCH(AI$1,Data!$D:$D,0))/$B$4)</f>
        <v/>
      </c>
      <c r="AJ2" s="17" t="str">
        <f>IF(AJ$1="","",INDEX(Data!$AH:$AH,MATCH(AJ$1,Data!$D:$D,0))/$B$4)</f>
        <v/>
      </c>
      <c r="AK2" s="17" t="str">
        <f>IF(AK$1="","",INDEX(Data!$AH:$AH,MATCH(AK$1,Data!$D:$D,0))/$B$4)</f>
        <v/>
      </c>
      <c r="AL2" s="17" t="str">
        <f>IF(AL$1="","",INDEX(Data!$AH:$AH,MATCH(AL$1,Data!$D:$D,0))/$B$4)</f>
        <v/>
      </c>
      <c r="AM2" s="17" t="str">
        <f>IF(AM$1="","",INDEX(Data!$AH:$AH,MATCH(AM$1,Data!$D:$D,0))/$B$4)</f>
        <v/>
      </c>
      <c r="AN2" s="17" t="str">
        <f>IF(AN$1="","",INDEX(Data!$AH:$AH,MATCH(AN$1,Data!$D:$D,0))/$B$4)</f>
        <v/>
      </c>
      <c r="AO2" s="17" t="str">
        <f>IF(AO$1="","",INDEX(Data!$AH:$AH,MATCH(AO$1,Data!$D:$D,0))/$B$4)</f>
        <v/>
      </c>
      <c r="AP2" s="17" t="str">
        <f>IF(AP$1="","",INDEX(Data!$AH:$AH,MATCH(AP$1,Data!$D:$D,0))/$B$4)</f>
        <v/>
      </c>
      <c r="AQ2" s="17" t="str">
        <f>IF(AQ$1="","",INDEX(Data!$AH:$AH,MATCH(AQ$1,Data!$D:$D,0))/$B$4)</f>
        <v/>
      </c>
      <c r="AR2" s="17" t="str">
        <f>IF(AR$1="","",INDEX(Data!$AH:$AH,MATCH(AR$1,Data!$D:$D,0))/$B$4)</f>
        <v/>
      </c>
      <c r="AS2" s="17" t="str">
        <f>IF(AS$1="","",INDEX(Data!$AH:$AH,MATCH(AS$1,Data!$D:$D,0))/$B$4)</f>
        <v/>
      </c>
      <c r="AT2" s="17" t="str">
        <f>IF(AT$1="","",INDEX(Data!$AH:$AH,MATCH(AT$1,Data!$D:$D,0))/$B$4)</f>
        <v/>
      </c>
      <c r="AU2" s="17" t="str">
        <f>IF(AU$1="","",INDEX(Data!$AH:$AH,MATCH(AU$1,Data!$D:$D,0))/$B$4)</f>
        <v/>
      </c>
      <c r="AV2" s="17" t="str">
        <f>IF(AV$1="","",INDEX(Data!$AH:$AH,MATCH(AV$1,Data!$D:$D,0))/$B$4)</f>
        <v/>
      </c>
      <c r="AW2" s="17" t="str">
        <f>IF(AW$1="","",INDEX(Data!$AH:$AH,MATCH(AW$1,Data!$D:$D,0))/$B$4)</f>
        <v/>
      </c>
      <c r="AX2" s="17" t="str">
        <f>IF(AX$1="","",INDEX(Data!$AH:$AH,MATCH(AX$1,Data!$D:$D,0))/$B$4)</f>
        <v/>
      </c>
      <c r="AY2" s="17" t="str">
        <f>IF(AY$1="","",INDEX(Data!$AH:$AH,MATCH(AY$1,Data!$D:$D,0))/$B$4)</f>
        <v/>
      </c>
      <c r="AZ2" s="17" t="str">
        <f>IF(AZ$1="","",INDEX(Data!$AH:$AH,MATCH(AZ$1,Data!$D:$D,0))/$B$4)</f>
        <v/>
      </c>
      <c r="BA2" s="17" t="str">
        <f>IF(BA$1="","",INDEX(Data!$AH:$AH,MATCH(BA$1,Data!$D:$D,0))/$B$4)</f>
        <v/>
      </c>
      <c r="BB2" s="17" t="str">
        <f>IF(BB$1="","",INDEX(Data!$AH:$AH,MATCH(BB$1,Data!$D:$D,0))/$B$4)</f>
        <v/>
      </c>
      <c r="BC2" s="17" t="str">
        <f>IF(BC$1="","",INDEX(Data!$AH:$AH,MATCH(BC$1,Data!$D:$D,0))/$B$4)</f>
        <v/>
      </c>
      <c r="BD2" s="17" t="str">
        <f>IF(BD$1="","",INDEX(Data!$AH:$AH,MATCH(BD$1,Data!$D:$D,0))/$B$4)</f>
        <v/>
      </c>
      <c r="BE2" s="17" t="str">
        <f>IF(BE$1="","",INDEX(Data!$AH:$AH,MATCH(BE$1,Data!$D:$D,0))/$B$4)</f>
        <v/>
      </c>
      <c r="BF2" s="17" t="str">
        <f>IF(BF$1="","",INDEX(Data!$AH:$AH,MATCH(BF$1,Data!$D:$D,0))/$B$4)</f>
        <v/>
      </c>
      <c r="BG2" s="17" t="str">
        <f>IF(BG$1="","",INDEX(Data!$AH:$AH,MATCH(BG$1,Data!$D:$D,0))/$B$4)</f>
        <v/>
      </c>
      <c r="BH2" s="18" t="str">
        <f>IF(BH$1="","",INDEX(Data!$AH:$AH,MATCH(BH$1,Data!$D:$D,0))/$B$4)</f>
        <v/>
      </c>
    </row>
    <row r="3" spans="1:119" x14ac:dyDescent="0.3">
      <c r="A3" s="19" t="s">
        <v>10910</v>
      </c>
      <c r="D3" s="69"/>
      <c r="E3" s="20">
        <v>0</v>
      </c>
      <c r="F3" s="21" t="s">
        <v>70</v>
      </c>
      <c r="G3" s="174" t="str">
        <f>_xlfn.XLOOKUP(Data!AK$2,[77]Funds!$A:$A,[77]Funds!$E:$E)</f>
        <v>≠ UT</v>
      </c>
      <c r="H3" s="178"/>
      <c r="I3" s="23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5"/>
    </row>
    <row r="4" spans="1:119" ht="16.5" thickBot="1" x14ac:dyDescent="0.35">
      <c r="A4" s="64" t="s">
        <v>66</v>
      </c>
      <c r="B4" s="121">
        <f>SUM(Data!$L:$L)</f>
        <v>175481464.41000009</v>
      </c>
      <c r="C4" s="68">
        <f>SUM(Data!$N:$N)/100</f>
        <v>0.99999999999999944</v>
      </c>
      <c r="E4" s="37">
        <f>IF(ISNA(MATCH($G4,Data!$E:$E,0)),0,_xlfn.XLOOKUP($G4,Data!$E:$E,Data!$AI:$AI))+IF(ISNA(MATCH(186,Data!$E:$E,0)),0,_xlfn.XLOOKUP(186,Data!$E:$E,Data!$AI:$AI))</f>
        <v>0</v>
      </c>
      <c r="F4" s="21" t="s">
        <v>72</v>
      </c>
      <c r="G4" s="203" t="s">
        <v>10946</v>
      </c>
      <c r="H4" s="179" t="str" cm="1">
        <f t="array" ref="H4">"World equity indices ("&amp;SUMPRODUCT((Data!$C:$C="Equity Derivatives")*(Data!$W:$W&lt;&gt;"ZAR"))&amp;")"</f>
        <v>World equity indices (0)</v>
      </c>
      <c r="I4" s="181" t="str" cm="1">
        <f t="array" ref="I4">IF(ISNA(MATCH(1,("Equity derivatives"=Data!C:C)*("ZAR"&lt;&gt;Data!W:W),0)),"",INDEX(Data!D:D,MATCH(1,("Equity derivatives"=Data!C:C)*("ZAR"&lt;&gt;Data!W:W),0)))</f>
        <v/>
      </c>
      <c r="J4" s="29" t="str" cm="1">
        <f t="array" ref="J4">IF(COUNTA($I$4:I$4)&lt;COUNTIFS(Data!$C:$C,"Equity derivatives",Data!$W:$W,"&lt;&gt;ZAR"),INDEX(Data!$D:$D,MATCH(I$4,Data!$D:$D,0)+1),"")</f>
        <v/>
      </c>
      <c r="K4" s="29" t="str" cm="1">
        <f t="array" ref="K4">IF(COUNTA($I$4:J$4)&lt;COUNTIFS(Data!$C:$C,"Equity derivatives",Data!$W:$W,"&lt;&gt;ZAR"),INDEX(Data!$D:$D,MATCH(J$4,Data!$D:$D,0)+1),"")</f>
        <v/>
      </c>
      <c r="L4" s="29" t="str" cm="1">
        <f t="array" ref="L4">IF(COUNTA($I$4:K$4)&lt;COUNTIFS(Data!$C:$C,"Equity derivatives",Data!$W:$W,"&lt;&gt;ZAR"),INDEX(Data!$D:$D,MATCH(K$4,Data!$D:$D,0)+1),"")</f>
        <v/>
      </c>
      <c r="M4" s="29" t="str" cm="1">
        <f t="array" ref="M4">IF(COUNTA($I$4:L$4)&lt;COUNTIFS(Data!$C:$C,"Equity derivatives",Data!$W:$W,"&lt;&gt;ZAR"),INDEX(Data!$D:$D,MATCH(L$4,Data!$D:$D,0)+1),"")</f>
        <v/>
      </c>
      <c r="N4" s="29" t="str" cm="1">
        <f t="array" ref="N4">IF(COUNTA($I$4:M$4)&lt;COUNTIFS(Data!$C:$C,"Equity derivatives",Data!$W:$W,"&lt;&gt;ZAR"),INDEX(Data!$D:$D,MATCH(M$4,Data!$D:$D,0)+1),"")</f>
        <v/>
      </c>
      <c r="O4" s="29" t="str" cm="1">
        <f t="array" ref="O4">IF(COUNTA($I$4:N$4)&lt;COUNTIFS(Data!$C:$C,"Equity derivatives",Data!$W:$W,"&lt;&gt;ZAR"),INDEX(Data!$D:$D,MATCH(N$4,Data!$D:$D,0)+1),"")</f>
        <v/>
      </c>
      <c r="P4" s="29" t="str" cm="1">
        <f t="array" ref="P4">IF(COUNTA($I$4:O$4)&lt;COUNTIFS(Data!$C:$C,"Equity derivatives",Data!$W:$W,"&lt;&gt;ZAR"),INDEX(Data!$D:$D,MATCH(O$4,Data!$D:$D,0)+1),"")</f>
        <v/>
      </c>
      <c r="Q4" s="29" t="str" cm="1">
        <f t="array" ref="Q4">IF(COUNTA($I$4:P$4)&lt;COUNTIFS(Data!$C:$C,"Equity derivatives",Data!$W:$W,"&lt;&gt;ZAR"),INDEX(Data!$D:$D,MATCH(P$4,Data!$D:$D,0)+1),"")</f>
        <v/>
      </c>
      <c r="R4" s="29" t="str" cm="1">
        <f t="array" ref="R4">IF(COUNTA($I$4:Q$4)&lt;COUNTIFS(Data!$C:$C,"Equity derivatives",Data!$W:$W,"&lt;&gt;ZAR"),INDEX(Data!$D:$D,MATCH(Q$4,Data!$D:$D,0)+1),"")</f>
        <v/>
      </c>
      <c r="S4" s="29" t="str" cm="1">
        <f t="array" ref="S4">IF(COUNTA($I$4:R$4)&lt;COUNTIFS(Data!$C:$C,"Equity derivatives",Data!$W:$W,"&lt;&gt;ZAR"),INDEX(Data!$D:$D,MATCH(R$4,Data!$D:$D,0)+1),"")</f>
        <v/>
      </c>
      <c r="T4" s="29" t="str" cm="1">
        <f t="array" ref="T4">IF(COUNTA($I$4:S$4)&lt;COUNTIFS(Data!$C:$C,"Equity derivatives",Data!$W:$W,"&lt;&gt;ZAR"),INDEX(Data!$D:$D,MATCH(S$4,Data!$D:$D,0)+1),"")</f>
        <v/>
      </c>
      <c r="U4" s="29" t="str" cm="1">
        <f t="array" ref="U4">IF(COUNTA($I$4:T$4)&lt;COUNTIFS(Data!$C:$C,"Equity derivatives",Data!$W:$W,"&lt;&gt;ZAR"),INDEX(Data!$D:$D,MATCH(T$4,Data!$D:$D,0)+1),"")</f>
        <v/>
      </c>
      <c r="V4" s="29" t="str" cm="1">
        <f t="array" ref="V4">IF(COUNTA($I$4:U$4)&lt;COUNTIFS(Data!$C:$C,"Equity derivatives",Data!$W:$W,"&lt;&gt;ZAR"),INDEX(Data!$D:$D,MATCH(U$4,Data!$D:$D,0)+1),"")</f>
        <v/>
      </c>
      <c r="W4" s="29" t="str" cm="1">
        <f t="array" ref="W4">IF(COUNTA($I$4:V$4)&lt;COUNTIFS(Data!$C:$C,"Equity derivatives",Data!$W:$W,"&lt;&gt;ZAR"),INDEX(Data!$D:$D,MATCH(V$4,Data!$D:$D,0)+1),"")</f>
        <v/>
      </c>
      <c r="X4" s="29" t="str" cm="1">
        <f t="array" ref="X4">IF(COUNTA($I$4:W$4)&lt;COUNTIFS(Data!$C:$C,"Equity derivatives",Data!$W:$W,"&lt;&gt;ZAR"),INDEX(Data!$D:$D,MATCH(W$4,Data!$D:$D,0)+1),"")</f>
        <v/>
      </c>
      <c r="Y4" s="29" t="str" cm="1">
        <f t="array" ref="Y4">IF(COUNTA($I$4:X$4)&lt;COUNTIFS(Data!$C:$C,"Equity derivatives",Data!$W:$W,"&lt;&gt;ZAR"),INDEX(Data!$D:$D,MATCH(X$4,Data!$D:$D,0)+1),"")</f>
        <v/>
      </c>
      <c r="Z4" s="29" t="str" cm="1">
        <f t="array" ref="Z4">IF(COUNTA($I$4:Y$4)&lt;COUNTIFS(Data!$C:$C,"Equity derivatives",Data!$W:$W,"&lt;&gt;ZAR"),INDEX(Data!$D:$D,MATCH(Y$4,Data!$D:$D,0)+1),"")</f>
        <v/>
      </c>
      <c r="AA4" s="29" t="str" cm="1">
        <f t="array" ref="AA4">IF(COUNTA($I$4:Z$4)&lt;COUNTIFS(Data!$C:$C,"Equity derivatives",Data!$W:$W,"&lt;&gt;ZAR"),INDEX(Data!$D:$D,MATCH(Z$4,Data!$D:$D,0)+1),"")</f>
        <v/>
      </c>
      <c r="AB4" s="29" t="str" cm="1">
        <f t="array" ref="AB4">IF(COUNTA($I$4:AA$4)&lt;COUNTIFS(Data!$C:$C,"Equity derivatives",Data!$W:$W,"&lt;&gt;ZAR"),INDEX(Data!$D:$D,MATCH(AA$4,Data!$D:$D,0)+1),"")</f>
        <v/>
      </c>
      <c r="AC4" s="29" t="str" cm="1">
        <f t="array" ref="AC4">IF(COUNTA($I$4:AB$4)&lt;COUNTIFS(Data!$C:$C,"Equity derivatives",Data!$W:$W,"&lt;&gt;ZAR"),INDEX(Data!$D:$D,MATCH(AB$4,Data!$D:$D,0)+1),"")</f>
        <v/>
      </c>
      <c r="AD4" s="29" t="str" cm="1">
        <f t="array" ref="AD4">IF(COUNTA($I$4:AC$4)&lt;COUNTIFS(Data!$C:$C,"Equity derivatives",Data!$W:$W,"&lt;&gt;ZAR"),INDEX(Data!$D:$D,MATCH(AC$4,Data!$D:$D,0)+1),"")</f>
        <v/>
      </c>
      <c r="AE4" s="29" t="str" cm="1">
        <f t="array" ref="AE4">IF(COUNTA($I$4:AD$4)&lt;COUNTIFS(Data!$C:$C,"Equity derivatives",Data!$W:$W,"&lt;&gt;ZAR"),INDEX(Data!$D:$D,MATCH(AD$4,Data!$D:$D,0)+1),"")</f>
        <v/>
      </c>
      <c r="AF4" s="29" t="str" cm="1">
        <f t="array" ref="AF4">IF(COUNTA($I$4:AE$4)&lt;COUNTIFS(Data!$C:$C,"Equity derivatives",Data!$W:$W,"&lt;&gt;ZAR"),INDEX(Data!$D:$D,MATCH(AE$4,Data!$D:$D,0)+1),"")</f>
        <v/>
      </c>
      <c r="AG4" s="29" t="str" cm="1">
        <f t="array" ref="AG4">IF(COUNTA($I$4:AF$4)&lt;COUNTIFS(Data!$C:$C,"Equity derivatives",Data!$W:$W,"&lt;&gt;ZAR"),INDEX(Data!$D:$D,MATCH(AF$4,Data!$D:$D,0)+1),"")</f>
        <v/>
      </c>
      <c r="AH4" s="29" t="str" cm="1">
        <f t="array" ref="AH4">IF(COUNTA($I$4:AG$4)&lt;COUNTIFS(Data!$C:$C,"Equity derivatives",Data!$W:$W,"&lt;&gt;ZAR"),INDEX(Data!$D:$D,MATCH(AG$4,Data!$D:$D,0)+1),"")</f>
        <v/>
      </c>
      <c r="AI4" s="29" t="str" cm="1">
        <f t="array" ref="AI4">IF(COUNTA($I$4:AH$4)&lt;COUNTIFS(Data!$C:$C,"Equity derivatives",Data!$W:$W,"&lt;&gt;ZAR"),INDEX(Data!$D:$D,MATCH(AH$4,Data!$D:$D,0)+1),"")</f>
        <v/>
      </c>
      <c r="AJ4" s="29" t="str" cm="1">
        <f t="array" ref="AJ4">IF(COUNTA($I$4:AI$4)&lt;COUNTIFS(Data!$C:$C,"Equity derivatives",Data!$W:$W,"&lt;&gt;ZAR"),INDEX(Data!$D:$D,MATCH(AI$4,Data!$D:$D,0)+1),"")</f>
        <v/>
      </c>
      <c r="AK4" s="29" t="str" cm="1">
        <f t="array" ref="AK4">IF(COUNTA($I$4:AJ$4)&lt;COUNTIFS(Data!$C:$C,"Equity derivatives",Data!$W:$W,"&lt;&gt;ZAR"),INDEX(Data!$D:$D,MATCH(AJ$4,Data!$D:$D,0)+1),"")</f>
        <v/>
      </c>
      <c r="AL4" s="29" t="str" cm="1">
        <f t="array" ref="AL4">IF(COUNTA($I$4:AK$4)&lt;COUNTIFS(Data!$C:$C,"Equity derivatives",Data!$W:$W,"&lt;&gt;ZAR"),INDEX(Data!$D:$D,MATCH(AK$4,Data!$D:$D,0)+1),"")</f>
        <v/>
      </c>
      <c r="AM4" s="29" t="str" cm="1">
        <f t="array" ref="AM4">IF(COUNTA($I$4:AL$4)&lt;COUNTIFS(Data!$C:$C,"Equity derivatives",Data!$W:$W,"&lt;&gt;ZAR"),INDEX(Data!$D:$D,MATCH(AL$4,Data!$D:$D,0)+1),"")</f>
        <v/>
      </c>
      <c r="AN4" s="29" t="str" cm="1">
        <f t="array" ref="AN4">IF(COUNTA($I$4:AM$4)&lt;COUNTIFS(Data!$C:$C,"Equity derivatives",Data!$W:$W,"&lt;&gt;ZAR"),INDEX(Data!$D:$D,MATCH(AM$4,Data!$D:$D,0)+1),"")</f>
        <v/>
      </c>
      <c r="AO4" s="29" t="str" cm="1">
        <f t="array" ref="AO4">IF(COUNTA($I$4:AN$4)&lt;COUNTIFS(Data!$C:$C,"Equity derivatives",Data!$W:$W,"&lt;&gt;ZAR"),INDEX(Data!$D:$D,MATCH(AN$4,Data!$D:$D,0)+1),"")</f>
        <v/>
      </c>
      <c r="AP4" s="29" t="str" cm="1">
        <f t="array" ref="AP4">IF(COUNTA($I$4:AO$4)&lt;COUNTIFS(Data!$C:$C,"Equity derivatives",Data!$W:$W,"&lt;&gt;ZAR"),INDEX(Data!$D:$D,MATCH(AO$4,Data!$D:$D,0)+1),"")</f>
        <v/>
      </c>
      <c r="AQ4" s="29" t="str" cm="1">
        <f t="array" ref="AQ4">IF(COUNTA($I$4:AP$4)&lt;COUNTIFS(Data!$C:$C,"Equity derivatives",Data!$W:$W,"&lt;&gt;ZAR"),INDEX(Data!$D:$D,MATCH(AP$4,Data!$D:$D,0)+1),"")</f>
        <v/>
      </c>
      <c r="AR4" s="29" t="str" cm="1">
        <f t="array" ref="AR4">IF(COUNTA($I$4:AQ$4)&lt;COUNTIFS(Data!$C:$C,"Equity derivatives",Data!$W:$W,"&lt;&gt;ZAR"),INDEX(Data!$D:$D,MATCH(AQ$4,Data!$D:$D,0)+1),"")</f>
        <v/>
      </c>
      <c r="AS4" s="29" t="str" cm="1">
        <f t="array" ref="AS4">IF(COUNTA($I$4:AR$4)&lt;COUNTIFS(Data!$C:$C,"Equity derivatives",Data!$W:$W,"&lt;&gt;ZAR"),INDEX(Data!$D:$D,MATCH(AR$4,Data!$D:$D,0)+1),"")</f>
        <v/>
      </c>
      <c r="AT4" s="29" t="str" cm="1">
        <f t="array" ref="AT4">IF(COUNTA($I$4:AS$4)&lt;COUNTIFS(Data!$C:$C,"Equity derivatives",Data!$W:$W,"&lt;&gt;ZAR"),INDEX(Data!$D:$D,MATCH(AS$4,Data!$D:$D,0)+1),"")</f>
        <v/>
      </c>
      <c r="AU4" s="29" t="str" cm="1">
        <f t="array" ref="AU4">IF(COUNTA($I$4:AT$4)&lt;COUNTIFS(Data!$C:$C,"Equity derivatives",Data!$W:$W,"&lt;&gt;ZAR"),INDEX(Data!$D:$D,MATCH(AT$4,Data!$D:$D,0)+1),"")</f>
        <v/>
      </c>
      <c r="AV4" s="29" t="str" cm="1">
        <f t="array" ref="AV4">IF(COUNTA($I$4:AU$4)&lt;COUNTIFS(Data!$C:$C,"Equity derivatives",Data!$W:$W,"&lt;&gt;ZAR"),INDEX(Data!$D:$D,MATCH(AU$4,Data!$D:$D,0)+1),"")</f>
        <v/>
      </c>
      <c r="AW4" s="29" t="str" cm="1">
        <f t="array" ref="AW4">IF(COUNTA($I$4:AV$4)&lt;COUNTIFS(Data!$C:$C,"Equity derivatives",Data!$W:$W,"&lt;&gt;ZAR"),INDEX(Data!$D:$D,MATCH(AV$4,Data!$D:$D,0)+1),"")</f>
        <v/>
      </c>
      <c r="AX4" s="29" t="str" cm="1">
        <f t="array" ref="AX4">IF(COUNTA($I$4:AW$4)&lt;COUNTIFS(Data!$C:$C,"Equity derivatives",Data!$W:$W,"&lt;&gt;ZAR"),INDEX(Data!$D:$D,MATCH(AW$4,Data!$D:$D,0)+1),"")</f>
        <v/>
      </c>
      <c r="AY4" s="29" t="str" cm="1">
        <f t="array" ref="AY4">IF(COUNTA($I$4:AX$4)&lt;COUNTIFS(Data!$C:$C,"Equity derivatives",Data!$W:$W,"&lt;&gt;ZAR"),INDEX(Data!$D:$D,MATCH(AX$4,Data!$D:$D,0)+1),"")</f>
        <v/>
      </c>
      <c r="AZ4" s="29" t="str" cm="1">
        <f t="array" ref="AZ4">IF(COUNTA($I$4:AY$4)&lt;COUNTIFS(Data!$C:$C,"Equity derivatives",Data!$W:$W,"&lt;&gt;ZAR"),INDEX(Data!$D:$D,MATCH(AY$4,Data!$D:$D,0)+1),"")</f>
        <v/>
      </c>
      <c r="BA4" s="29" t="str" cm="1">
        <f t="array" ref="BA4">IF(COUNTA($I$4:AZ$4)&lt;COUNTIFS(Data!$C:$C,"Equity derivatives",Data!$W:$W,"&lt;&gt;ZAR"),INDEX(Data!$D:$D,MATCH(AZ$4,Data!$D:$D,0)+1),"")</f>
        <v/>
      </c>
      <c r="BB4" s="29" t="str" cm="1">
        <f t="array" ref="BB4">IF(COUNTA($I$4:BA$4)&lt;COUNTIFS(Data!$C:$C,"Equity derivatives",Data!$W:$W,"&lt;&gt;ZAR"),INDEX(Data!$D:$D,MATCH(BA$4,Data!$D:$D,0)+1),"")</f>
        <v/>
      </c>
      <c r="BC4" s="29" t="str" cm="1">
        <f t="array" ref="BC4">IF(COUNTA($I$4:BB$4)&lt;COUNTIFS(Data!$C:$C,"Equity derivatives",Data!$W:$W,"&lt;&gt;ZAR"),INDEX(Data!$D:$D,MATCH(BB$4,Data!$D:$D,0)+1),"")</f>
        <v/>
      </c>
      <c r="BD4" s="29" t="str" cm="1">
        <f t="array" ref="BD4">IF(COUNTA($I$4:BC$4)&lt;COUNTIFS(Data!$C:$C,"Equity derivatives",Data!$W:$W,"&lt;&gt;ZAR"),INDEX(Data!$D:$D,MATCH(BC$4,Data!$D:$D,0)+1),"")</f>
        <v/>
      </c>
      <c r="BE4" s="29" t="str" cm="1">
        <f t="array" ref="BE4">IF(COUNTA($I$4:BD$4)&lt;COUNTIFS(Data!$C:$C,"Equity derivatives",Data!$W:$W,"&lt;&gt;ZAR"),INDEX(Data!$D:$D,MATCH(BD$4,Data!$D:$D,0)+1),"")</f>
        <v/>
      </c>
      <c r="BF4" s="29" t="str" cm="1">
        <f t="array" ref="BF4">IF(COUNTA($I$4:BE$4)&lt;COUNTIFS(Data!$C:$C,"Equity derivatives",Data!$W:$W,"&lt;&gt;ZAR"),INDEX(Data!$D:$D,MATCH(BE$4,Data!$D:$D,0)+1),"")</f>
        <v/>
      </c>
      <c r="BG4" s="29" t="str" cm="1">
        <f t="array" ref="BG4">IF(COUNTA($I$4:BF$4)&lt;COUNTIFS(Data!$C:$C,"Equity derivatives",Data!$W:$W,"&lt;&gt;ZAR"),INDEX(Data!$D:$D,MATCH(BF$4,Data!$D:$D,0)+1),"")</f>
        <v/>
      </c>
      <c r="BH4" s="30" t="str" cm="1">
        <f t="array" ref="BH4">IF(COUNTA($I$4:BG$4)&lt;COUNTIFS(Data!$C:$C,"Equity derivatives",Data!$W:$W,"&lt;&gt;ZAR"),INDEX(Data!$D:$D,MATCH(BG$4,Data!$D:$D,0)+1),"")</f>
        <v/>
      </c>
    </row>
    <row r="5" spans="1:119" x14ac:dyDescent="0.3">
      <c r="D5" s="69"/>
      <c r="E5" s="26">
        <f>MIN(0,$H$8*100)</f>
        <v>0</v>
      </c>
      <c r="F5" s="27" t="s">
        <v>73</v>
      </c>
      <c r="H5" s="178">
        <f>IF(ISNA(SUM(I5:BH5)),0,SUM(I5:BH5))</f>
        <v>0</v>
      </c>
      <c r="I5" s="16" t="str">
        <f>IF(I$4="","",INDEX(Data!$AH:$AH,MATCH(I$4,Data!$D:$D,0))/$B$4)</f>
        <v/>
      </c>
      <c r="J5" s="17" t="str">
        <f>IF(J$4="","",INDEX(Data!$AH:$AH,MATCH(J$4,Data!$D:$D,0))/$B$4)</f>
        <v/>
      </c>
      <c r="K5" s="17" t="str">
        <f>IF(K$4="","",INDEX(Data!$AH:$AH,MATCH(K$4,Data!$D:$D,0))/$B$4)</f>
        <v/>
      </c>
      <c r="L5" s="17" t="str">
        <f>IF(L$4="","",INDEX(Data!$AH:$AH,MATCH(L$4,Data!$D:$D,0))/$B$4)</f>
        <v/>
      </c>
      <c r="M5" s="17" t="str">
        <f>IF(M$4="","",INDEX(Data!$AH:$AH,MATCH(M$4,Data!$D:$D,0))/$B$4)</f>
        <v/>
      </c>
      <c r="N5" s="17" t="str">
        <f>IF(N$4="","",INDEX(Data!$AH:$AH,MATCH(N$4,Data!$D:$D,0))/$B$4)</f>
        <v/>
      </c>
      <c r="O5" s="17" t="str">
        <f>IF(O$4="","",INDEX(Data!$AH:$AH,MATCH(O$4,Data!$D:$D,0))/$B$4)</f>
        <v/>
      </c>
      <c r="P5" s="17" t="str">
        <f>IF(P$4="","",INDEX(Data!$AH:$AH,MATCH(P$4,Data!$D:$D,0))/$B$4)</f>
        <v/>
      </c>
      <c r="Q5" s="17" t="str">
        <f>IF(Q$4="","",INDEX(Data!$AH:$AH,MATCH(Q$4,Data!$D:$D,0))/$B$4)</f>
        <v/>
      </c>
      <c r="R5" s="17" t="str">
        <f>IF(R$4="","",INDEX(Data!$AH:$AH,MATCH(R$4,Data!$D:$D,0))/$B$4)</f>
        <v/>
      </c>
      <c r="S5" s="17" t="str">
        <f>IF(S$4="","",INDEX(Data!$AH:$AH,MATCH(S$4,Data!$D:$D,0))/$B$4)</f>
        <v/>
      </c>
      <c r="T5" s="17" t="str">
        <f>IF(T$4="","",INDEX(Data!$AH:$AH,MATCH(T$4,Data!$D:$D,0))/$B$4)</f>
        <v/>
      </c>
      <c r="U5" s="17" t="str">
        <f>IF(U$4="","",INDEX(Data!$AH:$AH,MATCH(U$4,Data!$D:$D,0))/$B$4)</f>
        <v/>
      </c>
      <c r="V5" s="17" t="str">
        <f>IF(V$4="","",INDEX(Data!$AH:$AH,MATCH(V$4,Data!$D:$D,0))/$B$4)</f>
        <v/>
      </c>
      <c r="W5" s="17" t="str">
        <f>IF(W$4="","",INDEX(Data!$AH:$AH,MATCH(W$4,Data!$D:$D,0))/$B$4)</f>
        <v/>
      </c>
      <c r="X5" s="17" t="str">
        <f>IF(X$4="","",INDEX(Data!$AH:$AH,MATCH(X$4,Data!$D:$D,0))/$B$4)</f>
        <v/>
      </c>
      <c r="Y5" s="17" t="str">
        <f>IF(Y$4="","",INDEX(Data!$AH:$AH,MATCH(Y$4,Data!$D:$D,0))/$B$4)</f>
        <v/>
      </c>
      <c r="Z5" s="17" t="str">
        <f>IF(Z$4="","",INDEX(Data!$AH:$AH,MATCH(Z$4,Data!$D:$D,0))/$B$4)</f>
        <v/>
      </c>
      <c r="AA5" s="17" t="str">
        <f>IF(AA$4="","",INDEX(Data!$AH:$AH,MATCH(AA$4,Data!$D:$D,0))/$B$4)</f>
        <v/>
      </c>
      <c r="AB5" s="17" t="str">
        <f>IF(AB$4="","",INDEX(Data!$AH:$AH,MATCH(AB$4,Data!$D:$D,0))/$B$4)</f>
        <v/>
      </c>
      <c r="AC5" s="17" t="str">
        <f>IF(AC$4="","",INDEX(Data!$AH:$AH,MATCH(AC$4,Data!$D:$D,0))/$B$4)</f>
        <v/>
      </c>
      <c r="AD5" s="17" t="str">
        <f>IF(AD$4="","",INDEX(Data!$AH:$AH,MATCH(AD$4,Data!$D:$D,0))/$B$4)</f>
        <v/>
      </c>
      <c r="AE5" s="17" t="str">
        <f>IF(AE$4="","",INDEX(Data!$AH:$AH,MATCH(AE$4,Data!$D:$D,0))/$B$4)</f>
        <v/>
      </c>
      <c r="AF5" s="17" t="str">
        <f>IF(AF$4="","",INDEX(Data!$AH:$AH,MATCH(AF$4,Data!$D:$D,0))/$B$4)</f>
        <v/>
      </c>
      <c r="AG5" s="17" t="str">
        <f>IF(AG$4="","",INDEX(Data!$AH:$AH,MATCH(AG$4,Data!$D:$D,0))/$B$4)</f>
        <v/>
      </c>
      <c r="AH5" s="17" t="str">
        <f>IF(AH$4="","",INDEX(Data!$AH:$AH,MATCH(AH$4,Data!$D:$D,0))/$B$4)</f>
        <v/>
      </c>
      <c r="AI5" s="17" t="str">
        <f>IF(AI$4="","",INDEX(Data!$AH:$AH,MATCH(AI$4,Data!$D:$D,0))/$B$4)</f>
        <v/>
      </c>
      <c r="AJ5" s="17" t="str">
        <f>IF(AJ$4="","",INDEX(Data!$AH:$AH,MATCH(AJ$4,Data!$D:$D,0))/$B$4)</f>
        <v/>
      </c>
      <c r="AK5" s="17" t="str">
        <f>IF(AK$4="","",INDEX(Data!$AH:$AH,MATCH(AK$4,Data!$D:$D,0))/$B$4)</f>
        <v/>
      </c>
      <c r="AL5" s="17" t="str">
        <f>IF(AL$4="","",INDEX(Data!$AH:$AH,MATCH(AL$4,Data!$D:$D,0))/$B$4)</f>
        <v/>
      </c>
      <c r="AM5" s="17" t="str">
        <f>IF(AM$4="","",INDEX(Data!$AH:$AH,MATCH(AM$4,Data!$D:$D,0))/$B$4)</f>
        <v/>
      </c>
      <c r="AN5" s="17" t="str">
        <f>IF(AN$4="","",INDEX(Data!$AH:$AH,MATCH(AN$4,Data!$D:$D,0))/$B$4)</f>
        <v/>
      </c>
      <c r="AO5" s="17" t="str">
        <f>IF(AO$4="","",INDEX(Data!$AH:$AH,MATCH(AO$4,Data!$D:$D,0))/$B$4)</f>
        <v/>
      </c>
      <c r="AP5" s="17" t="str">
        <f>IF(AP$4="","",INDEX(Data!$AH:$AH,MATCH(AP$4,Data!$D:$D,0))/$B$4)</f>
        <v/>
      </c>
      <c r="AQ5" s="17" t="str">
        <f>IF(AQ$4="","",INDEX(Data!$AH:$AH,MATCH(AQ$4,Data!$D:$D,0))/$B$4)</f>
        <v/>
      </c>
      <c r="AR5" s="17" t="str">
        <f>IF(AR$4="","",INDEX(Data!$AH:$AH,MATCH(AR$4,Data!$D:$D,0))/$B$4)</f>
        <v/>
      </c>
      <c r="AS5" s="17" t="str">
        <f>IF(AS$4="","",INDEX(Data!$AH:$AH,MATCH(AS$4,Data!$D:$D,0))/$B$4)</f>
        <v/>
      </c>
      <c r="AT5" s="17" t="str">
        <f>IF(AT$4="","",INDEX(Data!$AH:$AH,MATCH(AT$4,Data!$D:$D,0))/$B$4)</f>
        <v/>
      </c>
      <c r="AU5" s="17" t="str">
        <f>IF(AU$4="","",INDEX(Data!$AH:$AH,MATCH(AU$4,Data!$D:$D,0))/$B$4)</f>
        <v/>
      </c>
      <c r="AV5" s="17" t="str">
        <f>IF(AV$4="","",INDEX(Data!$AH:$AH,MATCH(AV$4,Data!$D:$D,0))/$B$4)</f>
        <v/>
      </c>
      <c r="AW5" s="17" t="str">
        <f>IF(AW$4="","",INDEX(Data!$AH:$AH,MATCH(AW$4,Data!$D:$D,0))/$B$4)</f>
        <v/>
      </c>
      <c r="AX5" s="17" t="str">
        <f>IF(AX$4="","",INDEX(Data!$AH:$AH,MATCH(AX$4,Data!$D:$D,0))/$B$4)</f>
        <v/>
      </c>
      <c r="AY5" s="17" t="str">
        <f>IF(AY$4="","",INDEX(Data!$AH:$AH,MATCH(AY$4,Data!$D:$D,0))/$B$4)</f>
        <v/>
      </c>
      <c r="AZ5" s="17" t="str">
        <f>IF(AZ$4="","",INDEX(Data!$AH:$AH,MATCH(AZ$4,Data!$D:$D,0))/$B$4)</f>
        <v/>
      </c>
      <c r="BA5" s="17" t="str">
        <f>IF(BA$4="","",INDEX(Data!$AH:$AH,MATCH(BA$4,Data!$D:$D,0))/$B$4)</f>
        <v/>
      </c>
      <c r="BB5" s="17" t="str">
        <f>IF(BB$4="","",INDEX(Data!$AH:$AH,MATCH(BB$4,Data!$D:$D,0))/$B$4)</f>
        <v/>
      </c>
      <c r="BC5" s="17" t="str">
        <f>IF(BC$4="","",INDEX(Data!$AH:$AH,MATCH(BC$4,Data!$D:$D,0))/$B$4)</f>
        <v/>
      </c>
      <c r="BD5" s="17" t="str">
        <f>IF(BD$4="","",INDEX(Data!$AH:$AH,MATCH(BD$4,Data!$D:$D,0))/$B$4)</f>
        <v/>
      </c>
      <c r="BE5" s="17" t="str">
        <f>IF(BE$4="","",INDEX(Data!$AH:$AH,MATCH(BE$4,Data!$D:$D,0))/$B$4)</f>
        <v/>
      </c>
      <c r="BF5" s="17" t="str">
        <f>IF(BF$4="","",INDEX(Data!$AH:$AH,MATCH(BF$4,Data!$D:$D,0))/$B$4)</f>
        <v/>
      </c>
      <c r="BG5" s="17" t="str">
        <f>IF(BG$4="","",INDEX(Data!$AH:$AH,MATCH(BG$4,Data!$D:$D,0))/$B$4)</f>
        <v/>
      </c>
      <c r="BH5" s="18" t="str">
        <f>IF(BH$4="","",INDEX(Data!$AH:$AH,MATCH(BH$4,Data!$D:$D,0))/$B$4)</f>
        <v/>
      </c>
    </row>
    <row r="6" spans="1:119" ht="16.5" thickBot="1" x14ac:dyDescent="0.35">
      <c r="A6" s="64" t="s">
        <v>67</v>
      </c>
      <c r="B6" s="65">
        <f>SUM(B7:B11)</f>
        <v>31237968.440000001</v>
      </c>
      <c r="C6" s="69">
        <f>SUM(C7:C11)</f>
        <v>0.17801292315987682</v>
      </c>
      <c r="D6" s="69"/>
      <c r="E6" s="33">
        <f>SUM(E3:E5)</f>
        <v>0</v>
      </c>
      <c r="F6" s="21" t="str">
        <f>IF($E6&gt;=0,"Adequate","INADEQUATE")&amp;" short SA bond bond derivative cover [BN90 16(1)(a) &amp; (b)]"</f>
        <v>Adequate short SA bond bond derivative cover [BN90 16(1)(a) &amp; (b)]</v>
      </c>
      <c r="H6" s="178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5"/>
    </row>
    <row r="7" spans="1:119" ht="16.5" thickTop="1" x14ac:dyDescent="0.3">
      <c r="A7" s="107" t="s">
        <v>10911</v>
      </c>
      <c r="B7" s="122">
        <f>SUMIF(Data!$B:$B,"CASH",Data!$AH:$AH)-SUMIF(Data!$E:$E,"SAFEX",Data!$AH:$AH)-SUMIF(Data!$E:$E,"VARMARG",Data!$AH:$AH)</f>
        <v>28839687.960000001</v>
      </c>
      <c r="C7" s="70">
        <f>$B7/$B$4</f>
        <v>0.16434606388181319</v>
      </c>
      <c r="D7" s="69"/>
      <c r="H7" s="179" t="str" cm="1">
        <f t="array" ref="H7">"SA bond indices ("&amp;SUMPRODUCT((Data!$C:$C="Bond Derivatives")*(Data!$W:$W="ZAR"))&amp;")"</f>
        <v>SA bond indices (0)</v>
      </c>
      <c r="I7" s="181" t="str" cm="1">
        <f t="array" ref="I7">IF(ISNA(MATCH(1,("Bond derivatives"=Data!C:C)*("ZAR"=Data!W:W),0)),"",INDEX(Data!D:D,MATCH(1,("Bond derivatives"=Data!C:C)*("ZAR"=Data!W:W),0)))</f>
        <v/>
      </c>
      <c r="J7" s="29" t="str" cm="1">
        <f t="array" ref="J7">IF(I7&lt;&gt;"",IF(COUNTA($I$7:I$7)&lt;COUNTIF(Data!$C:$C,"Bond Derivatives"),INDEX(Data!$D:$D,MATCH(I$7,Data!$D:$D,0)+1),""),"")</f>
        <v/>
      </c>
      <c r="K7" s="29" t="str" cm="1">
        <f t="array" ref="K7">IF(COUNTA($I$7:J$7)&lt;COUNTIF(Data!$C:$C,"Bond derivatives"),INDEX(Data!$D:$D,MATCH(J$7,Data!$D:$D,0)+1),"")</f>
        <v/>
      </c>
      <c r="L7" s="29" t="str" cm="1">
        <f t="array" ref="L7">IF(COUNTA($I$7:K$7)&lt;COUNTIF(Data!$C:$C,"Bond derivatives"),INDEX(Data!$D:$D,MATCH(K$7,Data!$D:$D,0)+1),"")</f>
        <v/>
      </c>
      <c r="M7" s="29" t="str" cm="1">
        <f t="array" ref="M7">IF(COUNTA($I$7:L$7)&lt;COUNTIF(Data!$C:$C,"Bond derivatives"),INDEX(Data!$D:$D,MATCH(L$7,Data!$D:$D,0)+1),"")</f>
        <v/>
      </c>
      <c r="N7" s="29" t="str" cm="1">
        <f t="array" ref="N7">IF(COUNTA($I$7:M$7)&lt;COUNTIF(Data!$C:$C,"Bond derivatives"),INDEX(Data!$D:$D,MATCH(M$7,Data!$D:$D,0)+1),"")</f>
        <v/>
      </c>
      <c r="O7" s="29" t="str" cm="1">
        <f t="array" ref="O7">IF(COUNTA($I$7:N$7)&lt;COUNTIF(Data!$C:$C,"Bond derivatives"),INDEX(Data!$D:$D,MATCH(N$7,Data!$D:$D,0)+1),"")</f>
        <v/>
      </c>
      <c r="P7" s="29" t="str" cm="1">
        <f t="array" ref="P7">IF(COUNTA($I$7:O$7)&lt;COUNTIF(Data!$C:$C,"Bond derivatives"),INDEX(Data!$D:$D,MATCH(O$7,Data!$D:$D,0)+1),"")</f>
        <v/>
      </c>
      <c r="Q7" s="29" t="str" cm="1">
        <f t="array" ref="Q7">IF(COUNTA($I$7:P$7)&lt;COUNTIF(Data!$C:$C,"Bond derivatives"),INDEX(Data!$D:$D,MATCH(P$7,Data!$D:$D,0)+1),"")</f>
        <v/>
      </c>
      <c r="R7" s="29" t="str" cm="1">
        <f t="array" ref="R7">IF(COUNTA($I$7:Q$7)&lt;COUNTIF(Data!$C:$C,"Bond derivatives"),INDEX(Data!$D:$D,MATCH(Q$7,Data!$D:$D,0)+1),"")</f>
        <v/>
      </c>
      <c r="S7" s="29" t="str" cm="1">
        <f t="array" ref="S7">IF(COUNTA($I$7:R$7)&lt;COUNTIF(Data!$C:$C,"Bond derivatives"),INDEX(Data!$D:$D,MATCH(R$7,Data!$D:$D,0)+1),"")</f>
        <v/>
      </c>
      <c r="T7" s="29" t="str" cm="1">
        <f t="array" ref="T7">IF(COUNTA($I$7:S$7)&lt;COUNTIF(Data!$C:$C,"Bond derivatives"),INDEX(Data!$D:$D,MATCH(S$7,Data!$D:$D,0)+1),"")</f>
        <v/>
      </c>
      <c r="U7" s="29" t="str" cm="1">
        <f t="array" ref="U7">IF(COUNTA($I$7:T$7)&lt;COUNTIF(Data!$C:$C,"Bond derivatives"),INDEX(Data!$D:$D,MATCH(T$7,Data!$D:$D,0)+1),"")</f>
        <v/>
      </c>
      <c r="V7" s="29" t="str" cm="1">
        <f t="array" ref="V7">IF(COUNTA($I$7:U$7)&lt;COUNTIF(Data!$C:$C,"Bond derivatives"),INDEX(Data!$D:$D,MATCH(U$7,Data!$D:$D,0)+1),"")</f>
        <v/>
      </c>
      <c r="W7" s="29" t="str" cm="1">
        <f t="array" ref="W7">IF(COUNTA($I$7:V$7)&lt;COUNTIF(Data!$C:$C,"Bond derivatives"),INDEX(Data!$D:$D,MATCH(V$7,Data!$D:$D,0)+1),"")</f>
        <v/>
      </c>
      <c r="X7" s="29" t="str" cm="1">
        <f t="array" ref="X7">IF(COUNTA($I$7:W$7)&lt;COUNTIF(Data!$C:$C,"Bond derivatives"),INDEX(Data!$D:$D,MATCH(W$7,Data!$D:$D,0)+1),"")</f>
        <v/>
      </c>
      <c r="Y7" s="29" t="str" cm="1">
        <f t="array" ref="Y7">IF(COUNTA($I$7:X$7)&lt;COUNTIF(Data!$C:$C,"Bond derivatives"),INDEX(Data!$D:$D,MATCH(X$7,Data!$D:$D,0)+1),"")</f>
        <v/>
      </c>
      <c r="Z7" s="29" t="str" cm="1">
        <f t="array" ref="Z7">IF(COUNTA($I$7:Y$7)&lt;COUNTIF(Data!$C:$C,"Bond derivatives"),INDEX(Data!$D:$D,MATCH(Y$7,Data!$D:$D,0)+1),"")</f>
        <v/>
      </c>
      <c r="AA7" s="29" t="str" cm="1">
        <f t="array" ref="AA7">IF(COUNTA($I$7:Z$7)&lt;COUNTIF(Data!$C:$C,"Bond derivatives"),INDEX(Data!$D:$D,MATCH(Z$7,Data!$D:$D,0)+1),"")</f>
        <v/>
      </c>
      <c r="AB7" s="29" t="str" cm="1">
        <f t="array" ref="AB7">IF(COUNTA($I$7:AA$7)&lt;COUNTIF(Data!$C:$C,"Bond derivatives"),INDEX(Data!$D:$D,MATCH(AA$7,Data!$D:$D,0)+1),"")</f>
        <v/>
      </c>
      <c r="AC7" s="29" t="str" cm="1">
        <f t="array" ref="AC7">IF(COUNTA($I$7:AB$7)&lt;COUNTIF(Data!$C:$C,"Bond derivatives"),INDEX(Data!$D:$D,MATCH(AB$7,Data!$D:$D,0)+1),"")</f>
        <v/>
      </c>
      <c r="AD7" s="29" t="str" cm="1">
        <f t="array" ref="AD7">IF(COUNTA($I$7:AC$7)&lt;COUNTIF(Data!$C:$C,"Bond derivatives"),INDEX(Data!$D:$D,MATCH(AC$7,Data!$D:$D,0)+1),"")</f>
        <v/>
      </c>
      <c r="AE7" s="29" t="str" cm="1">
        <f t="array" ref="AE7">IF(COUNTA($I$7:AD$7)&lt;COUNTIF(Data!$C:$C,"Bond derivatives"),INDEX(Data!$D:$D,MATCH(AD$7,Data!$D:$D,0)+1),"")</f>
        <v/>
      </c>
      <c r="AF7" s="29" t="str" cm="1">
        <f t="array" ref="AF7">IF(COUNTA($I$7:AE$7)&lt;COUNTIF(Data!$C:$C,"Bond derivatives"),INDEX(Data!$D:$D,MATCH(AE$7,Data!$D:$D,0)+1),"")</f>
        <v/>
      </c>
      <c r="AG7" s="29" t="str" cm="1">
        <f t="array" ref="AG7">IF(COUNTA($I$7:AF$7)&lt;COUNTIF(Data!$C:$C,"Bond derivatives"),INDEX(Data!$D:$D,MATCH(AF$7,Data!$D:$D,0)+1),"")</f>
        <v/>
      </c>
      <c r="AH7" s="29" t="str" cm="1">
        <f t="array" ref="AH7">IF(COUNTA($I$7:AG$7)&lt;COUNTIF(Data!$C:$C,"Bond derivatives"),INDEX(Data!$D:$D,MATCH(AG$7,Data!$D:$D,0)+1),"")</f>
        <v/>
      </c>
      <c r="AI7" s="29" t="str" cm="1">
        <f t="array" ref="AI7">IF(COUNTA($I$7:AH$7)&lt;COUNTIF(Data!$C:$C,"Bond derivatives"),INDEX(Data!$D:$D,MATCH(AH$7,Data!$D:$D,0)+1),"")</f>
        <v/>
      </c>
      <c r="AJ7" s="29" t="str" cm="1">
        <f t="array" ref="AJ7">IF(COUNTA($I$7:AI$7)&lt;COUNTIF(Data!$C:$C,"Bond derivatives"),INDEX(Data!$D:$D,MATCH(AI$7,Data!$D:$D,0)+1),"")</f>
        <v/>
      </c>
      <c r="AK7" s="29" t="str" cm="1">
        <f t="array" ref="AK7">IF(COUNTA($I$7:AJ$7)&lt;COUNTIF(Data!$C:$C,"Bond derivatives"),INDEX(Data!$D:$D,MATCH(AJ$7,Data!$D:$D,0)+1),"")</f>
        <v/>
      </c>
      <c r="AL7" s="29" t="str" cm="1">
        <f t="array" ref="AL7">IF(COUNTA($I$7:AK$7)&lt;COUNTIF(Data!$C:$C,"Bond derivatives"),INDEX(Data!$D:$D,MATCH(AK$7,Data!$D:$D,0)+1),"")</f>
        <v/>
      </c>
      <c r="AM7" s="29" t="str" cm="1">
        <f t="array" ref="AM7">IF(COUNTA($I$7:AL$7)&lt;COUNTIF(Data!$C:$C,"Bond derivatives"),INDEX(Data!$D:$D,MATCH(AL$7,Data!$D:$D,0)+1),"")</f>
        <v/>
      </c>
      <c r="AN7" s="29" t="str" cm="1">
        <f t="array" ref="AN7">IF(COUNTA($I$7:AM$7)&lt;COUNTIF(Data!$C:$C,"Bond derivatives"),INDEX(Data!$D:$D,MATCH(AM$7,Data!$D:$D,0)+1),"")</f>
        <v/>
      </c>
      <c r="AO7" s="29" t="str" cm="1">
        <f t="array" ref="AO7">IF(COUNTA($I$7:AN$7)&lt;COUNTIF(Data!$C:$C,"Bond derivatives"),INDEX(Data!$D:$D,MATCH(AN$7,Data!$D:$D,0)+1),"")</f>
        <v/>
      </c>
      <c r="AP7" s="29" t="str" cm="1">
        <f t="array" ref="AP7">IF(COUNTA($I$7:AO$7)&lt;COUNTIF(Data!$C:$C,"Bond derivatives"),INDEX(Data!$D:$D,MATCH(AO$7,Data!$D:$D,0)+1),"")</f>
        <v/>
      </c>
      <c r="AQ7" s="29" t="str" cm="1">
        <f t="array" ref="AQ7">IF(COUNTA($I$7:AP$7)&lt;COUNTIF(Data!$C:$C,"Bond derivatives"),INDEX(Data!$D:$D,MATCH(AP$7,Data!$D:$D,0)+1),"")</f>
        <v/>
      </c>
      <c r="AR7" s="29" t="str" cm="1">
        <f t="array" ref="AR7">IF(COUNTA($I$7:AQ$7)&lt;COUNTIF(Data!$C:$C,"Bond derivatives"),INDEX(Data!$D:$D,MATCH(AQ$7,Data!$D:$D,0)+1),"")</f>
        <v/>
      </c>
      <c r="AS7" s="29" t="str" cm="1">
        <f t="array" ref="AS7">IF(COUNTA($I$7:AR$7)&lt;COUNTIF(Data!$C:$C,"Bond derivatives"),INDEX(Data!$D:$D,MATCH(AR$7,Data!$D:$D,0)+1),"")</f>
        <v/>
      </c>
      <c r="AT7" s="29" t="str" cm="1">
        <f t="array" ref="AT7">IF(COUNTA($I$7:AS$7)&lt;COUNTIF(Data!$C:$C,"Bond derivatives"),INDEX(Data!$D:$D,MATCH(AS$7,Data!$D:$D,0)+1),"")</f>
        <v/>
      </c>
      <c r="AU7" s="29" t="str" cm="1">
        <f t="array" ref="AU7">IF(COUNTA($I$7:AT$7)&lt;COUNTIF(Data!$C:$C,"Bond derivatives"),INDEX(Data!$D:$D,MATCH(AT$7,Data!$D:$D,0)+1),"")</f>
        <v/>
      </c>
      <c r="AV7" s="29" t="str" cm="1">
        <f t="array" ref="AV7">IF(COUNTA($I$7:AU$7)&lt;COUNTIF(Data!$C:$C,"Bond derivatives"),INDEX(Data!$D:$D,MATCH(AU$7,Data!$D:$D,0)+1),"")</f>
        <v/>
      </c>
      <c r="AW7" s="29" t="str" cm="1">
        <f t="array" ref="AW7">IF(COUNTA($I$7:AV$7)&lt;COUNTIF(Data!$C:$C,"Bond derivatives"),INDEX(Data!$D:$D,MATCH(AV$7,Data!$D:$D,0)+1),"")</f>
        <v/>
      </c>
      <c r="AX7" s="29" t="str" cm="1">
        <f t="array" ref="AX7">IF(COUNTA($I$7:AW$7)&lt;COUNTIF(Data!$C:$C,"Bond derivatives"),INDEX(Data!$D:$D,MATCH(AW$7,Data!$D:$D,0)+1),"")</f>
        <v/>
      </c>
      <c r="AY7" s="29" t="str" cm="1">
        <f t="array" ref="AY7">IF(COUNTA($I$7:AX$7)&lt;COUNTIF(Data!$C:$C,"Bond derivatives"),INDEX(Data!$D:$D,MATCH(AX$7,Data!$D:$D,0)+1),"")</f>
        <v/>
      </c>
      <c r="AZ7" s="29" t="str" cm="1">
        <f t="array" ref="AZ7">IF(COUNTA($I$7:AY$7)&lt;COUNTIF(Data!$C:$C,"Bond derivatives"),INDEX(Data!$D:$D,MATCH(AY$7,Data!$D:$D,0)+1),"")</f>
        <v/>
      </c>
      <c r="BA7" s="29" t="str" cm="1">
        <f t="array" ref="BA7">IF(COUNTA($I$7:AZ$7)&lt;COUNTIF(Data!$C:$C,"Bond derivatives"),INDEX(Data!$D:$D,MATCH(AZ$7,Data!$D:$D,0)+1),"")</f>
        <v/>
      </c>
      <c r="BB7" s="29" t="str" cm="1">
        <f t="array" ref="BB7">IF(COUNTA($I$7:BA$7)&lt;COUNTIF(Data!$C:$C,"Bond derivatives"),INDEX(Data!$D:$D,MATCH(BA$7,Data!$D:$D,0)+1),"")</f>
        <v/>
      </c>
      <c r="BC7" s="29" t="str" cm="1">
        <f t="array" ref="BC7">IF(COUNTA($I$7:BB$7)&lt;COUNTIF(Data!$C:$C,"Bond derivatives"),INDEX(Data!$D:$D,MATCH(BB$7,Data!$D:$D,0)+1),"")</f>
        <v/>
      </c>
      <c r="BD7" s="29" t="str" cm="1">
        <f t="array" ref="BD7">IF(COUNTA($I$7:BC$7)&lt;COUNTIF(Data!$C:$C,"Bond derivatives"),INDEX(Data!$D:$D,MATCH(BC$7,Data!$D:$D,0)+1),"")</f>
        <v/>
      </c>
      <c r="BE7" s="29" t="str" cm="1">
        <f t="array" ref="BE7">IF(COUNTA($I$7:BD$7)&lt;COUNTIF(Data!$C:$C,"Bond derivatives"),INDEX(Data!$D:$D,MATCH(BD$7,Data!$D:$D,0)+1),"")</f>
        <v/>
      </c>
      <c r="BF7" s="29" t="str" cm="1">
        <f t="array" ref="BF7">IF(COUNTA($I$7:BE$7)&lt;COUNTIF(Data!$C:$C,"Bond derivatives"),INDEX(Data!$D:$D,MATCH(BE$7,Data!$D:$D,0)+1),"")</f>
        <v/>
      </c>
      <c r="BG7" s="29" t="str" cm="1">
        <f t="array" ref="BG7">IF(COUNTA($I$7:BF$7)&lt;COUNTIF(Data!$C:$C,"Bond derivatives"),INDEX(Data!$D:$D,MATCH(BF$7,Data!$D:$D,0)+1),"")</f>
        <v/>
      </c>
      <c r="BH7" s="30" t="str" cm="1">
        <f t="array" ref="BH7">IF(COUNTA($I$7:BG$7)&lt;COUNTIF(Data!$C:$C,"Bond derivatives"),INDEX(Data!$D:$D,MATCH(BG$7,Data!$D:$D,0)+1),"")</f>
        <v/>
      </c>
    </row>
    <row r="8" spans="1:119" x14ac:dyDescent="0.3">
      <c r="A8" s="107" t="str">
        <f>"Money market instruments"&amp;IF($A3="UT"," (excl CLNs and &gt; 13 month bonds)","")</f>
        <v>Money market instruments (excl CLNs and &gt; 13 month bonds)</v>
      </c>
      <c r="B8" s="123" cm="1">
        <f t="array" ref="B8">IF($A3="UT",SUMPRODUCT((Data!$B:$B="MONEY MARKET")*((Data!$P:$P&lt;Data!$AJ$2+397)*(Data!$V:$V&lt;&gt;"CLN")),(Data!$AH:$AH)),SUMIF(Data!$B:$B,"MONEY MARKET",Data!$AH:$AH))</f>
        <v>0</v>
      </c>
      <c r="C8" s="71">
        <f>$B8/$B$4</f>
        <v>0</v>
      </c>
      <c r="D8" s="69"/>
      <c r="E8" s="20">
        <f>SUM(BM!$V:$V)</f>
        <v>3.8791985711352854</v>
      </c>
      <c r="F8" s="21" t="s">
        <v>74</v>
      </c>
      <c r="H8" s="178">
        <f>SUM(I8:BH8)</f>
        <v>0</v>
      </c>
      <c r="I8" s="16" t="str">
        <f>IF(I$7="","",INDEX(Data!$AH:$AH,MATCH(I$7,Data!$D:$D,0))/$B$4)</f>
        <v/>
      </c>
      <c r="J8" s="17" t="str">
        <f>IF(J$7="","",INDEX(Data!$AH:$AH,MATCH(J$7,Data!$D:$D,0))/$B$4)</f>
        <v/>
      </c>
      <c r="K8" s="17" t="str">
        <f>IF(K$7="","",INDEX(Data!$AH:$AH,MATCH(K$7,Data!$D:$D,0))/$B$4)</f>
        <v/>
      </c>
      <c r="L8" s="17" t="str">
        <f>IF(L$7="","",INDEX(Data!$AH:$AH,MATCH(L$7,Data!$D:$D,0))/$B$4)</f>
        <v/>
      </c>
      <c r="M8" s="17" t="str">
        <f>IF(M$7="","",INDEX(Data!$AH:$AH,MATCH(M$7,Data!$D:$D,0))/$B$4)</f>
        <v/>
      </c>
      <c r="N8" s="17" t="str">
        <f>IF(N$7="","",INDEX(Data!$AH:$AH,MATCH(N$7,Data!$D:$D,0))/$B$4)</f>
        <v/>
      </c>
      <c r="O8" s="17" t="str">
        <f>IF(O$7="","",INDEX(Data!$AH:$AH,MATCH(O$7,Data!$D:$D,0))/$B$4)</f>
        <v/>
      </c>
      <c r="P8" s="17" t="str">
        <f>IF(P$7="","",INDEX(Data!$AH:$AH,MATCH(P$7,Data!$D:$D,0))/$B$4)</f>
        <v/>
      </c>
      <c r="Q8" s="17" t="str">
        <f>IF(Q$7="","",INDEX(Data!$AH:$AH,MATCH(Q$7,Data!$D:$D,0))/$B$4)</f>
        <v/>
      </c>
      <c r="R8" s="17" t="str">
        <f>IF(R$7="","",INDEX(Data!$AH:$AH,MATCH(R$7,Data!$D:$D,0))/$B$4)</f>
        <v/>
      </c>
      <c r="S8" s="17" t="str">
        <f>IF(S$7="","",INDEX(Data!$AH:$AH,MATCH(S$7,Data!$D:$D,0))/$B$4)</f>
        <v/>
      </c>
      <c r="T8" s="17" t="str">
        <f>IF(T$7="","",INDEX(Data!$AH:$AH,MATCH(T$7,Data!$D:$D,0))/$B$4)</f>
        <v/>
      </c>
      <c r="U8" s="17" t="str">
        <f>IF(U$7="","",INDEX(Data!$AH:$AH,MATCH(U$7,Data!$D:$D,0))/$B$4)</f>
        <v/>
      </c>
      <c r="V8" s="17" t="str">
        <f>IF(V$7="","",INDEX(Data!$AH:$AH,MATCH(V$7,Data!$D:$D,0))/$B$4)</f>
        <v/>
      </c>
      <c r="W8" s="17" t="str">
        <f>IF(W$7="","",INDEX(Data!$AH:$AH,MATCH(W$7,Data!$D:$D,0))/$B$4)</f>
        <v/>
      </c>
      <c r="X8" s="17" t="str">
        <f>IF(X$7="","",INDEX(Data!$AH:$AH,MATCH(X$7,Data!$D:$D,0))/$B$4)</f>
        <v/>
      </c>
      <c r="Y8" s="17" t="str">
        <f>IF(Y$7="","",INDEX(Data!$AH:$AH,MATCH(Y$7,Data!$D:$D,0))/$B$4)</f>
        <v/>
      </c>
      <c r="Z8" s="17" t="str">
        <f>IF(Z$7="","",INDEX(Data!$AH:$AH,MATCH(Z$7,Data!$D:$D,0))/$B$4)</f>
        <v/>
      </c>
      <c r="AA8" s="17" t="str">
        <f>IF(AA$7="","",INDEX(Data!$AH:$AH,MATCH(AA$7,Data!$D:$D,0))/$B$4)</f>
        <v/>
      </c>
      <c r="AB8" s="17" t="str">
        <f>IF(AB$7="","",INDEX(Data!$AH:$AH,MATCH(AB$7,Data!$D:$D,0))/$B$4)</f>
        <v/>
      </c>
      <c r="AC8" s="17" t="str">
        <f>IF(AC$7="","",INDEX(Data!$AH:$AH,MATCH(AC$7,Data!$D:$D,0))/$B$4)</f>
        <v/>
      </c>
      <c r="AD8" s="17" t="str">
        <f>IF(AD$7="","",INDEX(Data!$AH:$AH,MATCH(AD$7,Data!$D:$D,0))/$B$4)</f>
        <v/>
      </c>
      <c r="AE8" s="17" t="str">
        <f>IF(AE$7="","",INDEX(Data!$AH:$AH,MATCH(AE$7,Data!$D:$D,0))/$B$4)</f>
        <v/>
      </c>
      <c r="AF8" s="17" t="str">
        <f>IF(AF$7="","",INDEX(Data!$AH:$AH,MATCH(AF$7,Data!$D:$D,0))/$B$4)</f>
        <v/>
      </c>
      <c r="AG8" s="17" t="str">
        <f>IF(AG$7="","",INDEX(Data!$AH:$AH,MATCH(AG$7,Data!$D:$D,0))/$B$4)</f>
        <v/>
      </c>
      <c r="AH8" s="17" t="str">
        <f>IF(AH$7="","",INDEX(Data!$AH:$AH,MATCH(AH$7,Data!$D:$D,0))/$B$4)</f>
        <v/>
      </c>
      <c r="AI8" s="17" t="str">
        <f>IF(AI$7="","",INDEX(Data!$AH:$AH,MATCH(AI$7,Data!$D:$D,0))/$B$4)</f>
        <v/>
      </c>
      <c r="AJ8" s="17" t="str">
        <f>IF(AJ$7="","",INDEX(Data!$AH:$AH,MATCH(AJ$7,Data!$D:$D,0))/$B$4)</f>
        <v/>
      </c>
      <c r="AK8" s="17" t="str">
        <f>IF(AK$7="","",INDEX(Data!$AH:$AH,MATCH(AK$7,Data!$D:$D,0))/$B$4)</f>
        <v/>
      </c>
      <c r="AL8" s="17" t="str">
        <f>IF(AL$7="","",INDEX(Data!$AH:$AH,MATCH(AL$7,Data!$D:$D,0))/$B$4)</f>
        <v/>
      </c>
      <c r="AM8" s="17" t="str">
        <f>IF(AM$7="","",INDEX(Data!$AH:$AH,MATCH(AM$7,Data!$D:$D,0))/$B$4)</f>
        <v/>
      </c>
      <c r="AN8" s="17" t="str">
        <f>IF(AN$7="","",INDEX(Data!$AH:$AH,MATCH(AN$7,Data!$D:$D,0))/$B$4)</f>
        <v/>
      </c>
      <c r="AO8" s="17" t="str">
        <f>IF(AO$7="","",INDEX(Data!$AH:$AH,MATCH(AO$7,Data!$D:$D,0))/$B$4)</f>
        <v/>
      </c>
      <c r="AP8" s="17" t="str">
        <f>IF(AP$7="","",INDEX(Data!$AH:$AH,MATCH(AP$7,Data!$D:$D,0))/$B$4)</f>
        <v/>
      </c>
      <c r="AQ8" s="17" t="str">
        <f>IF(AQ$7="","",INDEX(Data!$AH:$AH,MATCH(AQ$7,Data!$D:$D,0))/$B$4)</f>
        <v/>
      </c>
      <c r="AR8" s="17" t="str">
        <f>IF(AR$7="","",INDEX(Data!$AH:$AH,MATCH(AR$7,Data!$D:$D,0))/$B$4)</f>
        <v/>
      </c>
      <c r="AS8" s="17" t="str">
        <f>IF(AS$7="","",INDEX(Data!$AH:$AH,MATCH(AS$7,Data!$D:$D,0))/$B$4)</f>
        <v/>
      </c>
      <c r="AT8" s="17" t="str">
        <f>IF(AT$7="","",INDEX(Data!$AH:$AH,MATCH(AT$7,Data!$D:$D,0))/$B$4)</f>
        <v/>
      </c>
      <c r="AU8" s="17" t="str">
        <f>IF(AU$7="","",INDEX(Data!$AH:$AH,MATCH(AU$7,Data!$D:$D,0))/$B$4)</f>
        <v/>
      </c>
      <c r="AV8" s="17" t="str">
        <f>IF(AV$7="","",INDEX(Data!$AH:$AH,MATCH(AV$7,Data!$D:$D,0))/$B$4)</f>
        <v/>
      </c>
      <c r="AW8" s="17" t="str">
        <f>IF(AW$7="","",INDEX(Data!$AH:$AH,MATCH(AW$7,Data!$D:$D,0))/$B$4)</f>
        <v/>
      </c>
      <c r="AX8" s="17" t="str">
        <f>IF(AX$7="","",INDEX(Data!$AH:$AH,MATCH(AX$7,Data!$D:$D,0))/$B$4)</f>
        <v/>
      </c>
      <c r="AY8" s="17" t="str">
        <f>IF(AY$7="","",INDEX(Data!$AH:$AH,MATCH(AY$7,Data!$D:$D,0))/$B$4)</f>
        <v/>
      </c>
      <c r="AZ8" s="17" t="str">
        <f>IF(AZ$7="","",INDEX(Data!$AH:$AH,MATCH(AZ$7,Data!$D:$D,0))/$B$4)</f>
        <v/>
      </c>
      <c r="BA8" s="17" t="str">
        <f>IF(BA$7="","",INDEX(Data!$AH:$AH,MATCH(BA$7,Data!$D:$D,0))/$B$4)</f>
        <v/>
      </c>
      <c r="BB8" s="17" t="str">
        <f>IF(BB$7="","",INDEX(Data!$AH:$AH,MATCH(BB$7,Data!$D:$D,0))/$B$4)</f>
        <v/>
      </c>
      <c r="BC8" s="17" t="str">
        <f>IF(BC$7="","",INDEX(Data!$AH:$AH,MATCH(BC$7,Data!$D:$D,0))/$B$4)</f>
        <v/>
      </c>
      <c r="BD8" s="17" t="str">
        <f>IF(BD$7="","",INDEX(Data!$AH:$AH,MATCH(BD$7,Data!$D:$D,0))/$B$4)</f>
        <v/>
      </c>
      <c r="BE8" s="17" t="str">
        <f>IF(BE$7="","",INDEX(Data!$AH:$AH,MATCH(BE$7,Data!$D:$D,0))/$B$4)</f>
        <v/>
      </c>
      <c r="BF8" s="17" t="str">
        <f>IF(BF$7="","",INDEX(Data!$AH:$AH,MATCH(BF$7,Data!$D:$D,0))/$B$4)</f>
        <v/>
      </c>
      <c r="BG8" s="17" t="str">
        <f>IF(BG$7="","",INDEX(Data!$AH:$AH,MATCH(BG$7,Data!$D:$D,0))/$B$4)</f>
        <v/>
      </c>
      <c r="BH8" s="18" t="str">
        <f>IF(BH$7="","",INDEX(Data!$AH:$AH,MATCH(BH$7,Data!$D:$D,0))/$B$4)</f>
        <v/>
      </c>
    </row>
    <row r="9" spans="1:119" x14ac:dyDescent="0.3">
      <c r="A9" s="107" t="s">
        <v>10912</v>
      </c>
      <c r="B9" s="123" cm="1">
        <f t="array" ref="B9">IF($A3="UT",SUMPRODUCT((Data!$B:$B="BONDS")*((Data!$P:$P&lt;Data!$AJ$2+397)*(Data!$V:$V&lt;&gt;"CLN")),(Data!$AH:$AH)),SUMIF(Data!$B:$B,"BONDS",Data!$AH:$AH))</f>
        <v>0</v>
      </c>
      <c r="C9" s="71">
        <f>$B9/$B$4</f>
        <v>0</v>
      </c>
      <c r="D9" s="69"/>
      <c r="E9" s="26">
        <f>MIN(0,$H$5*100)</f>
        <v>0</v>
      </c>
      <c r="F9" s="27" t="s">
        <v>73</v>
      </c>
      <c r="H9" s="204"/>
      <c r="BH9" s="30"/>
    </row>
    <row r="10" spans="1:119" ht="16.5" thickBot="1" x14ac:dyDescent="0.35">
      <c r="A10" s="107" t="s">
        <v>10904</v>
      </c>
      <c r="B10" s="123">
        <f>SUMIF(Data!$E:$E,"SAFEX",Data!$AH:$AH)</f>
        <v>2496840.48</v>
      </c>
      <c r="C10" s="71">
        <f>$B10/$B$4</f>
        <v>1.4228514039330719E-2</v>
      </c>
      <c r="D10" s="69"/>
      <c r="E10" s="33">
        <f>SUM(E8:E9)</f>
        <v>3.8791985711352854</v>
      </c>
      <c r="F10" s="21" t="str">
        <f>IF($E10&gt;=0,"Adequate","INADEQUATE")&amp;" short MSCI derivative cover [BN90 16(1)(a) &amp; (b)]"</f>
        <v>Adequate short MSCI derivative cover [BN90 16(1)(a) &amp; (b)]</v>
      </c>
      <c r="H10" s="179" t="str" cm="1">
        <f t="array" ref="H10">"World bond indices ("&amp;SUMPRODUCT((Data!$C:$C="Bond Derivatives")*(Data!$W:$W&lt;&gt;"ZAR"))&amp;")"</f>
        <v>World bond indices (0)</v>
      </c>
      <c r="I10" s="181" t="str" cm="1">
        <f t="array" ref="I10">IF(ISNA(MATCH(1,("bond derivatives"=Data!C:C)*("ZAR"&lt;&gt;Data!W:W),0)),"",INDEX(Data!D:D,MATCH(1,("bond derivatives"=Data!C:C)*("ZAR"&lt;&gt;Data!W:W),0)))</f>
        <v/>
      </c>
      <c r="J10" s="29" t="str" cm="1">
        <f t="array" ref="J10">IF(I10&lt;&gt;"",IF(COUNTA($I$10:I$10)&lt;COUNTIF(Data!$C:$C,"Bond Derivatives"),INDEX(Data!$D:$D,MATCH(I$10,Data!$D:$D,0)+1),""),"")</f>
        <v/>
      </c>
      <c r="K10" s="29" t="str" cm="1">
        <f t="array" ref="K10">IF(COUNTA($I$10:J$10)&lt;COUNTIF(Data!$C:$C,"Bond Derivatives"),INDEX(Data!$D:$D,MATCH(J$10,Data!$D:$D,0)+1),"")</f>
        <v/>
      </c>
      <c r="L10" s="29" t="str" cm="1">
        <f t="array" ref="L10">IF(COUNTA($I$10:K$10)&lt;COUNTIF(Data!$C:$C,"Bond Derivatives"),INDEX(Data!$D:$D,MATCH(K$10,Data!$D:$D,0)+1),"")</f>
        <v/>
      </c>
      <c r="M10" s="29" t="str" cm="1">
        <f t="array" ref="M10">IF(COUNTA($I$10:L$10)&lt;COUNTIF(Data!$C:$C,"Bond Derivatives"),INDEX(Data!$D:$D,MATCH(L$10,Data!$D:$D,0)+1),"")</f>
        <v/>
      </c>
      <c r="N10" s="29" t="str" cm="1">
        <f t="array" ref="N10">IF(COUNTA($I$10:M$10)&lt;COUNTIF(Data!$C:$C,"Bond Derivatives"),INDEX(Data!$D:$D,MATCH(M$10,Data!$D:$D,0)+1),"")</f>
        <v/>
      </c>
      <c r="O10" s="29" t="str" cm="1">
        <f t="array" ref="O10">IF(COUNTA($I$10:N$10)&lt;COUNTIF(Data!$C:$C,"Bond Derivatives"),INDEX(Data!$D:$D,MATCH(N$10,Data!$D:$D,0)+1),"")</f>
        <v/>
      </c>
      <c r="P10" s="29" t="str" cm="1">
        <f t="array" ref="P10">IF(COUNTA($I$10:O$10)&lt;COUNTIF(Data!$C:$C,"Bond Derivatives"),INDEX(Data!$D:$D,MATCH(O$10,Data!$D:$D,0)+1),"")</f>
        <v/>
      </c>
      <c r="Q10" s="29" t="str" cm="1">
        <f t="array" ref="Q10">IF(COUNTA($I$10:P$10)&lt;COUNTIF(Data!$C:$C,"Bond Derivatives"),INDEX(Data!$D:$D,MATCH(P$10,Data!$D:$D,0)+1),"")</f>
        <v/>
      </c>
      <c r="R10" s="29" t="str" cm="1">
        <f t="array" ref="R10">IF(COUNTA($I$10:Q$10)&lt;COUNTIF(Data!$C:$C,"Bond Derivatives"),INDEX(Data!$D:$D,MATCH(Q$10,Data!$D:$D,0)+1),"")</f>
        <v/>
      </c>
      <c r="S10" s="29" t="str" cm="1">
        <f t="array" ref="S10">IF(COUNTA($I$10:R$10)&lt;COUNTIF(Data!$C:$C,"Bond Derivatives"),INDEX(Data!$D:$D,MATCH(R$10,Data!$D:$D,0)+1),"")</f>
        <v/>
      </c>
      <c r="T10" s="29" t="str" cm="1">
        <f t="array" ref="T10">IF(COUNTA($I$10:S$10)&lt;COUNTIF(Data!$C:$C,"Bond Derivatives"),INDEX(Data!$D:$D,MATCH(S$10,Data!$D:$D,0)+1),"")</f>
        <v/>
      </c>
      <c r="U10" s="29" t="str" cm="1">
        <f t="array" ref="U10">IF(COUNTA($I$10:T$10)&lt;COUNTIF(Data!$C:$C,"Bond Derivatives"),INDEX(Data!$D:$D,MATCH(T$10,Data!$D:$D,0)+1),"")</f>
        <v/>
      </c>
      <c r="V10" s="29" t="str" cm="1">
        <f t="array" ref="V10">IF(COUNTA($I$10:U$10)&lt;COUNTIF(Data!$C:$C,"Bond Derivatives"),INDEX(Data!$D:$D,MATCH(U$10,Data!$D:$D,0)+1),"")</f>
        <v/>
      </c>
      <c r="W10" s="29" t="str" cm="1">
        <f t="array" ref="W10">IF(COUNTA($I$10:V$10)&lt;COUNTIF(Data!$C:$C,"Bond Derivatives"),INDEX(Data!$D:$D,MATCH(V$10,Data!$D:$D,0)+1),"")</f>
        <v/>
      </c>
      <c r="X10" s="29" t="str" cm="1">
        <f t="array" ref="X10">IF(COUNTA($I$10:W$10)&lt;COUNTIF(Data!$C:$C,"Bond Derivatives"),INDEX(Data!$D:$D,MATCH(W$10,Data!$D:$D,0)+1),"")</f>
        <v/>
      </c>
      <c r="Y10" s="29" t="str" cm="1">
        <f t="array" ref="Y10">IF(COUNTA($I$10:X$10)&lt;COUNTIF(Data!$C:$C,"Bond Derivatives"),INDEX(Data!$D:$D,MATCH(X$10,Data!$D:$D,0)+1),"")</f>
        <v/>
      </c>
      <c r="Z10" s="29" t="str" cm="1">
        <f t="array" ref="Z10">IF(COUNTA($I$10:Y$10)&lt;COUNTIF(Data!$C:$C,"Bond Derivatives"),INDEX(Data!$D:$D,MATCH(Y$10,Data!$D:$D,0)+1),"")</f>
        <v/>
      </c>
      <c r="AA10" s="29" t="str" cm="1">
        <f t="array" ref="AA10">IF(COUNTA($I$10:Z$10)&lt;COUNTIF(Data!$C:$C,"Bond Derivatives"),INDEX(Data!$D:$D,MATCH(Z$10,Data!$D:$D,0)+1),"")</f>
        <v/>
      </c>
      <c r="AB10" s="29" t="str" cm="1">
        <f t="array" ref="AB10">IF(COUNTA($I$10:AA$10)&lt;COUNTIF(Data!$C:$C,"Bond Derivatives"),INDEX(Data!$D:$D,MATCH(AA$10,Data!$D:$D,0)+1),"")</f>
        <v/>
      </c>
      <c r="AC10" s="29" t="str" cm="1">
        <f t="array" ref="AC10">IF(COUNTA($I$10:AB$10)&lt;COUNTIF(Data!$C:$C,"Bond Derivatives"),INDEX(Data!$D:$D,MATCH(AB$10,Data!$D:$D,0)+1),"")</f>
        <v/>
      </c>
      <c r="AD10" s="29" t="str" cm="1">
        <f t="array" ref="AD10">IF(COUNTA($I$10:AC$10)&lt;COUNTIF(Data!$C:$C,"Bond Derivatives"),INDEX(Data!$D:$D,MATCH(AC$10,Data!$D:$D,0)+1),"")</f>
        <v/>
      </c>
      <c r="AE10" s="29" t="str" cm="1">
        <f t="array" ref="AE10">IF(COUNTA($I$10:AD$10)&lt;COUNTIF(Data!$C:$C,"Bond Derivatives"),INDEX(Data!$D:$D,MATCH(AD$10,Data!$D:$D,0)+1),"")</f>
        <v/>
      </c>
      <c r="AF10" s="29" t="str" cm="1">
        <f t="array" ref="AF10">IF(COUNTA($I$10:AE$10)&lt;COUNTIF(Data!$C:$C,"Bond Derivatives"),INDEX(Data!$D:$D,MATCH(AE$10,Data!$D:$D,0)+1),"")</f>
        <v/>
      </c>
      <c r="AG10" s="29" t="str" cm="1">
        <f t="array" ref="AG10">IF(COUNTA($I$10:AF$10)&lt;COUNTIF(Data!$C:$C,"Bond Derivatives"),INDEX(Data!$D:$D,MATCH(AF$10,Data!$D:$D,0)+1),"")</f>
        <v/>
      </c>
      <c r="AH10" s="29" t="str" cm="1">
        <f t="array" ref="AH10">IF(COUNTA($I$10:AG$10)&lt;COUNTIF(Data!$C:$C,"Bond Derivatives"),INDEX(Data!$D:$D,MATCH(AG$10,Data!$D:$D,0)+1),"")</f>
        <v/>
      </c>
      <c r="AI10" s="29" t="str" cm="1">
        <f t="array" ref="AI10">IF(COUNTA($I$10:AH$10)&lt;COUNTIF(Data!$C:$C,"Bond Derivatives"),INDEX(Data!$D:$D,MATCH(AH$10,Data!$D:$D,0)+1),"")</f>
        <v/>
      </c>
      <c r="AJ10" s="29" t="str" cm="1">
        <f t="array" ref="AJ10">IF(COUNTA($I$10:AI$10)&lt;COUNTIF(Data!$C:$C,"Bond Derivatives"),INDEX(Data!$D:$D,MATCH(AI$10,Data!$D:$D,0)+1),"")</f>
        <v/>
      </c>
      <c r="AK10" s="29" t="str" cm="1">
        <f t="array" ref="AK10">IF(COUNTA($I$10:AJ$10)&lt;COUNTIF(Data!$C:$C,"Bond Derivatives"),INDEX(Data!$D:$D,MATCH(AJ$10,Data!$D:$D,0)+1),"")</f>
        <v/>
      </c>
      <c r="AL10" s="29" t="str" cm="1">
        <f t="array" ref="AL10">IF(COUNTA($I$10:AK$10)&lt;COUNTIF(Data!$C:$C,"Bond Derivatives"),INDEX(Data!$D:$D,MATCH(AK$10,Data!$D:$D,0)+1),"")</f>
        <v/>
      </c>
      <c r="AM10" s="29" t="str" cm="1">
        <f t="array" ref="AM10">IF(COUNTA($I$10:AL$10)&lt;COUNTIF(Data!$C:$C,"Bond Derivatives"),INDEX(Data!$D:$D,MATCH(AL$10,Data!$D:$D,0)+1),"")</f>
        <v/>
      </c>
      <c r="AN10" s="29" t="str" cm="1">
        <f t="array" ref="AN10">IF(COUNTA($I$10:AM$10)&lt;COUNTIF(Data!$C:$C,"Bond Derivatives"),INDEX(Data!$D:$D,MATCH(AM$10,Data!$D:$D,0)+1),"")</f>
        <v/>
      </c>
      <c r="AO10" s="29" t="str" cm="1">
        <f t="array" ref="AO10">IF(COUNTA($I$10:AN$10)&lt;COUNTIF(Data!$C:$C,"Bond Derivatives"),INDEX(Data!$D:$D,MATCH(AN$10,Data!$D:$D,0)+1),"")</f>
        <v/>
      </c>
      <c r="AP10" s="29" t="str" cm="1">
        <f t="array" ref="AP10">IF(COUNTA($I$10:AO$10)&lt;COUNTIF(Data!$C:$C,"Bond Derivatives"),INDEX(Data!$D:$D,MATCH(AO$10,Data!$D:$D,0)+1),"")</f>
        <v/>
      </c>
      <c r="AQ10" s="29" t="str" cm="1">
        <f t="array" ref="AQ10">IF(COUNTA($I$10:AP$10)&lt;COUNTIF(Data!$C:$C,"Bond Derivatives"),INDEX(Data!$D:$D,MATCH(AP$10,Data!$D:$D,0)+1),"")</f>
        <v/>
      </c>
      <c r="AR10" s="29" t="str" cm="1">
        <f t="array" ref="AR10">IF(COUNTA($I$10:AQ$10)&lt;COUNTIF(Data!$C:$C,"Bond Derivatives"),INDEX(Data!$D:$D,MATCH(AQ$10,Data!$D:$D,0)+1),"")</f>
        <v/>
      </c>
      <c r="AS10" s="29" t="str" cm="1">
        <f t="array" ref="AS10">IF(COUNTA($I$10:AR$10)&lt;COUNTIF(Data!$C:$C,"Bond Derivatives"),INDEX(Data!$D:$D,MATCH(AR$10,Data!$D:$D,0)+1),"")</f>
        <v/>
      </c>
      <c r="AT10" s="29" t="str" cm="1">
        <f t="array" ref="AT10">IF(COUNTA($I$10:AS$10)&lt;COUNTIF(Data!$C:$C,"Bond Derivatives"),INDEX(Data!$D:$D,MATCH(AS$10,Data!$D:$D,0)+1),"")</f>
        <v/>
      </c>
      <c r="AU10" s="29" t="str" cm="1">
        <f t="array" ref="AU10">IF(COUNTA($I$10:AT$10)&lt;COUNTIF(Data!$C:$C,"Bond Derivatives"),INDEX(Data!$D:$D,MATCH(AT$10,Data!$D:$D,0)+1),"")</f>
        <v/>
      </c>
      <c r="AV10" s="29" t="str" cm="1">
        <f t="array" ref="AV10">IF(COUNTA($I$10:AU$10)&lt;COUNTIF(Data!$C:$C,"Bond Derivatives"),INDEX(Data!$D:$D,MATCH(AU$10,Data!$D:$D,0)+1),"")</f>
        <v/>
      </c>
      <c r="AW10" s="29" t="str" cm="1">
        <f t="array" ref="AW10">IF(COUNTA($I$10:AV$10)&lt;COUNTIF(Data!$C:$C,"Bond Derivatives"),INDEX(Data!$D:$D,MATCH(AV$10,Data!$D:$D,0)+1),"")</f>
        <v/>
      </c>
      <c r="AX10" s="29" t="str" cm="1">
        <f t="array" ref="AX10">IF(COUNTA($I$10:AW$10)&lt;COUNTIF(Data!$C:$C,"Bond Derivatives"),INDEX(Data!$D:$D,MATCH(AW$10,Data!$D:$D,0)+1),"")</f>
        <v/>
      </c>
      <c r="AY10" s="29" t="str" cm="1">
        <f t="array" ref="AY10">IF(COUNTA($I$10:AX$10)&lt;COUNTIF(Data!$C:$C,"Bond Derivatives"),INDEX(Data!$D:$D,MATCH(AX$10,Data!$D:$D,0)+1),"")</f>
        <v/>
      </c>
      <c r="AZ10" s="29" t="str" cm="1">
        <f t="array" ref="AZ10">IF(COUNTA($I$10:AY$10)&lt;COUNTIF(Data!$C:$C,"Bond Derivatives"),INDEX(Data!$D:$D,MATCH(AY$10,Data!$D:$D,0)+1),"")</f>
        <v/>
      </c>
      <c r="BA10" s="29" t="str" cm="1">
        <f t="array" ref="BA10">IF(COUNTA($I$10:AZ$10)&lt;COUNTIF(Data!$C:$C,"Bond Derivatives"),INDEX(Data!$D:$D,MATCH(AZ$10,Data!$D:$D,0)+1),"")</f>
        <v/>
      </c>
      <c r="BB10" s="29" t="str" cm="1">
        <f t="array" ref="BB10">IF(COUNTA($I$10:BA$10)&lt;COUNTIF(Data!$C:$C,"Bond Derivatives"),INDEX(Data!$D:$D,MATCH(BA$10,Data!$D:$D,0)+1),"")</f>
        <v/>
      </c>
      <c r="BC10" s="29" t="str" cm="1">
        <f t="array" ref="BC10">IF(COUNTA($I$10:BB$10)&lt;COUNTIF(Data!$C:$C,"Bond Derivatives"),INDEX(Data!$D:$D,MATCH(BB$10,Data!$D:$D,0)+1),"")</f>
        <v/>
      </c>
      <c r="BD10" s="29" t="str" cm="1">
        <f t="array" ref="BD10">IF(COUNTA($I$10:BC$10)&lt;COUNTIF(Data!$C:$C,"Bond Derivatives"),INDEX(Data!$D:$D,MATCH(BC$10,Data!$D:$D,0)+1),"")</f>
        <v/>
      </c>
      <c r="BE10" s="29" t="str" cm="1">
        <f t="array" ref="BE10">IF(COUNTA($I$10:BD$10)&lt;COUNTIF(Data!$C:$C,"Bond Derivatives"),INDEX(Data!$D:$D,MATCH(BD$10,Data!$D:$D,0)+1),"")</f>
        <v/>
      </c>
      <c r="BF10" s="29" t="str" cm="1">
        <f t="array" ref="BF10">IF(COUNTA($I$10:BE$10)&lt;COUNTIF(Data!$C:$C,"Bond Derivatives"),INDEX(Data!$D:$D,MATCH(BE$10,Data!$D:$D,0)+1),"")</f>
        <v/>
      </c>
      <c r="BG10" s="29" t="str" cm="1">
        <f t="array" ref="BG10">IF(COUNTA($I$10:BF$10)&lt;COUNTIF(Data!$C:$C,"Bond Derivatives"),INDEX(Data!$D:$D,MATCH(BF$10,Data!$D:$D,0)+1),"")</f>
        <v/>
      </c>
      <c r="BH10" s="30" t="str" cm="1">
        <f t="array" ref="BH10">IF(COUNTA($I$10:BG$10)&lt;COUNTIF(Data!$C:$C,"Bond Derivatives"),INDEX(Data!$D:$D,MATCH(BG$10,Data!$D:$D,0)+1),"")</f>
        <v/>
      </c>
    </row>
    <row r="11" spans="1:119" ht="16.5" thickTop="1" x14ac:dyDescent="0.3">
      <c r="A11" s="107" t="s">
        <v>10903</v>
      </c>
      <c r="B11" s="124">
        <f>SUMIF(Data!$E:$E,"VARMARG",Data!$AH:$AH)</f>
        <v>-98560</v>
      </c>
      <c r="C11" s="72">
        <f>$B11/$B$4</f>
        <v>-5.6165476126710174E-4</v>
      </c>
      <c r="H11" s="178">
        <f>SUM(I11:BH11)</f>
        <v>0</v>
      </c>
      <c r="I11" s="16" t="str">
        <f>IF(I$10="","",INDEX(Data!$AH:$AH,MATCH(I$10,Data!$D:$D,0))/$B$4)</f>
        <v/>
      </c>
      <c r="J11" s="17" t="str">
        <f>IF(J$10="","",INDEX(Data!$AH:$AH,MATCH(J$10,Data!$D:$D,0))/$B$4)</f>
        <v/>
      </c>
      <c r="K11" s="17" t="str">
        <f>IF(K$10="","",INDEX(Data!$AH:$AH,MATCH(K$10,Data!$D:$D,0))/$B$4)</f>
        <v/>
      </c>
      <c r="L11" s="17" t="str">
        <f>IF(L$10="","",INDEX(Data!$AH:$AH,MATCH(L$10,Data!$D:$D,0))/$B$4)</f>
        <v/>
      </c>
      <c r="M11" s="17" t="str">
        <f>IF(M$10="","",INDEX(Data!$AH:$AH,MATCH(M$10,Data!$D:$D,0))/$B$4)</f>
        <v/>
      </c>
      <c r="N11" s="17" t="str">
        <f>IF(N$10="","",INDEX(Data!$AH:$AH,MATCH(N$10,Data!$D:$D,0))/$B$4)</f>
        <v/>
      </c>
      <c r="O11" s="17" t="str">
        <f>IF(O$10="","",INDEX(Data!$AH:$AH,MATCH(O$10,Data!$D:$D,0))/$B$4)</f>
        <v/>
      </c>
      <c r="P11" s="17" t="str">
        <f>IF(P$10="","",INDEX(Data!$AH:$AH,MATCH(P$10,Data!$D:$D,0))/$B$4)</f>
        <v/>
      </c>
      <c r="Q11" s="17" t="str">
        <f>IF(Q$10="","",INDEX(Data!$AH:$AH,MATCH(Q$10,Data!$D:$D,0))/$B$4)</f>
        <v/>
      </c>
      <c r="R11" s="17" t="str">
        <f>IF(R$10="","",INDEX(Data!$AH:$AH,MATCH(R$10,Data!$D:$D,0))/$B$4)</f>
        <v/>
      </c>
      <c r="S11" s="17" t="str">
        <f>IF(S$10="","",INDEX(Data!$AH:$AH,MATCH(S$10,Data!$D:$D,0))/$B$4)</f>
        <v/>
      </c>
      <c r="T11" s="17" t="str">
        <f>IF(T$10="","",INDEX(Data!$AH:$AH,MATCH(T$10,Data!$D:$D,0))/$B$4)</f>
        <v/>
      </c>
      <c r="U11" s="17" t="str">
        <f>IF(U$10="","",INDEX(Data!$AH:$AH,MATCH(U$10,Data!$D:$D,0))/$B$4)</f>
        <v/>
      </c>
      <c r="V11" s="17" t="str">
        <f>IF(V$10="","",INDEX(Data!$AH:$AH,MATCH(V$10,Data!$D:$D,0))/$B$4)</f>
        <v/>
      </c>
      <c r="W11" s="17" t="str">
        <f>IF(W$10="","",INDEX(Data!$AH:$AH,MATCH(W$10,Data!$D:$D,0))/$B$4)</f>
        <v/>
      </c>
      <c r="X11" s="17" t="str">
        <f>IF(X$10="","",INDEX(Data!$AH:$AH,MATCH(X$10,Data!$D:$D,0))/$B$4)</f>
        <v/>
      </c>
      <c r="Y11" s="17" t="str">
        <f>IF(Y$10="","",INDEX(Data!$AH:$AH,MATCH(Y$10,Data!$D:$D,0))/$B$4)</f>
        <v/>
      </c>
      <c r="Z11" s="17" t="str">
        <f>IF(Z$10="","",INDEX(Data!$AH:$AH,MATCH(Z$10,Data!$D:$D,0))/$B$4)</f>
        <v/>
      </c>
      <c r="AA11" s="17" t="str">
        <f>IF(AA$10="","",INDEX(Data!$AH:$AH,MATCH(AA$10,Data!$D:$D,0))/$B$4)</f>
        <v/>
      </c>
      <c r="AB11" s="17" t="str">
        <f>IF(AB$10="","",INDEX(Data!$AH:$AH,MATCH(AB$10,Data!$D:$D,0))/$B$4)</f>
        <v/>
      </c>
      <c r="AC11" s="17" t="str">
        <f>IF(AC$10="","",INDEX(Data!$AH:$AH,MATCH(AC$10,Data!$D:$D,0))/$B$4)</f>
        <v/>
      </c>
      <c r="AD11" s="17" t="str">
        <f>IF(AD$10="","",INDEX(Data!$AH:$AH,MATCH(AD$10,Data!$D:$D,0))/$B$4)</f>
        <v/>
      </c>
      <c r="AE11" s="17" t="str">
        <f>IF(AE$10="","",INDEX(Data!$AH:$AH,MATCH(AE$10,Data!$D:$D,0))/$B$4)</f>
        <v/>
      </c>
      <c r="AF11" s="17" t="str">
        <f>IF(AF$10="","",INDEX(Data!$AH:$AH,MATCH(AF$10,Data!$D:$D,0))/$B$4)</f>
        <v/>
      </c>
      <c r="AG11" s="17" t="str">
        <f>IF(AG$10="","",INDEX(Data!$AH:$AH,MATCH(AG$10,Data!$D:$D,0))/$B$4)</f>
        <v/>
      </c>
      <c r="AH11" s="17" t="str">
        <f>IF(AH$10="","",INDEX(Data!$AH:$AH,MATCH(AH$10,Data!$D:$D,0))/$B$4)</f>
        <v/>
      </c>
      <c r="AI11" s="17" t="str">
        <f>IF(AI$10="","",INDEX(Data!$AH:$AH,MATCH(AI$10,Data!$D:$D,0))/$B$4)</f>
        <v/>
      </c>
      <c r="AJ11" s="17" t="str">
        <f>IF(AJ$10="","",INDEX(Data!$AH:$AH,MATCH(AJ$10,Data!$D:$D,0))/$B$4)</f>
        <v/>
      </c>
      <c r="AK11" s="17" t="str">
        <f>IF(AK$10="","",INDEX(Data!$AH:$AH,MATCH(AK$10,Data!$D:$D,0))/$B$4)</f>
        <v/>
      </c>
      <c r="AL11" s="17" t="str">
        <f>IF(AL$10="","",INDEX(Data!$AH:$AH,MATCH(AL$10,Data!$D:$D,0))/$B$4)</f>
        <v/>
      </c>
      <c r="AM11" s="17" t="str">
        <f>IF(AM$10="","",INDEX(Data!$AH:$AH,MATCH(AM$10,Data!$D:$D,0))/$B$4)</f>
        <v/>
      </c>
      <c r="AN11" s="17" t="str">
        <f>IF(AN$10="","",INDEX(Data!$AH:$AH,MATCH(AN$10,Data!$D:$D,0))/$B$4)</f>
        <v/>
      </c>
      <c r="AO11" s="17" t="str">
        <f>IF(AO$10="","",INDEX(Data!$AH:$AH,MATCH(AO$10,Data!$D:$D,0))/$B$4)</f>
        <v/>
      </c>
      <c r="AP11" s="17" t="str">
        <f>IF(AP$10="","",INDEX(Data!$AH:$AH,MATCH(AP$10,Data!$D:$D,0))/$B$4)</f>
        <v/>
      </c>
      <c r="AQ11" s="17" t="str">
        <f>IF(AQ$10="","",INDEX(Data!$AH:$AH,MATCH(AQ$10,Data!$D:$D,0))/$B$4)</f>
        <v/>
      </c>
      <c r="AR11" s="17" t="str">
        <f>IF(AR$10="","",INDEX(Data!$AH:$AH,MATCH(AR$10,Data!$D:$D,0))/$B$4)</f>
        <v/>
      </c>
      <c r="AS11" s="17" t="str">
        <f>IF(AS$10="","",INDEX(Data!$AH:$AH,MATCH(AS$10,Data!$D:$D,0))/$B$4)</f>
        <v/>
      </c>
      <c r="AT11" s="17" t="str">
        <f>IF(AT$10="","",INDEX(Data!$AH:$AH,MATCH(AT$10,Data!$D:$D,0))/$B$4)</f>
        <v/>
      </c>
      <c r="AU11" s="17" t="str">
        <f>IF(AU$10="","",INDEX(Data!$AH:$AH,MATCH(AU$10,Data!$D:$D,0))/$B$4)</f>
        <v/>
      </c>
      <c r="AV11" s="17" t="str">
        <f>IF(AV$10="","",INDEX(Data!$AH:$AH,MATCH(AV$10,Data!$D:$D,0))/$B$4)</f>
        <v/>
      </c>
      <c r="AW11" s="17" t="str">
        <f>IF(AW$10="","",INDEX(Data!$AH:$AH,MATCH(AW$10,Data!$D:$D,0))/$B$4)</f>
        <v/>
      </c>
      <c r="AX11" s="17" t="str">
        <f>IF(AX$10="","",INDEX(Data!$AH:$AH,MATCH(AX$10,Data!$D:$D,0))/$B$4)</f>
        <v/>
      </c>
      <c r="AY11" s="17" t="str">
        <f>IF(AY$10="","",INDEX(Data!$AH:$AH,MATCH(AY$10,Data!$D:$D,0))/$B$4)</f>
        <v/>
      </c>
      <c r="AZ11" s="17" t="str">
        <f>IF(AZ$10="","",INDEX(Data!$AH:$AH,MATCH(AZ$10,Data!$D:$D,0))/$B$4)</f>
        <v/>
      </c>
      <c r="BA11" s="17" t="str">
        <f>IF(BA$10="","",INDEX(Data!$AH:$AH,MATCH(BA$10,Data!$D:$D,0))/$B$4)</f>
        <v/>
      </c>
      <c r="BB11" s="17" t="str">
        <f>IF(BB$10="","",INDEX(Data!$AH:$AH,MATCH(BB$10,Data!$D:$D,0))/$B$4)</f>
        <v/>
      </c>
      <c r="BC11" s="17" t="str">
        <f>IF(BC$10="","",INDEX(Data!$AH:$AH,MATCH(BC$10,Data!$D:$D,0))/$B$4)</f>
        <v/>
      </c>
      <c r="BD11" s="17" t="str">
        <f>IF(BD$10="","",INDEX(Data!$AH:$AH,MATCH(BD$10,Data!$D:$D,0))/$B$4)</f>
        <v/>
      </c>
      <c r="BE11" s="17" t="str">
        <f>IF(BE$10="","",INDEX(Data!$AH:$AH,MATCH(BE$10,Data!$D:$D,0))/$B$4)</f>
        <v/>
      </c>
      <c r="BF11" s="17" t="str">
        <f>IF(BF$10="","",INDEX(Data!$AH:$AH,MATCH(BF$10,Data!$D:$D,0))/$B$4)</f>
        <v/>
      </c>
      <c r="BG11" s="17" t="str">
        <f>IF(BG$10="","",INDEX(Data!$AH:$AH,MATCH(BG$10,Data!$D:$D,0))/$B$4)</f>
        <v/>
      </c>
      <c r="BH11" s="18" t="str">
        <f>IF(BH$10="","",INDEX(Data!$AH:$AH,MATCH(BH$10,Data!$D:$D,0))/$B$4)</f>
        <v/>
      </c>
    </row>
    <row r="12" spans="1:119" x14ac:dyDescent="0.3">
      <c r="B12" s="65"/>
      <c r="C12" s="65"/>
      <c r="D12" s="65"/>
      <c r="E12" s="20">
        <f>SUMIF(BM!$A:$A,"J203",BM!$E:$E)</f>
        <v>19.91896807877794</v>
      </c>
      <c r="F12" s="21" t="s">
        <v>75</v>
      </c>
      <c r="H12" s="178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5"/>
    </row>
    <row r="13" spans="1:119" x14ac:dyDescent="0.3">
      <c r="A13" s="125" t="s">
        <v>10917</v>
      </c>
      <c r="B13" s="65">
        <f>SUM(B14:B14)</f>
        <v>0</v>
      </c>
      <c r="C13" s="69">
        <f>SUM(C14:C14)</f>
        <v>0</v>
      </c>
      <c r="D13" s="65"/>
      <c r="E13" s="26">
        <f>MIN(0, $H$2*100)</f>
        <v>0</v>
      </c>
      <c r="F13" s="27" t="s">
        <v>73</v>
      </c>
      <c r="H13" s="179" t="str">
        <f>"Currency futures ("&amp;COUNTIF(Data!$C:$C,"Currency Derivatives")&amp;")"</f>
        <v>Currency futures (0)</v>
      </c>
      <c r="I13" s="28" t="str">
        <f>IF(ISNA(IF(ISNA(MATCH("Currency Derivatives",Data!$C:$C,0)),"",INDEX(Data!$D:$D,MATCH("Currency Derivatives",Data!$C:$C,0)))),"",IF(ISNA(MATCH("Currency Derivatives",Data!$C:$C,0)),"",INDEX(Data!$D:$D,MATCH("Currency Derivatives",Data!$C:$C,0))))</f>
        <v/>
      </c>
      <c r="J13" s="29" t="str" cm="1">
        <f t="array" ref="J13">IF(COUNTA($I$13:I$13)&lt;COUNTIF(Data!$C:$C,"Currency derivatives"),INDEX(Data!$D:$D,MATCH(I$13,Data!$D:$D,0)+1),"")</f>
        <v/>
      </c>
      <c r="K13" s="29" t="str" cm="1">
        <f t="array" ref="K13">IF(COUNTA($I$13:J$13)&lt;COUNTIF(Data!$C:$C,"Currency derivatives"),INDEX(Data!$D:$D,MATCH(J$13,Data!$D:$D,0)+1),"")</f>
        <v/>
      </c>
      <c r="L13" s="29" t="str" cm="1">
        <f t="array" ref="L13">IF(COUNTA($I$13:K$13)&lt;COUNTIF(Data!$C:$C,"Currency derivatives"),INDEX(Data!$D:$D,MATCH(K$13,Data!$D:$D,0)+1),"")</f>
        <v/>
      </c>
      <c r="M13" s="29" t="str" cm="1">
        <f t="array" ref="M13">IF(COUNTA($I$13:L$13)&lt;COUNTIF(Data!$C:$C,"Currency derivatives"),INDEX(Data!$D:$D,MATCH(L$13,Data!$D:$D,0)+1),"")</f>
        <v/>
      </c>
      <c r="N13" s="29" t="str" cm="1">
        <f t="array" ref="N13">IF(COUNTA($I$13:M$13)&lt;COUNTIF(Data!$C:$C,"Currency derivatives"),INDEX(Data!$D:$D,MATCH(M$13,Data!$D:$D,0)+1),"")</f>
        <v/>
      </c>
      <c r="O13" s="29" t="str" cm="1">
        <f t="array" ref="O13">IF(COUNTA($I$13:N$13)&lt;COUNTIF(Data!$C:$C,"Currency derivatives"),INDEX(Data!$D:$D,MATCH(N$13,Data!$D:$D,0)+1),"")</f>
        <v/>
      </c>
      <c r="P13" s="29" t="str" cm="1">
        <f t="array" ref="P13">IF(COUNTA($I$13:O$13)&lt;COUNTIF(Data!$C:$C,"Currency derivatives"),INDEX(Data!$D:$D,MATCH(O$13,Data!$D:$D,0)+1),"")</f>
        <v/>
      </c>
      <c r="Q13" s="29" t="str" cm="1">
        <f t="array" ref="Q13">IF(COUNTA($I$13:P$13)&lt;COUNTIF(Data!$C:$C,"Currency derivatives"),INDEX(Data!$D:$D,MATCH(P$13,Data!$D:$D,0)+1),"")</f>
        <v/>
      </c>
      <c r="R13" s="29" t="str" cm="1">
        <f t="array" ref="R13">IF(COUNTA($I$13:Q$13)&lt;COUNTIF(Data!$C:$C,"Currency derivatives"),INDEX(Data!$D:$D,MATCH(Q$13,Data!$D:$D,0)+1),"")</f>
        <v/>
      </c>
      <c r="S13" s="29" t="str" cm="1">
        <f t="array" ref="S13">IF(COUNTA($I$13:R$13)&lt;COUNTIF(Data!$C:$C,"Currency derivatives"),INDEX(Data!$D:$D,MATCH(R$13,Data!$D:$D,0)+1),"")</f>
        <v/>
      </c>
      <c r="T13" s="29" t="str" cm="1">
        <f t="array" ref="T13">IF(COUNTA($I$13:S$13)&lt;COUNTIF(Data!$C:$C,"Currency derivatives"),INDEX(Data!$D:$D,MATCH(S$13,Data!$D:$D,0)+1),"")</f>
        <v/>
      </c>
      <c r="U13" s="29" t="str" cm="1">
        <f t="array" ref="U13">IF(COUNTA($I$13:T$13)&lt;COUNTIF(Data!$C:$C,"Currency derivatives"),INDEX(Data!$D:$D,MATCH(T$13,Data!$D:$D,0)+1),"")</f>
        <v/>
      </c>
      <c r="V13" s="29" t="str" cm="1">
        <f t="array" ref="V13">IF(COUNTA($I$13:U$13)&lt;COUNTIF(Data!$C:$C,"Currency derivatives"),INDEX(Data!$D:$D,MATCH(U$13,Data!$D:$D,0)+1),"")</f>
        <v/>
      </c>
      <c r="W13" s="29" t="str" cm="1">
        <f t="array" ref="W13">IF(COUNTA($I$13:V$13)&lt;COUNTIF(Data!$C:$C,"Currency derivatives"),INDEX(Data!$D:$D,MATCH(V$13,Data!$D:$D,0)+1),"")</f>
        <v/>
      </c>
      <c r="X13" s="29" t="str" cm="1">
        <f t="array" ref="X13">IF(COUNTA($I$13:W$13)&lt;COUNTIF(Data!$C:$C,"Currency derivatives"),INDEX(Data!$D:$D,MATCH(W$13,Data!$D:$D,0)+1),"")</f>
        <v/>
      </c>
      <c r="Y13" s="29" t="str" cm="1">
        <f t="array" ref="Y13">IF(COUNTA($I$13:X$13)&lt;COUNTIF(Data!$C:$C,"Currency derivatives"),INDEX(Data!$D:$D,MATCH(X$13,Data!$D:$D,0)+1),"")</f>
        <v/>
      </c>
      <c r="Z13" s="29" t="str" cm="1">
        <f t="array" ref="Z13">IF(COUNTA($I$13:Y$13)&lt;COUNTIF(Data!$C:$C,"Currency derivatives"),INDEX(Data!$D:$D,MATCH(Y$13,Data!$D:$D,0)+1),"")</f>
        <v/>
      </c>
      <c r="AA13" s="29" t="str" cm="1">
        <f t="array" ref="AA13">IF(COUNTA($I$13:Z$13)&lt;COUNTIF(Data!$C:$C,"Currency derivatives"),INDEX(Data!$D:$D,MATCH(Z$13,Data!$D:$D,0)+1),"")</f>
        <v/>
      </c>
      <c r="AB13" s="29" t="str" cm="1">
        <f t="array" ref="AB13">IF(COUNTA($I$13:AA$13)&lt;COUNTIF(Data!$C:$C,"Currency derivatives"),INDEX(Data!$D:$D,MATCH(AA$13,Data!$D:$D,0)+1),"")</f>
        <v/>
      </c>
      <c r="AC13" s="29" t="str" cm="1">
        <f t="array" ref="AC13">IF(COUNTA($I$13:AB$13)&lt;COUNTIF(Data!$C:$C,"Currency derivatives"),INDEX(Data!$D:$D,MATCH(AB$13,Data!$D:$D,0)+1),"")</f>
        <v/>
      </c>
      <c r="AD13" s="29" t="str" cm="1">
        <f t="array" ref="AD13">IF(COUNTA($I$13:AC$13)&lt;COUNTIF(Data!$C:$C,"Currency derivatives"),INDEX(Data!$D:$D,MATCH(AC$13,Data!$D:$D,0)+1),"")</f>
        <v/>
      </c>
      <c r="AE13" s="29" t="str" cm="1">
        <f t="array" ref="AE13">IF(COUNTA($I$13:AD$13)&lt;COUNTIF(Data!$C:$C,"Currency derivatives"),INDEX(Data!$D:$D,MATCH(AD$13,Data!$D:$D,0)+1),"")</f>
        <v/>
      </c>
      <c r="AF13" s="29" t="str" cm="1">
        <f t="array" ref="AF13">IF(COUNTA($I$13:AE$13)&lt;COUNTIF(Data!$C:$C,"Currency derivatives"),INDEX(Data!$D:$D,MATCH(AE$13,Data!$D:$D,0)+1),"")</f>
        <v/>
      </c>
      <c r="AG13" s="29" t="str" cm="1">
        <f t="array" ref="AG13">IF(COUNTA($I$13:AF$13)&lt;COUNTIF(Data!$C:$C,"Currency derivatives"),INDEX(Data!$D:$D,MATCH(AF$13,Data!$D:$D,0)+1),"")</f>
        <v/>
      </c>
      <c r="AH13" s="29" t="str" cm="1">
        <f t="array" ref="AH13">IF(COUNTA($I$13:AG$13)&lt;COUNTIF(Data!$C:$C,"Currency derivatives"),INDEX(Data!$D:$D,MATCH(AG$13,Data!$D:$D,0)+1),"")</f>
        <v/>
      </c>
      <c r="AI13" s="29" t="str" cm="1">
        <f t="array" ref="AI13">IF(COUNTA($I$13:AH$13)&lt;COUNTIF(Data!$C:$C,"Currency derivatives"),INDEX(Data!$D:$D,MATCH(AH$13,Data!$D:$D,0)+1),"")</f>
        <v/>
      </c>
      <c r="AJ13" s="29" t="str" cm="1">
        <f t="array" ref="AJ13">IF(COUNTA($I$13:AI$13)&lt;COUNTIF(Data!$C:$C,"Currency derivatives"),INDEX(Data!$D:$D,MATCH(AI$13,Data!$D:$D,0)+1),"")</f>
        <v/>
      </c>
      <c r="AK13" s="29" t="str" cm="1">
        <f t="array" ref="AK13">IF(COUNTA($I$13:AJ$13)&lt;COUNTIF(Data!$C:$C,"Currency derivatives"),INDEX(Data!$D:$D,MATCH(AJ$13,Data!$D:$D,0)+1),"")</f>
        <v/>
      </c>
      <c r="AL13" s="29" t="str" cm="1">
        <f t="array" ref="AL13">IF(COUNTA($I$13:AK$13)&lt;COUNTIF(Data!$C:$C,"Currency derivatives"),INDEX(Data!$D:$D,MATCH(AK$13,Data!$D:$D,0)+1),"")</f>
        <v/>
      </c>
      <c r="AM13" s="29" t="str" cm="1">
        <f t="array" ref="AM13">IF(COUNTA($I$13:AL$13)&lt;COUNTIF(Data!$C:$C,"Currency derivatives"),INDEX(Data!$D:$D,MATCH(AL$13,Data!$D:$D,0)+1),"")</f>
        <v/>
      </c>
      <c r="AN13" s="29" t="str" cm="1">
        <f t="array" ref="AN13">IF(COUNTA($I$13:AM$13)&lt;COUNTIF(Data!$C:$C,"Currency derivatives"),INDEX(Data!$D:$D,MATCH(AM$13,Data!$D:$D,0)+1),"")</f>
        <v/>
      </c>
      <c r="AO13" s="29" t="str" cm="1">
        <f t="array" ref="AO13">IF(COUNTA($I$13:AN$13)&lt;COUNTIF(Data!$C:$C,"Currency derivatives"),INDEX(Data!$D:$D,MATCH(AN$13,Data!$D:$D,0)+1),"")</f>
        <v/>
      </c>
      <c r="AP13" s="29" t="str" cm="1">
        <f t="array" ref="AP13">IF(COUNTA($I$13:AO$13)&lt;COUNTIF(Data!$C:$C,"Currency derivatives"),INDEX(Data!$D:$D,MATCH(AO$13,Data!$D:$D,0)+1),"")</f>
        <v/>
      </c>
      <c r="AQ13" s="29" t="str" cm="1">
        <f t="array" ref="AQ13">IF(COUNTA($I$13:AP$13)&lt;COUNTIF(Data!$C:$C,"Currency derivatives"),INDEX(Data!$D:$D,MATCH(AP$13,Data!$D:$D,0)+1),"")</f>
        <v/>
      </c>
      <c r="AR13" s="29" t="str" cm="1">
        <f t="array" ref="AR13">IF(COUNTA($I$13:AQ$13)&lt;COUNTIF(Data!$C:$C,"Currency derivatives"),INDEX(Data!$D:$D,MATCH(AQ$13,Data!$D:$D,0)+1),"")</f>
        <v/>
      </c>
      <c r="AS13" s="29" t="str" cm="1">
        <f t="array" ref="AS13">IF(COUNTA($I$13:AR$13)&lt;COUNTIF(Data!$C:$C,"Currency derivatives"),INDEX(Data!$D:$D,MATCH(AR$13,Data!$D:$D,0)+1),"")</f>
        <v/>
      </c>
      <c r="AT13" s="29" t="str" cm="1">
        <f t="array" ref="AT13">IF(COUNTA($I$13:AS$13)&lt;COUNTIF(Data!$C:$C,"Currency derivatives"),INDEX(Data!$D:$D,MATCH(AS$13,Data!$D:$D,0)+1),"")</f>
        <v/>
      </c>
      <c r="AU13" s="29" t="str" cm="1">
        <f t="array" ref="AU13">IF(COUNTA($I$13:AT$13)&lt;COUNTIF(Data!$C:$C,"Currency derivatives"),INDEX(Data!$D:$D,MATCH(AT$13,Data!$D:$D,0)+1),"")</f>
        <v/>
      </c>
      <c r="AV13" s="29" t="str" cm="1">
        <f t="array" ref="AV13">IF(COUNTA($I$13:AU$13)&lt;COUNTIF(Data!$C:$C,"Currency derivatives"),INDEX(Data!$D:$D,MATCH(AU$13,Data!$D:$D,0)+1),"")</f>
        <v/>
      </c>
      <c r="AW13" s="29" t="str" cm="1">
        <f t="array" ref="AW13">IF(COUNTA($I$13:AV$13)&lt;COUNTIF(Data!$C:$C,"Currency derivatives"),INDEX(Data!$D:$D,MATCH(AV$13,Data!$D:$D,0)+1),"")</f>
        <v/>
      </c>
      <c r="AX13" s="29" t="str" cm="1">
        <f t="array" ref="AX13">IF(COUNTA($I$13:AW$13)&lt;COUNTIF(Data!$C:$C,"Currency derivatives"),INDEX(Data!$D:$D,MATCH(AW$13,Data!$D:$D,0)+1),"")</f>
        <v/>
      </c>
      <c r="AY13" s="29" t="str" cm="1">
        <f t="array" ref="AY13">IF(COUNTA($I$13:AX$13)&lt;COUNTIF(Data!$C:$C,"Currency derivatives"),INDEX(Data!$D:$D,MATCH(AX$13,Data!$D:$D,0)+1),"")</f>
        <v/>
      </c>
      <c r="AZ13" s="29" t="str" cm="1">
        <f t="array" ref="AZ13">IF(COUNTA($I$13:AY$13)&lt;COUNTIF(Data!$C:$C,"Currency derivatives"),INDEX(Data!$D:$D,MATCH(AY$13,Data!$D:$D,0)+1),"")</f>
        <v/>
      </c>
      <c r="BA13" s="29" t="str" cm="1">
        <f t="array" ref="BA13">IF(COUNTA($I$13:AZ$13)&lt;COUNTIF(Data!$C:$C,"Currency derivatives"),INDEX(Data!$D:$D,MATCH(AZ$13,Data!$D:$D,0)+1),"")</f>
        <v/>
      </c>
      <c r="BB13" s="29" t="str" cm="1">
        <f t="array" ref="BB13">IF(COUNTA($I$13:BA$13)&lt;COUNTIF(Data!$C:$C,"Currency derivatives"),INDEX(Data!$D:$D,MATCH(BA$13,Data!$D:$D,0)+1),"")</f>
        <v/>
      </c>
      <c r="BC13" s="29" t="str" cm="1">
        <f t="array" ref="BC13">IF(COUNTA($I$13:BB$13)&lt;COUNTIF(Data!$C:$C,"Currency derivatives"),INDEX(Data!$D:$D,MATCH(BB$13,Data!$D:$D,0)+1),"")</f>
        <v/>
      </c>
      <c r="BD13" s="29" t="str" cm="1">
        <f t="array" ref="BD13">IF(COUNTA($I$13:BC$13)&lt;COUNTIF(Data!$C:$C,"Currency derivatives"),INDEX(Data!$D:$D,MATCH(BC$13,Data!$D:$D,0)+1),"")</f>
        <v/>
      </c>
      <c r="BE13" s="29" t="str" cm="1">
        <f t="array" ref="BE13">IF(COUNTA($I$13:BD$13)&lt;COUNTIF(Data!$C:$C,"Currency derivatives"),INDEX(Data!$D:$D,MATCH(BD$13,Data!$D:$D,0)+1),"")</f>
        <v/>
      </c>
      <c r="BF13" s="29" t="str" cm="1">
        <f t="array" ref="BF13">IF(COUNTA($I$13:BE$13)&lt;COUNTIF(Data!$C:$C,"Currency derivatives"),INDEX(Data!$D:$D,MATCH(BE$13,Data!$D:$D,0)+1),"")</f>
        <v/>
      </c>
      <c r="BG13" s="29" t="str" cm="1">
        <f t="array" ref="BG13">IF(COUNTA($I$13:BF$13)&lt;COUNTIF(Data!$C:$C,"Currency derivatives"),INDEX(Data!$D:$D,MATCH(BF$13,Data!$D:$D,0)+1),"")</f>
        <v/>
      </c>
      <c r="BH13" s="30" t="str" cm="1">
        <f t="array" ref="BH13">IF(COUNTA($I$13:BG$13)&lt;COUNTIF(Data!$C:$C,"Currency derivatives"),INDEX(Data!$D:$D,MATCH(BG$13,Data!$D:$D,0)+1),"")</f>
        <v/>
      </c>
    </row>
    <row r="14" spans="1:119" ht="16.5" thickBot="1" x14ac:dyDescent="0.35">
      <c r="A14" s="107" t="s">
        <v>62</v>
      </c>
      <c r="B14" s="126">
        <f>IF(SUMIF(Data!$C:$C,$A14,Data!$AH:$AH)&lt;0,SUMIF(Data!$C:$C,$A14,Data!$AH:$AH),0)</f>
        <v>0</v>
      </c>
      <c r="C14" s="73">
        <f>$B14/$B$4</f>
        <v>0</v>
      </c>
      <c r="D14" s="65"/>
      <c r="E14" s="33">
        <f>SUM(E12:E13)</f>
        <v>19.91896807877794</v>
      </c>
      <c r="F14" s="21" t="str">
        <f>IF($E14&gt;=0,"Adequate","INADEQUATE")&amp;" short ALSI derivative cover [BN90 16(1)(a) &amp; (b)]"</f>
        <v>Adequate short ALSI derivative cover [BN90 16(1)(a) &amp; (b)]</v>
      </c>
      <c r="H14" s="178">
        <f>SUM(I14:BH14)</f>
        <v>0</v>
      </c>
      <c r="I14" s="16" t="str">
        <f>IF(I$13="","",INDEX(Data!$AH:$AH,MATCH(I$13,Data!$D:$D,0))/$B$4)</f>
        <v/>
      </c>
      <c r="J14" s="17" t="str">
        <f>IF(J$13="","",INDEX(Data!$AH:$AH,MATCH(J$13,Data!$D:$D,0))/$B$4)</f>
        <v/>
      </c>
      <c r="K14" s="17" t="str">
        <f>IF(K$13="","",INDEX(Data!$AH:$AH,MATCH(K$13,Data!$D:$D,0))/$B$4)</f>
        <v/>
      </c>
      <c r="L14" s="17" t="str">
        <f>IF(L$13="","",INDEX(Data!$AH:$AH,MATCH(L$13,Data!$D:$D,0))/$B$4)</f>
        <v/>
      </c>
      <c r="M14" s="17" t="str">
        <f>IF(M$13="","",INDEX(Data!$AH:$AH,MATCH(M$13,Data!$D:$D,0))/$B$4)</f>
        <v/>
      </c>
      <c r="N14" s="17" t="str">
        <f>IF(N$13="","",INDEX(Data!$AH:$AH,MATCH(N$13,Data!$D:$D,0))/$B$4)</f>
        <v/>
      </c>
      <c r="O14" s="17" t="str">
        <f>IF(O$13="","",INDEX(Data!$AH:$AH,MATCH(O$13,Data!$D:$D,0))/$B$4)</f>
        <v/>
      </c>
      <c r="P14" s="17" t="str">
        <f>IF(P$13="","",INDEX(Data!$AH:$AH,MATCH(P$13,Data!$D:$D,0))/$B$4)</f>
        <v/>
      </c>
      <c r="Q14" s="17" t="str">
        <f>IF(Q$13="","",INDEX(Data!$AH:$AH,MATCH(Q$13,Data!$D:$D,0))/$B$4)</f>
        <v/>
      </c>
      <c r="R14" s="17" t="str">
        <f>IF(R$13="","",INDEX(Data!$AH:$AH,MATCH(R$13,Data!$D:$D,0))/$B$4)</f>
        <v/>
      </c>
      <c r="S14" s="17" t="str">
        <f>IF(S$13="","",INDEX(Data!$AH:$AH,MATCH(S$13,Data!$D:$D,0))/$B$4)</f>
        <v/>
      </c>
      <c r="T14" s="17" t="str">
        <f>IF(T$13="","",INDEX(Data!$AH:$AH,MATCH(T$13,Data!$D:$D,0))/$B$4)</f>
        <v/>
      </c>
      <c r="U14" s="17" t="str">
        <f>IF(U$13="","",INDEX(Data!$AH:$AH,MATCH(U$13,Data!$D:$D,0))/$B$4)</f>
        <v/>
      </c>
      <c r="V14" s="17" t="str">
        <f>IF(V$13="","",INDEX(Data!$AH:$AH,MATCH(V$13,Data!$D:$D,0))/$B$4)</f>
        <v/>
      </c>
      <c r="W14" s="17" t="str">
        <f>IF(W$13="","",INDEX(Data!$AH:$AH,MATCH(W$13,Data!$D:$D,0))/$B$4)</f>
        <v/>
      </c>
      <c r="X14" s="17" t="str">
        <f>IF(X$13="","",INDEX(Data!$AH:$AH,MATCH(X$13,Data!$D:$D,0))/$B$4)</f>
        <v/>
      </c>
      <c r="Y14" s="17" t="str">
        <f>IF(Y$13="","",INDEX(Data!$AH:$AH,MATCH(Y$13,Data!$D:$D,0))/$B$4)</f>
        <v/>
      </c>
      <c r="Z14" s="17" t="str">
        <f>IF(Z$13="","",INDEX(Data!$AH:$AH,MATCH(Z$13,Data!$D:$D,0))/$B$4)</f>
        <v/>
      </c>
      <c r="AA14" s="17" t="str">
        <f>IF(AA$13="","",INDEX(Data!$AH:$AH,MATCH(AA$13,Data!$D:$D,0))/$B$4)</f>
        <v/>
      </c>
      <c r="AB14" s="17" t="str">
        <f>IF(AB$13="","",INDEX(Data!$AH:$AH,MATCH(AB$13,Data!$D:$D,0))/$B$4)</f>
        <v/>
      </c>
      <c r="AC14" s="17" t="str">
        <f>IF(AC$13="","",INDEX(Data!$AH:$AH,MATCH(AC$13,Data!$D:$D,0))/$B$4)</f>
        <v/>
      </c>
      <c r="AD14" s="17" t="str">
        <f>IF(AD$13="","",INDEX(Data!$AH:$AH,MATCH(AD$13,Data!$D:$D,0))/$B$4)</f>
        <v/>
      </c>
      <c r="AE14" s="17" t="str">
        <f>IF(AE$13="","",INDEX(Data!$AH:$AH,MATCH(AE$13,Data!$D:$D,0))/$B$4)</f>
        <v/>
      </c>
      <c r="AF14" s="17" t="str">
        <f>IF(AF$13="","",INDEX(Data!$AH:$AH,MATCH(AF$13,Data!$D:$D,0))/$B$4)</f>
        <v/>
      </c>
      <c r="AG14" s="17" t="str">
        <f>IF(AG$13="","",INDEX(Data!$AH:$AH,MATCH(AG$13,Data!$D:$D,0))/$B$4)</f>
        <v/>
      </c>
      <c r="AH14" s="17" t="str">
        <f>IF(AH$13="","",INDEX(Data!$AH:$AH,MATCH(AH$13,Data!$D:$D,0))/$B$4)</f>
        <v/>
      </c>
      <c r="AI14" s="17" t="str">
        <f>IF(AI$13="","",INDEX(Data!$AH:$AH,MATCH(AI$13,Data!$D:$D,0))/$B$4)</f>
        <v/>
      </c>
      <c r="AJ14" s="17" t="str">
        <f>IF(AJ$13="","",INDEX(Data!$AH:$AH,MATCH(AJ$13,Data!$D:$D,0))/$B$4)</f>
        <v/>
      </c>
      <c r="AK14" s="17" t="str">
        <f>IF(AK$13="","",INDEX(Data!$AH:$AH,MATCH(AK$13,Data!$D:$D,0))/$B$4)</f>
        <v/>
      </c>
      <c r="AL14" s="17" t="str">
        <f>IF(AL$13="","",INDEX(Data!$AH:$AH,MATCH(AL$13,Data!$D:$D,0))/$B$4)</f>
        <v/>
      </c>
      <c r="AM14" s="17" t="str">
        <f>IF(AM$13="","",INDEX(Data!$AH:$AH,MATCH(AM$13,Data!$D:$D,0))/$B$4)</f>
        <v/>
      </c>
      <c r="AN14" s="17" t="str">
        <f>IF(AN$13="","",INDEX(Data!$AH:$AH,MATCH(AN$13,Data!$D:$D,0))/$B$4)</f>
        <v/>
      </c>
      <c r="AO14" s="17" t="str">
        <f>IF(AO$13="","",INDEX(Data!$AH:$AH,MATCH(AO$13,Data!$D:$D,0))/$B$4)</f>
        <v/>
      </c>
      <c r="AP14" s="17" t="str">
        <f>IF(AP$13="","",INDEX(Data!$AH:$AH,MATCH(AP$13,Data!$D:$D,0))/$B$4)</f>
        <v/>
      </c>
      <c r="AQ14" s="17" t="str">
        <f>IF(AQ$13="","",INDEX(Data!$AH:$AH,MATCH(AQ$13,Data!$D:$D,0))/$B$4)</f>
        <v/>
      </c>
      <c r="AR14" s="17" t="str">
        <f>IF(AR$13="","",INDEX(Data!$AH:$AH,MATCH(AR$13,Data!$D:$D,0))/$B$4)</f>
        <v/>
      </c>
      <c r="AS14" s="17" t="str">
        <f>IF(AS$13="","",INDEX(Data!$AH:$AH,MATCH(AS$13,Data!$D:$D,0))/$B$4)</f>
        <v/>
      </c>
      <c r="AT14" s="17" t="str">
        <f>IF(AT$13="","",INDEX(Data!$AH:$AH,MATCH(AT$13,Data!$D:$D,0))/$B$4)</f>
        <v/>
      </c>
      <c r="AU14" s="17" t="str">
        <f>IF(AU$13="","",INDEX(Data!$AH:$AH,MATCH(AU$13,Data!$D:$D,0))/$B$4)</f>
        <v/>
      </c>
      <c r="AV14" s="17" t="str">
        <f>IF(AV$13="","",INDEX(Data!$AH:$AH,MATCH(AV$13,Data!$D:$D,0))/$B$4)</f>
        <v/>
      </c>
      <c r="AW14" s="17" t="str">
        <f>IF(AW$13="","",INDEX(Data!$AH:$AH,MATCH(AW$13,Data!$D:$D,0))/$B$4)</f>
        <v/>
      </c>
      <c r="AX14" s="17" t="str">
        <f>IF(AX$13="","",INDEX(Data!$AH:$AH,MATCH(AX$13,Data!$D:$D,0))/$B$4)</f>
        <v/>
      </c>
      <c r="AY14" s="17" t="str">
        <f>IF(AY$13="","",INDEX(Data!$AH:$AH,MATCH(AY$13,Data!$D:$D,0))/$B$4)</f>
        <v/>
      </c>
      <c r="AZ14" s="17" t="str">
        <f>IF(AZ$13="","",INDEX(Data!$AH:$AH,MATCH(AZ$13,Data!$D:$D,0))/$B$4)</f>
        <v/>
      </c>
      <c r="BA14" s="17" t="str">
        <f>IF(BA$13="","",INDEX(Data!$AH:$AH,MATCH(BA$13,Data!$D:$D,0))/$B$4)</f>
        <v/>
      </c>
      <c r="BB14" s="17" t="str">
        <f>IF(BB$13="","",INDEX(Data!$AH:$AH,MATCH(BB$13,Data!$D:$D,0))/$B$4)</f>
        <v/>
      </c>
      <c r="BC14" s="17" t="str">
        <f>IF(BC$13="","",INDEX(Data!$AH:$AH,MATCH(BC$13,Data!$D:$D,0))/$B$4)</f>
        <v/>
      </c>
      <c r="BD14" s="17" t="str">
        <f>IF(BD$13="","",INDEX(Data!$AH:$AH,MATCH(BD$13,Data!$D:$D,0))/$B$4)</f>
        <v/>
      </c>
      <c r="BE14" s="17" t="str">
        <f>IF(BE$13="","",INDEX(Data!$AH:$AH,MATCH(BE$13,Data!$D:$D,0))/$B$4)</f>
        <v/>
      </c>
      <c r="BF14" s="17" t="str">
        <f>IF(BF$13="","",INDEX(Data!$AH:$AH,MATCH(BF$13,Data!$D:$D,0))/$B$4)</f>
        <v/>
      </c>
      <c r="BG14" s="17" t="str">
        <f>IF(BG$13="","",INDEX(Data!$AH:$AH,MATCH(BG$13,Data!$D:$D,0))/$B$4)</f>
        <v/>
      </c>
      <c r="BH14" s="18" t="str">
        <f>IF(BH$13="","",INDEX(Data!$AH:$AH,MATCH(BH$13,Data!$D:$D,0))/$B$4)</f>
        <v/>
      </c>
    </row>
    <row r="15" spans="1:119" ht="16.5" thickTop="1" x14ac:dyDescent="0.3">
      <c r="A15" s="107"/>
      <c r="B15" s="65"/>
      <c r="C15" s="69"/>
      <c r="D15" s="65"/>
      <c r="H15" s="178"/>
      <c r="I15" s="2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5"/>
    </row>
    <row r="16" spans="1:119" x14ac:dyDescent="0.3">
      <c r="A16" s="127" t="s">
        <v>10918</v>
      </c>
      <c r="B16" s="65">
        <f>SUM(B17:B19)</f>
        <v>0</v>
      </c>
      <c r="C16" s="69">
        <f>SUM(C17:C19)</f>
        <v>0</v>
      </c>
      <c r="D16" s="65"/>
      <c r="E16" s="34">
        <f>'Glbl Expsr'!$D$3</f>
        <v>0.13466470706437381</v>
      </c>
      <c r="F16" s="27" t="s">
        <v>10914</v>
      </c>
      <c r="H16" s="179" t="str">
        <f>"Currency forwards ("&amp;COUNTIF(Data!$C:$C,"Forwards")&amp;")"</f>
        <v>Currency forwards (0)</v>
      </c>
      <c r="I16" s="28" t="str">
        <f>IF(ISNA(IF(ISNA(MATCH("Forwards",Data!$C:$C,0)),"",INDEX(Data!$D:$D,MATCH("Forwards",Data!$C:$C,0)))),"",IF(ISNA(MATCH("Forwards",Data!$C:$C,0)),"",INDEX(Data!$D:$D,MATCH("Forwards",Data!$C:$C,0))))</f>
        <v/>
      </c>
      <c r="J16" s="29" t="str" cm="1">
        <f t="array" ref="J16">IF(COUNTA($I$16:I$16)&lt;COUNTIF(Data!$C:$C,"Forwards"),INDEX(Data!$D:$D,MATCH(I$16,Data!$D:$D,0)+1),"")</f>
        <v/>
      </c>
      <c r="K16" s="29" t="str" cm="1">
        <f t="array" ref="K16">IF(COUNTA($I$16:J$16)&lt;COUNTIF(Data!$C:$C,"Forwards"),INDEX(Data!$D:$D,MATCH(J$16,Data!$D:$D,0)+1),"")</f>
        <v/>
      </c>
      <c r="L16" s="29" t="str" cm="1">
        <f t="array" ref="L16">IF(COUNTA($I$16:K$16)&lt;COUNTIF(Data!$C:$C,"Forwards"),INDEX(Data!$D:$D,MATCH(K$16,Data!$D:$D,0)+1),"")</f>
        <v/>
      </c>
      <c r="M16" s="29" t="str" cm="1">
        <f t="array" ref="M16">IF(COUNTA($I$16:L$16)&lt;COUNTIF(Data!$C:$C,"Forwards"),INDEX(Data!$D:$D,MATCH(L$16,Data!$D:$D,0)+1),"")</f>
        <v/>
      </c>
      <c r="N16" s="29" t="str" cm="1">
        <f t="array" ref="N16">IF(COUNTA($I$16:M$16)&lt;COUNTIF(Data!$C:$C,"Forwards"),INDEX(Data!$D:$D,MATCH(M$16,Data!$D:$D,0)+1),"")</f>
        <v/>
      </c>
      <c r="O16" s="29" t="str" cm="1">
        <f t="array" ref="O16">IF(COUNTA($I$16:N$16)&lt;COUNTIF(Data!$C:$C,"Forwards"),INDEX(Data!$D:$D,MATCH(N$16,Data!$D:$D,0)+1),"")</f>
        <v/>
      </c>
      <c r="P16" s="29" t="str" cm="1">
        <f t="array" ref="P16">IF(COUNTA($I$16:O$16)&lt;COUNTIF(Data!$C:$C,"Forwards"),INDEX(Data!$D:$D,MATCH(O$16,Data!$D:$D,0)+1),"")</f>
        <v/>
      </c>
      <c r="Q16" s="29" t="str" cm="1">
        <f t="array" ref="Q16">IF(COUNTA($I$16:P$16)&lt;COUNTIF(Data!$C:$C,"Forwards"),INDEX(Data!$D:$D,MATCH(P$16,Data!$D:$D,0)+1),"")</f>
        <v/>
      </c>
      <c r="R16" s="29" t="str" cm="1">
        <f t="array" ref="R16">IF(COUNTA($I$16:Q$16)&lt;COUNTIF(Data!$C:$C,"Forwards"),INDEX(Data!$D:$D,MATCH(Q$16,Data!$D:$D,0)+1),"")</f>
        <v/>
      </c>
      <c r="S16" s="29" t="str" cm="1">
        <f t="array" ref="S16">IF(COUNTA($I$16:R$16)&lt;COUNTIF(Data!$C:$C,"Forwards"),INDEX(Data!$D:$D,MATCH(R$16,Data!$D:$D,0)+1),"")</f>
        <v/>
      </c>
      <c r="T16" s="29" t="str" cm="1">
        <f t="array" ref="T16">IF(COUNTA($I$16:S$16)&lt;COUNTIF(Data!$C:$C,"Forwards"),INDEX(Data!$D:$D,MATCH(S$16,Data!$D:$D,0)+1),"")</f>
        <v/>
      </c>
      <c r="U16" s="29" t="str" cm="1">
        <f t="array" ref="U16">IF(COUNTA($I$16:T$16)&lt;COUNTIF(Data!$C:$C,"Forwards"),INDEX(Data!$D:$D,MATCH(T$16,Data!$D:$D,0)+1),"")</f>
        <v/>
      </c>
      <c r="V16" s="29" t="str" cm="1">
        <f t="array" ref="V16">IF(COUNTA($I$16:U$16)&lt;COUNTIF(Data!$C:$C,"Forwards"),INDEX(Data!$D:$D,MATCH(U$16,Data!$D:$D,0)+1),"")</f>
        <v/>
      </c>
      <c r="W16" s="29" t="str" cm="1">
        <f t="array" ref="W16">IF(COUNTA($I$16:V$16)&lt;COUNTIF(Data!$C:$C,"Forwards"),INDEX(Data!$D:$D,MATCH(V$16,Data!$D:$D,0)+1),"")</f>
        <v/>
      </c>
      <c r="X16" s="29" t="str" cm="1">
        <f t="array" ref="X16">IF(COUNTA($I$16:W$16)&lt;COUNTIF(Data!$C:$C,"Forwards"),INDEX(Data!$D:$D,MATCH(W$16,Data!$D:$D,0)+1),"")</f>
        <v/>
      </c>
      <c r="Y16" s="29" t="str" cm="1">
        <f t="array" ref="Y16">IF(COUNTA($I$16:X$16)&lt;COUNTIF(Data!$C:$C,"Forwards"),INDEX(Data!$D:$D,MATCH(X$16,Data!$D:$D,0)+1),"")</f>
        <v/>
      </c>
      <c r="Z16" s="29" t="str" cm="1">
        <f t="array" ref="Z16">IF(COUNTA($I$16:Y$16)&lt;COUNTIF(Data!$C:$C,"Forwards"),INDEX(Data!$D:$D,MATCH(Y$16,Data!$D:$D,0)+1),"")</f>
        <v/>
      </c>
      <c r="AA16" s="29" t="str" cm="1">
        <f t="array" ref="AA16">IF(COUNTA($I$16:Z$16)&lt;COUNTIF(Data!$C:$C,"Forwards"),INDEX(Data!$D:$D,MATCH(Z$16,Data!$D:$D,0)+1),"")</f>
        <v/>
      </c>
      <c r="AB16" s="29" t="str" cm="1">
        <f t="array" ref="AB16">IF(COUNTA($I$16:AA$16)&lt;COUNTIF(Data!$C:$C,"Forwards"),INDEX(Data!$D:$D,MATCH(AA$16,Data!$D:$D,0)+1),"")</f>
        <v/>
      </c>
      <c r="AC16" s="29" t="str" cm="1">
        <f t="array" ref="AC16">IF(COUNTA($I$16:AB$16)&lt;COUNTIF(Data!$C:$C,"Forwards"),INDEX(Data!$D:$D,MATCH(AB$16,Data!$D:$D,0)+1),"")</f>
        <v/>
      </c>
      <c r="AD16" s="29" t="str" cm="1">
        <f t="array" ref="AD16">IF(COUNTA($I$16:AC$16)&lt;COUNTIF(Data!$C:$C,"Forwards"),INDEX(Data!$D:$D,MATCH(AC$16,Data!$D:$D,0)+1),"")</f>
        <v/>
      </c>
      <c r="AE16" s="29" t="str" cm="1">
        <f t="array" ref="AE16">IF(COUNTA($I$16:AD$16)&lt;COUNTIF(Data!$C:$C,"Forwards"),INDEX(Data!$D:$D,MATCH(AD$16,Data!$D:$D,0)+1),"")</f>
        <v/>
      </c>
      <c r="AF16" s="29" t="str" cm="1">
        <f t="array" ref="AF16">IF(COUNTA($I$16:AE$16)&lt;COUNTIF(Data!$C:$C,"Forwards"),INDEX(Data!$D:$D,MATCH(AE$16,Data!$D:$D,0)+1),"")</f>
        <v/>
      </c>
      <c r="AG16" s="29" t="str" cm="1">
        <f t="array" ref="AG16">IF(COUNTA($I$16:AF$16)&lt;COUNTIF(Data!$C:$C,"Forwards"),INDEX(Data!$D:$D,MATCH(AF$16,Data!$D:$D,0)+1),"")</f>
        <v/>
      </c>
      <c r="AH16" s="29" t="str" cm="1">
        <f t="array" ref="AH16">IF(COUNTA($I$16:AG$16)&lt;COUNTIF(Data!$C:$C,"Forwards"),INDEX(Data!$D:$D,MATCH(AG$16,Data!$D:$D,0)+1),"")</f>
        <v/>
      </c>
      <c r="AI16" s="29" t="str" cm="1">
        <f t="array" ref="AI16">IF(COUNTA($I$16:AH$16)&lt;COUNTIF(Data!$C:$C,"Forwards"),INDEX(Data!$D:$D,MATCH(AH$16,Data!$D:$D,0)+1),"")</f>
        <v/>
      </c>
      <c r="AJ16" s="29" t="str" cm="1">
        <f t="array" ref="AJ16">IF(COUNTA($I$16:AI$16)&lt;COUNTIF(Data!$C:$C,"Forwards"),INDEX(Data!$D:$D,MATCH(AI$16,Data!$D:$D,0)+1),"")</f>
        <v/>
      </c>
      <c r="AK16" s="29" t="str" cm="1">
        <f t="array" ref="AK16">IF(COUNTA($I$16:AJ$16)&lt;COUNTIF(Data!$C:$C,"Forwards"),INDEX(Data!$D:$D,MATCH(AJ$16,Data!$D:$D,0)+1),"")</f>
        <v/>
      </c>
      <c r="AL16" s="29" t="str" cm="1">
        <f t="array" ref="AL16">IF(COUNTA($I$16:AK$16)&lt;COUNTIF(Data!$C:$C,"Forwards"),INDEX(Data!$D:$D,MATCH(AK$16,Data!$D:$D,0)+1),"")</f>
        <v/>
      </c>
      <c r="AM16" s="29" t="str" cm="1">
        <f t="array" ref="AM16">IF(COUNTA($I$16:AL$16)&lt;COUNTIF(Data!$C:$C,"Forwards"),INDEX(Data!$D:$D,MATCH(AL$16,Data!$D:$D,0)+1),"")</f>
        <v/>
      </c>
      <c r="AN16" s="29" t="str" cm="1">
        <f t="array" ref="AN16">IF(COUNTA($I$16:AM$16)&lt;COUNTIF(Data!$C:$C,"Forwards"),INDEX(Data!$D:$D,MATCH(AM$16,Data!$D:$D,0)+1),"")</f>
        <v/>
      </c>
      <c r="AO16" s="29" t="str" cm="1">
        <f t="array" ref="AO16">IF(COUNTA($I$16:AN$16)&lt;COUNTIF(Data!$C:$C,"Forwards"),INDEX(Data!$D:$D,MATCH(AN$16,Data!$D:$D,0)+1),"")</f>
        <v/>
      </c>
      <c r="AP16" s="29" t="str" cm="1">
        <f t="array" ref="AP16">IF(COUNTA($I$16:AO$16)&lt;COUNTIF(Data!$C:$C,"Forwards"),INDEX(Data!$D:$D,MATCH(AO$16,Data!$D:$D,0)+1),"")</f>
        <v/>
      </c>
      <c r="AQ16" s="29" t="str" cm="1">
        <f t="array" ref="AQ16">IF(COUNTA($I$16:AP$16)&lt;COUNTIF(Data!$C:$C,"Forwards"),INDEX(Data!$D:$D,MATCH(AP$16,Data!$D:$D,0)+1),"")</f>
        <v/>
      </c>
      <c r="AR16" s="29" t="str" cm="1">
        <f t="array" ref="AR16">IF(COUNTA($I$16:AQ$16)&lt;COUNTIF(Data!$C:$C,"Forwards"),INDEX(Data!$D:$D,MATCH(AQ$16,Data!$D:$D,0)+1),"")</f>
        <v/>
      </c>
      <c r="AS16" s="29" t="str" cm="1">
        <f t="array" ref="AS16">IF(COUNTA($I$16:AR$16)&lt;COUNTIF(Data!$C:$C,"Forwards"),INDEX(Data!$D:$D,MATCH(AR$16,Data!$D:$D,0)+1),"")</f>
        <v/>
      </c>
      <c r="AT16" s="29" t="str" cm="1">
        <f t="array" ref="AT16">IF(COUNTA($I$16:AS$16)&lt;COUNTIF(Data!$C:$C,"Forwards"),INDEX(Data!$D:$D,MATCH(AS$16,Data!$D:$D,0)+1),"")</f>
        <v/>
      </c>
      <c r="AU16" s="29" t="str" cm="1">
        <f t="array" ref="AU16">IF(COUNTA($I$16:AT$16)&lt;COUNTIF(Data!$C:$C,"Forwards"),INDEX(Data!$D:$D,MATCH(AT$16,Data!$D:$D,0)+1),"")</f>
        <v/>
      </c>
      <c r="AV16" s="29" t="str" cm="1">
        <f t="array" ref="AV16">IF(COUNTA($I$16:AU$16)&lt;COUNTIF(Data!$C:$C,"Forwards"),INDEX(Data!$D:$D,MATCH(AU$16,Data!$D:$D,0)+1),"")</f>
        <v/>
      </c>
      <c r="AW16" s="29" t="str" cm="1">
        <f t="array" ref="AW16">IF(COUNTA($I$16:AV$16)&lt;COUNTIF(Data!$C:$C,"Forwards"),INDEX(Data!$D:$D,MATCH(AV$16,Data!$D:$D,0)+1),"")</f>
        <v/>
      </c>
      <c r="AX16" s="29" t="str" cm="1">
        <f t="array" ref="AX16">IF(COUNTA($I$16:AW$16)&lt;COUNTIF(Data!$C:$C,"Forwards"),INDEX(Data!$D:$D,MATCH(AW$16,Data!$D:$D,0)+1),"")</f>
        <v/>
      </c>
      <c r="AY16" s="29" t="str" cm="1">
        <f t="array" ref="AY16">IF(COUNTA($I$16:AX$16)&lt;COUNTIF(Data!$C:$C,"Forwards"),INDEX(Data!$D:$D,MATCH(AX$16,Data!$D:$D,0)+1),"")</f>
        <v/>
      </c>
      <c r="AZ16" s="29" t="str" cm="1">
        <f t="array" ref="AZ16">IF(COUNTA($I$16:AY$16)&lt;COUNTIF(Data!$C:$C,"Forwards"),INDEX(Data!$D:$D,MATCH(AY$16,Data!$D:$D,0)+1),"")</f>
        <v/>
      </c>
      <c r="BA16" s="29" t="str" cm="1">
        <f t="array" ref="BA16">IF(COUNTA($I$16:AZ$16)&lt;COUNTIF(Data!$C:$C,"Forwards"),INDEX(Data!$D:$D,MATCH(AZ$16,Data!$D:$D,0)+1),"")</f>
        <v/>
      </c>
      <c r="BB16" s="29" t="str" cm="1">
        <f t="array" ref="BB16">IF(COUNTA($I$16:BA$16)&lt;COUNTIF(Data!$C:$C,"Forwards"),INDEX(Data!$D:$D,MATCH(BA$16,Data!$D:$D,0)+1),"")</f>
        <v/>
      </c>
      <c r="BC16" s="29" t="str" cm="1">
        <f t="array" ref="BC16">IF(COUNTA($I$16:BB$16)&lt;COUNTIF(Data!$C:$C,"Forwards"),INDEX(Data!$D:$D,MATCH(BB$16,Data!$D:$D,0)+1),"")</f>
        <v/>
      </c>
      <c r="BD16" s="29" t="str" cm="1">
        <f t="array" ref="BD16">IF(COUNTA($I$16:BC$16)&lt;COUNTIF(Data!$C:$C,"Forwards"),INDEX(Data!$D:$D,MATCH(BC$16,Data!$D:$D,0)+1),"")</f>
        <v/>
      </c>
      <c r="BE16" s="29" t="str" cm="1">
        <f t="array" ref="BE16">IF(COUNTA($I$16:BD$16)&lt;COUNTIF(Data!$C:$C,"Forwards"),INDEX(Data!$D:$D,MATCH(BD$16,Data!$D:$D,0)+1),"")</f>
        <v/>
      </c>
      <c r="BF16" s="29" t="str" cm="1">
        <f t="array" ref="BF16">IF(COUNTA($I$16:BE$16)&lt;COUNTIF(Data!$C:$C,"Forwards"),INDEX(Data!$D:$D,MATCH(BE$16,Data!$D:$D,0)+1),"")</f>
        <v/>
      </c>
      <c r="BG16" s="29" t="str" cm="1">
        <f t="array" ref="BG16">IF(COUNTA($I$16:BF$16)&lt;COUNTIF(Data!$C:$C,"Forwards"),INDEX(Data!$D:$D,MATCH(BF$16,Data!$D:$D,0)+1),"")</f>
        <v/>
      </c>
      <c r="BH16" s="30" t="str" cm="1">
        <f t="array" ref="BH16">IF(COUNTA($I$16:BG$16)&lt;COUNTIF(Data!$C:$C,"Forwards"),INDEX(Data!$D:$D,MATCH(BG$16,Data!$D:$D,0)+1),"")</f>
        <v/>
      </c>
      <c r="BI16" s="29" t="str" cm="1">
        <f t="array" ref="BI16">IF(COUNTA($I$1:BH$1)&lt;COUNTIF(Data!$C:$C,"Swaps"),INDEX(Data!$D:$D,MATCH(BH$1,Data!$D:$D,0)+1),"")</f>
        <v/>
      </c>
      <c r="BJ16" s="29" t="str" cm="1">
        <f t="array" ref="BJ16">IF(COUNTA($I$1:BI$1)&lt;COUNTIF(Data!$C:$C,"Swaps"),INDEX(Data!$D:$D,MATCH(BI$1,Data!$D:$D,0)+1),"")</f>
        <v/>
      </c>
      <c r="BK16" s="29" t="str" cm="1">
        <f t="array" ref="BK16">IF(COUNTA($I$1:BJ$1)&lt;COUNTIF(Data!$C:$C,"Swaps"),INDEX(Data!$D:$D,MATCH(BJ$1,Data!$D:$D,0)+1),"")</f>
        <v/>
      </c>
      <c r="BL16" s="29" t="str" cm="1">
        <f t="array" ref="BL16">IF(COUNTA($I$1:BK$1)&lt;COUNTIF(Data!$C:$C,"Swaps"),INDEX(Data!$D:$D,MATCH(BK$1,Data!$D:$D,0)+1),"")</f>
        <v/>
      </c>
      <c r="BM16" s="29" t="str" cm="1">
        <f t="array" ref="BM16">IF(COUNTA($I$1:BL$1)&lt;COUNTIF(Data!$C:$C,"Swaps"),INDEX(Data!$D:$D,MATCH(BL$1,Data!$D:$D,0)+1),"")</f>
        <v/>
      </c>
      <c r="BN16" s="29" t="str" cm="1">
        <f t="array" ref="BN16">IF(COUNTA($I$1:BM$1)&lt;COUNTIF(Data!$C:$C,"Swaps"),INDEX(Data!$D:$D,MATCH(BM$1,Data!$D:$D,0)+1),"")</f>
        <v/>
      </c>
      <c r="BO16" s="29" t="str" cm="1">
        <f t="array" ref="BO16">IF(COUNTA($I$1:BN$1)&lt;COUNTIF(Data!$C:$C,"Swaps"),INDEX(Data!$D:$D,MATCH(BN$1,Data!$D:$D,0)+1),"")</f>
        <v/>
      </c>
      <c r="BP16" s="29" t="str" cm="1">
        <f t="array" ref="BP16">IF(COUNTA($I$1:BO$1)&lt;COUNTIF(Data!$C:$C,"Swaps"),INDEX(Data!$D:$D,MATCH(BO$1,Data!$D:$D,0)+1),"")</f>
        <v/>
      </c>
      <c r="BQ16" s="29" t="str" cm="1">
        <f t="array" ref="BQ16">IF(COUNTA($I$1:BP$1)&lt;COUNTIF(Data!$C:$C,"Swaps"),INDEX(Data!$D:$D,MATCH(BP$1,Data!$D:$D,0)+1),"")</f>
        <v/>
      </c>
      <c r="BR16" s="29" t="str" cm="1">
        <f t="array" ref="BR16">IF(COUNTA($I$1:BQ$1)&lt;COUNTIF(Data!$C:$C,"Swaps"),INDEX(Data!$D:$D,MATCH(BQ$1,Data!$D:$D,0)+1),"")</f>
        <v/>
      </c>
      <c r="BS16" s="29" t="str" cm="1">
        <f t="array" ref="BS16">IF(COUNTA($I$1:BR$1)&lt;COUNTIF(Data!$C:$C,"Swaps"),INDEX(Data!$D:$D,MATCH(BR$1,Data!$D:$D,0)+1),"")</f>
        <v/>
      </c>
      <c r="BT16" s="29" t="str" cm="1">
        <f t="array" ref="BT16">IF(COUNTA($I$1:BS$1)&lt;COUNTIF(Data!$C:$C,"Swaps"),INDEX(Data!$D:$D,MATCH(BS$1,Data!$D:$D,0)+1),"")</f>
        <v/>
      </c>
      <c r="BU16" s="29" t="str" cm="1">
        <f t="array" ref="BU16">IF(COUNTA($I$1:BT$1)&lt;COUNTIF(Data!$C:$C,"Swaps"),INDEX(Data!$D:$D,MATCH(BT$1,Data!$D:$D,0)+1),"")</f>
        <v/>
      </c>
      <c r="BV16" s="29" t="str" cm="1">
        <f t="array" ref="BV16">IF(COUNTA($I$1:BU$1)&lt;COUNTIF(Data!$C:$C,"Swaps"),INDEX(Data!$D:$D,MATCH(BU$1,Data!$D:$D,0)+1),"")</f>
        <v/>
      </c>
      <c r="BW16" s="29" t="str" cm="1">
        <f t="array" ref="BW16">IF(COUNTA($I$1:BV$1)&lt;COUNTIF(Data!$C:$C,"Swaps"),INDEX(Data!$D:$D,MATCH(BV$1,Data!$D:$D,0)+1),"")</f>
        <v/>
      </c>
      <c r="BX16" s="29" t="str" cm="1">
        <f t="array" ref="BX16">IF(COUNTA($I$1:BW$1)&lt;COUNTIF(Data!$C:$C,"Swaps"),INDEX(Data!$D:$D,MATCH(BW$1,Data!$D:$D,0)+1),"")</f>
        <v/>
      </c>
      <c r="BY16" s="29" t="str" cm="1">
        <f t="array" ref="BY16">IF(COUNTA($I$1:BX$1)&lt;COUNTIF(Data!$C:$C,"Swaps"),INDEX(Data!$D:$D,MATCH(BX$1,Data!$D:$D,0)+1),"")</f>
        <v/>
      </c>
      <c r="BZ16" s="29" t="str" cm="1">
        <f t="array" ref="BZ16">IF(COUNTA($I$1:BY$1)&lt;COUNTIF(Data!$C:$C,"Swaps"),INDEX(Data!$D:$D,MATCH(BY$1,Data!$D:$D,0)+1),"")</f>
        <v/>
      </c>
      <c r="CA16" s="29" t="str" cm="1">
        <f t="array" ref="CA16">IF(COUNTA($I$1:BZ$1)&lt;COUNTIF(Data!$C:$C,"Swaps"),INDEX(Data!$D:$D,MATCH(BZ$1,Data!$D:$D,0)+1),"")</f>
        <v/>
      </c>
      <c r="CB16" s="29" t="str" cm="1">
        <f t="array" ref="CB16">IF(COUNTA($I$1:CA$1)&lt;COUNTIF(Data!$C:$C,"Swaps"),INDEX(Data!$D:$D,MATCH(CA$1,Data!$D:$D,0)+1),"")</f>
        <v/>
      </c>
      <c r="CC16" s="29" t="str" cm="1">
        <f t="array" ref="CC16">IF(COUNTA($I$1:CB$1)&lt;COUNTIF(Data!$C:$C,"Swaps"),INDEX(Data!$D:$D,MATCH(CB$1,Data!$D:$D,0)+1),"")</f>
        <v/>
      </c>
      <c r="CD16" s="29" t="str" cm="1">
        <f t="array" ref="CD16">IF(COUNTA($I$1:CC$1)&lt;COUNTIF(Data!$C:$C,"Swaps"),INDEX(Data!$D:$D,MATCH(CC$1,Data!$D:$D,0)+1),"")</f>
        <v/>
      </c>
      <c r="CE16" s="29" t="str" cm="1">
        <f t="array" ref="CE16">IF(COUNTA($I$1:CD$1)&lt;COUNTIF(Data!$C:$C,"Swaps"),INDEX(Data!$D:$D,MATCH(CD$1,Data!$D:$D,0)+1),"")</f>
        <v/>
      </c>
      <c r="CF16" s="29" t="str" cm="1">
        <f t="array" ref="CF16">IF(COUNTA($I$1:CE$1)&lt;COUNTIF(Data!$C:$C,"Swaps"),INDEX(Data!$D:$D,MATCH(CE$1,Data!$D:$D,0)+1),"")</f>
        <v/>
      </c>
      <c r="CG16" s="29" t="str" cm="1">
        <f t="array" ref="CG16">IF(COUNTA($I$1:CF$1)&lt;COUNTIF(Data!$C:$C,"Swaps"),INDEX(Data!$D:$D,MATCH(CF$1,Data!$D:$D,0)+1),"")</f>
        <v/>
      </c>
      <c r="CH16" s="29" t="str" cm="1">
        <f t="array" ref="CH16">IF(COUNTA($I$1:CG$1)&lt;COUNTIF(Data!$C:$C,"Swaps"),INDEX(Data!$D:$D,MATCH(CG$1,Data!$D:$D,0)+1),"")</f>
        <v/>
      </c>
      <c r="CI16" s="29" t="str" cm="1">
        <f t="array" ref="CI16">IF(COUNTA($I$1:CH$1)&lt;COUNTIF(Data!$C:$C,"Swaps"),INDEX(Data!$D:$D,MATCH(CH$1,Data!$D:$D,0)+1),"")</f>
        <v/>
      </c>
      <c r="CJ16" s="29" t="str" cm="1">
        <f t="array" ref="CJ16">IF(COUNTA($I$1:CI$1)&lt;COUNTIF(Data!$C:$C,"Swaps"),INDEX(Data!$D:$D,MATCH(CI$1,Data!$D:$D,0)+1),"")</f>
        <v/>
      </c>
      <c r="CK16" s="29" t="str" cm="1">
        <f t="array" ref="CK16">IF(COUNTA($I$1:CJ$1)&lt;COUNTIF(Data!$C:$C,"Swaps"),INDEX(Data!$D:$D,MATCH(CJ$1,Data!$D:$D,0)+1),"")</f>
        <v/>
      </c>
      <c r="CL16" s="29" t="str" cm="1">
        <f t="array" ref="CL16">IF(COUNTA($I$1:CK$1)&lt;COUNTIF(Data!$C:$C,"Swaps"),INDEX(Data!$D:$D,MATCH(CK$1,Data!$D:$D,0)+1),"")</f>
        <v/>
      </c>
      <c r="CM16" s="29" t="str" cm="1">
        <f t="array" ref="CM16">IF(COUNTA($I$1:CL$1)&lt;COUNTIF(Data!$C:$C,"Swaps"),INDEX(Data!$D:$D,MATCH(CL$1,Data!$D:$D,0)+1),"")</f>
        <v/>
      </c>
      <c r="CN16" s="29" t="str" cm="1">
        <f t="array" ref="CN16">IF(COUNTA($I$1:CM$1)&lt;COUNTIF(Data!$C:$C,"Swaps"),INDEX(Data!$D:$D,MATCH(CM$1,Data!$D:$D,0)+1),"")</f>
        <v/>
      </c>
      <c r="CO16" s="29" t="str" cm="1">
        <f t="array" ref="CO16">IF(COUNTA($I$1:CN$1)&lt;COUNTIF(Data!$C:$C,"Swaps"),INDEX(Data!$D:$D,MATCH(CN$1,Data!$D:$D,0)+1),"")</f>
        <v/>
      </c>
      <c r="CP16" s="29" t="str" cm="1">
        <f t="array" ref="CP16">IF(COUNTA($I$1:CO$1)&lt;COUNTIF(Data!$C:$C,"Swaps"),INDEX(Data!$D:$D,MATCH(CO$1,Data!$D:$D,0)+1),"")</f>
        <v/>
      </c>
      <c r="CQ16" s="29" t="str" cm="1">
        <f t="array" ref="CQ16">IF(COUNTA($I$1:CP$1)&lt;COUNTIF(Data!$C:$C,"Swaps"),INDEX(Data!$D:$D,MATCH(CP$1,Data!$D:$D,0)+1),"")</f>
        <v/>
      </c>
      <c r="CR16" s="29" t="str" cm="1">
        <f t="array" ref="CR16">IF(COUNTA($I$1:CQ$1)&lt;COUNTIF(Data!$C:$C,"Swaps"),INDEX(Data!$D:$D,MATCH(CQ$1,Data!$D:$D,0)+1),"")</f>
        <v/>
      </c>
      <c r="CS16" s="29" t="str" cm="1">
        <f t="array" ref="CS16">IF(COUNTA($I$1:CR$1)&lt;COUNTIF(Data!$C:$C,"Swaps"),INDEX(Data!$D:$D,MATCH(CR$1,Data!$D:$D,0)+1),"")</f>
        <v/>
      </c>
      <c r="CT16" s="29" t="str" cm="1">
        <f t="array" ref="CT16">IF(COUNTA($I$1:CS$1)&lt;COUNTIF(Data!$C:$C,"Swaps"),INDEX(Data!$D:$D,MATCH(CS$1,Data!$D:$D,0)+1),"")</f>
        <v/>
      </c>
      <c r="CU16" s="29" t="str" cm="1">
        <f t="array" ref="CU16">IF(COUNTA($I$1:CT$1)&lt;COUNTIF(Data!$C:$C,"Swaps"),INDEX(Data!$D:$D,MATCH(CT$1,Data!$D:$D,0)+1),"")</f>
        <v/>
      </c>
      <c r="CV16" s="29" t="str" cm="1">
        <f t="array" ref="CV16">IF(COUNTA($I$1:CU$1)&lt;COUNTIF(Data!$C:$C,"Swaps"),INDEX(Data!$D:$D,MATCH(CU$1,Data!$D:$D,0)+1),"")</f>
        <v/>
      </c>
      <c r="CW16" s="29" t="str" cm="1">
        <f t="array" ref="CW16">IF(COUNTA($I$1:CV$1)&lt;COUNTIF(Data!$C:$C,"Swaps"),INDEX(Data!$D:$D,MATCH(CV$1,Data!$D:$D,0)+1),"")</f>
        <v/>
      </c>
      <c r="CX16" s="29" t="str" cm="1">
        <f t="array" ref="CX16">IF(COUNTA($I$1:CW$1)&lt;COUNTIF(Data!$C:$C,"Swaps"),INDEX(Data!$D:$D,MATCH(CW$1,Data!$D:$D,0)+1),"")</f>
        <v/>
      </c>
      <c r="CY16" s="29" t="str" cm="1">
        <f t="array" ref="CY16">IF(COUNTA($I$1:CX$1)&lt;COUNTIF(Data!$C:$C,"Swaps"),INDEX(Data!$D:$D,MATCH(CX$1,Data!$D:$D,0)+1),"")</f>
        <v/>
      </c>
      <c r="CZ16" s="29" t="str" cm="1">
        <f t="array" ref="CZ16">IF(COUNTA($I$1:CY$1)&lt;COUNTIF(Data!$C:$C,"Swaps"),INDEX(Data!$D:$D,MATCH(CY$1,Data!$D:$D,0)+1),"")</f>
        <v/>
      </c>
      <c r="DA16" s="29" t="str" cm="1">
        <f t="array" ref="DA16">IF(COUNTA($I$1:CZ$1)&lt;COUNTIF(Data!$C:$C,"Swaps"),INDEX(Data!$D:$D,MATCH(CZ$1,Data!$D:$D,0)+1),"")</f>
        <v/>
      </c>
      <c r="DB16" s="29" t="str" cm="1">
        <f t="array" ref="DB16">IF(COUNTA($I$1:DA$1)&lt;COUNTIF(Data!$C:$C,"Swaps"),INDEX(Data!$D:$D,MATCH(DA$1,Data!$D:$D,0)+1),"")</f>
        <v/>
      </c>
      <c r="DC16" s="29" t="str" cm="1">
        <f t="array" ref="DC16">IF(COUNTA($I$1:DB$1)&lt;COUNTIF(Data!$C:$C,"Swaps"),INDEX(Data!$D:$D,MATCH(DB$1,Data!$D:$D,0)+1),"")</f>
        <v/>
      </c>
      <c r="DD16" s="29" t="str" cm="1">
        <f t="array" ref="DD16">IF(COUNTA($I$1:DC$1)&lt;COUNTIF(Data!$C:$C,"Swaps"),INDEX(Data!$D:$D,MATCH(DC$1,Data!$D:$D,0)+1),"")</f>
        <v/>
      </c>
      <c r="DE16" s="29" t="str" cm="1">
        <f t="array" ref="DE16">IF(COUNTA($I$1:DD$1)&lt;COUNTIF(Data!$C:$C,"Swaps"),INDEX(Data!$D:$D,MATCH(DD$1,Data!$D:$D,0)+1),"")</f>
        <v/>
      </c>
      <c r="DF16" s="29" t="str" cm="1">
        <f t="array" ref="DF16">IF(COUNTA($I$1:DE$1)&lt;COUNTIF(Data!$C:$C,"Swaps"),INDEX(Data!$D:$D,MATCH(DE$1,Data!$D:$D,0)+1),"")</f>
        <v/>
      </c>
      <c r="DG16" s="29" t="str" cm="1">
        <f t="array" ref="DG16">IF(COUNTA($I$1:DF$1)&lt;COUNTIF(Data!$C:$C,"Swaps"),INDEX(Data!$D:$D,MATCH(DF$1,Data!$D:$D,0)+1),"")</f>
        <v/>
      </c>
      <c r="DH16" s="29" t="str" cm="1">
        <f t="array" ref="DH16">IF(COUNTA($I$1:DG$1)&lt;COUNTIF(Data!$C:$C,"Swaps"),INDEX(Data!$D:$D,MATCH(DG$1,Data!$D:$D,0)+1),"")</f>
        <v/>
      </c>
      <c r="DI16" s="29" t="str" cm="1">
        <f t="array" ref="DI16">IF(COUNTA($I$1:DH$1)&lt;COUNTIF(Data!$C:$C,"Swaps"),INDEX(Data!$D:$D,MATCH(DH$1,Data!$D:$D,0)+1),"")</f>
        <v/>
      </c>
      <c r="DJ16" s="29" t="str" cm="1">
        <f t="array" ref="DJ16">IF(COUNTA($I$1:DI$1)&lt;COUNTIF(Data!$C:$C,"Swaps"),INDEX(Data!$D:$D,MATCH(DI$1,Data!$D:$D,0)+1),"")</f>
        <v/>
      </c>
      <c r="DK16" s="29" t="str" cm="1">
        <f t="array" ref="DK16">IF(COUNTA($I$1:DJ$1)&lt;COUNTIF(Data!$C:$C,"Swaps"),INDEX(Data!$D:$D,MATCH(DJ$1,Data!$D:$D,0)+1),"")</f>
        <v/>
      </c>
      <c r="DL16" s="29" t="str" cm="1">
        <f t="array" ref="DL16">IF(COUNTA($I$1:DK$1)&lt;COUNTIF(Data!$C:$C,"Swaps"),INDEX(Data!$D:$D,MATCH(DK$1,Data!$D:$D,0)+1),"")</f>
        <v/>
      </c>
      <c r="DM16" s="29" t="str" cm="1">
        <f t="array" ref="DM16">IF(COUNTA($I$1:DL$1)&lt;COUNTIF(Data!$C:$C,"Swaps"),INDEX(Data!$D:$D,MATCH(DL$1,Data!$D:$D,0)+1),"")</f>
        <v/>
      </c>
      <c r="DN16" s="29" t="str" cm="1">
        <f t="array" ref="DN16">IF(COUNTA($I$1:DM$1)&lt;COUNTIF(Data!$C:$C,"Swaps"),INDEX(Data!$D:$D,MATCH(DM$1,Data!$D:$D,0)+1),"")</f>
        <v/>
      </c>
      <c r="DO16" s="29" t="str" cm="1">
        <f t="array" ref="DO16">IF(COUNTA($I$1:DN$1)&lt;COUNTIF(Data!$C:$C,"Swaps"),INDEX(Data!$D:$D,MATCH(DN$1,Data!$D:$D,0)+1),"")</f>
        <v/>
      </c>
    </row>
    <row r="17" spans="1:75" x14ac:dyDescent="0.3">
      <c r="A17" s="107" t="s">
        <v>69</v>
      </c>
      <c r="B17" s="122">
        <f>MIN(0,SUMIF(Data!$C:$C,$A17,Data!$AH:$AH))</f>
        <v>0</v>
      </c>
      <c r="C17" s="70">
        <f>$B17/$B$4</f>
        <v>0</v>
      </c>
      <c r="D17" s="65"/>
      <c r="H17" s="178">
        <f>SUM(I17:BH17)</f>
        <v>0</v>
      </c>
      <c r="I17" s="16" t="str">
        <f>IF(I$16="","",INDEX(Data!$AH:$AH,MATCH(I$16,Data!$D:$D,0))/$B$4)</f>
        <v/>
      </c>
      <c r="J17" s="17" t="str">
        <f>IF(J$16="","",INDEX(Data!$AH:$AH,MATCH(J$16,Data!$D:$D,0))/$B$4)</f>
        <v/>
      </c>
      <c r="K17" s="17" t="str">
        <f>IF(K$16="","",INDEX(Data!$AH:$AH,MATCH(K$16,Data!$D:$D,0))/$B$4)</f>
        <v/>
      </c>
      <c r="L17" s="17" t="str">
        <f>IF(L$16="","",INDEX(Data!$AH:$AH,MATCH(L$16,Data!$D:$D,0))/$B$4)</f>
        <v/>
      </c>
      <c r="M17" s="17" t="str">
        <f>IF(M$16="","",INDEX(Data!$AH:$AH,MATCH(M$16,Data!$D:$D,0))/$B$4)</f>
        <v/>
      </c>
      <c r="N17" s="17" t="str">
        <f>IF(N$16="","",INDEX(Data!$AH:$AH,MATCH(N$16,Data!$D:$D,0))/$B$4)</f>
        <v/>
      </c>
      <c r="O17" s="17" t="str">
        <f>IF(O$16="","",INDEX(Data!$AH:$AH,MATCH(O$16,Data!$D:$D,0))/$B$4)</f>
        <v/>
      </c>
      <c r="P17" s="17" t="str">
        <f>IF(P$16="","",INDEX(Data!$AH:$AH,MATCH(P$16,Data!$D:$D,0))/$B$4)</f>
        <v/>
      </c>
      <c r="Q17" s="17" t="str">
        <f>IF(Q$16="","",INDEX(Data!$AH:$AH,MATCH(Q$16,Data!$D:$D,0))/$B$4)</f>
        <v/>
      </c>
      <c r="R17" s="17" t="str">
        <f>IF(R$16="","",INDEX(Data!$AH:$AH,MATCH(R$16,Data!$D:$D,0))/$B$4)</f>
        <v/>
      </c>
      <c r="S17" s="17" t="str">
        <f>IF(S$16="","",INDEX(Data!$AH:$AH,MATCH(S$16,Data!$D:$D,0))/$B$4)</f>
        <v/>
      </c>
      <c r="T17" s="17" t="str">
        <f>IF(T$16="","",INDEX(Data!$AH:$AH,MATCH(T$16,Data!$D:$D,0))/$B$4)</f>
        <v/>
      </c>
      <c r="U17" s="17" t="str">
        <f>IF(U$16="","",INDEX(Data!$AH:$AH,MATCH(U$16,Data!$D:$D,0))/$B$4)</f>
        <v/>
      </c>
      <c r="V17" s="17" t="str">
        <f>IF(V$16="","",INDEX(Data!$AH:$AH,MATCH(V$16,Data!$D:$D,0))/$B$4)</f>
        <v/>
      </c>
      <c r="W17" s="17" t="str">
        <f>IF(W$16="","",INDEX(Data!$AH:$AH,MATCH(W$16,Data!$D:$D,0))/$B$4)</f>
        <v/>
      </c>
      <c r="X17" s="17" t="str">
        <f>IF(X$16="","",INDEX(Data!$AH:$AH,MATCH(X$16,Data!$D:$D,0))/$B$4)</f>
        <v/>
      </c>
      <c r="Y17" s="17" t="str">
        <f>IF(Y$16="","",INDEX(Data!$AH:$AH,MATCH(Y$16,Data!$D:$D,0))/$B$4)</f>
        <v/>
      </c>
      <c r="Z17" s="17" t="str">
        <f>IF(Z$16="","",INDEX(Data!$AH:$AH,MATCH(Z$16,Data!$D:$D,0))/$B$4)</f>
        <v/>
      </c>
      <c r="AA17" s="17" t="str">
        <f>IF(AA$16="","",INDEX(Data!$AH:$AH,MATCH(AA$16,Data!$D:$D,0))/$B$4)</f>
        <v/>
      </c>
      <c r="AB17" s="17" t="str">
        <f>IF(AB$16="","",INDEX(Data!$AH:$AH,MATCH(AB$16,Data!$D:$D,0))/$B$4)</f>
        <v/>
      </c>
      <c r="AC17" s="17" t="str">
        <f>IF(AC$16="","",INDEX(Data!$AH:$AH,MATCH(AC$16,Data!$D:$D,0))/$B$4)</f>
        <v/>
      </c>
      <c r="AD17" s="17" t="str">
        <f>IF(AD$16="","",INDEX(Data!$AH:$AH,MATCH(AD$16,Data!$D:$D,0))/$B$4)</f>
        <v/>
      </c>
      <c r="AE17" s="17" t="str">
        <f>IF(AE$16="","",INDEX(Data!$AH:$AH,MATCH(AE$16,Data!$D:$D,0))/$B$4)</f>
        <v/>
      </c>
      <c r="AF17" s="17" t="str">
        <f>IF(AF$16="","",INDEX(Data!$AH:$AH,MATCH(AF$16,Data!$D:$D,0))/$B$4)</f>
        <v/>
      </c>
      <c r="AG17" s="17" t="str">
        <f>IF(AG$16="","",INDEX(Data!$AH:$AH,MATCH(AG$16,Data!$D:$D,0))/$B$4)</f>
        <v/>
      </c>
      <c r="AH17" s="17" t="str">
        <f>IF(AH$16="","",INDEX(Data!$AH:$AH,MATCH(AH$16,Data!$D:$D,0))/$B$4)</f>
        <v/>
      </c>
      <c r="AI17" s="17" t="str">
        <f>IF(AI$16="","",INDEX(Data!$AH:$AH,MATCH(AI$16,Data!$D:$D,0))/$B$4)</f>
        <v/>
      </c>
      <c r="AJ17" s="17" t="str">
        <f>IF(AJ$16="","",INDEX(Data!$AH:$AH,MATCH(AJ$16,Data!$D:$D,0))/$B$4)</f>
        <v/>
      </c>
      <c r="AK17" s="17" t="str">
        <f>IF(AK$16="","",INDEX(Data!$AH:$AH,MATCH(AK$16,Data!$D:$D,0))/$B$4)</f>
        <v/>
      </c>
      <c r="AL17" s="17" t="str">
        <f>IF(AL$16="","",INDEX(Data!$AH:$AH,MATCH(AL$16,Data!$D:$D,0))/$B$4)</f>
        <v/>
      </c>
      <c r="AM17" s="17" t="str">
        <f>IF(AM$16="","",INDEX(Data!$AH:$AH,MATCH(AM$16,Data!$D:$D,0))/$B$4)</f>
        <v/>
      </c>
      <c r="AN17" s="17" t="str">
        <f>IF(AN$16="","",INDEX(Data!$AH:$AH,MATCH(AN$16,Data!$D:$D,0))/$B$4)</f>
        <v/>
      </c>
      <c r="AO17" s="17" t="str">
        <f>IF(AO$16="","",INDEX(Data!$AH:$AH,MATCH(AO$16,Data!$D:$D,0))/$B$4)</f>
        <v/>
      </c>
      <c r="AP17" s="17" t="str">
        <f>IF(AP$16="","",INDEX(Data!$AH:$AH,MATCH(AP$16,Data!$D:$D,0))/$B$4)</f>
        <v/>
      </c>
      <c r="AQ17" s="17" t="str">
        <f>IF(AQ$16="","",INDEX(Data!$AH:$AH,MATCH(AQ$16,Data!$D:$D,0))/$B$4)</f>
        <v/>
      </c>
      <c r="AR17" s="17" t="str">
        <f>IF(AR$16="","",INDEX(Data!$AH:$AH,MATCH(AR$16,Data!$D:$D,0))/$B$4)</f>
        <v/>
      </c>
      <c r="AS17" s="17" t="str">
        <f>IF(AS$16="","",INDEX(Data!$AH:$AH,MATCH(AS$16,Data!$D:$D,0))/$B$4)</f>
        <v/>
      </c>
      <c r="AT17" s="17" t="str">
        <f>IF(AT$16="","",INDEX(Data!$AH:$AH,MATCH(AT$16,Data!$D:$D,0))/$B$4)</f>
        <v/>
      </c>
      <c r="AU17" s="17" t="str">
        <f>IF(AU$16="","",INDEX(Data!$AH:$AH,MATCH(AU$16,Data!$D:$D,0))/$B$4)</f>
        <v/>
      </c>
      <c r="AV17" s="17" t="str">
        <f>IF(AV$16="","",INDEX(Data!$AH:$AH,MATCH(AV$16,Data!$D:$D,0))/$B$4)</f>
        <v/>
      </c>
      <c r="AW17" s="17" t="str">
        <f>IF(AW$16="","",INDEX(Data!$AH:$AH,MATCH(AW$16,Data!$D:$D,0))/$B$4)</f>
        <v/>
      </c>
      <c r="AX17" s="17" t="str">
        <f>IF(AX$16="","",INDEX(Data!$AH:$AH,MATCH(AX$16,Data!$D:$D,0))/$B$4)</f>
        <v/>
      </c>
      <c r="AY17" s="17" t="str">
        <f>IF(AY$16="","",INDEX(Data!$AH:$AH,MATCH(AY$16,Data!$D:$D,0))/$B$4)</f>
        <v/>
      </c>
      <c r="AZ17" s="17" t="str">
        <f>IF(AZ$16="","",INDEX(Data!$AH:$AH,MATCH(AZ$16,Data!$D:$D,0))/$B$4)</f>
        <v/>
      </c>
      <c r="BA17" s="17" t="str">
        <f>IF(BA$16="","",INDEX(Data!$AH:$AH,MATCH(BA$16,Data!$D:$D,0))/$B$4)</f>
        <v/>
      </c>
      <c r="BB17" s="17" t="str">
        <f>IF(BB$16="","",INDEX(Data!$AH:$AH,MATCH(BB$16,Data!$D:$D,0))/$B$4)</f>
        <v/>
      </c>
      <c r="BC17" s="17" t="str">
        <f>IF(BC$16="","",INDEX(Data!$AH:$AH,MATCH(BC$16,Data!$D:$D,0))/$B$4)</f>
        <v/>
      </c>
      <c r="BD17" s="17" t="str">
        <f>IF(BD$16="","",INDEX(Data!$AH:$AH,MATCH(BD$16,Data!$D:$D,0))/$B$4)</f>
        <v/>
      </c>
      <c r="BE17" s="17" t="str">
        <f>IF(BE$16="","",INDEX(Data!$AH:$AH,MATCH(BE$16,Data!$D:$D,0))/$B$4)</f>
        <v/>
      </c>
      <c r="BF17" s="17" t="str">
        <f>IF(BF$16="","",INDEX(Data!$AH:$AH,MATCH(BF$16,Data!$D:$D,0))/$B$4)</f>
        <v/>
      </c>
      <c r="BG17" s="17" t="str">
        <f>IF(BG$16="","",INDEX(Data!$AH:$AH,MATCH(BG$16,Data!$D:$D,0))/$B$4)</f>
        <v/>
      </c>
      <c r="BH17" s="18" t="str">
        <f>IF(BH$16="","",INDEX(Data!$AH:$AH,MATCH(BH$16,Data!$D:$D,0))/$B$4)</f>
        <v/>
      </c>
    </row>
    <row r="18" spans="1:75" x14ac:dyDescent="0.3">
      <c r="A18" s="107" t="s">
        <v>71</v>
      </c>
      <c r="B18" s="176" cm="1">
        <f t="array" ref="B18">MIN(0,SUMPRODUCT((Data!$B$2:$B$1000="SWAPS")*((Data!$G$2:$G$1000)*(Data!$M$2:$M$1000))))/100</f>
        <v>0</v>
      </c>
      <c r="C18" s="71">
        <f>$B18/$B$4</f>
        <v>0</v>
      </c>
      <c r="H18" s="178"/>
      <c r="I18" s="2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5"/>
    </row>
    <row r="19" spans="1:75" x14ac:dyDescent="0.3">
      <c r="A19" s="107" t="s">
        <v>12716</v>
      </c>
      <c r="B19" s="128" cm="1">
        <f t="array" ref="B19">MIN(0,SUMPRODUCT((Data!$B$2:$B$1000="FORWARD RATE AGREEMENT")*((Data!$G$2:$G$1000)*(Data!$M$2:$M$1000))))/100</f>
        <v>0</v>
      </c>
      <c r="C19" s="72">
        <f>$B19/$B$4</f>
        <v>0</v>
      </c>
      <c r="D19" s="65"/>
      <c r="F19" s="15" t="s">
        <v>65</v>
      </c>
      <c r="H19" s="179" t="str">
        <f>"Swaps ("&amp;COUNTIF(Data!$C:$C,"SWAPS")&amp;")"</f>
        <v>Swaps (6)</v>
      </c>
      <c r="I19" s="28" t="str">
        <f>IF(ISNA(IF(ISNA(MATCH("Swaps",Data!$C:$C,0)),"",INDEX(Data!$D:$D,MATCH("Swaps",Data!$C:$C,0)))),"",IF(ISNA(MATCH("Swaps",Data!$C:$C,0)),"",INDEX(Data!$D:$D,MATCH("Swaps",Data!$C:$C,0))))</f>
        <v>ABSA TRS 040822 A</v>
      </c>
      <c r="J19" s="29" t="str" cm="1">
        <f t="array" ref="J19">IF(COUNTA($I$19:I$19)&lt;COUNTIF(Data!$C:$C,"Swaps"),INDEX(Data!$D:$D,MATCH(I$19,Data!$D:$D,0)+1),"")</f>
        <v>ABSA TRS 040822 A_P</v>
      </c>
      <c r="K19" s="29" t="str" cm="1">
        <f t="array" ref="K19">IF(COUNTA($I$19:J$19)&lt;COUNTIF(Data!$C:$C,"Swaps"),INDEX(Data!$D:$D,MATCH(J$19,Data!$D:$D,0)+1),"")</f>
        <v>ABSA TRS 040822 A_R</v>
      </c>
      <c r="L19" s="29" t="str" cm="1">
        <f t="array" ref="L19">IF(COUNTA($I$19:K$19)&lt;COUNTIF(Data!$C:$C,"Swaps"),INDEX(Data!$D:$D,MATCH(K$19,Data!$D:$D,0)+1),"")</f>
        <v>INVESTEC TRS 030822 B</v>
      </c>
      <c r="M19" s="29" t="str" cm="1">
        <f t="array" ref="M19">IF(COUNTA($I$19:L$19)&lt;COUNTIF(Data!$C:$C,"Swaps"),INDEX(Data!$D:$D,MATCH(L$19,Data!$D:$D,0)+1),"")</f>
        <v>INVESTEC TRS 030822 B_P</v>
      </c>
      <c r="N19" s="29" t="str" cm="1">
        <f t="array" ref="N19">IF(COUNTA($I$19:M$19)&lt;COUNTIF(Data!$C:$C,"Swaps"),INDEX(Data!$D:$D,MATCH(M$19,Data!$D:$D,0)+1),"")</f>
        <v>INVESTEC TRS 030822 B_R</v>
      </c>
      <c r="O19" s="29" t="str" cm="1">
        <f t="array" ref="O19">IF(COUNTA($I$19:N$19)&lt;COUNTIF(Data!$C:$C,"Swaps"),INDEX(Data!$D:$D,MATCH(N$19,Data!$D:$D,0)+1),"")</f>
        <v/>
      </c>
      <c r="P19" s="29" t="str" cm="1">
        <f t="array" ref="P19">IF(COUNTA($I$19:O$19)&lt;COUNTIF(Data!$C:$C,"Swaps"),INDEX(Data!$D:$D,MATCH(O$19,Data!$D:$D,0)+1),"")</f>
        <v/>
      </c>
      <c r="Q19" s="29" t="str" cm="1">
        <f t="array" ref="Q19">IF(COUNTA($I$19:P$19)&lt;COUNTIF(Data!$C:$C,"Swaps"),INDEX(Data!$D:$D,MATCH(P$19,Data!$D:$D,0)+1),"")</f>
        <v/>
      </c>
      <c r="R19" s="29" t="str" cm="1">
        <f t="array" ref="R19">IF(COUNTA($I$19:Q$19)&lt;COUNTIF(Data!$C:$C,"Swaps"),INDEX(Data!$D:$D,MATCH(Q$19,Data!$D:$D,0)+1),"")</f>
        <v/>
      </c>
      <c r="S19" s="29" t="str" cm="1">
        <f t="array" ref="S19">IF(COUNTA($I$19:R$19)&lt;COUNTIF(Data!$C:$C,"Swaps"),INDEX(Data!$D:$D,MATCH(R$19,Data!$D:$D,0)+1),"")</f>
        <v/>
      </c>
      <c r="T19" s="29" t="str" cm="1">
        <f t="array" ref="T19">IF(COUNTA($I$19:S$19)&lt;COUNTIF(Data!$C:$C,"Swaps"),INDEX(Data!$D:$D,MATCH(S$19,Data!$D:$D,0)+1),"")</f>
        <v/>
      </c>
      <c r="U19" s="29" t="str" cm="1">
        <f t="array" ref="U19">IF(COUNTA($I$19:T$19)&lt;COUNTIF(Data!$C:$C,"Swaps"),INDEX(Data!$D:$D,MATCH(T$19,Data!$D:$D,0)+1),"")</f>
        <v/>
      </c>
      <c r="V19" s="29" t="str" cm="1">
        <f t="array" ref="V19">IF(COUNTA($I$19:U$19)&lt;COUNTIF(Data!$C:$C,"Swaps"),INDEX(Data!$D:$D,MATCH(U$19,Data!$D:$D,0)+1),"")</f>
        <v/>
      </c>
      <c r="W19" s="29" t="str" cm="1">
        <f t="array" ref="W19">IF(COUNTA($I$19:V$19)&lt;COUNTIF(Data!$C:$C,"Swaps"),INDEX(Data!$D:$D,MATCH(V$19,Data!$D:$D,0)+1),"")</f>
        <v/>
      </c>
      <c r="X19" s="29" t="str" cm="1">
        <f t="array" ref="X19">IF(COUNTA($I$19:W$19)&lt;COUNTIF(Data!$C:$C,"Swaps"),INDEX(Data!$D:$D,MATCH(W$19,Data!$D:$D,0)+1),"")</f>
        <v/>
      </c>
      <c r="Y19" s="29" t="str" cm="1">
        <f t="array" ref="Y19">IF(COUNTA($I$19:X$19)&lt;COUNTIF(Data!$C:$C,"Swaps"),INDEX(Data!$D:$D,MATCH(X$19,Data!$D:$D,0)+1),"")</f>
        <v/>
      </c>
      <c r="Z19" s="29" t="str" cm="1">
        <f t="array" ref="Z19">IF(COUNTA($I$19:Y$19)&lt;COUNTIF(Data!$C:$C,"Swaps"),INDEX(Data!$D:$D,MATCH(Y$19,Data!$D:$D,0)+1),"")</f>
        <v/>
      </c>
      <c r="AA19" s="29" t="str" cm="1">
        <f t="array" ref="AA19">IF(COUNTA($I$19:Z$19)&lt;COUNTIF(Data!$C:$C,"Swaps"),INDEX(Data!$D:$D,MATCH(Z$19,Data!$D:$D,0)+1),"")</f>
        <v/>
      </c>
      <c r="AB19" s="29" t="str" cm="1">
        <f t="array" ref="AB19">IF(COUNTA($I$19:AA$19)&lt;COUNTIF(Data!$C:$C,"Swaps"),INDEX(Data!$D:$D,MATCH(AA$19,Data!$D:$D,0)+1),"")</f>
        <v/>
      </c>
      <c r="AC19" s="29" t="str" cm="1">
        <f t="array" ref="AC19">IF(COUNTA($I$19:AB$19)&lt;COUNTIF(Data!$C:$C,"Swaps"),INDEX(Data!$D:$D,MATCH(AB$19,Data!$D:$D,0)+1),"")</f>
        <v/>
      </c>
      <c r="AD19" s="29" t="str" cm="1">
        <f t="array" ref="AD19">IF(COUNTA($I$19:AC$19)&lt;COUNTIF(Data!$C:$C,"Swaps"),INDEX(Data!$D:$D,MATCH(AC$19,Data!$D:$D,0)+1),"")</f>
        <v/>
      </c>
      <c r="AE19" s="29" t="str" cm="1">
        <f t="array" ref="AE19">IF(COUNTA($I$19:AD$19)&lt;COUNTIF(Data!$C:$C,"Swaps"),INDEX(Data!$D:$D,MATCH(AD$19,Data!$D:$D,0)+1),"")</f>
        <v/>
      </c>
      <c r="AF19" s="29" t="str" cm="1">
        <f t="array" ref="AF19">IF(COUNTA($I$19:AE$19)&lt;COUNTIF(Data!$C:$C,"Swaps"),INDEX(Data!$D:$D,MATCH(AE$19,Data!$D:$D,0)+1),"")</f>
        <v/>
      </c>
      <c r="AG19" s="29" t="str" cm="1">
        <f t="array" ref="AG19">IF(COUNTA($I$19:AF$19)&lt;COUNTIF(Data!$C:$C,"Swaps"),INDEX(Data!$D:$D,MATCH(AF$19,Data!$D:$D,0)+1),"")</f>
        <v/>
      </c>
      <c r="AH19" s="29" t="str" cm="1">
        <f t="array" ref="AH19">IF(COUNTA($I$19:AG$19)&lt;COUNTIF(Data!$C:$C,"Swaps"),INDEX(Data!$D:$D,MATCH(AG$19,Data!$D:$D,0)+1),"")</f>
        <v/>
      </c>
      <c r="AI19" s="29" t="str" cm="1">
        <f t="array" ref="AI19">IF(COUNTA($I$19:AH$19)&lt;COUNTIF(Data!$C:$C,"Swaps"),INDEX(Data!$D:$D,MATCH(AH$19,Data!$D:$D,0)+1),"")</f>
        <v/>
      </c>
      <c r="AJ19" s="29" t="str" cm="1">
        <f t="array" ref="AJ19">IF(COUNTA($I$19:AI$19)&lt;COUNTIF(Data!$C:$C,"Swaps"),INDEX(Data!$D:$D,MATCH(AI$19,Data!$D:$D,0)+1),"")</f>
        <v/>
      </c>
      <c r="AK19" s="29" t="str" cm="1">
        <f t="array" ref="AK19">IF(COUNTA($I$19:AJ$19)&lt;COUNTIF(Data!$C:$C,"Swaps"),INDEX(Data!$D:$D,MATCH(AJ$19,Data!$D:$D,0)+1),"")</f>
        <v/>
      </c>
      <c r="AL19" s="29" t="str" cm="1">
        <f t="array" ref="AL19">IF(COUNTA($I$19:AK$19)&lt;COUNTIF(Data!$C:$C,"Swaps"),INDEX(Data!$D:$D,MATCH(AK$19,Data!$D:$D,0)+1),"")</f>
        <v/>
      </c>
      <c r="AM19" s="29" t="str" cm="1">
        <f t="array" ref="AM19">IF(COUNTA($I$19:AL$19)&lt;COUNTIF(Data!$C:$C,"Swaps"),INDEX(Data!$D:$D,MATCH(AL$19,Data!$D:$D,0)+1),"")</f>
        <v/>
      </c>
      <c r="AN19" s="29" t="str" cm="1">
        <f t="array" ref="AN19">IF(COUNTA($I$19:AM$19)&lt;COUNTIF(Data!$C:$C,"Swaps"),INDEX(Data!$D:$D,MATCH(AM$19,Data!$D:$D,0)+1),"")</f>
        <v/>
      </c>
      <c r="AO19" s="29" t="str" cm="1">
        <f t="array" ref="AO19">IF(COUNTA($I$19:AN$19)&lt;COUNTIF(Data!$C:$C,"Swaps"),INDEX(Data!$D:$D,MATCH(AN$19,Data!$D:$D,0)+1),"")</f>
        <v/>
      </c>
      <c r="AP19" s="29" t="str" cm="1">
        <f t="array" ref="AP19">IF(COUNTA($I$19:AO$19)&lt;COUNTIF(Data!$C:$C,"Swaps"),INDEX(Data!$D:$D,MATCH(AO$19,Data!$D:$D,0)+1),"")</f>
        <v/>
      </c>
      <c r="AQ19" s="29" t="str" cm="1">
        <f t="array" ref="AQ19">IF(COUNTA($I$19:AP$19)&lt;COUNTIF(Data!$C:$C,"Swaps"),INDEX(Data!$D:$D,MATCH(AP$19,Data!$D:$D,0)+1),"")</f>
        <v/>
      </c>
      <c r="AR19" s="29" t="str" cm="1">
        <f t="array" ref="AR19">IF(COUNTA($I$19:AQ$19)&lt;COUNTIF(Data!$C:$C,"Swaps"),INDEX(Data!$D:$D,MATCH(AQ$19,Data!$D:$D,0)+1),"")</f>
        <v/>
      </c>
      <c r="AS19" s="29" t="str" cm="1">
        <f t="array" ref="AS19">IF(COUNTA($I$19:AR$19)&lt;COUNTIF(Data!$C:$C,"Swaps"),INDEX(Data!$D:$D,MATCH(AR$19,Data!$D:$D,0)+1),"")</f>
        <v/>
      </c>
      <c r="AT19" s="29" t="str" cm="1">
        <f t="array" ref="AT19">IF(COUNTA($I$19:AS$19)&lt;COUNTIF(Data!$C:$C,"Swaps"),INDEX(Data!$D:$D,MATCH(AS$19,Data!$D:$D,0)+1),"")</f>
        <v/>
      </c>
      <c r="AU19" s="29" t="str" cm="1">
        <f t="array" ref="AU19">IF(COUNTA($I$19:AT$19)&lt;COUNTIF(Data!$C:$C,"Swaps"),INDEX(Data!$D:$D,MATCH(AT$19,Data!$D:$D,0)+1),"")</f>
        <v/>
      </c>
      <c r="AV19" s="29" t="str" cm="1">
        <f t="array" ref="AV19">IF(COUNTA($I$19:AU$19)&lt;COUNTIF(Data!$C:$C,"Swaps"),INDEX(Data!$D:$D,MATCH(AU$19,Data!$D:$D,0)+1),"")</f>
        <v/>
      </c>
      <c r="AW19" s="29" t="str" cm="1">
        <f t="array" ref="AW19">IF(COUNTA($I$19:AV$19)&lt;COUNTIF(Data!$C:$C,"Swaps"),INDEX(Data!$D:$D,MATCH(AV$19,Data!$D:$D,0)+1),"")</f>
        <v/>
      </c>
      <c r="AX19" s="29" t="str" cm="1">
        <f t="array" ref="AX19">IF(COUNTA($I$19:AW$19)&lt;COUNTIF(Data!$C:$C,"Swaps"),INDEX(Data!$D:$D,MATCH(AW$19,Data!$D:$D,0)+1),"")</f>
        <v/>
      </c>
      <c r="AY19" s="29" t="str" cm="1">
        <f t="array" ref="AY19">IF(COUNTA($I$19:AX$19)&lt;COUNTIF(Data!$C:$C,"Swaps"),INDEX(Data!$D:$D,MATCH(AX$19,Data!$D:$D,0)+1),"")</f>
        <v/>
      </c>
      <c r="AZ19" s="29" t="str" cm="1">
        <f t="array" ref="AZ19">IF(COUNTA($I$19:AY$19)&lt;COUNTIF(Data!$C:$C,"Swaps"),INDEX(Data!$D:$D,MATCH(AY$19,Data!$D:$D,0)+1),"")</f>
        <v/>
      </c>
      <c r="BA19" s="29" t="str" cm="1">
        <f t="array" ref="BA19">IF(COUNTA($I$19:AZ$19)&lt;COUNTIF(Data!$C:$C,"Swaps"),INDEX(Data!$D:$D,MATCH(AZ$19,Data!$D:$D,0)+1),"")</f>
        <v/>
      </c>
      <c r="BB19" s="29" t="str" cm="1">
        <f t="array" ref="BB19">IF(COUNTA($I$19:BA$19)&lt;COUNTIF(Data!$C:$C,"Swaps"),INDEX(Data!$D:$D,MATCH(BA$19,Data!$D:$D,0)+1),"")</f>
        <v/>
      </c>
      <c r="BC19" s="29" t="str" cm="1">
        <f t="array" ref="BC19">IF(COUNTA($I$19:BB$19)&lt;COUNTIF(Data!$C:$C,"Swaps"),INDEX(Data!$D:$D,MATCH(BB$19,Data!$D:$D,0)+1),"")</f>
        <v/>
      </c>
      <c r="BD19" s="29" t="str" cm="1">
        <f t="array" ref="BD19">IF(COUNTA($I$19:BC$19)&lt;COUNTIF(Data!$C:$C,"Swaps"),INDEX(Data!$D:$D,MATCH(BC$19,Data!$D:$D,0)+1),"")</f>
        <v/>
      </c>
      <c r="BE19" s="29" t="str" cm="1">
        <f t="array" ref="BE19">IF(COUNTA($I$19:BD$19)&lt;COUNTIF(Data!$C:$C,"Swaps"),INDEX(Data!$D:$D,MATCH(BD$19,Data!$D:$D,0)+1),"")</f>
        <v/>
      </c>
      <c r="BF19" s="29" t="str" cm="1">
        <f t="array" ref="BF19">IF(COUNTA($I$19:BE$19)&lt;COUNTIF(Data!$C:$C,"Swaps"),INDEX(Data!$D:$D,MATCH(BE$19,Data!$D:$D,0)+1),"")</f>
        <v/>
      </c>
      <c r="BG19" s="29" t="str" cm="1">
        <f t="array" ref="BG19">IF(COUNTA($I$19:BF$19)&lt;COUNTIF(Data!$C:$C,"Swaps"),INDEX(Data!$D:$D,MATCH(BF$19,Data!$D:$D,0)+1),"")</f>
        <v/>
      </c>
      <c r="BH19" s="30" t="str" cm="1">
        <f t="array" ref="BH19">IF(COUNTA($I$19:BG$19)&lt;COUNTIF(Data!$C:$C,"Swaps"),INDEX(Data!$D:$D,MATCH(BG$19,Data!$D:$D,0)+1),"")</f>
        <v/>
      </c>
      <c r="BI19" s="29" t="str" cm="1">
        <f t="array" ref="BI19">IF(COUNTA($I$1:BH$1)&lt;COUNTIF(Data!$C:$C,"Forward Rate Agreement"),INDEX(Data!$D:$D,MATCH(BH$1,Data!$D:$D,0)+1),"")</f>
        <v/>
      </c>
      <c r="BJ19" s="29" t="str" cm="1">
        <f t="array" ref="BJ19">IF(COUNTA($I$1:BI$1)&lt;COUNTIF(Data!$C:$C,"Forward Rate Agreements"),INDEX(Data!$D:$D,MATCH(BI$1,Data!$D:$D,0)+1),"")</f>
        <v/>
      </c>
      <c r="BK19" s="29" t="str" cm="1">
        <f t="array" ref="BK19">IF(COUNTA($I$1:BJ$1)&lt;COUNTIF(Data!$C:$C,"Forward Rate Agreements"),INDEX(Data!$D:$D,MATCH(BJ$1,Data!$D:$D,0)+1),"")</f>
        <v/>
      </c>
      <c r="BL19" s="29" t="str" cm="1">
        <f t="array" ref="BL19">IF(COUNTA($I$1:BK$1)&lt;COUNTIF(Data!$C:$C,"Forward Rate Agreements"),INDEX(Data!$D:$D,MATCH(BK$1,Data!$D:$D,0)+1),"")</f>
        <v/>
      </c>
      <c r="BM19" s="29" t="str" cm="1">
        <f t="array" ref="BM19">IF(COUNTA($I$1:BL$1)&lt;COUNTIF(Data!$C:$C,"Forward Rate Agreements"),INDEX(Data!$D:$D,MATCH(BL$1,Data!$D:$D,0)+1),"")</f>
        <v/>
      </c>
      <c r="BN19" s="29" t="str" cm="1">
        <f t="array" ref="BN19">IF(COUNTA($I$1:BM$1)&lt;COUNTIF(Data!$C:$C,"Forward Rate Agreements"),INDEX(Data!$D:$D,MATCH(BM$1,Data!$D:$D,0)+1),"")</f>
        <v/>
      </c>
      <c r="BO19" s="29" t="str" cm="1">
        <f t="array" ref="BO19">IF(COUNTA($I$1:BN$1)&lt;COUNTIF(Data!$C:$C,"Forward Rate Agreements"),INDEX(Data!$D:$D,MATCH(BN$1,Data!$D:$D,0)+1),"")</f>
        <v/>
      </c>
      <c r="BP19" s="29" t="str" cm="1">
        <f t="array" ref="BP19">IF(COUNTA($I$1:BO$1)&lt;COUNTIF(Data!$C:$C,"Forward Rate Agreements"),INDEX(Data!$D:$D,MATCH(BO$1,Data!$D:$D,0)+1),"")</f>
        <v/>
      </c>
      <c r="BQ19" s="29" t="str" cm="1">
        <f t="array" ref="BQ19">IF(COUNTA($I$1:BP$1)&lt;COUNTIF(Data!$C:$C,"Swaps"),INDEX(Data!$D:$D,MATCH(BP$1,Data!$D:$D,0)+1),"")</f>
        <v/>
      </c>
      <c r="BR19" s="29" t="str" cm="1">
        <f t="array" ref="BR19">IF(COUNTA($I$1:BQ$1)&lt;COUNTIF(Data!$C:$C,"Swaps"),INDEX(Data!$D:$D,MATCH(BQ$1,Data!$D:$D,0)+1),"")</f>
        <v/>
      </c>
      <c r="BS19" s="29" t="str" cm="1">
        <f t="array" ref="BS19">IF(COUNTA($I$1:BR$1)&lt;COUNTIF(Data!$C:$C,"Swaps"),INDEX(Data!$D:$D,MATCH(BR$1,Data!$D:$D,0)+1),"")</f>
        <v/>
      </c>
      <c r="BT19" s="29" t="str" cm="1">
        <f t="array" ref="BT19">IF(COUNTA($I$1:BS$1)&lt;COUNTIF(Data!$C:$C,"Swaps"),INDEX(Data!$D:$D,MATCH(BS$1,Data!$D:$D,0)+1),"")</f>
        <v/>
      </c>
      <c r="BU19" s="29" t="str" cm="1">
        <f t="array" ref="BU19">IF(COUNTA($I$1:BT$1)&lt;COUNTIF(Data!$C:$C,"Swaps"),INDEX(Data!$D:$D,MATCH(BT$1,Data!$D:$D,0)+1),"")</f>
        <v/>
      </c>
      <c r="BV19" s="29" t="str" cm="1">
        <f t="array" ref="BV19">IF(COUNTA($I$1:BU$1)&lt;COUNTIF(Data!$C:$C,"Swaps"),INDEX(Data!$D:$D,MATCH(BU$1,Data!$D:$D,0)+1),"")</f>
        <v/>
      </c>
      <c r="BW19" s="29" t="str" cm="1">
        <f t="array" ref="BW19">IF(COUNTA($I$1:BV$1)&lt;COUNTIF(Data!$C:$C,"Swaps"),INDEX(Data!$D:$D,MATCH(BV$1,Data!$D:$D,0)+1),"")</f>
        <v/>
      </c>
    </row>
    <row r="20" spans="1:75" x14ac:dyDescent="0.3">
      <c r="A20" s="107"/>
      <c r="B20" s="155"/>
      <c r="C20" s="69"/>
      <c r="D20" s="65"/>
      <c r="E20" s="20">
        <f>$C6*100</f>
        <v>17.801292315987681</v>
      </c>
      <c r="F20" s="21" t="str">
        <f>"Cash, including cash value of options, available for long cover"&amp;IF($A3="UT","",", and including underlying UT cash")</f>
        <v>Cash, including cash value of options, available for long cover</v>
      </c>
      <c r="H20" s="178">
        <f>SUM(I20:BH20)</f>
        <v>-7.335863159839473E-3</v>
      </c>
      <c r="I20" s="16">
        <f>IF(I$19="","",INDEX(Data!$AH:$AH,MATCH(I$19,Data!$D:$D,0))/$B$4)</f>
        <v>0</v>
      </c>
      <c r="J20" s="17">
        <f>IF(J$19="","",INDEX(Data!$AH:$AH,MATCH(J$19,Data!$D:$D,0))/$B$4)</f>
        <v>-0.37883172102256318</v>
      </c>
      <c r="K20" s="17">
        <f>IF(K$19="","",INDEX(Data!$AH:$AH,MATCH(K$19,Data!$D:$D,0))/$B$4)</f>
        <v>0.37456466494050022</v>
      </c>
      <c r="L20" s="17">
        <f>IF(L$19="","",INDEX(Data!$AH:$AH,MATCH(L$19,Data!$D:$D,0))/$B$4)</f>
        <v>0</v>
      </c>
      <c r="M20" s="17">
        <f>IF(M$19="","",INDEX(Data!$AH:$AH,MATCH(M$19,Data!$D:$D,0))/$B$4)</f>
        <v>-0.27251600105335577</v>
      </c>
      <c r="N20" s="17">
        <f>IF(N$19="","",INDEX(Data!$AH:$AH,MATCH(N$19,Data!$D:$D,0))/$B$4)</f>
        <v>0.26944719397557926</v>
      </c>
      <c r="O20" s="17" t="str">
        <f>IF(O$19="","",INDEX(Data!$AH:$AH,MATCH(O$19,Data!$D:$D,0))/$B$4)</f>
        <v/>
      </c>
      <c r="P20" s="17" t="str">
        <f>IF(P$19="","",INDEX(Data!$AH:$AH,MATCH(P$19,Data!$D:$D,0))/$B$4)</f>
        <v/>
      </c>
      <c r="Q20" s="17" t="str">
        <f>IF(Q$19="","",INDEX(Data!$AH:$AH,MATCH(Q$19,Data!$D:$D,0))/$B$4)</f>
        <v/>
      </c>
      <c r="R20" s="17" t="str">
        <f>IF(R$19="","",INDEX(Data!$AH:$AH,MATCH(R$19,Data!$D:$D,0))/$B$4)</f>
        <v/>
      </c>
      <c r="S20" s="17" t="str">
        <f>IF(S$19="","",INDEX(Data!$AH:$AH,MATCH(S$19,Data!$D:$D,0))/$B$4)</f>
        <v/>
      </c>
      <c r="T20" s="17" t="str">
        <f>IF(T$19="","",INDEX(Data!$AH:$AH,MATCH(T$19,Data!$D:$D,0))/$B$4)</f>
        <v/>
      </c>
      <c r="U20" s="17" t="str">
        <f>IF(U$19="","",INDEX(Data!$AH:$AH,MATCH(U$19,Data!$D:$D,0))/$B$4)</f>
        <v/>
      </c>
      <c r="V20" s="17" t="str">
        <f>IF(V$19="","",INDEX(Data!$AH:$AH,MATCH(V$19,Data!$D:$D,0))/$B$4)</f>
        <v/>
      </c>
      <c r="W20" s="17" t="str">
        <f>IF(W$19="","",INDEX(Data!$AH:$AH,MATCH(W$19,Data!$D:$D,0))/$B$4)</f>
        <v/>
      </c>
      <c r="X20" s="17" t="str">
        <f>IF(X$19="","",INDEX(Data!$AH:$AH,MATCH(X$19,Data!$D:$D,0))/$B$4)</f>
        <v/>
      </c>
      <c r="Y20" s="17" t="str">
        <f>IF(Y$19="","",INDEX(Data!$AH:$AH,MATCH(Y$19,Data!$D:$D,0))/$B$4)</f>
        <v/>
      </c>
      <c r="Z20" s="17" t="str">
        <f>IF(Z$19="","",INDEX(Data!$AH:$AH,MATCH(Z$19,Data!$D:$D,0))/$B$4)</f>
        <v/>
      </c>
      <c r="AA20" s="17" t="str">
        <f>IF(AA$19="","",INDEX(Data!$AH:$AH,MATCH(AA$19,Data!$D:$D,0))/$B$4)</f>
        <v/>
      </c>
      <c r="AB20" s="17" t="str">
        <f>IF(AB$19="","",INDEX(Data!$AH:$AH,MATCH(AB$19,Data!$D:$D,0))/$B$4)</f>
        <v/>
      </c>
      <c r="AC20" s="17" t="str">
        <f>IF(AC$19="","",INDEX(Data!$AH:$AH,MATCH(AC$19,Data!$D:$D,0))/$B$4)</f>
        <v/>
      </c>
      <c r="AD20" s="17" t="str">
        <f>IF(AD$19="","",INDEX(Data!$AH:$AH,MATCH(AD$19,Data!$D:$D,0))/$B$4)</f>
        <v/>
      </c>
      <c r="AE20" s="17" t="str">
        <f>IF(AE$19="","",INDEX(Data!$AH:$AH,MATCH(AE$19,Data!$D:$D,0))/$B$4)</f>
        <v/>
      </c>
      <c r="AF20" s="17" t="str">
        <f>IF(AF$19="","",INDEX(Data!$AH:$AH,MATCH(AF$19,Data!$D:$D,0))/$B$4)</f>
        <v/>
      </c>
      <c r="AG20" s="17" t="str">
        <f>IF(AG$19="","",INDEX(Data!$AH:$AH,MATCH(AG$19,Data!$D:$D,0))/$B$4)</f>
        <v/>
      </c>
      <c r="AH20" s="17" t="str">
        <f>IF(AH$19="","",INDEX(Data!$AH:$AH,MATCH(AH$19,Data!$D:$D,0))/$B$4)</f>
        <v/>
      </c>
      <c r="AI20" s="17" t="str">
        <f>IF(AI$19="","",INDEX(Data!$AH:$AH,MATCH(AI$19,Data!$D:$D,0))/$B$4)</f>
        <v/>
      </c>
      <c r="AJ20" s="17" t="str">
        <f>IF(AJ$19="","",INDEX(Data!$AH:$AH,MATCH(AJ$19,Data!$D:$D,0))/$B$4)</f>
        <v/>
      </c>
      <c r="AK20" s="17" t="str">
        <f>IF(AK$19="","",INDEX(Data!$AH:$AH,MATCH(AK$19,Data!$D:$D,0))/$B$4)</f>
        <v/>
      </c>
      <c r="AL20" s="17" t="str">
        <f>IF(AL$19="","",INDEX(Data!$AH:$AH,MATCH(AL$19,Data!$D:$D,0))/$B$4)</f>
        <v/>
      </c>
      <c r="AM20" s="17" t="str">
        <f>IF(AM$19="","",INDEX(Data!$AH:$AH,MATCH(AM$19,Data!$D:$D,0))/$B$4)</f>
        <v/>
      </c>
      <c r="AN20" s="17" t="str">
        <f>IF(AN$19="","",INDEX(Data!$AH:$AH,MATCH(AN$19,Data!$D:$D,0))/$B$4)</f>
        <v/>
      </c>
      <c r="AO20" s="17" t="str">
        <f>IF(AO$19="","",INDEX(Data!$AH:$AH,MATCH(AO$19,Data!$D:$D,0))/$B$4)</f>
        <v/>
      </c>
      <c r="AP20" s="17" t="str">
        <f>IF(AP$19="","",INDEX(Data!$AH:$AH,MATCH(AP$19,Data!$D:$D,0))/$B$4)</f>
        <v/>
      </c>
      <c r="AQ20" s="17" t="str">
        <f>IF(AQ$19="","",INDEX(Data!$AH:$AH,MATCH(AQ$19,Data!$D:$D,0))/$B$4)</f>
        <v/>
      </c>
      <c r="AR20" s="17" t="str">
        <f>IF(AR$19="","",INDEX(Data!$AH:$AH,MATCH(AR$19,Data!$D:$D,0))/$B$4)</f>
        <v/>
      </c>
      <c r="AS20" s="17" t="str">
        <f>IF(AS$19="","",INDEX(Data!$AH:$AH,MATCH(AS$19,Data!$D:$D,0))/$B$4)</f>
        <v/>
      </c>
      <c r="AT20" s="17" t="str">
        <f>IF(AT$19="","",INDEX(Data!$AH:$AH,MATCH(AT$19,Data!$D:$D,0))/$B$4)</f>
        <v/>
      </c>
      <c r="AU20" s="17" t="str">
        <f>IF(AU$19="","",INDEX(Data!$AH:$AH,MATCH(AU$19,Data!$D:$D,0))/$B$4)</f>
        <v/>
      </c>
      <c r="AV20" s="17" t="str">
        <f>IF(AV$19="","",INDEX(Data!$AH:$AH,MATCH(AV$19,Data!$D:$D,0))/$B$4)</f>
        <v/>
      </c>
      <c r="AW20" s="17" t="str">
        <f>IF(AW$19="","",INDEX(Data!$AH:$AH,MATCH(AW$19,Data!$D:$D,0))/$B$4)</f>
        <v/>
      </c>
      <c r="AX20" s="17" t="str">
        <f>IF(AX$19="","",INDEX(Data!$AH:$AH,MATCH(AX$19,Data!$D:$D,0))/$B$4)</f>
        <v/>
      </c>
      <c r="AY20" s="17" t="str">
        <f>IF(AY$19="","",INDEX(Data!$AH:$AH,MATCH(AY$19,Data!$D:$D,0))/$B$4)</f>
        <v/>
      </c>
      <c r="AZ20" s="17" t="str">
        <f>IF(AZ$19="","",INDEX(Data!$AH:$AH,MATCH(AZ$19,Data!$D:$D,0))/$B$4)</f>
        <v/>
      </c>
      <c r="BA20" s="17" t="str">
        <f>IF(BA$19="","",INDEX(Data!$AH:$AH,MATCH(BA$19,Data!$D:$D,0))/$B$4)</f>
        <v/>
      </c>
      <c r="BB20" s="17" t="str">
        <f>IF(BB$19="","",INDEX(Data!$AH:$AH,MATCH(BB$19,Data!$D:$D,0))/$B$4)</f>
        <v/>
      </c>
      <c r="BC20" s="17" t="str">
        <f>IF(BC$19="","",INDEX(Data!$AH:$AH,MATCH(BC$19,Data!$D:$D,0))/$B$4)</f>
        <v/>
      </c>
      <c r="BD20" s="17" t="str">
        <f>IF(BD$19="","",INDEX(Data!$AH:$AH,MATCH(BD$19,Data!$D:$D,0))/$B$4)</f>
        <v/>
      </c>
      <c r="BE20" s="17" t="str">
        <f>IF(BE$19="","",INDEX(Data!$AH:$AH,MATCH(BE$19,Data!$D:$D,0))/$B$4)</f>
        <v/>
      </c>
      <c r="BF20" s="17" t="str">
        <f>IF(BF$19="","",INDEX(Data!$AH:$AH,MATCH(BF$19,Data!$D:$D,0))/$B$4)</f>
        <v/>
      </c>
      <c r="BG20" s="17" t="str">
        <f>IF(BG$19="","",INDEX(Data!$AH:$AH,MATCH(BG$19,Data!$D:$D,0))/$B$4)</f>
        <v/>
      </c>
      <c r="BH20" s="18" t="str">
        <f>IF(BH$19="","",INDEX(Data!$AH:$AH,MATCH(BH$19,Data!$D:$D,0))/$B$4)</f>
        <v/>
      </c>
    </row>
    <row r="21" spans="1:75" x14ac:dyDescent="0.3">
      <c r="A21" s="107"/>
      <c r="B21" s="156"/>
      <c r="C21" s="154"/>
      <c r="D21" s="65"/>
      <c r="E21" s="26">
        <f>MIN(0,$H$11*100)</f>
        <v>0</v>
      </c>
      <c r="F21" s="27" t="str">
        <f>"Net "&amp;IF(E21&lt;0,"short","long")&amp;" currency derivatives, so "&amp;IF(E21&lt;0,"adequate","no")&amp;" cash cover required"</f>
        <v>Net long currency derivatives, so no cash cover required</v>
      </c>
      <c r="H21" s="178"/>
      <c r="I21" s="2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5"/>
    </row>
    <row r="22" spans="1:75" x14ac:dyDescent="0.3">
      <c r="A22" s="125" t="str">
        <f>IF(B22&gt;=0,"A","Ina")&amp;"dequate cash cover for currency derivatives"</f>
        <v>Adequate cash cover for currency derivatives</v>
      </c>
      <c r="B22" s="129">
        <f>B6+B13+B16</f>
        <v>31237968.440000001</v>
      </c>
      <c r="C22" s="66">
        <f>C6+C13+C16</f>
        <v>0.17801292315987682</v>
      </c>
      <c r="D22" s="65"/>
      <c r="E22" s="31">
        <f>SUM(E20:E21)</f>
        <v>17.801292315987681</v>
      </c>
      <c r="F22" s="21" t="str">
        <f>IF($E22&gt;=0,"Adequate","INADEQUATE")&amp;" currency future cover [BN90 16(1)(i)]"</f>
        <v>Adequate currency future cover [BN90 16(1)(i)]</v>
      </c>
      <c r="H22" s="179" t="str">
        <f>"FRAs ("&amp;COUNTIF(Data!$C:$C,"Forward Rate Agreement")&amp;")"</f>
        <v>FRAs (0)</v>
      </c>
      <c r="I22" s="28" t="str">
        <f>IF(ISNA(IF(ISNA(MATCH("Forward Rate Agreement",Data!$C:$C,0)),"",INDEX(Data!$D:$D,MATCH("Forward Rate Agreement",Data!$C:$C,0)))),"",IF(ISNA(MATCH("Forward Rate Agreement",Data!$C:$C,0)),"",INDEX(Data!$D:$D,MATCH("Forward Rate Agreement",Data!$C:$C,0))))</f>
        <v/>
      </c>
      <c r="J22" s="29" t="str" cm="1">
        <f t="array" ref="J22">IF(COUNTA($I$22:I$22)&lt;COUNTIF(Data!$C:$C,"Forward Rate Agreement"),INDEX(Data!$D:$D,MATCH(I$22,Data!$D:$D,0)+1),"")</f>
        <v/>
      </c>
      <c r="K22" s="29" t="str" cm="1">
        <f t="array" ref="K22">IF(COUNTA($I$22:J$22)&lt;COUNTIF(Data!$C:$C,"Forward Rate Agreement"),INDEX(Data!$D:$D,MATCH(J$22,Data!$D:$D,0)+1),"")</f>
        <v/>
      </c>
      <c r="L22" s="29" t="str" cm="1">
        <f t="array" ref="L22">IF(COUNTA($I$22:K$22)&lt;COUNTIF(Data!$C:$C,"Forward Rate Agreement"),INDEX(Data!$D:$D,MATCH(K$22,Data!$D:$D,0)+1),"")</f>
        <v/>
      </c>
      <c r="M22" s="29" t="str" cm="1">
        <f t="array" ref="M22">IF(COUNTA($I$22:L$22)&lt;COUNTIF(Data!$C:$C,"Forward Rate Agreement"),INDEX(Data!$D:$D,MATCH(L$22,Data!$D:$D,0)+1),"")</f>
        <v/>
      </c>
      <c r="N22" s="29" t="str" cm="1">
        <f t="array" ref="N22">IF(COUNTA($I$22:M$22)&lt;COUNTIF(Data!$C:$C,"Forward Rate Agreement"),INDEX(Data!$D:$D,MATCH(M$22,Data!$D:$D,0)+1),"")</f>
        <v/>
      </c>
      <c r="O22" s="29" t="str" cm="1">
        <f t="array" ref="O22">IF(COUNTA($I$22:N$22)&lt;COUNTIF(Data!$C:$C,"Forward Rate Agreement"),INDEX(Data!$D:$D,MATCH(N$22,Data!$D:$D,0)+1),"")</f>
        <v/>
      </c>
      <c r="P22" s="29" t="str" cm="1">
        <f t="array" ref="P22">IF(COUNTA($I$22:O$22)&lt;COUNTIF(Data!$C:$C,"Forward Rate Agreement"),INDEX(Data!$D:$D,MATCH(O$22,Data!$D:$D,0)+1),"")</f>
        <v/>
      </c>
      <c r="Q22" s="29" t="str" cm="1">
        <f t="array" ref="Q22">IF(COUNTA($I$22:P$22)&lt;COUNTIF(Data!$C:$C,"Forward Rate Agreement"),INDEX(Data!$D:$D,MATCH(P$22,Data!$D:$D,0)+1),"")</f>
        <v/>
      </c>
      <c r="R22" s="29" t="str" cm="1">
        <f t="array" ref="R22">IF(COUNTA($I$22:Q$22)&lt;COUNTIF(Data!$C:$C,"Forward Rate Agreement"),INDEX(Data!$D:$D,MATCH(Q$22,Data!$D:$D,0)+1),"")</f>
        <v/>
      </c>
      <c r="S22" s="29" t="str" cm="1">
        <f t="array" ref="S22">IF(COUNTA($I$22:R$22)&lt;COUNTIF(Data!$C:$C,"Forward Rate Agreement"),INDEX(Data!$D:$D,MATCH(R$22,Data!$D:$D,0)+1),"")</f>
        <v/>
      </c>
      <c r="T22" s="29" t="str" cm="1">
        <f t="array" ref="T22">IF(COUNTA($I$22:S$22)&lt;COUNTIF(Data!$C:$C,"Forward Rate Agreement"),INDEX(Data!$D:$D,MATCH(S$22,Data!$D:$D,0)+1),"")</f>
        <v/>
      </c>
      <c r="U22" s="29" t="str" cm="1">
        <f t="array" ref="U22">IF(COUNTA($I$22:T$22)&lt;COUNTIF(Data!$C:$C,"Forward Rate Agreement"),INDEX(Data!$D:$D,MATCH(T$22,Data!$D:$D,0)+1),"")</f>
        <v/>
      </c>
      <c r="V22" s="29" t="str" cm="1">
        <f t="array" ref="V22">IF(COUNTA($I$22:U$22)&lt;COUNTIF(Data!$C:$C,"Forward Rate Agreement"),INDEX(Data!$D:$D,MATCH(U$22,Data!$D:$D,0)+1),"")</f>
        <v/>
      </c>
      <c r="W22" s="29" t="str" cm="1">
        <f t="array" ref="W22">IF(COUNTA($I$22:V$22)&lt;COUNTIF(Data!$C:$C,"Forward Rate Agreement"),INDEX(Data!$D:$D,MATCH(V$22,Data!$D:$D,0)+1),"")</f>
        <v/>
      </c>
      <c r="X22" s="29" t="str" cm="1">
        <f t="array" ref="X22">IF(COUNTA($I$22:W$22)&lt;COUNTIF(Data!$C:$C,"Forward Rate Agreement"),INDEX(Data!$D:$D,MATCH(W$22,Data!$D:$D,0)+1),"")</f>
        <v/>
      </c>
      <c r="Y22" s="29" t="str" cm="1">
        <f t="array" ref="Y22">IF(COUNTA($I$22:X$22)&lt;COUNTIF(Data!$C:$C,"Forward Rate Agreement"),INDEX(Data!$D:$D,MATCH(X$22,Data!$D:$D,0)+1),"")</f>
        <v/>
      </c>
      <c r="Z22" s="29" t="str" cm="1">
        <f t="array" ref="Z22">IF(COUNTA($I$22:Y$22)&lt;COUNTIF(Data!$C:$C,"Forward Rate Agreement"),INDEX(Data!$D:$D,MATCH(Y$22,Data!$D:$D,0)+1),"")</f>
        <v/>
      </c>
      <c r="AA22" s="29" t="str" cm="1">
        <f t="array" ref="AA22">IF(COUNTA($I$22:Z$22)&lt;COUNTIF(Data!$C:$C,"Forward Rate Agreement"),INDEX(Data!$D:$D,MATCH(Z$22,Data!$D:$D,0)+1),"")</f>
        <v/>
      </c>
      <c r="AB22" s="29" t="str" cm="1">
        <f t="array" ref="AB22">IF(COUNTA($I$22:AA$22)&lt;COUNTIF(Data!$C:$C,"Forward Rate Agreement"),INDEX(Data!$D:$D,MATCH(AA$22,Data!$D:$D,0)+1),"")</f>
        <v/>
      </c>
      <c r="AC22" s="29" t="str" cm="1">
        <f t="array" ref="AC22">IF(COUNTA($I$22:AB$22)&lt;COUNTIF(Data!$C:$C,"Forward Rate Agreement"),INDEX(Data!$D:$D,MATCH(AB$22,Data!$D:$D,0)+1),"")</f>
        <v/>
      </c>
      <c r="AD22" s="29" t="str" cm="1">
        <f t="array" ref="AD22">IF(COUNTA($I$22:AC$22)&lt;COUNTIF(Data!$C:$C,"Forward Rate Agreement"),INDEX(Data!$D:$D,MATCH(AC$22,Data!$D:$D,0)+1),"")</f>
        <v/>
      </c>
      <c r="AE22" s="29" t="str" cm="1">
        <f t="array" ref="AE22">IF(COUNTA($I$22:AD$22)&lt;COUNTIF(Data!$C:$C,"Forward Rate Agreement"),INDEX(Data!$D:$D,MATCH(AD$22,Data!$D:$D,0)+1),"")</f>
        <v/>
      </c>
      <c r="AF22" s="29" t="str" cm="1">
        <f t="array" ref="AF22">IF(COUNTA($I$22:AE$22)&lt;COUNTIF(Data!$C:$C,"Forward Rate Agreement"),INDEX(Data!$D:$D,MATCH(AE$22,Data!$D:$D,0)+1),"")</f>
        <v/>
      </c>
      <c r="AG22" s="29" t="str" cm="1">
        <f t="array" ref="AG22">IF(COUNTA($I$22:AF$22)&lt;COUNTIF(Data!$C:$C,"Forward Rate Agreement"),INDEX(Data!$D:$D,MATCH(AF$22,Data!$D:$D,0)+1),"")</f>
        <v/>
      </c>
      <c r="AH22" s="29" t="str" cm="1">
        <f t="array" ref="AH22">IF(COUNTA($I$22:AG$22)&lt;COUNTIF(Data!$C:$C,"Forward Rate Agreement"),INDEX(Data!$D:$D,MATCH(AG$22,Data!$D:$D,0)+1),"")</f>
        <v/>
      </c>
      <c r="AI22" s="29" t="str" cm="1">
        <f t="array" ref="AI22">IF(COUNTA($I$22:AH$22)&lt;COUNTIF(Data!$C:$C,"Forward Rate Agreement"),INDEX(Data!$D:$D,MATCH(AH$22,Data!$D:$D,0)+1),"")</f>
        <v/>
      </c>
      <c r="AJ22" s="29" t="str" cm="1">
        <f t="array" ref="AJ22">IF(COUNTA($I$22:AI$22)&lt;COUNTIF(Data!$C:$C,"Forward Rate Agreement"),INDEX(Data!$D:$D,MATCH(AI$22,Data!$D:$D,0)+1),"")</f>
        <v/>
      </c>
      <c r="AK22" s="29" t="str" cm="1">
        <f t="array" ref="AK22">IF(COUNTA($I$22:AJ$22)&lt;COUNTIF(Data!$C:$C,"Forward Rate Agreement"),INDEX(Data!$D:$D,MATCH(AJ$22,Data!$D:$D,0)+1),"")</f>
        <v/>
      </c>
      <c r="AL22" s="29" t="str" cm="1">
        <f t="array" ref="AL22">IF(COUNTA($I$22:AK$22)&lt;COUNTIF(Data!$C:$C,"Forward Rate Agreement"),INDEX(Data!$D:$D,MATCH(AK$22,Data!$D:$D,0)+1),"")</f>
        <v/>
      </c>
      <c r="AM22" s="29" t="str" cm="1">
        <f t="array" ref="AM22">IF(COUNTA($I$22:AL$22)&lt;COUNTIF(Data!$C:$C,"Forward Rate Agreement"),INDEX(Data!$D:$D,MATCH(AL$22,Data!$D:$D,0)+1),"")</f>
        <v/>
      </c>
      <c r="AN22" s="29" t="str" cm="1">
        <f t="array" ref="AN22">IF(COUNTA($I$22:AM$22)&lt;COUNTIF(Data!$C:$C,"Forward Rate Agreement"),INDEX(Data!$D:$D,MATCH(AM$22,Data!$D:$D,0)+1),"")</f>
        <v/>
      </c>
      <c r="AO22" s="29" t="str" cm="1">
        <f t="array" ref="AO22">IF(COUNTA($I$22:AN$22)&lt;COUNTIF(Data!$C:$C,"Forward Rate Agreement"),INDEX(Data!$D:$D,MATCH(AN$22,Data!$D:$D,0)+1),"")</f>
        <v/>
      </c>
      <c r="AP22" s="29" t="str" cm="1">
        <f t="array" ref="AP22">IF(COUNTA($I$22:AO$22)&lt;COUNTIF(Data!$C:$C,"Forward Rate Agreement"),INDEX(Data!$D:$D,MATCH(AO$22,Data!$D:$D,0)+1),"")</f>
        <v/>
      </c>
      <c r="AQ22" s="29" t="str" cm="1">
        <f t="array" ref="AQ22">IF(COUNTA($I$22:AP$22)&lt;COUNTIF(Data!$C:$C,"Forward Rate Agreement"),INDEX(Data!$D:$D,MATCH(AP$22,Data!$D:$D,0)+1),"")</f>
        <v/>
      </c>
      <c r="AR22" s="29" t="str" cm="1">
        <f t="array" ref="AR22">IF(COUNTA($I$22:AQ$22)&lt;COUNTIF(Data!$C:$C,"Forward Rate Agreement"),INDEX(Data!$D:$D,MATCH(AQ$22,Data!$D:$D,0)+1),"")</f>
        <v/>
      </c>
      <c r="AS22" s="29" t="str" cm="1">
        <f t="array" ref="AS22">IF(COUNTA($I$22:AR$22)&lt;COUNTIF(Data!$C:$C,"Forward Rate Agreement"),INDEX(Data!$D:$D,MATCH(AR$22,Data!$D:$D,0)+1),"")</f>
        <v/>
      </c>
      <c r="AT22" s="29" t="str" cm="1">
        <f t="array" ref="AT22">IF(COUNTA($I$22:AS$22)&lt;COUNTIF(Data!$C:$C,"Forward Rate Agreement"),INDEX(Data!$D:$D,MATCH(AS$22,Data!$D:$D,0)+1),"")</f>
        <v/>
      </c>
      <c r="AU22" s="29" t="str" cm="1">
        <f t="array" ref="AU22">IF(COUNTA($I$22:AT$22)&lt;COUNTIF(Data!$C:$C,"Forward Rate Agreement"),INDEX(Data!$D:$D,MATCH(AT$22,Data!$D:$D,0)+1),"")</f>
        <v/>
      </c>
      <c r="AV22" s="29" t="str" cm="1">
        <f t="array" ref="AV22">IF(COUNTA($I$22:AU$22)&lt;COUNTIF(Data!$C:$C,"Forward Rate Agreement"),INDEX(Data!$D:$D,MATCH(AU$22,Data!$D:$D,0)+1),"")</f>
        <v/>
      </c>
      <c r="AW22" s="29" t="str" cm="1">
        <f t="array" ref="AW22">IF(COUNTA($I$22:AV$22)&lt;COUNTIF(Data!$C:$C,"Forward Rate Agreement"),INDEX(Data!$D:$D,MATCH(AV$22,Data!$D:$D,0)+1),"")</f>
        <v/>
      </c>
      <c r="AX22" s="29" t="str" cm="1">
        <f t="array" ref="AX22">IF(COUNTA($I$22:AW$22)&lt;COUNTIF(Data!$C:$C,"Forward Rate Agreement"),INDEX(Data!$D:$D,MATCH(AW$22,Data!$D:$D,0)+1),"")</f>
        <v/>
      </c>
      <c r="AY22" s="29" t="str" cm="1">
        <f t="array" ref="AY22">IF(COUNTA($I$22:AX$22)&lt;COUNTIF(Data!$C:$C,"Forward Rate Agreement"),INDEX(Data!$D:$D,MATCH(AX$22,Data!$D:$D,0)+1),"")</f>
        <v/>
      </c>
      <c r="AZ22" s="29" t="str" cm="1">
        <f t="array" ref="AZ22">IF(COUNTA($I$22:AY$22)&lt;COUNTIF(Data!$C:$C,"Forward Rate Agreement"),INDEX(Data!$D:$D,MATCH(AY$22,Data!$D:$D,0)+1),"")</f>
        <v/>
      </c>
      <c r="BA22" s="29" t="str" cm="1">
        <f t="array" ref="BA22">IF(COUNTA($I$22:AZ$22)&lt;COUNTIF(Data!$C:$C,"Forward Rate Agreement"),INDEX(Data!$D:$D,MATCH(AZ$22,Data!$D:$D,0)+1),"")</f>
        <v/>
      </c>
      <c r="BB22" s="29" t="str" cm="1">
        <f t="array" ref="BB22">IF(COUNTA($I$22:BA$22)&lt;COUNTIF(Data!$C:$C,"Forward Rate Agreement"),INDEX(Data!$D:$D,MATCH(BA$22,Data!$D:$D,0)+1),"")</f>
        <v/>
      </c>
      <c r="BC22" s="29" t="str" cm="1">
        <f t="array" ref="BC22">IF(COUNTA($I$22:BB$22)&lt;COUNTIF(Data!$C:$C,"Forward Rate Agreement"),INDEX(Data!$D:$D,MATCH(BB$22,Data!$D:$D,0)+1),"")</f>
        <v/>
      </c>
      <c r="BD22" s="29" t="str" cm="1">
        <f t="array" ref="BD22">IF(COUNTA($I$22:BC$22)&lt;COUNTIF(Data!$C:$C,"Forward Rate Agreement"),INDEX(Data!$D:$D,MATCH(BC$22,Data!$D:$D,0)+1),"")</f>
        <v/>
      </c>
      <c r="BE22" s="29" t="str" cm="1">
        <f t="array" ref="BE22">IF(COUNTA($I$22:BD$22)&lt;COUNTIF(Data!$C:$C,"Forward Rate Agreement"),INDEX(Data!$D:$D,MATCH(BD$22,Data!$D:$D,0)+1),"")</f>
        <v/>
      </c>
      <c r="BF22" s="29" t="str" cm="1">
        <f t="array" ref="BF22">IF(COUNTA($I$22:BE$22)&lt;COUNTIF(Data!$C:$C,"Forward Rate Agreement"),INDEX(Data!$D:$D,MATCH(BE$22,Data!$D:$D,0)+1),"")</f>
        <v/>
      </c>
      <c r="BG22" s="29" t="str" cm="1">
        <f t="array" ref="BG22">IF(COUNTA($I$22:BF$22)&lt;COUNTIF(Data!$C:$C,"Forward Rate Agreement"),INDEX(Data!$D:$D,MATCH(BF$22,Data!$D:$D,0)+1),"")</f>
        <v/>
      </c>
      <c r="BH22" s="30" t="str" cm="1">
        <f t="array" ref="BH22">IF(COUNTA($I$22:BG$22)&lt;COUNTIF(Data!$C:$C,"Forward Rate Agreement"),INDEX(Data!$D:$D,MATCH(BG$22,Data!$D:$D,0)+1),"")</f>
        <v/>
      </c>
    </row>
    <row r="23" spans="1:75" x14ac:dyDescent="0.3">
      <c r="E23" s="32">
        <f>MIN(0,$H$14*100)</f>
        <v>0</v>
      </c>
      <c r="F23" s="27" t="str">
        <f>"Net "&amp;IF($E23&gt;0,"positive","negative")&amp;" MtM OTC forwards, so "&amp;IF($E23&gt;0,"no ","")&amp;"cash cover required"</f>
        <v>Net negative MtM OTC forwards, so cash cover required</v>
      </c>
      <c r="H23" s="180">
        <f>SUM(I23:BH23)</f>
        <v>0</v>
      </c>
      <c r="I23" s="35" t="str">
        <f>IF(I$22="","",INDEX(Data!$AH:$AH,MATCH(I$22,Data!$D:$D,0))/$B$4)</f>
        <v/>
      </c>
      <c r="J23" s="205" t="str">
        <f>IF(J$22="","",INDEX(Data!$AH:$AH,MATCH(J$22,Data!$D:$D,0))/$B$4)</f>
        <v/>
      </c>
      <c r="K23" s="205" t="str">
        <f>IF(K$22="","",INDEX(Data!$AH:$AH,MATCH(K$22,Data!$D:$D,0))/$B$4)</f>
        <v/>
      </c>
      <c r="L23" s="205" t="str">
        <f>IF(L$22="","",INDEX(Data!$AH:$AH,MATCH(L$22,Data!$D:$D,0))/$B$4)</f>
        <v/>
      </c>
      <c r="M23" s="205" t="str">
        <f>IF(M$22="","",INDEX(Data!$AH:$AH,MATCH(M$22,Data!$D:$D,0))/$B$4)</f>
        <v/>
      </c>
      <c r="N23" s="205" t="str">
        <f>IF(N$22="","",INDEX(Data!$AH:$AH,MATCH(N$22,Data!$D:$D,0))/$B$4)</f>
        <v/>
      </c>
      <c r="O23" s="205" t="str">
        <f>IF(O$22="","",INDEX(Data!$AH:$AH,MATCH(O$22,Data!$D:$D,0))/$B$4)</f>
        <v/>
      </c>
      <c r="P23" s="205" t="str">
        <f>IF(P$22="","",INDEX(Data!$AH:$AH,MATCH(P$22,Data!$D:$D,0))/$B$4)</f>
        <v/>
      </c>
      <c r="Q23" s="205" t="str">
        <f>IF(Q$22="","",INDEX(Data!$AH:$AH,MATCH(Q$22,Data!$D:$D,0))/$B$4)</f>
        <v/>
      </c>
      <c r="R23" s="205" t="str">
        <f>IF(R$22="","",INDEX(Data!$AH:$AH,MATCH(R$22,Data!$D:$D,0))/$B$4)</f>
        <v/>
      </c>
      <c r="S23" s="205" t="str">
        <f>IF(S$22="","",INDEX(Data!$AH:$AH,MATCH(S$22,Data!$D:$D,0))/$B$4)</f>
        <v/>
      </c>
      <c r="T23" s="205" t="str">
        <f>IF(T$22="","",INDEX(Data!$AH:$AH,MATCH(T$22,Data!$D:$D,0))/$B$4)</f>
        <v/>
      </c>
      <c r="U23" s="205" t="str">
        <f>IF(U$22="","",INDEX(Data!$AH:$AH,MATCH(U$22,Data!$D:$D,0))/$B$4)</f>
        <v/>
      </c>
      <c r="V23" s="205" t="str">
        <f>IF(V$22="","",INDEX(Data!$AH:$AH,MATCH(V$22,Data!$D:$D,0))/$B$4)</f>
        <v/>
      </c>
      <c r="W23" s="205" t="str">
        <f>IF(W$22="","",INDEX(Data!$AH:$AH,MATCH(W$22,Data!$D:$D,0))/$B$4)</f>
        <v/>
      </c>
      <c r="X23" s="205" t="str">
        <f>IF(X$22="","",INDEX(Data!$AH:$AH,MATCH(X$22,Data!$D:$D,0))/$B$4)</f>
        <v/>
      </c>
      <c r="Y23" s="205" t="str">
        <f>IF(Y$22="","",INDEX(Data!$AH:$AH,MATCH(Y$22,Data!$D:$D,0))/$B$4)</f>
        <v/>
      </c>
      <c r="Z23" s="205" t="str">
        <f>IF(Z$22="","",INDEX(Data!$AH:$AH,MATCH(Z$22,Data!$D:$D,0))/$B$4)</f>
        <v/>
      </c>
      <c r="AA23" s="205" t="str">
        <f>IF(AA$22="","",INDEX(Data!$AH:$AH,MATCH(AA$22,Data!$D:$D,0))/$B$4)</f>
        <v/>
      </c>
      <c r="AB23" s="205" t="str">
        <f>IF(AB$22="","",INDEX(Data!$AH:$AH,MATCH(AB$22,Data!$D:$D,0))/$B$4)</f>
        <v/>
      </c>
      <c r="AC23" s="205" t="str">
        <f>IF(AC$22="","",INDEX(Data!$AH:$AH,MATCH(AC$22,Data!$D:$D,0))/$B$4)</f>
        <v/>
      </c>
      <c r="AD23" s="205" t="str">
        <f>IF(AD$22="","",INDEX(Data!$AH:$AH,MATCH(AD$22,Data!$D:$D,0))/$B$4)</f>
        <v/>
      </c>
      <c r="AE23" s="205" t="str">
        <f>IF(AE$22="","",INDEX(Data!$AH:$AH,MATCH(AE$22,Data!$D:$D,0))/$B$4)</f>
        <v/>
      </c>
      <c r="AF23" s="205" t="str">
        <f>IF(AF$22="","",INDEX(Data!$AH:$AH,MATCH(AF$22,Data!$D:$D,0))/$B$4)</f>
        <v/>
      </c>
      <c r="AG23" s="205" t="str">
        <f>IF(AG$22="","",INDEX(Data!$AH:$AH,MATCH(AG$22,Data!$D:$D,0))/$B$4)</f>
        <v/>
      </c>
      <c r="AH23" s="205" t="str">
        <f>IF(AH$22="","",INDEX(Data!$AH:$AH,MATCH(AH$22,Data!$D:$D,0))/$B$4)</f>
        <v/>
      </c>
      <c r="AI23" s="205" t="str">
        <f>IF(AI$22="","",INDEX(Data!$AH:$AH,MATCH(AI$22,Data!$D:$D,0))/$B$4)</f>
        <v/>
      </c>
      <c r="AJ23" s="205" t="str">
        <f>IF(AJ$22="","",INDEX(Data!$AH:$AH,MATCH(AJ$22,Data!$D:$D,0))/$B$4)</f>
        <v/>
      </c>
      <c r="AK23" s="205" t="str">
        <f>IF(AK$22="","",INDEX(Data!$AH:$AH,MATCH(AK$22,Data!$D:$D,0))/$B$4)</f>
        <v/>
      </c>
      <c r="AL23" s="205" t="str">
        <f>IF(AL$22="","",INDEX(Data!$AH:$AH,MATCH(AL$22,Data!$D:$D,0))/$B$4)</f>
        <v/>
      </c>
      <c r="AM23" s="205" t="str">
        <f>IF(AM$22="","",INDEX(Data!$AH:$AH,MATCH(AM$22,Data!$D:$D,0))/$B$4)</f>
        <v/>
      </c>
      <c r="AN23" s="205" t="str">
        <f>IF(AN$22="","",INDEX(Data!$AH:$AH,MATCH(AN$22,Data!$D:$D,0))/$B$4)</f>
        <v/>
      </c>
      <c r="AO23" s="205" t="str">
        <f>IF(AO$22="","",INDEX(Data!$AH:$AH,MATCH(AO$22,Data!$D:$D,0))/$B$4)</f>
        <v/>
      </c>
      <c r="AP23" s="205" t="str">
        <f>IF(AP$22="","",INDEX(Data!$AH:$AH,MATCH(AP$22,Data!$D:$D,0))/$B$4)</f>
        <v/>
      </c>
      <c r="AQ23" s="205" t="str">
        <f>IF(AQ$22="","",INDEX(Data!$AH:$AH,MATCH(AQ$22,Data!$D:$D,0))/$B$4)</f>
        <v/>
      </c>
      <c r="AR23" s="205" t="str">
        <f>IF(AR$22="","",INDEX(Data!$AH:$AH,MATCH(AR$22,Data!$D:$D,0))/$B$4)</f>
        <v/>
      </c>
      <c r="AS23" s="205" t="str">
        <f>IF(AS$22="","",INDEX(Data!$AH:$AH,MATCH(AS$22,Data!$D:$D,0))/$B$4)</f>
        <v/>
      </c>
      <c r="AT23" s="205" t="str">
        <f>IF(AT$22="","",INDEX(Data!$AH:$AH,MATCH(AT$22,Data!$D:$D,0))/$B$4)</f>
        <v/>
      </c>
      <c r="AU23" s="205" t="str">
        <f>IF(AU$22="","",INDEX(Data!$AH:$AH,MATCH(AU$22,Data!$D:$D,0))/$B$4)</f>
        <v/>
      </c>
      <c r="AV23" s="205" t="str">
        <f>IF(AV$22="","",INDEX(Data!$AH:$AH,MATCH(AV$22,Data!$D:$D,0))/$B$4)</f>
        <v/>
      </c>
      <c r="AW23" s="205" t="str">
        <f>IF(AW$22="","",INDEX(Data!$AH:$AH,MATCH(AW$22,Data!$D:$D,0))/$B$4)</f>
        <v/>
      </c>
      <c r="AX23" s="205" t="str">
        <f>IF(AX$22="","",INDEX(Data!$AH:$AH,MATCH(AX$22,Data!$D:$D,0))/$B$4)</f>
        <v/>
      </c>
      <c r="AY23" s="205" t="str">
        <f>IF(AY$22="","",INDEX(Data!$AH:$AH,MATCH(AY$22,Data!$D:$D,0))/$B$4)</f>
        <v/>
      </c>
      <c r="AZ23" s="205" t="str">
        <f>IF(AZ$22="","",INDEX(Data!$AH:$AH,MATCH(AZ$22,Data!$D:$D,0))/$B$4)</f>
        <v/>
      </c>
      <c r="BA23" s="205" t="str">
        <f>IF(BA$22="","",INDEX(Data!$AH:$AH,MATCH(BA$22,Data!$D:$D,0))/$B$4)</f>
        <v/>
      </c>
      <c r="BB23" s="205" t="str">
        <f>IF(BB$22="","",INDEX(Data!$AH:$AH,MATCH(BB$22,Data!$D:$D,0))/$B$4)</f>
        <v/>
      </c>
      <c r="BC23" s="205" t="str">
        <f>IF(BC$22="","",INDEX(Data!$AH:$AH,MATCH(BC$22,Data!$D:$D,0))/$B$4)</f>
        <v/>
      </c>
      <c r="BD23" s="205" t="str">
        <f>IF(BD$22="","",INDEX(Data!$AH:$AH,MATCH(BD$22,Data!$D:$D,0))/$B$4)</f>
        <v/>
      </c>
      <c r="BE23" s="205" t="str">
        <f>IF(BE$22="","",INDEX(Data!$AH:$AH,MATCH(BE$22,Data!$D:$D,0))/$B$4)</f>
        <v/>
      </c>
      <c r="BF23" s="205" t="str">
        <f>IF(BF$22="","",INDEX(Data!$AH:$AH,MATCH(BF$22,Data!$D:$D,0))/$B$4)</f>
        <v/>
      </c>
      <c r="BG23" s="205" t="str">
        <f>IF(BG$22="","",INDEX(Data!$AH:$AH,MATCH(BG$22,Data!$D:$D,0))/$B$4)</f>
        <v/>
      </c>
      <c r="BH23" s="36" t="str">
        <f>IF(BH$22="","",INDEX(Data!$AH:$AH,MATCH(BH$22,Data!$D:$D,0))/$B$4)</f>
        <v/>
      </c>
    </row>
    <row r="24" spans="1:75" x14ac:dyDescent="0.3">
      <c r="A24" s="125" t="s">
        <v>10919</v>
      </c>
      <c r="B24" s="65">
        <f>SUM(B25:B30)</f>
        <v>24918468.009999998</v>
      </c>
      <c r="C24" s="69">
        <f>SUM(C25:C30)</f>
        <v>0.14200057022421325</v>
      </c>
      <c r="E24" s="32">
        <f>MIN(0,B18/B$4)*100</f>
        <v>0</v>
      </c>
      <c r="F24" s="27" t="str">
        <f>"Net "&amp;IF($E24&gt;0,"positive","negative")&amp;" MtM OTC swaps, so "&amp;IF($E24&gt;0,"no ","")&amp;"cash cover required"</f>
        <v>Net negative MtM OTC swaps, so cash cover required</v>
      </c>
    </row>
    <row r="25" spans="1:75" x14ac:dyDescent="0.3">
      <c r="A25" s="107" t="s">
        <v>57</v>
      </c>
      <c r="B25" s="122">
        <f>IF(SUMIF(Data!$C:$C,"Equity Derivatives",Data!$AH:$AH)&gt;=0,SUMIF(Data!$C:$C,"Equity Derivatives",Data!$AH:$AH),0)</f>
        <v>23631160</v>
      </c>
      <c r="C25" s="70">
        <f t="shared" ref="C25:C30" si="0">$B25/$B$4</f>
        <v>0.13466470706437381</v>
      </c>
      <c r="E25" s="32">
        <f>MIN(0,B19/B$4)*100</f>
        <v>0</v>
      </c>
      <c r="F25" s="27" t="str">
        <f>"Net "&amp;IF($E25&gt;0,"positive","negative")&amp;" MtM OTC FRAs, so "&amp;IF($E25&gt;0,"no ","")&amp;"cash cover required"</f>
        <v>Net negative MtM OTC FRAs, so cash cover required</v>
      </c>
    </row>
    <row r="26" spans="1:75" x14ac:dyDescent="0.3">
      <c r="A26" s="130" t="s">
        <v>10915</v>
      </c>
      <c r="B26" s="123">
        <f>IF($H$5=0,0,-SUMIF(Data!$B:$B,"DERIVATIVES",Data!$AH:$AH)-SUMIF(Data!$B:$B,"UNKNOWN",Data!$AH:$AH))</f>
        <v>0</v>
      </c>
      <c r="C26" s="71">
        <f t="shared" si="0"/>
        <v>0</v>
      </c>
      <c r="E26" s="31">
        <f>SUM(E22:E24)</f>
        <v>17.801292315987681</v>
      </c>
      <c r="F26" s="21" t="str">
        <f>IF($E26&gt;=0,"Adequate","INADEQUATE")&amp;" OTC currency forward and swap cover [BN90 17(1)(a)]"</f>
        <v>Adequate OTC currency forward and swap cover [BN90 17(1)(a)]</v>
      </c>
    </row>
    <row r="27" spans="1:75" x14ac:dyDescent="0.3">
      <c r="A27" s="107" t="s">
        <v>10906</v>
      </c>
      <c r="B27" s="123" cm="1">
        <f t="array" ref="B27">SUMPRODUCT((Data!$C$2:$C$1000="SWAPS")*((Data!$G$2:$G$1000)*(Data!$M$2:$M$1000))&gt;0)</f>
        <v>0</v>
      </c>
      <c r="C27" s="71">
        <f t="shared" si="0"/>
        <v>0</v>
      </c>
      <c r="D27" s="65"/>
      <c r="E27" s="32">
        <f>MAX(0,($H$2+$H$5+C26)*100)</f>
        <v>13.466470706437384</v>
      </c>
      <c r="F27" s="27" t="str">
        <f>"Net "&amp;IF(E27&gt;=0,"long","short")&amp;" equity index, so adequate "&amp;IF(E27&gt;=0,"cash","similar asset")&amp;" cover required"</f>
        <v>Net long equity index, so adequate cash cover required</v>
      </c>
    </row>
    <row r="28" spans="1:75" x14ac:dyDescent="0.3">
      <c r="A28" s="130" t="s">
        <v>10916</v>
      </c>
      <c r="B28" s="123" cm="1">
        <f t="array" ref="B28">-SUMPRODUCT((Data!$C$2:$C$1000="SWAPS")*((Data!$AH$2:$AH$1000)))</f>
        <v>1287308.0099999979</v>
      </c>
      <c r="C28" s="71">
        <f t="shared" si="0"/>
        <v>7.3358631598394539E-3</v>
      </c>
      <c r="E28" s="32">
        <f>MAX(0,$H$8*100)</f>
        <v>0</v>
      </c>
      <c r="F28" s="27" t="str">
        <f>"Net "&amp;IF(E28&gt;=0,"long","short")&amp;" bond index, so adequate "&amp;IF(E28&gt;=0,"cash","similar asset")&amp;" cover required"</f>
        <v>Net long bond index, so adequate cash cover required</v>
      </c>
    </row>
    <row r="29" spans="1:75" x14ac:dyDescent="0.3">
      <c r="A29" s="107" t="s">
        <v>62</v>
      </c>
      <c r="B29" s="123">
        <f>IF(SUMIF(Data!$C:$C,$A29,Data!$AH:$AH)&gt;=0,SUMIF(Data!$C:$C,$A29,Data!$AH:$AH),0)</f>
        <v>0</v>
      </c>
      <c r="C29" s="71">
        <f t="shared" si="0"/>
        <v>0</v>
      </c>
      <c r="D29" s="65"/>
      <c r="E29" s="32"/>
      <c r="F29" s="27"/>
    </row>
    <row r="30" spans="1:75" x14ac:dyDescent="0.3">
      <c r="A30" s="107" t="s">
        <v>61</v>
      </c>
      <c r="B30" s="124">
        <f>IF(SUMIF(Data!$C:$C,$A30,Data!$AH:$AH)&gt;=0,SUMIF(Data!$C:$C,$A30,Data!$AH:$AH),0)</f>
        <v>0</v>
      </c>
      <c r="C30" s="72">
        <f t="shared" si="0"/>
        <v>0</v>
      </c>
      <c r="E30" s="26">
        <f>SUM(C27:C28)*100</f>
        <v>0.73358631598394541</v>
      </c>
      <c r="F30" s="27" t="s">
        <v>10909</v>
      </c>
    </row>
    <row r="31" spans="1:75" x14ac:dyDescent="0.3">
      <c r="B31" s="65"/>
      <c r="C31" s="69"/>
      <c r="D31" s="65"/>
    </row>
    <row r="32" spans="1:75" x14ac:dyDescent="0.3">
      <c r="A32" s="131" t="str">
        <f>IF($A3="UT","","Cash from the "&amp;COUNTIF(Data!$B:$B,"COLLECTIVE INVESTMENT SCHEMES")&amp;" underlying UT"&amp;IF(COUNTIF(Data!$B:$B,"COLLECTIVE INVESTMENT SCHEMES")=1,"","s"))</f>
        <v/>
      </c>
      <c r="B32" s="65">
        <f>IF($A$3="UT",0,SUMIF(Data!$B:$B,"COLLECTIVE INVESTMENT SCHEMES",Data!$AH:$AH))</f>
        <v>0</v>
      </c>
      <c r="C32" s="69">
        <f>IF($A3="UT",0,$B32/$B$4)</f>
        <v>0</v>
      </c>
      <c r="E32" s="74">
        <f>C32*100</f>
        <v>0</v>
      </c>
      <c r="F32" s="29"/>
    </row>
    <row r="34" spans="1:6" ht="16.5" thickBot="1" x14ac:dyDescent="0.35">
      <c r="A34" s="64" t="str">
        <f>IF(B34&gt;=0,"A","Ina")&amp;"dequate cash cover for derivatives"</f>
        <v>Adequate cash cover for derivatives</v>
      </c>
      <c r="B34" s="132">
        <f>B22-B24+B32</f>
        <v>6319500.4300000034</v>
      </c>
      <c r="C34" s="67">
        <f>C22-C24+C32</f>
        <v>3.6012352935663572E-2</v>
      </c>
      <c r="D34" s="69"/>
      <c r="E34" s="75">
        <f>E26-E27-E28-E29-E30+E32</f>
        <v>3.6012352935663507</v>
      </c>
      <c r="F34" s="21" t="str">
        <f>IF($E34&gt;=0,"Adequate","INADEQUATE")&amp;" long derivative cash cover [BN90 16(1)(c)]"</f>
        <v>Adequate long derivative cash cover [BN90 16(1)(c)]</v>
      </c>
    </row>
    <row r="35" spans="1:6" ht="16.5" thickTop="1" x14ac:dyDescent="0.3">
      <c r="A35" s="133"/>
      <c r="B35" s="65"/>
      <c r="C35" s="69"/>
      <c r="D35" s="69"/>
    </row>
    <row r="36" spans="1:6" x14ac:dyDescent="0.3">
      <c r="A36" s="64" t="str">
        <f>IF($A3="UT","The numbers above exclude these assets which don't qualify as AiLF for UTs: *","")</f>
        <v>The numbers above exclude these assets which don't qualify as AiLF for UTs: *</v>
      </c>
      <c r="B36" s="65">
        <f>IF($A3="UT",SUM(B37:B38),"")</f>
        <v>0</v>
      </c>
      <c r="C36" s="69">
        <f>IF($A3="UT",SUM(C37:C38),"")</f>
        <v>0</v>
      </c>
      <c r="D36" s="69"/>
    </row>
    <row r="37" spans="1:6" x14ac:dyDescent="0.3">
      <c r="A37" s="134" t="str">
        <f>IF($A3="UT","Money Market","")</f>
        <v>Money Market</v>
      </c>
      <c r="B37" s="122" cm="1">
        <f t="array" ref="B37">IF($A3="UT",SUMIF(Data!$B:$B,"MONEY MARKET",Data!$AH:$AH)-SUMPRODUCT((Data!$B:$B="MONEY MARKET")*((Data!$P:$P&lt;Data!$AJ$2+397)*(Data!$V:$V&lt;&gt;"CLN")),(Data!$AH:$AH)),"")</f>
        <v>0</v>
      </c>
      <c r="C37" s="70">
        <f>IF($A3="UT",B37/$B$4,"")</f>
        <v>0</v>
      </c>
      <c r="D37" s="69"/>
    </row>
    <row r="38" spans="1:6" x14ac:dyDescent="0.3">
      <c r="A38" s="134" t="str">
        <f>IF($A3="UT","Bonds","")</f>
        <v>Bonds</v>
      </c>
      <c r="B38" s="124" cm="1">
        <f t="array" ref="B38">IF($A3="UT",SUMIF(Data!$B:$B,"BONDS",Data!$AH:$AH)-SUMPRODUCT((Data!$B:$B="BONDS")*((Data!$P:$P&lt;Data!$AJ$2+397)*(Data!$V:$V&lt;&gt;"CLN")),(Data!$AH:$AH)),"")</f>
        <v>0</v>
      </c>
      <c r="C38" s="72">
        <f>IF($A3="UT",B38/$B$4,"")</f>
        <v>0</v>
      </c>
      <c r="D38" s="66"/>
    </row>
    <row r="39" spans="1:6" x14ac:dyDescent="0.3">
      <c r="D39" s="69"/>
    </row>
    <row r="40" spans="1:6" x14ac:dyDescent="0.3">
      <c r="A40" s="185" t="s">
        <v>10976</v>
      </c>
      <c r="B40" s="183">
        <f>B42+B50</f>
        <v>173842201.80776799</v>
      </c>
      <c r="C40" s="184">
        <f>C42+C50</f>
        <v>0.99065848573954196</v>
      </c>
      <c r="D40" s="69"/>
    </row>
    <row r="41" spans="1:6" x14ac:dyDescent="0.3">
      <c r="B41" s="135"/>
      <c r="D41" s="69"/>
    </row>
    <row r="42" spans="1:6" x14ac:dyDescent="0.3">
      <c r="A42" s="64" t="s">
        <v>10975</v>
      </c>
      <c r="B42" s="105">
        <f>SUM(B43:B48)</f>
        <v>169737045.417768</v>
      </c>
      <c r="C42" s="106">
        <f>SUM(C43:C48)</f>
        <v>0.96726481049411206</v>
      </c>
      <c r="E42" s="64"/>
    </row>
    <row r="43" spans="1:6" x14ac:dyDescent="0.3">
      <c r="A43" s="107" t="s">
        <v>101</v>
      </c>
      <c r="B43" s="122" cm="1">
        <f t="array" ref="B43">SUMPRODUCT(('Glbl Expsr'!$H$2:$H$68)*('Glbl Expsr'!$I$2:$I$68)*('Glbl Expsr'!$J$2:$J$68)*('Glbl Expsr'!$L$2:$L$68)*('Glbl Expsr'!$O$2:$O$68))+$B$26</f>
        <v>23631160</v>
      </c>
      <c r="C43" s="137" cm="1">
        <f t="array" ref="C43">SUMPRODUCT(('Glbl Expsr'!$H$2:$H$68)*('Glbl Expsr'!$I$2:$I$68)*('Glbl Expsr'!$J$2:$J$68)*('Glbl Expsr'!$L$2:$L$68)*('Glbl Expsr'!$O$2:$O$68))/SUM(Data!$L:$L)+$C$26</f>
        <v>0.13466470706437381</v>
      </c>
      <c r="E43" s="64"/>
    </row>
    <row r="44" spans="1:6" x14ac:dyDescent="0.3">
      <c r="A44" s="107" t="s">
        <v>10947</v>
      </c>
      <c r="B44" s="108" cm="1">
        <f t="array" ref="B44">SUMPRODUCT(--(Data!$C$2:$C$1000="EQUITY LINKED NOTES"), (Data!$AH$2:$AH$1000))</f>
        <v>0</v>
      </c>
      <c r="C44" s="138" cm="1">
        <f t="array" ref="C44">SUMPRODUCT(--(Data!$C$2:$C$1000="EQUITY LINKED NOTES"),(Data!$AI2:$AI1000))/100</f>
        <v>0</v>
      </c>
      <c r="E44" s="157"/>
    </row>
    <row r="45" spans="1:6" x14ac:dyDescent="0.3">
      <c r="A45" s="107" t="s">
        <v>102</v>
      </c>
      <c r="B45" s="108" cm="1">
        <f t="array" ref="B45">SUMPRODUCT((Data!$C$2:$C$1000="SWAPS")*((Data!$G$2:$G$1000)*(Data!$M$2:$M$1000)))</f>
        <v>113012144.907768</v>
      </c>
      <c r="C45" s="138" cm="1">
        <f t="array" ref="C45">SUMPRODUCT((Data!$C$2:$C$1000="SWAPS")*((Data!$G$2:$G$1000)*(Data!$M$2:$M$1000)))/SUM(Data!$L:$L)</f>
        <v>0.64401186351923234</v>
      </c>
      <c r="E45" s="64"/>
    </row>
    <row r="46" spans="1:6" x14ac:dyDescent="0.3">
      <c r="A46" s="107" t="s">
        <v>10927</v>
      </c>
      <c r="B46" s="108" cm="1">
        <f t="array" ref="B46">SUMPRODUCT((Data!$B:$B="EQUITIES")*(Data!$X:$X&lt;&gt;"REAL ESTATE")*(Data!$V:$V&lt;&gt;"EQUITY - ELN"),(Data!$AH:$AH))</f>
        <v>33093740.509999994</v>
      </c>
      <c r="C46" s="138" cm="1">
        <f t="array" ref="C46">SUMPRODUCT((Data!$B:$B="EQUITIES")*(Data!$X:$X&lt;&gt;"REAL ESTATE")*(Data!$V:$V&lt;&gt;"EQUITY - ELN"),(Data!$AI:$AI))/100</f>
        <v>0.18858823991050588</v>
      </c>
      <c r="E46" s="64"/>
    </row>
    <row r="47" spans="1:6" x14ac:dyDescent="0.3">
      <c r="A47" s="107" t="s">
        <v>10925</v>
      </c>
      <c r="B47" s="108">
        <f>SUMIF(Data!$B:$B,"PREFERENCE SHARES",Data!$AH:$AH)</f>
        <v>0</v>
      </c>
      <c r="C47" s="138">
        <f>SUMIF(Data!$B:$B,"PREFERENCE SHARES",Data!$AI:$AI)/100</f>
        <v>0</v>
      </c>
      <c r="E47" s="64"/>
    </row>
    <row r="48" spans="1:6" x14ac:dyDescent="0.3">
      <c r="A48" s="107" t="s">
        <v>103</v>
      </c>
      <c r="B48" s="109" cm="1">
        <f t="array" ref="B48">SUMPRODUCT(--((Data!$B:$B="COLLECTIVE INVESTMENT SCHEMES")*(ISNUMBER(SEARCH("equity",Data!$D:$D))-ISNUMBER(SEARCH("property equity",Data!$D:$D))+ISNUMBER(SEARCH("balanced",Data!$D:$D)))&gt;0),(Data!$AH:$AH))</f>
        <v>0</v>
      </c>
      <c r="C48" s="139" cm="1">
        <f t="array" ref="C48">SUMPRODUCT(--((Data!$B:$B="COLLECTIVE INVESTMENT SCHEMES")*(ISNUMBER(SEARCH("equity",Data!$D:$D))-ISNUMBER(SEARCH("property equity",Data!$D:$D))+ISNUMBER(SEARCH("balanced",Data!$D:$D)))&gt;0),(Data!$AI:$AI))/100</f>
        <v>0</v>
      </c>
    </row>
    <row r="49" spans="1:4" x14ac:dyDescent="0.3">
      <c r="A49" s="107"/>
      <c r="B49" s="105"/>
      <c r="C49" s="106"/>
    </row>
    <row r="50" spans="1:4" x14ac:dyDescent="0.3">
      <c r="A50" s="64" t="s">
        <v>10923</v>
      </c>
      <c r="B50" s="105">
        <f>SUM(B51:B52)</f>
        <v>4105156.39</v>
      </c>
      <c r="C50" s="140">
        <f>SUM(C51:C52)</f>
        <v>2.3393675245429856E-2</v>
      </c>
    </row>
    <row r="51" spans="1:4" x14ac:dyDescent="0.3">
      <c r="A51" s="107" t="s">
        <v>10926</v>
      </c>
      <c r="B51" s="141" cm="1">
        <f t="array" ref="B51">SUMPRODUCT((Data!$B:$B="EQUITIES")*(Data!$X:$X="REAL ESTATE"),(Data!$AH:$AH))</f>
        <v>4105156.39</v>
      </c>
      <c r="C51" s="137" cm="1">
        <f t="array" ref="C51">SUMPRODUCT((Data!$B:$B="EQUITIES")*(Data!$X:$X="REAL ESTATE"),(Data!$AI:$AI))/100</f>
        <v>2.3393675245429856E-2</v>
      </c>
    </row>
    <row r="52" spans="1:4" x14ac:dyDescent="0.3">
      <c r="A52" s="107" t="s">
        <v>10924</v>
      </c>
      <c r="B52" s="109" cm="1">
        <f t="array" ref="B52">SUMPRODUCT(--((Data!$B:$B="COLLECTIVE INVESTMENT SCHEMES")*(ISNUMBER(SEARCH("property equity",Data!$D:$D)))&gt;0),(Data!$AH:$AH))</f>
        <v>0</v>
      </c>
      <c r="C52" s="139" cm="1">
        <f t="array" ref="C52">SUMPRODUCT(--((Data!$B:$B="COLLECTIVE INVESTMENT SCHEMES")*(ISNUMBER(SEARCH("property equity",Data!$D:$D)))&gt;0),(Data!$AI:$AI))/100</f>
        <v>0</v>
      </c>
    </row>
    <row r="54" spans="1:4" x14ac:dyDescent="0.3">
      <c r="A54" s="186" t="s">
        <v>12829</v>
      </c>
      <c r="B54" s="202">
        <f>SUM(B56,B63,B69,B73)</f>
        <v>0</v>
      </c>
      <c r="C54" s="202">
        <f>SUM(C56,C63,C69)</f>
        <v>0</v>
      </c>
      <c r="D54" s="64" t="s">
        <v>12830</v>
      </c>
    </row>
    <row r="55" spans="1:4" x14ac:dyDescent="0.3">
      <c r="A55" s="185"/>
    </row>
    <row r="56" spans="1:4" x14ac:dyDescent="0.3">
      <c r="A56" s="107" t="s">
        <v>12831</v>
      </c>
      <c r="B56" s="187">
        <f>SUM(B57:B61)</f>
        <v>0</v>
      </c>
      <c r="C56" s="187">
        <f>SUM(C57:C61)</f>
        <v>0</v>
      </c>
    </row>
    <row r="57" spans="1:4" x14ac:dyDescent="0.3">
      <c r="A57" s="130" t="s">
        <v>12832</v>
      </c>
      <c r="B57" s="188" cm="1">
        <f t="array" ref="B57">SUMPRODUCT((Data!$B:$B&lt;&gt;"CASH")*(Data!$B:$B&lt;&gt;"MONEY MARKET")*(Data!$B:$B&lt;&gt;"DERIVATIVES")*(Data!$B:$B&lt;&gt;"COLLECTIVE INVESTMENT SCHEMES")*(Data!$W:$W&lt;&gt;"ZAR")*(Data!$T:$T&lt;&gt;"SYTH"),Data!$AH:$AH)</f>
        <v>0</v>
      </c>
      <c r="C57" s="189" cm="1">
        <f t="array" ref="C57">SUMPRODUCT((Data!$B:$B&lt;&gt;"CASH")*(Data!$B:$B&lt;&gt;"MONEY MARKET")*(Data!$B:$B&lt;&gt;"DERIVATIVES")*(Data!$B:$B&lt;&gt;"COLLECTIVE INVESTMENT SCHEMES")*(Data!$W:$W&lt;&gt;"ZAR")*(Data!$T:$T&lt;&gt;"SYTH"),Data!$AI:$AI)</f>
        <v>0</v>
      </c>
    </row>
    <row r="58" spans="1:4" x14ac:dyDescent="0.3">
      <c r="A58" s="130" t="str" cm="1">
        <f t="array" ref="A58">"Direct foreign cash excl 'SYNCASH' ("&amp;SUMPRODUCT((Data!$B:$B="CASH")*(Data!$W:$W&lt;&gt;"ZAR")*(Data!$T:$T&lt;&gt;"SYTH"))&amp;")"</f>
        <v>Direct foreign cash excl 'SYNCASH' (0)</v>
      </c>
      <c r="B58" s="190" cm="1">
        <f t="array" ref="B58">SUMPRODUCT((Data!$B:$B="CASH")*(Data!$W:$W&lt;&gt;"ZAR")*(Data!$T:$T&lt;&gt;"SYTH"),Data!$AH:$AH)</f>
        <v>0</v>
      </c>
      <c r="C58" s="191" cm="1">
        <f t="array" ref="C58">SUMPRODUCT((Data!$B:$B="CASH")*(Data!$W:$W&lt;&gt;"ZAR")*(Data!$T:$T&lt;&gt;"SYTH"),Data!$AI:$AI)</f>
        <v>0</v>
      </c>
    </row>
    <row r="59" spans="1:4" x14ac:dyDescent="0.3">
      <c r="A59" s="130" t="str" cm="1">
        <f t="array" ref="A59">"Direct foreign MMIs excl 'SYNCASH' ("&amp;SUMPRODUCT((Data!$B:$B="MONEY MARKET")*(Data!$W:$W&lt;&gt;"ZAR")*(Data!$T:$T&lt;&gt;"SYTH"))&amp;")"</f>
        <v>Direct foreign MMIs excl 'SYNCASH' (0)</v>
      </c>
      <c r="B59" s="190" cm="1">
        <f t="array" ref="B59">SUMPRODUCT((Data!$B:$B="MONEY MARKET")*(Data!$W:$W&lt;&gt;"ZAR")*(Data!$T:$T&lt;&gt;"SYTH"),Data!$AH:$AH)</f>
        <v>0</v>
      </c>
      <c r="C59" s="191" cm="1">
        <f t="array" ref="C59">SUMPRODUCT((Data!$B:$B="MONEY MARKET")*(Data!$W:$W&lt;&gt;"ZAR")*(Data!$T:$T&lt;&gt;"SYTH"),Data!$AI:$AI)</f>
        <v>0</v>
      </c>
    </row>
    <row r="60" spans="1:4" x14ac:dyDescent="0.3">
      <c r="A60" s="130" t="str" cm="1">
        <f t="array" ref="A60">"Global funds denominated as non-ZAR ("&amp;SUMPRODUCT((Data!$B:$B="COLLECTIVE INVESTMENT SCHEMES")*(Data!$W:$W&lt;&gt;"ZAR")*(Data!$T:$T&lt;&gt;"SYTH"))&amp;")"</f>
        <v>Global funds denominated as non-ZAR (0)</v>
      </c>
      <c r="B60" s="190" cm="1">
        <f t="array" ref="B60">SUMPRODUCT((Data!$B:$B="COLLECTIVE INVESTMENT SCHEMES")*(Data!$W:$W&lt;&gt;"ZAR")*(Data!$T:$T&lt;&gt;"SYTH"),Data!$AH:$AH)</f>
        <v>0</v>
      </c>
      <c r="C60" s="191" cm="1">
        <f t="array" ref="C60">SUMPRODUCT((Data!$B:$B="COLLECTIVE INVESTMENT SCHEMES")*(Data!$W:$W&lt;&gt;"ZAR")*(Data!$T:$T&lt;&gt;"SYTH"),Data!$AI:$AI)</f>
        <v>0</v>
      </c>
    </row>
    <row r="61" spans="1:4" x14ac:dyDescent="0.3">
      <c r="A61" s="130" t="str" cm="1">
        <f t="array" ref="A61">"Global funds denominated as ZAR ("&amp;SUMPRODUCT((ISNUMBER(SEARCH("global",Data!$D:$D)))*(Data!$B:$B="COLLECTIVE INVESTMENT SCHEMES")*(Data!$W:$W="ZAR")*(Data!$T:$T&lt;&gt;"SYTH"))&amp;")"</f>
        <v>Global funds denominated as ZAR (0)</v>
      </c>
      <c r="B61" s="192" cm="1">
        <f t="array" ref="B61">SUMPRODUCT(Data!$AH:$AH,(ISNUMBER(SEARCH("global",Data!$D:$D)))*(Data!$B:$B="COLLECTIVE INVESTMENT SCHEMES")*(Data!$W:$W="ZAR")*(Data!$T:$T&lt;&gt;"SYTH"))</f>
        <v>0</v>
      </c>
      <c r="C61" s="193" cm="1">
        <f t="array" ref="C61">SUMPRODUCT(Data!$AI:$AI,(ISNUMBER(SEARCH("global",Data!$D:$D)))*(Data!$B:$B="COLLECTIVE INVESTMENT SCHEMES")*(Data!$W:$W="ZAR")*(Data!$T:$T&lt;&gt;"SYTH"))</f>
        <v>0</v>
      </c>
    </row>
    <row r="62" spans="1:4" x14ac:dyDescent="0.3">
      <c r="A62" s="107"/>
    </row>
    <row r="63" spans="1:4" x14ac:dyDescent="0.3">
      <c r="A63" s="107" t="s">
        <v>12833</v>
      </c>
      <c r="B63" s="105">
        <f>SUM(B64:B67)</f>
        <v>0</v>
      </c>
      <c r="C63" s="105">
        <f>SUM(C64:C67)</f>
        <v>0</v>
      </c>
    </row>
    <row r="64" spans="1:4" x14ac:dyDescent="0.3">
      <c r="A64" s="130" t="str" cm="1">
        <f t="array" ref="A64">"Foreign equity derivatives ("&amp;SUMPRODUCT(--(Data!$C:$C="Equity Derivatives")*(Data!$W:$W&lt;&gt;"ZAR"))&amp;")"</f>
        <v>Foreign equity derivatives (0)</v>
      </c>
      <c r="B64" s="141" cm="1">
        <f t="array" ref="B64">SUMPRODUCT((Data!$C:$C="Equity derivatives")*(Data!$W:$W&lt;&gt;"ZAR"),Data!$AH:$AH)</f>
        <v>0</v>
      </c>
      <c r="C64" s="194" cm="1">
        <f t="array" ref="C64">SUMPRODUCT((Data!$C:$C="Equity derivatives")*(Data!$W:$W&lt;&gt;"ZAR"),Data!$AI:$AI)</f>
        <v>0</v>
      </c>
    </row>
    <row r="65" spans="1:3" x14ac:dyDescent="0.3">
      <c r="A65" s="130" t="str" cm="1">
        <f t="array" ref="A65">"Foreign bond derivatives ("&amp;SUMPRODUCT(--(Data!$C:$C="Bond Derivatives")*(Data!$W:$W&lt;&gt;"ZAR"))&amp;")"</f>
        <v>Foreign bond derivatives (0)</v>
      </c>
      <c r="B65" s="108" cm="1">
        <f t="array" ref="B65">SUMPRODUCT((Data!$C:$C="Bond derivatives")*(Data!$W:$W&lt;&gt;"ZAR"),Data!$AH:$AH)</f>
        <v>0</v>
      </c>
      <c r="C65" s="195" cm="1">
        <f t="array" ref="C65">SUMPRODUCT((Data!$C:$C="Bond derivatives")*(Data!$W:$W&lt;&gt;"ZAR"),Data!$AI:$AI)</f>
        <v>0</v>
      </c>
    </row>
    <row r="66" spans="1:3" x14ac:dyDescent="0.3">
      <c r="A66" s="130" t="str" cm="1">
        <f t="array" ref="A66">"Foreign currency derivatives ("&amp;SUMPRODUCT(--(Data!$C:$C="Currency Derivatives")*(Data!$W:$W&lt;&gt;"ZAR"))&amp;")"</f>
        <v>Foreign currency derivatives (0)</v>
      </c>
      <c r="B66" s="108" cm="1">
        <f t="array" ref="B66">SUMPRODUCT((Data!$C:$C="Currency derivatives")*(Data!$W:$W&lt;&gt;"ZAR"),Data!$AH:$AH)</f>
        <v>0</v>
      </c>
      <c r="C66" s="195" cm="1">
        <f t="array" ref="C66">SUMPRODUCT((Data!$C:$C="Currency derivatives")*(Data!$W:$W&lt;&gt;"ZAR"),Data!$AI:$AI)</f>
        <v>0</v>
      </c>
    </row>
    <row r="67" spans="1:3" x14ac:dyDescent="0.3">
      <c r="A67" s="130" t="str" cm="1">
        <f t="array" ref="A67">"Foreign currency forwards ("&amp;SUMPRODUCT(--(Data!$C:$C="Forwards")*(Data!$W:$W&lt;&gt;"ZAR"))&amp;")"</f>
        <v>Foreign currency forwards (0)</v>
      </c>
      <c r="B67" s="109" cm="1">
        <f t="array" ref="B67">SUMPRODUCT((Data!$C:$C="Forwards")*(Data!$W:$W&lt;&gt;"ZAR"),Data!$AH:$AH)</f>
        <v>0</v>
      </c>
      <c r="C67" s="196" cm="1">
        <f t="array" ref="C67">SUMPRODUCT((Data!$C:$C="Forwards")*(Data!$W:$W&lt;&gt;"ZAR"),Data!$AI:$AI)</f>
        <v>0</v>
      </c>
    </row>
    <row r="68" spans="1:3" x14ac:dyDescent="0.3">
      <c r="A68" s="107"/>
    </row>
    <row r="69" spans="1:3" x14ac:dyDescent="0.3">
      <c r="A69" s="107" t="s">
        <v>12834</v>
      </c>
      <c r="B69" s="187">
        <f>-SUM(B58:B59)</f>
        <v>0</v>
      </c>
      <c r="C69" s="187">
        <f>-SUM(C58:C59)</f>
        <v>0</v>
      </c>
    </row>
    <row r="70" spans="1:3" x14ac:dyDescent="0.3">
      <c r="A70" s="130" t="str" cm="1">
        <f t="array" ref="A70">"Direct foreign cash excl 'SYNCASH' ("&amp;SUMPRODUCT((Data!$B:$B="CASH")*(Data!$W:$W&lt;&gt;"ZAR")*(Data!$T:$T&lt;&gt;"SYTH"))&amp;")"</f>
        <v>Direct foreign cash excl 'SYNCASH' (0)</v>
      </c>
      <c r="B70" s="188" cm="1">
        <f t="array" ref="B70">SUMPRODUCT((Data!$B:$B="CASH")*(Data!$W:$W&lt;&gt;"ZAR")*(Data!$T:$T&lt;&gt;"SYTH"),Data!$AH:$AH)</f>
        <v>0</v>
      </c>
      <c r="C70" s="189" cm="1">
        <f t="array" ref="C70">SUMPRODUCT((Data!$B:$B="CASH")*(Data!$W:$W&lt;&gt;"ZAR")*(Data!$T:$T&lt;&gt;"SYTH"),Data!$AI:$AI)</f>
        <v>0</v>
      </c>
    </row>
    <row r="71" spans="1:3" x14ac:dyDescent="0.3">
      <c r="A71" s="130" t="str" cm="1">
        <f t="array" ref="A71">"Direct foreign MMIs excl 'SYNCASH' ("&amp;SUMPRODUCT((Data!$B:$B="MONEY MARKET")*(Data!$W:$W&lt;&gt;"ZAR")*(Data!$T:$T&lt;&gt;"SYTH"))&amp;")"</f>
        <v>Direct foreign MMIs excl 'SYNCASH' (0)</v>
      </c>
      <c r="B71" s="192" cm="1">
        <f t="array" ref="B71">SUMPRODUCT((Data!$B:$B="MONEY MARKET")*(Data!$W:$W&lt;&gt;"ZAR")*(Data!$T:$T&lt;&gt;"SYTH"),Data!$AH:$AH)</f>
        <v>0</v>
      </c>
      <c r="C71" s="193" cm="1">
        <f t="array" ref="C71">SUMPRODUCT((Data!$B:$B="MONEY MARKET")*(Data!$W:$W&lt;&gt;"ZAR")*(Data!$T:$T&lt;&gt;"SYTH"),Data!$AI:$AI)</f>
        <v>0</v>
      </c>
    </row>
    <row r="72" spans="1:3" x14ac:dyDescent="0.3">
      <c r="A72" s="107"/>
    </row>
    <row r="73" spans="1:3" x14ac:dyDescent="0.3">
      <c r="A73" s="107" t="s">
        <v>12835</v>
      </c>
      <c r="B73" s="182">
        <f>B63+B69</f>
        <v>0</v>
      </c>
      <c r="C73" s="182">
        <f>C63+C69</f>
        <v>0</v>
      </c>
    </row>
    <row r="74" spans="1:3" x14ac:dyDescent="0.3">
      <c r="A74" s="107"/>
      <c r="B74" s="182"/>
      <c r="C74" s="182"/>
    </row>
    <row r="75" spans="1:3" x14ac:dyDescent="0.3">
      <c r="A75" s="107"/>
    </row>
    <row r="76" spans="1:3" x14ac:dyDescent="0.3">
      <c r="A76" s="197" t="s">
        <v>12836</v>
      </c>
      <c r="B76" s="175">
        <f>SUM(B77:B78)</f>
        <v>-23631160</v>
      </c>
      <c r="C76" s="175">
        <f>SUM(C77:C78)</f>
        <v>-13.466470706437381</v>
      </c>
    </row>
    <row r="77" spans="1:3" x14ac:dyDescent="0.3">
      <c r="A77" s="130" t="str" cm="1">
        <f t="array" ref="A77">"ZAR 'SYNCASH' ("&amp;SUMPRODUCT((Data!$W:$W="ZAR")*(Data!$T:$T="SYTH"))&amp;")"</f>
        <v>ZAR 'SYNCASH' (2)</v>
      </c>
      <c r="B77" s="198" cm="1">
        <f t="array" ref="B77">SUMPRODUCT((Data!$W:$W="ZAR")*(Data!$T:$T="SYTH"),(Data!$AH:$AH))</f>
        <v>-23631160</v>
      </c>
      <c r="C77" s="199" cm="1">
        <f t="array" ref="C77">SUMPRODUCT((Data!$W:$W="ZAR")*(Data!$T:$T="SYTH"),(Data!$AI:$AI))</f>
        <v>-13.466470706437381</v>
      </c>
    </row>
    <row r="78" spans="1:3" x14ac:dyDescent="0.3">
      <c r="A78" s="130" t="str" cm="1">
        <f t="array" ref="A78">"Non-ZAR 'SYNCASH' ("&amp;SUMPRODUCT((Data!$W:$W&lt;&gt;"ZAR")*(Data!$T:$T="SYTH"))&amp;")"</f>
        <v>Non-ZAR 'SYNCASH' (0)</v>
      </c>
      <c r="B78" s="200" cm="1">
        <f t="array" ref="B78">SUMPRODUCT((Data!$W:$W&lt;&gt;"ZAR")*(Data!$T:$T="SYTH"),(Data!$AH:$AH))</f>
        <v>0</v>
      </c>
      <c r="C78" s="201" cm="1">
        <f t="array" ref="C78">SUMPRODUCT((Data!$W:$W&lt;&gt;"ZAR")*(Data!$T:$T="SYTH"),(Data!$AI:$AI))</f>
        <v>0</v>
      </c>
    </row>
    <row r="80" spans="1:3" x14ac:dyDescent="0.3">
      <c r="C80" s="175"/>
    </row>
    <row r="81" spans="2:3" x14ac:dyDescent="0.3">
      <c r="C81" s="13"/>
    </row>
    <row r="82" spans="2:3" x14ac:dyDescent="0.3">
      <c r="B82" s="175"/>
    </row>
    <row r="83" spans="2:3" x14ac:dyDescent="0.3">
      <c r="B83" s="175"/>
    </row>
  </sheetData>
  <conditionalFormatting sqref="D38">
    <cfRule type="expression" dxfId="39" priority="40">
      <formula>D38&lt;0</formula>
    </cfRule>
  </conditionalFormatting>
  <conditionalFormatting sqref="B22 B34">
    <cfRule type="expression" dxfId="38" priority="37">
      <formula>B22&lt;0</formula>
    </cfRule>
    <cfRule type="expression" dxfId="37" priority="38">
      <formula>$B22&gt;=0</formula>
    </cfRule>
  </conditionalFormatting>
  <conditionalFormatting sqref="C22 C34">
    <cfRule type="expression" dxfId="36" priority="35">
      <formula>C22&lt;0</formula>
    </cfRule>
    <cfRule type="expression" dxfId="35" priority="36">
      <formula>$B22&gt;=0</formula>
    </cfRule>
  </conditionalFormatting>
  <conditionalFormatting sqref="A3">
    <cfRule type="expression" dxfId="34" priority="39" stopIfTrue="1">
      <formula>$A3="UNIT TRUST"</formula>
    </cfRule>
  </conditionalFormatting>
  <conditionalFormatting sqref="F20:F21 F10 F27:F30">
    <cfRule type="expression" dxfId="33" priority="34" stopIfTrue="1">
      <formula>#REF!="UNIT TRUST"</formula>
    </cfRule>
  </conditionalFormatting>
  <conditionalFormatting sqref="F34">
    <cfRule type="expression" dxfId="32" priority="41" stopIfTrue="1">
      <formula>#REF!="UNIT TRUST"</formula>
    </cfRule>
  </conditionalFormatting>
  <conditionalFormatting sqref="F22:F26">
    <cfRule type="expression" dxfId="31" priority="33" stopIfTrue="1">
      <formula>#REF!="UNIT TRUST"</formula>
    </cfRule>
  </conditionalFormatting>
  <conditionalFormatting sqref="F12:F13">
    <cfRule type="expression" dxfId="30" priority="31" stopIfTrue="1">
      <formula>#REF!="UNIT TRUST"</formula>
    </cfRule>
  </conditionalFormatting>
  <conditionalFormatting sqref="F14">
    <cfRule type="expression" dxfId="29" priority="30" stopIfTrue="1">
      <formula>#REF!="UNIT TRUST"</formula>
    </cfRule>
  </conditionalFormatting>
  <conditionalFormatting sqref="F6">
    <cfRule type="expression" dxfId="28" priority="29" stopIfTrue="1">
      <formula>#REF!="UNIT TRUST"</formula>
    </cfRule>
  </conditionalFormatting>
  <conditionalFormatting sqref="E22">
    <cfRule type="cellIs" dxfId="27" priority="28" operator="greaterThanOrEqual">
      <formula>0</formula>
    </cfRule>
  </conditionalFormatting>
  <conditionalFormatting sqref="E26">
    <cfRule type="cellIs" dxfId="26" priority="27" stopIfTrue="1" operator="lessThan">
      <formula>0</formula>
    </cfRule>
  </conditionalFormatting>
  <conditionalFormatting sqref="E16">
    <cfRule type="cellIs" dxfId="25" priority="25" operator="lessThan">
      <formula>1</formula>
    </cfRule>
    <cfRule type="cellIs" dxfId="24" priority="26" stopIfTrue="1" operator="greaterThanOrEqual">
      <formula>1</formula>
    </cfRule>
  </conditionalFormatting>
  <conditionalFormatting sqref="F16">
    <cfRule type="expression" dxfId="23" priority="24" stopIfTrue="1">
      <formula>#REF!="UNIT TRUST"</formula>
    </cfRule>
  </conditionalFormatting>
  <conditionalFormatting sqref="E1">
    <cfRule type="expression" dxfId="22" priority="42">
      <formula>COUNT($I$1:$BH$23)=$E$1</formula>
    </cfRule>
    <cfRule type="expression" dxfId="21" priority="43">
      <formula>COUNT($I$1:$BH$23)&lt;&gt;$E$1</formula>
    </cfRule>
  </conditionalFormatting>
  <conditionalFormatting sqref="F8">
    <cfRule type="expression" dxfId="20" priority="20" stopIfTrue="1">
      <formula>#REF!="UNIT TRUST"</formula>
    </cfRule>
  </conditionalFormatting>
  <conditionalFormatting sqref="F9">
    <cfRule type="expression" dxfId="19" priority="19" stopIfTrue="1">
      <formula>#REF!="UNIT TRUST"</formula>
    </cfRule>
  </conditionalFormatting>
  <conditionalFormatting sqref="F5">
    <cfRule type="expression" dxfId="18" priority="18" stopIfTrue="1">
      <formula>#REF!="UNIT TRUST"</formula>
    </cfRule>
  </conditionalFormatting>
  <conditionalFormatting sqref="F3">
    <cfRule type="expression" dxfId="17" priority="17" stopIfTrue="1">
      <formula>#REF!="UNIT TRUST"</formula>
    </cfRule>
  </conditionalFormatting>
  <conditionalFormatting sqref="F4">
    <cfRule type="expression" dxfId="16" priority="16" stopIfTrue="1">
      <formula>#REF!="UNIT TRUST"</formula>
    </cfRule>
  </conditionalFormatting>
  <conditionalFormatting sqref="B32">
    <cfRule type="expression" dxfId="15" priority="15">
      <formula>"$b29=0"</formula>
    </cfRule>
  </conditionalFormatting>
  <conditionalFormatting sqref="C32">
    <cfRule type="expression" dxfId="14" priority="14">
      <formula>$C32=0</formula>
    </cfRule>
  </conditionalFormatting>
  <conditionalFormatting sqref="E34">
    <cfRule type="cellIs" dxfId="13" priority="10" operator="greaterThanOrEqual">
      <formula>0</formula>
    </cfRule>
  </conditionalFormatting>
  <conditionalFormatting sqref="E6">
    <cfRule type="cellIs" dxfId="12" priority="8" operator="lessThan">
      <formula>0</formula>
    </cfRule>
    <cfRule type="cellIs" dxfId="11" priority="9" operator="greaterThanOrEqual">
      <formula>0</formula>
    </cfRule>
  </conditionalFormatting>
  <conditionalFormatting sqref="E10">
    <cfRule type="cellIs" dxfId="10" priority="6" operator="lessThan">
      <formula>0</formula>
    </cfRule>
    <cfRule type="cellIs" dxfId="9" priority="7" operator="greaterThanOrEqual">
      <formula>0</formula>
    </cfRule>
  </conditionalFormatting>
  <conditionalFormatting sqref="E14">
    <cfRule type="cellIs" dxfId="8" priority="4" operator="lessThan">
      <formula>0</formula>
    </cfRule>
    <cfRule type="cellIs" dxfId="7" priority="5" operator="greaterThanOrEqual">
      <formula>0</formula>
    </cfRule>
  </conditionalFormatting>
  <conditionalFormatting sqref="C63">
    <cfRule type="expression" dxfId="6" priority="3">
      <formula>"&lt;&gt;SUM(H5,H11,H14,H17)*100"</formula>
    </cfRule>
  </conditionalFormatting>
  <conditionalFormatting sqref="C54">
    <cfRule type="expression" dxfId="5" priority="1">
      <formula>$C54&lt;=45</formula>
    </cfRule>
    <cfRule type="expression" dxfId="4" priority="2">
      <formula>$C54&gt;45</formula>
    </cfRule>
  </conditionalFormatting>
  <dataValidations disablePrompts="1" count="1">
    <dataValidation type="list" allowBlank="1" showInputMessage="1" showErrorMessage="1" sqref="A3" xr:uid="{CC59222B-EBE9-4FDA-B1C9-DFD241A99785}">
      <formula1>"UT,Not a UT"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067A-FB93-4C91-92BC-B2C1834F56AD}">
  <sheetPr codeName="shGlblExpsr"/>
  <dimension ref="A1:P68"/>
  <sheetViews>
    <sheetView workbookViewId="0"/>
  </sheetViews>
  <sheetFormatPr defaultColWidth="9.140625" defaultRowHeight="15" x14ac:dyDescent="0.25"/>
  <cols>
    <col min="1" max="1" width="69" style="64" bestFit="1" customWidth="1"/>
    <col min="2" max="2" width="5.140625" style="64" bestFit="1" customWidth="1"/>
    <col min="3" max="3" width="20.5703125" style="64" customWidth="1"/>
    <col min="4" max="4" width="13.140625" style="64" customWidth="1"/>
    <col min="5" max="5" width="4.85546875" style="64" bestFit="1" customWidth="1"/>
    <col min="6" max="6" width="9.140625" style="64"/>
    <col min="7" max="7" width="22.140625" style="90" bestFit="1" customWidth="1"/>
    <col min="8" max="8" width="17.42578125" style="90" customWidth="1"/>
    <col min="9" max="9" width="10" style="90" bestFit="1" customWidth="1"/>
    <col min="10" max="11" width="17.42578125" style="90" customWidth="1"/>
    <col min="12" max="12" width="8" style="90" bestFit="1" customWidth="1"/>
    <col min="13" max="13" width="15.28515625" style="90" bestFit="1" customWidth="1"/>
    <col min="14" max="14" width="14.85546875" style="90" bestFit="1" customWidth="1"/>
    <col min="15" max="16" width="9.140625" style="90"/>
    <col min="17" max="17" width="8" style="90" bestFit="1" customWidth="1"/>
    <col min="18" max="16384" width="9.140625" style="90"/>
  </cols>
  <sheetData>
    <row r="1" spans="1:15" ht="30" x14ac:dyDescent="0.25">
      <c r="A1" s="9" t="str">
        <f>Data!$A$2&amp;" ("&amp;Data!$AK$2&amp;") Exposures "&amp;TEXT(Data!$AJ$2,"d mmm yy")</f>
        <v>Tshwane Municipal Prov Fund (TSHMPF) Exposures 6 Apr 22</v>
      </c>
      <c r="C1" s="98" t="s">
        <v>43</v>
      </c>
      <c r="D1" s="98" t="s">
        <v>76</v>
      </c>
      <c r="F1" s="98" t="str">
        <f>_xlfn.XLOOKUP(Data!$AK$2,[77]Funds!$A:$A,[77]Funds!$E:$E)</f>
        <v>≠ UT</v>
      </c>
      <c r="G1" s="38" t="str" cm="1">
        <f t="array" ref="G1">"SA Equity Derivatives ("&amp;SUMPRODUCT((Data!$C:$C="Equity Derivatives")*(Data!$W:$W="ZAR"))&amp;")"</f>
        <v>SA Equity Derivatives (2)</v>
      </c>
      <c r="H1" s="39" t="s">
        <v>77</v>
      </c>
      <c r="I1" s="40" t="s">
        <v>78</v>
      </c>
      <c r="J1" s="40" t="s">
        <v>79</v>
      </c>
      <c r="K1" s="41" t="s">
        <v>80</v>
      </c>
      <c r="L1" s="41" t="s">
        <v>58</v>
      </c>
      <c r="M1" s="42" t="s">
        <v>60</v>
      </c>
      <c r="N1" s="41" t="s">
        <v>81</v>
      </c>
      <c r="O1" s="41" t="s">
        <v>10905</v>
      </c>
    </row>
    <row r="2" spans="1:15" ht="15.75" thickBot="1" x14ac:dyDescent="0.3">
      <c r="A2" s="64" t="s">
        <v>82</v>
      </c>
      <c r="B2" s="99" t="s">
        <v>83</v>
      </c>
      <c r="C2" s="100" cm="1">
        <f t="array" ref="C2">SUMPRODUCT(ABS(($H$2:$H$68))*($I$2:$I$68)*ABS(($J$2:$J$68))*ABS(($L$2:$L$68))*(O2:O68))+Summary!$B$26</f>
        <v>23631160</v>
      </c>
      <c r="D2" s="110" cm="1">
        <f t="array" ref="D2">SUMPRODUCT(ABS(($H$2:$H$68))*($I$2:$I$68)*ABS(($J$2:$J$68))*ABS(($L$2:$L$68))*(O2:O68))/SUM(Data!$L:$L)+Summary!$C$26</f>
        <v>0.13466470706437381</v>
      </c>
      <c r="G2" s="90" t="str">
        <f>Summary!I$1</f>
        <v>15JUN22 DCAP</v>
      </c>
      <c r="H2" s="79">
        <f>IF($G2&lt;&gt;"",INDEX(Data!$G:$G,MATCH($G2,Data!$D:$D,0)),0)</f>
        <v>63</v>
      </c>
      <c r="I2" s="80">
        <f>IF($G2&lt;&gt;"",10,0)</f>
        <v>10</v>
      </c>
      <c r="J2" s="81">
        <f>IF($G2&lt;&gt;"",INDEX(Data!$M:$M,MATCH($G2,Data!$D:$D,0)),0)</f>
        <v>20762</v>
      </c>
      <c r="K2" s="91">
        <f t="shared" ref="K2:K17" si="0">PRODUCT($H2:$J2)*$O$53</f>
        <v>203787334.80000001</v>
      </c>
      <c r="L2" s="82">
        <f>IF($G2&lt;&gt;"",INDEX(Deltas!$E:$E,MATCH($G2,Deltas!$B:$B,0)),0)</f>
        <v>1</v>
      </c>
      <c r="M2" s="92">
        <f t="shared" ref="M2:M17" si="1">PRODUCT($H2:$J2,$L2)</f>
        <v>13080060</v>
      </c>
      <c r="N2" s="93">
        <f>ABS(PRODUCT($H2:$J2,$L2))/Summary!$B$4*$O$53</f>
        <v>1.1613040470409186</v>
      </c>
      <c r="O2" s="83">
        <v>1</v>
      </c>
    </row>
    <row r="3" spans="1:15" ht="16.5" thickTop="1" thickBot="1" x14ac:dyDescent="0.3">
      <c r="A3" s="64" t="s">
        <v>84</v>
      </c>
      <c r="B3" s="99" t="s">
        <v>85</v>
      </c>
      <c r="C3" s="100" cm="1">
        <f t="array" ref="C3">SUMPRODUCT(($H$2:$H$68)*($I$2:$I$68)*($J$2:$J$68)*($L$2:$L$68)*($O$2:$O$68))+Summary!$B$26</f>
        <v>23631160</v>
      </c>
      <c r="D3" s="110" cm="1">
        <f t="array" ref="D3">SUMPRODUCT(($H$2:$H$68)*($I$2:$I$68)*($J$2:$J$68)*($L$2:$L$68)*($O$2:$O$68))/SUM(Data!$L:$L)+Summary!$C$26</f>
        <v>0.13466470706437381</v>
      </c>
      <c r="G3" s="90" t="str">
        <f>Summary!J$1</f>
        <v>15JUN22 DCAR</v>
      </c>
      <c r="H3" s="79">
        <f>IF($G3&lt;&gt;"",INDEX(Data!$G:$G,MATCH($G3,Data!$D:$D,0)),0)</f>
        <v>35</v>
      </c>
      <c r="I3" s="80">
        <f t="shared" ref="I3:I17" si="2">IF($G3&lt;&gt;"",10,0)</f>
        <v>10</v>
      </c>
      <c r="J3" s="81">
        <f>IF($G3&lt;&gt;"",INDEX(Data!$M:$M,MATCH($G3,Data!$D:$D,0)),0)</f>
        <v>30146</v>
      </c>
      <c r="K3" s="91">
        <f t="shared" si="0"/>
        <v>164386138</v>
      </c>
      <c r="L3" s="82">
        <f>IF($G3&lt;&gt;"",INDEX(Deltas!$E:$E,MATCH($G3,Deltas!$B:$B,0)),0)</f>
        <v>1</v>
      </c>
      <c r="M3" s="94">
        <f t="shared" si="1"/>
        <v>10551100</v>
      </c>
      <c r="N3" s="93">
        <f>ABS(PRODUCT($H3:$J3,$L3))/Summary!$B$4*$O$53</f>
        <v>0.93677208902202558</v>
      </c>
      <c r="O3" s="83">
        <v>1</v>
      </c>
    </row>
    <row r="4" spans="1:15" ht="16.5" thickTop="1" thickBot="1" x14ac:dyDescent="0.3">
      <c r="A4" s="64" t="s">
        <v>86</v>
      </c>
      <c r="B4" s="99" t="s">
        <v>87</v>
      </c>
      <c r="C4" s="101">
        <f>Summary!$B6</f>
        <v>31237968.440000001</v>
      </c>
      <c r="D4" s="111">
        <f>Summary!$B6/SUM(Data!$L:$L)</f>
        <v>0.1780129231598768</v>
      </c>
      <c r="G4" s="90" t="str">
        <f>Summary!K$1</f>
        <v/>
      </c>
      <c r="H4" s="79">
        <f>IF($G4&lt;&gt;"",INDEX(Data!$G:$G,MATCH($G4,Data!$D:$D,0)),0)</f>
        <v>0</v>
      </c>
      <c r="I4" s="80">
        <f t="shared" si="2"/>
        <v>0</v>
      </c>
      <c r="J4" s="81">
        <f>IF($G4&lt;&gt;"",INDEX(Data!$M:$M,MATCH($G4,Data!$D:$D,0)),0)</f>
        <v>0</v>
      </c>
      <c r="K4" s="91">
        <f t="shared" si="0"/>
        <v>0</v>
      </c>
      <c r="L4" s="82">
        <f>IF($G4&lt;&gt;"",INDEX(Deltas!$E:$E,MATCH($G4,Deltas!$B:$B,0)),0)</f>
        <v>0</v>
      </c>
      <c r="M4" s="92">
        <f t="shared" si="1"/>
        <v>0</v>
      </c>
      <c r="N4" s="93">
        <f>ABS(PRODUCT($H4:$J4,$L4))/Summary!$B$4*$O$53</f>
        <v>0</v>
      </c>
      <c r="O4" s="83">
        <v>1</v>
      </c>
    </row>
    <row r="5" spans="1:15" ht="16.5" thickTop="1" thickBot="1" x14ac:dyDescent="0.3">
      <c r="A5" s="64" t="s">
        <v>88</v>
      </c>
      <c r="B5" s="99" t="s">
        <v>89</v>
      </c>
      <c r="C5" s="102">
        <f>Summary!$B6+SUMIF(Data!$B:$B,"COLLECTIVE INVESTMENT SCHEMES",Data!$AH:$AH)</f>
        <v>139569875.52000001</v>
      </c>
      <c r="D5" s="111">
        <f>(Summary!$B6+SUMIF(Data!$B:$B,"COLLECTIVE INVESTMENT SCHEMES",Data!$AH:$AH))/SUM(Data!$L:$L)</f>
        <v>0.79535394800390324</v>
      </c>
      <c r="G5" s="90" t="str">
        <f>Summary!L$1</f>
        <v/>
      </c>
      <c r="H5" s="79">
        <f>IF($G5&lt;&gt;"",INDEX(Data!$G:$G,MATCH($G5,Data!$D:$D,0)),0)</f>
        <v>0</v>
      </c>
      <c r="I5" s="80">
        <f t="shared" si="2"/>
        <v>0</v>
      </c>
      <c r="J5" s="81">
        <f>IF($G5&lt;&gt;"",INDEX(Data!$M:$M,MATCH($G5,Data!$D:$D,0)),0)</f>
        <v>0</v>
      </c>
      <c r="K5" s="91">
        <f t="shared" si="0"/>
        <v>0</v>
      </c>
      <c r="L5" s="82">
        <f>IF($G5&lt;&gt;"",INDEX(Deltas!$E:$E,MATCH($G5,Deltas!$B:$B,0)),0)</f>
        <v>0</v>
      </c>
      <c r="M5" s="92">
        <f t="shared" si="1"/>
        <v>0</v>
      </c>
      <c r="N5" s="93">
        <f>ABS(PRODUCT($H5:$J5,$L5))/Summary!$B$4*$O$53</f>
        <v>0</v>
      </c>
      <c r="O5" s="83">
        <v>1</v>
      </c>
    </row>
    <row r="6" spans="1:15" ht="15.75" thickTop="1" x14ac:dyDescent="0.25">
      <c r="B6" s="99"/>
      <c r="G6" s="90" t="str">
        <f>Summary!M$1</f>
        <v/>
      </c>
      <c r="H6" s="79">
        <f>IF($G6&lt;&gt;"",INDEX(Data!$G:$G,MATCH($G6,Data!$D:$D,0)),0)</f>
        <v>0</v>
      </c>
      <c r="I6" s="80">
        <f t="shared" si="2"/>
        <v>0</v>
      </c>
      <c r="J6" s="81">
        <f>IF($G6&lt;&gt;"",INDEX(Data!$M:$M,MATCH($G6,Data!$D:$D,0)),0)</f>
        <v>0</v>
      </c>
      <c r="K6" s="91">
        <f t="shared" si="0"/>
        <v>0</v>
      </c>
      <c r="L6" s="82">
        <f>IF($G6&lt;&gt;"",INDEX(Deltas!$E:$E,MATCH($G6,Deltas!$B:$B,0)),0)</f>
        <v>0</v>
      </c>
      <c r="M6" s="92">
        <f t="shared" si="1"/>
        <v>0</v>
      </c>
      <c r="N6" s="93">
        <f>ABS(PRODUCT($H6:$J6,$L6))/Summary!$B$4*$O$53</f>
        <v>0</v>
      </c>
      <c r="O6" s="83">
        <v>1</v>
      </c>
    </row>
    <row r="7" spans="1:15" x14ac:dyDescent="0.25">
      <c r="A7" s="64" t="s">
        <v>90</v>
      </c>
      <c r="B7" s="99" t="s">
        <v>91</v>
      </c>
      <c r="C7" s="112">
        <f>IF(C2=0,1,C4/C2)</f>
        <v>1.3218973778688816</v>
      </c>
      <c r="D7" s="112">
        <f>D4-D2</f>
        <v>4.3348216095502989E-2</v>
      </c>
      <c r="E7" s="64" t="s">
        <v>92</v>
      </c>
      <c r="G7" s="90" t="str">
        <f>Summary!N$1</f>
        <v/>
      </c>
      <c r="H7" s="79">
        <f>IF($G7&lt;&gt;"",INDEX(Data!$G:$G,MATCH($G7,Data!$D:$D,0)),0)</f>
        <v>0</v>
      </c>
      <c r="I7" s="80">
        <f t="shared" si="2"/>
        <v>0</v>
      </c>
      <c r="J7" s="81">
        <f>IF($G7&lt;&gt;"",INDEX(Data!$M:$M,MATCH($G7,Data!$D:$D,0)),0)</f>
        <v>0</v>
      </c>
      <c r="K7" s="91">
        <f t="shared" si="0"/>
        <v>0</v>
      </c>
      <c r="L7" s="82">
        <f>IF($G7&lt;&gt;"",INDEX(Deltas!$E:$E,MATCH($G7,Deltas!$B:$B,0)),0)</f>
        <v>0</v>
      </c>
      <c r="M7" s="92">
        <f t="shared" si="1"/>
        <v>0</v>
      </c>
      <c r="N7" s="93">
        <f>ABS(PRODUCT($H7:$J7,$L7))/Summary!$B$4*$O$53</f>
        <v>0</v>
      </c>
      <c r="O7" s="83">
        <v>1</v>
      </c>
    </row>
    <row r="8" spans="1:15" x14ac:dyDescent="0.25">
      <c r="A8" s="64" t="s">
        <v>93</v>
      </c>
      <c r="B8" s="99" t="s">
        <v>94</v>
      </c>
      <c r="C8" s="103">
        <f>IF(C3=0,1,C4/C3)</f>
        <v>1.3218973778688816</v>
      </c>
      <c r="D8" s="103">
        <f>D4-D3</f>
        <v>4.3348216095502989E-2</v>
      </c>
      <c r="E8" s="64" t="s">
        <v>95</v>
      </c>
      <c r="G8" s="90" t="str">
        <f>Summary!O$1</f>
        <v/>
      </c>
      <c r="H8" s="79">
        <f>IF($G8&lt;&gt;"",INDEX(Data!$G:$G,MATCH($G8,Data!$D:$D,0)),0)</f>
        <v>0</v>
      </c>
      <c r="I8" s="80">
        <f t="shared" si="2"/>
        <v>0</v>
      </c>
      <c r="J8" s="81">
        <f>IF($G8&lt;&gt;"",INDEX(Data!$M:$M,MATCH($G8,Data!$D:$D,0)),0)</f>
        <v>0</v>
      </c>
      <c r="K8" s="91">
        <f t="shared" si="0"/>
        <v>0</v>
      </c>
      <c r="L8" s="82">
        <f>IF($G8&lt;&gt;"",INDEX(Deltas!$E:$E,MATCH($G8,Deltas!$B:$B,0)),0)</f>
        <v>0</v>
      </c>
      <c r="M8" s="92">
        <f t="shared" si="1"/>
        <v>0</v>
      </c>
      <c r="N8" s="93">
        <f>ABS(PRODUCT($H8:$J8,$L8))/Summary!$B$4*$O$53</f>
        <v>0</v>
      </c>
      <c r="O8" s="83">
        <v>1</v>
      </c>
    </row>
    <row r="9" spans="1:15" x14ac:dyDescent="0.25">
      <c r="B9" s="99"/>
      <c r="C9" s="104"/>
      <c r="G9" s="90" t="str">
        <f>Summary!P$1</f>
        <v/>
      </c>
      <c r="H9" s="79">
        <f>IF($G9&lt;&gt;"",INDEX(Data!$G:$G,MATCH($G9,Data!$D:$D,0)),0)</f>
        <v>0</v>
      </c>
      <c r="I9" s="80">
        <f t="shared" si="2"/>
        <v>0</v>
      </c>
      <c r="J9" s="81">
        <f>IF($G9&lt;&gt;"",INDEX(Data!$M:$M,MATCH($G9,Data!$D:$D,0)),0)</f>
        <v>0</v>
      </c>
      <c r="K9" s="91">
        <f t="shared" si="0"/>
        <v>0</v>
      </c>
      <c r="L9" s="82">
        <f>IF($G9&lt;&gt;"",INDEX(Deltas!$E:$E,MATCH($G9,Deltas!$B:$B,0)),0)</f>
        <v>0</v>
      </c>
      <c r="M9" s="92">
        <f t="shared" si="1"/>
        <v>0</v>
      </c>
      <c r="N9" s="93">
        <f>ABS(PRODUCT($H9:$J9,$L9))/Summary!$B$4*$O$53</f>
        <v>0</v>
      </c>
      <c r="O9" s="83">
        <v>1</v>
      </c>
    </row>
    <row r="10" spans="1:15" x14ac:dyDescent="0.25">
      <c r="A10" s="64" t="s">
        <v>96</v>
      </c>
      <c r="B10" s="99" t="s">
        <v>97</v>
      </c>
      <c r="C10" s="112">
        <f>IF(C2=0,1,C5/C2)</f>
        <v>5.906179617081853</v>
      </c>
      <c r="D10" s="112">
        <f>D5-D2</f>
        <v>0.66068924093952941</v>
      </c>
      <c r="E10" s="64" t="s">
        <v>98</v>
      </c>
      <c r="G10" s="90" t="str">
        <f>Summary!Q$1</f>
        <v/>
      </c>
      <c r="H10" s="79">
        <f>IF($G10&lt;&gt;"",INDEX(Data!$G:$G,MATCH($G10,Data!$D:$D,0)),0)</f>
        <v>0</v>
      </c>
      <c r="I10" s="80">
        <f t="shared" si="2"/>
        <v>0</v>
      </c>
      <c r="J10" s="81">
        <f>IF($G10&lt;&gt;"",INDEX(Data!$M:$M,MATCH($G10,Data!$D:$D,0)),0)</f>
        <v>0</v>
      </c>
      <c r="K10" s="91">
        <f t="shared" si="0"/>
        <v>0</v>
      </c>
      <c r="L10" s="82">
        <f>IF($G10&lt;&gt;"",INDEX(Deltas!$E:$E,MATCH($G10,Deltas!$B:$B,0)),0)</f>
        <v>0</v>
      </c>
      <c r="M10" s="92">
        <f t="shared" si="1"/>
        <v>0</v>
      </c>
      <c r="N10" s="93">
        <f>ABS(PRODUCT($H10:$J10,$L10))/Summary!$B$4*$O$53</f>
        <v>0</v>
      </c>
      <c r="O10" s="83">
        <v>1</v>
      </c>
    </row>
    <row r="11" spans="1:15" x14ac:dyDescent="0.25">
      <c r="A11" s="64" t="s">
        <v>96</v>
      </c>
      <c r="B11" s="99" t="s">
        <v>99</v>
      </c>
      <c r="C11" s="103">
        <f>IF(C3=0,1,C5/C3)</f>
        <v>5.906179617081853</v>
      </c>
      <c r="D11" s="103">
        <f>D5-D3</f>
        <v>0.66068924093952941</v>
      </c>
      <c r="E11" s="64" t="s">
        <v>100</v>
      </c>
      <c r="G11" s="90" t="str">
        <f>Summary!R$1</f>
        <v/>
      </c>
      <c r="H11" s="79">
        <f>IF($G11&lt;&gt;"",INDEX(Data!$G:$G,MATCH($G11,Data!$D:$D,0)),0)</f>
        <v>0</v>
      </c>
      <c r="I11" s="80">
        <f t="shared" si="2"/>
        <v>0</v>
      </c>
      <c r="J11" s="81">
        <f>IF($G11&lt;&gt;"",INDEX(Data!$M:$M,MATCH($G11,Data!$D:$D,0)),0)</f>
        <v>0</v>
      </c>
      <c r="K11" s="91">
        <f t="shared" si="0"/>
        <v>0</v>
      </c>
      <c r="L11" s="82">
        <f>IF($G11&lt;&gt;"",INDEX(Deltas!$E:$E,MATCH($G11,Deltas!$B:$B,0)),0)</f>
        <v>0</v>
      </c>
      <c r="M11" s="92">
        <f t="shared" si="1"/>
        <v>0</v>
      </c>
      <c r="N11" s="93">
        <f>ABS(PRODUCT($H11:$J11,$L11))/Summary!$B$4*$O$53</f>
        <v>0</v>
      </c>
      <c r="O11" s="83">
        <v>1</v>
      </c>
    </row>
    <row r="12" spans="1:15" x14ac:dyDescent="0.25">
      <c r="G12" s="90" t="str">
        <f>Summary!S$1</f>
        <v/>
      </c>
      <c r="H12" s="79">
        <f>IF($G12&lt;&gt;"",INDEX(Data!$G:$G,MATCH($G12,Data!$D:$D,0)),0)</f>
        <v>0</v>
      </c>
      <c r="I12" s="80">
        <f t="shared" si="2"/>
        <v>0</v>
      </c>
      <c r="J12" s="81">
        <f>IF($G12&lt;&gt;"",INDEX(Data!$M:$M,MATCH($G12,Data!$D:$D,0)),0)</f>
        <v>0</v>
      </c>
      <c r="K12" s="91">
        <f t="shared" si="0"/>
        <v>0</v>
      </c>
      <c r="L12" s="82">
        <f>IF($G12&lt;&gt;"",INDEX(Deltas!$E:$E,MATCH($G12,Deltas!$B:$B,0)),0)</f>
        <v>0</v>
      </c>
      <c r="M12" s="92">
        <f t="shared" si="1"/>
        <v>0</v>
      </c>
      <c r="N12" s="93">
        <f>ABS(PRODUCT($H12:$J12,$L12))/Summary!$B$4*$O$53</f>
        <v>0</v>
      </c>
      <c r="O12" s="83">
        <v>1</v>
      </c>
    </row>
    <row r="13" spans="1:15" x14ac:dyDescent="0.25">
      <c r="G13" s="90" t="str">
        <f>Summary!T$1</f>
        <v/>
      </c>
      <c r="H13" s="79">
        <f>IF($G13&lt;&gt;"",INDEX(Data!$G:$G,MATCH($G13,Data!$D:$D,0)),0)</f>
        <v>0</v>
      </c>
      <c r="I13" s="80">
        <f t="shared" si="2"/>
        <v>0</v>
      </c>
      <c r="J13" s="81">
        <f>IF($G13&lt;&gt;"",INDEX(Data!$M:$M,MATCH($G13,Data!$D:$D,0)),0)</f>
        <v>0</v>
      </c>
      <c r="K13" s="91">
        <f t="shared" si="0"/>
        <v>0</v>
      </c>
      <c r="L13" s="82">
        <f>IF($G13&lt;&gt;"",INDEX(Deltas!$E:$E,MATCH($G13,Deltas!$B:$B,0)),0)</f>
        <v>0</v>
      </c>
      <c r="M13" s="92">
        <f t="shared" si="1"/>
        <v>0</v>
      </c>
      <c r="N13" s="93">
        <f>ABS(PRODUCT($H13:$J13,$L13))/Summary!$B$4*$O$53</f>
        <v>0</v>
      </c>
      <c r="O13" s="83">
        <v>1</v>
      </c>
    </row>
    <row r="14" spans="1:15" x14ac:dyDescent="0.25">
      <c r="G14" s="90" t="str">
        <f>Summary!U$1</f>
        <v/>
      </c>
      <c r="H14" s="79">
        <f>IF($G14&lt;&gt;"",INDEX(Data!$G:$G,MATCH($G14,Data!$D:$D,0)),0)</f>
        <v>0</v>
      </c>
      <c r="I14" s="80">
        <f t="shared" si="2"/>
        <v>0</v>
      </c>
      <c r="J14" s="81">
        <f>IF($G14&lt;&gt;"",INDEX(Data!$M:$M,MATCH($G14,Data!$D:$D,0)),0)</f>
        <v>0</v>
      </c>
      <c r="K14" s="91">
        <f t="shared" si="0"/>
        <v>0</v>
      </c>
      <c r="L14" s="82">
        <f>IF($G14&lt;&gt;"",INDEX(Deltas!$E:$E,MATCH($G14,Deltas!$B:$B,0)),0)</f>
        <v>0</v>
      </c>
      <c r="M14" s="92">
        <f t="shared" si="1"/>
        <v>0</v>
      </c>
      <c r="N14" s="93">
        <f>ABS(PRODUCT($H14:$J14,$L14))/Summary!$B$4*$O$53</f>
        <v>0</v>
      </c>
      <c r="O14" s="83">
        <v>1</v>
      </c>
    </row>
    <row r="15" spans="1:15" x14ac:dyDescent="0.25">
      <c r="G15" s="90" t="str">
        <f>Summary!V$1</f>
        <v/>
      </c>
      <c r="H15" s="79">
        <f>IF($G15&lt;&gt;"",INDEX(Data!$G:$G,MATCH($G15,Data!$D:$D,0)),0)</f>
        <v>0</v>
      </c>
      <c r="I15" s="80">
        <f t="shared" si="2"/>
        <v>0</v>
      </c>
      <c r="J15" s="81">
        <f>IF($G15&lt;&gt;"",INDEX(Data!$M:$M,MATCH($G15,Data!$D:$D,0)),0)</f>
        <v>0</v>
      </c>
      <c r="K15" s="91">
        <f t="shared" si="0"/>
        <v>0</v>
      </c>
      <c r="L15" s="82">
        <f>IF($G15&lt;&gt;"",INDEX(Deltas!$E:$E,MATCH($G15,Deltas!$B:$B,0)),0)</f>
        <v>0</v>
      </c>
      <c r="M15" s="92">
        <f t="shared" si="1"/>
        <v>0</v>
      </c>
      <c r="N15" s="93">
        <f>ABS(PRODUCT($H15:$J15,$L15))/Summary!$B$4*$O$53</f>
        <v>0</v>
      </c>
      <c r="O15" s="83">
        <v>1</v>
      </c>
    </row>
    <row r="16" spans="1:15" x14ac:dyDescent="0.25">
      <c r="G16" s="90" t="str">
        <f>Summary!W$1</f>
        <v/>
      </c>
      <c r="H16" s="79">
        <f>IF($G16&lt;&gt;"",INDEX(Data!$G:$G,MATCH($G16,Data!$D:$D,0)),0)</f>
        <v>0</v>
      </c>
      <c r="I16" s="80">
        <f t="shared" si="2"/>
        <v>0</v>
      </c>
      <c r="J16" s="81">
        <f>IF($G16&lt;&gt;"",INDEX(Data!$M:$M,MATCH($G16,Data!$D:$D,0)),0)</f>
        <v>0</v>
      </c>
      <c r="K16" s="91">
        <f t="shared" si="0"/>
        <v>0</v>
      </c>
      <c r="L16" s="82">
        <f>IF($G16&lt;&gt;"",INDEX(Deltas!$E:$E,MATCH($G16,Deltas!$B:$B,0)),0)</f>
        <v>0</v>
      </c>
      <c r="M16" s="92">
        <f t="shared" si="1"/>
        <v>0</v>
      </c>
      <c r="N16" s="93">
        <f>ABS(PRODUCT($H16:$J16,$L16))/Summary!$B$4*$O$53</f>
        <v>0</v>
      </c>
      <c r="O16" s="83">
        <v>1</v>
      </c>
    </row>
    <row r="17" spans="7:16" x14ac:dyDescent="0.25">
      <c r="G17" s="90" t="str">
        <f>Summary!X$1</f>
        <v/>
      </c>
      <c r="H17" s="79">
        <f>IF($G17&lt;&gt;"",INDEX(Data!$G:$G,MATCH($G17,Data!$D:$D,0)),0)</f>
        <v>0</v>
      </c>
      <c r="I17" s="80">
        <f t="shared" si="2"/>
        <v>0</v>
      </c>
      <c r="J17" s="81">
        <f>IF($G17&lt;&gt;"",INDEX(Data!$M:$M,MATCH($G17,Data!$D:$D,0)),0)</f>
        <v>0</v>
      </c>
      <c r="K17" s="91">
        <f t="shared" si="0"/>
        <v>0</v>
      </c>
      <c r="L17" s="82">
        <f>IF($G17&lt;&gt;"",INDEX(Deltas!$E:$E,MATCH($G17,Deltas!$B:$B,0)),0)</f>
        <v>0</v>
      </c>
      <c r="M17" s="92">
        <f t="shared" si="1"/>
        <v>0</v>
      </c>
      <c r="N17" s="93">
        <f>ABS(PRODUCT($H17:$J17,$L17))/Summary!$B$4*$O$53</f>
        <v>0</v>
      </c>
      <c r="O17" s="83">
        <v>1</v>
      </c>
    </row>
    <row r="18" spans="7:16" x14ac:dyDescent="0.25">
      <c r="G18" s="38" t="str">
        <f>"Swaps ("&amp;COUNTIF(Data!$C:$C,"Swaps")&amp;")"</f>
        <v>Swaps (6)</v>
      </c>
      <c r="H18" s="84"/>
      <c r="I18" s="85"/>
      <c r="J18" s="86"/>
      <c r="K18" s="95"/>
      <c r="L18" s="87"/>
      <c r="M18" s="96"/>
      <c r="N18" s="97"/>
      <c r="O18" s="88"/>
      <c r="P18" s="88"/>
    </row>
    <row r="19" spans="7:16" x14ac:dyDescent="0.25">
      <c r="G19" s="90" t="str">
        <f>Summary!I$16</f>
        <v/>
      </c>
      <c r="H19" s="89">
        <f>IF($G19&lt;&gt;"",INDEX(Data!$G:$G,MATCH($G19,Data!$D:$D,0)),0)</f>
        <v>0</v>
      </c>
      <c r="I19" s="80">
        <f>IF($G19&lt;&gt;"",1,0)</f>
        <v>0</v>
      </c>
      <c r="J19" s="81">
        <f>IF($G19&lt;&gt;"",INDEX(Data!$M:$M,MATCH($G19,Data!$D:$D,0)),0)/100</f>
        <v>0</v>
      </c>
      <c r="K19" s="91">
        <f t="shared" ref="K19:K34" si="3">PRODUCT($H19,$J19)*$O$53</f>
        <v>0</v>
      </c>
      <c r="L19" s="82">
        <f>IF($G19&lt;&gt;"",1,0)</f>
        <v>0</v>
      </c>
      <c r="M19" s="92">
        <f>PRODUCT($H19,$J19,$L19)</f>
        <v>0</v>
      </c>
      <c r="N19" s="93">
        <f>ABS(PRODUCT($H19:$J19,$L19))/Summary!$B$4*$O$53</f>
        <v>0</v>
      </c>
      <c r="O19" s="83">
        <v>1</v>
      </c>
    </row>
    <row r="20" spans="7:16" x14ac:dyDescent="0.25">
      <c r="G20" s="90" t="str">
        <f>Summary!J$16</f>
        <v/>
      </c>
      <c r="H20" s="79">
        <f>IF($G20&lt;&gt;"",INDEX(Data!$G:$G,MATCH($G20,Data!$D:$D,0)),0)</f>
        <v>0</v>
      </c>
      <c r="I20" s="80">
        <f t="shared" ref="I20:I34" si="4">IF($G20&lt;&gt;"",1,0)</f>
        <v>0</v>
      </c>
      <c r="J20" s="81">
        <f>IF($G20&lt;&gt;"",INDEX(Data!$M:$M,MATCH($G20,Data!$D:$D,0)),0)/100</f>
        <v>0</v>
      </c>
      <c r="K20" s="91">
        <f t="shared" si="3"/>
        <v>0</v>
      </c>
      <c r="L20" s="82">
        <f t="shared" ref="L20:L34" si="5">IF($G20&lt;&gt;"",1,0)</f>
        <v>0</v>
      </c>
      <c r="M20" s="92">
        <f>PRODUCT($H20,$J20,$L20)</f>
        <v>0</v>
      </c>
      <c r="N20" s="93">
        <f>ABS(PRODUCT($H20:$J20,$L20))/Summary!$B$4*$O$53</f>
        <v>0</v>
      </c>
      <c r="O20" s="83">
        <v>1</v>
      </c>
    </row>
    <row r="21" spans="7:16" x14ac:dyDescent="0.25">
      <c r="G21" s="90" t="str">
        <f>Summary!K$16</f>
        <v/>
      </c>
      <c r="H21" s="79">
        <f>IF($G21&lt;&gt;"",INDEX(Data!$G:$G,MATCH($G21,Data!$D:$D,0)),0)</f>
        <v>0</v>
      </c>
      <c r="I21" s="80">
        <f t="shared" si="4"/>
        <v>0</v>
      </c>
      <c r="J21" s="81">
        <f>IF($G21&lt;&gt;"",INDEX(Data!$M:$M,MATCH($G21,Data!$D:$D,0)),0)/100</f>
        <v>0</v>
      </c>
      <c r="K21" s="91">
        <f t="shared" si="3"/>
        <v>0</v>
      </c>
      <c r="L21" s="82">
        <f t="shared" si="5"/>
        <v>0</v>
      </c>
      <c r="M21" s="92">
        <f>PRODUCT($H21,$J21,$L21)</f>
        <v>0</v>
      </c>
      <c r="N21" s="93">
        <f>ABS(PRODUCT($H21:$J21,$L21))/Summary!$B$4*$O$53</f>
        <v>0</v>
      </c>
      <c r="O21" s="83">
        <v>1</v>
      </c>
    </row>
    <row r="22" spans="7:16" x14ac:dyDescent="0.25">
      <c r="G22" s="90" t="str">
        <f>Summary!L$16</f>
        <v/>
      </c>
      <c r="H22" s="79">
        <f>IF($G22&lt;&gt;"",INDEX(Data!$G:$G,MATCH($G22,Data!$D:$D,0)),0)</f>
        <v>0</v>
      </c>
      <c r="I22" s="80">
        <f t="shared" si="4"/>
        <v>0</v>
      </c>
      <c r="J22" s="81">
        <f>IF($G22&lt;&gt;"",INDEX(Data!$M:$M,MATCH($G22,Data!$D:$D,0)),0)/100</f>
        <v>0</v>
      </c>
      <c r="K22" s="91">
        <f t="shared" si="3"/>
        <v>0</v>
      </c>
      <c r="L22" s="82">
        <f t="shared" si="5"/>
        <v>0</v>
      </c>
      <c r="M22" s="92">
        <f t="shared" ref="M22:M34" si="6">PRODUCT($H22:$J22,$L22)</f>
        <v>0</v>
      </c>
      <c r="N22" s="93">
        <f>ABS(PRODUCT($H22:$J22,$L22))/Summary!$B$4*$O$53</f>
        <v>0</v>
      </c>
      <c r="O22" s="83">
        <v>1</v>
      </c>
    </row>
    <row r="23" spans="7:16" x14ac:dyDescent="0.25">
      <c r="G23" s="90" t="str">
        <f>Summary!M$16</f>
        <v/>
      </c>
      <c r="H23" s="79">
        <f>IF($G23&lt;&gt;"",INDEX(Data!$G:$G,MATCH($G23,Data!$D:$D,0)),0)</f>
        <v>0</v>
      </c>
      <c r="I23" s="80">
        <f t="shared" si="4"/>
        <v>0</v>
      </c>
      <c r="J23" s="81">
        <f>IF($G23&lt;&gt;"",INDEX(Data!$M:$M,MATCH($G23,Data!$D:$D,0)),0)/100</f>
        <v>0</v>
      </c>
      <c r="K23" s="91">
        <f t="shared" si="3"/>
        <v>0</v>
      </c>
      <c r="L23" s="82">
        <f t="shared" si="5"/>
        <v>0</v>
      </c>
      <c r="M23" s="92">
        <f t="shared" si="6"/>
        <v>0</v>
      </c>
      <c r="N23" s="93">
        <f>ABS(PRODUCT($H23:$J23,$L23))/Summary!$B$4*$O$53</f>
        <v>0</v>
      </c>
      <c r="O23" s="83">
        <v>1</v>
      </c>
    </row>
    <row r="24" spans="7:16" x14ac:dyDescent="0.25">
      <c r="G24" s="90" t="str">
        <f>Summary!N$16</f>
        <v/>
      </c>
      <c r="H24" s="79">
        <f>IF($G24&lt;&gt;"",INDEX(Data!$G:$G,MATCH($G24,Data!$D:$D,0)),0)</f>
        <v>0</v>
      </c>
      <c r="I24" s="80">
        <f t="shared" si="4"/>
        <v>0</v>
      </c>
      <c r="J24" s="81">
        <f>IF($G24&lt;&gt;"",INDEX(Data!$M:$M,MATCH($G24,Data!$D:$D,0)),0)/100</f>
        <v>0</v>
      </c>
      <c r="K24" s="91">
        <f t="shared" si="3"/>
        <v>0</v>
      </c>
      <c r="L24" s="82">
        <f t="shared" si="5"/>
        <v>0</v>
      </c>
      <c r="M24" s="92">
        <f t="shared" si="6"/>
        <v>0</v>
      </c>
      <c r="N24" s="93">
        <f>ABS(PRODUCT($H24:$J24,$L24))/Summary!$B$4*$O$53</f>
        <v>0</v>
      </c>
      <c r="O24" s="83">
        <v>1</v>
      </c>
    </row>
    <row r="25" spans="7:16" x14ac:dyDescent="0.25">
      <c r="G25" s="90" t="str">
        <f>Summary!O$16</f>
        <v/>
      </c>
      <c r="H25" s="79">
        <f>IF($G25&lt;&gt;"",INDEX(Data!$G:$G,MATCH($G25,Data!$D:$D,0)),0)</f>
        <v>0</v>
      </c>
      <c r="I25" s="80">
        <f t="shared" si="4"/>
        <v>0</v>
      </c>
      <c r="J25" s="81">
        <f>IF($G25&lt;&gt;"",INDEX(Data!$M:$M,MATCH($G25,Data!$D:$D,0)),0)/100</f>
        <v>0</v>
      </c>
      <c r="K25" s="91">
        <f t="shared" si="3"/>
        <v>0</v>
      </c>
      <c r="L25" s="82">
        <f t="shared" si="5"/>
        <v>0</v>
      </c>
      <c r="M25" s="92">
        <f t="shared" si="6"/>
        <v>0</v>
      </c>
      <c r="N25" s="93">
        <f>ABS(PRODUCT($H25:$J25,$L25))/Summary!$B$4*$O$53</f>
        <v>0</v>
      </c>
      <c r="O25" s="83">
        <v>1</v>
      </c>
    </row>
    <row r="26" spans="7:16" x14ac:dyDescent="0.25">
      <c r="G26" s="90" t="str">
        <f>Summary!P$16</f>
        <v/>
      </c>
      <c r="H26" s="79">
        <f>IF($G26&lt;&gt;"",INDEX(Data!$G:$G,MATCH($G26,Data!$D:$D,0)),0)</f>
        <v>0</v>
      </c>
      <c r="I26" s="80">
        <f t="shared" si="4"/>
        <v>0</v>
      </c>
      <c r="J26" s="81">
        <f>IF($G26&lt;&gt;"",INDEX(Data!$M:$M,MATCH($G26,Data!$D:$D,0)),0)/100</f>
        <v>0</v>
      </c>
      <c r="K26" s="91">
        <f t="shared" si="3"/>
        <v>0</v>
      </c>
      <c r="L26" s="82">
        <f t="shared" si="5"/>
        <v>0</v>
      </c>
      <c r="M26" s="92">
        <f t="shared" si="6"/>
        <v>0</v>
      </c>
      <c r="N26" s="93">
        <f>ABS(PRODUCT($H26:$J26,$L26))/Summary!$B$4*$O$53</f>
        <v>0</v>
      </c>
      <c r="O26" s="83">
        <v>1</v>
      </c>
    </row>
    <row r="27" spans="7:16" x14ac:dyDescent="0.25">
      <c r="G27" s="90" t="str">
        <f>Summary!Q$16</f>
        <v/>
      </c>
      <c r="H27" s="79">
        <f>IF($G27&lt;&gt;"",INDEX(Data!$G:$G,MATCH($G27,Data!$D:$D,0)),0)</f>
        <v>0</v>
      </c>
      <c r="I27" s="80">
        <f t="shared" si="4"/>
        <v>0</v>
      </c>
      <c r="J27" s="81">
        <f>IF($G27&lt;&gt;"",INDEX(Data!$M:$M,MATCH($G27,Data!$D:$D,0)),0)/100</f>
        <v>0</v>
      </c>
      <c r="K27" s="91">
        <f t="shared" si="3"/>
        <v>0</v>
      </c>
      <c r="L27" s="82">
        <f t="shared" si="5"/>
        <v>0</v>
      </c>
      <c r="M27" s="92">
        <f t="shared" si="6"/>
        <v>0</v>
      </c>
      <c r="N27" s="93">
        <f>ABS(PRODUCT($H27:$J27,$L27))/Summary!$B$4*$O$53</f>
        <v>0</v>
      </c>
      <c r="O27" s="83">
        <v>1</v>
      </c>
    </row>
    <row r="28" spans="7:16" x14ac:dyDescent="0.25">
      <c r="G28" s="90" t="str">
        <f>Summary!R$16</f>
        <v/>
      </c>
      <c r="H28" s="79">
        <f>IF($G28&lt;&gt;"",INDEX(Data!$G:$G,MATCH($G28,Data!$D:$D,0)),0)</f>
        <v>0</v>
      </c>
      <c r="I28" s="80">
        <f t="shared" si="4"/>
        <v>0</v>
      </c>
      <c r="J28" s="81">
        <f>IF($G28&lt;&gt;"",INDEX(Data!$M:$M,MATCH($G28,Data!$D:$D,0)),0)/100</f>
        <v>0</v>
      </c>
      <c r="K28" s="91">
        <f t="shared" si="3"/>
        <v>0</v>
      </c>
      <c r="L28" s="82">
        <f t="shared" si="5"/>
        <v>0</v>
      </c>
      <c r="M28" s="92">
        <f t="shared" si="6"/>
        <v>0</v>
      </c>
      <c r="N28" s="93">
        <f>ABS(PRODUCT($H28:$J28,$L28))/Summary!$B$4*$O$53</f>
        <v>0</v>
      </c>
      <c r="O28" s="83">
        <v>1</v>
      </c>
    </row>
    <row r="29" spans="7:16" x14ac:dyDescent="0.25">
      <c r="G29" s="90" t="str">
        <f>Summary!S$16</f>
        <v/>
      </c>
      <c r="H29" s="79">
        <f>IF($G29&lt;&gt;"",INDEX(Data!$G:$G,MATCH($G29,Data!$D:$D,0)),0)</f>
        <v>0</v>
      </c>
      <c r="I29" s="80">
        <f t="shared" si="4"/>
        <v>0</v>
      </c>
      <c r="J29" s="81">
        <f>IF($G29&lt;&gt;"",INDEX(Data!$M:$M,MATCH($G29,Data!$D:$D,0)),0)/100</f>
        <v>0</v>
      </c>
      <c r="K29" s="91">
        <f t="shared" si="3"/>
        <v>0</v>
      </c>
      <c r="L29" s="82">
        <f t="shared" si="5"/>
        <v>0</v>
      </c>
      <c r="M29" s="92">
        <f t="shared" si="6"/>
        <v>0</v>
      </c>
      <c r="N29" s="93">
        <f>ABS(PRODUCT($H29:$J29,$L29))/Summary!$B$4*$O$53</f>
        <v>0</v>
      </c>
      <c r="O29" s="83">
        <v>1</v>
      </c>
    </row>
    <row r="30" spans="7:16" x14ac:dyDescent="0.25">
      <c r="G30" s="90" t="str">
        <f>Summary!T$16</f>
        <v/>
      </c>
      <c r="H30" s="79">
        <f>IF($G30&lt;&gt;"",INDEX(Data!$G:$G,MATCH($G30,Data!$D:$D,0)),0)</f>
        <v>0</v>
      </c>
      <c r="I30" s="80">
        <f t="shared" si="4"/>
        <v>0</v>
      </c>
      <c r="J30" s="81">
        <f>IF($G30&lt;&gt;"",INDEX(Data!$M:$M,MATCH($G30,Data!$D:$D,0)),0)/100</f>
        <v>0</v>
      </c>
      <c r="K30" s="91">
        <f t="shared" si="3"/>
        <v>0</v>
      </c>
      <c r="L30" s="82">
        <f t="shared" si="5"/>
        <v>0</v>
      </c>
      <c r="M30" s="92">
        <f t="shared" si="6"/>
        <v>0</v>
      </c>
      <c r="N30" s="93">
        <f>ABS(PRODUCT($H30:$J30,$L30))/Summary!$B$4*$O$53</f>
        <v>0</v>
      </c>
      <c r="O30" s="83">
        <v>1</v>
      </c>
    </row>
    <row r="31" spans="7:16" x14ac:dyDescent="0.25">
      <c r="G31" s="90" t="str">
        <f>Summary!U$16</f>
        <v/>
      </c>
      <c r="H31" s="79">
        <f>IF($G31&lt;&gt;"",INDEX(Data!$G:$G,MATCH($G31,Data!$D:$D,0)),0)</f>
        <v>0</v>
      </c>
      <c r="I31" s="80">
        <f t="shared" si="4"/>
        <v>0</v>
      </c>
      <c r="J31" s="81">
        <f>IF($G31&lt;&gt;"",INDEX(Data!$M:$M,MATCH($G31,Data!$D:$D,0)),0)/100</f>
        <v>0</v>
      </c>
      <c r="K31" s="91">
        <f t="shared" si="3"/>
        <v>0</v>
      </c>
      <c r="L31" s="82">
        <f t="shared" si="5"/>
        <v>0</v>
      </c>
      <c r="M31" s="92">
        <f t="shared" si="6"/>
        <v>0</v>
      </c>
      <c r="N31" s="93">
        <f>ABS(PRODUCT($H31:$J31,$L31))/Summary!$B$4*$O$53</f>
        <v>0</v>
      </c>
      <c r="O31" s="83">
        <v>1</v>
      </c>
    </row>
    <row r="32" spans="7:16" x14ac:dyDescent="0.25">
      <c r="G32" s="90" t="str">
        <f>Summary!V$16</f>
        <v/>
      </c>
      <c r="H32" s="79">
        <f>IF($G32&lt;&gt;"",INDEX(Data!$G:$G,MATCH($G32,Data!$D:$D,0)),0)</f>
        <v>0</v>
      </c>
      <c r="I32" s="80">
        <f t="shared" si="4"/>
        <v>0</v>
      </c>
      <c r="J32" s="81">
        <f>IF($G32&lt;&gt;"",INDEX(Data!$M:$M,MATCH($G32,Data!$D:$D,0)),0)/100</f>
        <v>0</v>
      </c>
      <c r="K32" s="91">
        <f t="shared" si="3"/>
        <v>0</v>
      </c>
      <c r="L32" s="82">
        <f t="shared" si="5"/>
        <v>0</v>
      </c>
      <c r="M32" s="92">
        <f t="shared" si="6"/>
        <v>0</v>
      </c>
      <c r="N32" s="93">
        <f>ABS(PRODUCT($H32:$J32,$L32))/Summary!$B$4*$O$53</f>
        <v>0</v>
      </c>
      <c r="O32" s="83">
        <v>1</v>
      </c>
    </row>
    <row r="33" spans="7:15" x14ac:dyDescent="0.25">
      <c r="G33" s="90" t="str">
        <f>Summary!W$16</f>
        <v/>
      </c>
      <c r="H33" s="79">
        <f>IF($G33&lt;&gt;"",INDEX(Data!$G:$G,MATCH($G33,Data!$D:$D,0)),0)</f>
        <v>0</v>
      </c>
      <c r="I33" s="80">
        <f t="shared" si="4"/>
        <v>0</v>
      </c>
      <c r="J33" s="81">
        <f>IF($G33&lt;&gt;"",INDEX(Data!$M:$M,MATCH($G33,Data!$D:$D,0)),0)/100</f>
        <v>0</v>
      </c>
      <c r="K33" s="91">
        <f t="shared" si="3"/>
        <v>0</v>
      </c>
      <c r="L33" s="82">
        <f t="shared" si="5"/>
        <v>0</v>
      </c>
      <c r="M33" s="92">
        <f t="shared" si="6"/>
        <v>0</v>
      </c>
      <c r="N33" s="93">
        <f>ABS(PRODUCT($H33:$J33,$L33))/Summary!$B$4*$O$53</f>
        <v>0</v>
      </c>
      <c r="O33" s="83">
        <v>1</v>
      </c>
    </row>
    <row r="34" spans="7:15" x14ac:dyDescent="0.25">
      <c r="G34" s="90" t="str">
        <f>Summary!X$16</f>
        <v/>
      </c>
      <c r="H34" s="79">
        <f>IF($G34&lt;&gt;"",INDEX(Data!$G:$G,MATCH($G34,Data!$D:$D,0)),0)</f>
        <v>0</v>
      </c>
      <c r="I34" s="80">
        <f t="shared" si="4"/>
        <v>0</v>
      </c>
      <c r="J34" s="81">
        <f>IF($G34&lt;&gt;"",INDEX(Data!$M:$M,MATCH($G34,Data!$D:$D,0)),0)/100</f>
        <v>0</v>
      </c>
      <c r="K34" s="91">
        <f t="shared" si="3"/>
        <v>0</v>
      </c>
      <c r="L34" s="82">
        <f t="shared" si="5"/>
        <v>0</v>
      </c>
      <c r="M34" s="92">
        <f t="shared" si="6"/>
        <v>0</v>
      </c>
      <c r="N34" s="93">
        <f>ABS(PRODUCT($H34:$J34,$L34))/Summary!$B$4*$O$53</f>
        <v>0</v>
      </c>
      <c r="O34" s="83">
        <v>1</v>
      </c>
    </row>
    <row r="35" spans="7:15" x14ac:dyDescent="0.25">
      <c r="G35" s="38" t="str">
        <f>"Bond Derivatives ("&amp;COUNTIF(Data!$C:$C,"Bond Derivatives")&amp;")"</f>
        <v>Bond Derivatives (0)</v>
      </c>
    </row>
    <row r="36" spans="7:15" x14ac:dyDescent="0.25">
      <c r="G36" s="90" t="str">
        <f>Summary!I$7</f>
        <v/>
      </c>
      <c r="H36" s="79">
        <f>IF($G36&lt;&gt;"",INDEX(Data!$G:$G,MATCH($G36,Data!$D:$D,0)),0)</f>
        <v>0</v>
      </c>
      <c r="I36" s="80">
        <f>IF($G36&lt;&gt;"",10,0)</f>
        <v>0</v>
      </c>
      <c r="J36" s="81">
        <f>IF($G36&lt;&gt;"",INDEX(Data!$M:$M,MATCH($G36,Data!$D:$D,0)),0)</f>
        <v>0</v>
      </c>
      <c r="K36" s="91">
        <f t="shared" ref="K36:K51" si="7">PRODUCT($H36:$J36)*$O$53</f>
        <v>0</v>
      </c>
      <c r="L36" s="82">
        <f>IF($G36&lt;&gt;"",INDEX(Deltas!$E:$E,MATCH($G36,Deltas!$B:$B,0)),0)</f>
        <v>0</v>
      </c>
      <c r="M36" s="92">
        <f t="shared" ref="M36:M51" si="8">PRODUCT($H36:$J36,$L36)*$O$53</f>
        <v>0</v>
      </c>
      <c r="N36" s="93">
        <f>ABS(PRODUCT($H36:$J36,$L36))/Summary!$B$4*$O$53</f>
        <v>0</v>
      </c>
      <c r="O36" s="83">
        <v>1</v>
      </c>
    </row>
    <row r="37" spans="7:15" x14ac:dyDescent="0.25">
      <c r="G37" s="90" t="str">
        <f>Summary!J$7</f>
        <v/>
      </c>
      <c r="H37" s="79">
        <f>IF($G37&lt;&gt;"",INDEX(Data!$G:$G,MATCH($G37,Data!$D:$D,0)),0)</f>
        <v>0</v>
      </c>
      <c r="I37" s="80">
        <f t="shared" ref="I37:I51" si="9">IF($G37&lt;&gt;"",10,0)</f>
        <v>0</v>
      </c>
      <c r="J37" s="81">
        <f>IF($G37&lt;&gt;"",INDEX(Data!$M:$M,MATCH($G37,Data!$D:$D,0)),0)</f>
        <v>0</v>
      </c>
      <c r="K37" s="91">
        <f t="shared" si="7"/>
        <v>0</v>
      </c>
      <c r="L37" s="82">
        <f>IF($G37&lt;&gt;"",INDEX(Deltas!$E:$E,MATCH($G37,Deltas!$B:$B,0)),0)</f>
        <v>0</v>
      </c>
      <c r="M37" s="92">
        <f t="shared" si="8"/>
        <v>0</v>
      </c>
      <c r="N37" s="93">
        <f>ABS(PRODUCT($H37:$J37,$L37))/Summary!$B$4*$O$53</f>
        <v>0</v>
      </c>
      <c r="O37" s="83">
        <v>1</v>
      </c>
    </row>
    <row r="38" spans="7:15" x14ac:dyDescent="0.25">
      <c r="G38" s="90" t="str">
        <f>Summary!K$7</f>
        <v/>
      </c>
      <c r="H38" s="79">
        <f>IF($G38&lt;&gt;"",INDEX(Data!$G:$G,MATCH($G38,Data!$D:$D,0)),0)</f>
        <v>0</v>
      </c>
      <c r="I38" s="80">
        <f t="shared" si="9"/>
        <v>0</v>
      </c>
      <c r="J38" s="81">
        <f>IF($G38&lt;&gt;"",INDEX(Data!$M:$M,MATCH($G38,Data!$D:$D,0)),0)</f>
        <v>0</v>
      </c>
      <c r="K38" s="91">
        <f t="shared" si="7"/>
        <v>0</v>
      </c>
      <c r="L38" s="82">
        <f>IF($G38&lt;&gt;"",INDEX(Deltas!$E:$E,MATCH($G38,Deltas!$B:$B,0)),0)</f>
        <v>0</v>
      </c>
      <c r="M38" s="92">
        <f t="shared" si="8"/>
        <v>0</v>
      </c>
      <c r="N38" s="93">
        <f>ABS(PRODUCT($H38:$J38,$L38))/Summary!$B$4*$O$53</f>
        <v>0</v>
      </c>
      <c r="O38" s="83">
        <v>1</v>
      </c>
    </row>
    <row r="39" spans="7:15" x14ac:dyDescent="0.25">
      <c r="G39" s="90" t="str">
        <f>Summary!L$7</f>
        <v/>
      </c>
      <c r="H39" s="79">
        <f>IF($G39&lt;&gt;"",INDEX(Data!$G:$G,MATCH($G39,Data!$D:$D,0)),0)</f>
        <v>0</v>
      </c>
      <c r="I39" s="80">
        <f t="shared" si="9"/>
        <v>0</v>
      </c>
      <c r="J39" s="81">
        <f>IF($G39&lt;&gt;"",INDEX(Data!$M:$M,MATCH($G39,Data!$D:$D,0)),0)</f>
        <v>0</v>
      </c>
      <c r="K39" s="91">
        <f t="shared" si="7"/>
        <v>0</v>
      </c>
      <c r="L39" s="82">
        <f>IF($G39&lt;&gt;"",INDEX(Deltas!$E:$E,MATCH($G39,Deltas!$B:$B,0)),0)</f>
        <v>0</v>
      </c>
      <c r="M39" s="92">
        <f t="shared" si="8"/>
        <v>0</v>
      </c>
      <c r="N39" s="93">
        <f>ABS(PRODUCT($H39:$J39,$L39))/Summary!$B$4*$O$53</f>
        <v>0</v>
      </c>
      <c r="O39" s="83">
        <v>1</v>
      </c>
    </row>
    <row r="40" spans="7:15" x14ac:dyDescent="0.25">
      <c r="G40" s="90" t="str">
        <f>Summary!M$7</f>
        <v/>
      </c>
      <c r="H40" s="79">
        <f>IF($G40&lt;&gt;"",INDEX(Data!$G:$G,MATCH($G40,Data!$D:$D,0)),0)</f>
        <v>0</v>
      </c>
      <c r="I40" s="80">
        <f t="shared" si="9"/>
        <v>0</v>
      </c>
      <c r="J40" s="81">
        <f>IF($G40&lt;&gt;"",INDEX(Data!$M:$M,MATCH($G40,Data!$D:$D,0)),0)</f>
        <v>0</v>
      </c>
      <c r="K40" s="91">
        <f t="shared" si="7"/>
        <v>0</v>
      </c>
      <c r="L40" s="82">
        <f>IF($G40&lt;&gt;"",INDEX(Deltas!$E:$E,MATCH($G40,Deltas!$B:$B,0)),0)</f>
        <v>0</v>
      </c>
      <c r="M40" s="92">
        <f t="shared" si="8"/>
        <v>0</v>
      </c>
      <c r="N40" s="93">
        <f>ABS(PRODUCT($H40:$J40,$L40))/Summary!$B$4*$O$53</f>
        <v>0</v>
      </c>
      <c r="O40" s="83">
        <v>1</v>
      </c>
    </row>
    <row r="41" spans="7:15" x14ac:dyDescent="0.25">
      <c r="G41" s="90" t="str">
        <f>Summary!N$7</f>
        <v/>
      </c>
      <c r="H41" s="79">
        <f>IF($G41&lt;&gt;"",INDEX(Data!$G:$G,MATCH($G41,Data!$D:$D,0)),0)</f>
        <v>0</v>
      </c>
      <c r="I41" s="80">
        <f t="shared" si="9"/>
        <v>0</v>
      </c>
      <c r="J41" s="81">
        <f>IF($G41&lt;&gt;"",INDEX(Data!$M:$M,MATCH($G41,Data!$D:$D,0)),0)</f>
        <v>0</v>
      </c>
      <c r="K41" s="91">
        <f t="shared" si="7"/>
        <v>0</v>
      </c>
      <c r="L41" s="82">
        <f>IF($G41&lt;&gt;"",INDEX(Deltas!$E:$E,MATCH($G41,Deltas!$B:$B,0)),0)</f>
        <v>0</v>
      </c>
      <c r="M41" s="92">
        <f t="shared" si="8"/>
        <v>0</v>
      </c>
      <c r="N41" s="93">
        <f>ABS(PRODUCT($H41:$J41,$L41))/Summary!$B$4*$O$53</f>
        <v>0</v>
      </c>
      <c r="O41" s="83">
        <v>1</v>
      </c>
    </row>
    <row r="42" spans="7:15" x14ac:dyDescent="0.25">
      <c r="G42" s="90" t="str">
        <f>Summary!O$7</f>
        <v/>
      </c>
      <c r="H42" s="79">
        <f>IF($G42&lt;&gt;"",INDEX(Data!$G:$G,MATCH($G42,Data!$D:$D,0)),0)</f>
        <v>0</v>
      </c>
      <c r="I42" s="80">
        <f t="shared" si="9"/>
        <v>0</v>
      </c>
      <c r="J42" s="81">
        <f>IF($G42&lt;&gt;"",INDEX(Data!$M:$M,MATCH($G42,Data!$D:$D,0)),0)</f>
        <v>0</v>
      </c>
      <c r="K42" s="91">
        <f t="shared" si="7"/>
        <v>0</v>
      </c>
      <c r="L42" s="82">
        <f>IF($G42&lt;&gt;"",INDEX(Deltas!$E:$E,MATCH($G42,Deltas!$B:$B,0)),0)</f>
        <v>0</v>
      </c>
      <c r="M42" s="92">
        <f t="shared" si="8"/>
        <v>0</v>
      </c>
      <c r="N42" s="93">
        <f>ABS(PRODUCT($H42:$J42,$L42))/Summary!$B$4*$O$53</f>
        <v>0</v>
      </c>
      <c r="O42" s="83">
        <v>1</v>
      </c>
    </row>
    <row r="43" spans="7:15" x14ac:dyDescent="0.25">
      <c r="G43" s="90" t="str">
        <f>Summary!P$7</f>
        <v/>
      </c>
      <c r="H43" s="79">
        <f>IF($G43&lt;&gt;"",INDEX(Data!$G:$G,MATCH($G43,Data!$D:$D,0)),0)</f>
        <v>0</v>
      </c>
      <c r="I43" s="80">
        <f t="shared" si="9"/>
        <v>0</v>
      </c>
      <c r="J43" s="81">
        <f>IF($G43&lt;&gt;"",INDEX(Data!$M:$M,MATCH($G43,Data!$D:$D,0)),0)</f>
        <v>0</v>
      </c>
      <c r="K43" s="91">
        <f t="shared" si="7"/>
        <v>0</v>
      </c>
      <c r="L43" s="82">
        <f>IF($G43&lt;&gt;"",INDEX(Deltas!$E:$E,MATCH($G43,Deltas!$B:$B,0)),0)</f>
        <v>0</v>
      </c>
      <c r="M43" s="92">
        <f t="shared" si="8"/>
        <v>0</v>
      </c>
      <c r="N43" s="93">
        <f>ABS(PRODUCT($H43:$J43,$L43))/Summary!$B$4*$O$53</f>
        <v>0</v>
      </c>
      <c r="O43" s="83">
        <v>1</v>
      </c>
    </row>
    <row r="44" spans="7:15" x14ac:dyDescent="0.25">
      <c r="G44" s="90" t="str">
        <f>Summary!Q$7</f>
        <v/>
      </c>
      <c r="H44" s="79">
        <f>IF($G44&lt;&gt;"",INDEX(Data!$G:$G,MATCH($G44,Data!$D:$D,0)),0)</f>
        <v>0</v>
      </c>
      <c r="I44" s="80">
        <f t="shared" si="9"/>
        <v>0</v>
      </c>
      <c r="J44" s="81">
        <f>IF($G44&lt;&gt;"",INDEX(Data!$M:$M,MATCH($G44,Data!$D:$D,0)),0)</f>
        <v>0</v>
      </c>
      <c r="K44" s="91">
        <f t="shared" si="7"/>
        <v>0</v>
      </c>
      <c r="L44" s="82">
        <f>IF($G44&lt;&gt;"",INDEX(Deltas!$E:$E,MATCH($G44,Deltas!$B:$B,0)),0)</f>
        <v>0</v>
      </c>
      <c r="M44" s="92">
        <f t="shared" si="8"/>
        <v>0</v>
      </c>
      <c r="N44" s="93">
        <f>ABS(PRODUCT($H44:$J44,$L44))/Summary!$B$4*$O$53</f>
        <v>0</v>
      </c>
      <c r="O44" s="83">
        <v>1</v>
      </c>
    </row>
    <row r="45" spans="7:15" x14ac:dyDescent="0.25">
      <c r="G45" s="90" t="str">
        <f>Summary!R$7</f>
        <v/>
      </c>
      <c r="H45" s="79">
        <f>IF($G45&lt;&gt;"",INDEX(Data!$G:$G,MATCH($G45,Data!$D:$D,0)),0)</f>
        <v>0</v>
      </c>
      <c r="I45" s="80">
        <f t="shared" si="9"/>
        <v>0</v>
      </c>
      <c r="J45" s="81">
        <f>IF($G45&lt;&gt;"",INDEX(Data!$M:$M,MATCH($G45,Data!$D:$D,0)),0)</f>
        <v>0</v>
      </c>
      <c r="K45" s="91">
        <f t="shared" si="7"/>
        <v>0</v>
      </c>
      <c r="L45" s="82">
        <f>IF($G45&lt;&gt;"",INDEX(Deltas!$E:$E,MATCH($G45,Deltas!$B:$B,0)),0)</f>
        <v>0</v>
      </c>
      <c r="M45" s="92">
        <f t="shared" si="8"/>
        <v>0</v>
      </c>
      <c r="N45" s="93">
        <f>ABS(PRODUCT($H45:$J45,$L45))/Summary!$B$4*$O$53</f>
        <v>0</v>
      </c>
      <c r="O45" s="83">
        <v>1</v>
      </c>
    </row>
    <row r="46" spans="7:15" x14ac:dyDescent="0.25">
      <c r="G46" s="90" t="str">
        <f>Summary!S$7</f>
        <v/>
      </c>
      <c r="H46" s="79">
        <f>IF($G46&lt;&gt;"",INDEX(Data!$G:$G,MATCH($G46,Data!$D:$D,0)),0)</f>
        <v>0</v>
      </c>
      <c r="I46" s="80">
        <f t="shared" si="9"/>
        <v>0</v>
      </c>
      <c r="J46" s="81">
        <f>IF($G46&lt;&gt;"",INDEX(Data!$M:$M,MATCH($G46,Data!$D:$D,0)),0)</f>
        <v>0</v>
      </c>
      <c r="K46" s="91">
        <f t="shared" si="7"/>
        <v>0</v>
      </c>
      <c r="L46" s="82">
        <f>IF($G46&lt;&gt;"",INDEX(Deltas!$E:$E,MATCH($G46,Deltas!$B:$B,0)),0)</f>
        <v>0</v>
      </c>
      <c r="M46" s="92">
        <f t="shared" si="8"/>
        <v>0</v>
      </c>
      <c r="N46" s="93">
        <f>ABS(PRODUCT($H46:$J46,$L46))/Summary!$B$4*$O$53</f>
        <v>0</v>
      </c>
      <c r="O46" s="83">
        <v>1</v>
      </c>
    </row>
    <row r="47" spans="7:15" x14ac:dyDescent="0.25">
      <c r="G47" s="90" t="str">
        <f>Summary!T$7</f>
        <v/>
      </c>
      <c r="H47" s="79">
        <f>IF($G47&lt;&gt;"",INDEX(Data!$G:$G,MATCH($G47,Data!$D:$D,0)),0)</f>
        <v>0</v>
      </c>
      <c r="I47" s="80">
        <f t="shared" si="9"/>
        <v>0</v>
      </c>
      <c r="J47" s="81">
        <f>IF($G47&lt;&gt;"",INDEX(Data!$M:$M,MATCH($G47,Data!$D:$D,0)),0)</f>
        <v>0</v>
      </c>
      <c r="K47" s="91">
        <f t="shared" si="7"/>
        <v>0</v>
      </c>
      <c r="L47" s="82">
        <f>IF($G47&lt;&gt;"",INDEX(Deltas!$E:$E,MATCH($G47,Deltas!$B:$B,0)),0)</f>
        <v>0</v>
      </c>
      <c r="M47" s="92">
        <f t="shared" si="8"/>
        <v>0</v>
      </c>
      <c r="N47" s="93">
        <f>ABS(PRODUCT($H47:$J47,$L47))/Summary!$B$4*$O$53</f>
        <v>0</v>
      </c>
      <c r="O47" s="83">
        <v>1</v>
      </c>
    </row>
    <row r="48" spans="7:15" x14ac:dyDescent="0.25">
      <c r="G48" s="90" t="str">
        <f>Summary!U$7</f>
        <v/>
      </c>
      <c r="H48" s="79">
        <f>IF($G48&lt;&gt;"",INDEX(Data!$G:$G,MATCH($G48,Data!$D:$D,0)),0)</f>
        <v>0</v>
      </c>
      <c r="I48" s="80">
        <f t="shared" si="9"/>
        <v>0</v>
      </c>
      <c r="J48" s="81">
        <f>IF($G48&lt;&gt;"",INDEX(Data!$M:$M,MATCH($G48,Data!$D:$D,0)),0)</f>
        <v>0</v>
      </c>
      <c r="K48" s="91">
        <f t="shared" si="7"/>
        <v>0</v>
      </c>
      <c r="L48" s="82">
        <f>IF($G48&lt;&gt;"",INDEX(Deltas!$E:$E,MATCH($G48,Deltas!$B:$B,0)),0)</f>
        <v>0</v>
      </c>
      <c r="M48" s="92">
        <f t="shared" si="8"/>
        <v>0</v>
      </c>
      <c r="N48" s="93">
        <f>ABS(PRODUCT($H48:$J48,$L48))/Summary!$B$4*$O$53</f>
        <v>0</v>
      </c>
      <c r="O48" s="83">
        <v>1</v>
      </c>
    </row>
    <row r="49" spans="7:15" x14ac:dyDescent="0.25">
      <c r="G49" s="90" t="str">
        <f>Summary!V$7</f>
        <v/>
      </c>
      <c r="H49" s="79">
        <f>IF($G49&lt;&gt;"",INDEX(Data!$G:$G,MATCH($G49,Data!$D:$D,0)),0)</f>
        <v>0</v>
      </c>
      <c r="I49" s="80">
        <f t="shared" si="9"/>
        <v>0</v>
      </c>
      <c r="J49" s="81">
        <f>IF($G49&lt;&gt;"",INDEX(Data!$M:$M,MATCH($G49,Data!$D:$D,0)),0)</f>
        <v>0</v>
      </c>
      <c r="K49" s="91">
        <f t="shared" si="7"/>
        <v>0</v>
      </c>
      <c r="L49" s="82">
        <f>IF($G49&lt;&gt;"",INDEX(Deltas!$E:$E,MATCH($G49,Deltas!$B:$B,0)),0)</f>
        <v>0</v>
      </c>
      <c r="M49" s="92">
        <f t="shared" si="8"/>
        <v>0</v>
      </c>
      <c r="N49" s="93">
        <f>ABS(PRODUCT($H49:$J49,$L49))/Summary!$B$4*$O$53</f>
        <v>0</v>
      </c>
      <c r="O49" s="83">
        <v>1</v>
      </c>
    </row>
    <row r="50" spans="7:15" x14ac:dyDescent="0.25">
      <c r="G50" s="90" t="str">
        <f>Summary!W$7</f>
        <v/>
      </c>
      <c r="H50" s="79">
        <f>IF($G50&lt;&gt;"",INDEX(Data!$G:$G,MATCH($G50,Data!$D:$D,0)),0)</f>
        <v>0</v>
      </c>
      <c r="I50" s="80">
        <f t="shared" si="9"/>
        <v>0</v>
      </c>
      <c r="J50" s="81">
        <f>IF($G50&lt;&gt;"",INDEX(Data!$M:$M,MATCH($G50,Data!$D:$D,0)),0)</f>
        <v>0</v>
      </c>
      <c r="K50" s="91">
        <f t="shared" si="7"/>
        <v>0</v>
      </c>
      <c r="L50" s="82">
        <f>IF($G50&lt;&gt;"",INDEX(Deltas!$E:$E,MATCH($G50,Deltas!$B:$B,0)),0)</f>
        <v>0</v>
      </c>
      <c r="M50" s="92">
        <f t="shared" si="8"/>
        <v>0</v>
      </c>
      <c r="N50" s="93">
        <f>ABS(PRODUCT($H50:$J50,$L50))/Summary!$B$4*$O$53</f>
        <v>0</v>
      </c>
      <c r="O50" s="83">
        <v>1</v>
      </c>
    </row>
    <row r="51" spans="7:15" x14ac:dyDescent="0.25">
      <c r="G51" s="90" t="str">
        <f>Summary!X$7</f>
        <v/>
      </c>
      <c r="H51" s="79">
        <f>IF($G51&lt;&gt;"",INDEX(Data!$G:$G,MATCH($G51,Data!$D:$D,0)),0)</f>
        <v>0</v>
      </c>
      <c r="I51" s="80">
        <f t="shared" si="9"/>
        <v>0</v>
      </c>
      <c r="J51" s="81">
        <f>IF($G51&lt;&gt;"",INDEX(Data!$M:$M,MATCH($G51,Data!$D:$D,0)),0)</f>
        <v>0</v>
      </c>
      <c r="K51" s="91">
        <f t="shared" si="7"/>
        <v>0</v>
      </c>
      <c r="L51" s="82">
        <f>IF($G51&lt;&gt;"",INDEX(Deltas!$E:$E,MATCH($G51,Deltas!$B:$B,0)),0)</f>
        <v>0</v>
      </c>
      <c r="M51" s="92">
        <f t="shared" si="8"/>
        <v>0</v>
      </c>
      <c r="N51" s="93">
        <f>ABS(PRODUCT($H51:$J51,$L51))/Summary!$B$4*$O$53</f>
        <v>0</v>
      </c>
      <c r="O51" s="83">
        <v>1</v>
      </c>
    </row>
    <row r="52" spans="7:15" x14ac:dyDescent="0.25">
      <c r="G52" s="38" t="str" cm="1">
        <f t="array" ref="G52">"Foreign Equity Derivatives ("&amp;SUMPRODUCT((Data!$C:$C="Equity Derivatives")*(Data!$W:$W&lt;&gt;"ZAR"))&amp;")"</f>
        <v>Foreign Equity Derivatives (0)</v>
      </c>
    </row>
    <row r="53" spans="7:15" x14ac:dyDescent="0.25">
      <c r="G53" s="90" t="str">
        <f>Summary!I$4</f>
        <v/>
      </c>
      <c r="H53" s="79">
        <f>IF($G53&lt;&gt;"",INDEX(Data!$G:$G,MATCH($G53,Data!$D:$D,0)),0)</f>
        <v>0</v>
      </c>
      <c r="I53" s="80">
        <f>IF($G53&lt;&gt;"",10,0)</f>
        <v>0</v>
      </c>
      <c r="J53" s="81">
        <f>IF($G53&lt;&gt;"",INDEX(Data!$M:$M,MATCH($G53,Data!$D:$D,0)),0)</f>
        <v>0</v>
      </c>
      <c r="K53" s="91">
        <f t="shared" ref="K53:K68" si="10">PRODUCT($H53:$J53)*$O$53</f>
        <v>0</v>
      </c>
      <c r="L53" s="82">
        <f>IF($G53&lt;&gt;"",INDEX(Deltas!$E:$E,MATCH($G53,Deltas!$B:$B,0)),0)</f>
        <v>0</v>
      </c>
      <c r="M53" s="92">
        <f t="shared" ref="M53:M68" si="11">PRODUCT($H53:$J53,$L53)</f>
        <v>0</v>
      </c>
      <c r="N53" s="93">
        <f>ABS(PRODUCT($H53:$J53,$L53))/Summary!$B$4*$O$53</f>
        <v>0</v>
      </c>
      <c r="O53" s="83">
        <v>15.58</v>
      </c>
    </row>
    <row r="54" spans="7:15" x14ac:dyDescent="0.25">
      <c r="G54" s="90" t="str">
        <f>Summary!J$4</f>
        <v/>
      </c>
      <c r="H54" s="79">
        <f>IF($G54&lt;&gt;"",INDEX(Data!$G:$G,MATCH($G54,Data!$D:$D,0)),0)</f>
        <v>0</v>
      </c>
      <c r="I54" s="80">
        <f t="shared" ref="I54:I68" si="12">IF($G54&lt;&gt;"",10,0)</f>
        <v>0</v>
      </c>
      <c r="J54" s="81">
        <f>IF($G54&lt;&gt;"",INDEX(Data!$M:$M,MATCH($G54,Data!$D:$D,0)),0)</f>
        <v>0</v>
      </c>
      <c r="K54" s="91">
        <f t="shared" si="10"/>
        <v>0</v>
      </c>
      <c r="L54" s="82">
        <f>IF($G54&lt;&gt;"",INDEX(Deltas!$E:$E,MATCH($G54,Deltas!$B:$B,0)),0)</f>
        <v>0</v>
      </c>
      <c r="M54" s="94">
        <f t="shared" si="11"/>
        <v>0</v>
      </c>
      <c r="N54" s="93">
        <f>ABS(PRODUCT($H54:$J54,$L54))/Summary!$B$4*$O$53</f>
        <v>0</v>
      </c>
      <c r="O54" s="83">
        <v>15.58</v>
      </c>
    </row>
    <row r="55" spans="7:15" x14ac:dyDescent="0.25">
      <c r="G55" s="90" t="str">
        <f>Summary!K$4</f>
        <v/>
      </c>
      <c r="H55" s="79">
        <f>IF($G55&lt;&gt;"",INDEX(Data!$G:$G,MATCH($G55,Data!$D:$D,0)),0)</f>
        <v>0</v>
      </c>
      <c r="I55" s="80">
        <f t="shared" si="12"/>
        <v>0</v>
      </c>
      <c r="J55" s="81">
        <f>IF($G55&lt;&gt;"",INDEX(Data!$M:$M,MATCH($G55,Data!$D:$D,0)),0)</f>
        <v>0</v>
      </c>
      <c r="K55" s="91">
        <f t="shared" si="10"/>
        <v>0</v>
      </c>
      <c r="L55" s="82">
        <f>IF($G55&lt;&gt;"",INDEX(Deltas!$E:$E,MATCH($G55,Deltas!$B:$B,0)),0)</f>
        <v>0</v>
      </c>
      <c r="M55" s="92">
        <f t="shared" si="11"/>
        <v>0</v>
      </c>
      <c r="N55" s="93">
        <f>ABS(PRODUCT($H55:$J55,$L55))/Summary!$B$4*$O$53</f>
        <v>0</v>
      </c>
      <c r="O55" s="83">
        <v>15.58</v>
      </c>
    </row>
    <row r="56" spans="7:15" x14ac:dyDescent="0.25">
      <c r="G56" s="90" t="str">
        <f>Summary!L$4</f>
        <v/>
      </c>
      <c r="H56" s="79">
        <f>IF($G56&lt;&gt;"",INDEX(Data!$G:$G,MATCH($G56,Data!$D:$D,0)),0)</f>
        <v>0</v>
      </c>
      <c r="I56" s="80">
        <f t="shared" si="12"/>
        <v>0</v>
      </c>
      <c r="J56" s="81">
        <f>IF($G56&lt;&gt;"",INDEX(Data!$M:$M,MATCH($G56,Data!$D:$D,0)),0)</f>
        <v>0</v>
      </c>
      <c r="K56" s="91">
        <f t="shared" si="10"/>
        <v>0</v>
      </c>
      <c r="L56" s="82">
        <f>IF($G56&lt;&gt;"",INDEX(Deltas!$E:$E,MATCH($G56,Deltas!$B:$B,0)),0)</f>
        <v>0</v>
      </c>
      <c r="M56" s="92">
        <f t="shared" si="11"/>
        <v>0</v>
      </c>
      <c r="N56" s="93">
        <f>ABS(PRODUCT($H56:$J56,$L56))/Summary!$B$4*$O$53</f>
        <v>0</v>
      </c>
      <c r="O56" s="83">
        <v>15.58</v>
      </c>
    </row>
    <row r="57" spans="7:15" x14ac:dyDescent="0.25">
      <c r="G57" s="90" t="str">
        <f>Summary!M$4</f>
        <v/>
      </c>
      <c r="H57" s="79">
        <f>IF($G57&lt;&gt;"",INDEX(Data!$G:$G,MATCH($G57,Data!$D:$D,0)),0)</f>
        <v>0</v>
      </c>
      <c r="I57" s="80">
        <f t="shared" si="12"/>
        <v>0</v>
      </c>
      <c r="J57" s="81">
        <f>IF($G57&lt;&gt;"",INDEX(Data!$M:$M,MATCH($G57,Data!$D:$D,0)),0)</f>
        <v>0</v>
      </c>
      <c r="K57" s="91">
        <f t="shared" si="10"/>
        <v>0</v>
      </c>
      <c r="L57" s="82">
        <f>IF($G57&lt;&gt;"",INDEX(Deltas!$E:$E,MATCH($G57,Deltas!$B:$B,0)),0)</f>
        <v>0</v>
      </c>
      <c r="M57" s="92">
        <f t="shared" si="11"/>
        <v>0</v>
      </c>
      <c r="N57" s="93">
        <f>ABS(PRODUCT($H57:$J57,$L57))/Summary!$B$4*$O$53</f>
        <v>0</v>
      </c>
      <c r="O57" s="83">
        <v>15.58</v>
      </c>
    </row>
    <row r="58" spans="7:15" x14ac:dyDescent="0.25">
      <c r="G58" s="90" t="str">
        <f>Summary!N$4</f>
        <v/>
      </c>
      <c r="H58" s="79">
        <f>IF($G58&lt;&gt;"",INDEX(Data!$G:$G,MATCH($G58,Data!$D:$D,0)),0)</f>
        <v>0</v>
      </c>
      <c r="I58" s="80">
        <f t="shared" si="12"/>
        <v>0</v>
      </c>
      <c r="J58" s="81">
        <f>IF($G58&lt;&gt;"",INDEX(Data!$M:$M,MATCH($G58,Data!$D:$D,0)),0)</f>
        <v>0</v>
      </c>
      <c r="K58" s="91">
        <f t="shared" si="10"/>
        <v>0</v>
      </c>
      <c r="L58" s="82">
        <f>IF($G58&lt;&gt;"",INDEX(Deltas!$E:$E,MATCH($G58,Deltas!$B:$B,0)),0)</f>
        <v>0</v>
      </c>
      <c r="M58" s="92">
        <f t="shared" si="11"/>
        <v>0</v>
      </c>
      <c r="N58" s="93">
        <f>ABS(PRODUCT($H58:$J58,$L58))/Summary!$B$4*$O$53</f>
        <v>0</v>
      </c>
      <c r="O58" s="83">
        <v>15.58</v>
      </c>
    </row>
    <row r="59" spans="7:15" x14ac:dyDescent="0.25">
      <c r="G59" s="90" t="str">
        <f>Summary!O$4</f>
        <v/>
      </c>
      <c r="H59" s="79">
        <f>IF($G59&lt;&gt;"",INDEX(Data!$G:$G,MATCH($G59,Data!$D:$D,0)),0)</f>
        <v>0</v>
      </c>
      <c r="I59" s="80">
        <f t="shared" si="12"/>
        <v>0</v>
      </c>
      <c r="J59" s="81">
        <f>IF($G59&lt;&gt;"",INDEX(Data!$M:$M,MATCH($G59,Data!$D:$D,0)),0)</f>
        <v>0</v>
      </c>
      <c r="K59" s="91">
        <f t="shared" si="10"/>
        <v>0</v>
      </c>
      <c r="L59" s="82">
        <f>IF($G59&lt;&gt;"",INDEX(Deltas!$E:$E,MATCH($G59,Deltas!$B:$B,0)),0)</f>
        <v>0</v>
      </c>
      <c r="M59" s="92">
        <f t="shared" si="11"/>
        <v>0</v>
      </c>
      <c r="N59" s="93">
        <f>ABS(PRODUCT($H59:$J59,$L59))/Summary!$B$4*$O$53</f>
        <v>0</v>
      </c>
      <c r="O59" s="83">
        <v>15.58</v>
      </c>
    </row>
    <row r="60" spans="7:15" x14ac:dyDescent="0.25">
      <c r="G60" s="90" t="str">
        <f>Summary!P$4</f>
        <v/>
      </c>
      <c r="H60" s="79">
        <f>IF($G60&lt;&gt;"",INDEX(Data!$G:$G,MATCH($G60,Data!$D:$D,0)),0)</f>
        <v>0</v>
      </c>
      <c r="I60" s="80">
        <f t="shared" si="12"/>
        <v>0</v>
      </c>
      <c r="J60" s="81">
        <f>IF($G60&lt;&gt;"",INDEX(Data!$M:$M,MATCH($G60,Data!$D:$D,0)),0)</f>
        <v>0</v>
      </c>
      <c r="K60" s="91">
        <f t="shared" si="10"/>
        <v>0</v>
      </c>
      <c r="L60" s="82">
        <f>IF($G60&lt;&gt;"",INDEX(Deltas!$E:$E,MATCH($G60,Deltas!$B:$B,0)),0)</f>
        <v>0</v>
      </c>
      <c r="M60" s="92">
        <f t="shared" si="11"/>
        <v>0</v>
      </c>
      <c r="N60" s="93">
        <f>ABS(PRODUCT($H60:$J60,$L60))/Summary!$B$4*$O$53</f>
        <v>0</v>
      </c>
      <c r="O60" s="83">
        <v>15.58</v>
      </c>
    </row>
    <row r="61" spans="7:15" x14ac:dyDescent="0.25">
      <c r="G61" s="90" t="str">
        <f>Summary!Q$4</f>
        <v/>
      </c>
      <c r="H61" s="79">
        <f>IF($G61&lt;&gt;"",INDEX(Data!$G:$G,MATCH($G61,Data!$D:$D,0)),0)</f>
        <v>0</v>
      </c>
      <c r="I61" s="80">
        <f t="shared" si="12"/>
        <v>0</v>
      </c>
      <c r="J61" s="81">
        <f>IF($G61&lt;&gt;"",INDEX(Data!$M:$M,MATCH($G61,Data!$D:$D,0)),0)</f>
        <v>0</v>
      </c>
      <c r="K61" s="91">
        <f t="shared" si="10"/>
        <v>0</v>
      </c>
      <c r="L61" s="82">
        <f>IF($G61&lt;&gt;"",INDEX(Deltas!$E:$E,MATCH($G61,Deltas!$B:$B,0)),0)</f>
        <v>0</v>
      </c>
      <c r="M61" s="92">
        <f t="shared" si="11"/>
        <v>0</v>
      </c>
      <c r="N61" s="93">
        <f>ABS(PRODUCT($H61:$J61,$L61))/Summary!$B$4*$O$53</f>
        <v>0</v>
      </c>
      <c r="O61" s="83">
        <v>15.58</v>
      </c>
    </row>
    <row r="62" spans="7:15" x14ac:dyDescent="0.25">
      <c r="G62" s="90" t="str">
        <f>Summary!R$4</f>
        <v/>
      </c>
      <c r="H62" s="79">
        <f>IF($G62&lt;&gt;"",INDEX(Data!$G:$G,MATCH($G62,Data!$D:$D,0)),0)</f>
        <v>0</v>
      </c>
      <c r="I62" s="80">
        <f t="shared" si="12"/>
        <v>0</v>
      </c>
      <c r="J62" s="81">
        <f>IF($G62&lt;&gt;"",INDEX(Data!$M:$M,MATCH($G62,Data!$D:$D,0)),0)</f>
        <v>0</v>
      </c>
      <c r="K62" s="91">
        <f t="shared" si="10"/>
        <v>0</v>
      </c>
      <c r="L62" s="82">
        <f>IF($G62&lt;&gt;"",INDEX(Deltas!$E:$E,MATCH($G62,Deltas!$B:$B,0)),0)</f>
        <v>0</v>
      </c>
      <c r="M62" s="92">
        <f t="shared" si="11"/>
        <v>0</v>
      </c>
      <c r="N62" s="93">
        <f>ABS(PRODUCT($H62:$J62,$L62))/Summary!$B$4*$O$53</f>
        <v>0</v>
      </c>
      <c r="O62" s="83">
        <v>15.58</v>
      </c>
    </row>
    <row r="63" spans="7:15" x14ac:dyDescent="0.25">
      <c r="G63" s="90" t="str">
        <f>Summary!S$4</f>
        <v/>
      </c>
      <c r="H63" s="79">
        <f>IF($G63&lt;&gt;"",INDEX(Data!$G:$G,MATCH($G63,Data!$D:$D,0)),0)</f>
        <v>0</v>
      </c>
      <c r="I63" s="80">
        <f t="shared" si="12"/>
        <v>0</v>
      </c>
      <c r="J63" s="81">
        <f>IF($G63&lt;&gt;"",INDEX(Data!$M:$M,MATCH($G63,Data!$D:$D,0)),0)</f>
        <v>0</v>
      </c>
      <c r="K63" s="91">
        <f t="shared" si="10"/>
        <v>0</v>
      </c>
      <c r="L63" s="82">
        <f>IF($G63&lt;&gt;"",INDEX(Deltas!$E:$E,MATCH($G63,Deltas!$B:$B,0)),0)</f>
        <v>0</v>
      </c>
      <c r="M63" s="92">
        <f t="shared" si="11"/>
        <v>0</v>
      </c>
      <c r="N63" s="93">
        <f>ABS(PRODUCT($H63:$J63,$L63))/Summary!$B$4*$O$53</f>
        <v>0</v>
      </c>
      <c r="O63" s="83">
        <v>15.58</v>
      </c>
    </row>
    <row r="64" spans="7:15" x14ac:dyDescent="0.25">
      <c r="G64" s="90" t="str">
        <f>Summary!T$4</f>
        <v/>
      </c>
      <c r="H64" s="79">
        <f>IF($G64&lt;&gt;"",INDEX(Data!$G:$G,MATCH($G64,Data!$D:$D,0)),0)</f>
        <v>0</v>
      </c>
      <c r="I64" s="80">
        <f t="shared" si="12"/>
        <v>0</v>
      </c>
      <c r="J64" s="81">
        <f>IF($G64&lt;&gt;"",INDEX(Data!$M:$M,MATCH($G64,Data!$D:$D,0)),0)</f>
        <v>0</v>
      </c>
      <c r="K64" s="91">
        <f t="shared" si="10"/>
        <v>0</v>
      </c>
      <c r="L64" s="82">
        <f>IF($G64&lt;&gt;"",INDEX(Deltas!$E:$E,MATCH($G64,Deltas!$B:$B,0)),0)</f>
        <v>0</v>
      </c>
      <c r="M64" s="92">
        <f t="shared" si="11"/>
        <v>0</v>
      </c>
      <c r="N64" s="93">
        <f>ABS(PRODUCT($H64:$J64,$L64))/Summary!$B$4*$O$53</f>
        <v>0</v>
      </c>
      <c r="O64" s="83">
        <v>15.58</v>
      </c>
    </row>
    <row r="65" spans="7:15" x14ac:dyDescent="0.25">
      <c r="G65" s="90" t="str">
        <f>Summary!U$4</f>
        <v/>
      </c>
      <c r="H65" s="79">
        <f>IF($G65&lt;&gt;"",INDEX(Data!$G:$G,MATCH($G65,Data!$D:$D,0)),0)</f>
        <v>0</v>
      </c>
      <c r="I65" s="80">
        <f t="shared" si="12"/>
        <v>0</v>
      </c>
      <c r="J65" s="81">
        <f>IF($G65&lt;&gt;"",INDEX(Data!$M:$M,MATCH($G65,Data!$D:$D,0)),0)</f>
        <v>0</v>
      </c>
      <c r="K65" s="91">
        <f t="shared" si="10"/>
        <v>0</v>
      </c>
      <c r="L65" s="82">
        <f>IF($G65&lt;&gt;"",INDEX(Deltas!$E:$E,MATCH($G65,Deltas!$B:$B,0)),0)</f>
        <v>0</v>
      </c>
      <c r="M65" s="92">
        <f t="shared" si="11"/>
        <v>0</v>
      </c>
      <c r="N65" s="93">
        <f>ABS(PRODUCT($H65:$J65,$L65))/Summary!$B$4*$O$53</f>
        <v>0</v>
      </c>
      <c r="O65" s="83">
        <v>15.58</v>
      </c>
    </row>
    <row r="66" spans="7:15" x14ac:dyDescent="0.25">
      <c r="G66" s="90" t="str">
        <f>Summary!V$4</f>
        <v/>
      </c>
      <c r="H66" s="79">
        <f>IF($G66&lt;&gt;"",INDEX(Data!$G:$G,MATCH($G66,Data!$D:$D,0)),0)</f>
        <v>0</v>
      </c>
      <c r="I66" s="80">
        <f t="shared" si="12"/>
        <v>0</v>
      </c>
      <c r="J66" s="81">
        <f>IF($G66&lt;&gt;"",INDEX(Data!$M:$M,MATCH($G66,Data!$D:$D,0)),0)</f>
        <v>0</v>
      </c>
      <c r="K66" s="91">
        <f t="shared" si="10"/>
        <v>0</v>
      </c>
      <c r="L66" s="82">
        <f>IF($G66&lt;&gt;"",INDEX(Deltas!$E:$E,MATCH($G66,Deltas!$B:$B,0)),0)</f>
        <v>0</v>
      </c>
      <c r="M66" s="92">
        <f t="shared" si="11"/>
        <v>0</v>
      </c>
      <c r="N66" s="93">
        <f>ABS(PRODUCT($H66:$J66,$L66))/Summary!$B$4*$O$53</f>
        <v>0</v>
      </c>
      <c r="O66" s="83">
        <v>15.58</v>
      </c>
    </row>
    <row r="67" spans="7:15" x14ac:dyDescent="0.25">
      <c r="G67" s="90" t="str">
        <f>Summary!W$4</f>
        <v/>
      </c>
      <c r="H67" s="79">
        <f>IF($G67&lt;&gt;"",INDEX(Data!$G:$G,MATCH($G67,Data!$D:$D,0)),0)</f>
        <v>0</v>
      </c>
      <c r="I67" s="80">
        <f t="shared" si="12"/>
        <v>0</v>
      </c>
      <c r="J67" s="81">
        <f>IF($G67&lt;&gt;"",INDEX(Data!$M:$M,MATCH($G67,Data!$D:$D,0)),0)</f>
        <v>0</v>
      </c>
      <c r="K67" s="91">
        <f t="shared" si="10"/>
        <v>0</v>
      </c>
      <c r="L67" s="82">
        <f>IF($G67&lt;&gt;"",INDEX(Deltas!$E:$E,MATCH($G67,Deltas!$B:$B,0)),0)</f>
        <v>0</v>
      </c>
      <c r="M67" s="92">
        <f t="shared" si="11"/>
        <v>0</v>
      </c>
      <c r="N67" s="93">
        <f>ABS(PRODUCT($H67:$J67,$L67))/Summary!$B$4*$O$53</f>
        <v>0</v>
      </c>
      <c r="O67" s="83">
        <v>15.58</v>
      </c>
    </row>
    <row r="68" spans="7:15" x14ac:dyDescent="0.25">
      <c r="G68" s="90" t="str">
        <f>Summary!X$4</f>
        <v/>
      </c>
      <c r="H68" s="79">
        <f>IF($G68&lt;&gt;"",INDEX(Data!$G:$G,MATCH($G68,Data!$D:$D,0)),0)</f>
        <v>0</v>
      </c>
      <c r="I68" s="80">
        <f t="shared" si="12"/>
        <v>0</v>
      </c>
      <c r="J68" s="81">
        <f>IF($G68&lt;&gt;"",INDEX(Data!$M:$M,MATCH($G68,Data!$D:$D,0)),0)</f>
        <v>0</v>
      </c>
      <c r="K68" s="91">
        <f t="shared" si="10"/>
        <v>0</v>
      </c>
      <c r="L68" s="82">
        <f>IF($G68&lt;&gt;"",INDEX(Deltas!$E:$E,MATCH($G68,Deltas!$B:$B,0)),0)</f>
        <v>0</v>
      </c>
      <c r="M68" s="92">
        <f t="shared" si="11"/>
        <v>0</v>
      </c>
      <c r="N68" s="93">
        <f>ABS(PRODUCT($H68:$J68,$L68))/Summary!$B$4*$O$53</f>
        <v>0</v>
      </c>
      <c r="O68" s="83">
        <v>15.58</v>
      </c>
    </row>
  </sheetData>
  <conditionalFormatting sqref="D8 D11">
    <cfRule type="cellIs" dxfId="3" priority="2" operator="greaterThanOrEqual">
      <formula>0</formula>
    </cfRule>
    <cfRule type="cellIs" dxfId="2" priority="3" stopIfTrue="1" operator="lessThan">
      <formula>0</formula>
    </cfRule>
  </conditionalFormatting>
  <conditionalFormatting sqref="C8 C11">
    <cfRule type="cellIs" dxfId="1" priority="1" operator="greaterThanOrEqual">
      <formula>1</formula>
    </cfRule>
    <cfRule type="cellIs" dxfId="0" priority="4" stopIfTrue="1" operator="lessThan">
      <formula>1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C6B2-55C7-4984-9258-C279F79A7979}">
  <sheetPr codeName="shData"/>
  <dimension ref="A1:AS242"/>
  <sheetViews>
    <sheetView zoomScaleNormal="100" workbookViewId="0">
      <pane xSplit="1" ySplit="4" topLeftCell="B44" activePane="bottomRight" state="frozen"/>
      <selection activeCell="L2" sqref="L2"/>
      <selection pane="topRight" activeCell="L2" sqref="L2"/>
      <selection pane="bottomLeft" activeCell="L2" sqref="L2"/>
      <selection pane="bottomRight" activeCell="L2" sqref="L2"/>
    </sheetView>
  </sheetViews>
  <sheetFormatPr defaultRowHeight="15" x14ac:dyDescent="0.25"/>
  <cols>
    <col min="1" max="6" width="9.140625" style="14"/>
    <col min="7" max="7" width="14.85546875" style="14" bestFit="1" customWidth="1"/>
    <col min="8" max="9" width="12.7109375" style="14" bestFit="1" customWidth="1"/>
    <col min="10" max="10" width="10.140625" style="14" bestFit="1" customWidth="1"/>
    <col min="11" max="11" width="9.28515625" style="14" bestFit="1" customWidth="1"/>
    <col min="12" max="12" width="12.7109375" style="14" bestFit="1" customWidth="1"/>
    <col min="13" max="13" width="13.28515625" style="14" bestFit="1" customWidth="1"/>
    <col min="14" max="14" width="11.5703125" style="14" bestFit="1" customWidth="1"/>
    <col min="15" max="16" width="10.7109375" style="14" bestFit="1" customWidth="1"/>
    <col min="17" max="18" width="9.28515625" style="14" bestFit="1" customWidth="1"/>
    <col min="19" max="19" width="15.7109375" style="14" bestFit="1" customWidth="1"/>
    <col min="20" max="28" width="9.140625" style="14"/>
    <col min="29" max="30" width="11.5703125" style="14" bestFit="1" customWidth="1"/>
    <col min="31" max="31" width="9.28515625" style="14" bestFit="1" customWidth="1"/>
    <col min="32" max="32" width="11.5703125" style="14" bestFit="1" customWidth="1"/>
    <col min="33" max="33" width="9.28515625" style="14" bestFit="1" customWidth="1"/>
    <col min="34" max="34" width="13.5703125" style="14" bestFit="1" customWidth="1"/>
    <col min="35" max="35" width="9.28515625" style="14" bestFit="1" customWidth="1"/>
    <col min="36" max="36" width="10.7109375" style="14" bestFit="1" customWidth="1"/>
    <col min="37" max="37" width="9.140625" style="14"/>
    <col min="38" max="40" width="9.28515625" style="14" bestFit="1" customWidth="1"/>
    <col min="41" max="43" width="9.140625" style="14"/>
    <col min="44" max="16384" width="9.140625" style="44"/>
  </cols>
  <sheetData>
    <row r="1" spans="1:45" x14ac:dyDescent="0.25">
      <c r="A1" s="209" t="s">
        <v>0</v>
      </c>
      <c r="B1" s="209" t="s">
        <v>1</v>
      </c>
      <c r="C1" s="209" t="s">
        <v>2</v>
      </c>
      <c r="D1" s="209" t="s">
        <v>3</v>
      </c>
      <c r="E1" s="209" t="s">
        <v>4</v>
      </c>
      <c r="F1" s="209" t="s">
        <v>5</v>
      </c>
      <c r="G1" s="209" t="s">
        <v>6</v>
      </c>
      <c r="H1" s="209" t="s">
        <v>7</v>
      </c>
      <c r="I1" s="209" t="s">
        <v>8</v>
      </c>
      <c r="J1" s="209" t="s">
        <v>9</v>
      </c>
      <c r="K1" s="209" t="s">
        <v>10</v>
      </c>
      <c r="L1" s="209" t="s">
        <v>11</v>
      </c>
      <c r="M1" s="209" t="s">
        <v>12</v>
      </c>
      <c r="N1" s="209" t="s">
        <v>13</v>
      </c>
      <c r="O1" s="209" t="s">
        <v>14</v>
      </c>
      <c r="P1" s="209" t="s">
        <v>15</v>
      </c>
      <c r="Q1" s="209" t="s">
        <v>16</v>
      </c>
      <c r="R1" s="209" t="s">
        <v>17</v>
      </c>
      <c r="S1" s="209" t="s">
        <v>18</v>
      </c>
      <c r="T1" s="209" t="s">
        <v>19</v>
      </c>
      <c r="U1" s="209" t="s">
        <v>20</v>
      </c>
      <c r="V1" s="209" t="s">
        <v>21</v>
      </c>
      <c r="W1" s="209" t="s">
        <v>22</v>
      </c>
      <c r="X1" s="209" t="s">
        <v>23</v>
      </c>
      <c r="Y1" s="209" t="s">
        <v>24</v>
      </c>
      <c r="Z1" s="209" t="s">
        <v>25</v>
      </c>
      <c r="AA1" s="209" t="s">
        <v>26</v>
      </c>
      <c r="AB1" s="209" t="s">
        <v>27</v>
      </c>
      <c r="AC1" s="209" t="s">
        <v>28</v>
      </c>
      <c r="AD1" s="209" t="s">
        <v>29</v>
      </c>
      <c r="AE1" s="209" t="s">
        <v>30</v>
      </c>
      <c r="AF1" s="209" t="s">
        <v>31</v>
      </c>
      <c r="AG1" s="209" t="s">
        <v>32</v>
      </c>
      <c r="AH1" s="209" t="s">
        <v>33</v>
      </c>
      <c r="AI1" s="209" t="s">
        <v>34</v>
      </c>
      <c r="AJ1" s="209" t="s">
        <v>35</v>
      </c>
      <c r="AK1" s="209" t="s">
        <v>36</v>
      </c>
      <c r="AL1" s="209" t="s">
        <v>37</v>
      </c>
      <c r="AM1" s="209" t="s">
        <v>38</v>
      </c>
      <c r="AN1" s="209" t="s">
        <v>39</v>
      </c>
      <c r="AO1" s="209" t="s">
        <v>40</v>
      </c>
      <c r="AP1" s="209" t="s">
        <v>41</v>
      </c>
      <c r="AQ1" s="209" t="s">
        <v>42</v>
      </c>
      <c r="AS1" s="44">
        <f>SUMPRODUCT((B:B = "DERIVATIVES")*(C:C = "UNKNOWN"))</f>
        <v>0</v>
      </c>
    </row>
    <row r="2" spans="1:45" x14ac:dyDescent="0.25">
      <c r="A2" s="208" t="s">
        <v>12711</v>
      </c>
      <c r="B2" s="208" t="s">
        <v>45</v>
      </c>
      <c r="C2" s="208" t="s">
        <v>11000</v>
      </c>
      <c r="D2" s="208" t="s">
        <v>11268</v>
      </c>
      <c r="E2" s="208" t="s">
        <v>11269</v>
      </c>
      <c r="F2" s="208" t="s">
        <v>11268</v>
      </c>
      <c r="G2" s="210">
        <v>3314771.14</v>
      </c>
      <c r="H2" s="211">
        <v>3314771.14</v>
      </c>
      <c r="I2" s="211">
        <v>3314771.14</v>
      </c>
      <c r="J2" s="211">
        <v>2898.65</v>
      </c>
      <c r="K2" s="211">
        <v>0</v>
      </c>
      <c r="L2" s="211">
        <v>3317669.79</v>
      </c>
      <c r="M2" s="212">
        <v>4.617</v>
      </c>
      <c r="N2" s="213">
        <v>1.8906098152044699</v>
      </c>
      <c r="O2" s="214" t="s">
        <v>44</v>
      </c>
      <c r="P2" s="214">
        <v>47848</v>
      </c>
      <c r="Q2" s="210">
        <v>4.617</v>
      </c>
      <c r="R2" s="211">
        <v>0.08</v>
      </c>
      <c r="S2" s="215"/>
      <c r="T2" s="208" t="s">
        <v>112</v>
      </c>
      <c r="U2" s="208" t="s">
        <v>46</v>
      </c>
      <c r="V2" s="208" t="s">
        <v>11270</v>
      </c>
      <c r="W2" s="208" t="s">
        <v>43</v>
      </c>
      <c r="X2" s="208" t="s">
        <v>44</v>
      </c>
      <c r="Y2" s="208" t="s">
        <v>44</v>
      </c>
      <c r="Z2" s="208" t="s">
        <v>44</v>
      </c>
      <c r="AA2" s="208" t="s">
        <v>44</v>
      </c>
      <c r="AB2" s="208" t="s">
        <v>44</v>
      </c>
      <c r="AC2" s="213">
        <v>4.7160921900000004</v>
      </c>
      <c r="AD2" s="213">
        <v>4.6171215200000004</v>
      </c>
      <c r="AE2" s="211">
        <v>4.72</v>
      </c>
      <c r="AF2" s="213">
        <v>4.6171215200000004</v>
      </c>
      <c r="AG2" s="211">
        <v>1.89</v>
      </c>
      <c r="AH2" s="211">
        <v>3317669.79</v>
      </c>
      <c r="AI2" s="211">
        <v>1.8906098152044697</v>
      </c>
      <c r="AJ2" s="214">
        <v>44657</v>
      </c>
      <c r="AK2" s="208" t="s">
        <v>12712</v>
      </c>
      <c r="AL2" s="211">
        <v>4.66</v>
      </c>
      <c r="AM2" s="211">
        <v>4.62</v>
      </c>
      <c r="AN2" s="211">
        <v>0</v>
      </c>
      <c r="AO2" s="208" t="s">
        <v>44</v>
      </c>
      <c r="AP2" s="208" t="s">
        <v>44</v>
      </c>
      <c r="AQ2" s="208" t="s">
        <v>11269</v>
      </c>
    </row>
    <row r="3" spans="1:45" x14ac:dyDescent="0.25">
      <c r="A3" s="208" t="s">
        <v>12711</v>
      </c>
      <c r="B3" s="208" t="s">
        <v>45</v>
      </c>
      <c r="C3" s="208" t="s">
        <v>11000</v>
      </c>
      <c r="D3" s="208" t="s">
        <v>11271</v>
      </c>
      <c r="E3" s="208" t="s">
        <v>11272</v>
      </c>
      <c r="F3" s="208" t="s">
        <v>11271</v>
      </c>
      <c r="G3" s="210">
        <v>3150000</v>
      </c>
      <c r="H3" s="211">
        <v>3150000</v>
      </c>
      <c r="I3" s="211">
        <v>3150000</v>
      </c>
      <c r="J3" s="211">
        <v>2754.57</v>
      </c>
      <c r="K3" s="211">
        <v>0</v>
      </c>
      <c r="L3" s="211">
        <v>3152754.57</v>
      </c>
      <c r="M3" s="212">
        <v>4.617</v>
      </c>
      <c r="N3" s="213">
        <v>1.7966311032336788</v>
      </c>
      <c r="O3" s="214" t="s">
        <v>44</v>
      </c>
      <c r="P3" s="214">
        <v>47848</v>
      </c>
      <c r="Q3" s="210">
        <v>4.617</v>
      </c>
      <c r="R3" s="211">
        <v>0.08</v>
      </c>
      <c r="S3" s="215"/>
      <c r="T3" s="208" t="s">
        <v>112</v>
      </c>
      <c r="U3" s="208" t="s">
        <v>46</v>
      </c>
      <c r="V3" s="208" t="s">
        <v>11270</v>
      </c>
      <c r="W3" s="208" t="s">
        <v>43</v>
      </c>
      <c r="X3" s="208" t="s">
        <v>44</v>
      </c>
      <c r="Y3" s="208" t="s">
        <v>44</v>
      </c>
      <c r="Z3" s="208" t="s">
        <v>44</v>
      </c>
      <c r="AA3" s="208" t="s">
        <v>44</v>
      </c>
      <c r="AB3" s="208" t="s">
        <v>44</v>
      </c>
      <c r="AC3" s="213">
        <v>4.7160921900000004</v>
      </c>
      <c r="AD3" s="213">
        <v>4.6171215200000004</v>
      </c>
      <c r="AE3" s="211">
        <v>4.72</v>
      </c>
      <c r="AF3" s="213">
        <v>4.6171215200000004</v>
      </c>
      <c r="AG3" s="211">
        <v>1.8</v>
      </c>
      <c r="AH3" s="211">
        <v>3152754.57</v>
      </c>
      <c r="AI3" s="211">
        <v>1.7966311032336786</v>
      </c>
      <c r="AJ3" s="214">
        <v>44657</v>
      </c>
      <c r="AK3" s="208" t="s">
        <v>12712</v>
      </c>
      <c r="AL3" s="211">
        <v>4.66</v>
      </c>
      <c r="AM3" s="211">
        <v>4.62</v>
      </c>
      <c r="AN3" s="211">
        <v>0</v>
      </c>
      <c r="AO3" s="208" t="s">
        <v>44</v>
      </c>
      <c r="AP3" s="208" t="s">
        <v>44</v>
      </c>
      <c r="AQ3" s="208" t="s">
        <v>11272</v>
      </c>
    </row>
    <row r="4" spans="1:45" x14ac:dyDescent="0.25">
      <c r="A4" s="208" t="s">
        <v>12711</v>
      </c>
      <c r="B4" s="208" t="s">
        <v>45</v>
      </c>
      <c r="C4" s="208" t="s">
        <v>11000</v>
      </c>
      <c r="D4" s="208" t="s">
        <v>11001</v>
      </c>
      <c r="E4" s="208" t="s">
        <v>11002</v>
      </c>
      <c r="F4" s="208" t="s">
        <v>11001</v>
      </c>
      <c r="G4" s="210">
        <v>21909703.626600001</v>
      </c>
      <c r="H4" s="211">
        <v>21909703.620000001</v>
      </c>
      <c r="I4" s="211">
        <v>21909703.620000001</v>
      </c>
      <c r="J4" s="211">
        <v>18345.36</v>
      </c>
      <c r="K4" s="211">
        <v>0</v>
      </c>
      <c r="L4" s="211">
        <v>21928048.98</v>
      </c>
      <c r="M4" s="212"/>
      <c r="N4" s="213">
        <v>12.495934572763</v>
      </c>
      <c r="O4" s="214">
        <v>40756</v>
      </c>
      <c r="P4" s="214">
        <v>73020</v>
      </c>
      <c r="Q4" s="210">
        <v>0</v>
      </c>
      <c r="R4" s="211"/>
      <c r="S4" s="215"/>
      <c r="T4" s="208" t="s">
        <v>111</v>
      </c>
      <c r="U4" s="208" t="s">
        <v>11003</v>
      </c>
      <c r="V4" s="208" t="s">
        <v>46</v>
      </c>
      <c r="W4" s="208" t="s">
        <v>43</v>
      </c>
      <c r="X4" s="208" t="s">
        <v>44</v>
      </c>
      <c r="Y4" s="208" t="s">
        <v>44</v>
      </c>
      <c r="Z4" s="208" t="s">
        <v>44</v>
      </c>
      <c r="AA4" s="208" t="s">
        <v>44</v>
      </c>
      <c r="AB4" s="208" t="s">
        <v>44</v>
      </c>
      <c r="AC4" s="213"/>
      <c r="AD4" s="213"/>
      <c r="AE4" s="211">
        <v>0</v>
      </c>
      <c r="AF4" s="213">
        <v>0</v>
      </c>
      <c r="AG4" s="211">
        <v>12.5</v>
      </c>
      <c r="AH4" s="211">
        <v>21928048.98</v>
      </c>
      <c r="AI4" s="211">
        <v>12.495934572762998</v>
      </c>
      <c r="AJ4" s="214">
        <v>44657</v>
      </c>
      <c r="AK4" s="208" t="s">
        <v>12712</v>
      </c>
      <c r="AL4" s="211">
        <v>0</v>
      </c>
      <c r="AM4" s="211">
        <v>0</v>
      </c>
      <c r="AN4" s="211">
        <v>0</v>
      </c>
      <c r="AO4" s="208" t="s">
        <v>44</v>
      </c>
      <c r="AP4" s="208" t="s">
        <v>11004</v>
      </c>
      <c r="AQ4" s="208" t="s">
        <v>11002</v>
      </c>
    </row>
    <row r="5" spans="1:45" x14ac:dyDescent="0.25">
      <c r="A5" s="208" t="s">
        <v>12711</v>
      </c>
      <c r="B5" s="208" t="s">
        <v>45</v>
      </c>
      <c r="C5" s="208" t="s">
        <v>11144</v>
      </c>
      <c r="D5" s="208" t="s">
        <v>11145</v>
      </c>
      <c r="E5" s="208" t="s">
        <v>11146</v>
      </c>
      <c r="F5" s="208" t="s">
        <v>11147</v>
      </c>
      <c r="G5" s="210">
        <v>2495066</v>
      </c>
      <c r="H5" s="211">
        <v>2495066</v>
      </c>
      <c r="I5" s="211">
        <v>2495066</v>
      </c>
      <c r="J5" s="211">
        <v>1774.48</v>
      </c>
      <c r="K5" s="211">
        <v>0</v>
      </c>
      <c r="L5" s="211">
        <v>2496840.48</v>
      </c>
      <c r="M5" s="212">
        <v>6.88</v>
      </c>
      <c r="N5" s="213">
        <v>1.422851403933072</v>
      </c>
      <c r="O5" s="214" t="s">
        <v>44</v>
      </c>
      <c r="P5" s="214">
        <v>55153</v>
      </c>
      <c r="Q5" s="210">
        <v>6.88</v>
      </c>
      <c r="R5" s="211">
        <v>0.08</v>
      </c>
      <c r="S5" s="215">
        <v>2.6006750000000002E-3</v>
      </c>
      <c r="T5" s="208" t="s">
        <v>112</v>
      </c>
      <c r="U5" s="208" t="s">
        <v>46</v>
      </c>
      <c r="V5" s="208" t="s">
        <v>11148</v>
      </c>
      <c r="W5" s="208" t="s">
        <v>43</v>
      </c>
      <c r="X5" s="208" t="s">
        <v>44</v>
      </c>
      <c r="Y5" s="208" t="s">
        <v>44</v>
      </c>
      <c r="Z5" s="208" t="s">
        <v>44</v>
      </c>
      <c r="AA5" s="208" t="s">
        <v>44</v>
      </c>
      <c r="AB5" s="208" t="s">
        <v>44</v>
      </c>
      <c r="AC5" s="213"/>
      <c r="AD5" s="213"/>
      <c r="AE5" s="211">
        <v>0</v>
      </c>
      <c r="AF5" s="213">
        <v>0</v>
      </c>
      <c r="AG5" s="211">
        <v>1.42</v>
      </c>
      <c r="AH5" s="211">
        <v>2496840.48</v>
      </c>
      <c r="AI5" s="211">
        <v>1.4228514039330715</v>
      </c>
      <c r="AJ5" s="214">
        <v>44657</v>
      </c>
      <c r="AK5" s="208" t="s">
        <v>12712</v>
      </c>
      <c r="AL5" s="211">
        <v>0</v>
      </c>
      <c r="AM5" s="211">
        <v>6.88</v>
      </c>
      <c r="AN5" s="211">
        <v>0</v>
      </c>
      <c r="AO5" s="208" t="s">
        <v>11146</v>
      </c>
      <c r="AP5" s="208" t="s">
        <v>44</v>
      </c>
      <c r="AQ5" s="208" t="s">
        <v>11146</v>
      </c>
    </row>
    <row r="6" spans="1:45" x14ac:dyDescent="0.25">
      <c r="A6" s="208" t="s">
        <v>12711</v>
      </c>
      <c r="B6" s="208" t="s">
        <v>45</v>
      </c>
      <c r="C6" s="208" t="s">
        <v>47</v>
      </c>
      <c r="D6" s="208" t="s">
        <v>48</v>
      </c>
      <c r="E6" s="208" t="s">
        <v>49</v>
      </c>
      <c r="F6" s="208" t="s">
        <v>50</v>
      </c>
      <c r="G6" s="210">
        <v>0</v>
      </c>
      <c r="H6" s="211">
        <v>0</v>
      </c>
      <c r="I6" s="211">
        <v>0</v>
      </c>
      <c r="J6" s="211">
        <v>0</v>
      </c>
      <c r="K6" s="211">
        <v>0</v>
      </c>
      <c r="L6" s="211">
        <v>2128.9299999999998</v>
      </c>
      <c r="M6" s="212"/>
      <c r="N6" s="213">
        <v>1.2131936596026488E-3</v>
      </c>
      <c r="O6" s="214" t="s">
        <v>44</v>
      </c>
      <c r="P6" s="214" t="s">
        <v>44</v>
      </c>
      <c r="Q6" s="210"/>
      <c r="R6" s="211">
        <v>0.08</v>
      </c>
      <c r="S6" s="215"/>
      <c r="T6" s="208" t="s">
        <v>45</v>
      </c>
      <c r="U6" s="208" t="s">
        <v>46</v>
      </c>
      <c r="V6" s="208" t="s">
        <v>44</v>
      </c>
      <c r="W6" s="208" t="s">
        <v>43</v>
      </c>
      <c r="X6" s="208" t="s">
        <v>44</v>
      </c>
      <c r="Y6" s="208" t="s">
        <v>44</v>
      </c>
      <c r="Z6" s="208" t="s">
        <v>44</v>
      </c>
      <c r="AA6" s="208" t="s">
        <v>44</v>
      </c>
      <c r="AB6" s="208" t="s">
        <v>44</v>
      </c>
      <c r="AC6" s="213">
        <v>5.1163389600000002</v>
      </c>
      <c r="AD6" s="213">
        <v>5.0001424999999999</v>
      </c>
      <c r="AE6" s="211">
        <v>5.12</v>
      </c>
      <c r="AF6" s="213">
        <v>5.0001424999999999</v>
      </c>
      <c r="AG6" s="211">
        <v>0</v>
      </c>
      <c r="AH6" s="211">
        <v>2128.9299999999998</v>
      </c>
      <c r="AI6" s="211">
        <v>1.2131936596026488E-3</v>
      </c>
      <c r="AJ6" s="214">
        <v>44657</v>
      </c>
      <c r="AK6" s="208" t="s">
        <v>12712</v>
      </c>
      <c r="AL6" s="211">
        <v>5.05</v>
      </c>
      <c r="AM6" s="211">
        <v>0</v>
      </c>
      <c r="AN6" s="211">
        <v>0</v>
      </c>
      <c r="AO6" s="208" t="s">
        <v>44</v>
      </c>
      <c r="AP6" s="208" t="s">
        <v>44</v>
      </c>
      <c r="AQ6" s="208" t="s">
        <v>44</v>
      </c>
    </row>
    <row r="7" spans="1:45" x14ac:dyDescent="0.25">
      <c r="A7" s="208" t="s">
        <v>12711</v>
      </c>
      <c r="B7" s="208" t="s">
        <v>45</v>
      </c>
      <c r="C7" s="208" t="s">
        <v>47</v>
      </c>
      <c r="D7" s="208" t="s">
        <v>51</v>
      </c>
      <c r="E7" s="208" t="s">
        <v>52</v>
      </c>
      <c r="F7" s="208" t="s">
        <v>51</v>
      </c>
      <c r="G7" s="210">
        <v>439085.69</v>
      </c>
      <c r="H7" s="211">
        <v>439085.69</v>
      </c>
      <c r="I7" s="211">
        <v>439085.69</v>
      </c>
      <c r="J7" s="211">
        <v>0</v>
      </c>
      <c r="K7" s="211">
        <v>0</v>
      </c>
      <c r="L7" s="211">
        <v>439085.69</v>
      </c>
      <c r="M7" s="212"/>
      <c r="N7" s="213">
        <v>0.25021770332056675</v>
      </c>
      <c r="O7" s="214" t="s">
        <v>44</v>
      </c>
      <c r="P7" s="214" t="s">
        <v>44</v>
      </c>
      <c r="Q7" s="210"/>
      <c r="R7" s="211">
        <v>0.08</v>
      </c>
      <c r="S7" s="215"/>
      <c r="T7" s="208" t="s">
        <v>45</v>
      </c>
      <c r="U7" s="208" t="s">
        <v>53</v>
      </c>
      <c r="V7" s="208" t="s">
        <v>44</v>
      </c>
      <c r="W7" s="208" t="s">
        <v>43</v>
      </c>
      <c r="X7" s="208" t="s">
        <v>44</v>
      </c>
      <c r="Y7" s="208" t="s">
        <v>44</v>
      </c>
      <c r="Z7" s="208" t="s">
        <v>44</v>
      </c>
      <c r="AA7" s="208" t="s">
        <v>44</v>
      </c>
      <c r="AB7" s="208" t="s">
        <v>44</v>
      </c>
      <c r="AC7" s="213">
        <v>5.1163389600000002</v>
      </c>
      <c r="AD7" s="213">
        <v>5.0001424999999999</v>
      </c>
      <c r="AE7" s="211">
        <v>5.12</v>
      </c>
      <c r="AF7" s="213">
        <v>5.0001424999999999</v>
      </c>
      <c r="AG7" s="211">
        <v>0.25</v>
      </c>
      <c r="AH7" s="211">
        <v>439085.69</v>
      </c>
      <c r="AI7" s="211">
        <v>0.25021770332056675</v>
      </c>
      <c r="AJ7" s="214">
        <v>44657</v>
      </c>
      <c r="AK7" s="208" t="s">
        <v>12712</v>
      </c>
      <c r="AL7" s="211">
        <v>5.05</v>
      </c>
      <c r="AM7" s="211">
        <v>0</v>
      </c>
      <c r="AN7" s="211">
        <v>0</v>
      </c>
      <c r="AO7" s="208" t="s">
        <v>44</v>
      </c>
      <c r="AP7" s="208" t="s">
        <v>44</v>
      </c>
      <c r="AQ7" s="208" t="s">
        <v>43</v>
      </c>
    </row>
    <row r="8" spans="1:45" x14ac:dyDescent="0.25">
      <c r="A8" s="208" t="s">
        <v>12711</v>
      </c>
      <c r="B8" s="208" t="s">
        <v>45</v>
      </c>
      <c r="C8" s="208" t="s">
        <v>11005</v>
      </c>
      <c r="D8" s="208" t="s">
        <v>11149</v>
      </c>
      <c r="E8" s="208" t="s">
        <v>11150</v>
      </c>
      <c r="F8" s="208" t="s">
        <v>44</v>
      </c>
      <c r="G8" s="210">
        <v>-98560</v>
      </c>
      <c r="H8" s="211">
        <v>-98560</v>
      </c>
      <c r="I8" s="211">
        <v>-98560</v>
      </c>
      <c r="J8" s="211">
        <v>0</v>
      </c>
      <c r="K8" s="211"/>
      <c r="L8" s="211">
        <v>-98560</v>
      </c>
      <c r="M8" s="212"/>
      <c r="N8" s="213">
        <v>-5.6165476126710176E-2</v>
      </c>
      <c r="O8" s="214" t="s">
        <v>44</v>
      </c>
      <c r="P8" s="214">
        <v>73051</v>
      </c>
      <c r="Q8" s="210">
        <v>0</v>
      </c>
      <c r="R8" s="211">
        <v>0.08</v>
      </c>
      <c r="S8" s="215"/>
      <c r="T8" s="208" t="s">
        <v>45</v>
      </c>
      <c r="U8" s="208" t="s">
        <v>44</v>
      </c>
      <c r="V8" s="208" t="s">
        <v>44</v>
      </c>
      <c r="W8" s="208" t="s">
        <v>43</v>
      </c>
      <c r="X8" s="208" t="s">
        <v>44</v>
      </c>
      <c r="Y8" s="208" t="s">
        <v>44</v>
      </c>
      <c r="Z8" s="208" t="s">
        <v>44</v>
      </c>
      <c r="AA8" s="208" t="s">
        <v>44</v>
      </c>
      <c r="AB8" s="208" t="s">
        <v>44</v>
      </c>
      <c r="AC8" s="213">
        <v>5.1163389600000002</v>
      </c>
      <c r="AD8" s="213">
        <v>5.0001424999999999</v>
      </c>
      <c r="AE8" s="211">
        <v>5.12</v>
      </c>
      <c r="AF8" s="213">
        <v>5.0001424999999999</v>
      </c>
      <c r="AG8" s="211">
        <v>-0.06</v>
      </c>
      <c r="AH8" s="211">
        <v>-98560</v>
      </c>
      <c r="AI8" s="211">
        <v>-5.6165476126710162E-2</v>
      </c>
      <c r="AJ8" s="214">
        <v>44657</v>
      </c>
      <c r="AK8" s="208" t="s">
        <v>12712</v>
      </c>
      <c r="AL8" s="211">
        <v>5.05</v>
      </c>
      <c r="AM8" s="211">
        <v>0</v>
      </c>
      <c r="AN8" s="211">
        <v>0</v>
      </c>
      <c r="AO8" s="208" t="s">
        <v>44</v>
      </c>
      <c r="AP8" s="208" t="s">
        <v>44</v>
      </c>
      <c r="AQ8" s="208" t="s">
        <v>44</v>
      </c>
    </row>
    <row r="9" spans="1:45" x14ac:dyDescent="0.25">
      <c r="A9" s="208" t="s">
        <v>12711</v>
      </c>
      <c r="B9" s="208" t="s">
        <v>11013</v>
      </c>
      <c r="C9" s="208" t="s">
        <v>11014</v>
      </c>
      <c r="D9" s="208" t="s">
        <v>11751</v>
      </c>
      <c r="E9" s="208" t="s">
        <v>11752</v>
      </c>
      <c r="F9" s="208" t="s">
        <v>11751</v>
      </c>
      <c r="G9" s="210">
        <v>109415116.7377</v>
      </c>
      <c r="H9" s="211">
        <v>112687935.87</v>
      </c>
      <c r="I9" s="211">
        <v>108331907.08</v>
      </c>
      <c r="J9" s="211">
        <v>0</v>
      </c>
      <c r="K9" s="211">
        <v>0</v>
      </c>
      <c r="L9" s="211">
        <v>108331907.08</v>
      </c>
      <c r="M9" s="212">
        <v>0.99009999999999998</v>
      </c>
      <c r="N9" s="213">
        <v>61.734102484402641</v>
      </c>
      <c r="O9" s="214" t="s">
        <v>44</v>
      </c>
      <c r="P9" s="214" t="s">
        <v>44</v>
      </c>
      <c r="Q9" s="210"/>
      <c r="R9" s="211"/>
      <c r="S9" s="215"/>
      <c r="T9" s="208" t="s">
        <v>10902</v>
      </c>
      <c r="U9" s="208" t="s">
        <v>11003</v>
      </c>
      <c r="V9" s="208" t="s">
        <v>11003</v>
      </c>
      <c r="W9" s="208" t="s">
        <v>43</v>
      </c>
      <c r="X9" s="208" t="s">
        <v>44</v>
      </c>
      <c r="Y9" s="208" t="s">
        <v>44</v>
      </c>
      <c r="Z9" s="208" t="s">
        <v>44</v>
      </c>
      <c r="AA9" s="208" t="s">
        <v>44</v>
      </c>
      <c r="AB9" s="208" t="s">
        <v>44</v>
      </c>
      <c r="AC9" s="213"/>
      <c r="AD9" s="213"/>
      <c r="AE9" s="211">
        <v>0</v>
      </c>
      <c r="AF9" s="213">
        <v>0</v>
      </c>
      <c r="AG9" s="211">
        <v>61.77</v>
      </c>
      <c r="AH9" s="211">
        <v>108331907.08</v>
      </c>
      <c r="AI9" s="211">
        <v>61.734102484402634</v>
      </c>
      <c r="AJ9" s="214">
        <v>44657</v>
      </c>
      <c r="AK9" s="208" t="s">
        <v>12712</v>
      </c>
      <c r="AL9" s="211">
        <v>0</v>
      </c>
      <c r="AM9" s="211">
        <v>0</v>
      </c>
      <c r="AN9" s="211">
        <v>0</v>
      </c>
      <c r="AO9" s="208" t="s">
        <v>44</v>
      </c>
      <c r="AP9" s="208" t="s">
        <v>11753</v>
      </c>
      <c r="AQ9" s="208" t="s">
        <v>11752</v>
      </c>
    </row>
    <row r="10" spans="1:45" x14ac:dyDescent="0.25">
      <c r="A10" s="208" t="s">
        <v>12711</v>
      </c>
      <c r="B10" s="208" t="s">
        <v>11024</v>
      </c>
      <c r="C10" s="208" t="s">
        <v>57</v>
      </c>
      <c r="D10" s="208" t="s">
        <v>11754</v>
      </c>
      <c r="E10" s="208" t="s">
        <v>11754</v>
      </c>
      <c r="F10" s="208" t="s">
        <v>11754</v>
      </c>
      <c r="G10" s="210">
        <v>63</v>
      </c>
      <c r="H10" s="211">
        <v>0</v>
      </c>
      <c r="I10" s="211">
        <v>0</v>
      </c>
      <c r="J10" s="211">
        <v>0</v>
      </c>
      <c r="K10" s="211">
        <v>0</v>
      </c>
      <c r="L10" s="211">
        <v>0</v>
      </c>
      <c r="M10" s="212">
        <v>20762</v>
      </c>
      <c r="N10" s="213">
        <v>0</v>
      </c>
      <c r="O10" s="214" t="s">
        <v>44</v>
      </c>
      <c r="P10" s="214">
        <v>44727</v>
      </c>
      <c r="Q10" s="210"/>
      <c r="R10" s="211"/>
      <c r="S10" s="215"/>
      <c r="T10" s="208" t="s">
        <v>11026</v>
      </c>
      <c r="U10" s="208" t="s">
        <v>11025</v>
      </c>
      <c r="V10" s="208" t="s">
        <v>11027</v>
      </c>
      <c r="W10" s="208" t="s">
        <v>43</v>
      </c>
      <c r="X10" s="208" t="s">
        <v>44</v>
      </c>
      <c r="Y10" s="208" t="s">
        <v>44</v>
      </c>
      <c r="Z10" s="208" t="s">
        <v>44</v>
      </c>
      <c r="AA10" s="208" t="s">
        <v>44</v>
      </c>
      <c r="AB10" s="208" t="s">
        <v>44</v>
      </c>
      <c r="AC10" s="213"/>
      <c r="AD10" s="213"/>
      <c r="AE10" s="211">
        <v>0</v>
      </c>
      <c r="AF10" s="213">
        <v>0</v>
      </c>
      <c r="AG10" s="211">
        <v>0</v>
      </c>
      <c r="AH10" s="211">
        <v>13080060</v>
      </c>
      <c r="AI10" s="211">
        <v>7.4538128821625058</v>
      </c>
      <c r="AJ10" s="214">
        <v>44657</v>
      </c>
      <c r="AK10" s="208" t="s">
        <v>12712</v>
      </c>
      <c r="AL10" s="211">
        <v>0</v>
      </c>
      <c r="AM10" s="211">
        <v>0</v>
      </c>
      <c r="AN10" s="211">
        <v>0</v>
      </c>
      <c r="AO10" s="208" t="s">
        <v>44</v>
      </c>
      <c r="AP10" s="208" t="s">
        <v>11755</v>
      </c>
      <c r="AQ10" s="208" t="s">
        <v>11754</v>
      </c>
    </row>
    <row r="11" spans="1:45" x14ac:dyDescent="0.25">
      <c r="A11" s="208" t="s">
        <v>12711</v>
      </c>
      <c r="B11" s="208" t="s">
        <v>11024</v>
      </c>
      <c r="C11" s="208" t="s">
        <v>57</v>
      </c>
      <c r="D11" s="208" t="s">
        <v>11756</v>
      </c>
      <c r="E11" s="208" t="s">
        <v>11756</v>
      </c>
      <c r="F11" s="208" t="s">
        <v>11756</v>
      </c>
      <c r="G11" s="210">
        <v>35</v>
      </c>
      <c r="H11" s="211">
        <v>0</v>
      </c>
      <c r="I11" s="211">
        <v>0</v>
      </c>
      <c r="J11" s="211">
        <v>0</v>
      </c>
      <c r="K11" s="211">
        <v>0</v>
      </c>
      <c r="L11" s="211">
        <v>0</v>
      </c>
      <c r="M11" s="212">
        <v>30146</v>
      </c>
      <c r="N11" s="213">
        <v>0</v>
      </c>
      <c r="O11" s="214" t="s">
        <v>44</v>
      </c>
      <c r="P11" s="214">
        <v>44727</v>
      </c>
      <c r="Q11" s="210"/>
      <c r="R11" s="211"/>
      <c r="S11" s="215"/>
      <c r="T11" s="208" t="s">
        <v>11026</v>
      </c>
      <c r="U11" s="208" t="s">
        <v>11025</v>
      </c>
      <c r="V11" s="208" t="s">
        <v>11027</v>
      </c>
      <c r="W11" s="208" t="s">
        <v>43</v>
      </c>
      <c r="X11" s="208" t="s">
        <v>44</v>
      </c>
      <c r="Y11" s="208" t="s">
        <v>44</v>
      </c>
      <c r="Z11" s="208" t="s">
        <v>44</v>
      </c>
      <c r="AA11" s="208" t="s">
        <v>44</v>
      </c>
      <c r="AB11" s="208" t="s">
        <v>44</v>
      </c>
      <c r="AC11" s="213"/>
      <c r="AD11" s="213"/>
      <c r="AE11" s="211">
        <v>0</v>
      </c>
      <c r="AF11" s="213">
        <v>0</v>
      </c>
      <c r="AG11" s="211">
        <v>0</v>
      </c>
      <c r="AH11" s="211">
        <v>10551100</v>
      </c>
      <c r="AI11" s="211">
        <v>6.0126578242748741</v>
      </c>
      <c r="AJ11" s="214">
        <v>44657</v>
      </c>
      <c r="AK11" s="208" t="s">
        <v>12712</v>
      </c>
      <c r="AL11" s="211">
        <v>0</v>
      </c>
      <c r="AM11" s="211">
        <v>0</v>
      </c>
      <c r="AN11" s="211">
        <v>0</v>
      </c>
      <c r="AO11" s="208" t="s">
        <v>44</v>
      </c>
      <c r="AP11" s="208" t="s">
        <v>11757</v>
      </c>
      <c r="AQ11" s="208" t="s">
        <v>11756</v>
      </c>
    </row>
    <row r="12" spans="1:45" x14ac:dyDescent="0.25">
      <c r="A12" s="208" t="s">
        <v>12711</v>
      </c>
      <c r="B12" s="208" t="s">
        <v>11037</v>
      </c>
      <c r="C12" s="208" t="s">
        <v>11276</v>
      </c>
      <c r="D12" s="208" t="s">
        <v>6473</v>
      </c>
      <c r="E12" s="208" t="s">
        <v>4464</v>
      </c>
      <c r="F12" s="208" t="s">
        <v>6473</v>
      </c>
      <c r="G12" s="210">
        <v>2549</v>
      </c>
      <c r="H12" s="211">
        <v>255533.54</v>
      </c>
      <c r="I12" s="211">
        <v>281562.53999999998</v>
      </c>
      <c r="J12" s="211">
        <v>0</v>
      </c>
      <c r="K12" s="211">
        <v>12872.45</v>
      </c>
      <c r="L12" s="211">
        <v>294434.99</v>
      </c>
      <c r="M12" s="212">
        <v>11046</v>
      </c>
      <c r="N12" s="213">
        <v>0.16778694604010902</v>
      </c>
      <c r="O12" s="214" t="s">
        <v>44</v>
      </c>
      <c r="P12" s="214" t="s">
        <v>44</v>
      </c>
      <c r="Q12" s="210"/>
      <c r="R12" s="211"/>
      <c r="S12" s="215"/>
      <c r="T12" s="208" t="s">
        <v>10902</v>
      </c>
      <c r="U12" s="208" t="s">
        <v>10902</v>
      </c>
      <c r="V12" s="208" t="s">
        <v>10902</v>
      </c>
      <c r="W12" s="208" t="s">
        <v>43</v>
      </c>
      <c r="X12" s="208" t="s">
        <v>11277</v>
      </c>
      <c r="Y12" s="208" t="s">
        <v>11277</v>
      </c>
      <c r="Z12" s="208" t="s">
        <v>11276</v>
      </c>
      <c r="AA12" s="208" t="s">
        <v>44</v>
      </c>
      <c r="AB12" s="208" t="s">
        <v>44</v>
      </c>
      <c r="AC12" s="213"/>
      <c r="AD12" s="213"/>
      <c r="AE12" s="211">
        <v>0</v>
      </c>
      <c r="AF12" s="213">
        <v>0</v>
      </c>
      <c r="AG12" s="211">
        <v>0.17</v>
      </c>
      <c r="AH12" s="211">
        <v>294434.99</v>
      </c>
      <c r="AI12" s="211">
        <v>0.16778694604010902</v>
      </c>
      <c r="AJ12" s="214">
        <v>44657</v>
      </c>
      <c r="AK12" s="208" t="s">
        <v>12712</v>
      </c>
      <c r="AL12" s="211">
        <v>0</v>
      </c>
      <c r="AM12" s="211">
        <v>0</v>
      </c>
      <c r="AN12" s="211">
        <v>0</v>
      </c>
      <c r="AO12" s="208" t="s">
        <v>44</v>
      </c>
      <c r="AP12" s="208" t="s">
        <v>11278</v>
      </c>
      <c r="AQ12" s="208" t="s">
        <v>4464</v>
      </c>
    </row>
    <row r="13" spans="1:45" x14ac:dyDescent="0.25">
      <c r="A13" s="208" t="s">
        <v>12711</v>
      </c>
      <c r="B13" s="208" t="s">
        <v>11037</v>
      </c>
      <c r="C13" s="208" t="s">
        <v>11276</v>
      </c>
      <c r="D13" s="208" t="s">
        <v>6316</v>
      </c>
      <c r="E13" s="208" t="s">
        <v>4585</v>
      </c>
      <c r="F13" s="208" t="s">
        <v>6316</v>
      </c>
      <c r="G13" s="210">
        <v>3217</v>
      </c>
      <c r="H13" s="211">
        <v>561695.59</v>
      </c>
      <c r="I13" s="211">
        <v>881876.21</v>
      </c>
      <c r="J13" s="211">
        <v>0</v>
      </c>
      <c r="K13" s="211">
        <v>0</v>
      </c>
      <c r="L13" s="211">
        <v>881876.21</v>
      </c>
      <c r="M13" s="212">
        <v>27413</v>
      </c>
      <c r="N13" s="213">
        <v>0.50254664386636205</v>
      </c>
      <c r="O13" s="214" t="s">
        <v>44</v>
      </c>
      <c r="P13" s="214" t="s">
        <v>44</v>
      </c>
      <c r="Q13" s="210"/>
      <c r="R13" s="211"/>
      <c r="S13" s="215"/>
      <c r="T13" s="208" t="s">
        <v>10902</v>
      </c>
      <c r="U13" s="208" t="s">
        <v>10902</v>
      </c>
      <c r="V13" s="208" t="s">
        <v>10902</v>
      </c>
      <c r="W13" s="208" t="s">
        <v>43</v>
      </c>
      <c r="X13" s="208" t="s">
        <v>11279</v>
      </c>
      <c r="Y13" s="208" t="s">
        <v>11280</v>
      </c>
      <c r="Z13" s="208" t="s">
        <v>11276</v>
      </c>
      <c r="AA13" s="208" t="s">
        <v>44</v>
      </c>
      <c r="AB13" s="208" t="s">
        <v>44</v>
      </c>
      <c r="AC13" s="213"/>
      <c r="AD13" s="213"/>
      <c r="AE13" s="211">
        <v>0</v>
      </c>
      <c r="AF13" s="213">
        <v>0</v>
      </c>
      <c r="AG13" s="211">
        <v>0.5</v>
      </c>
      <c r="AH13" s="211">
        <v>881876.21</v>
      </c>
      <c r="AI13" s="211">
        <v>0.50254664386636194</v>
      </c>
      <c r="AJ13" s="214">
        <v>44657</v>
      </c>
      <c r="AK13" s="208" t="s">
        <v>12712</v>
      </c>
      <c r="AL13" s="211">
        <v>0</v>
      </c>
      <c r="AM13" s="211">
        <v>0</v>
      </c>
      <c r="AN13" s="211">
        <v>0</v>
      </c>
      <c r="AO13" s="208" t="s">
        <v>44</v>
      </c>
      <c r="AP13" s="208" t="s">
        <v>11281</v>
      </c>
      <c r="AQ13" s="208" t="s">
        <v>4585</v>
      </c>
    </row>
    <row r="14" spans="1:45" x14ac:dyDescent="0.25">
      <c r="A14" s="208" t="s">
        <v>12711</v>
      </c>
      <c r="B14" s="208" t="s">
        <v>11037</v>
      </c>
      <c r="C14" s="208" t="s">
        <v>11276</v>
      </c>
      <c r="D14" s="208" t="s">
        <v>11661</v>
      </c>
      <c r="E14" s="208" t="s">
        <v>4578</v>
      </c>
      <c r="F14" s="208" t="s">
        <v>11661</v>
      </c>
      <c r="G14" s="210">
        <v>1854</v>
      </c>
      <c r="H14" s="211">
        <v>1191312.58</v>
      </c>
      <c r="I14" s="211">
        <v>1432215</v>
      </c>
      <c r="J14" s="211">
        <v>0</v>
      </c>
      <c r="K14" s="211">
        <v>18997.88</v>
      </c>
      <c r="L14" s="211">
        <v>1451212.88</v>
      </c>
      <c r="M14" s="212">
        <v>77250</v>
      </c>
      <c r="N14" s="213">
        <v>0.82698926913975546</v>
      </c>
      <c r="O14" s="214" t="s">
        <v>44</v>
      </c>
      <c r="P14" s="214" t="s">
        <v>44</v>
      </c>
      <c r="Q14" s="210"/>
      <c r="R14" s="211"/>
      <c r="S14" s="215"/>
      <c r="T14" s="208" t="s">
        <v>10902</v>
      </c>
      <c r="U14" s="208" t="s">
        <v>10902</v>
      </c>
      <c r="V14" s="208" t="s">
        <v>10902</v>
      </c>
      <c r="W14" s="208" t="s">
        <v>43</v>
      </c>
      <c r="X14" s="208" t="s">
        <v>11279</v>
      </c>
      <c r="Y14" s="208" t="s">
        <v>11280</v>
      </c>
      <c r="Z14" s="208" t="s">
        <v>11276</v>
      </c>
      <c r="AA14" s="208" t="s">
        <v>44</v>
      </c>
      <c r="AB14" s="208" t="s">
        <v>44</v>
      </c>
      <c r="AC14" s="213"/>
      <c r="AD14" s="213"/>
      <c r="AE14" s="211">
        <v>0</v>
      </c>
      <c r="AF14" s="213">
        <v>0</v>
      </c>
      <c r="AG14" s="211">
        <v>0.83</v>
      </c>
      <c r="AH14" s="211">
        <v>1451212.88</v>
      </c>
      <c r="AI14" s="211">
        <v>0.82698926913975535</v>
      </c>
      <c r="AJ14" s="214">
        <v>44657</v>
      </c>
      <c r="AK14" s="208" t="s">
        <v>12712</v>
      </c>
      <c r="AL14" s="211">
        <v>0</v>
      </c>
      <c r="AM14" s="211">
        <v>0</v>
      </c>
      <c r="AN14" s="211">
        <v>0</v>
      </c>
      <c r="AO14" s="208" t="s">
        <v>44</v>
      </c>
      <c r="AP14" s="208" t="s">
        <v>2559</v>
      </c>
      <c r="AQ14" s="208" t="s">
        <v>4578</v>
      </c>
    </row>
    <row r="15" spans="1:45" x14ac:dyDescent="0.25">
      <c r="A15" s="208" t="s">
        <v>12711</v>
      </c>
      <c r="B15" s="208" t="s">
        <v>11037</v>
      </c>
      <c r="C15" s="208" t="s">
        <v>11276</v>
      </c>
      <c r="D15" s="208" t="s">
        <v>11282</v>
      </c>
      <c r="E15" s="208" t="s">
        <v>7222</v>
      </c>
      <c r="F15" s="208" t="s">
        <v>11282</v>
      </c>
      <c r="G15" s="210">
        <v>12000</v>
      </c>
      <c r="H15" s="211">
        <v>262633.12</v>
      </c>
      <c r="I15" s="211">
        <v>153960</v>
      </c>
      <c r="J15" s="211">
        <v>0</v>
      </c>
      <c r="K15" s="211">
        <v>0</v>
      </c>
      <c r="L15" s="211">
        <v>153960</v>
      </c>
      <c r="M15" s="212">
        <v>1283</v>
      </c>
      <c r="N15" s="213">
        <v>8.7735762017738417E-2</v>
      </c>
      <c r="O15" s="214" t="s">
        <v>44</v>
      </c>
      <c r="P15" s="214" t="s">
        <v>44</v>
      </c>
      <c r="Q15" s="210"/>
      <c r="R15" s="211"/>
      <c r="S15" s="215"/>
      <c r="T15" s="208" t="s">
        <v>10902</v>
      </c>
      <c r="U15" s="208" t="s">
        <v>10902</v>
      </c>
      <c r="V15" s="208" t="s">
        <v>10902</v>
      </c>
      <c r="W15" s="208" t="s">
        <v>43</v>
      </c>
      <c r="X15" s="208" t="s">
        <v>11279</v>
      </c>
      <c r="Y15" s="208" t="s">
        <v>11280</v>
      </c>
      <c r="Z15" s="208" t="s">
        <v>11276</v>
      </c>
      <c r="AA15" s="208" t="s">
        <v>44</v>
      </c>
      <c r="AB15" s="208" t="s">
        <v>44</v>
      </c>
      <c r="AC15" s="213"/>
      <c r="AD15" s="213"/>
      <c r="AE15" s="211">
        <v>0</v>
      </c>
      <c r="AF15" s="213">
        <v>0</v>
      </c>
      <c r="AG15" s="211">
        <v>0.09</v>
      </c>
      <c r="AH15" s="211">
        <v>153960</v>
      </c>
      <c r="AI15" s="211">
        <v>8.7735762017738403E-2</v>
      </c>
      <c r="AJ15" s="214">
        <v>44657</v>
      </c>
      <c r="AK15" s="208" t="s">
        <v>12712</v>
      </c>
      <c r="AL15" s="211">
        <v>0</v>
      </c>
      <c r="AM15" s="211">
        <v>0</v>
      </c>
      <c r="AN15" s="211">
        <v>0</v>
      </c>
      <c r="AO15" s="208" t="s">
        <v>44</v>
      </c>
      <c r="AP15" s="208" t="s">
        <v>11283</v>
      </c>
      <c r="AQ15" s="208" t="s">
        <v>7222</v>
      </c>
    </row>
    <row r="16" spans="1:45" x14ac:dyDescent="0.25">
      <c r="A16" s="208" t="s">
        <v>12711</v>
      </c>
      <c r="B16" s="208" t="s">
        <v>11037</v>
      </c>
      <c r="C16" s="208" t="s">
        <v>11276</v>
      </c>
      <c r="D16" s="208" t="s">
        <v>11284</v>
      </c>
      <c r="E16" s="208" t="s">
        <v>4506</v>
      </c>
      <c r="F16" s="208" t="s">
        <v>11284</v>
      </c>
      <c r="G16" s="210">
        <v>8965</v>
      </c>
      <c r="H16" s="211">
        <v>506585.13</v>
      </c>
      <c r="I16" s="211">
        <v>616074.80000000005</v>
      </c>
      <c r="J16" s="211">
        <v>0</v>
      </c>
      <c r="K16" s="211">
        <v>3586</v>
      </c>
      <c r="L16" s="211">
        <v>619660.80000000005</v>
      </c>
      <c r="M16" s="212">
        <v>6872</v>
      </c>
      <c r="N16" s="213">
        <v>0.35312037204807356</v>
      </c>
      <c r="O16" s="214" t="s">
        <v>44</v>
      </c>
      <c r="P16" s="214" t="s">
        <v>44</v>
      </c>
      <c r="Q16" s="210"/>
      <c r="R16" s="211"/>
      <c r="S16" s="215"/>
      <c r="T16" s="208" t="s">
        <v>10902</v>
      </c>
      <c r="U16" s="208" t="s">
        <v>10902</v>
      </c>
      <c r="V16" s="208" t="s">
        <v>10902</v>
      </c>
      <c r="W16" s="208" t="s">
        <v>43</v>
      </c>
      <c r="X16" s="208" t="s">
        <v>11279</v>
      </c>
      <c r="Y16" s="208" t="s">
        <v>11280</v>
      </c>
      <c r="Z16" s="208" t="s">
        <v>11276</v>
      </c>
      <c r="AA16" s="208" t="s">
        <v>44</v>
      </c>
      <c r="AB16" s="208" t="s">
        <v>44</v>
      </c>
      <c r="AC16" s="213"/>
      <c r="AD16" s="213"/>
      <c r="AE16" s="211">
        <v>0</v>
      </c>
      <c r="AF16" s="213">
        <v>0</v>
      </c>
      <c r="AG16" s="211">
        <v>0.35</v>
      </c>
      <c r="AH16" s="211">
        <v>619660.80000000005</v>
      </c>
      <c r="AI16" s="211">
        <v>0.35312037204807345</v>
      </c>
      <c r="AJ16" s="214">
        <v>44657</v>
      </c>
      <c r="AK16" s="208" t="s">
        <v>12712</v>
      </c>
      <c r="AL16" s="211">
        <v>0</v>
      </c>
      <c r="AM16" s="211">
        <v>0</v>
      </c>
      <c r="AN16" s="211">
        <v>0</v>
      </c>
      <c r="AO16" s="208" t="s">
        <v>44</v>
      </c>
      <c r="AP16" s="208" t="s">
        <v>11285</v>
      </c>
      <c r="AQ16" s="208" t="s">
        <v>4506</v>
      </c>
    </row>
    <row r="17" spans="1:43" x14ac:dyDescent="0.25">
      <c r="A17" s="208" t="s">
        <v>12711</v>
      </c>
      <c r="B17" s="208" t="s">
        <v>11037</v>
      </c>
      <c r="C17" s="208" t="s">
        <v>11276</v>
      </c>
      <c r="D17" s="208" t="s">
        <v>6278</v>
      </c>
      <c r="E17" s="208" t="s">
        <v>4640</v>
      </c>
      <c r="F17" s="208" t="s">
        <v>6278</v>
      </c>
      <c r="G17" s="210">
        <v>1988</v>
      </c>
      <c r="H17" s="211">
        <v>1025864.61</v>
      </c>
      <c r="I17" s="211">
        <v>1358122.08</v>
      </c>
      <c r="J17" s="211">
        <v>0</v>
      </c>
      <c r="K17" s="211">
        <v>0</v>
      </c>
      <c r="L17" s="211">
        <v>1358122.08</v>
      </c>
      <c r="M17" s="212">
        <v>68316</v>
      </c>
      <c r="N17" s="213">
        <v>0.7739404754606124</v>
      </c>
      <c r="O17" s="214" t="s">
        <v>44</v>
      </c>
      <c r="P17" s="214" t="s">
        <v>44</v>
      </c>
      <c r="Q17" s="210"/>
      <c r="R17" s="211"/>
      <c r="S17" s="215"/>
      <c r="T17" s="208" t="s">
        <v>10902</v>
      </c>
      <c r="U17" s="208" t="s">
        <v>10902</v>
      </c>
      <c r="V17" s="208" t="s">
        <v>10902</v>
      </c>
      <c r="W17" s="208" t="s">
        <v>43</v>
      </c>
      <c r="X17" s="208" t="s">
        <v>11286</v>
      </c>
      <c r="Y17" s="208" t="s">
        <v>11280</v>
      </c>
      <c r="Z17" s="208" t="s">
        <v>11276</v>
      </c>
      <c r="AA17" s="208" t="s">
        <v>44</v>
      </c>
      <c r="AB17" s="208" t="s">
        <v>44</v>
      </c>
      <c r="AC17" s="213"/>
      <c r="AD17" s="213"/>
      <c r="AE17" s="211">
        <v>0</v>
      </c>
      <c r="AF17" s="213">
        <v>0</v>
      </c>
      <c r="AG17" s="211">
        <v>0.77</v>
      </c>
      <c r="AH17" s="211">
        <v>1358122.08</v>
      </c>
      <c r="AI17" s="211">
        <v>0.77394047546061229</v>
      </c>
      <c r="AJ17" s="214">
        <v>44657</v>
      </c>
      <c r="AK17" s="208" t="s">
        <v>12712</v>
      </c>
      <c r="AL17" s="211">
        <v>0</v>
      </c>
      <c r="AM17" s="211">
        <v>0</v>
      </c>
      <c r="AN17" s="211">
        <v>0</v>
      </c>
      <c r="AO17" s="208" t="s">
        <v>44</v>
      </c>
      <c r="AP17" s="208" t="s">
        <v>11287</v>
      </c>
      <c r="AQ17" s="208" t="s">
        <v>4640</v>
      </c>
    </row>
    <row r="18" spans="1:43" x14ac:dyDescent="0.25">
      <c r="A18" s="208" t="s">
        <v>12711</v>
      </c>
      <c r="B18" s="208" t="s">
        <v>11037</v>
      </c>
      <c r="C18" s="208" t="s">
        <v>11276</v>
      </c>
      <c r="D18" s="208" t="s">
        <v>11290</v>
      </c>
      <c r="E18" s="208" t="s">
        <v>4478</v>
      </c>
      <c r="F18" s="208" t="s">
        <v>11290</v>
      </c>
      <c r="G18" s="210">
        <v>5500</v>
      </c>
      <c r="H18" s="211">
        <v>306314.99</v>
      </c>
      <c r="I18" s="211">
        <v>418055</v>
      </c>
      <c r="J18" s="211">
        <v>0</v>
      </c>
      <c r="K18" s="211">
        <v>0</v>
      </c>
      <c r="L18" s="211">
        <v>418055</v>
      </c>
      <c r="M18" s="212">
        <v>7601</v>
      </c>
      <c r="N18" s="213">
        <v>0.23823313841468971</v>
      </c>
      <c r="O18" s="214" t="s">
        <v>44</v>
      </c>
      <c r="P18" s="214" t="s">
        <v>44</v>
      </c>
      <c r="Q18" s="210"/>
      <c r="R18" s="211"/>
      <c r="S18" s="215"/>
      <c r="T18" s="208" t="s">
        <v>10902</v>
      </c>
      <c r="U18" s="208" t="s">
        <v>10902</v>
      </c>
      <c r="V18" s="208" t="s">
        <v>10902</v>
      </c>
      <c r="W18" s="208" t="s">
        <v>43</v>
      </c>
      <c r="X18" s="208" t="s">
        <v>11277</v>
      </c>
      <c r="Y18" s="208" t="s">
        <v>11277</v>
      </c>
      <c r="Z18" s="208" t="s">
        <v>11276</v>
      </c>
      <c r="AA18" s="208" t="s">
        <v>44</v>
      </c>
      <c r="AB18" s="208" t="s">
        <v>44</v>
      </c>
      <c r="AC18" s="213"/>
      <c r="AD18" s="213"/>
      <c r="AE18" s="211">
        <v>0</v>
      </c>
      <c r="AF18" s="213">
        <v>0</v>
      </c>
      <c r="AG18" s="211">
        <v>0.24</v>
      </c>
      <c r="AH18" s="211">
        <v>418055</v>
      </c>
      <c r="AI18" s="211">
        <v>0.23823313841468968</v>
      </c>
      <c r="AJ18" s="214">
        <v>44657</v>
      </c>
      <c r="AK18" s="208" t="s">
        <v>12712</v>
      </c>
      <c r="AL18" s="211">
        <v>0</v>
      </c>
      <c r="AM18" s="211">
        <v>0</v>
      </c>
      <c r="AN18" s="211">
        <v>0</v>
      </c>
      <c r="AO18" s="208" t="s">
        <v>44</v>
      </c>
      <c r="AP18" s="208" t="s">
        <v>11291</v>
      </c>
      <c r="AQ18" s="208" t="s">
        <v>4478</v>
      </c>
    </row>
    <row r="19" spans="1:43" x14ac:dyDescent="0.25">
      <c r="A19" s="208" t="s">
        <v>12711</v>
      </c>
      <c r="B19" s="208" t="s">
        <v>11037</v>
      </c>
      <c r="C19" s="208" t="s">
        <v>11276</v>
      </c>
      <c r="D19" s="208" t="s">
        <v>11292</v>
      </c>
      <c r="E19" s="208" t="s">
        <v>4513</v>
      </c>
      <c r="F19" s="208" t="s">
        <v>11292</v>
      </c>
      <c r="G19" s="210">
        <v>30000</v>
      </c>
      <c r="H19" s="211">
        <v>172288.66</v>
      </c>
      <c r="I19" s="211">
        <v>132000</v>
      </c>
      <c r="J19" s="211">
        <v>0</v>
      </c>
      <c r="K19" s="211">
        <v>0</v>
      </c>
      <c r="L19" s="211">
        <v>132000</v>
      </c>
      <c r="M19" s="212">
        <v>440</v>
      </c>
      <c r="N19" s="213">
        <v>7.522161981255826E-2</v>
      </c>
      <c r="O19" s="214" t="s">
        <v>44</v>
      </c>
      <c r="P19" s="214" t="s">
        <v>44</v>
      </c>
      <c r="Q19" s="210"/>
      <c r="R19" s="211"/>
      <c r="S19" s="215"/>
      <c r="T19" s="208" t="s">
        <v>10902</v>
      </c>
      <c r="U19" s="208" t="s">
        <v>10902</v>
      </c>
      <c r="V19" s="208" t="s">
        <v>10902</v>
      </c>
      <c r="W19" s="208" t="s">
        <v>43</v>
      </c>
      <c r="X19" s="208" t="s">
        <v>11279</v>
      </c>
      <c r="Y19" s="208" t="s">
        <v>11280</v>
      </c>
      <c r="Z19" s="208" t="s">
        <v>11276</v>
      </c>
      <c r="AA19" s="208" t="s">
        <v>44</v>
      </c>
      <c r="AB19" s="208" t="s">
        <v>44</v>
      </c>
      <c r="AC19" s="213"/>
      <c r="AD19" s="213"/>
      <c r="AE19" s="211">
        <v>0</v>
      </c>
      <c r="AF19" s="213">
        <v>0</v>
      </c>
      <c r="AG19" s="211">
        <v>0.08</v>
      </c>
      <c r="AH19" s="211">
        <v>132000</v>
      </c>
      <c r="AI19" s="211">
        <v>7.5221619812558246E-2</v>
      </c>
      <c r="AJ19" s="214">
        <v>44657</v>
      </c>
      <c r="AK19" s="208" t="s">
        <v>12712</v>
      </c>
      <c r="AL19" s="211">
        <v>0</v>
      </c>
      <c r="AM19" s="211">
        <v>0</v>
      </c>
      <c r="AN19" s="211">
        <v>0</v>
      </c>
      <c r="AO19" s="208" t="s">
        <v>44</v>
      </c>
      <c r="AP19" s="208" t="s">
        <v>11293</v>
      </c>
      <c r="AQ19" s="208" t="s">
        <v>4513</v>
      </c>
    </row>
    <row r="20" spans="1:43" x14ac:dyDescent="0.25">
      <c r="A20" s="208" t="s">
        <v>12711</v>
      </c>
      <c r="B20" s="208" t="s">
        <v>11037</v>
      </c>
      <c r="C20" s="208" t="s">
        <v>11276</v>
      </c>
      <c r="D20" s="208" t="s">
        <v>6743</v>
      </c>
      <c r="E20" s="208" t="s">
        <v>4570</v>
      </c>
      <c r="F20" s="208" t="s">
        <v>6743</v>
      </c>
      <c r="G20" s="210">
        <v>2900</v>
      </c>
      <c r="H20" s="211">
        <v>186567.66</v>
      </c>
      <c r="I20" s="211">
        <v>463536</v>
      </c>
      <c r="J20" s="211">
        <v>0</v>
      </c>
      <c r="K20" s="211">
        <v>0</v>
      </c>
      <c r="L20" s="211">
        <v>463536</v>
      </c>
      <c r="M20" s="212">
        <v>15984</v>
      </c>
      <c r="N20" s="213">
        <v>0.26415097546540917</v>
      </c>
      <c r="O20" s="214" t="s">
        <v>44</v>
      </c>
      <c r="P20" s="214" t="s">
        <v>44</v>
      </c>
      <c r="Q20" s="210"/>
      <c r="R20" s="211"/>
      <c r="S20" s="215"/>
      <c r="T20" s="208" t="s">
        <v>10902</v>
      </c>
      <c r="U20" s="208" t="s">
        <v>10902</v>
      </c>
      <c r="V20" s="208" t="s">
        <v>10902</v>
      </c>
      <c r="W20" s="208" t="s">
        <v>43</v>
      </c>
      <c r="X20" s="208" t="s">
        <v>11279</v>
      </c>
      <c r="Y20" s="208" t="s">
        <v>11280</v>
      </c>
      <c r="Z20" s="208" t="s">
        <v>11276</v>
      </c>
      <c r="AA20" s="208" t="s">
        <v>44</v>
      </c>
      <c r="AB20" s="208" t="s">
        <v>44</v>
      </c>
      <c r="AC20" s="213"/>
      <c r="AD20" s="213"/>
      <c r="AE20" s="211">
        <v>0</v>
      </c>
      <c r="AF20" s="213">
        <v>0</v>
      </c>
      <c r="AG20" s="211">
        <v>0.26</v>
      </c>
      <c r="AH20" s="211">
        <v>463536</v>
      </c>
      <c r="AI20" s="211">
        <v>0.26415097546540911</v>
      </c>
      <c r="AJ20" s="214">
        <v>44657</v>
      </c>
      <c r="AK20" s="208" t="s">
        <v>12712</v>
      </c>
      <c r="AL20" s="211">
        <v>0</v>
      </c>
      <c r="AM20" s="211">
        <v>0</v>
      </c>
      <c r="AN20" s="211">
        <v>0</v>
      </c>
      <c r="AO20" s="208" t="s">
        <v>44</v>
      </c>
      <c r="AP20" s="208" t="s">
        <v>11294</v>
      </c>
      <c r="AQ20" s="208" t="s">
        <v>4570</v>
      </c>
    </row>
    <row r="21" spans="1:43" x14ac:dyDescent="0.25">
      <c r="A21" s="208" t="s">
        <v>12711</v>
      </c>
      <c r="B21" s="208" t="s">
        <v>11037</v>
      </c>
      <c r="C21" s="208" t="s">
        <v>11276</v>
      </c>
      <c r="D21" s="208" t="s">
        <v>6209</v>
      </c>
      <c r="E21" s="208" t="s">
        <v>520</v>
      </c>
      <c r="F21" s="208" t="s">
        <v>6209</v>
      </c>
      <c r="G21" s="210">
        <v>13213</v>
      </c>
      <c r="H21" s="211">
        <v>501193.93</v>
      </c>
      <c r="I21" s="211">
        <v>746402.37</v>
      </c>
      <c r="J21" s="211">
        <v>0</v>
      </c>
      <c r="K21" s="211">
        <v>0</v>
      </c>
      <c r="L21" s="211">
        <v>746402.37</v>
      </c>
      <c r="M21" s="212">
        <v>5649</v>
      </c>
      <c r="N21" s="213">
        <v>0.42534541896463968</v>
      </c>
      <c r="O21" s="214" t="s">
        <v>44</v>
      </c>
      <c r="P21" s="214" t="s">
        <v>44</v>
      </c>
      <c r="Q21" s="210"/>
      <c r="R21" s="211"/>
      <c r="S21" s="215"/>
      <c r="T21" s="208" t="s">
        <v>10902</v>
      </c>
      <c r="U21" s="208" t="s">
        <v>10902</v>
      </c>
      <c r="V21" s="208" t="s">
        <v>10902</v>
      </c>
      <c r="W21" s="208" t="s">
        <v>43</v>
      </c>
      <c r="X21" s="208" t="s">
        <v>11289</v>
      </c>
      <c r="Y21" s="208" t="s">
        <v>11280</v>
      </c>
      <c r="Z21" s="208" t="s">
        <v>11276</v>
      </c>
      <c r="AA21" s="208" t="s">
        <v>44</v>
      </c>
      <c r="AB21" s="208" t="s">
        <v>44</v>
      </c>
      <c r="AC21" s="213"/>
      <c r="AD21" s="213"/>
      <c r="AE21" s="211">
        <v>0</v>
      </c>
      <c r="AF21" s="213">
        <v>0</v>
      </c>
      <c r="AG21" s="211">
        <v>0.43</v>
      </c>
      <c r="AH21" s="211">
        <v>746402.37</v>
      </c>
      <c r="AI21" s="211">
        <v>0.42534541896463962</v>
      </c>
      <c r="AJ21" s="214">
        <v>44657</v>
      </c>
      <c r="AK21" s="208" t="s">
        <v>12712</v>
      </c>
      <c r="AL21" s="211">
        <v>0</v>
      </c>
      <c r="AM21" s="211">
        <v>0</v>
      </c>
      <c r="AN21" s="211">
        <v>0</v>
      </c>
      <c r="AO21" s="208" t="s">
        <v>44</v>
      </c>
      <c r="AP21" s="208" t="s">
        <v>11295</v>
      </c>
      <c r="AQ21" s="208" t="s">
        <v>520</v>
      </c>
    </row>
    <row r="22" spans="1:43" x14ac:dyDescent="0.25">
      <c r="A22" s="208" t="s">
        <v>12711</v>
      </c>
      <c r="B22" s="208" t="s">
        <v>11037</v>
      </c>
      <c r="C22" s="208" t="s">
        <v>11276</v>
      </c>
      <c r="D22" s="208" t="s">
        <v>11678</v>
      </c>
      <c r="E22" s="208" t="s">
        <v>11679</v>
      </c>
      <c r="F22" s="208" t="s">
        <v>11680</v>
      </c>
      <c r="G22" s="210">
        <v>800</v>
      </c>
      <c r="H22" s="211">
        <v>127732.2</v>
      </c>
      <c r="I22" s="211">
        <v>189368</v>
      </c>
      <c r="J22" s="211">
        <v>0</v>
      </c>
      <c r="K22" s="211">
        <v>0</v>
      </c>
      <c r="L22" s="211">
        <v>189368</v>
      </c>
      <c r="M22" s="212">
        <v>23671</v>
      </c>
      <c r="N22" s="213">
        <v>0.10791339167170101</v>
      </c>
      <c r="O22" s="214" t="s">
        <v>44</v>
      </c>
      <c r="P22" s="214" t="s">
        <v>44</v>
      </c>
      <c r="Q22" s="210"/>
      <c r="R22" s="211"/>
      <c r="S22" s="215"/>
      <c r="T22" s="208" t="s">
        <v>10902</v>
      </c>
      <c r="U22" s="208" t="s">
        <v>10902</v>
      </c>
      <c r="V22" s="208" t="s">
        <v>10902</v>
      </c>
      <c r="W22" s="208" t="s">
        <v>43</v>
      </c>
      <c r="X22" s="208" t="s">
        <v>11279</v>
      </c>
      <c r="Y22" s="208" t="s">
        <v>11280</v>
      </c>
      <c r="Z22" s="208" t="s">
        <v>11276</v>
      </c>
      <c r="AA22" s="208" t="s">
        <v>44</v>
      </c>
      <c r="AB22" s="208" t="s">
        <v>44</v>
      </c>
      <c r="AC22" s="213"/>
      <c r="AD22" s="213"/>
      <c r="AE22" s="211">
        <v>0</v>
      </c>
      <c r="AF22" s="213">
        <v>0</v>
      </c>
      <c r="AG22" s="211">
        <v>0.11</v>
      </c>
      <c r="AH22" s="211">
        <v>189368</v>
      </c>
      <c r="AI22" s="211">
        <v>0.107913391671701</v>
      </c>
      <c r="AJ22" s="214">
        <v>44657</v>
      </c>
      <c r="AK22" s="208" t="s">
        <v>12712</v>
      </c>
      <c r="AL22" s="211">
        <v>0</v>
      </c>
      <c r="AM22" s="211">
        <v>0</v>
      </c>
      <c r="AN22" s="211">
        <v>0</v>
      </c>
      <c r="AO22" s="208" t="s">
        <v>44</v>
      </c>
      <c r="AP22" s="208" t="s">
        <v>11681</v>
      </c>
      <c r="AQ22" s="208" t="s">
        <v>11679</v>
      </c>
    </row>
    <row r="23" spans="1:43" x14ac:dyDescent="0.25">
      <c r="A23" s="208" t="s">
        <v>12711</v>
      </c>
      <c r="B23" s="208" t="s">
        <v>11037</v>
      </c>
      <c r="C23" s="208" t="s">
        <v>11296</v>
      </c>
      <c r="D23" s="208" t="s">
        <v>6632</v>
      </c>
      <c r="E23" s="208" t="s">
        <v>5444</v>
      </c>
      <c r="F23" s="208" t="s">
        <v>6632</v>
      </c>
      <c r="G23" s="210">
        <v>1500</v>
      </c>
      <c r="H23" s="211">
        <v>322451.09999999998</v>
      </c>
      <c r="I23" s="211">
        <v>229065</v>
      </c>
      <c r="J23" s="211">
        <v>0</v>
      </c>
      <c r="K23" s="211">
        <v>0</v>
      </c>
      <c r="L23" s="211">
        <v>229065</v>
      </c>
      <c r="M23" s="212">
        <v>15271</v>
      </c>
      <c r="N23" s="213">
        <v>0.13053515410881561</v>
      </c>
      <c r="O23" s="214" t="s">
        <v>44</v>
      </c>
      <c r="P23" s="214" t="s">
        <v>44</v>
      </c>
      <c r="Q23" s="210"/>
      <c r="R23" s="211"/>
      <c r="S23" s="215"/>
      <c r="T23" s="208" t="s">
        <v>10902</v>
      </c>
      <c r="U23" s="208" t="s">
        <v>10902</v>
      </c>
      <c r="V23" s="208" t="s">
        <v>10902</v>
      </c>
      <c r="W23" s="208" t="s">
        <v>43</v>
      </c>
      <c r="X23" s="208" t="s">
        <v>11300</v>
      </c>
      <c r="Y23" s="208" t="s">
        <v>11299</v>
      </c>
      <c r="Z23" s="208" t="s">
        <v>11296</v>
      </c>
      <c r="AA23" s="208" t="s">
        <v>44</v>
      </c>
      <c r="AB23" s="208" t="s">
        <v>44</v>
      </c>
      <c r="AC23" s="213"/>
      <c r="AD23" s="213"/>
      <c r="AE23" s="211">
        <v>0</v>
      </c>
      <c r="AF23" s="213">
        <v>0</v>
      </c>
      <c r="AG23" s="211">
        <v>0.13</v>
      </c>
      <c r="AH23" s="211">
        <v>229065</v>
      </c>
      <c r="AI23" s="211">
        <v>0.13053515410881558</v>
      </c>
      <c r="AJ23" s="214">
        <v>44657</v>
      </c>
      <c r="AK23" s="208" t="s">
        <v>12712</v>
      </c>
      <c r="AL23" s="211">
        <v>0</v>
      </c>
      <c r="AM23" s="211">
        <v>0</v>
      </c>
      <c r="AN23" s="211">
        <v>0</v>
      </c>
      <c r="AO23" s="208" t="s">
        <v>44</v>
      </c>
      <c r="AP23" s="208" t="s">
        <v>11758</v>
      </c>
      <c r="AQ23" s="208" t="s">
        <v>5444</v>
      </c>
    </row>
    <row r="24" spans="1:43" x14ac:dyDescent="0.25">
      <c r="A24" s="208" t="s">
        <v>12711</v>
      </c>
      <c r="B24" s="208" t="s">
        <v>11037</v>
      </c>
      <c r="C24" s="208" t="s">
        <v>11296</v>
      </c>
      <c r="D24" s="208" t="s">
        <v>6200</v>
      </c>
      <c r="E24" s="208" t="s">
        <v>5051</v>
      </c>
      <c r="F24" s="208" t="s">
        <v>6200</v>
      </c>
      <c r="G24" s="210">
        <v>10000</v>
      </c>
      <c r="H24" s="211">
        <v>830738.27</v>
      </c>
      <c r="I24" s="211">
        <v>716800</v>
      </c>
      <c r="J24" s="211">
        <v>0</v>
      </c>
      <c r="K24" s="211">
        <v>0</v>
      </c>
      <c r="L24" s="211">
        <v>716800</v>
      </c>
      <c r="M24" s="212">
        <v>7168</v>
      </c>
      <c r="N24" s="213">
        <v>0.40847619001243762</v>
      </c>
      <c r="O24" s="214" t="s">
        <v>44</v>
      </c>
      <c r="P24" s="214" t="s">
        <v>44</v>
      </c>
      <c r="Q24" s="210"/>
      <c r="R24" s="211"/>
      <c r="S24" s="215"/>
      <c r="T24" s="208" t="s">
        <v>10902</v>
      </c>
      <c r="U24" s="208" t="s">
        <v>10902</v>
      </c>
      <c r="V24" s="208" t="s">
        <v>10902</v>
      </c>
      <c r="W24" s="208" t="s">
        <v>43</v>
      </c>
      <c r="X24" s="208" t="s">
        <v>11300</v>
      </c>
      <c r="Y24" s="208" t="s">
        <v>11299</v>
      </c>
      <c r="Z24" s="208" t="s">
        <v>11296</v>
      </c>
      <c r="AA24" s="208" t="s">
        <v>44</v>
      </c>
      <c r="AB24" s="208" t="s">
        <v>44</v>
      </c>
      <c r="AC24" s="213"/>
      <c r="AD24" s="213"/>
      <c r="AE24" s="211">
        <v>0</v>
      </c>
      <c r="AF24" s="213">
        <v>0</v>
      </c>
      <c r="AG24" s="211">
        <v>0.41</v>
      </c>
      <c r="AH24" s="211">
        <v>716800</v>
      </c>
      <c r="AI24" s="211">
        <v>0.40847619001243751</v>
      </c>
      <c r="AJ24" s="214">
        <v>44657</v>
      </c>
      <c r="AK24" s="208" t="s">
        <v>12712</v>
      </c>
      <c r="AL24" s="211">
        <v>0</v>
      </c>
      <c r="AM24" s="211">
        <v>0</v>
      </c>
      <c r="AN24" s="211">
        <v>0</v>
      </c>
      <c r="AO24" s="208" t="s">
        <v>44</v>
      </c>
      <c r="AP24" s="208" t="s">
        <v>11301</v>
      </c>
      <c r="AQ24" s="208" t="s">
        <v>5051</v>
      </c>
    </row>
    <row r="25" spans="1:43" x14ac:dyDescent="0.25">
      <c r="A25" s="208" t="s">
        <v>12711</v>
      </c>
      <c r="B25" s="208" t="s">
        <v>11037</v>
      </c>
      <c r="C25" s="208" t="s">
        <v>11296</v>
      </c>
      <c r="D25" s="208" t="s">
        <v>6458</v>
      </c>
      <c r="E25" s="208" t="s">
        <v>5402</v>
      </c>
      <c r="F25" s="208" t="s">
        <v>11302</v>
      </c>
      <c r="G25" s="210">
        <v>2067</v>
      </c>
      <c r="H25" s="211">
        <v>281781.65999999997</v>
      </c>
      <c r="I25" s="211">
        <v>358769.19</v>
      </c>
      <c r="J25" s="211">
        <v>0</v>
      </c>
      <c r="K25" s="211">
        <v>0</v>
      </c>
      <c r="L25" s="211">
        <v>358769.19</v>
      </c>
      <c r="M25" s="212">
        <v>17357</v>
      </c>
      <c r="N25" s="213">
        <v>0.20444848189878395</v>
      </c>
      <c r="O25" s="214" t="s">
        <v>44</v>
      </c>
      <c r="P25" s="214" t="s">
        <v>44</v>
      </c>
      <c r="Q25" s="210"/>
      <c r="R25" s="211"/>
      <c r="S25" s="215"/>
      <c r="T25" s="208" t="s">
        <v>10902</v>
      </c>
      <c r="U25" s="208" t="s">
        <v>10902</v>
      </c>
      <c r="V25" s="208" t="s">
        <v>10902</v>
      </c>
      <c r="W25" s="208" t="s">
        <v>43</v>
      </c>
      <c r="X25" s="208" t="s">
        <v>11298</v>
      </c>
      <c r="Y25" s="208" t="s">
        <v>11299</v>
      </c>
      <c r="Z25" s="208" t="s">
        <v>11296</v>
      </c>
      <c r="AA25" s="208" t="s">
        <v>44</v>
      </c>
      <c r="AB25" s="208" t="s">
        <v>44</v>
      </c>
      <c r="AC25" s="213"/>
      <c r="AD25" s="213"/>
      <c r="AE25" s="211">
        <v>0</v>
      </c>
      <c r="AF25" s="213">
        <v>0</v>
      </c>
      <c r="AG25" s="211">
        <v>0.2</v>
      </c>
      <c r="AH25" s="211">
        <v>358769.19</v>
      </c>
      <c r="AI25" s="211">
        <v>0.2044484818987839</v>
      </c>
      <c r="AJ25" s="214">
        <v>44657</v>
      </c>
      <c r="AK25" s="208" t="s">
        <v>12712</v>
      </c>
      <c r="AL25" s="211">
        <v>0</v>
      </c>
      <c r="AM25" s="211">
        <v>0</v>
      </c>
      <c r="AN25" s="211">
        <v>0</v>
      </c>
      <c r="AO25" s="208" t="s">
        <v>44</v>
      </c>
      <c r="AP25" s="208" t="s">
        <v>11303</v>
      </c>
      <c r="AQ25" s="208" t="s">
        <v>5402</v>
      </c>
    </row>
    <row r="26" spans="1:43" x14ac:dyDescent="0.25">
      <c r="A26" s="208" t="s">
        <v>12711</v>
      </c>
      <c r="B26" s="208" t="s">
        <v>11037</v>
      </c>
      <c r="C26" s="208" t="s">
        <v>11296</v>
      </c>
      <c r="D26" s="208" t="s">
        <v>6137</v>
      </c>
      <c r="E26" s="208" t="s">
        <v>4926</v>
      </c>
      <c r="F26" s="208" t="s">
        <v>6137</v>
      </c>
      <c r="G26" s="210">
        <v>5847</v>
      </c>
      <c r="H26" s="211">
        <v>1046968.09</v>
      </c>
      <c r="I26" s="211">
        <v>927568.08</v>
      </c>
      <c r="J26" s="211">
        <v>0</v>
      </c>
      <c r="K26" s="211">
        <v>0</v>
      </c>
      <c r="L26" s="211">
        <v>927568.08</v>
      </c>
      <c r="M26" s="212">
        <v>15864</v>
      </c>
      <c r="N26" s="213">
        <v>0.52858464745473199</v>
      </c>
      <c r="O26" s="214" t="s">
        <v>44</v>
      </c>
      <c r="P26" s="214" t="s">
        <v>44</v>
      </c>
      <c r="Q26" s="210"/>
      <c r="R26" s="211"/>
      <c r="S26" s="215"/>
      <c r="T26" s="208" t="s">
        <v>10902</v>
      </c>
      <c r="U26" s="208" t="s">
        <v>10902</v>
      </c>
      <c r="V26" s="208" t="s">
        <v>10902</v>
      </c>
      <c r="W26" s="208" t="s">
        <v>43</v>
      </c>
      <c r="X26" s="208" t="s">
        <v>11300</v>
      </c>
      <c r="Y26" s="208" t="s">
        <v>11299</v>
      </c>
      <c r="Z26" s="208" t="s">
        <v>11296</v>
      </c>
      <c r="AA26" s="208" t="s">
        <v>44</v>
      </c>
      <c r="AB26" s="208" t="s">
        <v>44</v>
      </c>
      <c r="AC26" s="213"/>
      <c r="AD26" s="213"/>
      <c r="AE26" s="211">
        <v>0</v>
      </c>
      <c r="AF26" s="213">
        <v>0</v>
      </c>
      <c r="AG26" s="211">
        <v>0.53</v>
      </c>
      <c r="AH26" s="211">
        <v>927568.08</v>
      </c>
      <c r="AI26" s="211">
        <v>0.52858464745473188</v>
      </c>
      <c r="AJ26" s="214">
        <v>44657</v>
      </c>
      <c r="AK26" s="208" t="s">
        <v>12712</v>
      </c>
      <c r="AL26" s="211">
        <v>0</v>
      </c>
      <c r="AM26" s="211">
        <v>0</v>
      </c>
      <c r="AN26" s="211">
        <v>0</v>
      </c>
      <c r="AO26" s="208" t="s">
        <v>44</v>
      </c>
      <c r="AP26" s="208" t="s">
        <v>11304</v>
      </c>
      <c r="AQ26" s="208" t="s">
        <v>4926</v>
      </c>
    </row>
    <row r="27" spans="1:43" x14ac:dyDescent="0.25">
      <c r="A27" s="208" t="s">
        <v>12711</v>
      </c>
      <c r="B27" s="208" t="s">
        <v>11037</v>
      </c>
      <c r="C27" s="208" t="s">
        <v>11305</v>
      </c>
      <c r="D27" s="208" t="s">
        <v>6592</v>
      </c>
      <c r="E27" s="208" t="s">
        <v>5424</v>
      </c>
      <c r="F27" s="208" t="s">
        <v>6592</v>
      </c>
      <c r="G27" s="210">
        <v>15000</v>
      </c>
      <c r="H27" s="211">
        <v>233450.56</v>
      </c>
      <c r="I27" s="211">
        <v>263100</v>
      </c>
      <c r="J27" s="211">
        <v>0</v>
      </c>
      <c r="K27" s="211">
        <v>0</v>
      </c>
      <c r="L27" s="211">
        <v>263100</v>
      </c>
      <c r="M27" s="212">
        <v>1754</v>
      </c>
      <c r="N27" s="213">
        <v>0.14993036494457634</v>
      </c>
      <c r="O27" s="214" t="s">
        <v>44</v>
      </c>
      <c r="P27" s="214" t="s">
        <v>44</v>
      </c>
      <c r="Q27" s="210"/>
      <c r="R27" s="211"/>
      <c r="S27" s="215"/>
      <c r="T27" s="208" t="s">
        <v>10902</v>
      </c>
      <c r="U27" s="208" t="s">
        <v>10902</v>
      </c>
      <c r="V27" s="208" t="s">
        <v>10902</v>
      </c>
      <c r="W27" s="208" t="s">
        <v>43</v>
      </c>
      <c r="X27" s="208" t="s">
        <v>11306</v>
      </c>
      <c r="Y27" s="208" t="s">
        <v>11307</v>
      </c>
      <c r="Z27" s="208" t="s">
        <v>11305</v>
      </c>
      <c r="AA27" s="208" t="s">
        <v>44</v>
      </c>
      <c r="AB27" s="208" t="s">
        <v>44</v>
      </c>
      <c r="AC27" s="213"/>
      <c r="AD27" s="213"/>
      <c r="AE27" s="211">
        <v>0</v>
      </c>
      <c r="AF27" s="213">
        <v>0</v>
      </c>
      <c r="AG27" s="211">
        <v>0.15</v>
      </c>
      <c r="AH27" s="211">
        <v>263100</v>
      </c>
      <c r="AI27" s="211">
        <v>0.14993036494457632</v>
      </c>
      <c r="AJ27" s="214">
        <v>44657</v>
      </c>
      <c r="AK27" s="208" t="s">
        <v>12712</v>
      </c>
      <c r="AL27" s="211">
        <v>0</v>
      </c>
      <c r="AM27" s="211">
        <v>0</v>
      </c>
      <c r="AN27" s="211">
        <v>0</v>
      </c>
      <c r="AO27" s="208" t="s">
        <v>44</v>
      </c>
      <c r="AP27" s="208" t="s">
        <v>11308</v>
      </c>
      <c r="AQ27" s="208" t="s">
        <v>5424</v>
      </c>
    </row>
    <row r="28" spans="1:43" x14ac:dyDescent="0.25">
      <c r="A28" s="208" t="s">
        <v>12711</v>
      </c>
      <c r="B28" s="208" t="s">
        <v>11037</v>
      </c>
      <c r="C28" s="208" t="s">
        <v>11305</v>
      </c>
      <c r="D28" s="208" t="s">
        <v>11309</v>
      </c>
      <c r="E28" s="208" t="s">
        <v>5389</v>
      </c>
      <c r="F28" s="208" t="s">
        <v>11309</v>
      </c>
      <c r="G28" s="210">
        <v>13161</v>
      </c>
      <c r="H28" s="211">
        <v>328059.83</v>
      </c>
      <c r="I28" s="211">
        <v>499065.12</v>
      </c>
      <c r="J28" s="211">
        <v>0</v>
      </c>
      <c r="K28" s="211">
        <v>0</v>
      </c>
      <c r="L28" s="211">
        <v>499065.12</v>
      </c>
      <c r="M28" s="212">
        <v>3792</v>
      </c>
      <c r="N28" s="213">
        <v>0.28439762665415735</v>
      </c>
      <c r="O28" s="214" t="s">
        <v>44</v>
      </c>
      <c r="P28" s="214" t="s">
        <v>44</v>
      </c>
      <c r="Q28" s="210"/>
      <c r="R28" s="211"/>
      <c r="S28" s="215"/>
      <c r="T28" s="208" t="s">
        <v>10902</v>
      </c>
      <c r="U28" s="208" t="s">
        <v>10902</v>
      </c>
      <c r="V28" s="208" t="s">
        <v>10902</v>
      </c>
      <c r="W28" s="208" t="s">
        <v>43</v>
      </c>
      <c r="X28" s="208" t="s">
        <v>11310</v>
      </c>
      <c r="Y28" s="208" t="s">
        <v>11307</v>
      </c>
      <c r="Z28" s="208" t="s">
        <v>11305</v>
      </c>
      <c r="AA28" s="208" t="s">
        <v>44</v>
      </c>
      <c r="AB28" s="208" t="s">
        <v>44</v>
      </c>
      <c r="AC28" s="213"/>
      <c r="AD28" s="213"/>
      <c r="AE28" s="211">
        <v>0</v>
      </c>
      <c r="AF28" s="213">
        <v>0</v>
      </c>
      <c r="AG28" s="211">
        <v>0.28000000000000003</v>
      </c>
      <c r="AH28" s="211">
        <v>499065.12</v>
      </c>
      <c r="AI28" s="211">
        <v>0.2843976266541573</v>
      </c>
      <c r="AJ28" s="214">
        <v>44657</v>
      </c>
      <c r="AK28" s="208" t="s">
        <v>12712</v>
      </c>
      <c r="AL28" s="211">
        <v>0</v>
      </c>
      <c r="AM28" s="211">
        <v>0</v>
      </c>
      <c r="AN28" s="211">
        <v>0</v>
      </c>
      <c r="AO28" s="208" t="s">
        <v>44</v>
      </c>
      <c r="AP28" s="208" t="s">
        <v>11311</v>
      </c>
      <c r="AQ28" s="208" t="s">
        <v>5389</v>
      </c>
    </row>
    <row r="29" spans="1:43" x14ac:dyDescent="0.25">
      <c r="A29" s="208" t="s">
        <v>12711</v>
      </c>
      <c r="B29" s="208" t="s">
        <v>11037</v>
      </c>
      <c r="C29" s="208" t="s">
        <v>11305</v>
      </c>
      <c r="D29" s="208" t="s">
        <v>6609</v>
      </c>
      <c r="E29" s="208" t="s">
        <v>5271</v>
      </c>
      <c r="F29" s="208" t="s">
        <v>6609</v>
      </c>
      <c r="G29" s="210">
        <v>15000</v>
      </c>
      <c r="H29" s="211">
        <v>194175.1</v>
      </c>
      <c r="I29" s="211">
        <v>251400</v>
      </c>
      <c r="J29" s="211">
        <v>0</v>
      </c>
      <c r="K29" s="211">
        <v>0</v>
      </c>
      <c r="L29" s="211">
        <v>251400</v>
      </c>
      <c r="M29" s="212">
        <v>1676</v>
      </c>
      <c r="N29" s="213">
        <v>0.14326299409755414</v>
      </c>
      <c r="O29" s="214" t="s">
        <v>44</v>
      </c>
      <c r="P29" s="214" t="s">
        <v>44</v>
      </c>
      <c r="Q29" s="210"/>
      <c r="R29" s="211"/>
      <c r="S29" s="215"/>
      <c r="T29" s="208" t="s">
        <v>10902</v>
      </c>
      <c r="U29" s="208" t="s">
        <v>10902</v>
      </c>
      <c r="V29" s="208" t="s">
        <v>10902</v>
      </c>
      <c r="W29" s="208" t="s">
        <v>43</v>
      </c>
      <c r="X29" s="208" t="s">
        <v>11306</v>
      </c>
      <c r="Y29" s="208" t="s">
        <v>11307</v>
      </c>
      <c r="Z29" s="208" t="s">
        <v>11305</v>
      </c>
      <c r="AA29" s="208" t="s">
        <v>44</v>
      </c>
      <c r="AB29" s="208" t="s">
        <v>44</v>
      </c>
      <c r="AC29" s="213"/>
      <c r="AD29" s="213"/>
      <c r="AE29" s="211">
        <v>0</v>
      </c>
      <c r="AF29" s="213">
        <v>0</v>
      </c>
      <c r="AG29" s="211">
        <v>0.14000000000000001</v>
      </c>
      <c r="AH29" s="211">
        <v>251400</v>
      </c>
      <c r="AI29" s="211">
        <v>0.14326299409755411</v>
      </c>
      <c r="AJ29" s="214">
        <v>44657</v>
      </c>
      <c r="AK29" s="208" t="s">
        <v>12712</v>
      </c>
      <c r="AL29" s="211">
        <v>0</v>
      </c>
      <c r="AM29" s="211">
        <v>0</v>
      </c>
      <c r="AN29" s="211">
        <v>0</v>
      </c>
      <c r="AO29" s="208" t="s">
        <v>44</v>
      </c>
      <c r="AP29" s="208" t="s">
        <v>11312</v>
      </c>
      <c r="AQ29" s="208" t="s">
        <v>5271</v>
      </c>
    </row>
    <row r="30" spans="1:43" x14ac:dyDescent="0.25">
      <c r="A30" s="208" t="s">
        <v>12711</v>
      </c>
      <c r="B30" s="208" t="s">
        <v>11037</v>
      </c>
      <c r="C30" s="208" t="s">
        <v>11305</v>
      </c>
      <c r="D30" s="208" t="s">
        <v>6372</v>
      </c>
      <c r="E30" s="208" t="s">
        <v>6607</v>
      </c>
      <c r="F30" s="208" t="s">
        <v>6372</v>
      </c>
      <c r="G30" s="210">
        <v>5839</v>
      </c>
      <c r="H30" s="211">
        <v>426445.06</v>
      </c>
      <c r="I30" s="211">
        <v>632947.6</v>
      </c>
      <c r="J30" s="211">
        <v>0</v>
      </c>
      <c r="K30" s="211">
        <v>0</v>
      </c>
      <c r="L30" s="211">
        <v>632947.6</v>
      </c>
      <c r="M30" s="212">
        <v>10840</v>
      </c>
      <c r="N30" s="213">
        <v>0.36069199794296364</v>
      </c>
      <c r="O30" s="214" t="s">
        <v>44</v>
      </c>
      <c r="P30" s="214" t="s">
        <v>44</v>
      </c>
      <c r="Q30" s="210"/>
      <c r="R30" s="211"/>
      <c r="S30" s="215"/>
      <c r="T30" s="208" t="s">
        <v>10902</v>
      </c>
      <c r="U30" s="208" t="s">
        <v>10902</v>
      </c>
      <c r="V30" s="208" t="s">
        <v>10902</v>
      </c>
      <c r="W30" s="208" t="s">
        <v>43</v>
      </c>
      <c r="X30" s="208" t="s">
        <v>11306</v>
      </c>
      <c r="Y30" s="208" t="s">
        <v>11307</v>
      </c>
      <c r="Z30" s="208" t="s">
        <v>11305</v>
      </c>
      <c r="AA30" s="208" t="s">
        <v>44</v>
      </c>
      <c r="AB30" s="208" t="s">
        <v>44</v>
      </c>
      <c r="AC30" s="213"/>
      <c r="AD30" s="213"/>
      <c r="AE30" s="211">
        <v>0</v>
      </c>
      <c r="AF30" s="213">
        <v>0</v>
      </c>
      <c r="AG30" s="211">
        <v>0.36</v>
      </c>
      <c r="AH30" s="211">
        <v>632947.6</v>
      </c>
      <c r="AI30" s="211">
        <v>0.36069199794296358</v>
      </c>
      <c r="AJ30" s="214">
        <v>44657</v>
      </c>
      <c r="AK30" s="208" t="s">
        <v>12712</v>
      </c>
      <c r="AL30" s="211">
        <v>0</v>
      </c>
      <c r="AM30" s="211">
        <v>0</v>
      </c>
      <c r="AN30" s="211">
        <v>0</v>
      </c>
      <c r="AO30" s="208" t="s">
        <v>44</v>
      </c>
      <c r="AP30" s="208" t="s">
        <v>11313</v>
      </c>
      <c r="AQ30" s="208" t="s">
        <v>6607</v>
      </c>
    </row>
    <row r="31" spans="1:43" x14ac:dyDescent="0.25">
      <c r="A31" s="208" t="s">
        <v>12711</v>
      </c>
      <c r="B31" s="208" t="s">
        <v>11037</v>
      </c>
      <c r="C31" s="208" t="s">
        <v>11305</v>
      </c>
      <c r="D31" s="208" t="s">
        <v>11314</v>
      </c>
      <c r="E31" s="208" t="s">
        <v>6750</v>
      </c>
      <c r="F31" s="208" t="s">
        <v>11314</v>
      </c>
      <c r="G31" s="210">
        <v>54210</v>
      </c>
      <c r="H31" s="211">
        <v>979726.5</v>
      </c>
      <c r="I31" s="211">
        <v>1209967.2</v>
      </c>
      <c r="J31" s="211">
        <v>0</v>
      </c>
      <c r="K31" s="211">
        <v>0</v>
      </c>
      <c r="L31" s="211">
        <v>1209967.2</v>
      </c>
      <c r="M31" s="212">
        <v>2232</v>
      </c>
      <c r="N31" s="213">
        <v>0.6895128235156488</v>
      </c>
      <c r="O31" s="214" t="s">
        <v>44</v>
      </c>
      <c r="P31" s="214" t="s">
        <v>44</v>
      </c>
      <c r="Q31" s="210"/>
      <c r="R31" s="211"/>
      <c r="S31" s="215"/>
      <c r="T31" s="208" t="s">
        <v>10902</v>
      </c>
      <c r="U31" s="208" t="s">
        <v>10902</v>
      </c>
      <c r="V31" s="208" t="s">
        <v>10902</v>
      </c>
      <c r="W31" s="208" t="s">
        <v>43</v>
      </c>
      <c r="X31" s="208" t="s">
        <v>11306</v>
      </c>
      <c r="Y31" s="208" t="s">
        <v>11307</v>
      </c>
      <c r="Z31" s="208" t="s">
        <v>11305</v>
      </c>
      <c r="AA31" s="208" t="s">
        <v>44</v>
      </c>
      <c r="AB31" s="208" t="s">
        <v>44</v>
      </c>
      <c r="AC31" s="213"/>
      <c r="AD31" s="213"/>
      <c r="AE31" s="211">
        <v>0</v>
      </c>
      <c r="AF31" s="213">
        <v>0</v>
      </c>
      <c r="AG31" s="211">
        <v>0.69</v>
      </c>
      <c r="AH31" s="211">
        <v>1209967.2</v>
      </c>
      <c r="AI31" s="211">
        <v>0.68951282351564869</v>
      </c>
      <c r="AJ31" s="214">
        <v>44657</v>
      </c>
      <c r="AK31" s="208" t="s">
        <v>12712</v>
      </c>
      <c r="AL31" s="211">
        <v>0</v>
      </c>
      <c r="AM31" s="211">
        <v>0</v>
      </c>
      <c r="AN31" s="211">
        <v>0</v>
      </c>
      <c r="AO31" s="208" t="s">
        <v>44</v>
      </c>
      <c r="AP31" s="208" t="s">
        <v>11315</v>
      </c>
      <c r="AQ31" s="208" t="s">
        <v>6750</v>
      </c>
    </row>
    <row r="32" spans="1:43" x14ac:dyDescent="0.25">
      <c r="A32" s="208" t="s">
        <v>12711</v>
      </c>
      <c r="B32" s="208" t="s">
        <v>11037</v>
      </c>
      <c r="C32" s="208" t="s">
        <v>11305</v>
      </c>
      <c r="D32" s="208" t="s">
        <v>11316</v>
      </c>
      <c r="E32" s="208" t="s">
        <v>5173</v>
      </c>
      <c r="F32" s="208" t="s">
        <v>11316</v>
      </c>
      <c r="G32" s="210">
        <v>10500</v>
      </c>
      <c r="H32" s="211">
        <v>721116.07</v>
      </c>
      <c r="I32" s="211">
        <v>566265</v>
      </c>
      <c r="J32" s="211">
        <v>0</v>
      </c>
      <c r="K32" s="211">
        <v>0</v>
      </c>
      <c r="L32" s="211">
        <v>566265</v>
      </c>
      <c r="M32" s="212">
        <v>5393</v>
      </c>
      <c r="N32" s="213">
        <v>0.32269220108453261</v>
      </c>
      <c r="O32" s="214" t="s">
        <v>44</v>
      </c>
      <c r="P32" s="214" t="s">
        <v>44</v>
      </c>
      <c r="Q32" s="210"/>
      <c r="R32" s="211"/>
      <c r="S32" s="215"/>
      <c r="T32" s="208" t="s">
        <v>10902</v>
      </c>
      <c r="U32" s="208" t="s">
        <v>10902</v>
      </c>
      <c r="V32" s="208" t="s">
        <v>10902</v>
      </c>
      <c r="W32" s="208" t="s">
        <v>43</v>
      </c>
      <c r="X32" s="208" t="s">
        <v>11310</v>
      </c>
      <c r="Y32" s="208" t="s">
        <v>11307</v>
      </c>
      <c r="Z32" s="208" t="s">
        <v>11305</v>
      </c>
      <c r="AA32" s="208" t="s">
        <v>44</v>
      </c>
      <c r="AB32" s="208" t="s">
        <v>44</v>
      </c>
      <c r="AC32" s="213"/>
      <c r="AD32" s="213"/>
      <c r="AE32" s="211">
        <v>0</v>
      </c>
      <c r="AF32" s="213">
        <v>0</v>
      </c>
      <c r="AG32" s="211">
        <v>0.32</v>
      </c>
      <c r="AH32" s="211">
        <v>566265</v>
      </c>
      <c r="AI32" s="211">
        <v>0.32269220108453256</v>
      </c>
      <c r="AJ32" s="214">
        <v>44657</v>
      </c>
      <c r="AK32" s="208" t="s">
        <v>12712</v>
      </c>
      <c r="AL32" s="211">
        <v>0</v>
      </c>
      <c r="AM32" s="211">
        <v>0</v>
      </c>
      <c r="AN32" s="211">
        <v>0</v>
      </c>
      <c r="AO32" s="208" t="s">
        <v>44</v>
      </c>
      <c r="AP32" s="208" t="s">
        <v>11317</v>
      </c>
      <c r="AQ32" s="208" t="s">
        <v>5173</v>
      </c>
    </row>
    <row r="33" spans="1:43" x14ac:dyDescent="0.25">
      <c r="A33" s="208" t="s">
        <v>12711</v>
      </c>
      <c r="B33" s="208" t="s">
        <v>11037</v>
      </c>
      <c r="C33" s="208" t="s">
        <v>11305</v>
      </c>
      <c r="D33" s="208" t="s">
        <v>11698</v>
      </c>
      <c r="E33" s="208" t="s">
        <v>4919</v>
      </c>
      <c r="F33" s="208" t="s">
        <v>11698</v>
      </c>
      <c r="G33" s="210">
        <v>6500</v>
      </c>
      <c r="H33" s="211">
        <v>1048846.56</v>
      </c>
      <c r="I33" s="211">
        <v>1120990</v>
      </c>
      <c r="J33" s="211">
        <v>0</v>
      </c>
      <c r="K33" s="211">
        <v>0</v>
      </c>
      <c r="L33" s="211">
        <v>1120990</v>
      </c>
      <c r="M33" s="212">
        <v>17246</v>
      </c>
      <c r="N33" s="213">
        <v>0.63880820904302793</v>
      </c>
      <c r="O33" s="214" t="s">
        <v>44</v>
      </c>
      <c r="P33" s="214" t="s">
        <v>44</v>
      </c>
      <c r="Q33" s="210"/>
      <c r="R33" s="211"/>
      <c r="S33" s="215"/>
      <c r="T33" s="208" t="s">
        <v>10902</v>
      </c>
      <c r="U33" s="208" t="s">
        <v>10902</v>
      </c>
      <c r="V33" s="208" t="s">
        <v>10902</v>
      </c>
      <c r="W33" s="208" t="s">
        <v>43</v>
      </c>
      <c r="X33" s="208" t="s">
        <v>11310</v>
      </c>
      <c r="Y33" s="208" t="s">
        <v>11307</v>
      </c>
      <c r="Z33" s="208" t="s">
        <v>11305</v>
      </c>
      <c r="AA33" s="208" t="s">
        <v>44</v>
      </c>
      <c r="AB33" s="208" t="s">
        <v>44</v>
      </c>
      <c r="AC33" s="213"/>
      <c r="AD33" s="213"/>
      <c r="AE33" s="211">
        <v>0</v>
      </c>
      <c r="AF33" s="213">
        <v>0</v>
      </c>
      <c r="AG33" s="211">
        <v>0.64</v>
      </c>
      <c r="AH33" s="211">
        <v>1120990</v>
      </c>
      <c r="AI33" s="211">
        <v>0.63880820904302782</v>
      </c>
      <c r="AJ33" s="214">
        <v>44657</v>
      </c>
      <c r="AK33" s="208" t="s">
        <v>12712</v>
      </c>
      <c r="AL33" s="211">
        <v>0</v>
      </c>
      <c r="AM33" s="211">
        <v>0</v>
      </c>
      <c r="AN33" s="211">
        <v>0</v>
      </c>
      <c r="AO33" s="208" t="s">
        <v>44</v>
      </c>
      <c r="AP33" s="208" t="s">
        <v>11699</v>
      </c>
      <c r="AQ33" s="208" t="s">
        <v>4919</v>
      </c>
    </row>
    <row r="34" spans="1:43" x14ac:dyDescent="0.25">
      <c r="A34" s="208" t="s">
        <v>12711</v>
      </c>
      <c r="B34" s="208" t="s">
        <v>11037</v>
      </c>
      <c r="C34" s="208" t="s">
        <v>11305</v>
      </c>
      <c r="D34" s="208" t="s">
        <v>6224</v>
      </c>
      <c r="E34" s="208" t="s">
        <v>3901</v>
      </c>
      <c r="F34" s="208" t="s">
        <v>6224</v>
      </c>
      <c r="G34" s="210">
        <v>13500</v>
      </c>
      <c r="H34" s="211">
        <v>681832.9</v>
      </c>
      <c r="I34" s="211">
        <v>778275</v>
      </c>
      <c r="J34" s="211">
        <v>0</v>
      </c>
      <c r="K34" s="211">
        <v>0</v>
      </c>
      <c r="L34" s="211">
        <v>778275</v>
      </c>
      <c r="M34" s="212">
        <v>5765</v>
      </c>
      <c r="N34" s="213">
        <v>0.44350837999711201</v>
      </c>
      <c r="O34" s="214" t="s">
        <v>44</v>
      </c>
      <c r="P34" s="214" t="s">
        <v>44</v>
      </c>
      <c r="Q34" s="210"/>
      <c r="R34" s="211"/>
      <c r="S34" s="215"/>
      <c r="T34" s="208" t="s">
        <v>10902</v>
      </c>
      <c r="U34" s="208" t="s">
        <v>10902</v>
      </c>
      <c r="V34" s="208" t="s">
        <v>10902</v>
      </c>
      <c r="W34" s="208" t="s">
        <v>43</v>
      </c>
      <c r="X34" s="208" t="s">
        <v>11306</v>
      </c>
      <c r="Y34" s="208" t="s">
        <v>11307</v>
      </c>
      <c r="Z34" s="208" t="s">
        <v>11305</v>
      </c>
      <c r="AA34" s="208" t="s">
        <v>44</v>
      </c>
      <c r="AB34" s="208" t="s">
        <v>44</v>
      </c>
      <c r="AC34" s="213"/>
      <c r="AD34" s="213"/>
      <c r="AE34" s="211">
        <v>0</v>
      </c>
      <c r="AF34" s="213">
        <v>0</v>
      </c>
      <c r="AG34" s="211">
        <v>0.44</v>
      </c>
      <c r="AH34" s="211">
        <v>778275</v>
      </c>
      <c r="AI34" s="211">
        <v>0.4435083799971119</v>
      </c>
      <c r="AJ34" s="214">
        <v>44657</v>
      </c>
      <c r="AK34" s="208" t="s">
        <v>12712</v>
      </c>
      <c r="AL34" s="211">
        <v>0</v>
      </c>
      <c r="AM34" s="211">
        <v>0</v>
      </c>
      <c r="AN34" s="211">
        <v>0</v>
      </c>
      <c r="AO34" s="208" t="s">
        <v>44</v>
      </c>
      <c r="AP34" s="208" t="s">
        <v>11320</v>
      </c>
      <c r="AQ34" s="208" t="s">
        <v>3901</v>
      </c>
    </row>
    <row r="35" spans="1:43" x14ac:dyDescent="0.25">
      <c r="A35" s="208" t="s">
        <v>12711</v>
      </c>
      <c r="B35" s="208" t="s">
        <v>11037</v>
      </c>
      <c r="C35" s="208" t="s">
        <v>11195</v>
      </c>
      <c r="D35" s="208" t="s">
        <v>11325</v>
      </c>
      <c r="E35" s="208" t="s">
        <v>5284</v>
      </c>
      <c r="F35" s="208" t="s">
        <v>11325</v>
      </c>
      <c r="G35" s="210">
        <v>7738</v>
      </c>
      <c r="H35" s="211">
        <v>360081.08</v>
      </c>
      <c r="I35" s="211">
        <v>251562.38</v>
      </c>
      <c r="J35" s="211">
        <v>0</v>
      </c>
      <c r="K35" s="211">
        <v>0</v>
      </c>
      <c r="L35" s="211">
        <v>251562.38</v>
      </c>
      <c r="M35" s="212">
        <v>3251</v>
      </c>
      <c r="N35" s="213">
        <v>0.14335552808713872</v>
      </c>
      <c r="O35" s="214" t="s">
        <v>44</v>
      </c>
      <c r="P35" s="214" t="s">
        <v>44</v>
      </c>
      <c r="Q35" s="210"/>
      <c r="R35" s="211"/>
      <c r="S35" s="215"/>
      <c r="T35" s="208" t="s">
        <v>10902</v>
      </c>
      <c r="U35" s="208" t="s">
        <v>10902</v>
      </c>
      <c r="V35" s="208" t="s">
        <v>10902</v>
      </c>
      <c r="W35" s="208" t="s">
        <v>43</v>
      </c>
      <c r="X35" s="208" t="s">
        <v>11197</v>
      </c>
      <c r="Y35" s="208" t="s">
        <v>11198</v>
      </c>
      <c r="Z35" s="208" t="s">
        <v>11195</v>
      </c>
      <c r="AA35" s="208" t="s">
        <v>44</v>
      </c>
      <c r="AB35" s="208" t="s">
        <v>44</v>
      </c>
      <c r="AC35" s="213"/>
      <c r="AD35" s="213"/>
      <c r="AE35" s="211">
        <v>0</v>
      </c>
      <c r="AF35" s="213">
        <v>0</v>
      </c>
      <c r="AG35" s="211">
        <v>0.14000000000000001</v>
      </c>
      <c r="AH35" s="211">
        <v>251562.38</v>
      </c>
      <c r="AI35" s="211">
        <v>0.14335552808713869</v>
      </c>
      <c r="AJ35" s="214">
        <v>44657</v>
      </c>
      <c r="AK35" s="208" t="s">
        <v>12712</v>
      </c>
      <c r="AL35" s="211">
        <v>0</v>
      </c>
      <c r="AM35" s="211">
        <v>0</v>
      </c>
      <c r="AN35" s="211">
        <v>0</v>
      </c>
      <c r="AO35" s="208" t="s">
        <v>44</v>
      </c>
      <c r="AP35" s="208" t="s">
        <v>11326</v>
      </c>
      <c r="AQ35" s="208" t="s">
        <v>5284</v>
      </c>
    </row>
    <row r="36" spans="1:43" x14ac:dyDescent="0.25">
      <c r="A36" s="208" t="s">
        <v>12711</v>
      </c>
      <c r="B36" s="208" t="s">
        <v>11037</v>
      </c>
      <c r="C36" s="208" t="s">
        <v>11195</v>
      </c>
      <c r="D36" s="208" t="s">
        <v>6419</v>
      </c>
      <c r="E36" s="208" t="s">
        <v>5072</v>
      </c>
      <c r="F36" s="208" t="s">
        <v>6419</v>
      </c>
      <c r="G36" s="210">
        <v>10642</v>
      </c>
      <c r="H36" s="211">
        <v>438986.23</v>
      </c>
      <c r="I36" s="211">
        <v>467290.22</v>
      </c>
      <c r="J36" s="211">
        <v>0</v>
      </c>
      <c r="K36" s="211">
        <v>0</v>
      </c>
      <c r="L36" s="211">
        <v>467290.22</v>
      </c>
      <c r="M36" s="212">
        <v>4391</v>
      </c>
      <c r="N36" s="213">
        <v>0.26629035811338414</v>
      </c>
      <c r="O36" s="214" t="s">
        <v>44</v>
      </c>
      <c r="P36" s="214" t="s">
        <v>44</v>
      </c>
      <c r="Q36" s="210"/>
      <c r="R36" s="211"/>
      <c r="S36" s="215"/>
      <c r="T36" s="208" t="s">
        <v>10902</v>
      </c>
      <c r="U36" s="208" t="s">
        <v>10902</v>
      </c>
      <c r="V36" s="208" t="s">
        <v>10902</v>
      </c>
      <c r="W36" s="208" t="s">
        <v>43</v>
      </c>
      <c r="X36" s="208" t="s">
        <v>11327</v>
      </c>
      <c r="Y36" s="208" t="s">
        <v>11198</v>
      </c>
      <c r="Z36" s="208" t="s">
        <v>11195</v>
      </c>
      <c r="AA36" s="208" t="s">
        <v>44</v>
      </c>
      <c r="AB36" s="208" t="s">
        <v>44</v>
      </c>
      <c r="AC36" s="213"/>
      <c r="AD36" s="213"/>
      <c r="AE36" s="211">
        <v>0</v>
      </c>
      <c r="AF36" s="213">
        <v>0</v>
      </c>
      <c r="AG36" s="211">
        <v>0.27</v>
      </c>
      <c r="AH36" s="211">
        <v>467290.22</v>
      </c>
      <c r="AI36" s="211">
        <v>0.26629035811338408</v>
      </c>
      <c r="AJ36" s="214">
        <v>44657</v>
      </c>
      <c r="AK36" s="208" t="s">
        <v>12712</v>
      </c>
      <c r="AL36" s="211">
        <v>0</v>
      </c>
      <c r="AM36" s="211">
        <v>0</v>
      </c>
      <c r="AN36" s="211">
        <v>0</v>
      </c>
      <c r="AO36" s="208" t="s">
        <v>44</v>
      </c>
      <c r="AP36" s="208" t="s">
        <v>11328</v>
      </c>
      <c r="AQ36" s="208" t="s">
        <v>5072</v>
      </c>
    </row>
    <row r="37" spans="1:43" x14ac:dyDescent="0.25">
      <c r="A37" s="208" t="s">
        <v>12711</v>
      </c>
      <c r="B37" s="208" t="s">
        <v>11037</v>
      </c>
      <c r="C37" s="208" t="s">
        <v>11195</v>
      </c>
      <c r="D37" s="208" t="s">
        <v>11196</v>
      </c>
      <c r="E37" s="208" t="s">
        <v>5755</v>
      </c>
      <c r="F37" s="208" t="s">
        <v>11196</v>
      </c>
      <c r="G37" s="210">
        <v>25276</v>
      </c>
      <c r="H37" s="211">
        <v>471171.99</v>
      </c>
      <c r="I37" s="211">
        <v>565929.64</v>
      </c>
      <c r="J37" s="211">
        <v>0</v>
      </c>
      <c r="K37" s="211">
        <v>0</v>
      </c>
      <c r="L37" s="211">
        <v>565929.64</v>
      </c>
      <c r="M37" s="212">
        <v>2239</v>
      </c>
      <c r="N37" s="213">
        <v>0.32250109258134824</v>
      </c>
      <c r="O37" s="214" t="s">
        <v>44</v>
      </c>
      <c r="P37" s="214" t="s">
        <v>44</v>
      </c>
      <c r="Q37" s="210"/>
      <c r="R37" s="211"/>
      <c r="S37" s="215"/>
      <c r="T37" s="208" t="s">
        <v>10902</v>
      </c>
      <c r="U37" s="208" t="s">
        <v>10902</v>
      </c>
      <c r="V37" s="208" t="s">
        <v>10902</v>
      </c>
      <c r="W37" s="208" t="s">
        <v>43</v>
      </c>
      <c r="X37" s="208" t="s">
        <v>11197</v>
      </c>
      <c r="Y37" s="208" t="s">
        <v>11198</v>
      </c>
      <c r="Z37" s="208" t="s">
        <v>11195</v>
      </c>
      <c r="AA37" s="208" t="s">
        <v>44</v>
      </c>
      <c r="AB37" s="208" t="s">
        <v>44</v>
      </c>
      <c r="AC37" s="213"/>
      <c r="AD37" s="213"/>
      <c r="AE37" s="211">
        <v>0</v>
      </c>
      <c r="AF37" s="213">
        <v>0</v>
      </c>
      <c r="AG37" s="211">
        <v>0.32</v>
      </c>
      <c r="AH37" s="211">
        <v>565929.64</v>
      </c>
      <c r="AI37" s="211">
        <v>0.32250109258134818</v>
      </c>
      <c r="AJ37" s="214">
        <v>44657</v>
      </c>
      <c r="AK37" s="208" t="s">
        <v>12712</v>
      </c>
      <c r="AL37" s="211">
        <v>0</v>
      </c>
      <c r="AM37" s="211">
        <v>0</v>
      </c>
      <c r="AN37" s="211">
        <v>0</v>
      </c>
      <c r="AO37" s="208" t="s">
        <v>44</v>
      </c>
      <c r="AP37" s="208" t="s">
        <v>11199</v>
      </c>
      <c r="AQ37" s="208" t="s">
        <v>5755</v>
      </c>
    </row>
    <row r="38" spans="1:43" x14ac:dyDescent="0.25">
      <c r="A38" s="208" t="s">
        <v>12711</v>
      </c>
      <c r="B38" s="208" t="s">
        <v>11037</v>
      </c>
      <c r="C38" s="208" t="s">
        <v>11195</v>
      </c>
      <c r="D38" s="208" t="s">
        <v>11706</v>
      </c>
      <c r="E38" s="208" t="s">
        <v>4801</v>
      </c>
      <c r="F38" s="208" t="s">
        <v>11706</v>
      </c>
      <c r="G38" s="210">
        <v>21823</v>
      </c>
      <c r="H38" s="211">
        <v>1419176.05</v>
      </c>
      <c r="I38" s="211">
        <v>1643708.36</v>
      </c>
      <c r="J38" s="211">
        <v>0</v>
      </c>
      <c r="K38" s="211">
        <v>0</v>
      </c>
      <c r="L38" s="211">
        <v>1643708.36</v>
      </c>
      <c r="M38" s="212">
        <v>7532</v>
      </c>
      <c r="N38" s="213">
        <v>0.93668488892911861</v>
      </c>
      <c r="O38" s="214" t="s">
        <v>44</v>
      </c>
      <c r="P38" s="214" t="s">
        <v>44</v>
      </c>
      <c r="Q38" s="210"/>
      <c r="R38" s="211"/>
      <c r="S38" s="215"/>
      <c r="T38" s="208" t="s">
        <v>10902</v>
      </c>
      <c r="U38" s="208" t="s">
        <v>10902</v>
      </c>
      <c r="V38" s="208" t="s">
        <v>10902</v>
      </c>
      <c r="W38" s="208" t="s">
        <v>43</v>
      </c>
      <c r="X38" s="208" t="s">
        <v>11034</v>
      </c>
      <c r="Y38" s="208" t="s">
        <v>11034</v>
      </c>
      <c r="Z38" s="208" t="s">
        <v>11195</v>
      </c>
      <c r="AA38" s="208" t="s">
        <v>44</v>
      </c>
      <c r="AB38" s="208" t="s">
        <v>44</v>
      </c>
      <c r="AC38" s="213"/>
      <c r="AD38" s="213"/>
      <c r="AE38" s="211">
        <v>0</v>
      </c>
      <c r="AF38" s="213">
        <v>0</v>
      </c>
      <c r="AG38" s="211">
        <v>0.94</v>
      </c>
      <c r="AH38" s="211">
        <v>1643708.36</v>
      </c>
      <c r="AI38" s="211">
        <v>0.9366848889291185</v>
      </c>
      <c r="AJ38" s="214">
        <v>44657</v>
      </c>
      <c r="AK38" s="208" t="s">
        <v>12712</v>
      </c>
      <c r="AL38" s="211">
        <v>0</v>
      </c>
      <c r="AM38" s="211">
        <v>0</v>
      </c>
      <c r="AN38" s="211">
        <v>0</v>
      </c>
      <c r="AO38" s="208" t="s">
        <v>44</v>
      </c>
      <c r="AP38" s="208" t="s">
        <v>11707</v>
      </c>
      <c r="AQ38" s="208" t="s">
        <v>4801</v>
      </c>
    </row>
    <row r="39" spans="1:43" x14ac:dyDescent="0.25">
      <c r="A39" s="208" t="s">
        <v>12711</v>
      </c>
      <c r="B39" s="208" t="s">
        <v>11037</v>
      </c>
      <c r="C39" s="208" t="s">
        <v>11195</v>
      </c>
      <c r="D39" s="208" t="s">
        <v>11200</v>
      </c>
      <c r="E39" s="208" t="s">
        <v>5277</v>
      </c>
      <c r="F39" s="208" t="s">
        <v>11200</v>
      </c>
      <c r="G39" s="210">
        <v>47847</v>
      </c>
      <c r="H39" s="211">
        <v>845044.77</v>
      </c>
      <c r="I39" s="211">
        <v>595216.68000000005</v>
      </c>
      <c r="J39" s="211">
        <v>0</v>
      </c>
      <c r="K39" s="211">
        <v>0</v>
      </c>
      <c r="L39" s="211">
        <v>595216.68000000005</v>
      </c>
      <c r="M39" s="212">
        <v>1244</v>
      </c>
      <c r="N39" s="213">
        <v>0.33919062734131178</v>
      </c>
      <c r="O39" s="214" t="s">
        <v>44</v>
      </c>
      <c r="P39" s="214" t="s">
        <v>44</v>
      </c>
      <c r="Q39" s="210"/>
      <c r="R39" s="211"/>
      <c r="S39" s="215"/>
      <c r="T39" s="208" t="s">
        <v>10902</v>
      </c>
      <c r="U39" s="208" t="s">
        <v>10902</v>
      </c>
      <c r="V39" s="208" t="s">
        <v>10902</v>
      </c>
      <c r="W39" s="208" t="s">
        <v>43</v>
      </c>
      <c r="X39" s="208" t="s">
        <v>11197</v>
      </c>
      <c r="Y39" s="208" t="s">
        <v>11198</v>
      </c>
      <c r="Z39" s="208" t="s">
        <v>11195</v>
      </c>
      <c r="AA39" s="208" t="s">
        <v>44</v>
      </c>
      <c r="AB39" s="208" t="s">
        <v>44</v>
      </c>
      <c r="AC39" s="213"/>
      <c r="AD39" s="213"/>
      <c r="AE39" s="211">
        <v>0</v>
      </c>
      <c r="AF39" s="213">
        <v>0</v>
      </c>
      <c r="AG39" s="211">
        <v>0.34</v>
      </c>
      <c r="AH39" s="211">
        <v>595216.68000000005</v>
      </c>
      <c r="AI39" s="211">
        <v>0.33919062734131172</v>
      </c>
      <c r="AJ39" s="214">
        <v>44657</v>
      </c>
      <c r="AK39" s="208" t="s">
        <v>12712</v>
      </c>
      <c r="AL39" s="211">
        <v>0</v>
      </c>
      <c r="AM39" s="211">
        <v>0</v>
      </c>
      <c r="AN39" s="211">
        <v>0</v>
      </c>
      <c r="AO39" s="208" t="s">
        <v>44</v>
      </c>
      <c r="AP39" s="208" t="s">
        <v>11201</v>
      </c>
      <c r="AQ39" s="208" t="s">
        <v>5277</v>
      </c>
    </row>
    <row r="40" spans="1:43" x14ac:dyDescent="0.25">
      <c r="A40" s="208" t="s">
        <v>12711</v>
      </c>
      <c r="B40" s="208" t="s">
        <v>11037</v>
      </c>
      <c r="C40" s="208" t="s">
        <v>11195</v>
      </c>
      <c r="D40" s="208" t="s">
        <v>6332</v>
      </c>
      <c r="E40" s="208" t="s">
        <v>3152</v>
      </c>
      <c r="F40" s="208" t="s">
        <v>6332</v>
      </c>
      <c r="G40" s="210">
        <v>6500</v>
      </c>
      <c r="H40" s="211">
        <v>242494.57</v>
      </c>
      <c r="I40" s="211">
        <v>237250</v>
      </c>
      <c r="J40" s="211">
        <v>0</v>
      </c>
      <c r="K40" s="211">
        <v>0</v>
      </c>
      <c r="L40" s="211">
        <v>237250</v>
      </c>
      <c r="M40" s="212">
        <v>3650</v>
      </c>
      <c r="N40" s="213">
        <v>0.13519946439795036</v>
      </c>
      <c r="O40" s="214" t="s">
        <v>44</v>
      </c>
      <c r="P40" s="214" t="s">
        <v>44</v>
      </c>
      <c r="Q40" s="210"/>
      <c r="R40" s="211"/>
      <c r="S40" s="215"/>
      <c r="T40" s="208" t="s">
        <v>10902</v>
      </c>
      <c r="U40" s="208" t="s">
        <v>10902</v>
      </c>
      <c r="V40" s="208" t="s">
        <v>10902</v>
      </c>
      <c r="W40" s="208" t="s">
        <v>43</v>
      </c>
      <c r="X40" s="208" t="s">
        <v>11197</v>
      </c>
      <c r="Y40" s="208" t="s">
        <v>11198</v>
      </c>
      <c r="Z40" s="208" t="s">
        <v>11195</v>
      </c>
      <c r="AA40" s="208" t="s">
        <v>44</v>
      </c>
      <c r="AB40" s="208" t="s">
        <v>44</v>
      </c>
      <c r="AC40" s="213"/>
      <c r="AD40" s="213"/>
      <c r="AE40" s="211">
        <v>0</v>
      </c>
      <c r="AF40" s="213">
        <v>0</v>
      </c>
      <c r="AG40" s="211">
        <v>0.14000000000000001</v>
      </c>
      <c r="AH40" s="211">
        <v>237250</v>
      </c>
      <c r="AI40" s="211">
        <v>0.13519946439795033</v>
      </c>
      <c r="AJ40" s="214">
        <v>44657</v>
      </c>
      <c r="AK40" s="208" t="s">
        <v>12712</v>
      </c>
      <c r="AL40" s="211">
        <v>0</v>
      </c>
      <c r="AM40" s="211">
        <v>0</v>
      </c>
      <c r="AN40" s="211">
        <v>0</v>
      </c>
      <c r="AO40" s="208" t="s">
        <v>44</v>
      </c>
      <c r="AP40" s="208" t="s">
        <v>11203</v>
      </c>
      <c r="AQ40" s="208" t="s">
        <v>3152</v>
      </c>
    </row>
    <row r="41" spans="1:43" x14ac:dyDescent="0.25">
      <c r="A41" s="208" t="s">
        <v>12711</v>
      </c>
      <c r="B41" s="208" t="s">
        <v>11037</v>
      </c>
      <c r="C41" s="208" t="s">
        <v>11195</v>
      </c>
      <c r="D41" s="208" t="s">
        <v>11710</v>
      </c>
      <c r="E41" s="208" t="s">
        <v>5671</v>
      </c>
      <c r="F41" s="208" t="s">
        <v>11710</v>
      </c>
      <c r="G41" s="210">
        <v>12022</v>
      </c>
      <c r="H41" s="211">
        <v>185321.9</v>
      </c>
      <c r="I41" s="211">
        <v>143061.79999999999</v>
      </c>
      <c r="J41" s="211">
        <v>0</v>
      </c>
      <c r="K41" s="211">
        <v>0</v>
      </c>
      <c r="L41" s="211">
        <v>143061.79999999999</v>
      </c>
      <c r="M41" s="212">
        <v>1190</v>
      </c>
      <c r="N41" s="213">
        <v>8.1525305525001868E-2</v>
      </c>
      <c r="O41" s="214" t="s">
        <v>44</v>
      </c>
      <c r="P41" s="214" t="s">
        <v>44</v>
      </c>
      <c r="Q41" s="210"/>
      <c r="R41" s="211"/>
      <c r="S41" s="215"/>
      <c r="T41" s="208" t="s">
        <v>10902</v>
      </c>
      <c r="U41" s="208" t="s">
        <v>10902</v>
      </c>
      <c r="V41" s="208" t="s">
        <v>10902</v>
      </c>
      <c r="W41" s="208" t="s">
        <v>43</v>
      </c>
      <c r="X41" s="208" t="s">
        <v>11197</v>
      </c>
      <c r="Y41" s="208" t="s">
        <v>11198</v>
      </c>
      <c r="Z41" s="208" t="s">
        <v>11195</v>
      </c>
      <c r="AA41" s="208" t="s">
        <v>44</v>
      </c>
      <c r="AB41" s="208" t="s">
        <v>44</v>
      </c>
      <c r="AC41" s="213"/>
      <c r="AD41" s="213"/>
      <c r="AE41" s="211">
        <v>0</v>
      </c>
      <c r="AF41" s="213">
        <v>0</v>
      </c>
      <c r="AG41" s="211">
        <v>0.08</v>
      </c>
      <c r="AH41" s="211">
        <v>143061.79999999999</v>
      </c>
      <c r="AI41" s="211">
        <v>8.1525305525001854E-2</v>
      </c>
      <c r="AJ41" s="214">
        <v>44657</v>
      </c>
      <c r="AK41" s="208" t="s">
        <v>12712</v>
      </c>
      <c r="AL41" s="211">
        <v>0</v>
      </c>
      <c r="AM41" s="211">
        <v>0</v>
      </c>
      <c r="AN41" s="211">
        <v>0</v>
      </c>
      <c r="AO41" s="208" t="s">
        <v>44</v>
      </c>
      <c r="AP41" s="208" t="s">
        <v>11711</v>
      </c>
      <c r="AQ41" s="208" t="s">
        <v>5671</v>
      </c>
    </row>
    <row r="42" spans="1:43" x14ac:dyDescent="0.25">
      <c r="A42" s="208" t="s">
        <v>12711</v>
      </c>
      <c r="B42" s="208" t="s">
        <v>11037</v>
      </c>
      <c r="C42" s="208" t="s">
        <v>11195</v>
      </c>
      <c r="D42" s="208" t="s">
        <v>11759</v>
      </c>
      <c r="E42" s="208" t="s">
        <v>5719</v>
      </c>
      <c r="F42" s="208" t="s">
        <v>11759</v>
      </c>
      <c r="G42" s="210">
        <v>12500</v>
      </c>
      <c r="H42" s="211">
        <v>161687.16</v>
      </c>
      <c r="I42" s="211">
        <v>262875</v>
      </c>
      <c r="J42" s="211">
        <v>0</v>
      </c>
      <c r="K42" s="211">
        <v>0</v>
      </c>
      <c r="L42" s="211">
        <v>262875</v>
      </c>
      <c r="M42" s="212">
        <v>2103</v>
      </c>
      <c r="N42" s="213">
        <v>0.1498021462744413</v>
      </c>
      <c r="O42" s="214" t="s">
        <v>44</v>
      </c>
      <c r="P42" s="214" t="s">
        <v>44</v>
      </c>
      <c r="Q42" s="210"/>
      <c r="R42" s="211"/>
      <c r="S42" s="215"/>
      <c r="T42" s="208" t="s">
        <v>10902</v>
      </c>
      <c r="U42" s="208" t="s">
        <v>10902</v>
      </c>
      <c r="V42" s="208" t="s">
        <v>10902</v>
      </c>
      <c r="W42" s="208" t="s">
        <v>43</v>
      </c>
      <c r="X42" s="208" t="s">
        <v>11197</v>
      </c>
      <c r="Y42" s="208" t="s">
        <v>11198</v>
      </c>
      <c r="Z42" s="208" t="s">
        <v>11195</v>
      </c>
      <c r="AA42" s="208" t="s">
        <v>44</v>
      </c>
      <c r="AB42" s="208" t="s">
        <v>44</v>
      </c>
      <c r="AC42" s="213"/>
      <c r="AD42" s="213"/>
      <c r="AE42" s="211">
        <v>0</v>
      </c>
      <c r="AF42" s="213">
        <v>0</v>
      </c>
      <c r="AG42" s="211">
        <v>0.15</v>
      </c>
      <c r="AH42" s="211">
        <v>262875</v>
      </c>
      <c r="AI42" s="211">
        <v>0.1498021462744413</v>
      </c>
      <c r="AJ42" s="214">
        <v>44657</v>
      </c>
      <c r="AK42" s="208" t="s">
        <v>12712</v>
      </c>
      <c r="AL42" s="211">
        <v>0</v>
      </c>
      <c r="AM42" s="211">
        <v>0</v>
      </c>
      <c r="AN42" s="211">
        <v>0</v>
      </c>
      <c r="AO42" s="208" t="s">
        <v>44</v>
      </c>
      <c r="AP42" s="208" t="s">
        <v>11760</v>
      </c>
      <c r="AQ42" s="208" t="s">
        <v>5719</v>
      </c>
    </row>
    <row r="43" spans="1:43" x14ac:dyDescent="0.25">
      <c r="A43" s="208" t="s">
        <v>12711</v>
      </c>
      <c r="B43" s="208" t="s">
        <v>11037</v>
      </c>
      <c r="C43" s="208" t="s">
        <v>11195</v>
      </c>
      <c r="D43" s="208" t="s">
        <v>6450</v>
      </c>
      <c r="E43" s="208" t="s">
        <v>5121</v>
      </c>
      <c r="F43" s="208" t="s">
        <v>6450</v>
      </c>
      <c r="G43" s="210">
        <v>1978</v>
      </c>
      <c r="H43" s="211">
        <v>258692.16</v>
      </c>
      <c r="I43" s="211">
        <v>229448</v>
      </c>
      <c r="J43" s="211">
        <v>0</v>
      </c>
      <c r="K43" s="211">
        <v>0</v>
      </c>
      <c r="L43" s="211">
        <v>229448</v>
      </c>
      <c r="M43" s="212">
        <v>11600</v>
      </c>
      <c r="N43" s="213">
        <v>0.13075341077842326</v>
      </c>
      <c r="O43" s="214" t="s">
        <v>44</v>
      </c>
      <c r="P43" s="214" t="s">
        <v>44</v>
      </c>
      <c r="Q43" s="210"/>
      <c r="R43" s="211"/>
      <c r="S43" s="215"/>
      <c r="T43" s="208" t="s">
        <v>10902</v>
      </c>
      <c r="U43" s="208" t="s">
        <v>10902</v>
      </c>
      <c r="V43" s="208" t="s">
        <v>10902</v>
      </c>
      <c r="W43" s="208" t="s">
        <v>43</v>
      </c>
      <c r="X43" s="208" t="s">
        <v>11327</v>
      </c>
      <c r="Y43" s="208" t="s">
        <v>11198</v>
      </c>
      <c r="Z43" s="208" t="s">
        <v>11195</v>
      </c>
      <c r="AA43" s="208" t="s">
        <v>44</v>
      </c>
      <c r="AB43" s="208" t="s">
        <v>44</v>
      </c>
      <c r="AC43" s="213"/>
      <c r="AD43" s="213"/>
      <c r="AE43" s="211">
        <v>0</v>
      </c>
      <c r="AF43" s="213">
        <v>0</v>
      </c>
      <c r="AG43" s="211">
        <v>0.13</v>
      </c>
      <c r="AH43" s="211">
        <v>229448</v>
      </c>
      <c r="AI43" s="211">
        <v>0.13075341077842323</v>
      </c>
      <c r="AJ43" s="214">
        <v>44657</v>
      </c>
      <c r="AK43" s="208" t="s">
        <v>12712</v>
      </c>
      <c r="AL43" s="211">
        <v>0</v>
      </c>
      <c r="AM43" s="211">
        <v>0</v>
      </c>
      <c r="AN43" s="211">
        <v>0</v>
      </c>
      <c r="AO43" s="208" t="s">
        <v>44</v>
      </c>
      <c r="AP43" s="208" t="s">
        <v>11331</v>
      </c>
      <c r="AQ43" s="208" t="s">
        <v>5121</v>
      </c>
    </row>
    <row r="44" spans="1:43" x14ac:dyDescent="0.25">
      <c r="A44" s="208" t="s">
        <v>12711</v>
      </c>
      <c r="B44" s="208" t="s">
        <v>11037</v>
      </c>
      <c r="C44" s="208" t="s">
        <v>11195</v>
      </c>
      <c r="D44" s="208" t="s">
        <v>11332</v>
      </c>
      <c r="E44" s="208" t="s">
        <v>11333</v>
      </c>
      <c r="F44" s="208" t="s">
        <v>11332</v>
      </c>
      <c r="G44" s="210">
        <v>34622</v>
      </c>
      <c r="H44" s="211">
        <v>687492.47</v>
      </c>
      <c r="I44" s="211">
        <v>605192.56000000006</v>
      </c>
      <c r="J44" s="211">
        <v>0</v>
      </c>
      <c r="K44" s="211">
        <v>0</v>
      </c>
      <c r="L44" s="211">
        <v>605192.56000000006</v>
      </c>
      <c r="M44" s="212">
        <v>1748</v>
      </c>
      <c r="N44" s="213">
        <v>0.34487548986143074</v>
      </c>
      <c r="O44" s="214" t="s">
        <v>44</v>
      </c>
      <c r="P44" s="214" t="s">
        <v>44</v>
      </c>
      <c r="Q44" s="210"/>
      <c r="R44" s="211"/>
      <c r="S44" s="215"/>
      <c r="T44" s="208" t="s">
        <v>10902</v>
      </c>
      <c r="U44" s="208" t="s">
        <v>10902</v>
      </c>
      <c r="V44" s="208" t="s">
        <v>10902</v>
      </c>
      <c r="W44" s="208" t="s">
        <v>43</v>
      </c>
      <c r="X44" s="208" t="s">
        <v>11334</v>
      </c>
      <c r="Y44" s="208" t="s">
        <v>11335</v>
      </c>
      <c r="Z44" s="208" t="s">
        <v>11195</v>
      </c>
      <c r="AA44" s="208" t="s">
        <v>44</v>
      </c>
      <c r="AB44" s="208" t="s">
        <v>44</v>
      </c>
      <c r="AC44" s="213"/>
      <c r="AD44" s="213"/>
      <c r="AE44" s="211">
        <v>0</v>
      </c>
      <c r="AF44" s="213">
        <v>0</v>
      </c>
      <c r="AG44" s="211">
        <v>0.35</v>
      </c>
      <c r="AH44" s="211">
        <v>605192.56000000006</v>
      </c>
      <c r="AI44" s="211">
        <v>0.34487548986143068</v>
      </c>
      <c r="AJ44" s="214">
        <v>44657</v>
      </c>
      <c r="AK44" s="208" t="s">
        <v>12712</v>
      </c>
      <c r="AL44" s="211">
        <v>0</v>
      </c>
      <c r="AM44" s="211">
        <v>0</v>
      </c>
      <c r="AN44" s="211">
        <v>0</v>
      </c>
      <c r="AO44" s="208" t="s">
        <v>44</v>
      </c>
      <c r="AP44" s="208" t="s">
        <v>11336</v>
      </c>
      <c r="AQ44" s="208" t="s">
        <v>11333</v>
      </c>
    </row>
    <row r="45" spans="1:43" x14ac:dyDescent="0.25">
      <c r="A45" s="208" t="s">
        <v>12711</v>
      </c>
      <c r="B45" s="208" t="s">
        <v>11037</v>
      </c>
      <c r="C45" s="208" t="s">
        <v>11195</v>
      </c>
      <c r="D45" s="208" t="s">
        <v>11337</v>
      </c>
      <c r="E45" s="208" t="s">
        <v>11338</v>
      </c>
      <c r="F45" s="208" t="s">
        <v>11339</v>
      </c>
      <c r="G45" s="210">
        <v>5500</v>
      </c>
      <c r="H45" s="211">
        <v>162816.07999999999</v>
      </c>
      <c r="I45" s="211">
        <v>274395</v>
      </c>
      <c r="J45" s="211">
        <v>0</v>
      </c>
      <c r="K45" s="211">
        <v>0</v>
      </c>
      <c r="L45" s="211">
        <v>274395</v>
      </c>
      <c r="M45" s="212">
        <v>4989</v>
      </c>
      <c r="N45" s="213">
        <v>0.15636694218535549</v>
      </c>
      <c r="O45" s="214" t="s">
        <v>44</v>
      </c>
      <c r="P45" s="214" t="s">
        <v>44</v>
      </c>
      <c r="Q45" s="210"/>
      <c r="R45" s="211"/>
      <c r="S45" s="215"/>
      <c r="T45" s="208" t="s">
        <v>10902</v>
      </c>
      <c r="U45" s="208" t="s">
        <v>10902</v>
      </c>
      <c r="V45" s="208" t="s">
        <v>10902</v>
      </c>
      <c r="W45" s="208" t="s">
        <v>43</v>
      </c>
      <c r="X45" s="208" t="s">
        <v>11327</v>
      </c>
      <c r="Y45" s="208" t="s">
        <v>11198</v>
      </c>
      <c r="Z45" s="208" t="s">
        <v>11195</v>
      </c>
      <c r="AA45" s="208" t="s">
        <v>44</v>
      </c>
      <c r="AB45" s="208" t="s">
        <v>44</v>
      </c>
      <c r="AC45" s="213"/>
      <c r="AD45" s="213"/>
      <c r="AE45" s="211">
        <v>0</v>
      </c>
      <c r="AF45" s="213">
        <v>0</v>
      </c>
      <c r="AG45" s="211">
        <v>0.16</v>
      </c>
      <c r="AH45" s="211">
        <v>274395</v>
      </c>
      <c r="AI45" s="211">
        <v>0.15636694218535546</v>
      </c>
      <c r="AJ45" s="214">
        <v>44657</v>
      </c>
      <c r="AK45" s="208" t="s">
        <v>12712</v>
      </c>
      <c r="AL45" s="211">
        <v>0</v>
      </c>
      <c r="AM45" s="211">
        <v>0</v>
      </c>
      <c r="AN45" s="211">
        <v>0</v>
      </c>
      <c r="AO45" s="208" t="s">
        <v>44</v>
      </c>
      <c r="AP45" s="208" t="s">
        <v>11340</v>
      </c>
      <c r="AQ45" s="208" t="s">
        <v>11338</v>
      </c>
    </row>
    <row r="46" spans="1:43" x14ac:dyDescent="0.25">
      <c r="A46" s="208" t="s">
        <v>12711</v>
      </c>
      <c r="B46" s="208" t="s">
        <v>11037</v>
      </c>
      <c r="C46" s="208" t="s">
        <v>11195</v>
      </c>
      <c r="D46" s="208" t="s">
        <v>11341</v>
      </c>
      <c r="E46" s="208" t="s">
        <v>11342</v>
      </c>
      <c r="F46" s="208" t="s">
        <v>11341</v>
      </c>
      <c r="G46" s="210">
        <v>6500</v>
      </c>
      <c r="H46" s="211">
        <v>192419</v>
      </c>
      <c r="I46" s="211">
        <v>324155</v>
      </c>
      <c r="J46" s="211">
        <v>0</v>
      </c>
      <c r="K46" s="211">
        <v>0</v>
      </c>
      <c r="L46" s="211">
        <v>324155</v>
      </c>
      <c r="M46" s="212">
        <v>4987</v>
      </c>
      <c r="N46" s="213">
        <v>0.18472321341166531</v>
      </c>
      <c r="O46" s="214" t="s">
        <v>44</v>
      </c>
      <c r="P46" s="214" t="s">
        <v>44</v>
      </c>
      <c r="Q46" s="210"/>
      <c r="R46" s="211"/>
      <c r="S46" s="215"/>
      <c r="T46" s="208" t="s">
        <v>10902</v>
      </c>
      <c r="U46" s="208" t="s">
        <v>10902</v>
      </c>
      <c r="V46" s="208" t="s">
        <v>10902</v>
      </c>
      <c r="W46" s="208" t="s">
        <v>43</v>
      </c>
      <c r="X46" s="208" t="s">
        <v>11327</v>
      </c>
      <c r="Y46" s="208" t="s">
        <v>11198</v>
      </c>
      <c r="Z46" s="208" t="s">
        <v>11195</v>
      </c>
      <c r="AA46" s="208" t="s">
        <v>44</v>
      </c>
      <c r="AB46" s="208" t="s">
        <v>44</v>
      </c>
      <c r="AC46" s="213"/>
      <c r="AD46" s="213"/>
      <c r="AE46" s="211">
        <v>0</v>
      </c>
      <c r="AF46" s="213">
        <v>0</v>
      </c>
      <c r="AG46" s="211">
        <v>0.18</v>
      </c>
      <c r="AH46" s="211">
        <v>324155</v>
      </c>
      <c r="AI46" s="211">
        <v>0.18472321341166531</v>
      </c>
      <c r="AJ46" s="214">
        <v>44657</v>
      </c>
      <c r="AK46" s="208" t="s">
        <v>12712</v>
      </c>
      <c r="AL46" s="211">
        <v>0</v>
      </c>
      <c r="AM46" s="211">
        <v>0</v>
      </c>
      <c r="AN46" s="211">
        <v>0</v>
      </c>
      <c r="AO46" s="208" t="s">
        <v>44</v>
      </c>
      <c r="AP46" s="208" t="s">
        <v>11343</v>
      </c>
      <c r="AQ46" s="208" t="s">
        <v>11342</v>
      </c>
    </row>
    <row r="47" spans="1:43" x14ac:dyDescent="0.25">
      <c r="A47" s="208" t="s">
        <v>12711</v>
      </c>
      <c r="B47" s="208" t="s">
        <v>11037</v>
      </c>
      <c r="C47" s="208" t="s">
        <v>11195</v>
      </c>
      <c r="D47" s="208" t="s">
        <v>6128</v>
      </c>
      <c r="E47" s="208" t="s">
        <v>6759</v>
      </c>
      <c r="F47" s="208" t="s">
        <v>6128</v>
      </c>
      <c r="G47" s="210">
        <v>5800</v>
      </c>
      <c r="H47" s="211">
        <v>309509.46000000002</v>
      </c>
      <c r="I47" s="211">
        <v>560512</v>
      </c>
      <c r="J47" s="211">
        <v>0</v>
      </c>
      <c r="K47" s="211">
        <v>0</v>
      </c>
      <c r="L47" s="211">
        <v>560512</v>
      </c>
      <c r="M47" s="212">
        <v>9664</v>
      </c>
      <c r="N47" s="213">
        <v>0.3194137921543686</v>
      </c>
      <c r="O47" s="214" t="s">
        <v>44</v>
      </c>
      <c r="P47" s="214" t="s">
        <v>44</v>
      </c>
      <c r="Q47" s="210"/>
      <c r="R47" s="211"/>
      <c r="S47" s="215"/>
      <c r="T47" s="208" t="s">
        <v>10902</v>
      </c>
      <c r="U47" s="208" t="s">
        <v>10902</v>
      </c>
      <c r="V47" s="208" t="s">
        <v>10902</v>
      </c>
      <c r="W47" s="208" t="s">
        <v>43</v>
      </c>
      <c r="X47" s="208" t="s">
        <v>11327</v>
      </c>
      <c r="Y47" s="208" t="s">
        <v>11198</v>
      </c>
      <c r="Z47" s="208" t="s">
        <v>11195</v>
      </c>
      <c r="AA47" s="208" t="s">
        <v>44</v>
      </c>
      <c r="AB47" s="208" t="s">
        <v>44</v>
      </c>
      <c r="AC47" s="213"/>
      <c r="AD47" s="213"/>
      <c r="AE47" s="211">
        <v>0</v>
      </c>
      <c r="AF47" s="213">
        <v>0</v>
      </c>
      <c r="AG47" s="211">
        <v>0.32</v>
      </c>
      <c r="AH47" s="211">
        <v>560512</v>
      </c>
      <c r="AI47" s="211">
        <v>0.31941379215436855</v>
      </c>
      <c r="AJ47" s="214">
        <v>44657</v>
      </c>
      <c r="AK47" s="208" t="s">
        <v>12712</v>
      </c>
      <c r="AL47" s="211">
        <v>0</v>
      </c>
      <c r="AM47" s="211">
        <v>0</v>
      </c>
      <c r="AN47" s="211">
        <v>0</v>
      </c>
      <c r="AO47" s="208" t="s">
        <v>44</v>
      </c>
      <c r="AP47" s="208" t="s">
        <v>11344</v>
      </c>
      <c r="AQ47" s="208" t="s">
        <v>6759</v>
      </c>
    </row>
    <row r="48" spans="1:43" x14ac:dyDescent="0.25">
      <c r="A48" s="208" t="s">
        <v>12711</v>
      </c>
      <c r="B48" s="208" t="s">
        <v>11037</v>
      </c>
      <c r="C48" s="208" t="s">
        <v>11195</v>
      </c>
      <c r="D48" s="208" t="s">
        <v>11345</v>
      </c>
      <c r="E48" s="208" t="s">
        <v>5409</v>
      </c>
      <c r="F48" s="208" t="s">
        <v>11345</v>
      </c>
      <c r="G48" s="210">
        <v>35000</v>
      </c>
      <c r="H48" s="211">
        <v>1123856.82</v>
      </c>
      <c r="I48" s="211">
        <v>998200</v>
      </c>
      <c r="J48" s="211">
        <v>0</v>
      </c>
      <c r="K48" s="211">
        <v>27390.97</v>
      </c>
      <c r="L48" s="211">
        <v>1025590.97</v>
      </c>
      <c r="M48" s="212">
        <v>2852</v>
      </c>
      <c r="N48" s="213">
        <v>0.5844440456707034</v>
      </c>
      <c r="O48" s="214" t="s">
        <v>44</v>
      </c>
      <c r="P48" s="214" t="s">
        <v>44</v>
      </c>
      <c r="Q48" s="210"/>
      <c r="R48" s="211"/>
      <c r="S48" s="215"/>
      <c r="T48" s="208" t="s">
        <v>10902</v>
      </c>
      <c r="U48" s="208" t="s">
        <v>10902</v>
      </c>
      <c r="V48" s="208" t="s">
        <v>10902</v>
      </c>
      <c r="W48" s="208" t="s">
        <v>43</v>
      </c>
      <c r="X48" s="208" t="s">
        <v>11327</v>
      </c>
      <c r="Y48" s="208" t="s">
        <v>11198</v>
      </c>
      <c r="Z48" s="208" t="s">
        <v>11195</v>
      </c>
      <c r="AA48" s="208" t="s">
        <v>44</v>
      </c>
      <c r="AB48" s="208" t="s">
        <v>44</v>
      </c>
      <c r="AC48" s="213"/>
      <c r="AD48" s="213"/>
      <c r="AE48" s="211">
        <v>0</v>
      </c>
      <c r="AF48" s="213">
        <v>0</v>
      </c>
      <c r="AG48" s="211">
        <v>0.57999999999999996</v>
      </c>
      <c r="AH48" s="211">
        <v>1025590.97</v>
      </c>
      <c r="AI48" s="211">
        <v>0.58444404567070329</v>
      </c>
      <c r="AJ48" s="214">
        <v>44657</v>
      </c>
      <c r="AK48" s="208" t="s">
        <v>12712</v>
      </c>
      <c r="AL48" s="211">
        <v>0</v>
      </c>
      <c r="AM48" s="211">
        <v>0</v>
      </c>
      <c r="AN48" s="211">
        <v>0</v>
      </c>
      <c r="AO48" s="208" t="s">
        <v>44</v>
      </c>
      <c r="AP48" s="208" t="s">
        <v>11346</v>
      </c>
      <c r="AQ48" s="208" t="s">
        <v>5409</v>
      </c>
    </row>
    <row r="49" spans="1:43" x14ac:dyDescent="0.25">
      <c r="A49" s="208" t="s">
        <v>12711</v>
      </c>
      <c r="B49" s="208" t="s">
        <v>11037</v>
      </c>
      <c r="C49" s="208" t="s">
        <v>11195</v>
      </c>
      <c r="D49" s="208" t="s">
        <v>6263</v>
      </c>
      <c r="E49" s="208" t="s">
        <v>6850</v>
      </c>
      <c r="F49" s="208" t="s">
        <v>6263</v>
      </c>
      <c r="G49" s="210">
        <v>24352</v>
      </c>
      <c r="H49" s="211">
        <v>698062.26</v>
      </c>
      <c r="I49" s="211">
        <v>1284324.48</v>
      </c>
      <c r="J49" s="211">
        <v>0</v>
      </c>
      <c r="K49" s="211">
        <v>0</v>
      </c>
      <c r="L49" s="211">
        <v>1284324.48</v>
      </c>
      <c r="M49" s="212">
        <v>5274</v>
      </c>
      <c r="N49" s="213">
        <v>0.73188611932213321</v>
      </c>
      <c r="O49" s="214" t="s">
        <v>44</v>
      </c>
      <c r="P49" s="214" t="s">
        <v>44</v>
      </c>
      <c r="Q49" s="210"/>
      <c r="R49" s="211"/>
      <c r="S49" s="215"/>
      <c r="T49" s="208" t="s">
        <v>10902</v>
      </c>
      <c r="U49" s="208" t="s">
        <v>10902</v>
      </c>
      <c r="V49" s="208" t="s">
        <v>10902</v>
      </c>
      <c r="W49" s="208" t="s">
        <v>43</v>
      </c>
      <c r="X49" s="208" t="s">
        <v>11347</v>
      </c>
      <c r="Y49" s="208" t="s">
        <v>11348</v>
      </c>
      <c r="Z49" s="208" t="s">
        <v>11195</v>
      </c>
      <c r="AA49" s="208" t="s">
        <v>44</v>
      </c>
      <c r="AB49" s="208" t="s">
        <v>44</v>
      </c>
      <c r="AC49" s="213"/>
      <c r="AD49" s="213"/>
      <c r="AE49" s="211">
        <v>0</v>
      </c>
      <c r="AF49" s="213">
        <v>0</v>
      </c>
      <c r="AG49" s="211">
        <v>0.73</v>
      </c>
      <c r="AH49" s="211">
        <v>1284324.48</v>
      </c>
      <c r="AI49" s="211">
        <v>0.7318861193221331</v>
      </c>
      <c r="AJ49" s="214">
        <v>44657</v>
      </c>
      <c r="AK49" s="208" t="s">
        <v>12712</v>
      </c>
      <c r="AL49" s="211">
        <v>0</v>
      </c>
      <c r="AM49" s="211">
        <v>0</v>
      </c>
      <c r="AN49" s="211">
        <v>0</v>
      </c>
      <c r="AO49" s="208" t="s">
        <v>44</v>
      </c>
      <c r="AP49" s="208" t="s">
        <v>11349</v>
      </c>
      <c r="AQ49" s="208" t="s">
        <v>6850</v>
      </c>
    </row>
    <row r="50" spans="1:43" x14ac:dyDescent="0.25">
      <c r="A50" s="208" t="s">
        <v>12711</v>
      </c>
      <c r="B50" s="208" t="s">
        <v>11037</v>
      </c>
      <c r="C50" s="208" t="s">
        <v>11195</v>
      </c>
      <c r="D50" s="208" t="s">
        <v>11208</v>
      </c>
      <c r="E50" s="208" t="s">
        <v>3160</v>
      </c>
      <c r="F50" s="208" t="s">
        <v>11208</v>
      </c>
      <c r="G50" s="210">
        <v>190000</v>
      </c>
      <c r="H50" s="211">
        <v>555348.62</v>
      </c>
      <c r="I50" s="211">
        <v>858800</v>
      </c>
      <c r="J50" s="211">
        <v>0</v>
      </c>
      <c r="K50" s="211">
        <v>0</v>
      </c>
      <c r="L50" s="211">
        <v>858800</v>
      </c>
      <c r="M50" s="212">
        <v>452</v>
      </c>
      <c r="N50" s="213">
        <v>0.48939641738655326</v>
      </c>
      <c r="O50" s="214" t="s">
        <v>44</v>
      </c>
      <c r="P50" s="214" t="s">
        <v>44</v>
      </c>
      <c r="Q50" s="210"/>
      <c r="R50" s="211"/>
      <c r="S50" s="215"/>
      <c r="T50" s="208" t="s">
        <v>10902</v>
      </c>
      <c r="U50" s="208" t="s">
        <v>10902</v>
      </c>
      <c r="V50" s="208" t="s">
        <v>10902</v>
      </c>
      <c r="W50" s="208" t="s">
        <v>43</v>
      </c>
      <c r="X50" s="208" t="s">
        <v>11197</v>
      </c>
      <c r="Y50" s="208" t="s">
        <v>11198</v>
      </c>
      <c r="Z50" s="208" t="s">
        <v>11195</v>
      </c>
      <c r="AA50" s="208" t="s">
        <v>44</v>
      </c>
      <c r="AB50" s="208" t="s">
        <v>44</v>
      </c>
      <c r="AC50" s="213"/>
      <c r="AD50" s="213"/>
      <c r="AE50" s="211">
        <v>0</v>
      </c>
      <c r="AF50" s="213">
        <v>0</v>
      </c>
      <c r="AG50" s="211">
        <v>0.49</v>
      </c>
      <c r="AH50" s="211">
        <v>858800</v>
      </c>
      <c r="AI50" s="211">
        <v>0.48939641738655321</v>
      </c>
      <c r="AJ50" s="214">
        <v>44657</v>
      </c>
      <c r="AK50" s="208" t="s">
        <v>12712</v>
      </c>
      <c r="AL50" s="211">
        <v>0</v>
      </c>
      <c r="AM50" s="211">
        <v>0</v>
      </c>
      <c r="AN50" s="211">
        <v>0</v>
      </c>
      <c r="AO50" s="208" t="s">
        <v>44</v>
      </c>
      <c r="AP50" s="208" t="s">
        <v>11209</v>
      </c>
      <c r="AQ50" s="208" t="s">
        <v>3160</v>
      </c>
    </row>
    <row r="51" spans="1:43" x14ac:dyDescent="0.25">
      <c r="A51" s="208" t="s">
        <v>12711</v>
      </c>
      <c r="B51" s="208" t="s">
        <v>11037</v>
      </c>
      <c r="C51" s="208" t="s">
        <v>11195</v>
      </c>
      <c r="D51" s="208" t="s">
        <v>11714</v>
      </c>
      <c r="E51" s="208" t="s">
        <v>5012</v>
      </c>
      <c r="F51" s="208" t="s">
        <v>11714</v>
      </c>
      <c r="G51" s="210">
        <v>4000</v>
      </c>
      <c r="H51" s="211">
        <v>1254441.3700000001</v>
      </c>
      <c r="I51" s="211">
        <v>1367600</v>
      </c>
      <c r="J51" s="211">
        <v>0</v>
      </c>
      <c r="K51" s="211">
        <v>0</v>
      </c>
      <c r="L51" s="211">
        <v>1367600</v>
      </c>
      <c r="M51" s="212">
        <v>34190</v>
      </c>
      <c r="N51" s="213">
        <v>0.77934157011859606</v>
      </c>
      <c r="O51" s="214" t="s">
        <v>44</v>
      </c>
      <c r="P51" s="214" t="s">
        <v>44</v>
      </c>
      <c r="Q51" s="210"/>
      <c r="R51" s="211"/>
      <c r="S51" s="215"/>
      <c r="T51" s="208" t="s">
        <v>10902</v>
      </c>
      <c r="U51" s="208" t="s">
        <v>10902</v>
      </c>
      <c r="V51" s="208" t="s">
        <v>10902</v>
      </c>
      <c r="W51" s="208" t="s">
        <v>43</v>
      </c>
      <c r="X51" s="208" t="s">
        <v>11327</v>
      </c>
      <c r="Y51" s="208" t="s">
        <v>11198</v>
      </c>
      <c r="Z51" s="208" t="s">
        <v>11195</v>
      </c>
      <c r="AA51" s="208" t="s">
        <v>44</v>
      </c>
      <c r="AB51" s="208" t="s">
        <v>44</v>
      </c>
      <c r="AC51" s="213"/>
      <c r="AD51" s="213"/>
      <c r="AE51" s="211">
        <v>0</v>
      </c>
      <c r="AF51" s="213">
        <v>0</v>
      </c>
      <c r="AG51" s="211">
        <v>0.78</v>
      </c>
      <c r="AH51" s="211">
        <v>1367600</v>
      </c>
      <c r="AI51" s="211">
        <v>0.77934157011859584</v>
      </c>
      <c r="AJ51" s="214">
        <v>44657</v>
      </c>
      <c r="AK51" s="208" t="s">
        <v>12712</v>
      </c>
      <c r="AL51" s="211">
        <v>0</v>
      </c>
      <c r="AM51" s="211">
        <v>0</v>
      </c>
      <c r="AN51" s="211">
        <v>0</v>
      </c>
      <c r="AO51" s="208" t="s">
        <v>44</v>
      </c>
      <c r="AP51" s="208" t="s">
        <v>11715</v>
      </c>
      <c r="AQ51" s="208" t="s">
        <v>5012</v>
      </c>
    </row>
    <row r="52" spans="1:43" x14ac:dyDescent="0.25">
      <c r="A52" s="208" t="s">
        <v>12711</v>
      </c>
      <c r="B52" s="208" t="s">
        <v>11037</v>
      </c>
      <c r="C52" s="208" t="s">
        <v>11195</v>
      </c>
      <c r="D52" s="208" t="s">
        <v>11210</v>
      </c>
      <c r="E52" s="208" t="s">
        <v>3167</v>
      </c>
      <c r="F52" s="208" t="s">
        <v>11211</v>
      </c>
      <c r="G52" s="210">
        <v>13086</v>
      </c>
      <c r="H52" s="211">
        <v>664382.09</v>
      </c>
      <c r="I52" s="211">
        <v>770765.4</v>
      </c>
      <c r="J52" s="211">
        <v>0</v>
      </c>
      <c r="K52" s="211">
        <v>29655.49</v>
      </c>
      <c r="L52" s="211">
        <v>800420.89</v>
      </c>
      <c r="M52" s="212">
        <v>5890</v>
      </c>
      <c r="N52" s="213">
        <v>0.45612845361825388</v>
      </c>
      <c r="O52" s="214" t="s">
        <v>44</v>
      </c>
      <c r="P52" s="214" t="s">
        <v>44</v>
      </c>
      <c r="Q52" s="210"/>
      <c r="R52" s="211"/>
      <c r="S52" s="215"/>
      <c r="T52" s="208" t="s">
        <v>10902</v>
      </c>
      <c r="U52" s="208" t="s">
        <v>10902</v>
      </c>
      <c r="V52" s="208" t="s">
        <v>11212</v>
      </c>
      <c r="W52" s="208" t="s">
        <v>43</v>
      </c>
      <c r="X52" s="208" t="s">
        <v>11197</v>
      </c>
      <c r="Y52" s="208" t="s">
        <v>11198</v>
      </c>
      <c r="Z52" s="208" t="s">
        <v>11195</v>
      </c>
      <c r="AA52" s="208" t="s">
        <v>44</v>
      </c>
      <c r="AB52" s="208" t="s">
        <v>44</v>
      </c>
      <c r="AC52" s="213"/>
      <c r="AD52" s="213"/>
      <c r="AE52" s="211">
        <v>0</v>
      </c>
      <c r="AF52" s="213">
        <v>0</v>
      </c>
      <c r="AG52" s="211">
        <v>0.46</v>
      </c>
      <c r="AH52" s="211">
        <v>800420.89</v>
      </c>
      <c r="AI52" s="211">
        <v>0.45612845361825383</v>
      </c>
      <c r="AJ52" s="214">
        <v>44657</v>
      </c>
      <c r="AK52" s="208" t="s">
        <v>12712</v>
      </c>
      <c r="AL52" s="211">
        <v>0</v>
      </c>
      <c r="AM52" s="211">
        <v>0</v>
      </c>
      <c r="AN52" s="211">
        <v>0</v>
      </c>
      <c r="AO52" s="208" t="s">
        <v>44</v>
      </c>
      <c r="AP52" s="208" t="s">
        <v>11213</v>
      </c>
      <c r="AQ52" s="208" t="s">
        <v>3167</v>
      </c>
    </row>
    <row r="53" spans="1:43" x14ac:dyDescent="0.25">
      <c r="A53" s="208" t="s">
        <v>12711</v>
      </c>
      <c r="B53" s="208" t="s">
        <v>11037</v>
      </c>
      <c r="C53" s="208" t="s">
        <v>11195</v>
      </c>
      <c r="D53" s="208" t="s">
        <v>6379</v>
      </c>
      <c r="E53" s="208" t="s">
        <v>5199</v>
      </c>
      <c r="F53" s="208" t="s">
        <v>6379</v>
      </c>
      <c r="G53" s="210">
        <v>1786</v>
      </c>
      <c r="H53" s="211">
        <v>486274.11</v>
      </c>
      <c r="I53" s="211">
        <v>535960.74</v>
      </c>
      <c r="J53" s="211">
        <v>0</v>
      </c>
      <c r="K53" s="211">
        <v>0</v>
      </c>
      <c r="L53" s="211">
        <v>535960.74</v>
      </c>
      <c r="M53" s="212">
        <v>30009</v>
      </c>
      <c r="N53" s="213">
        <v>0.30542299256619232</v>
      </c>
      <c r="O53" s="214" t="s">
        <v>44</v>
      </c>
      <c r="P53" s="214" t="s">
        <v>44</v>
      </c>
      <c r="Q53" s="210"/>
      <c r="R53" s="211"/>
      <c r="S53" s="215"/>
      <c r="T53" s="208" t="s">
        <v>10902</v>
      </c>
      <c r="U53" s="208" t="s">
        <v>10902</v>
      </c>
      <c r="V53" s="208" t="s">
        <v>10902</v>
      </c>
      <c r="W53" s="208" t="s">
        <v>43</v>
      </c>
      <c r="X53" s="208" t="s">
        <v>11350</v>
      </c>
      <c r="Y53" s="208" t="s">
        <v>11335</v>
      </c>
      <c r="Z53" s="208" t="s">
        <v>11195</v>
      </c>
      <c r="AA53" s="208" t="s">
        <v>44</v>
      </c>
      <c r="AB53" s="208" t="s">
        <v>44</v>
      </c>
      <c r="AC53" s="213"/>
      <c r="AD53" s="213"/>
      <c r="AE53" s="211">
        <v>0</v>
      </c>
      <c r="AF53" s="213">
        <v>0</v>
      </c>
      <c r="AG53" s="211">
        <v>0.31</v>
      </c>
      <c r="AH53" s="211">
        <v>535960.74</v>
      </c>
      <c r="AI53" s="211">
        <v>0.30542299256619226</v>
      </c>
      <c r="AJ53" s="214">
        <v>44657</v>
      </c>
      <c r="AK53" s="208" t="s">
        <v>12712</v>
      </c>
      <c r="AL53" s="211">
        <v>0</v>
      </c>
      <c r="AM53" s="211">
        <v>0</v>
      </c>
      <c r="AN53" s="211">
        <v>0</v>
      </c>
      <c r="AO53" s="208" t="s">
        <v>44</v>
      </c>
      <c r="AP53" s="208" t="s">
        <v>11351</v>
      </c>
      <c r="AQ53" s="208" t="s">
        <v>5199</v>
      </c>
    </row>
    <row r="54" spans="1:43" x14ac:dyDescent="0.25">
      <c r="A54" s="208" t="s">
        <v>12711</v>
      </c>
      <c r="B54" s="208" t="s">
        <v>11037</v>
      </c>
      <c r="C54" s="208" t="s">
        <v>11195</v>
      </c>
      <c r="D54" s="208" t="s">
        <v>5876</v>
      </c>
      <c r="E54" s="208" t="s">
        <v>4893</v>
      </c>
      <c r="F54" s="208" t="s">
        <v>5876</v>
      </c>
      <c r="G54" s="210">
        <v>1432</v>
      </c>
      <c r="H54" s="211">
        <v>261328.26</v>
      </c>
      <c r="I54" s="211">
        <v>252533.2</v>
      </c>
      <c r="J54" s="211">
        <v>0</v>
      </c>
      <c r="K54" s="211">
        <v>7317.52</v>
      </c>
      <c r="L54" s="211">
        <v>259850.72</v>
      </c>
      <c r="M54" s="212">
        <v>17635</v>
      </c>
      <c r="N54" s="213">
        <v>0.14807872778681461</v>
      </c>
      <c r="O54" s="214" t="s">
        <v>44</v>
      </c>
      <c r="P54" s="214" t="s">
        <v>44</v>
      </c>
      <c r="Q54" s="210"/>
      <c r="R54" s="211"/>
      <c r="S54" s="215"/>
      <c r="T54" s="208" t="s">
        <v>10902</v>
      </c>
      <c r="U54" s="208" t="s">
        <v>10902</v>
      </c>
      <c r="V54" s="208" t="s">
        <v>10902</v>
      </c>
      <c r="W54" s="208" t="s">
        <v>43</v>
      </c>
      <c r="X54" s="208" t="s">
        <v>11034</v>
      </c>
      <c r="Y54" s="208" t="s">
        <v>11034</v>
      </c>
      <c r="Z54" s="208" t="s">
        <v>11195</v>
      </c>
      <c r="AA54" s="208" t="s">
        <v>44</v>
      </c>
      <c r="AB54" s="208" t="s">
        <v>44</v>
      </c>
      <c r="AC54" s="213"/>
      <c r="AD54" s="213"/>
      <c r="AE54" s="211">
        <v>0</v>
      </c>
      <c r="AF54" s="213">
        <v>0</v>
      </c>
      <c r="AG54" s="211">
        <v>0.15</v>
      </c>
      <c r="AH54" s="211">
        <v>259850.72</v>
      </c>
      <c r="AI54" s="211">
        <v>0.14807872778681458</v>
      </c>
      <c r="AJ54" s="214">
        <v>44657</v>
      </c>
      <c r="AK54" s="208" t="s">
        <v>12712</v>
      </c>
      <c r="AL54" s="211">
        <v>0</v>
      </c>
      <c r="AM54" s="211">
        <v>0</v>
      </c>
      <c r="AN54" s="211">
        <v>0</v>
      </c>
      <c r="AO54" s="208" t="s">
        <v>44</v>
      </c>
      <c r="AP54" s="208" t="s">
        <v>11352</v>
      </c>
      <c r="AQ54" s="208" t="s">
        <v>4893</v>
      </c>
    </row>
    <row r="55" spans="1:43" x14ac:dyDescent="0.25">
      <c r="A55" s="208" t="s">
        <v>12711</v>
      </c>
      <c r="B55" s="208" t="s">
        <v>11037</v>
      </c>
      <c r="C55" s="208" t="s">
        <v>11195</v>
      </c>
      <c r="D55" s="208" t="s">
        <v>11353</v>
      </c>
      <c r="E55" s="208" t="s">
        <v>5706</v>
      </c>
      <c r="F55" s="208" t="s">
        <v>11353</v>
      </c>
      <c r="G55" s="210">
        <v>22296</v>
      </c>
      <c r="H55" s="211">
        <v>488820.34</v>
      </c>
      <c r="I55" s="211">
        <v>1081356</v>
      </c>
      <c r="J55" s="211">
        <v>0</v>
      </c>
      <c r="K55" s="211">
        <v>0</v>
      </c>
      <c r="L55" s="211">
        <v>1081356</v>
      </c>
      <c r="M55" s="212">
        <v>4850</v>
      </c>
      <c r="N55" s="213">
        <v>0.61622234783355112</v>
      </c>
      <c r="O55" s="214" t="s">
        <v>44</v>
      </c>
      <c r="P55" s="214" t="s">
        <v>44</v>
      </c>
      <c r="Q55" s="210"/>
      <c r="R55" s="211"/>
      <c r="S55" s="215"/>
      <c r="T55" s="208" t="s">
        <v>10902</v>
      </c>
      <c r="U55" s="208" t="s">
        <v>10902</v>
      </c>
      <c r="V55" s="208" t="s">
        <v>10902</v>
      </c>
      <c r="W55" s="208" t="s">
        <v>43</v>
      </c>
      <c r="X55" s="208" t="s">
        <v>11327</v>
      </c>
      <c r="Y55" s="208" t="s">
        <v>11198</v>
      </c>
      <c r="Z55" s="208" t="s">
        <v>11195</v>
      </c>
      <c r="AA55" s="208" t="s">
        <v>44</v>
      </c>
      <c r="AB55" s="208" t="s">
        <v>44</v>
      </c>
      <c r="AC55" s="213"/>
      <c r="AD55" s="213"/>
      <c r="AE55" s="211">
        <v>0</v>
      </c>
      <c r="AF55" s="213">
        <v>0</v>
      </c>
      <c r="AG55" s="211">
        <v>0.62</v>
      </c>
      <c r="AH55" s="211">
        <v>1081356</v>
      </c>
      <c r="AI55" s="211">
        <v>0.61622234783355101</v>
      </c>
      <c r="AJ55" s="214">
        <v>44657</v>
      </c>
      <c r="AK55" s="208" t="s">
        <v>12712</v>
      </c>
      <c r="AL55" s="211">
        <v>0</v>
      </c>
      <c r="AM55" s="211">
        <v>0</v>
      </c>
      <c r="AN55" s="211">
        <v>0</v>
      </c>
      <c r="AO55" s="208" t="s">
        <v>44</v>
      </c>
      <c r="AP55" s="208" t="s">
        <v>11354</v>
      </c>
      <c r="AQ55" s="208" t="s">
        <v>5706</v>
      </c>
    </row>
    <row r="56" spans="1:43" x14ac:dyDescent="0.25">
      <c r="A56" s="208" t="s">
        <v>12711</v>
      </c>
      <c r="B56" s="208" t="s">
        <v>11037</v>
      </c>
      <c r="C56" s="208" t="s">
        <v>11195</v>
      </c>
      <c r="D56" s="208" t="s">
        <v>6348</v>
      </c>
      <c r="E56" s="208" t="s">
        <v>5241</v>
      </c>
      <c r="F56" s="208" t="s">
        <v>6348</v>
      </c>
      <c r="G56" s="210">
        <v>28000</v>
      </c>
      <c r="H56" s="211">
        <v>306903.2</v>
      </c>
      <c r="I56" s="211">
        <v>390040</v>
      </c>
      <c r="J56" s="211">
        <v>0</v>
      </c>
      <c r="K56" s="211">
        <v>0</v>
      </c>
      <c r="L56" s="211">
        <v>390040</v>
      </c>
      <c r="M56" s="212">
        <v>1393</v>
      </c>
      <c r="N56" s="213">
        <v>0.22226848933098656</v>
      </c>
      <c r="O56" s="214" t="s">
        <v>44</v>
      </c>
      <c r="P56" s="214" t="s">
        <v>44</v>
      </c>
      <c r="Q56" s="210"/>
      <c r="R56" s="211"/>
      <c r="S56" s="215"/>
      <c r="T56" s="208" t="s">
        <v>10902</v>
      </c>
      <c r="U56" s="208" t="s">
        <v>10902</v>
      </c>
      <c r="V56" s="208" t="s">
        <v>10902</v>
      </c>
      <c r="W56" s="208" t="s">
        <v>43</v>
      </c>
      <c r="X56" s="208" t="s">
        <v>11197</v>
      </c>
      <c r="Y56" s="208" t="s">
        <v>11198</v>
      </c>
      <c r="Z56" s="208" t="s">
        <v>11195</v>
      </c>
      <c r="AA56" s="208" t="s">
        <v>44</v>
      </c>
      <c r="AB56" s="208" t="s">
        <v>44</v>
      </c>
      <c r="AC56" s="213"/>
      <c r="AD56" s="213"/>
      <c r="AE56" s="211">
        <v>0</v>
      </c>
      <c r="AF56" s="213">
        <v>0</v>
      </c>
      <c r="AG56" s="211">
        <v>0.22</v>
      </c>
      <c r="AH56" s="211">
        <v>390040</v>
      </c>
      <c r="AI56" s="211">
        <v>0.22226848933098653</v>
      </c>
      <c r="AJ56" s="214">
        <v>44657</v>
      </c>
      <c r="AK56" s="208" t="s">
        <v>12712</v>
      </c>
      <c r="AL56" s="211">
        <v>0</v>
      </c>
      <c r="AM56" s="211">
        <v>0</v>
      </c>
      <c r="AN56" s="211">
        <v>0</v>
      </c>
      <c r="AO56" s="208" t="s">
        <v>44</v>
      </c>
      <c r="AP56" s="208" t="s">
        <v>11215</v>
      </c>
      <c r="AQ56" s="208" t="s">
        <v>5241</v>
      </c>
    </row>
    <row r="57" spans="1:43" x14ac:dyDescent="0.25">
      <c r="A57" s="208" t="s">
        <v>12711</v>
      </c>
      <c r="B57" s="208" t="s">
        <v>11037</v>
      </c>
      <c r="C57" s="208" t="s">
        <v>11355</v>
      </c>
      <c r="D57" s="208" t="s">
        <v>11356</v>
      </c>
      <c r="E57" s="208" t="s">
        <v>4971</v>
      </c>
      <c r="F57" s="208" t="s">
        <v>6192</v>
      </c>
      <c r="G57" s="210">
        <v>39259</v>
      </c>
      <c r="H57" s="211">
        <v>902525.76</v>
      </c>
      <c r="I57" s="211">
        <v>903349.59</v>
      </c>
      <c r="J57" s="211">
        <v>0</v>
      </c>
      <c r="K57" s="211">
        <v>0</v>
      </c>
      <c r="L57" s="211">
        <v>903349.59</v>
      </c>
      <c r="M57" s="212">
        <v>2301</v>
      </c>
      <c r="N57" s="213">
        <v>0.51478348043038169</v>
      </c>
      <c r="O57" s="214" t="s">
        <v>44</v>
      </c>
      <c r="P57" s="214" t="s">
        <v>44</v>
      </c>
      <c r="Q57" s="210"/>
      <c r="R57" s="211"/>
      <c r="S57" s="215"/>
      <c r="T57" s="208" t="s">
        <v>10902</v>
      </c>
      <c r="U57" s="208" t="s">
        <v>10902</v>
      </c>
      <c r="V57" s="208" t="s">
        <v>10902</v>
      </c>
      <c r="W57" s="208" t="s">
        <v>43</v>
      </c>
      <c r="X57" s="208" t="s">
        <v>11357</v>
      </c>
      <c r="Y57" s="208" t="s">
        <v>11358</v>
      </c>
      <c r="Z57" s="208" t="s">
        <v>11355</v>
      </c>
      <c r="AA57" s="208" t="s">
        <v>44</v>
      </c>
      <c r="AB57" s="208" t="s">
        <v>44</v>
      </c>
      <c r="AC57" s="213"/>
      <c r="AD57" s="213"/>
      <c r="AE57" s="211">
        <v>0</v>
      </c>
      <c r="AF57" s="213">
        <v>0</v>
      </c>
      <c r="AG57" s="211">
        <v>0.52</v>
      </c>
      <c r="AH57" s="211">
        <v>903349.59</v>
      </c>
      <c r="AI57" s="211">
        <v>0.51478348043038158</v>
      </c>
      <c r="AJ57" s="214">
        <v>44657</v>
      </c>
      <c r="AK57" s="208" t="s">
        <v>12712</v>
      </c>
      <c r="AL57" s="211">
        <v>0</v>
      </c>
      <c r="AM57" s="211">
        <v>0</v>
      </c>
      <c r="AN57" s="211">
        <v>0</v>
      </c>
      <c r="AO57" s="208" t="s">
        <v>44</v>
      </c>
      <c r="AP57" s="208" t="s">
        <v>11359</v>
      </c>
      <c r="AQ57" s="208" t="s">
        <v>4971</v>
      </c>
    </row>
    <row r="58" spans="1:43" x14ac:dyDescent="0.25">
      <c r="A58" s="208" t="s">
        <v>12711</v>
      </c>
      <c r="B58" s="208" t="s">
        <v>11037</v>
      </c>
      <c r="C58" s="208" t="s">
        <v>11355</v>
      </c>
      <c r="D58" s="208" t="s">
        <v>11360</v>
      </c>
      <c r="E58" s="208" t="s">
        <v>4991</v>
      </c>
      <c r="F58" s="208" t="s">
        <v>11360</v>
      </c>
      <c r="G58" s="210">
        <v>9825</v>
      </c>
      <c r="H58" s="211">
        <v>715815.71</v>
      </c>
      <c r="I58" s="211">
        <v>668198.25</v>
      </c>
      <c r="J58" s="211">
        <v>0</v>
      </c>
      <c r="K58" s="211">
        <v>0</v>
      </c>
      <c r="L58" s="211">
        <v>668198.25</v>
      </c>
      <c r="M58" s="212">
        <v>6801</v>
      </c>
      <c r="N58" s="213">
        <v>0.38077996000694514</v>
      </c>
      <c r="O58" s="214" t="s">
        <v>44</v>
      </c>
      <c r="P58" s="214" t="s">
        <v>44</v>
      </c>
      <c r="Q58" s="210"/>
      <c r="R58" s="211"/>
      <c r="S58" s="215"/>
      <c r="T58" s="208" t="s">
        <v>10902</v>
      </c>
      <c r="U58" s="208" t="s">
        <v>10902</v>
      </c>
      <c r="V58" s="208" t="s">
        <v>10902</v>
      </c>
      <c r="W58" s="208" t="s">
        <v>43</v>
      </c>
      <c r="X58" s="208" t="s">
        <v>11357</v>
      </c>
      <c r="Y58" s="208" t="s">
        <v>11358</v>
      </c>
      <c r="Z58" s="208" t="s">
        <v>11355</v>
      </c>
      <c r="AA58" s="208" t="s">
        <v>44</v>
      </c>
      <c r="AB58" s="208" t="s">
        <v>44</v>
      </c>
      <c r="AC58" s="213"/>
      <c r="AD58" s="213"/>
      <c r="AE58" s="211">
        <v>0</v>
      </c>
      <c r="AF58" s="213">
        <v>0</v>
      </c>
      <c r="AG58" s="211">
        <v>0.38</v>
      </c>
      <c r="AH58" s="211">
        <v>668198.25</v>
      </c>
      <c r="AI58" s="211">
        <v>0.38077996000694508</v>
      </c>
      <c r="AJ58" s="214">
        <v>44657</v>
      </c>
      <c r="AK58" s="208" t="s">
        <v>12712</v>
      </c>
      <c r="AL58" s="211">
        <v>0</v>
      </c>
      <c r="AM58" s="211">
        <v>0</v>
      </c>
      <c r="AN58" s="211">
        <v>0</v>
      </c>
      <c r="AO58" s="208" t="s">
        <v>44</v>
      </c>
      <c r="AP58" s="208" t="s">
        <v>11361</v>
      </c>
      <c r="AQ58" s="208" t="s">
        <v>4991</v>
      </c>
    </row>
    <row r="59" spans="1:43" x14ac:dyDescent="0.25">
      <c r="A59" s="208" t="s">
        <v>12711</v>
      </c>
      <c r="B59" s="208" t="s">
        <v>11037</v>
      </c>
      <c r="C59" s="208" t="s">
        <v>11355</v>
      </c>
      <c r="D59" s="208" t="s">
        <v>11362</v>
      </c>
      <c r="E59" s="208" t="s">
        <v>4862</v>
      </c>
      <c r="F59" s="208" t="s">
        <v>11362</v>
      </c>
      <c r="G59" s="210">
        <v>45297</v>
      </c>
      <c r="H59" s="211">
        <v>735028.43</v>
      </c>
      <c r="I59" s="211">
        <v>697573.8</v>
      </c>
      <c r="J59" s="211">
        <v>0</v>
      </c>
      <c r="K59" s="211">
        <v>0</v>
      </c>
      <c r="L59" s="211">
        <v>697573.8</v>
      </c>
      <c r="M59" s="212">
        <v>1540</v>
      </c>
      <c r="N59" s="213">
        <v>0.39751993314243605</v>
      </c>
      <c r="O59" s="214" t="s">
        <v>44</v>
      </c>
      <c r="P59" s="214" t="s">
        <v>44</v>
      </c>
      <c r="Q59" s="210"/>
      <c r="R59" s="211"/>
      <c r="S59" s="215"/>
      <c r="T59" s="208" t="s">
        <v>10902</v>
      </c>
      <c r="U59" s="208" t="s">
        <v>10902</v>
      </c>
      <c r="V59" s="208" t="s">
        <v>10902</v>
      </c>
      <c r="W59" s="208" t="s">
        <v>43</v>
      </c>
      <c r="X59" s="208" t="s">
        <v>11357</v>
      </c>
      <c r="Y59" s="208" t="s">
        <v>11358</v>
      </c>
      <c r="Z59" s="208" t="s">
        <v>11355</v>
      </c>
      <c r="AA59" s="208" t="s">
        <v>44</v>
      </c>
      <c r="AB59" s="208" t="s">
        <v>44</v>
      </c>
      <c r="AC59" s="213"/>
      <c r="AD59" s="213"/>
      <c r="AE59" s="211">
        <v>0</v>
      </c>
      <c r="AF59" s="213">
        <v>0</v>
      </c>
      <c r="AG59" s="211">
        <v>0.4</v>
      </c>
      <c r="AH59" s="211">
        <v>697573.8</v>
      </c>
      <c r="AI59" s="211">
        <v>0.397519933142436</v>
      </c>
      <c r="AJ59" s="214">
        <v>44657</v>
      </c>
      <c r="AK59" s="208" t="s">
        <v>12712</v>
      </c>
      <c r="AL59" s="211">
        <v>0</v>
      </c>
      <c r="AM59" s="211">
        <v>0</v>
      </c>
      <c r="AN59" s="211">
        <v>0</v>
      </c>
      <c r="AO59" s="208" t="s">
        <v>44</v>
      </c>
      <c r="AP59" s="208" t="s">
        <v>11363</v>
      </c>
      <c r="AQ59" s="208" t="s">
        <v>4862</v>
      </c>
    </row>
    <row r="60" spans="1:43" x14ac:dyDescent="0.25">
      <c r="A60" s="208" t="s">
        <v>12711</v>
      </c>
      <c r="B60" s="208" t="s">
        <v>11037</v>
      </c>
      <c r="C60" s="208" t="s">
        <v>11364</v>
      </c>
      <c r="D60" s="208" t="s">
        <v>11365</v>
      </c>
      <c r="E60" s="208" t="s">
        <v>5762</v>
      </c>
      <c r="F60" s="208" t="s">
        <v>11365</v>
      </c>
      <c r="G60" s="210">
        <v>6000</v>
      </c>
      <c r="H60" s="211">
        <v>138782.79999999999</v>
      </c>
      <c r="I60" s="211">
        <v>47700</v>
      </c>
      <c r="J60" s="211">
        <v>0</v>
      </c>
      <c r="K60" s="211">
        <v>0</v>
      </c>
      <c r="L60" s="211">
        <v>47700</v>
      </c>
      <c r="M60" s="212">
        <v>795</v>
      </c>
      <c r="N60" s="213">
        <v>2.7182358068629009E-2</v>
      </c>
      <c r="O60" s="214" t="s">
        <v>44</v>
      </c>
      <c r="P60" s="214" t="s">
        <v>44</v>
      </c>
      <c r="Q60" s="210"/>
      <c r="R60" s="211"/>
      <c r="S60" s="215"/>
      <c r="T60" s="208" t="s">
        <v>10902</v>
      </c>
      <c r="U60" s="208" t="s">
        <v>10902</v>
      </c>
      <c r="V60" s="208" t="s">
        <v>10902</v>
      </c>
      <c r="W60" s="208" t="s">
        <v>43</v>
      </c>
      <c r="X60" s="208" t="s">
        <v>11366</v>
      </c>
      <c r="Y60" s="208" t="s">
        <v>11367</v>
      </c>
      <c r="Z60" s="208" t="s">
        <v>11364</v>
      </c>
      <c r="AA60" s="208" t="s">
        <v>44</v>
      </c>
      <c r="AB60" s="208" t="s">
        <v>44</v>
      </c>
      <c r="AC60" s="213"/>
      <c r="AD60" s="213"/>
      <c r="AE60" s="211">
        <v>0</v>
      </c>
      <c r="AF60" s="213">
        <v>0</v>
      </c>
      <c r="AG60" s="211">
        <v>0.03</v>
      </c>
      <c r="AH60" s="211">
        <v>47700</v>
      </c>
      <c r="AI60" s="211">
        <v>2.7182358068629005E-2</v>
      </c>
      <c r="AJ60" s="214">
        <v>44657</v>
      </c>
      <c r="AK60" s="208" t="s">
        <v>12712</v>
      </c>
      <c r="AL60" s="211">
        <v>0</v>
      </c>
      <c r="AM60" s="211">
        <v>0</v>
      </c>
      <c r="AN60" s="211">
        <v>0</v>
      </c>
      <c r="AO60" s="208" t="s">
        <v>44</v>
      </c>
      <c r="AP60" s="208" t="s">
        <v>11368</v>
      </c>
      <c r="AQ60" s="208" t="s">
        <v>5762</v>
      </c>
    </row>
    <row r="61" spans="1:43" x14ac:dyDescent="0.25">
      <c r="A61" s="208" t="s">
        <v>12711</v>
      </c>
      <c r="B61" s="208" t="s">
        <v>11037</v>
      </c>
      <c r="C61" s="208" t="s">
        <v>11364</v>
      </c>
      <c r="D61" s="208" t="s">
        <v>6240</v>
      </c>
      <c r="E61" s="208" t="s">
        <v>5065</v>
      </c>
      <c r="F61" s="208" t="s">
        <v>6240</v>
      </c>
      <c r="G61" s="210">
        <v>7600</v>
      </c>
      <c r="H61" s="211">
        <v>843199.99</v>
      </c>
      <c r="I61" s="211">
        <v>864348</v>
      </c>
      <c r="J61" s="211">
        <v>0</v>
      </c>
      <c r="K61" s="211">
        <v>0</v>
      </c>
      <c r="L61" s="211">
        <v>864348</v>
      </c>
      <c r="M61" s="212">
        <v>11373</v>
      </c>
      <c r="N61" s="213">
        <v>0.49255800486170537</v>
      </c>
      <c r="O61" s="214" t="s">
        <v>44</v>
      </c>
      <c r="P61" s="214" t="s">
        <v>44</v>
      </c>
      <c r="Q61" s="210"/>
      <c r="R61" s="211"/>
      <c r="S61" s="215"/>
      <c r="T61" s="208" t="s">
        <v>10902</v>
      </c>
      <c r="U61" s="208" t="s">
        <v>10902</v>
      </c>
      <c r="V61" s="208" t="s">
        <v>10902</v>
      </c>
      <c r="W61" s="208" t="s">
        <v>43</v>
      </c>
      <c r="X61" s="208" t="s">
        <v>11369</v>
      </c>
      <c r="Y61" s="208" t="s">
        <v>11367</v>
      </c>
      <c r="Z61" s="208" t="s">
        <v>11364</v>
      </c>
      <c r="AA61" s="208" t="s">
        <v>44</v>
      </c>
      <c r="AB61" s="208" t="s">
        <v>44</v>
      </c>
      <c r="AC61" s="213"/>
      <c r="AD61" s="213"/>
      <c r="AE61" s="211">
        <v>0</v>
      </c>
      <c r="AF61" s="213">
        <v>0</v>
      </c>
      <c r="AG61" s="211">
        <v>0.49</v>
      </c>
      <c r="AH61" s="211">
        <v>864348</v>
      </c>
      <c r="AI61" s="211">
        <v>0.49255800486170526</v>
      </c>
      <c r="AJ61" s="214">
        <v>44657</v>
      </c>
      <c r="AK61" s="208" t="s">
        <v>12712</v>
      </c>
      <c r="AL61" s="211">
        <v>0</v>
      </c>
      <c r="AM61" s="211">
        <v>0</v>
      </c>
      <c r="AN61" s="211">
        <v>0</v>
      </c>
      <c r="AO61" s="208" t="s">
        <v>44</v>
      </c>
      <c r="AP61" s="208" t="s">
        <v>11370</v>
      </c>
      <c r="AQ61" s="208" t="s">
        <v>5065</v>
      </c>
    </row>
    <row r="62" spans="1:43" x14ac:dyDescent="0.25">
      <c r="A62" s="208" t="s">
        <v>12711</v>
      </c>
      <c r="B62" s="208" t="s">
        <v>11037</v>
      </c>
      <c r="C62" s="208" t="s">
        <v>11364</v>
      </c>
      <c r="D62" s="208" t="s">
        <v>11371</v>
      </c>
      <c r="E62" s="208" t="s">
        <v>5127</v>
      </c>
      <c r="F62" s="208" t="s">
        <v>11371</v>
      </c>
      <c r="G62" s="210">
        <v>91933</v>
      </c>
      <c r="H62" s="211">
        <v>412851.74</v>
      </c>
      <c r="I62" s="211">
        <v>462422.99</v>
      </c>
      <c r="J62" s="211">
        <v>0</v>
      </c>
      <c r="K62" s="211">
        <v>0</v>
      </c>
      <c r="L62" s="211">
        <v>462422.99</v>
      </c>
      <c r="M62" s="212">
        <v>503</v>
      </c>
      <c r="N62" s="213">
        <v>0.26351671474520022</v>
      </c>
      <c r="O62" s="214" t="s">
        <v>44</v>
      </c>
      <c r="P62" s="214" t="s">
        <v>44</v>
      </c>
      <c r="Q62" s="210"/>
      <c r="R62" s="211"/>
      <c r="S62" s="215"/>
      <c r="T62" s="208" t="s">
        <v>10902</v>
      </c>
      <c r="U62" s="208" t="s">
        <v>10902</v>
      </c>
      <c r="V62" s="208" t="s">
        <v>10902</v>
      </c>
      <c r="W62" s="208" t="s">
        <v>43</v>
      </c>
      <c r="X62" s="208" t="s">
        <v>11369</v>
      </c>
      <c r="Y62" s="208" t="s">
        <v>11367</v>
      </c>
      <c r="Z62" s="208" t="s">
        <v>11364</v>
      </c>
      <c r="AA62" s="208" t="s">
        <v>44</v>
      </c>
      <c r="AB62" s="208" t="s">
        <v>44</v>
      </c>
      <c r="AC62" s="213"/>
      <c r="AD62" s="213"/>
      <c r="AE62" s="211">
        <v>0</v>
      </c>
      <c r="AF62" s="213">
        <v>0</v>
      </c>
      <c r="AG62" s="211">
        <v>0.26</v>
      </c>
      <c r="AH62" s="211">
        <v>462422.99</v>
      </c>
      <c r="AI62" s="211">
        <v>0.26351671474520016</v>
      </c>
      <c r="AJ62" s="214">
        <v>44657</v>
      </c>
      <c r="AK62" s="208" t="s">
        <v>12712</v>
      </c>
      <c r="AL62" s="211">
        <v>0</v>
      </c>
      <c r="AM62" s="211">
        <v>0</v>
      </c>
      <c r="AN62" s="211">
        <v>0</v>
      </c>
      <c r="AO62" s="208" t="s">
        <v>44</v>
      </c>
      <c r="AP62" s="208" t="s">
        <v>11372</v>
      </c>
      <c r="AQ62" s="208" t="s">
        <v>5127</v>
      </c>
    </row>
    <row r="63" spans="1:43" x14ac:dyDescent="0.25">
      <c r="A63" s="208" t="s">
        <v>12711</v>
      </c>
      <c r="B63" s="208" t="s">
        <v>11037</v>
      </c>
      <c r="C63" s="208" t="s">
        <v>11364</v>
      </c>
      <c r="D63" s="208" t="s">
        <v>6443</v>
      </c>
      <c r="E63" s="208" t="s">
        <v>5186</v>
      </c>
      <c r="F63" s="208" t="s">
        <v>6443</v>
      </c>
      <c r="G63" s="210">
        <v>5000</v>
      </c>
      <c r="H63" s="211">
        <v>349113.78</v>
      </c>
      <c r="I63" s="211">
        <v>226350</v>
      </c>
      <c r="J63" s="211">
        <v>0</v>
      </c>
      <c r="K63" s="211">
        <v>0</v>
      </c>
      <c r="L63" s="211">
        <v>226350</v>
      </c>
      <c r="M63" s="212">
        <v>4527</v>
      </c>
      <c r="N63" s="213">
        <v>0.12898798215585275</v>
      </c>
      <c r="O63" s="214" t="s">
        <v>44</v>
      </c>
      <c r="P63" s="214" t="s">
        <v>44</v>
      </c>
      <c r="Q63" s="210"/>
      <c r="R63" s="211"/>
      <c r="S63" s="215"/>
      <c r="T63" s="208" t="s">
        <v>10902</v>
      </c>
      <c r="U63" s="208" t="s">
        <v>10902</v>
      </c>
      <c r="V63" s="208" t="s">
        <v>10902</v>
      </c>
      <c r="W63" s="208" t="s">
        <v>43</v>
      </c>
      <c r="X63" s="208" t="s">
        <v>11366</v>
      </c>
      <c r="Y63" s="208" t="s">
        <v>11367</v>
      </c>
      <c r="Z63" s="208" t="s">
        <v>11364</v>
      </c>
      <c r="AA63" s="208" t="s">
        <v>44</v>
      </c>
      <c r="AB63" s="208" t="s">
        <v>44</v>
      </c>
      <c r="AC63" s="213"/>
      <c r="AD63" s="213"/>
      <c r="AE63" s="211">
        <v>0</v>
      </c>
      <c r="AF63" s="213">
        <v>0</v>
      </c>
      <c r="AG63" s="211">
        <v>0.13</v>
      </c>
      <c r="AH63" s="211">
        <v>226350</v>
      </c>
      <c r="AI63" s="211">
        <v>0.12898798215585272</v>
      </c>
      <c r="AJ63" s="214">
        <v>44657</v>
      </c>
      <c r="AK63" s="208" t="s">
        <v>12712</v>
      </c>
      <c r="AL63" s="211">
        <v>0</v>
      </c>
      <c r="AM63" s="211">
        <v>0</v>
      </c>
      <c r="AN63" s="211">
        <v>0</v>
      </c>
      <c r="AO63" s="208" t="s">
        <v>44</v>
      </c>
      <c r="AP63" s="208" t="s">
        <v>11373</v>
      </c>
      <c r="AQ63" s="208" t="s">
        <v>5186</v>
      </c>
    </row>
    <row r="64" spans="1:43" x14ac:dyDescent="0.25">
      <c r="A64" s="208" t="s">
        <v>12711</v>
      </c>
      <c r="B64" s="208" t="s">
        <v>11037</v>
      </c>
      <c r="C64" s="208" t="s">
        <v>11364</v>
      </c>
      <c r="D64" s="208" t="s">
        <v>11374</v>
      </c>
      <c r="E64" s="208" t="s">
        <v>1786</v>
      </c>
      <c r="F64" s="208" t="s">
        <v>11374</v>
      </c>
      <c r="G64" s="210">
        <v>10500</v>
      </c>
      <c r="H64" s="211">
        <v>281012.02</v>
      </c>
      <c r="I64" s="211">
        <v>299250</v>
      </c>
      <c r="J64" s="211">
        <v>0</v>
      </c>
      <c r="K64" s="211">
        <v>0</v>
      </c>
      <c r="L64" s="211">
        <v>299250</v>
      </c>
      <c r="M64" s="212">
        <v>2850</v>
      </c>
      <c r="N64" s="213">
        <v>0.1705308312796065</v>
      </c>
      <c r="O64" s="214" t="s">
        <v>44</v>
      </c>
      <c r="P64" s="214" t="s">
        <v>44</v>
      </c>
      <c r="Q64" s="210"/>
      <c r="R64" s="211"/>
      <c r="S64" s="215"/>
      <c r="T64" s="208" t="s">
        <v>10902</v>
      </c>
      <c r="U64" s="208" t="s">
        <v>10902</v>
      </c>
      <c r="V64" s="208" t="s">
        <v>10902</v>
      </c>
      <c r="W64" s="208" t="s">
        <v>43</v>
      </c>
      <c r="X64" s="208" t="s">
        <v>11375</v>
      </c>
      <c r="Y64" s="208" t="s">
        <v>11367</v>
      </c>
      <c r="Z64" s="208" t="s">
        <v>11364</v>
      </c>
      <c r="AA64" s="208" t="s">
        <v>44</v>
      </c>
      <c r="AB64" s="208" t="s">
        <v>44</v>
      </c>
      <c r="AC64" s="213"/>
      <c r="AD64" s="213"/>
      <c r="AE64" s="211">
        <v>0</v>
      </c>
      <c r="AF64" s="213">
        <v>0</v>
      </c>
      <c r="AG64" s="211">
        <v>0.17</v>
      </c>
      <c r="AH64" s="211">
        <v>299250</v>
      </c>
      <c r="AI64" s="211">
        <v>0.1705308312796065</v>
      </c>
      <c r="AJ64" s="214">
        <v>44657</v>
      </c>
      <c r="AK64" s="208" t="s">
        <v>12712</v>
      </c>
      <c r="AL64" s="211">
        <v>0</v>
      </c>
      <c r="AM64" s="211">
        <v>0</v>
      </c>
      <c r="AN64" s="211">
        <v>0</v>
      </c>
      <c r="AO64" s="208" t="s">
        <v>44</v>
      </c>
      <c r="AP64" s="208" t="s">
        <v>11376</v>
      </c>
      <c r="AQ64" s="208" t="s">
        <v>1786</v>
      </c>
    </row>
    <row r="65" spans="1:43" x14ac:dyDescent="0.25">
      <c r="A65" s="208" t="s">
        <v>12711</v>
      </c>
      <c r="B65" s="208" t="s">
        <v>11037</v>
      </c>
      <c r="C65" s="208" t="s">
        <v>11364</v>
      </c>
      <c r="D65" s="208" t="s">
        <v>11377</v>
      </c>
      <c r="E65" s="208" t="s">
        <v>5599</v>
      </c>
      <c r="F65" s="208" t="s">
        <v>11378</v>
      </c>
      <c r="G65" s="210">
        <v>623</v>
      </c>
      <c r="H65" s="211">
        <v>119433.17</v>
      </c>
      <c r="I65" s="211">
        <v>322259.21000000002</v>
      </c>
      <c r="J65" s="211">
        <v>0</v>
      </c>
      <c r="K65" s="211">
        <v>0</v>
      </c>
      <c r="L65" s="211">
        <v>322259.21000000002</v>
      </c>
      <c r="M65" s="212">
        <v>51727</v>
      </c>
      <c r="N65" s="213">
        <v>0.18364287708875285</v>
      </c>
      <c r="O65" s="214" t="s">
        <v>44</v>
      </c>
      <c r="P65" s="214" t="s">
        <v>44</v>
      </c>
      <c r="Q65" s="210"/>
      <c r="R65" s="211"/>
      <c r="S65" s="215"/>
      <c r="T65" s="208" t="s">
        <v>10902</v>
      </c>
      <c r="U65" s="208" t="s">
        <v>10902</v>
      </c>
      <c r="V65" s="208" t="s">
        <v>10902</v>
      </c>
      <c r="W65" s="208" t="s">
        <v>43</v>
      </c>
      <c r="X65" s="208" t="s">
        <v>11375</v>
      </c>
      <c r="Y65" s="208" t="s">
        <v>11367</v>
      </c>
      <c r="Z65" s="208" t="s">
        <v>11364</v>
      </c>
      <c r="AA65" s="208" t="s">
        <v>44</v>
      </c>
      <c r="AB65" s="208" t="s">
        <v>44</v>
      </c>
      <c r="AC65" s="213"/>
      <c r="AD65" s="213"/>
      <c r="AE65" s="211">
        <v>0</v>
      </c>
      <c r="AF65" s="213">
        <v>0</v>
      </c>
      <c r="AG65" s="211">
        <v>0.18</v>
      </c>
      <c r="AH65" s="211">
        <v>322259.21000000002</v>
      </c>
      <c r="AI65" s="211">
        <v>0.18364287708875279</v>
      </c>
      <c r="AJ65" s="214">
        <v>44657</v>
      </c>
      <c r="AK65" s="208" t="s">
        <v>12712</v>
      </c>
      <c r="AL65" s="211">
        <v>0</v>
      </c>
      <c r="AM65" s="211">
        <v>0</v>
      </c>
      <c r="AN65" s="211">
        <v>0</v>
      </c>
      <c r="AO65" s="208" t="s">
        <v>44</v>
      </c>
      <c r="AP65" s="208" t="s">
        <v>11379</v>
      </c>
      <c r="AQ65" s="208" t="s">
        <v>5599</v>
      </c>
    </row>
    <row r="66" spans="1:43" x14ac:dyDescent="0.25">
      <c r="A66" s="208" t="s">
        <v>12711</v>
      </c>
      <c r="B66" s="208" t="s">
        <v>11037</v>
      </c>
      <c r="C66" s="208" t="s">
        <v>11364</v>
      </c>
      <c r="D66" s="208" t="s">
        <v>12499</v>
      </c>
      <c r="E66" s="208" t="s">
        <v>5605</v>
      </c>
      <c r="F66" s="208" t="s">
        <v>12499</v>
      </c>
      <c r="G66" s="210">
        <v>1422</v>
      </c>
      <c r="H66" s="211">
        <v>204055.46</v>
      </c>
      <c r="I66" s="211">
        <v>118594.8</v>
      </c>
      <c r="J66" s="211">
        <v>0</v>
      </c>
      <c r="K66" s="211">
        <v>0</v>
      </c>
      <c r="L66" s="211">
        <v>118594.8</v>
      </c>
      <c r="M66" s="212">
        <v>8340</v>
      </c>
      <c r="N66" s="213">
        <v>6.7582522404139284E-2</v>
      </c>
      <c r="O66" s="214" t="s">
        <v>44</v>
      </c>
      <c r="P66" s="214" t="s">
        <v>44</v>
      </c>
      <c r="Q66" s="210"/>
      <c r="R66" s="211"/>
      <c r="S66" s="215"/>
      <c r="T66" s="208" t="s">
        <v>10902</v>
      </c>
      <c r="U66" s="208" t="s">
        <v>10902</v>
      </c>
      <c r="V66" s="208" t="s">
        <v>10902</v>
      </c>
      <c r="W66" s="208" t="s">
        <v>43</v>
      </c>
      <c r="X66" s="208" t="s">
        <v>11720</v>
      </c>
      <c r="Y66" s="208" t="s">
        <v>11721</v>
      </c>
      <c r="Z66" s="208" t="s">
        <v>11364</v>
      </c>
      <c r="AA66" s="208" t="s">
        <v>44</v>
      </c>
      <c r="AB66" s="208" t="s">
        <v>44</v>
      </c>
      <c r="AC66" s="213"/>
      <c r="AD66" s="213"/>
      <c r="AE66" s="211">
        <v>0</v>
      </c>
      <c r="AF66" s="213">
        <v>0</v>
      </c>
      <c r="AG66" s="211">
        <v>7.0000000000000007E-2</v>
      </c>
      <c r="AH66" s="211">
        <v>118594.8</v>
      </c>
      <c r="AI66" s="211">
        <v>6.758252240413927E-2</v>
      </c>
      <c r="AJ66" s="214">
        <v>44657</v>
      </c>
      <c r="AK66" s="208" t="s">
        <v>12712</v>
      </c>
      <c r="AL66" s="211">
        <v>0</v>
      </c>
      <c r="AM66" s="211">
        <v>0</v>
      </c>
      <c r="AN66" s="211">
        <v>0</v>
      </c>
      <c r="AO66" s="208" t="s">
        <v>44</v>
      </c>
      <c r="AP66" s="208" t="s">
        <v>12500</v>
      </c>
      <c r="AQ66" s="208" t="s">
        <v>5605</v>
      </c>
    </row>
    <row r="67" spans="1:43" x14ac:dyDescent="0.25">
      <c r="A67" s="208" t="s">
        <v>12711</v>
      </c>
      <c r="B67" s="208" t="s">
        <v>11037</v>
      </c>
      <c r="C67" s="208" t="s">
        <v>11727</v>
      </c>
      <c r="D67" s="208" t="s">
        <v>11728</v>
      </c>
      <c r="E67" s="208" t="s">
        <v>4855</v>
      </c>
      <c r="F67" s="208" t="s">
        <v>11728</v>
      </c>
      <c r="G67" s="210">
        <v>1161</v>
      </c>
      <c r="H67" s="211">
        <v>2653264.7400000002</v>
      </c>
      <c r="I67" s="211">
        <v>1928479.05</v>
      </c>
      <c r="J67" s="211">
        <v>0</v>
      </c>
      <c r="K67" s="211">
        <v>0</v>
      </c>
      <c r="L67" s="211">
        <v>1928479.05</v>
      </c>
      <c r="M67" s="212">
        <v>166105</v>
      </c>
      <c r="N67" s="213">
        <v>1.0989645296635118</v>
      </c>
      <c r="O67" s="214" t="s">
        <v>44</v>
      </c>
      <c r="P67" s="214" t="s">
        <v>44</v>
      </c>
      <c r="Q67" s="210"/>
      <c r="R67" s="211"/>
      <c r="S67" s="215"/>
      <c r="T67" s="208" t="s">
        <v>10902</v>
      </c>
      <c r="U67" s="208" t="s">
        <v>10902</v>
      </c>
      <c r="V67" s="208" t="s">
        <v>10902</v>
      </c>
      <c r="W67" s="208" t="s">
        <v>43</v>
      </c>
      <c r="X67" s="208" t="s">
        <v>11729</v>
      </c>
      <c r="Y67" s="208" t="s">
        <v>11727</v>
      </c>
      <c r="Z67" s="208" t="s">
        <v>11727</v>
      </c>
      <c r="AA67" s="208" t="s">
        <v>44</v>
      </c>
      <c r="AB67" s="208" t="s">
        <v>44</v>
      </c>
      <c r="AC67" s="213"/>
      <c r="AD67" s="213"/>
      <c r="AE67" s="211">
        <v>0</v>
      </c>
      <c r="AF67" s="213">
        <v>0</v>
      </c>
      <c r="AG67" s="211">
        <v>1.1000000000000001</v>
      </c>
      <c r="AH67" s="211">
        <v>1928479.05</v>
      </c>
      <c r="AI67" s="211">
        <v>1.0989645296635115</v>
      </c>
      <c r="AJ67" s="214">
        <v>44657</v>
      </c>
      <c r="AK67" s="208" t="s">
        <v>12712</v>
      </c>
      <c r="AL67" s="211">
        <v>0</v>
      </c>
      <c r="AM67" s="211">
        <v>0</v>
      </c>
      <c r="AN67" s="211">
        <v>0</v>
      </c>
      <c r="AO67" s="208" t="s">
        <v>44</v>
      </c>
      <c r="AP67" s="208" t="s">
        <v>11730</v>
      </c>
      <c r="AQ67" s="208" t="s">
        <v>4855</v>
      </c>
    </row>
    <row r="68" spans="1:43" x14ac:dyDescent="0.25">
      <c r="A68" s="208" t="s">
        <v>12711</v>
      </c>
      <c r="B68" s="208" t="s">
        <v>11037</v>
      </c>
      <c r="C68" s="208" t="s">
        <v>11727</v>
      </c>
      <c r="D68" s="208" t="s">
        <v>11731</v>
      </c>
      <c r="E68" s="208" t="s">
        <v>2068</v>
      </c>
      <c r="F68" s="208" t="s">
        <v>11731</v>
      </c>
      <c r="G68" s="210">
        <v>275</v>
      </c>
      <c r="H68" s="211">
        <v>334385.7</v>
      </c>
      <c r="I68" s="211">
        <v>216950.25</v>
      </c>
      <c r="J68" s="211">
        <v>0</v>
      </c>
      <c r="K68" s="211">
        <v>0</v>
      </c>
      <c r="L68" s="211">
        <v>216950.25</v>
      </c>
      <c r="M68" s="212">
        <v>78891</v>
      </c>
      <c r="N68" s="213">
        <v>0.12363143351317779</v>
      </c>
      <c r="O68" s="214" t="s">
        <v>44</v>
      </c>
      <c r="P68" s="214" t="s">
        <v>44</v>
      </c>
      <c r="Q68" s="210"/>
      <c r="R68" s="211"/>
      <c r="S68" s="215"/>
      <c r="T68" s="208" t="s">
        <v>10902</v>
      </c>
      <c r="U68" s="208" t="s">
        <v>10902</v>
      </c>
      <c r="V68" s="208" t="s">
        <v>10902</v>
      </c>
      <c r="W68" s="208" t="s">
        <v>43</v>
      </c>
      <c r="X68" s="208" t="s">
        <v>11729</v>
      </c>
      <c r="Y68" s="208" t="s">
        <v>11727</v>
      </c>
      <c r="Z68" s="208" t="s">
        <v>11727</v>
      </c>
      <c r="AA68" s="208" t="s">
        <v>44</v>
      </c>
      <c r="AB68" s="208" t="s">
        <v>44</v>
      </c>
      <c r="AC68" s="213"/>
      <c r="AD68" s="213"/>
      <c r="AE68" s="211">
        <v>0</v>
      </c>
      <c r="AF68" s="213">
        <v>0</v>
      </c>
      <c r="AG68" s="211">
        <v>0.12</v>
      </c>
      <c r="AH68" s="211">
        <v>216950.25</v>
      </c>
      <c r="AI68" s="211">
        <v>0.12363143351317776</v>
      </c>
      <c r="AJ68" s="214">
        <v>44657</v>
      </c>
      <c r="AK68" s="208" t="s">
        <v>12712</v>
      </c>
      <c r="AL68" s="211">
        <v>0</v>
      </c>
      <c r="AM68" s="211">
        <v>0</v>
      </c>
      <c r="AN68" s="211">
        <v>0</v>
      </c>
      <c r="AO68" s="208" t="s">
        <v>44</v>
      </c>
      <c r="AP68" s="208" t="s">
        <v>2073</v>
      </c>
      <c r="AQ68" s="208" t="s">
        <v>2068</v>
      </c>
    </row>
    <row r="69" spans="1:43" x14ac:dyDescent="0.25">
      <c r="A69" s="208" t="s">
        <v>12711</v>
      </c>
      <c r="B69" s="208" t="s">
        <v>11037</v>
      </c>
      <c r="C69" s="208" t="s">
        <v>11380</v>
      </c>
      <c r="D69" s="208" t="s">
        <v>5901</v>
      </c>
      <c r="E69" s="208" t="s">
        <v>4841</v>
      </c>
      <c r="F69" s="208" t="s">
        <v>5901</v>
      </c>
      <c r="G69" s="210">
        <v>11000</v>
      </c>
      <c r="H69" s="211">
        <v>2048667.71</v>
      </c>
      <c r="I69" s="211">
        <v>1994960</v>
      </c>
      <c r="J69" s="211">
        <v>0</v>
      </c>
      <c r="K69" s="211">
        <v>0</v>
      </c>
      <c r="L69" s="211">
        <v>1994960</v>
      </c>
      <c r="M69" s="212">
        <v>18136</v>
      </c>
      <c r="N69" s="213">
        <v>1.1368494141004639</v>
      </c>
      <c r="O69" s="214" t="s">
        <v>44</v>
      </c>
      <c r="P69" s="214" t="s">
        <v>44</v>
      </c>
      <c r="Q69" s="210"/>
      <c r="R69" s="211"/>
      <c r="S69" s="215"/>
      <c r="T69" s="208" t="s">
        <v>10902</v>
      </c>
      <c r="U69" s="208" t="s">
        <v>10902</v>
      </c>
      <c r="V69" s="208" t="s">
        <v>10902</v>
      </c>
      <c r="W69" s="208" t="s">
        <v>43</v>
      </c>
      <c r="X69" s="208" t="s">
        <v>11732</v>
      </c>
      <c r="Y69" s="208" t="s">
        <v>11380</v>
      </c>
      <c r="Z69" s="208" t="s">
        <v>11380</v>
      </c>
      <c r="AA69" s="208" t="s">
        <v>44</v>
      </c>
      <c r="AB69" s="208" t="s">
        <v>44</v>
      </c>
      <c r="AC69" s="213"/>
      <c r="AD69" s="213"/>
      <c r="AE69" s="211">
        <v>0</v>
      </c>
      <c r="AF69" s="213">
        <v>0</v>
      </c>
      <c r="AG69" s="211">
        <v>1.1399999999999999</v>
      </c>
      <c r="AH69" s="211">
        <v>1994960</v>
      </c>
      <c r="AI69" s="211">
        <v>1.1368494141004637</v>
      </c>
      <c r="AJ69" s="214">
        <v>44657</v>
      </c>
      <c r="AK69" s="208" t="s">
        <v>12712</v>
      </c>
      <c r="AL69" s="211">
        <v>0</v>
      </c>
      <c r="AM69" s="211">
        <v>0</v>
      </c>
      <c r="AN69" s="211">
        <v>0</v>
      </c>
      <c r="AO69" s="208" t="s">
        <v>44</v>
      </c>
      <c r="AP69" s="208" t="s">
        <v>11733</v>
      </c>
      <c r="AQ69" s="208" t="s">
        <v>4841</v>
      </c>
    </row>
    <row r="70" spans="1:43" x14ac:dyDescent="0.25">
      <c r="A70" s="208" t="s">
        <v>12711</v>
      </c>
      <c r="B70" s="208" t="s">
        <v>11037</v>
      </c>
      <c r="C70" s="208" t="s">
        <v>11380</v>
      </c>
      <c r="D70" s="208" t="s">
        <v>11381</v>
      </c>
      <c r="E70" s="208" t="s">
        <v>5221</v>
      </c>
      <c r="F70" s="208" t="s">
        <v>11381</v>
      </c>
      <c r="G70" s="210">
        <v>6000</v>
      </c>
      <c r="H70" s="211">
        <v>373297.86</v>
      </c>
      <c r="I70" s="211">
        <v>262560</v>
      </c>
      <c r="J70" s="211">
        <v>0</v>
      </c>
      <c r="K70" s="211">
        <v>0</v>
      </c>
      <c r="L70" s="211">
        <v>262560</v>
      </c>
      <c r="M70" s="212">
        <v>4376</v>
      </c>
      <c r="N70" s="213">
        <v>0.14962264013625223</v>
      </c>
      <c r="O70" s="214" t="s">
        <v>44</v>
      </c>
      <c r="P70" s="214" t="s">
        <v>44</v>
      </c>
      <c r="Q70" s="210"/>
      <c r="R70" s="211"/>
      <c r="S70" s="215"/>
      <c r="T70" s="208" t="s">
        <v>10902</v>
      </c>
      <c r="U70" s="208" t="s">
        <v>10902</v>
      </c>
      <c r="V70" s="208" t="s">
        <v>10902</v>
      </c>
      <c r="W70" s="208" t="s">
        <v>43</v>
      </c>
      <c r="X70" s="208" t="s">
        <v>11382</v>
      </c>
      <c r="Y70" s="208" t="s">
        <v>11380</v>
      </c>
      <c r="Z70" s="208" t="s">
        <v>11380</v>
      </c>
      <c r="AA70" s="208" t="s">
        <v>44</v>
      </c>
      <c r="AB70" s="208" t="s">
        <v>44</v>
      </c>
      <c r="AC70" s="213"/>
      <c r="AD70" s="213"/>
      <c r="AE70" s="211">
        <v>0</v>
      </c>
      <c r="AF70" s="213">
        <v>0</v>
      </c>
      <c r="AG70" s="211">
        <v>0.15</v>
      </c>
      <c r="AH70" s="211">
        <v>262560</v>
      </c>
      <c r="AI70" s="211">
        <v>0.14962264013625223</v>
      </c>
      <c r="AJ70" s="214">
        <v>44657</v>
      </c>
      <c r="AK70" s="208" t="s">
        <v>12712</v>
      </c>
      <c r="AL70" s="211">
        <v>0</v>
      </c>
      <c r="AM70" s="211">
        <v>0</v>
      </c>
      <c r="AN70" s="211">
        <v>0</v>
      </c>
      <c r="AO70" s="208" t="s">
        <v>44</v>
      </c>
      <c r="AP70" s="208" t="s">
        <v>11383</v>
      </c>
      <c r="AQ70" s="208" t="s">
        <v>5221</v>
      </c>
    </row>
    <row r="71" spans="1:43" x14ac:dyDescent="0.25">
      <c r="A71" s="208" t="s">
        <v>12711</v>
      </c>
      <c r="B71" s="208" t="s">
        <v>11037</v>
      </c>
      <c r="C71" s="208" t="s">
        <v>11743</v>
      </c>
      <c r="D71" s="208" t="s">
        <v>11744</v>
      </c>
      <c r="E71" s="208" t="s">
        <v>11745</v>
      </c>
      <c r="F71" s="208" t="s">
        <v>11746</v>
      </c>
      <c r="G71" s="210">
        <v>1000</v>
      </c>
      <c r="H71" s="211">
        <v>160558.22</v>
      </c>
      <c r="I71" s="211">
        <v>158520</v>
      </c>
      <c r="J71" s="211">
        <v>0</v>
      </c>
      <c r="K71" s="211">
        <v>0</v>
      </c>
      <c r="L71" s="211">
        <v>158520</v>
      </c>
      <c r="M71" s="212">
        <v>15852</v>
      </c>
      <c r="N71" s="213">
        <v>9.0334327065808601E-2</v>
      </c>
      <c r="O71" s="214" t="s">
        <v>44</v>
      </c>
      <c r="P71" s="214" t="s">
        <v>44</v>
      </c>
      <c r="Q71" s="210"/>
      <c r="R71" s="211"/>
      <c r="S71" s="215"/>
      <c r="T71" s="208" t="s">
        <v>10902</v>
      </c>
      <c r="U71" s="208" t="s">
        <v>10902</v>
      </c>
      <c r="V71" s="208" t="s">
        <v>10902</v>
      </c>
      <c r="W71" s="208" t="s">
        <v>43</v>
      </c>
      <c r="X71" s="208" t="s">
        <v>11747</v>
      </c>
      <c r="Y71" s="208" t="s">
        <v>11743</v>
      </c>
      <c r="Z71" s="208" t="s">
        <v>11743</v>
      </c>
      <c r="AA71" s="208" t="s">
        <v>44</v>
      </c>
      <c r="AB71" s="208" t="s">
        <v>44</v>
      </c>
      <c r="AC71" s="213"/>
      <c r="AD71" s="213"/>
      <c r="AE71" s="211">
        <v>0</v>
      </c>
      <c r="AF71" s="213">
        <v>0</v>
      </c>
      <c r="AG71" s="211">
        <v>0.09</v>
      </c>
      <c r="AH71" s="211">
        <v>158520</v>
      </c>
      <c r="AI71" s="211">
        <v>9.0334327065808587E-2</v>
      </c>
      <c r="AJ71" s="214">
        <v>44657</v>
      </c>
      <c r="AK71" s="208" t="s">
        <v>12712</v>
      </c>
      <c r="AL71" s="211">
        <v>0</v>
      </c>
      <c r="AM71" s="211">
        <v>0</v>
      </c>
      <c r="AN71" s="211">
        <v>0</v>
      </c>
      <c r="AO71" s="208" t="s">
        <v>44</v>
      </c>
      <c r="AP71" s="208" t="s">
        <v>11748</v>
      </c>
      <c r="AQ71" s="208" t="s">
        <v>11745</v>
      </c>
    </row>
    <row r="72" spans="1:43" x14ac:dyDescent="0.25">
      <c r="A72" s="208" t="s">
        <v>12711</v>
      </c>
      <c r="B72" s="208" t="s">
        <v>11408</v>
      </c>
      <c r="C72" s="208" t="s">
        <v>11408</v>
      </c>
      <c r="D72" s="208" t="s">
        <v>11761</v>
      </c>
      <c r="E72" s="208" t="s">
        <v>11762</v>
      </c>
      <c r="F72" s="208" t="s">
        <v>11763</v>
      </c>
      <c r="G72" s="210">
        <v>2198.5524999999998</v>
      </c>
      <c r="H72" s="211">
        <v>0</v>
      </c>
      <c r="I72" s="211">
        <v>0</v>
      </c>
      <c r="J72" s="211">
        <v>0</v>
      </c>
      <c r="K72" s="211">
        <v>0</v>
      </c>
      <c r="L72" s="211">
        <v>0</v>
      </c>
      <c r="M72" s="212"/>
      <c r="N72" s="213">
        <v>0</v>
      </c>
      <c r="O72" s="214" t="s">
        <v>44</v>
      </c>
      <c r="P72" s="214">
        <v>44777</v>
      </c>
      <c r="Q72" s="210">
        <v>0</v>
      </c>
      <c r="R72" s="211"/>
      <c r="S72" s="215"/>
      <c r="T72" s="208" t="s">
        <v>11412</v>
      </c>
      <c r="U72" s="208" t="s">
        <v>11413</v>
      </c>
      <c r="V72" s="208" t="s">
        <v>11414</v>
      </c>
      <c r="W72" s="208" t="s">
        <v>43</v>
      </c>
      <c r="X72" s="208" t="s">
        <v>44</v>
      </c>
      <c r="Y72" s="208" t="s">
        <v>44</v>
      </c>
      <c r="Z72" s="208" t="s">
        <v>44</v>
      </c>
      <c r="AA72" s="208" t="s">
        <v>10979</v>
      </c>
      <c r="AB72" s="208" t="s">
        <v>44</v>
      </c>
      <c r="AC72" s="213"/>
      <c r="AD72" s="213"/>
      <c r="AE72" s="211">
        <v>0</v>
      </c>
      <c r="AF72" s="213">
        <v>0</v>
      </c>
      <c r="AG72" s="211">
        <v>0</v>
      </c>
      <c r="AH72" s="211">
        <v>0</v>
      </c>
      <c r="AI72" s="211">
        <v>0</v>
      </c>
      <c r="AJ72" s="214">
        <v>44657</v>
      </c>
      <c r="AK72" s="208" t="s">
        <v>12712</v>
      </c>
      <c r="AL72" s="211">
        <v>0</v>
      </c>
      <c r="AM72" s="211">
        <v>0</v>
      </c>
      <c r="AN72" s="211">
        <v>0</v>
      </c>
      <c r="AO72" s="208" t="s">
        <v>11165</v>
      </c>
      <c r="AP72" s="208" t="s">
        <v>44</v>
      </c>
      <c r="AQ72" s="208" t="s">
        <v>44</v>
      </c>
    </row>
    <row r="73" spans="1:43" x14ac:dyDescent="0.25">
      <c r="A73" s="208" t="s">
        <v>12711</v>
      </c>
      <c r="B73" s="208" t="s">
        <v>11408</v>
      </c>
      <c r="C73" s="208" t="s">
        <v>11408</v>
      </c>
      <c r="D73" s="208" t="s">
        <v>11764</v>
      </c>
      <c r="E73" s="208" t="s">
        <v>11762</v>
      </c>
      <c r="F73" s="208" t="s">
        <v>11765</v>
      </c>
      <c r="G73" s="210">
        <v>-66458371.810000002</v>
      </c>
      <c r="H73" s="211">
        <v>0</v>
      </c>
      <c r="I73" s="211">
        <v>0</v>
      </c>
      <c r="J73" s="211">
        <v>-19573.36</v>
      </c>
      <c r="K73" s="211">
        <v>0</v>
      </c>
      <c r="L73" s="211">
        <v>-19573.36</v>
      </c>
      <c r="M73" s="212"/>
      <c r="N73" s="213">
        <v>-1.1154089730108603E-2</v>
      </c>
      <c r="O73" s="214" t="s">
        <v>44</v>
      </c>
      <c r="P73" s="214">
        <v>44777</v>
      </c>
      <c r="Q73" s="210">
        <v>0</v>
      </c>
      <c r="R73" s="211"/>
      <c r="S73" s="215"/>
      <c r="T73" s="208" t="s">
        <v>11412</v>
      </c>
      <c r="U73" s="208" t="s">
        <v>11413</v>
      </c>
      <c r="V73" s="208" t="s">
        <v>11414</v>
      </c>
      <c r="W73" s="208" t="s">
        <v>43</v>
      </c>
      <c r="X73" s="208" t="s">
        <v>44</v>
      </c>
      <c r="Y73" s="208" t="s">
        <v>44</v>
      </c>
      <c r="Z73" s="208" t="s">
        <v>44</v>
      </c>
      <c r="AA73" s="208" t="s">
        <v>10979</v>
      </c>
      <c r="AB73" s="208" t="s">
        <v>44</v>
      </c>
      <c r="AC73" s="213"/>
      <c r="AD73" s="213"/>
      <c r="AE73" s="211">
        <v>0</v>
      </c>
      <c r="AF73" s="213">
        <v>0</v>
      </c>
      <c r="AG73" s="211">
        <v>-0.01</v>
      </c>
      <c r="AH73" s="211">
        <v>-66477945.170000002</v>
      </c>
      <c r="AI73" s="211">
        <v>-37.88317210225631</v>
      </c>
      <c r="AJ73" s="214">
        <v>44657</v>
      </c>
      <c r="AK73" s="208" t="s">
        <v>12712</v>
      </c>
      <c r="AL73" s="211">
        <v>0</v>
      </c>
      <c r="AM73" s="211">
        <v>0</v>
      </c>
      <c r="AN73" s="211">
        <v>0</v>
      </c>
      <c r="AO73" s="208" t="s">
        <v>11165</v>
      </c>
      <c r="AP73" s="208" t="s">
        <v>44</v>
      </c>
      <c r="AQ73" s="208" t="s">
        <v>44</v>
      </c>
    </row>
    <row r="74" spans="1:43" x14ac:dyDescent="0.25">
      <c r="A74" s="208" t="s">
        <v>12711</v>
      </c>
      <c r="B74" s="208" t="s">
        <v>11408</v>
      </c>
      <c r="C74" s="208" t="s">
        <v>11408</v>
      </c>
      <c r="D74" s="208" t="s">
        <v>11766</v>
      </c>
      <c r="E74" s="208" t="s">
        <v>11762</v>
      </c>
      <c r="F74" s="208" t="s">
        <v>11767</v>
      </c>
      <c r="G74" s="210">
        <v>2198.5524999999998</v>
      </c>
      <c r="H74" s="211">
        <v>0</v>
      </c>
      <c r="I74" s="211">
        <v>-729215.89</v>
      </c>
      <c r="J74" s="211">
        <v>0</v>
      </c>
      <c r="K74" s="211">
        <v>0</v>
      </c>
      <c r="L74" s="211">
        <v>-729215.89</v>
      </c>
      <c r="M74" s="212">
        <v>29896.560000000001</v>
      </c>
      <c r="N74" s="213">
        <v>-0.41555151847618416</v>
      </c>
      <c r="O74" s="214" t="s">
        <v>44</v>
      </c>
      <c r="P74" s="214">
        <v>44777</v>
      </c>
      <c r="Q74" s="210">
        <v>0</v>
      </c>
      <c r="R74" s="211"/>
      <c r="S74" s="215"/>
      <c r="T74" s="208" t="s">
        <v>11412</v>
      </c>
      <c r="U74" s="208" t="s">
        <v>11413</v>
      </c>
      <c r="V74" s="208" t="s">
        <v>11414</v>
      </c>
      <c r="W74" s="208" t="s">
        <v>43</v>
      </c>
      <c r="X74" s="208" t="s">
        <v>44</v>
      </c>
      <c r="Y74" s="208" t="s">
        <v>44</v>
      </c>
      <c r="Z74" s="208" t="s">
        <v>44</v>
      </c>
      <c r="AA74" s="208" t="s">
        <v>10979</v>
      </c>
      <c r="AB74" s="208" t="s">
        <v>44</v>
      </c>
      <c r="AC74" s="213"/>
      <c r="AD74" s="213"/>
      <c r="AE74" s="211">
        <v>0</v>
      </c>
      <c r="AF74" s="213">
        <v>0</v>
      </c>
      <c r="AG74" s="211">
        <v>-0.42</v>
      </c>
      <c r="AH74" s="211">
        <v>65729155.920000002</v>
      </c>
      <c r="AI74" s="211">
        <v>37.456466494050019</v>
      </c>
      <c r="AJ74" s="214">
        <v>44657</v>
      </c>
      <c r="AK74" s="208" t="s">
        <v>12712</v>
      </c>
      <c r="AL74" s="211">
        <v>0</v>
      </c>
      <c r="AM74" s="211">
        <v>0</v>
      </c>
      <c r="AN74" s="211">
        <v>0</v>
      </c>
      <c r="AO74" s="208" t="s">
        <v>11165</v>
      </c>
      <c r="AP74" s="208" t="s">
        <v>44</v>
      </c>
      <c r="AQ74" s="208" t="s">
        <v>44</v>
      </c>
    </row>
    <row r="75" spans="1:43" x14ac:dyDescent="0.25">
      <c r="A75" s="208" t="s">
        <v>12711</v>
      </c>
      <c r="B75" s="208" t="s">
        <v>11408</v>
      </c>
      <c r="C75" s="208" t="s">
        <v>11408</v>
      </c>
      <c r="D75" s="208" t="s">
        <v>11768</v>
      </c>
      <c r="E75" s="208" t="s">
        <v>11769</v>
      </c>
      <c r="F75" s="208" t="s">
        <v>11770</v>
      </c>
      <c r="G75" s="210">
        <v>1581.5527999999999</v>
      </c>
      <c r="H75" s="211">
        <v>0</v>
      </c>
      <c r="I75" s="211">
        <v>0</v>
      </c>
      <c r="J75" s="211">
        <v>0</v>
      </c>
      <c r="K75" s="211">
        <v>0</v>
      </c>
      <c r="L75" s="211">
        <v>0</v>
      </c>
      <c r="M75" s="212"/>
      <c r="N75" s="213">
        <v>0</v>
      </c>
      <c r="O75" s="214" t="s">
        <v>44</v>
      </c>
      <c r="P75" s="214">
        <v>44809</v>
      </c>
      <c r="Q75" s="210">
        <v>0</v>
      </c>
      <c r="R75" s="211"/>
      <c r="S75" s="215"/>
      <c r="T75" s="208" t="s">
        <v>11412</v>
      </c>
      <c r="U75" s="208" t="s">
        <v>11413</v>
      </c>
      <c r="V75" s="208" t="s">
        <v>11414</v>
      </c>
      <c r="W75" s="208" t="s">
        <v>43</v>
      </c>
      <c r="X75" s="208" t="s">
        <v>44</v>
      </c>
      <c r="Y75" s="208" t="s">
        <v>44</v>
      </c>
      <c r="Z75" s="208" t="s">
        <v>44</v>
      </c>
      <c r="AA75" s="208" t="s">
        <v>11035</v>
      </c>
      <c r="AB75" s="208" t="s">
        <v>44</v>
      </c>
      <c r="AC75" s="213"/>
      <c r="AD75" s="213"/>
      <c r="AE75" s="211">
        <v>0</v>
      </c>
      <c r="AF75" s="213">
        <v>0</v>
      </c>
      <c r="AG75" s="211">
        <v>0</v>
      </c>
      <c r="AH75" s="211">
        <v>0</v>
      </c>
      <c r="AI75" s="211">
        <v>0</v>
      </c>
      <c r="AJ75" s="214">
        <v>44657</v>
      </c>
      <c r="AK75" s="208" t="s">
        <v>12712</v>
      </c>
      <c r="AL75" s="211">
        <v>0</v>
      </c>
      <c r="AM75" s="211">
        <v>0</v>
      </c>
      <c r="AN75" s="211">
        <v>0</v>
      </c>
      <c r="AO75" s="208" t="s">
        <v>11053</v>
      </c>
      <c r="AP75" s="208" t="s">
        <v>44</v>
      </c>
      <c r="AQ75" s="208" t="s">
        <v>44</v>
      </c>
    </row>
    <row r="76" spans="1:43" x14ac:dyDescent="0.25">
      <c r="A76" s="208" t="s">
        <v>12711</v>
      </c>
      <c r="B76" s="208" t="s">
        <v>11408</v>
      </c>
      <c r="C76" s="208" t="s">
        <v>11408</v>
      </c>
      <c r="D76" s="208" t="s">
        <v>11771</v>
      </c>
      <c r="E76" s="208" t="s">
        <v>11769</v>
      </c>
      <c r="F76" s="208" t="s">
        <v>11772</v>
      </c>
      <c r="G76" s="210">
        <v>-47807557.609999999</v>
      </c>
      <c r="H76" s="211">
        <v>0</v>
      </c>
      <c r="I76" s="211">
        <v>0</v>
      </c>
      <c r="J76" s="211">
        <v>-13949.33</v>
      </c>
      <c r="K76" s="211">
        <v>0</v>
      </c>
      <c r="L76" s="211">
        <v>-13949.33</v>
      </c>
      <c r="M76" s="212"/>
      <c r="N76" s="213">
        <v>-7.9491757416660092E-3</v>
      </c>
      <c r="O76" s="214" t="s">
        <v>44</v>
      </c>
      <c r="P76" s="214">
        <v>44809</v>
      </c>
      <c r="Q76" s="210">
        <v>0</v>
      </c>
      <c r="R76" s="211"/>
      <c r="S76" s="215"/>
      <c r="T76" s="208" t="s">
        <v>11412</v>
      </c>
      <c r="U76" s="208" t="s">
        <v>11413</v>
      </c>
      <c r="V76" s="208" t="s">
        <v>11414</v>
      </c>
      <c r="W76" s="208" t="s">
        <v>43</v>
      </c>
      <c r="X76" s="208" t="s">
        <v>44</v>
      </c>
      <c r="Y76" s="208" t="s">
        <v>44</v>
      </c>
      <c r="Z76" s="208" t="s">
        <v>44</v>
      </c>
      <c r="AA76" s="208" t="s">
        <v>11035</v>
      </c>
      <c r="AB76" s="208" t="s">
        <v>44</v>
      </c>
      <c r="AC76" s="213"/>
      <c r="AD76" s="213"/>
      <c r="AE76" s="211">
        <v>0</v>
      </c>
      <c r="AF76" s="213">
        <v>0</v>
      </c>
      <c r="AG76" s="211">
        <v>-0.01</v>
      </c>
      <c r="AH76" s="211">
        <v>-47821506.939999998</v>
      </c>
      <c r="AI76" s="211">
        <v>-27.251600105335573</v>
      </c>
      <c r="AJ76" s="214">
        <v>44657</v>
      </c>
      <c r="AK76" s="208" t="s">
        <v>12712</v>
      </c>
      <c r="AL76" s="211">
        <v>0</v>
      </c>
      <c r="AM76" s="211">
        <v>0</v>
      </c>
      <c r="AN76" s="211">
        <v>0</v>
      </c>
      <c r="AO76" s="208" t="s">
        <v>11053</v>
      </c>
      <c r="AP76" s="208" t="s">
        <v>44</v>
      </c>
      <c r="AQ76" s="208" t="s">
        <v>44</v>
      </c>
    </row>
    <row r="77" spans="1:43" x14ac:dyDescent="0.25">
      <c r="A77" s="208" t="s">
        <v>12711</v>
      </c>
      <c r="B77" s="208" t="s">
        <v>11408</v>
      </c>
      <c r="C77" s="208" t="s">
        <v>11408</v>
      </c>
      <c r="D77" s="208" t="s">
        <v>11773</v>
      </c>
      <c r="E77" s="208" t="s">
        <v>11769</v>
      </c>
      <c r="F77" s="208" t="s">
        <v>11774</v>
      </c>
      <c r="G77" s="210">
        <v>1581.5527999999999</v>
      </c>
      <c r="H77" s="211">
        <v>0</v>
      </c>
      <c r="I77" s="211">
        <v>-524569.43000000005</v>
      </c>
      <c r="J77" s="211">
        <v>0</v>
      </c>
      <c r="K77" s="211">
        <v>0</v>
      </c>
      <c r="L77" s="211">
        <v>-524569.43000000005</v>
      </c>
      <c r="M77" s="212">
        <v>29896.560000000001</v>
      </c>
      <c r="N77" s="213">
        <v>-0.29893153203598788</v>
      </c>
      <c r="O77" s="214" t="s">
        <v>44</v>
      </c>
      <c r="P77" s="214">
        <v>44809</v>
      </c>
      <c r="Q77" s="210">
        <v>0</v>
      </c>
      <c r="R77" s="211"/>
      <c r="S77" s="215"/>
      <c r="T77" s="208" t="s">
        <v>11412</v>
      </c>
      <c r="U77" s="208" t="s">
        <v>11413</v>
      </c>
      <c r="V77" s="208" t="s">
        <v>11414</v>
      </c>
      <c r="W77" s="208" t="s">
        <v>43</v>
      </c>
      <c r="X77" s="208" t="s">
        <v>44</v>
      </c>
      <c r="Y77" s="208" t="s">
        <v>44</v>
      </c>
      <c r="Z77" s="208" t="s">
        <v>44</v>
      </c>
      <c r="AA77" s="208" t="s">
        <v>11035</v>
      </c>
      <c r="AB77" s="208" t="s">
        <v>44</v>
      </c>
      <c r="AC77" s="213"/>
      <c r="AD77" s="213"/>
      <c r="AE77" s="211">
        <v>0</v>
      </c>
      <c r="AF77" s="213">
        <v>0</v>
      </c>
      <c r="AG77" s="211">
        <v>-0.3</v>
      </c>
      <c r="AH77" s="211">
        <v>47282988.18</v>
      </c>
      <c r="AI77" s="211">
        <v>26.944719397557922</v>
      </c>
      <c r="AJ77" s="214">
        <v>44657</v>
      </c>
      <c r="AK77" s="208" t="s">
        <v>12712</v>
      </c>
      <c r="AL77" s="211">
        <v>0</v>
      </c>
      <c r="AM77" s="211">
        <v>0</v>
      </c>
      <c r="AN77" s="211">
        <v>0</v>
      </c>
      <c r="AO77" s="208" t="s">
        <v>11053</v>
      </c>
      <c r="AP77" s="208" t="s">
        <v>44</v>
      </c>
      <c r="AQ77" s="208" t="s">
        <v>44</v>
      </c>
    </row>
    <row r="78" spans="1:43" x14ac:dyDescent="0.25">
      <c r="A78" s="208" t="s">
        <v>12711</v>
      </c>
      <c r="B78" s="208" t="s">
        <v>11030</v>
      </c>
      <c r="C78" s="208" t="s">
        <v>11030</v>
      </c>
      <c r="D78" s="208" t="s">
        <v>11775</v>
      </c>
      <c r="E78" s="208" t="s">
        <v>11754</v>
      </c>
      <c r="F78" s="208" t="s">
        <v>11775</v>
      </c>
      <c r="G78" s="210">
        <v>63</v>
      </c>
      <c r="H78" s="211"/>
      <c r="I78" s="211">
        <v>0</v>
      </c>
      <c r="J78" s="211"/>
      <c r="K78" s="211"/>
      <c r="L78" s="211">
        <v>0</v>
      </c>
      <c r="M78" s="212"/>
      <c r="N78" s="213">
        <v>0</v>
      </c>
      <c r="O78" s="214" t="s">
        <v>44</v>
      </c>
      <c r="P78" s="214" t="s">
        <v>44</v>
      </c>
      <c r="Q78" s="210"/>
      <c r="R78" s="211"/>
      <c r="S78" s="215"/>
      <c r="T78" s="208" t="s">
        <v>11031</v>
      </c>
      <c r="U78" s="208" t="s">
        <v>11032</v>
      </c>
      <c r="V78" s="208" t="s">
        <v>45</v>
      </c>
      <c r="W78" s="208" t="s">
        <v>43</v>
      </c>
      <c r="X78" s="208" t="s">
        <v>44</v>
      </c>
      <c r="Y78" s="208" t="s">
        <v>44</v>
      </c>
      <c r="Z78" s="208" t="s">
        <v>44</v>
      </c>
      <c r="AA78" s="208" t="s">
        <v>44</v>
      </c>
      <c r="AB78" s="208" t="s">
        <v>44</v>
      </c>
      <c r="AC78" s="213"/>
      <c r="AD78" s="213"/>
      <c r="AE78" s="211">
        <v>0</v>
      </c>
      <c r="AF78" s="213">
        <v>0</v>
      </c>
      <c r="AG78" s="211">
        <v>0</v>
      </c>
      <c r="AH78" s="211">
        <v>-13080060</v>
      </c>
      <c r="AI78" s="211">
        <v>-7.4538128821625058</v>
      </c>
      <c r="AJ78" s="214">
        <v>44657</v>
      </c>
      <c r="AK78" s="208" t="s">
        <v>12712</v>
      </c>
      <c r="AL78" s="211">
        <v>0</v>
      </c>
      <c r="AM78" s="211">
        <v>0</v>
      </c>
      <c r="AN78" s="211">
        <v>0</v>
      </c>
      <c r="AO78" s="208" t="s">
        <v>44</v>
      </c>
      <c r="AP78" s="208" t="s">
        <v>44</v>
      </c>
      <c r="AQ78" s="208" t="s">
        <v>11182</v>
      </c>
    </row>
    <row r="79" spans="1:43" x14ac:dyDescent="0.25">
      <c r="A79" s="208" t="s">
        <v>12711</v>
      </c>
      <c r="B79" s="208" t="s">
        <v>11030</v>
      </c>
      <c r="C79" s="208" t="s">
        <v>11030</v>
      </c>
      <c r="D79" s="208" t="s">
        <v>11776</v>
      </c>
      <c r="E79" s="208" t="s">
        <v>11756</v>
      </c>
      <c r="F79" s="208" t="s">
        <v>11776</v>
      </c>
      <c r="G79" s="210">
        <v>35</v>
      </c>
      <c r="H79" s="211"/>
      <c r="I79" s="211">
        <v>0</v>
      </c>
      <c r="J79" s="211"/>
      <c r="K79" s="211"/>
      <c r="L79" s="211">
        <v>0</v>
      </c>
      <c r="M79" s="212"/>
      <c r="N79" s="213">
        <v>0</v>
      </c>
      <c r="O79" s="214" t="s">
        <v>44</v>
      </c>
      <c r="P79" s="214" t="s">
        <v>44</v>
      </c>
      <c r="Q79" s="210"/>
      <c r="R79" s="211"/>
      <c r="S79" s="215"/>
      <c r="T79" s="208" t="s">
        <v>11031</v>
      </c>
      <c r="U79" s="208" t="s">
        <v>11032</v>
      </c>
      <c r="V79" s="208" t="s">
        <v>45</v>
      </c>
      <c r="W79" s="208" t="s">
        <v>43</v>
      </c>
      <c r="X79" s="208" t="s">
        <v>44</v>
      </c>
      <c r="Y79" s="208" t="s">
        <v>44</v>
      </c>
      <c r="Z79" s="208" t="s">
        <v>44</v>
      </c>
      <c r="AA79" s="208" t="s">
        <v>44</v>
      </c>
      <c r="AB79" s="208" t="s">
        <v>44</v>
      </c>
      <c r="AC79" s="213"/>
      <c r="AD79" s="213"/>
      <c r="AE79" s="211">
        <v>0</v>
      </c>
      <c r="AF79" s="213">
        <v>0</v>
      </c>
      <c r="AG79" s="211">
        <v>0</v>
      </c>
      <c r="AH79" s="211">
        <v>-10551100</v>
      </c>
      <c r="AI79" s="211">
        <v>-6.0126578242748741</v>
      </c>
      <c r="AJ79" s="214">
        <v>44657</v>
      </c>
      <c r="AK79" s="208" t="s">
        <v>12712</v>
      </c>
      <c r="AL79" s="211">
        <v>0</v>
      </c>
      <c r="AM79" s="211">
        <v>0</v>
      </c>
      <c r="AN79" s="211">
        <v>0</v>
      </c>
      <c r="AO79" s="208" t="s">
        <v>44</v>
      </c>
      <c r="AP79" s="208" t="s">
        <v>44</v>
      </c>
      <c r="AQ79" s="208" t="s">
        <v>11182</v>
      </c>
    </row>
    <row r="80" spans="1:43" x14ac:dyDescent="0.25">
      <c r="A80" s="208"/>
      <c r="B80" s="208"/>
      <c r="C80" s="208"/>
      <c r="D80" s="208"/>
      <c r="E80" s="208"/>
      <c r="F80" s="208"/>
      <c r="G80" s="210"/>
      <c r="H80" s="211"/>
      <c r="I80" s="211"/>
      <c r="J80" s="211"/>
      <c r="K80" s="211"/>
      <c r="L80" s="211"/>
      <c r="M80" s="212"/>
      <c r="N80" s="213"/>
      <c r="O80" s="214"/>
      <c r="P80" s="214"/>
      <c r="Q80" s="210"/>
      <c r="R80" s="211"/>
      <c r="S80" s="215"/>
      <c r="T80" s="208"/>
      <c r="U80" s="208"/>
      <c r="V80" s="208"/>
      <c r="W80" s="208"/>
      <c r="X80" s="208"/>
      <c r="Y80" s="208"/>
      <c r="Z80" s="208"/>
      <c r="AA80" s="208"/>
      <c r="AB80" s="208"/>
      <c r="AC80" s="213"/>
      <c r="AD80" s="213"/>
      <c r="AE80" s="211"/>
      <c r="AF80" s="213"/>
      <c r="AG80" s="211"/>
      <c r="AH80" s="211"/>
      <c r="AI80" s="211"/>
      <c r="AJ80" s="214"/>
      <c r="AK80" s="208"/>
      <c r="AL80" s="211"/>
      <c r="AM80" s="211"/>
      <c r="AN80" s="211"/>
      <c r="AO80" s="208"/>
      <c r="AP80" s="208"/>
      <c r="AQ80" s="208"/>
    </row>
    <row r="81" spans="1:43" x14ac:dyDescent="0.25">
      <c r="A81" s="208"/>
      <c r="B81" s="208"/>
      <c r="C81" s="208"/>
      <c r="D81" s="208"/>
      <c r="E81" s="208"/>
      <c r="F81" s="208"/>
      <c r="G81" s="210"/>
      <c r="H81" s="211"/>
      <c r="I81" s="211"/>
      <c r="J81" s="211"/>
      <c r="K81" s="211"/>
      <c r="L81" s="211"/>
      <c r="M81" s="212"/>
      <c r="N81" s="213"/>
      <c r="O81" s="214"/>
      <c r="P81" s="214"/>
      <c r="Q81" s="210"/>
      <c r="R81" s="211"/>
      <c r="S81" s="215"/>
      <c r="T81" s="208"/>
      <c r="U81" s="208"/>
      <c r="V81" s="208"/>
      <c r="W81" s="208"/>
      <c r="X81" s="208"/>
      <c r="Y81" s="208"/>
      <c r="Z81" s="208"/>
      <c r="AA81" s="208"/>
      <c r="AB81" s="208"/>
      <c r="AC81" s="213"/>
      <c r="AD81" s="213"/>
      <c r="AE81" s="211"/>
      <c r="AF81" s="213"/>
      <c r="AG81" s="211"/>
      <c r="AH81" s="211"/>
      <c r="AI81" s="211"/>
      <c r="AJ81" s="214"/>
      <c r="AK81" s="208"/>
      <c r="AL81" s="211"/>
      <c r="AM81" s="211"/>
      <c r="AN81" s="211"/>
      <c r="AO81" s="208"/>
      <c r="AP81" s="208"/>
      <c r="AQ81" s="208"/>
    </row>
    <row r="82" spans="1:43" x14ac:dyDescent="0.25">
      <c r="A82" s="208"/>
      <c r="B82" s="208"/>
      <c r="C82" s="208"/>
      <c r="D82" s="208"/>
      <c r="E82" s="208"/>
      <c r="F82" s="208"/>
      <c r="G82" s="210"/>
      <c r="H82" s="211"/>
      <c r="I82" s="211"/>
      <c r="J82" s="211"/>
      <c r="K82" s="211"/>
      <c r="L82" s="211"/>
      <c r="M82" s="212"/>
      <c r="N82" s="213"/>
      <c r="O82" s="214"/>
      <c r="P82" s="214"/>
      <c r="Q82" s="210"/>
      <c r="R82" s="211"/>
      <c r="S82" s="215"/>
      <c r="T82" s="208"/>
      <c r="U82" s="208"/>
      <c r="V82" s="208"/>
      <c r="W82" s="208"/>
      <c r="X82" s="208"/>
      <c r="Y82" s="208"/>
      <c r="Z82" s="208"/>
      <c r="AA82" s="208"/>
      <c r="AB82" s="208"/>
      <c r="AC82" s="213"/>
      <c r="AD82" s="213"/>
      <c r="AE82" s="211"/>
      <c r="AF82" s="213"/>
      <c r="AG82" s="211"/>
      <c r="AH82" s="211"/>
      <c r="AI82" s="211"/>
      <c r="AJ82" s="214"/>
      <c r="AK82" s="208"/>
      <c r="AL82" s="211"/>
      <c r="AM82" s="211"/>
      <c r="AN82" s="211"/>
      <c r="AO82" s="208"/>
      <c r="AP82" s="208"/>
      <c r="AQ82" s="208"/>
    </row>
    <row r="83" spans="1:43" x14ac:dyDescent="0.25">
      <c r="A83" s="208"/>
      <c r="B83" s="208"/>
      <c r="C83" s="208"/>
      <c r="D83" s="208"/>
      <c r="E83" s="208"/>
      <c r="F83" s="208"/>
      <c r="G83" s="210"/>
      <c r="H83" s="211"/>
      <c r="I83" s="211"/>
      <c r="J83" s="211"/>
      <c r="K83" s="211"/>
      <c r="L83" s="211"/>
      <c r="M83" s="212"/>
      <c r="N83" s="213"/>
      <c r="O83" s="214"/>
      <c r="P83" s="214"/>
      <c r="Q83" s="210"/>
      <c r="R83" s="211"/>
      <c r="S83" s="215"/>
      <c r="T83" s="208"/>
      <c r="U83" s="208"/>
      <c r="V83" s="208"/>
      <c r="W83" s="208"/>
      <c r="X83" s="208"/>
      <c r="Y83" s="208"/>
      <c r="Z83" s="208"/>
      <c r="AA83" s="208"/>
      <c r="AB83" s="208"/>
      <c r="AC83" s="213"/>
      <c r="AD83" s="213"/>
      <c r="AE83" s="211"/>
      <c r="AF83" s="213"/>
      <c r="AG83" s="211"/>
      <c r="AH83" s="211"/>
      <c r="AI83" s="211"/>
      <c r="AJ83" s="214"/>
      <c r="AK83" s="208"/>
      <c r="AL83" s="211"/>
      <c r="AM83" s="211"/>
      <c r="AN83" s="211"/>
      <c r="AO83" s="208"/>
      <c r="AP83" s="208"/>
      <c r="AQ83" s="208"/>
    </row>
    <row r="84" spans="1:43" x14ac:dyDescent="0.25">
      <c r="A84" s="208"/>
      <c r="B84" s="208"/>
      <c r="C84" s="208"/>
      <c r="D84" s="208"/>
      <c r="E84" s="208"/>
      <c r="F84" s="208"/>
      <c r="G84" s="210"/>
      <c r="H84" s="211"/>
      <c r="I84" s="211"/>
      <c r="J84" s="211"/>
      <c r="K84" s="211"/>
      <c r="L84" s="211"/>
      <c r="M84" s="212"/>
      <c r="N84" s="213"/>
      <c r="O84" s="214"/>
      <c r="P84" s="214"/>
      <c r="Q84" s="210"/>
      <c r="R84" s="211"/>
      <c r="S84" s="215"/>
      <c r="T84" s="208"/>
      <c r="U84" s="208"/>
      <c r="V84" s="208"/>
      <c r="W84" s="208"/>
      <c r="X84" s="208"/>
      <c r="Y84" s="208"/>
      <c r="Z84" s="208"/>
      <c r="AA84" s="208"/>
      <c r="AB84" s="208"/>
      <c r="AC84" s="213"/>
      <c r="AD84" s="213"/>
      <c r="AE84" s="211"/>
      <c r="AF84" s="213"/>
      <c r="AG84" s="211"/>
      <c r="AH84" s="211"/>
      <c r="AI84" s="211"/>
      <c r="AJ84" s="214"/>
      <c r="AK84" s="208"/>
      <c r="AL84" s="211"/>
      <c r="AM84" s="211"/>
      <c r="AN84" s="211"/>
      <c r="AO84" s="208"/>
      <c r="AP84" s="208"/>
      <c r="AQ84" s="208"/>
    </row>
    <row r="85" spans="1:43" s="153" customFormat="1" x14ac:dyDescent="0.25">
      <c r="A85" s="208"/>
      <c r="B85" s="208"/>
      <c r="C85" s="208"/>
      <c r="D85" s="208"/>
      <c r="E85" s="208"/>
      <c r="F85" s="208"/>
      <c r="G85" s="210"/>
      <c r="H85" s="211"/>
      <c r="I85" s="211"/>
      <c r="J85" s="211"/>
      <c r="K85" s="211"/>
      <c r="L85" s="211"/>
      <c r="M85" s="212"/>
      <c r="N85" s="213"/>
      <c r="O85" s="214"/>
      <c r="P85" s="214"/>
      <c r="Q85" s="210"/>
      <c r="R85" s="211"/>
      <c r="S85" s="215"/>
      <c r="T85" s="208"/>
      <c r="U85" s="208"/>
      <c r="V85" s="208"/>
      <c r="W85" s="208"/>
      <c r="X85" s="208"/>
      <c r="Y85" s="208"/>
      <c r="Z85" s="208"/>
      <c r="AA85" s="208"/>
      <c r="AB85" s="208"/>
      <c r="AC85" s="213"/>
      <c r="AD85" s="213"/>
      <c r="AE85" s="211"/>
      <c r="AF85" s="213"/>
      <c r="AG85" s="211"/>
      <c r="AH85" s="211"/>
      <c r="AI85" s="211"/>
      <c r="AJ85" s="214"/>
      <c r="AK85" s="208"/>
      <c r="AL85" s="211"/>
      <c r="AM85" s="211"/>
      <c r="AN85" s="211"/>
      <c r="AO85" s="208"/>
      <c r="AP85" s="208"/>
      <c r="AQ85" s="208"/>
    </row>
    <row r="86" spans="1:43" s="153" customFormat="1" x14ac:dyDescent="0.25">
      <c r="A86" s="208"/>
      <c r="B86" s="208"/>
      <c r="C86" s="208"/>
      <c r="D86" s="208"/>
      <c r="E86" s="208"/>
      <c r="F86" s="208"/>
      <c r="G86" s="210"/>
      <c r="H86" s="211"/>
      <c r="I86" s="211"/>
      <c r="J86" s="211"/>
      <c r="K86" s="211"/>
      <c r="L86" s="211"/>
      <c r="M86" s="212"/>
      <c r="N86" s="213"/>
      <c r="O86" s="214"/>
      <c r="P86" s="214"/>
      <c r="Q86" s="210"/>
      <c r="R86" s="211"/>
      <c r="S86" s="215"/>
      <c r="T86" s="208"/>
      <c r="U86" s="208"/>
      <c r="V86" s="208"/>
      <c r="W86" s="208"/>
      <c r="X86" s="208"/>
      <c r="Y86" s="208"/>
      <c r="Z86" s="208"/>
      <c r="AA86" s="208"/>
      <c r="AB86" s="208"/>
      <c r="AC86" s="213"/>
      <c r="AD86" s="213"/>
      <c r="AE86" s="211"/>
      <c r="AF86" s="213"/>
      <c r="AG86" s="211"/>
      <c r="AH86" s="211"/>
      <c r="AI86" s="211"/>
      <c r="AJ86" s="214"/>
      <c r="AK86" s="208"/>
      <c r="AL86" s="211"/>
      <c r="AM86" s="211"/>
      <c r="AN86" s="211"/>
      <c r="AO86" s="208"/>
      <c r="AP86" s="208"/>
      <c r="AQ86" s="208"/>
    </row>
    <row r="87" spans="1:43" x14ac:dyDescent="0.25">
      <c r="A87" s="208"/>
      <c r="B87" s="208"/>
      <c r="C87" s="208"/>
      <c r="D87" s="208"/>
      <c r="E87" s="208"/>
      <c r="F87" s="208"/>
      <c r="G87" s="210"/>
      <c r="H87" s="211"/>
      <c r="I87" s="211"/>
      <c r="J87" s="211"/>
      <c r="K87" s="211"/>
      <c r="L87" s="211"/>
      <c r="M87" s="212"/>
      <c r="N87" s="213"/>
      <c r="O87" s="214"/>
      <c r="P87" s="214"/>
      <c r="Q87" s="210"/>
      <c r="R87" s="211"/>
      <c r="S87" s="215"/>
      <c r="T87" s="208"/>
      <c r="U87" s="208"/>
      <c r="V87" s="208"/>
      <c r="W87" s="208"/>
      <c r="X87" s="208"/>
      <c r="Y87" s="208"/>
      <c r="Z87" s="208"/>
      <c r="AA87" s="208"/>
      <c r="AB87" s="208"/>
      <c r="AC87" s="213"/>
      <c r="AD87" s="213"/>
      <c r="AE87" s="211"/>
      <c r="AF87" s="213"/>
      <c r="AG87" s="211"/>
      <c r="AH87" s="211"/>
      <c r="AI87" s="211"/>
      <c r="AJ87" s="214"/>
      <c r="AK87" s="208"/>
      <c r="AL87" s="211"/>
      <c r="AM87" s="211"/>
      <c r="AN87" s="211"/>
      <c r="AO87" s="208"/>
      <c r="AP87" s="208"/>
      <c r="AQ87" s="208"/>
    </row>
    <row r="88" spans="1:43" x14ac:dyDescent="0.25">
      <c r="A88" s="208"/>
      <c r="B88" s="208"/>
      <c r="C88" s="208"/>
      <c r="D88" s="208"/>
      <c r="E88" s="208"/>
      <c r="F88" s="208"/>
      <c r="G88" s="210"/>
      <c r="H88" s="211"/>
      <c r="I88" s="211"/>
      <c r="J88" s="211"/>
      <c r="K88" s="211"/>
      <c r="L88" s="211"/>
      <c r="M88" s="212"/>
      <c r="N88" s="213"/>
      <c r="O88" s="214"/>
      <c r="P88" s="214"/>
      <c r="Q88" s="210"/>
      <c r="R88" s="211"/>
      <c r="S88" s="215"/>
      <c r="T88" s="208"/>
      <c r="U88" s="208"/>
      <c r="V88" s="208"/>
      <c r="W88" s="208"/>
      <c r="X88" s="208"/>
      <c r="Y88" s="208"/>
      <c r="Z88" s="208"/>
      <c r="AA88" s="208"/>
      <c r="AB88" s="208"/>
      <c r="AC88" s="213"/>
      <c r="AD88" s="213"/>
      <c r="AE88" s="211"/>
      <c r="AF88" s="213"/>
      <c r="AG88" s="211"/>
      <c r="AH88" s="211"/>
      <c r="AI88" s="211"/>
      <c r="AJ88" s="214"/>
      <c r="AK88" s="208"/>
      <c r="AL88" s="211"/>
      <c r="AM88" s="211"/>
      <c r="AN88" s="211"/>
      <c r="AO88" s="208"/>
      <c r="AP88" s="208"/>
      <c r="AQ88" s="208"/>
    </row>
    <row r="89" spans="1:43" x14ac:dyDescent="0.25">
      <c r="A89" s="208"/>
      <c r="B89" s="208"/>
      <c r="C89" s="208"/>
      <c r="D89" s="208"/>
      <c r="E89" s="208"/>
      <c r="F89" s="208"/>
      <c r="G89" s="210"/>
      <c r="H89" s="211"/>
      <c r="I89" s="211"/>
      <c r="J89" s="211"/>
      <c r="K89" s="211"/>
      <c r="L89" s="211"/>
      <c r="M89" s="212"/>
      <c r="N89" s="213"/>
      <c r="O89" s="214"/>
      <c r="P89" s="214"/>
      <c r="Q89" s="210"/>
      <c r="R89" s="211"/>
      <c r="S89" s="215"/>
      <c r="T89" s="208"/>
      <c r="U89" s="208"/>
      <c r="V89" s="208"/>
      <c r="W89" s="208"/>
      <c r="X89" s="208"/>
      <c r="Y89" s="208"/>
      <c r="Z89" s="208"/>
      <c r="AA89" s="208"/>
      <c r="AB89" s="208"/>
      <c r="AC89" s="213"/>
      <c r="AD89" s="213"/>
      <c r="AE89" s="211"/>
      <c r="AF89" s="213"/>
      <c r="AG89" s="211"/>
      <c r="AH89" s="211"/>
      <c r="AI89" s="211"/>
      <c r="AJ89" s="214"/>
      <c r="AK89" s="208"/>
      <c r="AL89" s="211"/>
      <c r="AM89" s="211"/>
      <c r="AN89" s="211"/>
      <c r="AO89" s="208"/>
      <c r="AP89" s="208"/>
      <c r="AQ89" s="208"/>
    </row>
    <row r="90" spans="1:43" x14ac:dyDescent="0.25">
      <c r="A90" s="208"/>
      <c r="B90" s="208"/>
      <c r="C90" s="208"/>
      <c r="D90" s="208"/>
      <c r="E90" s="208"/>
      <c r="F90" s="208"/>
      <c r="G90" s="210"/>
      <c r="H90" s="211"/>
      <c r="I90" s="211"/>
      <c r="J90" s="211"/>
      <c r="K90" s="211"/>
      <c r="L90" s="211"/>
      <c r="M90" s="212"/>
      <c r="N90" s="213"/>
      <c r="O90" s="214"/>
      <c r="P90" s="214"/>
      <c r="Q90" s="210"/>
      <c r="R90" s="211"/>
      <c r="S90" s="215"/>
      <c r="T90" s="208"/>
      <c r="U90" s="208"/>
      <c r="V90" s="208"/>
      <c r="W90" s="208"/>
      <c r="X90" s="208"/>
      <c r="Y90" s="208"/>
      <c r="Z90" s="208"/>
      <c r="AA90" s="208"/>
      <c r="AB90" s="208"/>
      <c r="AC90" s="213"/>
      <c r="AD90" s="213"/>
      <c r="AE90" s="211"/>
      <c r="AF90" s="213"/>
      <c r="AG90" s="211"/>
      <c r="AH90" s="211"/>
      <c r="AI90" s="211"/>
      <c r="AJ90" s="214"/>
      <c r="AK90" s="208"/>
      <c r="AL90" s="211"/>
      <c r="AM90" s="211"/>
      <c r="AN90" s="211"/>
      <c r="AO90" s="208"/>
      <c r="AP90" s="208"/>
      <c r="AQ90" s="208"/>
    </row>
    <row r="91" spans="1:43" x14ac:dyDescent="0.25">
      <c r="A91" s="208"/>
      <c r="B91" s="208"/>
      <c r="C91" s="208"/>
      <c r="D91" s="208"/>
      <c r="E91" s="208"/>
      <c r="F91" s="208"/>
      <c r="G91" s="210"/>
      <c r="H91" s="211"/>
      <c r="I91" s="211"/>
      <c r="J91" s="211"/>
      <c r="K91" s="211"/>
      <c r="L91" s="211"/>
      <c r="M91" s="212"/>
      <c r="N91" s="213"/>
      <c r="O91" s="214"/>
      <c r="P91" s="214"/>
      <c r="Q91" s="210"/>
      <c r="R91" s="211"/>
      <c r="S91" s="215"/>
      <c r="T91" s="208"/>
      <c r="U91" s="208"/>
      <c r="V91" s="208"/>
      <c r="W91" s="208"/>
      <c r="X91" s="208"/>
      <c r="Y91" s="208"/>
      <c r="Z91" s="208"/>
      <c r="AA91" s="208"/>
      <c r="AB91" s="208"/>
      <c r="AC91" s="213"/>
      <c r="AD91" s="213"/>
      <c r="AE91" s="211"/>
      <c r="AF91" s="213"/>
      <c r="AG91" s="211"/>
      <c r="AH91" s="211"/>
      <c r="AI91" s="211"/>
      <c r="AJ91" s="214"/>
      <c r="AK91" s="208"/>
      <c r="AL91" s="211"/>
      <c r="AM91" s="211"/>
      <c r="AN91" s="211"/>
      <c r="AO91" s="208"/>
      <c r="AP91" s="208"/>
      <c r="AQ91" s="208"/>
    </row>
    <row r="92" spans="1:43" x14ac:dyDescent="0.25">
      <c r="A92" s="208"/>
      <c r="B92" s="208"/>
      <c r="C92" s="208"/>
      <c r="D92" s="208"/>
      <c r="E92" s="208"/>
      <c r="F92" s="208"/>
      <c r="G92" s="210"/>
      <c r="H92" s="211"/>
      <c r="I92" s="211"/>
      <c r="J92" s="211"/>
      <c r="K92" s="211"/>
      <c r="L92" s="211"/>
      <c r="M92" s="212"/>
      <c r="N92" s="213"/>
      <c r="O92" s="214"/>
      <c r="P92" s="214"/>
      <c r="Q92" s="210"/>
      <c r="R92" s="211"/>
      <c r="S92" s="215"/>
      <c r="T92" s="208"/>
      <c r="U92" s="208"/>
      <c r="V92" s="208"/>
      <c r="W92" s="208"/>
      <c r="X92" s="208"/>
      <c r="Y92" s="208"/>
      <c r="Z92" s="208"/>
      <c r="AA92" s="208"/>
      <c r="AB92" s="208"/>
      <c r="AC92" s="213"/>
      <c r="AD92" s="213"/>
      <c r="AE92" s="211"/>
      <c r="AF92" s="213"/>
      <c r="AG92" s="211"/>
      <c r="AH92" s="211"/>
      <c r="AI92" s="211"/>
      <c r="AJ92" s="214"/>
      <c r="AK92" s="208"/>
      <c r="AL92" s="211"/>
      <c r="AM92" s="211"/>
      <c r="AN92" s="211"/>
      <c r="AO92" s="208"/>
      <c r="AP92" s="208"/>
      <c r="AQ92" s="208"/>
    </row>
    <row r="93" spans="1:43" x14ac:dyDescent="0.25">
      <c r="A93" s="208"/>
      <c r="B93" s="208"/>
      <c r="C93" s="208"/>
      <c r="D93" s="208"/>
      <c r="E93" s="208"/>
      <c r="F93" s="208"/>
      <c r="G93" s="210"/>
      <c r="H93" s="211"/>
      <c r="I93" s="211"/>
      <c r="J93" s="211"/>
      <c r="K93" s="211"/>
      <c r="L93" s="211"/>
      <c r="M93" s="212"/>
      <c r="N93" s="213"/>
      <c r="O93" s="214"/>
      <c r="P93" s="214"/>
      <c r="Q93" s="210"/>
      <c r="R93" s="211"/>
      <c r="S93" s="215"/>
      <c r="T93" s="208"/>
      <c r="U93" s="208"/>
      <c r="V93" s="208"/>
      <c r="W93" s="208"/>
      <c r="X93" s="208"/>
      <c r="Y93" s="208"/>
      <c r="Z93" s="208"/>
      <c r="AA93" s="208"/>
      <c r="AB93" s="208"/>
      <c r="AC93" s="213"/>
      <c r="AD93" s="213"/>
      <c r="AE93" s="211"/>
      <c r="AF93" s="213"/>
      <c r="AG93" s="211"/>
      <c r="AH93" s="211"/>
      <c r="AI93" s="211"/>
      <c r="AJ93" s="214"/>
      <c r="AK93" s="208"/>
      <c r="AL93" s="211"/>
      <c r="AM93" s="211"/>
      <c r="AN93" s="211"/>
      <c r="AO93" s="208"/>
      <c r="AP93" s="208"/>
      <c r="AQ93" s="208"/>
    </row>
    <row r="94" spans="1:43" x14ac:dyDescent="0.25">
      <c r="A94" s="208"/>
      <c r="B94" s="208"/>
      <c r="C94" s="208"/>
      <c r="D94" s="208"/>
      <c r="E94" s="208"/>
      <c r="F94" s="208"/>
      <c r="G94" s="210"/>
      <c r="H94" s="211"/>
      <c r="I94" s="211"/>
      <c r="J94" s="211"/>
      <c r="K94" s="211"/>
      <c r="L94" s="211"/>
      <c r="M94" s="212"/>
      <c r="N94" s="213"/>
      <c r="O94" s="214"/>
      <c r="P94" s="214"/>
      <c r="Q94" s="210"/>
      <c r="R94" s="211"/>
      <c r="S94" s="215"/>
      <c r="T94" s="208"/>
      <c r="U94" s="208"/>
      <c r="V94" s="208"/>
      <c r="W94" s="208"/>
      <c r="X94" s="208"/>
      <c r="Y94" s="208"/>
      <c r="Z94" s="208"/>
      <c r="AA94" s="208"/>
      <c r="AB94" s="208"/>
      <c r="AC94" s="213"/>
      <c r="AD94" s="213"/>
      <c r="AE94" s="211"/>
      <c r="AF94" s="213"/>
      <c r="AG94" s="211"/>
      <c r="AH94" s="211"/>
      <c r="AI94" s="211"/>
      <c r="AJ94" s="214"/>
      <c r="AK94" s="208"/>
      <c r="AL94" s="211"/>
      <c r="AM94" s="211"/>
      <c r="AN94" s="211"/>
      <c r="AO94" s="208"/>
      <c r="AP94" s="208"/>
      <c r="AQ94" s="208"/>
    </row>
    <row r="95" spans="1:43" x14ac:dyDescent="0.25">
      <c r="A95" s="208"/>
      <c r="B95" s="208"/>
      <c r="C95" s="208"/>
      <c r="D95" s="208"/>
      <c r="E95" s="208"/>
      <c r="F95" s="208"/>
      <c r="G95" s="210"/>
      <c r="H95" s="211"/>
      <c r="I95" s="211"/>
      <c r="J95" s="211"/>
      <c r="K95" s="211"/>
      <c r="L95" s="211"/>
      <c r="M95" s="212"/>
      <c r="N95" s="213"/>
      <c r="O95" s="214"/>
      <c r="P95" s="214"/>
      <c r="Q95" s="210"/>
      <c r="R95" s="211"/>
      <c r="S95" s="215"/>
      <c r="T95" s="208"/>
      <c r="U95" s="208"/>
      <c r="V95" s="208"/>
      <c r="W95" s="208"/>
      <c r="X95" s="208"/>
      <c r="Y95" s="208"/>
      <c r="Z95" s="208"/>
      <c r="AA95" s="208"/>
      <c r="AB95" s="208"/>
      <c r="AC95" s="213"/>
      <c r="AD95" s="213"/>
      <c r="AE95" s="211"/>
      <c r="AF95" s="213"/>
      <c r="AG95" s="211"/>
      <c r="AH95" s="211"/>
      <c r="AI95" s="211"/>
      <c r="AJ95" s="214"/>
      <c r="AK95" s="208"/>
      <c r="AL95" s="211"/>
      <c r="AM95" s="211"/>
      <c r="AN95" s="211"/>
      <c r="AO95" s="208"/>
      <c r="AP95" s="208"/>
      <c r="AQ95" s="208"/>
    </row>
    <row r="96" spans="1:43" x14ac:dyDescent="0.25">
      <c r="A96" s="208"/>
      <c r="B96" s="208"/>
      <c r="C96" s="208"/>
      <c r="D96" s="208"/>
      <c r="E96" s="208"/>
      <c r="F96" s="208"/>
      <c r="G96" s="210"/>
      <c r="H96" s="211"/>
      <c r="I96" s="211"/>
      <c r="J96" s="211"/>
      <c r="K96" s="211"/>
      <c r="L96" s="211"/>
      <c r="M96" s="212"/>
      <c r="N96" s="213"/>
      <c r="O96" s="214"/>
      <c r="P96" s="214"/>
      <c r="Q96" s="210"/>
      <c r="R96" s="211"/>
      <c r="S96" s="215"/>
      <c r="T96" s="208"/>
      <c r="U96" s="208"/>
      <c r="V96" s="208"/>
      <c r="W96" s="208"/>
      <c r="X96" s="208"/>
      <c r="Y96" s="208"/>
      <c r="Z96" s="208"/>
      <c r="AA96" s="208"/>
      <c r="AB96" s="208"/>
      <c r="AC96" s="213"/>
      <c r="AD96" s="213"/>
      <c r="AE96" s="211"/>
      <c r="AF96" s="213"/>
      <c r="AG96" s="211"/>
      <c r="AH96" s="211"/>
      <c r="AI96" s="211"/>
      <c r="AJ96" s="214"/>
      <c r="AK96" s="208"/>
      <c r="AL96" s="211"/>
      <c r="AM96" s="211"/>
      <c r="AN96" s="211"/>
      <c r="AO96" s="208"/>
      <c r="AP96" s="208"/>
      <c r="AQ96" s="208"/>
    </row>
    <row r="97" spans="1:43" x14ac:dyDescent="0.25">
      <c r="A97" s="208"/>
      <c r="B97" s="208"/>
      <c r="C97" s="208"/>
      <c r="D97" s="208"/>
      <c r="E97" s="208"/>
      <c r="F97" s="208"/>
      <c r="G97" s="210"/>
      <c r="H97" s="211"/>
      <c r="I97" s="211"/>
      <c r="J97" s="211"/>
      <c r="K97" s="211"/>
      <c r="L97" s="211"/>
      <c r="M97" s="212"/>
      <c r="N97" s="213"/>
      <c r="O97" s="214"/>
      <c r="P97" s="214"/>
      <c r="Q97" s="210"/>
      <c r="R97" s="211"/>
      <c r="S97" s="215"/>
      <c r="T97" s="208"/>
      <c r="U97" s="208"/>
      <c r="V97" s="208"/>
      <c r="W97" s="208"/>
      <c r="X97" s="208"/>
      <c r="Y97" s="208"/>
      <c r="Z97" s="208"/>
      <c r="AA97" s="208"/>
      <c r="AB97" s="208"/>
      <c r="AC97" s="213"/>
      <c r="AD97" s="213"/>
      <c r="AE97" s="211"/>
      <c r="AF97" s="213"/>
      <c r="AG97" s="211"/>
      <c r="AH97" s="211"/>
      <c r="AI97" s="211"/>
      <c r="AJ97" s="214"/>
      <c r="AK97" s="208"/>
      <c r="AL97" s="211"/>
      <c r="AM97" s="211"/>
      <c r="AN97" s="211"/>
      <c r="AO97" s="208"/>
      <c r="AP97" s="208"/>
      <c r="AQ97" s="208"/>
    </row>
    <row r="98" spans="1:43" x14ac:dyDescent="0.25">
      <c r="A98" s="208"/>
      <c r="B98" s="208"/>
      <c r="C98" s="208"/>
      <c r="D98" s="208"/>
      <c r="E98" s="208"/>
      <c r="F98" s="208"/>
      <c r="G98" s="210"/>
      <c r="H98" s="211"/>
      <c r="I98" s="211"/>
      <c r="J98" s="211"/>
      <c r="K98" s="211"/>
      <c r="L98" s="211"/>
      <c r="M98" s="212"/>
      <c r="N98" s="213"/>
      <c r="O98" s="214"/>
      <c r="P98" s="214"/>
      <c r="Q98" s="210"/>
      <c r="R98" s="211"/>
      <c r="S98" s="215"/>
      <c r="T98" s="208"/>
      <c r="U98" s="208"/>
      <c r="V98" s="208"/>
      <c r="W98" s="208"/>
      <c r="X98" s="208"/>
      <c r="Y98" s="208"/>
      <c r="Z98" s="208"/>
      <c r="AA98" s="208"/>
      <c r="AB98" s="208"/>
      <c r="AC98" s="213"/>
      <c r="AD98" s="213"/>
      <c r="AE98" s="211"/>
      <c r="AF98" s="213"/>
      <c r="AG98" s="211"/>
      <c r="AH98" s="211"/>
      <c r="AI98" s="211"/>
      <c r="AJ98" s="214"/>
      <c r="AK98" s="208"/>
      <c r="AL98" s="211"/>
      <c r="AM98" s="211"/>
      <c r="AN98" s="211"/>
      <c r="AO98" s="208"/>
      <c r="AP98" s="208"/>
      <c r="AQ98" s="208"/>
    </row>
    <row r="99" spans="1:43" x14ac:dyDescent="0.25">
      <c r="A99" s="208"/>
      <c r="B99" s="208"/>
      <c r="C99" s="208"/>
      <c r="D99" s="208"/>
      <c r="E99" s="208"/>
      <c r="F99" s="208"/>
      <c r="G99" s="210"/>
      <c r="H99" s="211"/>
      <c r="I99" s="211"/>
      <c r="J99" s="211"/>
      <c r="K99" s="211"/>
      <c r="L99" s="211"/>
      <c r="M99" s="212"/>
      <c r="N99" s="213"/>
      <c r="O99" s="214"/>
      <c r="P99" s="214"/>
      <c r="Q99" s="210"/>
      <c r="R99" s="211"/>
      <c r="S99" s="215"/>
      <c r="T99" s="208"/>
      <c r="U99" s="208"/>
      <c r="V99" s="208"/>
      <c r="W99" s="208"/>
      <c r="X99" s="208"/>
      <c r="Y99" s="208"/>
      <c r="Z99" s="208"/>
      <c r="AA99" s="208"/>
      <c r="AB99" s="208"/>
      <c r="AC99" s="213"/>
      <c r="AD99" s="213"/>
      <c r="AE99" s="211"/>
      <c r="AF99" s="213"/>
      <c r="AG99" s="211"/>
      <c r="AH99" s="211"/>
      <c r="AI99" s="211"/>
      <c r="AJ99" s="214"/>
      <c r="AK99" s="208"/>
      <c r="AL99" s="211"/>
      <c r="AM99" s="211"/>
      <c r="AN99" s="211"/>
      <c r="AO99" s="208"/>
      <c r="AP99" s="208"/>
      <c r="AQ99" s="208"/>
    </row>
    <row r="100" spans="1:43" x14ac:dyDescent="0.25">
      <c r="A100" s="208"/>
      <c r="B100" s="208"/>
      <c r="C100" s="208"/>
      <c r="D100" s="208"/>
      <c r="E100" s="208"/>
      <c r="F100" s="208"/>
      <c r="G100" s="210"/>
      <c r="H100" s="211"/>
      <c r="I100" s="211"/>
      <c r="J100" s="211"/>
      <c r="K100" s="211"/>
      <c r="L100" s="211"/>
      <c r="M100" s="212"/>
      <c r="N100" s="213"/>
      <c r="O100" s="214"/>
      <c r="P100" s="214"/>
      <c r="Q100" s="210"/>
      <c r="R100" s="211"/>
      <c r="S100" s="215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13"/>
      <c r="AD100" s="213"/>
      <c r="AE100" s="211"/>
      <c r="AF100" s="213"/>
      <c r="AG100" s="211"/>
      <c r="AH100" s="211"/>
      <c r="AI100" s="211"/>
      <c r="AJ100" s="214"/>
      <c r="AK100" s="208"/>
      <c r="AL100" s="211"/>
      <c r="AM100" s="211"/>
      <c r="AN100" s="211"/>
      <c r="AO100" s="208"/>
      <c r="AP100" s="208"/>
      <c r="AQ100" s="208"/>
    </row>
    <row r="101" spans="1:43" x14ac:dyDescent="0.25">
      <c r="A101" s="208"/>
      <c r="B101" s="208"/>
      <c r="C101" s="208"/>
      <c r="D101" s="208"/>
      <c r="E101" s="208"/>
      <c r="F101" s="208"/>
      <c r="G101" s="210"/>
      <c r="H101" s="211"/>
      <c r="I101" s="211"/>
      <c r="J101" s="211"/>
      <c r="K101" s="211"/>
      <c r="L101" s="211"/>
      <c r="M101" s="212"/>
      <c r="N101" s="213"/>
      <c r="O101" s="214"/>
      <c r="P101" s="214"/>
      <c r="Q101" s="210"/>
      <c r="R101" s="211"/>
      <c r="S101" s="215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13"/>
      <c r="AD101" s="213"/>
      <c r="AE101" s="211"/>
      <c r="AF101" s="213"/>
      <c r="AG101" s="211"/>
      <c r="AH101" s="211"/>
      <c r="AI101" s="211"/>
      <c r="AJ101" s="214"/>
      <c r="AK101" s="208"/>
      <c r="AL101" s="211"/>
      <c r="AM101" s="211"/>
      <c r="AN101" s="211"/>
      <c r="AO101" s="208"/>
      <c r="AP101" s="208"/>
      <c r="AQ101" s="208"/>
    </row>
    <row r="102" spans="1:43" x14ac:dyDescent="0.25">
      <c r="A102" s="208"/>
      <c r="B102" s="208"/>
      <c r="C102" s="208"/>
      <c r="D102" s="208"/>
      <c r="E102" s="208"/>
      <c r="F102" s="208"/>
      <c r="G102" s="210"/>
      <c r="H102" s="211"/>
      <c r="I102" s="211"/>
      <c r="J102" s="211"/>
      <c r="K102" s="211"/>
      <c r="L102" s="211"/>
      <c r="M102" s="212"/>
      <c r="N102" s="213"/>
      <c r="O102" s="214"/>
      <c r="P102" s="214"/>
      <c r="Q102" s="210"/>
      <c r="R102" s="211"/>
      <c r="S102" s="215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13"/>
      <c r="AD102" s="213"/>
      <c r="AE102" s="211"/>
      <c r="AF102" s="213"/>
      <c r="AG102" s="211"/>
      <c r="AH102" s="211"/>
      <c r="AI102" s="211"/>
      <c r="AJ102" s="214"/>
      <c r="AK102" s="208"/>
      <c r="AL102" s="211"/>
      <c r="AM102" s="211"/>
      <c r="AN102" s="211"/>
      <c r="AO102" s="208"/>
      <c r="AP102" s="208"/>
      <c r="AQ102" s="208"/>
    </row>
    <row r="103" spans="1:43" x14ac:dyDescent="0.25">
      <c r="A103" s="208"/>
      <c r="B103" s="208"/>
      <c r="C103" s="208"/>
      <c r="D103" s="208"/>
      <c r="E103" s="208"/>
      <c r="F103" s="208"/>
      <c r="G103" s="210"/>
      <c r="H103" s="211"/>
      <c r="I103" s="211"/>
      <c r="J103" s="211"/>
      <c r="K103" s="211"/>
      <c r="L103" s="211"/>
      <c r="M103" s="212"/>
      <c r="N103" s="213"/>
      <c r="O103" s="214"/>
      <c r="P103" s="214"/>
      <c r="Q103" s="210"/>
      <c r="R103" s="211"/>
      <c r="S103" s="215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13"/>
      <c r="AD103" s="213"/>
      <c r="AE103" s="211"/>
      <c r="AF103" s="213"/>
      <c r="AG103" s="211"/>
      <c r="AH103" s="211"/>
      <c r="AI103" s="211"/>
      <c r="AJ103" s="214"/>
      <c r="AK103" s="208"/>
      <c r="AL103" s="211"/>
      <c r="AM103" s="211"/>
      <c r="AN103" s="211"/>
      <c r="AO103" s="208"/>
      <c r="AP103" s="208"/>
      <c r="AQ103" s="208"/>
    </row>
    <row r="104" spans="1:43" x14ac:dyDescent="0.25">
      <c r="A104" s="208"/>
      <c r="B104" s="208"/>
      <c r="C104" s="208"/>
      <c r="D104" s="208"/>
      <c r="E104" s="208"/>
      <c r="F104" s="208"/>
      <c r="G104" s="210"/>
      <c r="H104" s="211"/>
      <c r="I104" s="211"/>
      <c r="J104" s="211"/>
      <c r="K104" s="211"/>
      <c r="L104" s="211"/>
      <c r="M104" s="212"/>
      <c r="N104" s="213"/>
      <c r="O104" s="214"/>
      <c r="P104" s="214"/>
      <c r="Q104" s="210"/>
      <c r="R104" s="211"/>
      <c r="S104" s="215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13"/>
      <c r="AD104" s="213"/>
      <c r="AE104" s="211"/>
      <c r="AF104" s="213"/>
      <c r="AG104" s="211"/>
      <c r="AH104" s="211"/>
      <c r="AI104" s="211"/>
      <c r="AJ104" s="214"/>
      <c r="AK104" s="208"/>
      <c r="AL104" s="211"/>
      <c r="AM104" s="211"/>
      <c r="AN104" s="211"/>
      <c r="AO104" s="208"/>
      <c r="AP104" s="208"/>
      <c r="AQ104" s="208"/>
    </row>
    <row r="105" spans="1:43" x14ac:dyDescent="0.25">
      <c r="A105" s="208"/>
      <c r="B105" s="208"/>
      <c r="C105" s="208"/>
      <c r="D105" s="208"/>
      <c r="E105" s="208"/>
      <c r="F105" s="208"/>
      <c r="G105" s="210"/>
      <c r="H105" s="211"/>
      <c r="I105" s="211"/>
      <c r="J105" s="211"/>
      <c r="K105" s="211"/>
      <c r="L105" s="211"/>
      <c r="M105" s="212"/>
      <c r="N105" s="213"/>
      <c r="O105" s="214"/>
      <c r="P105" s="214"/>
      <c r="Q105" s="210"/>
      <c r="R105" s="211"/>
      <c r="S105" s="215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13"/>
      <c r="AD105" s="213"/>
      <c r="AE105" s="211"/>
      <c r="AF105" s="213"/>
      <c r="AG105" s="211"/>
      <c r="AH105" s="211"/>
      <c r="AI105" s="211"/>
      <c r="AJ105" s="214"/>
      <c r="AK105" s="208"/>
      <c r="AL105" s="211"/>
      <c r="AM105" s="211"/>
      <c r="AN105" s="211"/>
      <c r="AO105" s="208"/>
      <c r="AP105" s="208"/>
      <c r="AQ105" s="208"/>
    </row>
    <row r="106" spans="1:43" x14ac:dyDescent="0.25">
      <c r="A106" s="208"/>
      <c r="B106" s="208"/>
      <c r="C106" s="208"/>
      <c r="D106" s="208"/>
      <c r="E106" s="208"/>
      <c r="F106" s="208"/>
      <c r="G106" s="210"/>
      <c r="H106" s="211"/>
      <c r="I106" s="211"/>
      <c r="J106" s="211"/>
      <c r="K106" s="211"/>
      <c r="L106" s="211"/>
      <c r="M106" s="212"/>
      <c r="N106" s="213"/>
      <c r="O106" s="214"/>
      <c r="P106" s="214"/>
      <c r="Q106" s="210"/>
      <c r="R106" s="211"/>
      <c r="S106" s="215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13"/>
      <c r="AD106" s="213"/>
      <c r="AE106" s="211"/>
      <c r="AF106" s="213"/>
      <c r="AG106" s="211"/>
      <c r="AH106" s="211"/>
      <c r="AI106" s="211"/>
      <c r="AJ106" s="214"/>
      <c r="AK106" s="208"/>
      <c r="AL106" s="211"/>
      <c r="AM106" s="211"/>
      <c r="AN106" s="211"/>
      <c r="AO106" s="208"/>
      <c r="AP106" s="208"/>
      <c r="AQ106" s="208"/>
    </row>
    <row r="107" spans="1:43" x14ac:dyDescent="0.25">
      <c r="A107" s="208"/>
      <c r="B107" s="208"/>
      <c r="C107" s="208"/>
      <c r="D107" s="208"/>
      <c r="E107" s="208"/>
      <c r="F107" s="208"/>
      <c r="G107" s="210"/>
      <c r="H107" s="211"/>
      <c r="I107" s="211"/>
      <c r="J107" s="211"/>
      <c r="K107" s="211"/>
      <c r="L107" s="211"/>
      <c r="M107" s="212"/>
      <c r="N107" s="213"/>
      <c r="O107" s="214"/>
      <c r="P107" s="214"/>
      <c r="Q107" s="210"/>
      <c r="R107" s="211"/>
      <c r="S107" s="215"/>
      <c r="T107" s="208"/>
      <c r="U107" s="208"/>
      <c r="V107" s="208"/>
      <c r="W107" s="208"/>
      <c r="X107" s="208"/>
      <c r="Y107" s="208"/>
      <c r="Z107" s="208"/>
      <c r="AA107" s="208"/>
      <c r="AB107" s="208"/>
      <c r="AC107" s="213"/>
      <c r="AD107" s="213"/>
      <c r="AE107" s="211"/>
      <c r="AF107" s="213"/>
      <c r="AG107" s="211"/>
      <c r="AH107" s="211"/>
      <c r="AI107" s="211"/>
      <c r="AJ107" s="214"/>
      <c r="AK107" s="208"/>
      <c r="AL107" s="211"/>
      <c r="AM107" s="211"/>
      <c r="AN107" s="211"/>
      <c r="AO107" s="208"/>
      <c r="AP107" s="208"/>
      <c r="AQ107" s="208"/>
    </row>
    <row r="108" spans="1:43" x14ac:dyDescent="0.25">
      <c r="A108" s="208"/>
      <c r="B108" s="208"/>
      <c r="C108" s="208"/>
      <c r="D108" s="208"/>
      <c r="E108" s="208"/>
      <c r="F108" s="208"/>
      <c r="G108" s="210"/>
      <c r="H108" s="211"/>
      <c r="I108" s="211"/>
      <c r="J108" s="211"/>
      <c r="K108" s="211"/>
      <c r="L108" s="211"/>
      <c r="M108" s="212"/>
      <c r="N108" s="213"/>
      <c r="O108" s="214"/>
      <c r="P108" s="214"/>
      <c r="Q108" s="210"/>
      <c r="R108" s="211"/>
      <c r="S108" s="215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13"/>
      <c r="AD108" s="213"/>
      <c r="AE108" s="211"/>
      <c r="AF108" s="213"/>
      <c r="AG108" s="211"/>
      <c r="AH108" s="211"/>
      <c r="AI108" s="211"/>
      <c r="AJ108" s="214"/>
      <c r="AK108" s="208"/>
      <c r="AL108" s="211"/>
      <c r="AM108" s="211"/>
      <c r="AN108" s="211"/>
      <c r="AO108" s="208"/>
      <c r="AP108" s="208"/>
      <c r="AQ108" s="208"/>
    </row>
    <row r="109" spans="1:43" x14ac:dyDescent="0.25">
      <c r="A109" s="208"/>
      <c r="B109" s="208"/>
      <c r="C109" s="208"/>
      <c r="D109" s="208"/>
      <c r="E109" s="208"/>
      <c r="F109" s="208"/>
      <c r="G109" s="210"/>
      <c r="H109" s="211"/>
      <c r="I109" s="211"/>
      <c r="J109" s="211"/>
      <c r="K109" s="211"/>
      <c r="L109" s="211"/>
      <c r="M109" s="212"/>
      <c r="N109" s="213"/>
      <c r="O109" s="214"/>
      <c r="P109" s="214"/>
      <c r="Q109" s="210"/>
      <c r="R109" s="211"/>
      <c r="S109" s="215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13"/>
      <c r="AD109" s="213"/>
      <c r="AE109" s="211"/>
      <c r="AF109" s="213"/>
      <c r="AG109" s="211"/>
      <c r="AH109" s="211"/>
      <c r="AI109" s="211"/>
      <c r="AJ109" s="214"/>
      <c r="AK109" s="208"/>
      <c r="AL109" s="211"/>
      <c r="AM109" s="211"/>
      <c r="AN109" s="211"/>
      <c r="AO109" s="208"/>
      <c r="AP109" s="208"/>
      <c r="AQ109" s="208"/>
    </row>
    <row r="110" spans="1:43" x14ac:dyDescent="0.25">
      <c r="A110" s="208"/>
      <c r="B110" s="208"/>
      <c r="C110" s="208"/>
      <c r="D110" s="208"/>
      <c r="E110" s="208"/>
      <c r="F110" s="208"/>
      <c r="G110" s="210"/>
      <c r="H110" s="211"/>
      <c r="I110" s="211"/>
      <c r="J110" s="211"/>
      <c r="K110" s="211"/>
      <c r="L110" s="211"/>
      <c r="M110" s="212"/>
      <c r="N110" s="213"/>
      <c r="O110" s="214"/>
      <c r="P110" s="214"/>
      <c r="Q110" s="210"/>
      <c r="R110" s="211"/>
      <c r="S110" s="215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13"/>
      <c r="AD110" s="213"/>
      <c r="AE110" s="211"/>
      <c r="AF110" s="213"/>
      <c r="AG110" s="211"/>
      <c r="AH110" s="211"/>
      <c r="AI110" s="211"/>
      <c r="AJ110" s="214"/>
      <c r="AK110" s="208"/>
      <c r="AL110" s="211"/>
      <c r="AM110" s="211"/>
      <c r="AN110" s="211"/>
      <c r="AO110" s="208"/>
      <c r="AP110" s="208"/>
      <c r="AQ110" s="208"/>
    </row>
    <row r="111" spans="1:43" x14ac:dyDescent="0.25">
      <c r="A111" s="208"/>
      <c r="B111" s="208"/>
      <c r="C111" s="208"/>
      <c r="D111" s="208"/>
      <c r="E111" s="208"/>
      <c r="F111" s="208"/>
      <c r="G111" s="210"/>
      <c r="H111" s="211"/>
      <c r="I111" s="211"/>
      <c r="J111" s="211"/>
      <c r="K111" s="211"/>
      <c r="L111" s="211"/>
      <c r="M111" s="212"/>
      <c r="N111" s="213"/>
      <c r="O111" s="214"/>
      <c r="P111" s="214"/>
      <c r="Q111" s="210"/>
      <c r="R111" s="211"/>
      <c r="S111" s="215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13"/>
      <c r="AD111" s="213"/>
      <c r="AE111" s="211"/>
      <c r="AF111" s="213"/>
      <c r="AG111" s="211"/>
      <c r="AH111" s="211"/>
      <c r="AI111" s="211"/>
      <c r="AJ111" s="214"/>
      <c r="AK111" s="208"/>
      <c r="AL111" s="211"/>
      <c r="AM111" s="211"/>
      <c r="AN111" s="211"/>
      <c r="AO111" s="208"/>
      <c r="AP111" s="208"/>
      <c r="AQ111" s="208"/>
    </row>
    <row r="112" spans="1:43" x14ac:dyDescent="0.25">
      <c r="A112" s="208"/>
      <c r="B112" s="208"/>
      <c r="C112" s="208"/>
      <c r="D112" s="208"/>
      <c r="E112" s="208"/>
      <c r="F112" s="208"/>
      <c r="G112" s="210"/>
      <c r="H112" s="211"/>
      <c r="I112" s="211"/>
      <c r="J112" s="211"/>
      <c r="K112" s="211"/>
      <c r="L112" s="211"/>
      <c r="M112" s="212"/>
      <c r="N112" s="213"/>
      <c r="O112" s="214"/>
      <c r="P112" s="214"/>
      <c r="Q112" s="210"/>
      <c r="R112" s="211"/>
      <c r="S112" s="215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13"/>
      <c r="AD112" s="213"/>
      <c r="AE112" s="211"/>
      <c r="AF112" s="213"/>
      <c r="AG112" s="211"/>
      <c r="AH112" s="211"/>
      <c r="AI112" s="211"/>
      <c r="AJ112" s="214"/>
      <c r="AK112" s="208"/>
      <c r="AL112" s="211"/>
      <c r="AM112" s="211"/>
      <c r="AN112" s="211"/>
      <c r="AO112" s="208"/>
      <c r="AP112" s="208"/>
      <c r="AQ112" s="208"/>
    </row>
    <row r="113" spans="1:43" x14ac:dyDescent="0.25">
      <c r="A113" s="208"/>
      <c r="B113" s="208"/>
      <c r="C113" s="208"/>
      <c r="D113" s="208"/>
      <c r="E113" s="208"/>
      <c r="F113" s="208"/>
      <c r="G113" s="210"/>
      <c r="H113" s="211"/>
      <c r="I113" s="211"/>
      <c r="J113" s="211"/>
      <c r="K113" s="211"/>
      <c r="L113" s="211"/>
      <c r="M113" s="212"/>
      <c r="N113" s="213"/>
      <c r="O113" s="214"/>
      <c r="P113" s="214"/>
      <c r="Q113" s="210"/>
      <c r="R113" s="211"/>
      <c r="S113" s="215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13"/>
      <c r="AD113" s="213"/>
      <c r="AE113" s="211"/>
      <c r="AF113" s="213"/>
      <c r="AG113" s="211"/>
      <c r="AH113" s="211"/>
      <c r="AI113" s="211"/>
      <c r="AJ113" s="214"/>
      <c r="AK113" s="208"/>
      <c r="AL113" s="211"/>
      <c r="AM113" s="211"/>
      <c r="AN113" s="211"/>
      <c r="AO113" s="208"/>
      <c r="AP113" s="208"/>
      <c r="AQ113" s="208"/>
    </row>
    <row r="114" spans="1:43" x14ac:dyDescent="0.25">
      <c r="A114" s="208"/>
      <c r="B114" s="208"/>
      <c r="C114" s="208"/>
      <c r="D114" s="208"/>
      <c r="E114" s="208"/>
      <c r="F114" s="208"/>
      <c r="G114" s="210"/>
      <c r="H114" s="211"/>
      <c r="I114" s="211"/>
      <c r="J114" s="211"/>
      <c r="K114" s="211"/>
      <c r="L114" s="211"/>
      <c r="M114" s="212"/>
      <c r="N114" s="213"/>
      <c r="O114" s="214"/>
      <c r="P114" s="214"/>
      <c r="Q114" s="210"/>
      <c r="R114" s="211"/>
      <c r="S114" s="215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13"/>
      <c r="AD114" s="213"/>
      <c r="AE114" s="211"/>
      <c r="AF114" s="213"/>
      <c r="AG114" s="211"/>
      <c r="AH114" s="211"/>
      <c r="AI114" s="211"/>
      <c r="AJ114" s="214"/>
      <c r="AK114" s="208"/>
      <c r="AL114" s="211"/>
      <c r="AM114" s="211"/>
      <c r="AN114" s="211"/>
      <c r="AO114" s="208"/>
      <c r="AP114" s="208"/>
      <c r="AQ114" s="208"/>
    </row>
    <row r="115" spans="1:43" x14ac:dyDescent="0.25">
      <c r="A115" s="208"/>
      <c r="B115" s="208"/>
      <c r="C115" s="208"/>
      <c r="D115" s="208"/>
      <c r="E115" s="208"/>
      <c r="F115" s="208"/>
      <c r="G115" s="210"/>
      <c r="H115" s="211"/>
      <c r="I115" s="211"/>
      <c r="J115" s="211"/>
      <c r="K115" s="211"/>
      <c r="L115" s="211"/>
      <c r="M115" s="212"/>
      <c r="N115" s="213"/>
      <c r="O115" s="214"/>
      <c r="P115" s="214"/>
      <c r="Q115" s="210"/>
      <c r="R115" s="211"/>
      <c r="S115" s="215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13"/>
      <c r="AD115" s="213"/>
      <c r="AE115" s="211"/>
      <c r="AF115" s="213"/>
      <c r="AG115" s="211"/>
      <c r="AH115" s="211"/>
      <c r="AI115" s="211"/>
      <c r="AJ115" s="214"/>
      <c r="AK115" s="208"/>
      <c r="AL115" s="211"/>
      <c r="AM115" s="211"/>
      <c r="AN115" s="211"/>
      <c r="AO115" s="208"/>
      <c r="AP115" s="208"/>
      <c r="AQ115" s="208"/>
    </row>
    <row r="116" spans="1:43" x14ac:dyDescent="0.25">
      <c r="A116" s="208"/>
      <c r="B116" s="208"/>
      <c r="C116" s="208"/>
      <c r="D116" s="208"/>
      <c r="E116" s="208"/>
      <c r="F116" s="208"/>
      <c r="G116" s="210"/>
      <c r="H116" s="211"/>
      <c r="I116" s="211"/>
      <c r="J116" s="211"/>
      <c r="K116" s="211"/>
      <c r="L116" s="211"/>
      <c r="M116" s="212"/>
      <c r="N116" s="213"/>
      <c r="O116" s="214"/>
      <c r="P116" s="214"/>
      <c r="Q116" s="210"/>
      <c r="R116" s="211"/>
      <c r="S116" s="215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13"/>
      <c r="AD116" s="213"/>
      <c r="AE116" s="211"/>
      <c r="AF116" s="213"/>
      <c r="AG116" s="211"/>
      <c r="AH116" s="211"/>
      <c r="AI116" s="211"/>
      <c r="AJ116" s="214"/>
      <c r="AK116" s="208"/>
      <c r="AL116" s="211"/>
      <c r="AM116" s="211"/>
      <c r="AN116" s="211"/>
      <c r="AO116" s="208"/>
      <c r="AP116" s="208"/>
      <c r="AQ116" s="208"/>
    </row>
    <row r="117" spans="1:43" x14ac:dyDescent="0.25">
      <c r="A117" s="208"/>
      <c r="B117" s="208"/>
      <c r="C117" s="208"/>
      <c r="D117" s="208"/>
      <c r="E117" s="208"/>
      <c r="F117" s="208"/>
      <c r="G117" s="210"/>
      <c r="H117" s="211"/>
      <c r="I117" s="211"/>
      <c r="J117" s="211"/>
      <c r="K117" s="211"/>
      <c r="L117" s="211"/>
      <c r="M117" s="212"/>
      <c r="N117" s="213"/>
      <c r="O117" s="214"/>
      <c r="P117" s="214"/>
      <c r="Q117" s="210"/>
      <c r="R117" s="211"/>
      <c r="S117" s="215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13"/>
      <c r="AD117" s="213"/>
      <c r="AE117" s="211"/>
      <c r="AF117" s="213"/>
      <c r="AG117" s="211"/>
      <c r="AH117" s="211"/>
      <c r="AI117" s="211"/>
      <c r="AJ117" s="214"/>
      <c r="AK117" s="208"/>
      <c r="AL117" s="211"/>
      <c r="AM117" s="211"/>
      <c r="AN117" s="211"/>
      <c r="AO117" s="208"/>
      <c r="AP117" s="208"/>
      <c r="AQ117" s="208"/>
    </row>
    <row r="118" spans="1:43" x14ac:dyDescent="0.25">
      <c r="A118" s="208"/>
      <c r="B118" s="208"/>
      <c r="C118" s="208"/>
      <c r="D118" s="208"/>
      <c r="E118" s="208"/>
      <c r="F118" s="208"/>
      <c r="G118" s="210"/>
      <c r="H118" s="211"/>
      <c r="I118" s="211"/>
      <c r="J118" s="211"/>
      <c r="K118" s="211"/>
      <c r="L118" s="211"/>
      <c r="M118" s="212"/>
      <c r="N118" s="213"/>
      <c r="O118" s="214"/>
      <c r="P118" s="214"/>
      <c r="Q118" s="210"/>
      <c r="R118" s="211"/>
      <c r="S118" s="215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13"/>
      <c r="AD118" s="213"/>
      <c r="AE118" s="211"/>
      <c r="AF118" s="213"/>
      <c r="AG118" s="211"/>
      <c r="AH118" s="211"/>
      <c r="AI118" s="211"/>
      <c r="AJ118" s="214"/>
      <c r="AK118" s="208"/>
      <c r="AL118" s="211"/>
      <c r="AM118" s="211"/>
      <c r="AN118" s="211"/>
      <c r="AO118" s="208"/>
      <c r="AP118" s="208"/>
      <c r="AQ118" s="208"/>
    </row>
    <row r="119" spans="1:43" x14ac:dyDescent="0.25">
      <c r="A119" s="208"/>
      <c r="B119" s="208"/>
      <c r="C119" s="208"/>
      <c r="D119" s="208"/>
      <c r="E119" s="208"/>
      <c r="F119" s="208"/>
      <c r="G119" s="210"/>
      <c r="H119" s="211"/>
      <c r="I119" s="211"/>
      <c r="J119" s="211"/>
      <c r="K119" s="211"/>
      <c r="L119" s="211"/>
      <c r="M119" s="212"/>
      <c r="N119" s="213"/>
      <c r="O119" s="214"/>
      <c r="P119" s="214"/>
      <c r="Q119" s="210"/>
      <c r="R119" s="211"/>
      <c r="S119" s="215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13"/>
      <c r="AD119" s="213"/>
      <c r="AE119" s="211"/>
      <c r="AF119" s="213"/>
      <c r="AG119" s="211"/>
      <c r="AH119" s="211"/>
      <c r="AI119" s="211"/>
      <c r="AJ119" s="214"/>
      <c r="AK119" s="208"/>
      <c r="AL119" s="211"/>
      <c r="AM119" s="211"/>
      <c r="AN119" s="211"/>
      <c r="AO119" s="208"/>
      <c r="AP119" s="208"/>
      <c r="AQ119" s="208"/>
    </row>
    <row r="120" spans="1:43" x14ac:dyDescent="0.25">
      <c r="A120" s="208"/>
      <c r="B120" s="208"/>
      <c r="C120" s="208"/>
      <c r="D120" s="208"/>
      <c r="E120" s="208"/>
      <c r="F120" s="208"/>
      <c r="G120" s="210"/>
      <c r="H120" s="211"/>
      <c r="I120" s="211"/>
      <c r="J120" s="211"/>
      <c r="K120" s="211"/>
      <c r="L120" s="211"/>
      <c r="M120" s="212"/>
      <c r="N120" s="213"/>
      <c r="O120" s="214"/>
      <c r="P120" s="214"/>
      <c r="Q120" s="210"/>
      <c r="R120" s="211"/>
      <c r="S120" s="215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13"/>
      <c r="AD120" s="213"/>
      <c r="AE120" s="211"/>
      <c r="AF120" s="213"/>
      <c r="AG120" s="211"/>
      <c r="AH120" s="211"/>
      <c r="AI120" s="211"/>
      <c r="AJ120" s="214"/>
      <c r="AK120" s="208"/>
      <c r="AL120" s="211"/>
      <c r="AM120" s="211"/>
      <c r="AN120" s="211"/>
      <c r="AO120" s="208"/>
      <c r="AP120" s="208"/>
      <c r="AQ120" s="208"/>
    </row>
    <row r="121" spans="1:43" x14ac:dyDescent="0.25">
      <c r="A121" s="208"/>
      <c r="B121" s="208"/>
      <c r="C121" s="208"/>
      <c r="D121" s="208"/>
      <c r="E121" s="208"/>
      <c r="F121" s="208"/>
      <c r="G121" s="210"/>
      <c r="H121" s="211"/>
      <c r="I121" s="211"/>
      <c r="J121" s="211"/>
      <c r="K121" s="211"/>
      <c r="L121" s="211"/>
      <c r="M121" s="212"/>
      <c r="N121" s="213"/>
      <c r="O121" s="214"/>
      <c r="P121" s="214"/>
      <c r="Q121" s="210"/>
      <c r="R121" s="211"/>
      <c r="S121" s="215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13"/>
      <c r="AD121" s="213"/>
      <c r="AE121" s="211"/>
      <c r="AF121" s="213"/>
      <c r="AG121" s="211"/>
      <c r="AH121" s="211"/>
      <c r="AI121" s="211"/>
      <c r="AJ121" s="214"/>
      <c r="AK121" s="208"/>
      <c r="AL121" s="211"/>
      <c r="AM121" s="211"/>
      <c r="AN121" s="211"/>
      <c r="AO121" s="208"/>
      <c r="AP121" s="208"/>
      <c r="AQ121" s="208"/>
    </row>
    <row r="122" spans="1:43" x14ac:dyDescent="0.25">
      <c r="A122" s="208"/>
      <c r="B122" s="208"/>
      <c r="C122" s="208"/>
      <c r="D122" s="208"/>
      <c r="E122" s="208"/>
      <c r="F122" s="208"/>
      <c r="G122" s="210"/>
      <c r="H122" s="211"/>
      <c r="I122" s="211"/>
      <c r="J122" s="211"/>
      <c r="K122" s="211"/>
      <c r="L122" s="211"/>
      <c r="M122" s="212"/>
      <c r="N122" s="213"/>
      <c r="O122" s="214"/>
      <c r="P122" s="214"/>
      <c r="Q122" s="210"/>
      <c r="R122" s="211"/>
      <c r="S122" s="215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13"/>
      <c r="AD122" s="213"/>
      <c r="AE122" s="211"/>
      <c r="AF122" s="213"/>
      <c r="AG122" s="211"/>
      <c r="AH122" s="211"/>
      <c r="AI122" s="211"/>
      <c r="AJ122" s="214"/>
      <c r="AK122" s="208"/>
      <c r="AL122" s="211"/>
      <c r="AM122" s="211"/>
      <c r="AN122" s="211"/>
      <c r="AO122" s="208"/>
      <c r="AP122" s="208"/>
      <c r="AQ122" s="208"/>
    </row>
    <row r="123" spans="1:43" x14ac:dyDescent="0.25">
      <c r="A123" s="208"/>
      <c r="B123" s="208"/>
      <c r="C123" s="208"/>
      <c r="D123" s="208"/>
      <c r="E123" s="208"/>
      <c r="F123" s="208"/>
      <c r="G123" s="210"/>
      <c r="H123" s="211"/>
      <c r="I123" s="211"/>
      <c r="J123" s="211"/>
      <c r="K123" s="211"/>
      <c r="L123" s="211"/>
      <c r="M123" s="212"/>
      <c r="N123" s="213"/>
      <c r="O123" s="214"/>
      <c r="P123" s="214"/>
      <c r="Q123" s="210"/>
      <c r="R123" s="211"/>
      <c r="S123" s="215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13"/>
      <c r="AD123" s="213"/>
      <c r="AE123" s="211"/>
      <c r="AF123" s="213"/>
      <c r="AG123" s="211"/>
      <c r="AH123" s="211"/>
      <c r="AI123" s="211"/>
      <c r="AJ123" s="214"/>
      <c r="AK123" s="208"/>
      <c r="AL123" s="211"/>
      <c r="AM123" s="211"/>
      <c r="AN123" s="211"/>
      <c r="AO123" s="208"/>
      <c r="AP123" s="208"/>
      <c r="AQ123" s="208"/>
    </row>
    <row r="124" spans="1:43" x14ac:dyDescent="0.25">
      <c r="A124" s="208"/>
      <c r="B124" s="208"/>
      <c r="C124" s="208"/>
      <c r="D124" s="208"/>
      <c r="E124" s="208"/>
      <c r="F124" s="208"/>
      <c r="G124" s="210"/>
      <c r="H124" s="211"/>
      <c r="I124" s="211"/>
      <c r="J124" s="211"/>
      <c r="K124" s="211"/>
      <c r="L124" s="211"/>
      <c r="M124" s="212"/>
      <c r="N124" s="213"/>
      <c r="O124" s="214"/>
      <c r="P124" s="214"/>
      <c r="Q124" s="210"/>
      <c r="R124" s="211"/>
      <c r="S124" s="215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13"/>
      <c r="AD124" s="213"/>
      <c r="AE124" s="211"/>
      <c r="AF124" s="213"/>
      <c r="AG124" s="211"/>
      <c r="AH124" s="211"/>
      <c r="AI124" s="211"/>
      <c r="AJ124" s="214"/>
      <c r="AK124" s="208"/>
      <c r="AL124" s="211"/>
      <c r="AM124" s="211"/>
      <c r="AN124" s="211"/>
      <c r="AO124" s="208"/>
      <c r="AP124" s="208"/>
      <c r="AQ124" s="208"/>
    </row>
    <row r="125" spans="1:43" x14ac:dyDescent="0.25">
      <c r="A125" s="208"/>
      <c r="B125" s="208"/>
      <c r="C125" s="208"/>
      <c r="D125" s="208"/>
      <c r="E125" s="208"/>
      <c r="F125" s="208"/>
      <c r="G125" s="210"/>
      <c r="H125" s="211"/>
      <c r="I125" s="211"/>
      <c r="J125" s="211"/>
      <c r="K125" s="211"/>
      <c r="L125" s="211"/>
      <c r="M125" s="212"/>
      <c r="N125" s="213"/>
      <c r="O125" s="214"/>
      <c r="P125" s="214"/>
      <c r="Q125" s="210"/>
      <c r="R125" s="211"/>
      <c r="S125" s="215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13"/>
      <c r="AD125" s="213"/>
      <c r="AE125" s="211"/>
      <c r="AF125" s="213"/>
      <c r="AG125" s="211"/>
      <c r="AH125" s="211"/>
      <c r="AI125" s="211"/>
      <c r="AJ125" s="214"/>
      <c r="AK125" s="208"/>
      <c r="AL125" s="211"/>
      <c r="AM125" s="211"/>
      <c r="AN125" s="211"/>
      <c r="AO125" s="208"/>
      <c r="AP125" s="208"/>
      <c r="AQ125" s="208"/>
    </row>
    <row r="126" spans="1:43" x14ac:dyDescent="0.25">
      <c r="A126" s="208"/>
      <c r="B126" s="208"/>
      <c r="C126" s="208"/>
      <c r="D126" s="208"/>
      <c r="E126" s="208"/>
      <c r="F126" s="208"/>
      <c r="G126" s="210"/>
      <c r="H126" s="211"/>
      <c r="I126" s="211"/>
      <c r="J126" s="211"/>
      <c r="K126" s="211"/>
      <c r="L126" s="211"/>
      <c r="M126" s="212"/>
      <c r="N126" s="213"/>
      <c r="O126" s="214"/>
      <c r="P126" s="214"/>
      <c r="Q126" s="210"/>
      <c r="R126" s="211"/>
      <c r="S126" s="215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13"/>
      <c r="AD126" s="213"/>
      <c r="AE126" s="211"/>
      <c r="AF126" s="213"/>
      <c r="AG126" s="211"/>
      <c r="AH126" s="211"/>
      <c r="AI126" s="211"/>
      <c r="AJ126" s="214"/>
      <c r="AK126" s="208"/>
      <c r="AL126" s="211"/>
      <c r="AM126" s="211"/>
      <c r="AN126" s="211"/>
      <c r="AO126" s="208"/>
      <c r="AP126" s="208"/>
      <c r="AQ126" s="208"/>
    </row>
    <row r="127" spans="1:43" x14ac:dyDescent="0.25">
      <c r="A127" s="208"/>
      <c r="B127" s="208"/>
      <c r="C127" s="208"/>
      <c r="D127" s="208"/>
      <c r="E127" s="208"/>
      <c r="F127" s="208"/>
      <c r="G127" s="210"/>
      <c r="H127" s="211"/>
      <c r="I127" s="211"/>
      <c r="J127" s="211"/>
      <c r="K127" s="211"/>
      <c r="L127" s="211"/>
      <c r="M127" s="212"/>
      <c r="N127" s="213"/>
      <c r="O127" s="214"/>
      <c r="P127" s="214"/>
      <c r="Q127" s="210"/>
      <c r="R127" s="211"/>
      <c r="S127" s="215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13"/>
      <c r="AD127" s="213"/>
      <c r="AE127" s="211"/>
      <c r="AF127" s="213"/>
      <c r="AG127" s="211"/>
      <c r="AH127" s="211"/>
      <c r="AI127" s="211"/>
      <c r="AJ127" s="214"/>
      <c r="AK127" s="208"/>
      <c r="AL127" s="211"/>
      <c r="AM127" s="211"/>
      <c r="AN127" s="211"/>
      <c r="AO127" s="208"/>
      <c r="AP127" s="208"/>
      <c r="AQ127" s="208"/>
    </row>
    <row r="128" spans="1:43" x14ac:dyDescent="0.25">
      <c r="A128" s="208"/>
      <c r="B128" s="208"/>
      <c r="C128" s="208"/>
      <c r="D128" s="208"/>
      <c r="E128" s="208"/>
      <c r="F128" s="208"/>
      <c r="G128" s="210"/>
      <c r="H128" s="211"/>
      <c r="I128" s="211"/>
      <c r="J128" s="211"/>
      <c r="K128" s="211"/>
      <c r="L128" s="211"/>
      <c r="M128" s="212"/>
      <c r="N128" s="213"/>
      <c r="O128" s="214"/>
      <c r="P128" s="214"/>
      <c r="Q128" s="210"/>
      <c r="R128" s="211"/>
      <c r="S128" s="215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13"/>
      <c r="AD128" s="213"/>
      <c r="AE128" s="211"/>
      <c r="AF128" s="213"/>
      <c r="AG128" s="211"/>
      <c r="AH128" s="211"/>
      <c r="AI128" s="211"/>
      <c r="AJ128" s="214"/>
      <c r="AK128" s="208"/>
      <c r="AL128" s="211"/>
      <c r="AM128" s="211"/>
      <c r="AN128" s="211"/>
      <c r="AO128" s="208"/>
      <c r="AP128" s="208"/>
      <c r="AQ128" s="208"/>
    </row>
    <row r="129" spans="1:43" x14ac:dyDescent="0.25">
      <c r="A129" s="208"/>
      <c r="B129" s="208"/>
      <c r="C129" s="208"/>
      <c r="D129" s="208"/>
      <c r="E129" s="208"/>
      <c r="F129" s="208"/>
      <c r="G129" s="210"/>
      <c r="H129" s="211"/>
      <c r="I129" s="211"/>
      <c r="J129" s="211"/>
      <c r="K129" s="211"/>
      <c r="L129" s="211"/>
      <c r="M129" s="212"/>
      <c r="N129" s="213"/>
      <c r="O129" s="214"/>
      <c r="P129" s="214"/>
      <c r="Q129" s="210"/>
      <c r="R129" s="211"/>
      <c r="S129" s="215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13"/>
      <c r="AD129" s="213"/>
      <c r="AE129" s="211"/>
      <c r="AF129" s="213"/>
      <c r="AG129" s="211"/>
      <c r="AH129" s="211"/>
      <c r="AI129" s="211"/>
      <c r="AJ129" s="214"/>
      <c r="AK129" s="208"/>
      <c r="AL129" s="211"/>
      <c r="AM129" s="211"/>
      <c r="AN129" s="211"/>
      <c r="AO129" s="208"/>
      <c r="AP129" s="208"/>
      <c r="AQ129" s="208"/>
    </row>
    <row r="130" spans="1:43" x14ac:dyDescent="0.25">
      <c r="A130" s="208"/>
      <c r="B130" s="208"/>
      <c r="C130" s="208"/>
      <c r="D130" s="208"/>
      <c r="E130" s="208"/>
      <c r="F130" s="208"/>
      <c r="G130" s="210"/>
      <c r="H130" s="211"/>
      <c r="I130" s="211"/>
      <c r="J130" s="211"/>
      <c r="K130" s="211"/>
      <c r="L130" s="211"/>
      <c r="M130" s="212"/>
      <c r="N130" s="213"/>
      <c r="O130" s="214"/>
      <c r="P130" s="214"/>
      <c r="Q130" s="210"/>
      <c r="R130" s="211"/>
      <c r="S130" s="215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13"/>
      <c r="AD130" s="213"/>
      <c r="AE130" s="211"/>
      <c r="AF130" s="213"/>
      <c r="AG130" s="211"/>
      <c r="AH130" s="211"/>
      <c r="AI130" s="211"/>
      <c r="AJ130" s="214"/>
      <c r="AK130" s="208"/>
      <c r="AL130" s="211"/>
      <c r="AM130" s="211"/>
      <c r="AN130" s="211"/>
      <c r="AO130" s="208"/>
      <c r="AP130" s="208"/>
      <c r="AQ130" s="208"/>
    </row>
    <row r="131" spans="1:43" x14ac:dyDescent="0.25">
      <c r="A131" s="208"/>
      <c r="B131" s="208"/>
      <c r="C131" s="208"/>
      <c r="D131" s="208"/>
      <c r="E131" s="208"/>
      <c r="F131" s="208"/>
      <c r="G131" s="210"/>
      <c r="H131" s="211"/>
      <c r="I131" s="211"/>
      <c r="J131" s="211"/>
      <c r="K131" s="211"/>
      <c r="L131" s="211"/>
      <c r="M131" s="212"/>
      <c r="N131" s="213"/>
      <c r="O131" s="214"/>
      <c r="P131" s="214"/>
      <c r="Q131" s="210"/>
      <c r="R131" s="211"/>
      <c r="S131" s="215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13"/>
      <c r="AD131" s="213"/>
      <c r="AE131" s="211"/>
      <c r="AF131" s="213"/>
      <c r="AG131" s="211"/>
      <c r="AH131" s="211"/>
      <c r="AI131" s="211"/>
      <c r="AJ131" s="214"/>
      <c r="AK131" s="208"/>
      <c r="AL131" s="211"/>
      <c r="AM131" s="211"/>
      <c r="AN131" s="211"/>
      <c r="AO131" s="208"/>
      <c r="AP131" s="208"/>
      <c r="AQ131" s="208"/>
    </row>
    <row r="132" spans="1:43" x14ac:dyDescent="0.25">
      <c r="A132" s="208"/>
      <c r="B132" s="208"/>
      <c r="C132" s="208"/>
      <c r="D132" s="208"/>
      <c r="E132" s="208"/>
      <c r="F132" s="208"/>
      <c r="G132" s="210"/>
      <c r="H132" s="211"/>
      <c r="I132" s="211"/>
      <c r="J132" s="211"/>
      <c r="K132" s="211"/>
      <c r="L132" s="211"/>
      <c r="M132" s="212"/>
      <c r="N132" s="213"/>
      <c r="O132" s="214"/>
      <c r="P132" s="214"/>
      <c r="Q132" s="210"/>
      <c r="R132" s="211"/>
      <c r="S132" s="215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13"/>
      <c r="AD132" s="213"/>
      <c r="AE132" s="211"/>
      <c r="AF132" s="213"/>
      <c r="AG132" s="211"/>
      <c r="AH132" s="211"/>
      <c r="AI132" s="211"/>
      <c r="AJ132" s="214"/>
      <c r="AK132" s="208"/>
      <c r="AL132" s="211"/>
      <c r="AM132" s="211"/>
      <c r="AN132" s="211"/>
      <c r="AO132" s="208"/>
      <c r="AP132" s="208"/>
      <c r="AQ132" s="208"/>
    </row>
    <row r="133" spans="1:43" x14ac:dyDescent="0.25">
      <c r="A133" s="208"/>
      <c r="B133" s="208"/>
      <c r="C133" s="208"/>
      <c r="D133" s="208"/>
      <c r="E133" s="208"/>
      <c r="F133" s="208"/>
      <c r="G133" s="210"/>
      <c r="H133" s="211"/>
      <c r="I133" s="211"/>
      <c r="J133" s="211"/>
      <c r="K133" s="211"/>
      <c r="L133" s="211"/>
      <c r="M133" s="212"/>
      <c r="N133" s="213"/>
      <c r="O133" s="214"/>
      <c r="P133" s="214"/>
      <c r="Q133" s="210"/>
      <c r="R133" s="211"/>
      <c r="S133" s="215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13"/>
      <c r="AD133" s="213"/>
      <c r="AE133" s="211"/>
      <c r="AF133" s="213"/>
      <c r="AG133" s="211"/>
      <c r="AH133" s="211"/>
      <c r="AI133" s="211"/>
      <c r="AJ133" s="214"/>
      <c r="AK133" s="208"/>
      <c r="AL133" s="211"/>
      <c r="AM133" s="211"/>
      <c r="AN133" s="211"/>
      <c r="AO133" s="208"/>
      <c r="AP133" s="208"/>
      <c r="AQ133" s="208"/>
    </row>
    <row r="134" spans="1:43" x14ac:dyDescent="0.25">
      <c r="A134" s="208"/>
      <c r="B134" s="208"/>
      <c r="C134" s="208"/>
      <c r="D134" s="208"/>
      <c r="E134" s="208"/>
      <c r="F134" s="208"/>
      <c r="G134" s="210"/>
      <c r="H134" s="211"/>
      <c r="I134" s="211"/>
      <c r="J134" s="211"/>
      <c r="K134" s="211"/>
      <c r="L134" s="211"/>
      <c r="M134" s="212"/>
      <c r="N134" s="213"/>
      <c r="O134" s="214"/>
      <c r="P134" s="214"/>
      <c r="Q134" s="210"/>
      <c r="R134" s="211"/>
      <c r="S134" s="215"/>
      <c r="T134" s="208"/>
      <c r="U134" s="208"/>
      <c r="V134" s="208"/>
      <c r="W134" s="208"/>
      <c r="X134" s="208"/>
      <c r="Y134" s="208"/>
      <c r="Z134" s="208"/>
      <c r="AA134" s="208"/>
      <c r="AB134" s="208"/>
      <c r="AC134" s="213"/>
      <c r="AD134" s="213"/>
      <c r="AE134" s="211"/>
      <c r="AF134" s="213"/>
      <c r="AG134" s="211"/>
      <c r="AH134" s="211"/>
      <c r="AI134" s="211"/>
      <c r="AJ134" s="214"/>
      <c r="AK134" s="208"/>
      <c r="AL134" s="211"/>
      <c r="AM134" s="211"/>
      <c r="AN134" s="211"/>
      <c r="AO134" s="208"/>
      <c r="AP134" s="208"/>
      <c r="AQ134" s="208"/>
    </row>
    <row r="135" spans="1:43" x14ac:dyDescent="0.25">
      <c r="A135" s="208"/>
      <c r="B135" s="208"/>
      <c r="C135" s="208"/>
      <c r="D135" s="208"/>
      <c r="E135" s="208"/>
      <c r="F135" s="208"/>
      <c r="G135" s="210"/>
      <c r="H135" s="211"/>
      <c r="I135" s="211"/>
      <c r="J135" s="211"/>
      <c r="K135" s="211"/>
      <c r="L135" s="211"/>
      <c r="M135" s="212"/>
      <c r="N135" s="213"/>
      <c r="O135" s="214"/>
      <c r="P135" s="214"/>
      <c r="Q135" s="210"/>
      <c r="R135" s="211"/>
      <c r="S135" s="215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13"/>
      <c r="AD135" s="213"/>
      <c r="AE135" s="211"/>
      <c r="AF135" s="213"/>
      <c r="AG135" s="211"/>
      <c r="AH135" s="211"/>
      <c r="AI135" s="211"/>
      <c r="AJ135" s="214"/>
      <c r="AK135" s="208"/>
      <c r="AL135" s="211"/>
      <c r="AM135" s="211"/>
      <c r="AN135" s="211"/>
      <c r="AO135" s="208"/>
      <c r="AP135" s="208"/>
      <c r="AQ135" s="208"/>
    </row>
    <row r="136" spans="1:43" x14ac:dyDescent="0.25">
      <c r="A136" s="208"/>
      <c r="B136" s="208"/>
      <c r="C136" s="208"/>
      <c r="D136" s="208"/>
      <c r="E136" s="208"/>
      <c r="F136" s="208"/>
      <c r="G136" s="210"/>
      <c r="H136" s="211"/>
      <c r="I136" s="211"/>
      <c r="J136" s="211"/>
      <c r="K136" s="211"/>
      <c r="L136" s="211"/>
      <c r="M136" s="212"/>
      <c r="N136" s="213"/>
      <c r="O136" s="214"/>
      <c r="P136" s="214"/>
      <c r="Q136" s="210"/>
      <c r="R136" s="211"/>
      <c r="S136" s="215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13"/>
      <c r="AD136" s="213"/>
      <c r="AE136" s="211"/>
      <c r="AF136" s="213"/>
      <c r="AG136" s="211"/>
      <c r="AH136" s="211"/>
      <c r="AI136" s="211"/>
      <c r="AJ136" s="214"/>
      <c r="AK136" s="208"/>
      <c r="AL136" s="211"/>
      <c r="AM136" s="211"/>
      <c r="AN136" s="211"/>
      <c r="AO136" s="208"/>
      <c r="AP136" s="208"/>
      <c r="AQ136" s="208"/>
    </row>
    <row r="137" spans="1:43" x14ac:dyDescent="0.25">
      <c r="A137" s="208"/>
      <c r="B137" s="208"/>
      <c r="C137" s="208"/>
      <c r="D137" s="208"/>
      <c r="E137" s="208"/>
      <c r="F137" s="208"/>
      <c r="G137" s="210"/>
      <c r="H137" s="211"/>
      <c r="I137" s="211"/>
      <c r="J137" s="211"/>
      <c r="K137" s="211"/>
      <c r="L137" s="211"/>
      <c r="M137" s="212"/>
      <c r="N137" s="213"/>
      <c r="O137" s="214"/>
      <c r="P137" s="214"/>
      <c r="Q137" s="210"/>
      <c r="R137" s="211"/>
      <c r="S137" s="215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13"/>
      <c r="AD137" s="213"/>
      <c r="AE137" s="211"/>
      <c r="AF137" s="213"/>
      <c r="AG137" s="211"/>
      <c r="AH137" s="211"/>
      <c r="AI137" s="211"/>
      <c r="AJ137" s="214"/>
      <c r="AK137" s="208"/>
      <c r="AL137" s="211"/>
      <c r="AM137" s="211"/>
      <c r="AN137" s="211"/>
      <c r="AO137" s="208"/>
      <c r="AP137" s="208"/>
      <c r="AQ137" s="208"/>
    </row>
    <row r="138" spans="1:43" x14ac:dyDescent="0.25">
      <c r="A138" s="208"/>
      <c r="B138" s="208"/>
      <c r="C138" s="208"/>
      <c r="D138" s="208"/>
      <c r="E138" s="208"/>
      <c r="F138" s="208"/>
      <c r="G138" s="210"/>
      <c r="H138" s="211"/>
      <c r="I138" s="211"/>
      <c r="J138" s="211"/>
      <c r="K138" s="211"/>
      <c r="L138" s="211"/>
      <c r="M138" s="212"/>
      <c r="N138" s="213"/>
      <c r="O138" s="214"/>
      <c r="P138" s="214"/>
      <c r="Q138" s="210"/>
      <c r="R138" s="211"/>
      <c r="S138" s="215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13"/>
      <c r="AD138" s="213"/>
      <c r="AE138" s="211"/>
      <c r="AF138" s="213"/>
      <c r="AG138" s="211"/>
      <c r="AH138" s="211"/>
      <c r="AI138" s="211"/>
      <c r="AJ138" s="214"/>
      <c r="AK138" s="208"/>
      <c r="AL138" s="211"/>
      <c r="AM138" s="211"/>
      <c r="AN138" s="211"/>
      <c r="AO138" s="208"/>
      <c r="AP138" s="208"/>
      <c r="AQ138" s="208"/>
    </row>
    <row r="139" spans="1:43" x14ac:dyDescent="0.25">
      <c r="A139" s="208"/>
      <c r="B139" s="208"/>
      <c r="C139" s="208"/>
      <c r="D139" s="208"/>
      <c r="E139" s="208"/>
      <c r="F139" s="208"/>
      <c r="G139" s="210"/>
      <c r="H139" s="211"/>
      <c r="I139" s="211"/>
      <c r="J139" s="211"/>
      <c r="K139" s="211"/>
      <c r="L139" s="211"/>
      <c r="M139" s="212"/>
      <c r="N139" s="213"/>
      <c r="O139" s="214"/>
      <c r="P139" s="214"/>
      <c r="Q139" s="210"/>
      <c r="R139" s="211"/>
      <c r="S139" s="215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13"/>
      <c r="AD139" s="213"/>
      <c r="AE139" s="211"/>
      <c r="AF139" s="213"/>
      <c r="AG139" s="211"/>
      <c r="AH139" s="211"/>
      <c r="AI139" s="211"/>
      <c r="AJ139" s="214"/>
      <c r="AK139" s="208"/>
      <c r="AL139" s="211"/>
      <c r="AM139" s="211"/>
      <c r="AN139" s="211"/>
      <c r="AO139" s="208"/>
      <c r="AP139" s="208"/>
      <c r="AQ139" s="208"/>
    </row>
    <row r="140" spans="1:43" x14ac:dyDescent="0.25">
      <c r="A140" s="208"/>
      <c r="B140" s="208"/>
      <c r="C140" s="208"/>
      <c r="D140" s="208"/>
      <c r="E140" s="208"/>
      <c r="F140" s="208"/>
      <c r="G140" s="210"/>
      <c r="H140" s="211"/>
      <c r="I140" s="211"/>
      <c r="J140" s="211"/>
      <c r="K140" s="211"/>
      <c r="L140" s="211"/>
      <c r="M140" s="212"/>
      <c r="N140" s="213"/>
      <c r="O140" s="214"/>
      <c r="P140" s="214"/>
      <c r="Q140" s="210"/>
      <c r="R140" s="211"/>
      <c r="S140" s="215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13"/>
      <c r="AD140" s="213"/>
      <c r="AE140" s="211"/>
      <c r="AF140" s="213"/>
      <c r="AG140" s="211"/>
      <c r="AH140" s="211"/>
      <c r="AI140" s="211"/>
      <c r="AJ140" s="214"/>
      <c r="AK140" s="208"/>
      <c r="AL140" s="211"/>
      <c r="AM140" s="211"/>
      <c r="AN140" s="211"/>
      <c r="AO140" s="208"/>
      <c r="AP140" s="208"/>
      <c r="AQ140" s="208"/>
    </row>
    <row r="141" spans="1:43" x14ac:dyDescent="0.25">
      <c r="A141" s="208"/>
      <c r="B141" s="208"/>
      <c r="C141" s="208"/>
      <c r="D141" s="208"/>
      <c r="E141" s="208"/>
      <c r="F141" s="208"/>
      <c r="G141" s="210"/>
      <c r="H141" s="211"/>
      <c r="I141" s="211"/>
      <c r="J141" s="211"/>
      <c r="K141" s="211"/>
      <c r="L141" s="211"/>
      <c r="M141" s="212"/>
      <c r="N141" s="213"/>
      <c r="O141" s="214"/>
      <c r="P141" s="214"/>
      <c r="Q141" s="210"/>
      <c r="R141" s="211"/>
      <c r="S141" s="215"/>
      <c r="T141" s="208"/>
      <c r="U141" s="208"/>
      <c r="V141" s="208"/>
      <c r="W141" s="208"/>
      <c r="X141" s="208"/>
      <c r="Y141" s="208"/>
      <c r="Z141" s="208"/>
      <c r="AA141" s="208"/>
      <c r="AB141" s="208"/>
      <c r="AC141" s="213"/>
      <c r="AD141" s="213"/>
      <c r="AE141" s="211"/>
      <c r="AF141" s="213"/>
      <c r="AG141" s="211"/>
      <c r="AH141" s="211"/>
      <c r="AI141" s="211"/>
      <c r="AJ141" s="214"/>
      <c r="AK141" s="208"/>
      <c r="AL141" s="211"/>
      <c r="AM141" s="211"/>
      <c r="AN141" s="211"/>
      <c r="AO141" s="208"/>
      <c r="AP141" s="208"/>
      <c r="AQ141" s="208"/>
    </row>
    <row r="142" spans="1:43" x14ac:dyDescent="0.25">
      <c r="A142" s="208"/>
      <c r="B142" s="208"/>
      <c r="C142" s="208"/>
      <c r="D142" s="208"/>
      <c r="E142" s="208"/>
      <c r="F142" s="208"/>
      <c r="G142" s="210"/>
      <c r="H142" s="211"/>
      <c r="I142" s="211"/>
      <c r="J142" s="211"/>
      <c r="K142" s="211"/>
      <c r="L142" s="211"/>
      <c r="M142" s="212"/>
      <c r="N142" s="213"/>
      <c r="O142" s="214"/>
      <c r="P142" s="214"/>
      <c r="Q142" s="210"/>
      <c r="R142" s="211"/>
      <c r="S142" s="215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13"/>
      <c r="AD142" s="213"/>
      <c r="AE142" s="211"/>
      <c r="AF142" s="213"/>
      <c r="AG142" s="211"/>
      <c r="AH142" s="211"/>
      <c r="AI142" s="211"/>
      <c r="AJ142" s="214"/>
      <c r="AK142" s="208"/>
      <c r="AL142" s="211"/>
      <c r="AM142" s="211"/>
      <c r="AN142" s="211"/>
      <c r="AO142" s="208"/>
      <c r="AP142" s="208"/>
      <c r="AQ142" s="208"/>
    </row>
    <row r="143" spans="1:43" x14ac:dyDescent="0.25">
      <c r="A143" s="208"/>
      <c r="B143" s="208"/>
      <c r="C143" s="208"/>
      <c r="D143" s="208"/>
      <c r="E143" s="208"/>
      <c r="F143" s="208"/>
      <c r="G143" s="210"/>
      <c r="H143" s="211"/>
      <c r="I143" s="211"/>
      <c r="J143" s="211"/>
      <c r="K143" s="211"/>
      <c r="L143" s="211"/>
      <c r="M143" s="212"/>
      <c r="N143" s="213"/>
      <c r="O143" s="214"/>
      <c r="P143" s="214"/>
      <c r="Q143" s="210"/>
      <c r="R143" s="211"/>
      <c r="S143" s="215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13"/>
      <c r="AD143" s="213"/>
      <c r="AE143" s="211"/>
      <c r="AF143" s="213"/>
      <c r="AG143" s="211"/>
      <c r="AH143" s="211"/>
      <c r="AI143" s="211"/>
      <c r="AJ143" s="214"/>
      <c r="AK143" s="208"/>
      <c r="AL143" s="211"/>
      <c r="AM143" s="211"/>
      <c r="AN143" s="211"/>
      <c r="AO143" s="208"/>
      <c r="AP143" s="208"/>
      <c r="AQ143" s="208"/>
    </row>
    <row r="144" spans="1:43" x14ac:dyDescent="0.25">
      <c r="A144" s="208"/>
      <c r="B144" s="208"/>
      <c r="C144" s="208"/>
      <c r="D144" s="208"/>
      <c r="E144" s="208"/>
      <c r="F144" s="208"/>
      <c r="G144" s="210"/>
      <c r="H144" s="211"/>
      <c r="I144" s="211"/>
      <c r="J144" s="211"/>
      <c r="K144" s="211"/>
      <c r="L144" s="211"/>
      <c r="M144" s="212"/>
      <c r="N144" s="213"/>
      <c r="O144" s="214"/>
      <c r="P144" s="214"/>
      <c r="Q144" s="210"/>
      <c r="R144" s="211"/>
      <c r="S144" s="215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13"/>
      <c r="AD144" s="213"/>
      <c r="AE144" s="211"/>
      <c r="AF144" s="213"/>
      <c r="AG144" s="211"/>
      <c r="AH144" s="211"/>
      <c r="AI144" s="211"/>
      <c r="AJ144" s="214"/>
      <c r="AK144" s="208"/>
      <c r="AL144" s="211"/>
      <c r="AM144" s="211"/>
      <c r="AN144" s="211"/>
      <c r="AO144" s="208"/>
      <c r="AP144" s="208"/>
      <c r="AQ144" s="208"/>
    </row>
    <row r="145" spans="1:43" x14ac:dyDescent="0.25">
      <c r="A145" s="208"/>
      <c r="B145" s="208"/>
      <c r="C145" s="208"/>
      <c r="D145" s="208"/>
      <c r="E145" s="208"/>
      <c r="F145" s="208"/>
      <c r="G145" s="210"/>
      <c r="H145" s="211"/>
      <c r="I145" s="211"/>
      <c r="J145" s="211"/>
      <c r="K145" s="211"/>
      <c r="L145" s="211"/>
      <c r="M145" s="212"/>
      <c r="N145" s="213"/>
      <c r="O145" s="214"/>
      <c r="P145" s="214"/>
      <c r="Q145" s="210"/>
      <c r="R145" s="211"/>
      <c r="S145" s="215"/>
      <c r="T145" s="208"/>
      <c r="U145" s="208"/>
      <c r="V145" s="208"/>
      <c r="W145" s="208"/>
      <c r="X145" s="208"/>
      <c r="Y145" s="208"/>
      <c r="Z145" s="208"/>
      <c r="AA145" s="208"/>
      <c r="AB145" s="208"/>
      <c r="AC145" s="213"/>
      <c r="AD145" s="213"/>
      <c r="AE145" s="211"/>
      <c r="AF145" s="213"/>
      <c r="AG145" s="211"/>
      <c r="AH145" s="211"/>
      <c r="AI145" s="211"/>
      <c r="AJ145" s="214"/>
      <c r="AK145" s="208"/>
      <c r="AL145" s="211"/>
      <c r="AM145" s="211"/>
      <c r="AN145" s="211"/>
      <c r="AO145" s="208"/>
      <c r="AP145" s="208"/>
      <c r="AQ145" s="208"/>
    </row>
    <row r="146" spans="1:43" x14ac:dyDescent="0.25">
      <c r="A146" s="208"/>
      <c r="B146" s="208"/>
      <c r="C146" s="208"/>
      <c r="D146" s="208"/>
      <c r="E146" s="208"/>
      <c r="F146" s="208"/>
      <c r="G146" s="210"/>
      <c r="H146" s="211"/>
      <c r="I146" s="211"/>
      <c r="J146" s="211"/>
      <c r="K146" s="211"/>
      <c r="L146" s="211"/>
      <c r="M146" s="212"/>
      <c r="N146" s="213"/>
      <c r="O146" s="214"/>
      <c r="P146" s="214"/>
      <c r="Q146" s="210"/>
      <c r="R146" s="211"/>
      <c r="S146" s="215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13"/>
      <c r="AD146" s="213"/>
      <c r="AE146" s="211"/>
      <c r="AF146" s="213"/>
      <c r="AG146" s="211"/>
      <c r="AH146" s="211"/>
      <c r="AI146" s="211"/>
      <c r="AJ146" s="214"/>
      <c r="AK146" s="208"/>
      <c r="AL146" s="211"/>
      <c r="AM146" s="211"/>
      <c r="AN146" s="211"/>
      <c r="AO146" s="208"/>
      <c r="AP146" s="208"/>
      <c r="AQ146" s="208"/>
    </row>
    <row r="147" spans="1:43" x14ac:dyDescent="0.25">
      <c r="A147" s="208"/>
      <c r="B147" s="208"/>
      <c r="C147" s="208"/>
      <c r="D147" s="208"/>
      <c r="E147" s="208"/>
      <c r="F147" s="208"/>
      <c r="G147" s="210"/>
      <c r="H147" s="211"/>
      <c r="I147" s="211"/>
      <c r="J147" s="211"/>
      <c r="K147" s="211"/>
      <c r="L147" s="211"/>
      <c r="M147" s="212"/>
      <c r="N147" s="213"/>
      <c r="O147" s="214"/>
      <c r="P147" s="214"/>
      <c r="Q147" s="210"/>
      <c r="R147" s="211"/>
      <c r="S147" s="215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13"/>
      <c r="AD147" s="213"/>
      <c r="AE147" s="211"/>
      <c r="AF147" s="213"/>
      <c r="AG147" s="211"/>
      <c r="AH147" s="211"/>
      <c r="AI147" s="211"/>
      <c r="AJ147" s="214"/>
      <c r="AK147" s="208"/>
      <c r="AL147" s="211"/>
      <c r="AM147" s="211"/>
      <c r="AN147" s="211"/>
      <c r="AO147" s="208"/>
      <c r="AP147" s="208"/>
      <c r="AQ147" s="208"/>
    </row>
    <row r="148" spans="1:43" x14ac:dyDescent="0.25">
      <c r="A148" s="208"/>
      <c r="B148" s="208"/>
      <c r="C148" s="208"/>
      <c r="D148" s="208"/>
      <c r="E148" s="208"/>
      <c r="F148" s="208"/>
      <c r="G148" s="210"/>
      <c r="H148" s="211"/>
      <c r="I148" s="211"/>
      <c r="J148" s="211"/>
      <c r="K148" s="211"/>
      <c r="L148" s="211"/>
      <c r="M148" s="212"/>
      <c r="N148" s="213"/>
      <c r="O148" s="214"/>
      <c r="P148" s="214"/>
      <c r="Q148" s="210"/>
      <c r="R148" s="211"/>
      <c r="S148" s="215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13"/>
      <c r="AD148" s="213"/>
      <c r="AE148" s="211"/>
      <c r="AF148" s="213"/>
      <c r="AG148" s="211"/>
      <c r="AH148" s="211"/>
      <c r="AI148" s="211"/>
      <c r="AJ148" s="214"/>
      <c r="AK148" s="208"/>
      <c r="AL148" s="211"/>
      <c r="AM148" s="211"/>
      <c r="AN148" s="211"/>
      <c r="AO148" s="208"/>
      <c r="AP148" s="208"/>
      <c r="AQ148" s="208"/>
    </row>
    <row r="149" spans="1:43" x14ac:dyDescent="0.25">
      <c r="A149" s="208"/>
      <c r="B149" s="208"/>
      <c r="C149" s="208"/>
      <c r="D149" s="208"/>
      <c r="E149" s="208"/>
      <c r="F149" s="208"/>
      <c r="G149" s="210"/>
      <c r="H149" s="211"/>
      <c r="I149" s="211"/>
      <c r="J149" s="211"/>
      <c r="K149" s="211"/>
      <c r="L149" s="211"/>
      <c r="M149" s="212"/>
      <c r="N149" s="213"/>
      <c r="O149" s="214"/>
      <c r="P149" s="214"/>
      <c r="Q149" s="210"/>
      <c r="R149" s="211"/>
      <c r="S149" s="215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13"/>
      <c r="AD149" s="213"/>
      <c r="AE149" s="211"/>
      <c r="AF149" s="213"/>
      <c r="AG149" s="211"/>
      <c r="AH149" s="211"/>
      <c r="AI149" s="211"/>
      <c r="AJ149" s="214"/>
      <c r="AK149" s="208"/>
      <c r="AL149" s="211"/>
      <c r="AM149" s="211"/>
      <c r="AN149" s="211"/>
      <c r="AO149" s="208"/>
      <c r="AP149" s="208"/>
      <c r="AQ149" s="208"/>
    </row>
    <row r="150" spans="1:43" x14ac:dyDescent="0.25">
      <c r="A150" s="208"/>
      <c r="B150" s="208"/>
      <c r="C150" s="208"/>
      <c r="D150" s="208"/>
      <c r="E150" s="208"/>
      <c r="F150" s="208"/>
      <c r="G150" s="210"/>
      <c r="H150" s="211"/>
      <c r="I150" s="211"/>
      <c r="J150" s="211"/>
      <c r="K150" s="211"/>
      <c r="L150" s="211"/>
      <c r="M150" s="212"/>
      <c r="N150" s="213"/>
      <c r="O150" s="214"/>
      <c r="P150" s="214"/>
      <c r="Q150" s="210"/>
      <c r="R150" s="211"/>
      <c r="S150" s="215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13"/>
      <c r="AD150" s="213"/>
      <c r="AE150" s="211"/>
      <c r="AF150" s="213"/>
      <c r="AG150" s="211"/>
      <c r="AH150" s="211"/>
      <c r="AI150" s="211"/>
      <c r="AJ150" s="214"/>
      <c r="AK150" s="208"/>
      <c r="AL150" s="211"/>
      <c r="AM150" s="211"/>
      <c r="AN150" s="211"/>
      <c r="AO150" s="208"/>
      <c r="AP150" s="208"/>
      <c r="AQ150" s="208"/>
    </row>
    <row r="151" spans="1:43" x14ac:dyDescent="0.25">
      <c r="A151" s="208"/>
      <c r="B151" s="208"/>
      <c r="C151" s="208"/>
      <c r="D151" s="208"/>
      <c r="E151" s="208"/>
      <c r="F151" s="208"/>
      <c r="G151" s="210"/>
      <c r="H151" s="211"/>
      <c r="I151" s="211"/>
      <c r="J151" s="211"/>
      <c r="K151" s="211"/>
      <c r="L151" s="211"/>
      <c r="M151" s="212"/>
      <c r="N151" s="213"/>
      <c r="O151" s="214"/>
      <c r="P151" s="214"/>
      <c r="Q151" s="210"/>
      <c r="R151" s="211"/>
      <c r="S151" s="215"/>
      <c r="T151" s="208"/>
      <c r="U151" s="208"/>
      <c r="V151" s="208"/>
      <c r="W151" s="208"/>
      <c r="X151" s="208"/>
      <c r="Y151" s="208"/>
      <c r="Z151" s="208"/>
      <c r="AA151" s="208"/>
      <c r="AB151" s="208"/>
      <c r="AC151" s="213"/>
      <c r="AD151" s="213"/>
      <c r="AE151" s="211"/>
      <c r="AF151" s="213"/>
      <c r="AG151" s="211"/>
      <c r="AH151" s="211"/>
      <c r="AI151" s="211"/>
      <c r="AJ151" s="214"/>
      <c r="AK151" s="208"/>
      <c r="AL151" s="211"/>
      <c r="AM151" s="211"/>
      <c r="AN151" s="211"/>
      <c r="AO151" s="208"/>
      <c r="AP151" s="208"/>
      <c r="AQ151" s="208"/>
    </row>
    <row r="152" spans="1:43" x14ac:dyDescent="0.25">
      <c r="A152" s="208"/>
      <c r="B152" s="208"/>
      <c r="C152" s="208"/>
      <c r="D152" s="208"/>
      <c r="E152" s="208"/>
      <c r="F152" s="208"/>
      <c r="G152" s="210"/>
      <c r="H152" s="211"/>
      <c r="I152" s="211"/>
      <c r="J152" s="211"/>
      <c r="K152" s="211"/>
      <c r="L152" s="211"/>
      <c r="M152" s="212"/>
      <c r="N152" s="213"/>
      <c r="O152" s="214"/>
      <c r="P152" s="214"/>
      <c r="Q152" s="210"/>
      <c r="R152" s="211"/>
      <c r="S152" s="215"/>
      <c r="T152" s="208"/>
      <c r="U152" s="208"/>
      <c r="V152" s="208"/>
      <c r="W152" s="208"/>
      <c r="X152" s="208"/>
      <c r="Y152" s="208"/>
      <c r="Z152" s="208"/>
      <c r="AA152" s="208"/>
      <c r="AB152" s="208"/>
      <c r="AC152" s="213"/>
      <c r="AD152" s="213"/>
      <c r="AE152" s="211"/>
      <c r="AF152" s="213"/>
      <c r="AG152" s="211"/>
      <c r="AH152" s="211"/>
      <c r="AI152" s="211"/>
      <c r="AJ152" s="214"/>
      <c r="AK152" s="208"/>
      <c r="AL152" s="211"/>
      <c r="AM152" s="211"/>
      <c r="AN152" s="211"/>
      <c r="AO152" s="208"/>
      <c r="AP152" s="208"/>
      <c r="AQ152" s="208"/>
    </row>
    <row r="153" spans="1:43" x14ac:dyDescent="0.25">
      <c r="A153" s="208"/>
      <c r="B153" s="208"/>
      <c r="C153" s="208"/>
      <c r="D153" s="208"/>
      <c r="E153" s="208"/>
      <c r="F153" s="208"/>
      <c r="G153" s="210"/>
      <c r="H153" s="211"/>
      <c r="I153" s="211"/>
      <c r="J153" s="211"/>
      <c r="K153" s="211"/>
      <c r="L153" s="211"/>
      <c r="M153" s="212"/>
      <c r="N153" s="213"/>
      <c r="O153" s="214"/>
      <c r="P153" s="214"/>
      <c r="Q153" s="210"/>
      <c r="R153" s="211"/>
      <c r="S153" s="215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13"/>
      <c r="AD153" s="213"/>
      <c r="AE153" s="211"/>
      <c r="AF153" s="213"/>
      <c r="AG153" s="211"/>
      <c r="AH153" s="211"/>
      <c r="AI153" s="211"/>
      <c r="AJ153" s="214"/>
      <c r="AK153" s="208"/>
      <c r="AL153" s="211"/>
      <c r="AM153" s="211"/>
      <c r="AN153" s="211"/>
      <c r="AO153" s="208"/>
      <c r="AP153" s="208"/>
      <c r="AQ153" s="208"/>
    </row>
    <row r="154" spans="1:43" x14ac:dyDescent="0.25">
      <c r="A154" s="208"/>
      <c r="B154" s="208"/>
      <c r="C154" s="208"/>
      <c r="D154" s="208"/>
      <c r="E154" s="208"/>
      <c r="F154" s="208"/>
      <c r="G154" s="210"/>
      <c r="H154" s="211"/>
      <c r="I154" s="211"/>
      <c r="J154" s="211"/>
      <c r="K154" s="211"/>
      <c r="L154" s="211"/>
      <c r="M154" s="212"/>
      <c r="N154" s="213"/>
      <c r="O154" s="214"/>
      <c r="P154" s="214"/>
      <c r="Q154" s="210"/>
      <c r="R154" s="211"/>
      <c r="S154" s="215"/>
      <c r="T154" s="208"/>
      <c r="U154" s="208"/>
      <c r="V154" s="208"/>
      <c r="W154" s="208"/>
      <c r="X154" s="208"/>
      <c r="Y154" s="208"/>
      <c r="Z154" s="208"/>
      <c r="AA154" s="208"/>
      <c r="AB154" s="208"/>
      <c r="AC154" s="213"/>
      <c r="AD154" s="213"/>
      <c r="AE154" s="211"/>
      <c r="AF154" s="213"/>
      <c r="AG154" s="211"/>
      <c r="AH154" s="211"/>
      <c r="AI154" s="211"/>
      <c r="AJ154" s="214"/>
      <c r="AK154" s="208"/>
      <c r="AL154" s="211"/>
      <c r="AM154" s="211"/>
      <c r="AN154" s="211"/>
      <c r="AO154" s="208"/>
      <c r="AP154" s="208"/>
      <c r="AQ154" s="208"/>
    </row>
    <row r="155" spans="1:43" x14ac:dyDescent="0.25">
      <c r="A155" s="208"/>
      <c r="B155" s="208"/>
      <c r="C155" s="208"/>
      <c r="D155" s="208"/>
      <c r="E155" s="208"/>
      <c r="F155" s="208"/>
      <c r="G155" s="210"/>
      <c r="H155" s="211"/>
      <c r="I155" s="211"/>
      <c r="J155" s="211"/>
      <c r="K155" s="211"/>
      <c r="L155" s="211"/>
      <c r="M155" s="212"/>
      <c r="N155" s="213"/>
      <c r="O155" s="214"/>
      <c r="P155" s="214"/>
      <c r="Q155" s="210"/>
      <c r="R155" s="211"/>
      <c r="S155" s="215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13"/>
      <c r="AD155" s="213"/>
      <c r="AE155" s="211"/>
      <c r="AF155" s="213"/>
      <c r="AG155" s="211"/>
      <c r="AH155" s="211"/>
      <c r="AI155" s="211"/>
      <c r="AJ155" s="214"/>
      <c r="AK155" s="208"/>
      <c r="AL155" s="211"/>
      <c r="AM155" s="211"/>
      <c r="AN155" s="211"/>
      <c r="AO155" s="208"/>
      <c r="AP155" s="208"/>
      <c r="AQ155" s="208"/>
    </row>
    <row r="156" spans="1:43" x14ac:dyDescent="0.25">
      <c r="A156" s="208"/>
      <c r="B156" s="208"/>
      <c r="C156" s="208"/>
      <c r="D156" s="208"/>
      <c r="E156" s="208"/>
      <c r="F156" s="208"/>
      <c r="G156" s="210"/>
      <c r="H156" s="211"/>
      <c r="I156" s="211"/>
      <c r="J156" s="211"/>
      <c r="K156" s="211"/>
      <c r="L156" s="211"/>
      <c r="M156" s="212"/>
      <c r="N156" s="213"/>
      <c r="O156" s="214"/>
      <c r="P156" s="214"/>
      <c r="Q156" s="210"/>
      <c r="R156" s="211"/>
      <c r="S156" s="215"/>
      <c r="T156" s="208"/>
      <c r="U156" s="208"/>
      <c r="V156" s="208"/>
      <c r="W156" s="208"/>
      <c r="X156" s="208"/>
      <c r="Y156" s="208"/>
      <c r="Z156" s="208"/>
      <c r="AA156" s="208"/>
      <c r="AB156" s="208"/>
      <c r="AC156" s="213"/>
      <c r="AD156" s="213"/>
      <c r="AE156" s="211"/>
      <c r="AF156" s="213"/>
      <c r="AG156" s="211"/>
      <c r="AH156" s="211"/>
      <c r="AI156" s="211"/>
      <c r="AJ156" s="214"/>
      <c r="AK156" s="208"/>
      <c r="AL156" s="211"/>
      <c r="AM156" s="211"/>
      <c r="AN156" s="211"/>
      <c r="AO156" s="208"/>
      <c r="AP156" s="208"/>
      <c r="AQ156" s="208"/>
    </row>
    <row r="157" spans="1:43" x14ac:dyDescent="0.25">
      <c r="A157" s="208"/>
      <c r="B157" s="208"/>
      <c r="C157" s="208"/>
      <c r="D157" s="208"/>
      <c r="E157" s="208"/>
      <c r="F157" s="208"/>
      <c r="G157" s="210"/>
      <c r="H157" s="211"/>
      <c r="I157" s="211"/>
      <c r="J157" s="211"/>
      <c r="K157" s="211"/>
      <c r="L157" s="211"/>
      <c r="M157" s="212"/>
      <c r="N157" s="213"/>
      <c r="O157" s="214"/>
      <c r="P157" s="214"/>
      <c r="Q157" s="210"/>
      <c r="R157" s="211"/>
      <c r="S157" s="215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13"/>
      <c r="AD157" s="213"/>
      <c r="AE157" s="211"/>
      <c r="AF157" s="213"/>
      <c r="AG157" s="211"/>
      <c r="AH157" s="211"/>
      <c r="AI157" s="211"/>
      <c r="AJ157" s="214"/>
      <c r="AK157" s="208"/>
      <c r="AL157" s="211"/>
      <c r="AM157" s="211"/>
      <c r="AN157" s="211"/>
      <c r="AO157" s="208"/>
      <c r="AP157" s="208"/>
      <c r="AQ157" s="208"/>
    </row>
    <row r="158" spans="1:43" x14ac:dyDescent="0.25">
      <c r="A158" s="208"/>
      <c r="B158" s="208"/>
      <c r="C158" s="208"/>
      <c r="D158" s="208"/>
      <c r="E158" s="208"/>
      <c r="F158" s="208"/>
      <c r="G158" s="210"/>
      <c r="H158" s="211"/>
      <c r="I158" s="211"/>
      <c r="J158" s="211"/>
      <c r="K158" s="211"/>
      <c r="L158" s="211"/>
      <c r="M158" s="212"/>
      <c r="N158" s="213"/>
      <c r="O158" s="214"/>
      <c r="P158" s="214"/>
      <c r="Q158" s="210"/>
      <c r="R158" s="211"/>
      <c r="S158" s="215"/>
      <c r="T158" s="208"/>
      <c r="U158" s="208"/>
      <c r="V158" s="208"/>
      <c r="W158" s="208"/>
      <c r="X158" s="208"/>
      <c r="Y158" s="208"/>
      <c r="Z158" s="208"/>
      <c r="AA158" s="208"/>
      <c r="AB158" s="208"/>
      <c r="AC158" s="213"/>
      <c r="AD158" s="213"/>
      <c r="AE158" s="211"/>
      <c r="AF158" s="213"/>
      <c r="AG158" s="211"/>
      <c r="AH158" s="211"/>
      <c r="AI158" s="211"/>
      <c r="AJ158" s="214"/>
      <c r="AK158" s="208"/>
      <c r="AL158" s="211"/>
      <c r="AM158" s="211"/>
      <c r="AN158" s="211"/>
      <c r="AO158" s="208"/>
      <c r="AP158" s="208"/>
      <c r="AQ158" s="208"/>
    </row>
    <row r="159" spans="1:43" x14ac:dyDescent="0.25">
      <c r="A159" s="208"/>
      <c r="B159" s="208"/>
      <c r="C159" s="208"/>
      <c r="D159" s="208"/>
      <c r="E159" s="208"/>
      <c r="F159" s="208"/>
      <c r="G159" s="210"/>
      <c r="H159" s="211"/>
      <c r="I159" s="211"/>
      <c r="J159" s="211"/>
      <c r="K159" s="211"/>
      <c r="L159" s="211"/>
      <c r="M159" s="212"/>
      <c r="N159" s="213"/>
      <c r="O159" s="214"/>
      <c r="P159" s="214"/>
      <c r="Q159" s="210"/>
      <c r="R159" s="211"/>
      <c r="S159" s="215"/>
      <c r="T159" s="208"/>
      <c r="U159" s="208"/>
      <c r="V159" s="208"/>
      <c r="W159" s="208"/>
      <c r="X159" s="208"/>
      <c r="Y159" s="208"/>
      <c r="Z159" s="208"/>
      <c r="AA159" s="208"/>
      <c r="AB159" s="208"/>
      <c r="AC159" s="213"/>
      <c r="AD159" s="213"/>
      <c r="AE159" s="211"/>
      <c r="AF159" s="213"/>
      <c r="AG159" s="211"/>
      <c r="AH159" s="211"/>
      <c r="AI159" s="211"/>
      <c r="AJ159" s="214"/>
      <c r="AK159" s="208"/>
      <c r="AL159" s="211"/>
      <c r="AM159" s="211"/>
      <c r="AN159" s="211"/>
      <c r="AO159" s="208"/>
      <c r="AP159" s="208"/>
      <c r="AQ159" s="208"/>
    </row>
    <row r="160" spans="1:43" x14ac:dyDescent="0.25">
      <c r="A160" s="208"/>
      <c r="B160" s="208"/>
      <c r="C160" s="208"/>
      <c r="D160" s="208"/>
      <c r="E160" s="208"/>
      <c r="F160" s="208"/>
      <c r="G160" s="210"/>
      <c r="H160" s="211"/>
      <c r="I160" s="211"/>
      <c r="J160" s="211"/>
      <c r="K160" s="211"/>
      <c r="L160" s="211"/>
      <c r="M160" s="212"/>
      <c r="N160" s="213"/>
      <c r="O160" s="214"/>
      <c r="P160" s="214"/>
      <c r="Q160" s="210"/>
      <c r="R160" s="211"/>
      <c r="S160" s="215"/>
      <c r="T160" s="208"/>
      <c r="U160" s="208"/>
      <c r="V160" s="208"/>
      <c r="W160" s="208"/>
      <c r="X160" s="208"/>
      <c r="Y160" s="208"/>
      <c r="Z160" s="208"/>
      <c r="AA160" s="208"/>
      <c r="AB160" s="208"/>
      <c r="AC160" s="213"/>
      <c r="AD160" s="213"/>
      <c r="AE160" s="211"/>
      <c r="AF160" s="213"/>
      <c r="AG160" s="211"/>
      <c r="AH160" s="211"/>
      <c r="AI160" s="211"/>
      <c r="AJ160" s="214"/>
      <c r="AK160" s="208"/>
      <c r="AL160" s="211"/>
      <c r="AM160" s="211"/>
      <c r="AN160" s="211"/>
      <c r="AO160" s="208"/>
      <c r="AP160" s="208"/>
      <c r="AQ160" s="208"/>
    </row>
    <row r="161" spans="1:43" x14ac:dyDescent="0.25">
      <c r="A161" s="208"/>
      <c r="B161" s="208"/>
      <c r="C161" s="208"/>
      <c r="D161" s="208"/>
      <c r="E161" s="208"/>
      <c r="F161" s="208"/>
      <c r="G161" s="210"/>
      <c r="H161" s="211"/>
      <c r="I161" s="211"/>
      <c r="J161" s="211"/>
      <c r="K161" s="211"/>
      <c r="L161" s="211"/>
      <c r="M161" s="212"/>
      <c r="N161" s="213"/>
      <c r="O161" s="214"/>
      <c r="P161" s="214"/>
      <c r="Q161" s="210"/>
      <c r="R161" s="211"/>
      <c r="S161" s="215"/>
      <c r="T161" s="208"/>
      <c r="U161" s="208"/>
      <c r="V161" s="208"/>
      <c r="W161" s="208"/>
      <c r="X161" s="208"/>
      <c r="Y161" s="208"/>
      <c r="Z161" s="208"/>
      <c r="AA161" s="208"/>
      <c r="AB161" s="208"/>
      <c r="AC161" s="213"/>
      <c r="AD161" s="213"/>
      <c r="AE161" s="211"/>
      <c r="AF161" s="213"/>
      <c r="AG161" s="211"/>
      <c r="AH161" s="211"/>
      <c r="AI161" s="211"/>
      <c r="AJ161" s="214"/>
      <c r="AK161" s="208"/>
      <c r="AL161" s="211"/>
      <c r="AM161" s="211"/>
      <c r="AN161" s="211"/>
      <c r="AO161" s="208"/>
      <c r="AP161" s="208"/>
      <c r="AQ161" s="208"/>
    </row>
    <row r="162" spans="1:43" x14ac:dyDescent="0.25">
      <c r="A162" s="208"/>
      <c r="B162" s="208"/>
      <c r="C162" s="208"/>
      <c r="D162" s="208"/>
      <c r="E162" s="208"/>
      <c r="F162" s="208"/>
      <c r="G162" s="210"/>
      <c r="H162" s="211"/>
      <c r="I162" s="211"/>
      <c r="J162" s="211"/>
      <c r="K162" s="211"/>
      <c r="L162" s="211"/>
      <c r="M162" s="212"/>
      <c r="N162" s="213"/>
      <c r="O162" s="214"/>
      <c r="P162" s="214"/>
      <c r="Q162" s="210"/>
      <c r="R162" s="211"/>
      <c r="S162" s="215"/>
      <c r="T162" s="208"/>
      <c r="U162" s="208"/>
      <c r="V162" s="208"/>
      <c r="W162" s="208"/>
      <c r="X162" s="208"/>
      <c r="Y162" s="208"/>
      <c r="Z162" s="208"/>
      <c r="AA162" s="208"/>
      <c r="AB162" s="208"/>
      <c r="AC162" s="213"/>
      <c r="AD162" s="213"/>
      <c r="AE162" s="211"/>
      <c r="AF162" s="213"/>
      <c r="AG162" s="211"/>
      <c r="AH162" s="211"/>
      <c r="AI162" s="211"/>
      <c r="AJ162" s="214"/>
      <c r="AK162" s="208"/>
      <c r="AL162" s="211"/>
      <c r="AM162" s="211"/>
      <c r="AN162" s="211"/>
      <c r="AO162" s="208"/>
      <c r="AP162" s="208"/>
      <c r="AQ162" s="208"/>
    </row>
    <row r="163" spans="1:43" x14ac:dyDescent="0.25">
      <c r="A163" s="208"/>
      <c r="B163" s="208"/>
      <c r="C163" s="208"/>
      <c r="D163" s="208"/>
      <c r="E163" s="208"/>
      <c r="F163" s="208"/>
      <c r="G163" s="210"/>
      <c r="H163" s="211"/>
      <c r="I163" s="211"/>
      <c r="J163" s="211"/>
      <c r="K163" s="211"/>
      <c r="L163" s="211"/>
      <c r="M163" s="212"/>
      <c r="N163" s="213"/>
      <c r="O163" s="214"/>
      <c r="P163" s="214"/>
      <c r="Q163" s="210"/>
      <c r="R163" s="211"/>
      <c r="S163" s="215"/>
      <c r="T163" s="208"/>
      <c r="U163" s="208"/>
      <c r="V163" s="208"/>
      <c r="W163" s="208"/>
      <c r="X163" s="208"/>
      <c r="Y163" s="208"/>
      <c r="Z163" s="208"/>
      <c r="AA163" s="208"/>
      <c r="AB163" s="208"/>
      <c r="AC163" s="213"/>
      <c r="AD163" s="213"/>
      <c r="AE163" s="211"/>
      <c r="AF163" s="213"/>
      <c r="AG163" s="211"/>
      <c r="AH163" s="211"/>
      <c r="AI163" s="211"/>
      <c r="AJ163" s="214"/>
      <c r="AK163" s="208"/>
      <c r="AL163" s="211"/>
      <c r="AM163" s="211"/>
      <c r="AN163" s="211"/>
      <c r="AO163" s="208"/>
      <c r="AP163" s="208"/>
      <c r="AQ163" s="208"/>
    </row>
    <row r="164" spans="1:43" x14ac:dyDescent="0.25">
      <c r="A164" s="208"/>
      <c r="B164" s="208"/>
      <c r="C164" s="208"/>
      <c r="D164" s="208"/>
      <c r="E164" s="208"/>
      <c r="F164" s="208"/>
      <c r="G164" s="210"/>
      <c r="H164" s="211"/>
      <c r="I164" s="211"/>
      <c r="J164" s="211"/>
      <c r="K164" s="211"/>
      <c r="L164" s="211"/>
      <c r="M164" s="212"/>
      <c r="N164" s="213"/>
      <c r="O164" s="214"/>
      <c r="P164" s="214"/>
      <c r="Q164" s="210"/>
      <c r="R164" s="211"/>
      <c r="S164" s="215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13"/>
      <c r="AD164" s="213"/>
      <c r="AE164" s="211"/>
      <c r="AF164" s="213"/>
      <c r="AG164" s="211"/>
      <c r="AH164" s="211"/>
      <c r="AI164" s="211"/>
      <c r="AJ164" s="214"/>
      <c r="AK164" s="208"/>
      <c r="AL164" s="211"/>
      <c r="AM164" s="211"/>
      <c r="AN164" s="211"/>
      <c r="AO164" s="208"/>
      <c r="AP164" s="208"/>
      <c r="AQ164" s="208"/>
    </row>
    <row r="165" spans="1:43" x14ac:dyDescent="0.25">
      <c r="A165" s="208"/>
      <c r="B165" s="208"/>
      <c r="C165" s="208"/>
      <c r="D165" s="208"/>
      <c r="E165" s="208"/>
      <c r="F165" s="208"/>
      <c r="G165" s="210"/>
      <c r="H165" s="211"/>
      <c r="I165" s="211"/>
      <c r="J165" s="211"/>
      <c r="K165" s="211"/>
      <c r="L165" s="211"/>
      <c r="M165" s="212"/>
      <c r="N165" s="213"/>
      <c r="O165" s="214"/>
      <c r="P165" s="214"/>
      <c r="Q165" s="210"/>
      <c r="R165" s="211"/>
      <c r="S165" s="215"/>
      <c r="T165" s="208"/>
      <c r="U165" s="208"/>
      <c r="V165" s="208"/>
      <c r="W165" s="208"/>
      <c r="X165" s="208"/>
      <c r="Y165" s="208"/>
      <c r="Z165" s="208"/>
      <c r="AA165" s="208"/>
      <c r="AB165" s="208"/>
      <c r="AC165" s="213"/>
      <c r="AD165" s="213"/>
      <c r="AE165" s="211"/>
      <c r="AF165" s="213"/>
      <c r="AG165" s="211"/>
      <c r="AH165" s="211"/>
      <c r="AI165" s="211"/>
      <c r="AJ165" s="214"/>
      <c r="AK165" s="208"/>
      <c r="AL165" s="211"/>
      <c r="AM165" s="211"/>
      <c r="AN165" s="211"/>
      <c r="AO165" s="208"/>
      <c r="AP165" s="208"/>
      <c r="AQ165" s="208"/>
    </row>
    <row r="166" spans="1:43" x14ac:dyDescent="0.25">
      <c r="A166" s="208"/>
      <c r="B166" s="208"/>
      <c r="C166" s="208"/>
      <c r="D166" s="208"/>
      <c r="E166" s="208"/>
      <c r="F166" s="208"/>
      <c r="G166" s="210"/>
      <c r="H166" s="211"/>
      <c r="I166" s="211"/>
      <c r="J166" s="211"/>
      <c r="K166" s="211"/>
      <c r="L166" s="211"/>
      <c r="M166" s="212"/>
      <c r="N166" s="213"/>
      <c r="O166" s="214"/>
      <c r="P166" s="214"/>
      <c r="Q166" s="210"/>
      <c r="R166" s="211"/>
      <c r="S166" s="215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13"/>
      <c r="AD166" s="213"/>
      <c r="AE166" s="211"/>
      <c r="AF166" s="213"/>
      <c r="AG166" s="211"/>
      <c r="AH166" s="211"/>
      <c r="AI166" s="211"/>
      <c r="AJ166" s="214"/>
      <c r="AK166" s="208"/>
      <c r="AL166" s="211"/>
      <c r="AM166" s="211"/>
      <c r="AN166" s="211"/>
      <c r="AO166" s="208"/>
      <c r="AP166" s="208"/>
      <c r="AQ166" s="208"/>
    </row>
    <row r="167" spans="1:43" x14ac:dyDescent="0.25">
      <c r="A167" s="208"/>
      <c r="B167" s="208"/>
      <c r="C167" s="208"/>
      <c r="D167" s="208"/>
      <c r="E167" s="208"/>
      <c r="F167" s="208"/>
      <c r="G167" s="210"/>
      <c r="H167" s="211"/>
      <c r="I167" s="211"/>
      <c r="J167" s="211"/>
      <c r="K167" s="211"/>
      <c r="L167" s="211"/>
      <c r="M167" s="212"/>
      <c r="N167" s="213"/>
      <c r="O167" s="214"/>
      <c r="P167" s="214"/>
      <c r="Q167" s="210"/>
      <c r="R167" s="211"/>
      <c r="S167" s="215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13"/>
      <c r="AD167" s="213"/>
      <c r="AE167" s="211"/>
      <c r="AF167" s="213"/>
      <c r="AG167" s="211"/>
      <c r="AH167" s="211"/>
      <c r="AI167" s="211"/>
      <c r="AJ167" s="214"/>
      <c r="AK167" s="208"/>
      <c r="AL167" s="211"/>
      <c r="AM167" s="211"/>
      <c r="AN167" s="211"/>
      <c r="AO167" s="208"/>
      <c r="AP167" s="208"/>
      <c r="AQ167" s="208"/>
    </row>
    <row r="168" spans="1:43" x14ac:dyDescent="0.25">
      <c r="A168" s="208"/>
      <c r="B168" s="208"/>
      <c r="C168" s="208"/>
      <c r="D168" s="208"/>
      <c r="E168" s="208"/>
      <c r="F168" s="208"/>
      <c r="G168" s="210"/>
      <c r="H168" s="211"/>
      <c r="I168" s="211"/>
      <c r="J168" s="211"/>
      <c r="K168" s="211"/>
      <c r="L168" s="211"/>
      <c r="M168" s="212"/>
      <c r="N168" s="213"/>
      <c r="O168" s="214"/>
      <c r="P168" s="214"/>
      <c r="Q168" s="210"/>
      <c r="R168" s="211"/>
      <c r="S168" s="215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13"/>
      <c r="AD168" s="213"/>
      <c r="AE168" s="211"/>
      <c r="AF168" s="213"/>
      <c r="AG168" s="211"/>
      <c r="AH168" s="211"/>
      <c r="AI168" s="211"/>
      <c r="AJ168" s="214"/>
      <c r="AK168" s="208"/>
      <c r="AL168" s="211"/>
      <c r="AM168" s="211"/>
      <c r="AN168" s="211"/>
      <c r="AO168" s="208"/>
      <c r="AP168" s="208"/>
      <c r="AQ168" s="208"/>
    </row>
    <row r="169" spans="1:43" x14ac:dyDescent="0.25">
      <c r="A169" s="208"/>
      <c r="B169" s="208"/>
      <c r="C169" s="208"/>
      <c r="D169" s="208"/>
      <c r="E169" s="208"/>
      <c r="F169" s="208"/>
      <c r="G169" s="210"/>
      <c r="H169" s="211"/>
      <c r="I169" s="211"/>
      <c r="J169" s="211"/>
      <c r="K169" s="211"/>
      <c r="L169" s="211"/>
      <c r="M169" s="212"/>
      <c r="N169" s="213"/>
      <c r="O169" s="214"/>
      <c r="P169" s="214"/>
      <c r="Q169" s="210"/>
      <c r="R169" s="211"/>
      <c r="S169" s="215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13"/>
      <c r="AD169" s="213"/>
      <c r="AE169" s="211"/>
      <c r="AF169" s="213"/>
      <c r="AG169" s="211"/>
      <c r="AH169" s="211"/>
      <c r="AI169" s="211"/>
      <c r="AJ169" s="214"/>
      <c r="AK169" s="208"/>
      <c r="AL169" s="211"/>
      <c r="AM169" s="211"/>
      <c r="AN169" s="211"/>
      <c r="AO169" s="208"/>
      <c r="AP169" s="208"/>
      <c r="AQ169" s="208"/>
    </row>
    <row r="170" spans="1:43" ht="12.75" x14ac:dyDescent="0.2">
      <c r="A170"/>
      <c r="B170"/>
      <c r="C170"/>
      <c r="D170"/>
      <c r="E170"/>
      <c r="F170"/>
      <c r="G170" s="1"/>
      <c r="H170" s="2"/>
      <c r="I170" s="2"/>
      <c r="J170" s="2"/>
      <c r="K170" s="2"/>
      <c r="L170" s="2"/>
      <c r="M170" s="3"/>
      <c r="N170" s="4"/>
      <c r="O170" s="5"/>
      <c r="P170" s="5"/>
      <c r="Q170" s="1"/>
      <c r="R170" s="2"/>
      <c r="S170" s="6"/>
      <c r="T170"/>
      <c r="U170"/>
      <c r="V170"/>
      <c r="W170"/>
      <c r="X170"/>
      <c r="Y170"/>
      <c r="Z170"/>
      <c r="AA170"/>
      <c r="AB170"/>
      <c r="AC170" s="4"/>
      <c r="AD170" s="4"/>
      <c r="AE170" s="2"/>
      <c r="AF170" s="4"/>
      <c r="AG170" s="2"/>
      <c r="AH170" s="2"/>
      <c r="AI170" s="2"/>
      <c r="AJ170" s="5"/>
      <c r="AK170"/>
      <c r="AL170" s="2"/>
      <c r="AM170" s="2"/>
      <c r="AN170" s="2"/>
      <c r="AO170"/>
      <c r="AP170"/>
      <c r="AQ170"/>
    </row>
    <row r="171" spans="1:43" ht="12.75" x14ac:dyDescent="0.2">
      <c r="A171" s="44"/>
      <c r="B171" s="44"/>
      <c r="C171" s="44"/>
      <c r="D171" s="44"/>
      <c r="E171" s="44"/>
      <c r="F171" s="44"/>
      <c r="G171" s="113"/>
      <c r="H171" s="77"/>
      <c r="I171" s="77"/>
      <c r="J171" s="77"/>
      <c r="K171" s="77"/>
      <c r="L171" s="77"/>
      <c r="M171" s="114"/>
      <c r="N171" s="115"/>
      <c r="O171" s="116"/>
      <c r="P171" s="116"/>
      <c r="Q171" s="113"/>
      <c r="R171" s="77"/>
      <c r="S171" s="117"/>
      <c r="T171" s="44"/>
      <c r="U171" s="44"/>
      <c r="V171" s="44"/>
      <c r="W171" s="44"/>
      <c r="X171" s="44"/>
      <c r="Y171" s="44"/>
      <c r="Z171" s="44"/>
      <c r="AA171" s="44"/>
      <c r="AB171" s="44"/>
      <c r="AC171" s="115"/>
      <c r="AD171" s="115"/>
      <c r="AE171" s="77"/>
      <c r="AF171" s="115"/>
      <c r="AG171" s="77"/>
      <c r="AH171" s="77"/>
      <c r="AI171" s="77"/>
      <c r="AJ171" s="116"/>
      <c r="AK171" s="44"/>
      <c r="AL171" s="77"/>
      <c r="AM171" s="77"/>
      <c r="AN171" s="77"/>
      <c r="AO171" s="44"/>
      <c r="AP171" s="44"/>
      <c r="AQ171" s="44"/>
    </row>
    <row r="172" spans="1:43" ht="12.75" x14ac:dyDescent="0.2">
      <c r="A172" s="44"/>
      <c r="B172" s="44"/>
      <c r="C172" s="44"/>
      <c r="D172" s="44"/>
      <c r="E172" s="44"/>
      <c r="F172" s="44"/>
      <c r="G172" s="113"/>
      <c r="H172" s="77"/>
      <c r="I172" s="77"/>
      <c r="J172" s="77"/>
      <c r="K172" s="77"/>
      <c r="L172" s="77"/>
      <c r="M172" s="114"/>
      <c r="N172" s="115"/>
      <c r="O172" s="116"/>
      <c r="P172" s="116"/>
      <c r="Q172" s="113"/>
      <c r="R172" s="77"/>
      <c r="S172" s="117"/>
      <c r="T172" s="44"/>
      <c r="U172" s="44"/>
      <c r="V172" s="44"/>
      <c r="W172" s="44"/>
      <c r="X172" s="44"/>
      <c r="Y172" s="44"/>
      <c r="Z172" s="44"/>
      <c r="AA172" s="44"/>
      <c r="AB172" s="44"/>
      <c r="AC172" s="115"/>
      <c r="AD172" s="115"/>
      <c r="AE172" s="77"/>
      <c r="AF172" s="115"/>
      <c r="AG172" s="77"/>
      <c r="AH172" s="77"/>
      <c r="AI172" s="77"/>
      <c r="AJ172" s="116"/>
      <c r="AK172" s="44"/>
      <c r="AL172" s="77"/>
      <c r="AM172" s="77"/>
      <c r="AN172" s="77"/>
      <c r="AO172" s="44"/>
      <c r="AP172" s="44"/>
      <c r="AQ172" s="44"/>
    </row>
    <row r="173" spans="1:43" ht="12.75" x14ac:dyDescent="0.2">
      <c r="A173" s="44"/>
      <c r="B173" s="44"/>
      <c r="C173" s="44"/>
      <c r="D173" s="44"/>
      <c r="E173" s="44"/>
      <c r="F173" s="44"/>
      <c r="G173" s="113"/>
      <c r="H173" s="77"/>
      <c r="I173" s="77"/>
      <c r="J173" s="77"/>
      <c r="K173" s="77"/>
      <c r="L173" s="77"/>
      <c r="M173" s="114"/>
      <c r="N173" s="115"/>
      <c r="O173" s="116"/>
      <c r="P173" s="116"/>
      <c r="Q173" s="113"/>
      <c r="R173" s="77"/>
      <c r="S173" s="117"/>
      <c r="T173" s="44"/>
      <c r="U173" s="44"/>
      <c r="V173" s="44"/>
      <c r="W173" s="44"/>
      <c r="X173" s="44"/>
      <c r="Y173" s="44"/>
      <c r="Z173" s="44"/>
      <c r="AA173" s="44"/>
      <c r="AB173" s="44"/>
      <c r="AC173" s="115"/>
      <c r="AD173" s="115"/>
      <c r="AE173" s="77"/>
      <c r="AF173" s="115"/>
      <c r="AG173" s="77"/>
      <c r="AH173" s="77"/>
      <c r="AI173" s="77"/>
      <c r="AJ173" s="116"/>
      <c r="AK173" s="44"/>
      <c r="AL173" s="77"/>
      <c r="AM173" s="77"/>
      <c r="AN173" s="77"/>
      <c r="AO173" s="44"/>
      <c r="AP173" s="44"/>
      <c r="AQ173" s="44"/>
    </row>
    <row r="174" spans="1:43" ht="12.75" x14ac:dyDescent="0.2">
      <c r="A174" s="44"/>
      <c r="B174" s="44"/>
      <c r="C174" s="44"/>
      <c r="D174" s="44"/>
      <c r="E174" s="44"/>
      <c r="F174" s="44"/>
      <c r="G174" s="113"/>
      <c r="H174" s="77"/>
      <c r="I174" s="77"/>
      <c r="J174" s="77"/>
      <c r="K174" s="77"/>
      <c r="L174" s="77"/>
      <c r="M174" s="114"/>
      <c r="N174" s="115"/>
      <c r="O174" s="116"/>
      <c r="P174" s="116"/>
      <c r="Q174" s="113"/>
      <c r="R174" s="77"/>
      <c r="S174" s="117"/>
      <c r="T174" s="44"/>
      <c r="U174" s="44"/>
      <c r="V174" s="44"/>
      <c r="W174" s="44"/>
      <c r="X174" s="44"/>
      <c r="Y174" s="44"/>
      <c r="Z174" s="44"/>
      <c r="AA174" s="44"/>
      <c r="AB174" s="44"/>
      <c r="AC174" s="115"/>
      <c r="AD174" s="115"/>
      <c r="AE174" s="77"/>
      <c r="AF174" s="115"/>
      <c r="AG174" s="77"/>
      <c r="AH174" s="77"/>
      <c r="AI174" s="77"/>
      <c r="AJ174" s="116"/>
      <c r="AK174" s="44"/>
      <c r="AL174" s="77"/>
      <c r="AM174" s="77"/>
      <c r="AN174" s="77"/>
      <c r="AO174" s="44"/>
      <c r="AP174" s="44"/>
      <c r="AQ174" s="44"/>
    </row>
    <row r="175" spans="1:43" ht="12.75" x14ac:dyDescent="0.2">
      <c r="A175" s="44"/>
      <c r="B175" s="44"/>
      <c r="C175" s="44"/>
      <c r="D175" s="44"/>
      <c r="E175" s="44"/>
      <c r="F175" s="44"/>
      <c r="G175" s="113"/>
      <c r="H175" s="77"/>
      <c r="I175" s="77"/>
      <c r="J175" s="77"/>
      <c r="K175" s="77"/>
      <c r="L175" s="77"/>
      <c r="M175" s="114"/>
      <c r="N175" s="115"/>
      <c r="O175" s="116"/>
      <c r="P175" s="116"/>
      <c r="Q175" s="113"/>
      <c r="R175" s="77"/>
      <c r="S175" s="117"/>
      <c r="T175" s="44"/>
      <c r="U175" s="44"/>
      <c r="V175" s="44"/>
      <c r="W175" s="44"/>
      <c r="X175" s="44"/>
      <c r="Y175" s="44"/>
      <c r="Z175" s="44"/>
      <c r="AA175" s="44"/>
      <c r="AB175" s="44"/>
      <c r="AC175" s="115"/>
      <c r="AD175" s="115"/>
      <c r="AE175" s="77"/>
      <c r="AF175" s="115"/>
      <c r="AG175" s="77"/>
      <c r="AH175" s="77"/>
      <c r="AI175" s="77"/>
      <c r="AJ175" s="116"/>
      <c r="AK175" s="44"/>
      <c r="AL175" s="77"/>
      <c r="AM175" s="77"/>
      <c r="AN175" s="77"/>
      <c r="AO175" s="44"/>
      <c r="AP175" s="44"/>
      <c r="AQ175" s="44"/>
    </row>
    <row r="176" spans="1:43" ht="12.75" x14ac:dyDescent="0.2">
      <c r="A176" s="44"/>
      <c r="B176" s="44"/>
      <c r="C176" s="44"/>
      <c r="D176" s="44"/>
      <c r="E176" s="44"/>
      <c r="F176" s="44"/>
      <c r="G176" s="113"/>
      <c r="H176" s="77"/>
      <c r="I176" s="77"/>
      <c r="J176" s="77"/>
      <c r="K176" s="77"/>
      <c r="L176" s="77"/>
      <c r="M176" s="114"/>
      <c r="N176" s="115"/>
      <c r="O176" s="116"/>
      <c r="P176" s="116"/>
      <c r="Q176" s="113"/>
      <c r="R176" s="77"/>
      <c r="S176" s="117"/>
      <c r="T176" s="44"/>
      <c r="U176" s="44"/>
      <c r="V176" s="44"/>
      <c r="W176" s="44"/>
      <c r="X176" s="44"/>
      <c r="Y176" s="44"/>
      <c r="Z176" s="44"/>
      <c r="AA176" s="44"/>
      <c r="AB176" s="44"/>
      <c r="AC176" s="115"/>
      <c r="AD176" s="115"/>
      <c r="AE176" s="77"/>
      <c r="AF176" s="115"/>
      <c r="AG176" s="77"/>
      <c r="AH176" s="77"/>
      <c r="AI176" s="77"/>
      <c r="AJ176" s="116"/>
      <c r="AK176" s="44"/>
      <c r="AL176" s="77"/>
      <c r="AM176" s="77"/>
      <c r="AN176" s="77"/>
      <c r="AO176" s="44"/>
      <c r="AP176" s="44"/>
      <c r="AQ176" s="44"/>
    </row>
    <row r="177" spans="1:43" ht="12.75" x14ac:dyDescent="0.2">
      <c r="A177" s="44"/>
      <c r="B177" s="44"/>
      <c r="C177" s="44"/>
      <c r="D177" s="44"/>
      <c r="E177" s="44"/>
      <c r="F177" s="44"/>
      <c r="G177" s="113"/>
      <c r="H177" s="77"/>
      <c r="I177" s="77"/>
      <c r="J177" s="77"/>
      <c r="K177" s="77"/>
      <c r="L177" s="77"/>
      <c r="M177" s="114"/>
      <c r="N177" s="115"/>
      <c r="O177" s="116"/>
      <c r="P177" s="116"/>
      <c r="Q177" s="113"/>
      <c r="R177" s="77"/>
      <c r="S177" s="117"/>
      <c r="T177" s="44"/>
      <c r="U177" s="44"/>
      <c r="V177" s="44"/>
      <c r="W177" s="44"/>
      <c r="X177" s="44"/>
      <c r="Y177" s="44"/>
      <c r="Z177" s="44"/>
      <c r="AA177" s="44"/>
      <c r="AB177" s="44"/>
      <c r="AC177" s="115"/>
      <c r="AD177" s="115"/>
      <c r="AE177" s="77"/>
      <c r="AF177" s="115"/>
      <c r="AG177" s="77"/>
      <c r="AH177" s="77"/>
      <c r="AI177" s="77"/>
      <c r="AJ177" s="116"/>
      <c r="AK177" s="44"/>
      <c r="AL177" s="77"/>
      <c r="AM177" s="77"/>
      <c r="AN177" s="77"/>
      <c r="AO177" s="44"/>
      <c r="AP177" s="44"/>
      <c r="AQ177" s="44"/>
    </row>
    <row r="178" spans="1:43" ht="12.75" x14ac:dyDescent="0.2">
      <c r="A178" s="44"/>
      <c r="B178" s="44"/>
      <c r="C178" s="44"/>
      <c r="D178" s="44"/>
      <c r="E178" s="44"/>
      <c r="F178" s="44"/>
      <c r="G178" s="113"/>
      <c r="H178" s="77"/>
      <c r="I178" s="77"/>
      <c r="J178" s="77"/>
      <c r="K178" s="77"/>
      <c r="L178" s="77"/>
      <c r="M178" s="114"/>
      <c r="N178" s="115"/>
      <c r="O178" s="116"/>
      <c r="P178" s="116"/>
      <c r="Q178" s="113"/>
      <c r="R178" s="77"/>
      <c r="S178" s="117"/>
      <c r="T178" s="44"/>
      <c r="U178" s="44"/>
      <c r="V178" s="44"/>
      <c r="W178" s="44"/>
      <c r="X178" s="44"/>
      <c r="Y178" s="44"/>
      <c r="Z178" s="44"/>
      <c r="AA178" s="44"/>
      <c r="AB178" s="44"/>
      <c r="AC178" s="115"/>
      <c r="AD178" s="115"/>
      <c r="AE178" s="77"/>
      <c r="AF178" s="115"/>
      <c r="AG178" s="77"/>
      <c r="AH178" s="77"/>
      <c r="AI178" s="77"/>
      <c r="AJ178" s="116"/>
      <c r="AK178" s="44"/>
      <c r="AL178" s="77"/>
      <c r="AM178" s="77"/>
      <c r="AN178" s="77"/>
      <c r="AO178" s="44"/>
      <c r="AP178" s="44"/>
      <c r="AQ178" s="44"/>
    </row>
    <row r="179" spans="1:43" ht="12.75" x14ac:dyDescent="0.2">
      <c r="A179" s="44"/>
      <c r="B179" s="44"/>
      <c r="C179" s="44"/>
      <c r="D179" s="44"/>
      <c r="E179" s="44"/>
      <c r="F179" s="44"/>
      <c r="G179" s="113"/>
      <c r="H179" s="77"/>
      <c r="I179" s="77"/>
      <c r="J179" s="77"/>
      <c r="K179" s="77"/>
      <c r="L179" s="77"/>
      <c r="M179" s="114"/>
      <c r="N179" s="115"/>
      <c r="O179" s="116"/>
      <c r="P179" s="116"/>
      <c r="Q179" s="113"/>
      <c r="R179" s="77"/>
      <c r="S179" s="117"/>
      <c r="T179" s="44"/>
      <c r="U179" s="44"/>
      <c r="V179" s="44"/>
      <c r="W179" s="44"/>
      <c r="X179" s="44"/>
      <c r="Y179" s="44"/>
      <c r="Z179" s="44"/>
      <c r="AA179" s="44"/>
      <c r="AB179" s="44"/>
      <c r="AC179" s="115"/>
      <c r="AD179" s="115"/>
      <c r="AE179" s="77"/>
      <c r="AF179" s="115"/>
      <c r="AG179" s="77"/>
      <c r="AH179" s="77"/>
      <c r="AI179" s="77"/>
      <c r="AJ179" s="116"/>
      <c r="AK179" s="44"/>
      <c r="AL179" s="77"/>
      <c r="AM179" s="77"/>
      <c r="AN179" s="77"/>
      <c r="AO179" s="44"/>
      <c r="AP179" s="44"/>
      <c r="AQ179" s="44"/>
    </row>
    <row r="180" spans="1:43" ht="12.75" x14ac:dyDescent="0.2">
      <c r="A180" s="44"/>
      <c r="B180" s="44"/>
      <c r="C180" s="44"/>
      <c r="D180" s="44"/>
      <c r="E180" s="44"/>
      <c r="F180" s="44"/>
      <c r="G180" s="113"/>
      <c r="H180" s="77"/>
      <c r="I180" s="77"/>
      <c r="J180" s="77"/>
      <c r="K180" s="77"/>
      <c r="L180" s="77"/>
      <c r="M180" s="114"/>
      <c r="N180" s="115"/>
      <c r="O180" s="116"/>
      <c r="P180" s="116"/>
      <c r="Q180" s="113"/>
      <c r="R180" s="77"/>
      <c r="S180" s="117"/>
      <c r="T180" s="44"/>
      <c r="U180" s="44"/>
      <c r="V180" s="44"/>
      <c r="W180" s="44"/>
      <c r="X180" s="44"/>
      <c r="Y180" s="44"/>
      <c r="Z180" s="44"/>
      <c r="AA180" s="44"/>
      <c r="AB180" s="44"/>
      <c r="AC180" s="115"/>
      <c r="AD180" s="115"/>
      <c r="AE180" s="77"/>
      <c r="AF180" s="115"/>
      <c r="AG180" s="77"/>
      <c r="AH180" s="77"/>
      <c r="AI180" s="77"/>
      <c r="AJ180" s="116"/>
      <c r="AK180" s="44"/>
      <c r="AL180" s="77"/>
      <c r="AM180" s="77"/>
      <c r="AN180" s="77"/>
      <c r="AO180" s="44"/>
      <c r="AP180" s="44"/>
      <c r="AQ180" s="44"/>
    </row>
    <row r="181" spans="1:43" ht="12.75" x14ac:dyDescent="0.2">
      <c r="A181" s="44"/>
      <c r="B181" s="44"/>
      <c r="C181" s="44"/>
      <c r="D181" s="44"/>
      <c r="E181" s="44"/>
      <c r="F181" s="44"/>
      <c r="G181" s="113"/>
      <c r="H181" s="77"/>
      <c r="I181" s="77"/>
      <c r="J181" s="77"/>
      <c r="K181" s="77"/>
      <c r="L181" s="77"/>
      <c r="M181" s="114"/>
      <c r="N181" s="115"/>
      <c r="O181" s="116"/>
      <c r="P181" s="116"/>
      <c r="Q181" s="113"/>
      <c r="R181" s="77"/>
      <c r="S181" s="117"/>
      <c r="T181" s="44"/>
      <c r="U181" s="44"/>
      <c r="V181" s="44"/>
      <c r="W181" s="44"/>
      <c r="X181" s="44"/>
      <c r="Y181" s="44"/>
      <c r="Z181" s="44"/>
      <c r="AA181" s="44"/>
      <c r="AB181" s="44"/>
      <c r="AC181" s="115"/>
      <c r="AD181" s="115"/>
      <c r="AE181" s="77"/>
      <c r="AF181" s="115"/>
      <c r="AG181" s="77"/>
      <c r="AH181" s="77"/>
      <c r="AI181" s="77"/>
      <c r="AJ181" s="116"/>
      <c r="AK181" s="44"/>
      <c r="AL181" s="77"/>
      <c r="AM181" s="77"/>
      <c r="AN181" s="77"/>
      <c r="AO181" s="44"/>
      <c r="AP181" s="44"/>
      <c r="AQ181" s="44"/>
    </row>
    <row r="182" spans="1:43" ht="12.75" x14ac:dyDescent="0.2">
      <c r="A182" s="44"/>
      <c r="B182" s="44"/>
      <c r="C182" s="44"/>
      <c r="D182" s="44"/>
      <c r="E182" s="44"/>
      <c r="F182" s="44"/>
      <c r="G182" s="113"/>
      <c r="H182" s="77"/>
      <c r="I182" s="77"/>
      <c r="J182" s="77"/>
      <c r="K182" s="77"/>
      <c r="L182" s="77"/>
      <c r="M182" s="114"/>
      <c r="N182" s="115"/>
      <c r="O182" s="116"/>
      <c r="P182" s="116"/>
      <c r="Q182" s="113"/>
      <c r="R182" s="77"/>
      <c r="S182" s="117"/>
      <c r="T182" s="44"/>
      <c r="U182" s="44"/>
      <c r="V182" s="44"/>
      <c r="W182" s="44"/>
      <c r="X182" s="44"/>
      <c r="Y182" s="44"/>
      <c r="Z182" s="44"/>
      <c r="AA182" s="44"/>
      <c r="AB182" s="44"/>
      <c r="AC182" s="115"/>
      <c r="AD182" s="115"/>
      <c r="AE182" s="77"/>
      <c r="AF182" s="115"/>
      <c r="AG182" s="77"/>
      <c r="AH182" s="77"/>
      <c r="AI182" s="77"/>
      <c r="AJ182" s="116"/>
      <c r="AK182" s="44"/>
      <c r="AL182" s="77"/>
      <c r="AM182" s="77"/>
      <c r="AN182" s="77"/>
      <c r="AO182" s="44"/>
      <c r="AP182" s="44"/>
      <c r="AQ182" s="44"/>
    </row>
    <row r="183" spans="1:43" ht="12.75" x14ac:dyDescent="0.2">
      <c r="A183" s="44"/>
      <c r="B183" s="44"/>
      <c r="C183" s="44"/>
      <c r="D183" s="44"/>
      <c r="E183" s="44"/>
      <c r="F183" s="44"/>
      <c r="G183" s="113"/>
      <c r="H183" s="77"/>
      <c r="I183" s="77"/>
      <c r="J183" s="77"/>
      <c r="K183" s="77"/>
      <c r="L183" s="77"/>
      <c r="M183" s="114"/>
      <c r="N183" s="115"/>
      <c r="O183" s="116"/>
      <c r="P183" s="116"/>
      <c r="Q183" s="113"/>
      <c r="R183" s="77"/>
      <c r="S183" s="117"/>
      <c r="T183" s="44"/>
      <c r="U183" s="44"/>
      <c r="V183" s="44"/>
      <c r="W183" s="44"/>
      <c r="X183" s="44"/>
      <c r="Y183" s="44"/>
      <c r="Z183" s="44"/>
      <c r="AA183" s="44"/>
      <c r="AB183" s="44"/>
      <c r="AC183" s="115"/>
      <c r="AD183" s="115"/>
      <c r="AE183" s="77"/>
      <c r="AF183" s="115"/>
      <c r="AG183" s="77"/>
      <c r="AH183" s="77"/>
      <c r="AI183" s="77"/>
      <c r="AJ183" s="116"/>
      <c r="AK183" s="44"/>
      <c r="AL183" s="77"/>
      <c r="AM183" s="77"/>
      <c r="AN183" s="77"/>
      <c r="AO183" s="44"/>
      <c r="AP183" s="44"/>
      <c r="AQ183" s="44"/>
    </row>
    <row r="184" spans="1:43" ht="12.75" x14ac:dyDescent="0.2">
      <c r="A184" s="44"/>
      <c r="B184" s="44"/>
      <c r="C184" s="44"/>
      <c r="D184" s="44"/>
      <c r="E184" s="44"/>
      <c r="F184" s="44"/>
      <c r="G184" s="113"/>
      <c r="H184" s="77"/>
      <c r="I184" s="77"/>
      <c r="J184" s="77"/>
      <c r="K184" s="77"/>
      <c r="L184" s="77"/>
      <c r="M184" s="114"/>
      <c r="N184" s="115"/>
      <c r="O184" s="116"/>
      <c r="P184" s="116"/>
      <c r="Q184" s="113"/>
      <c r="R184" s="77"/>
      <c r="S184" s="117"/>
      <c r="T184" s="44"/>
      <c r="U184" s="44"/>
      <c r="V184" s="44"/>
      <c r="W184" s="44"/>
      <c r="X184" s="44"/>
      <c r="Y184" s="44"/>
      <c r="Z184" s="44"/>
      <c r="AA184" s="44"/>
      <c r="AB184" s="44"/>
      <c r="AC184" s="115"/>
      <c r="AD184" s="115"/>
      <c r="AE184" s="77"/>
      <c r="AF184" s="115"/>
      <c r="AG184" s="77"/>
      <c r="AH184" s="77"/>
      <c r="AI184" s="77"/>
      <c r="AJ184" s="116"/>
      <c r="AK184" s="44"/>
      <c r="AL184" s="77"/>
      <c r="AM184" s="77"/>
      <c r="AN184" s="77"/>
      <c r="AO184" s="44"/>
      <c r="AP184" s="44"/>
      <c r="AQ184" s="44"/>
    </row>
    <row r="185" spans="1:43" ht="12.75" x14ac:dyDescent="0.2">
      <c r="A185" s="44"/>
      <c r="B185" s="44"/>
      <c r="C185" s="44"/>
      <c r="D185" s="44"/>
      <c r="E185" s="44"/>
      <c r="F185" s="44"/>
      <c r="G185" s="113"/>
      <c r="H185" s="77"/>
      <c r="I185" s="77"/>
      <c r="J185" s="77"/>
      <c r="K185" s="77"/>
      <c r="L185" s="77"/>
      <c r="M185" s="114"/>
      <c r="N185" s="115"/>
      <c r="O185" s="116"/>
      <c r="P185" s="116"/>
      <c r="Q185" s="113"/>
      <c r="R185" s="77"/>
      <c r="S185" s="117"/>
      <c r="T185" s="44"/>
      <c r="U185" s="44"/>
      <c r="V185" s="44"/>
      <c r="W185" s="44"/>
      <c r="X185" s="44"/>
      <c r="Y185" s="44"/>
      <c r="Z185" s="44"/>
      <c r="AA185" s="44"/>
      <c r="AB185" s="44"/>
      <c r="AC185" s="115"/>
      <c r="AD185" s="115"/>
      <c r="AE185" s="77"/>
      <c r="AF185" s="115"/>
      <c r="AG185" s="77"/>
      <c r="AH185" s="77"/>
      <c r="AI185" s="77"/>
      <c r="AJ185" s="116"/>
      <c r="AK185" s="44"/>
      <c r="AL185" s="77"/>
      <c r="AM185" s="77"/>
      <c r="AN185" s="77"/>
      <c r="AO185" s="44"/>
      <c r="AP185" s="44"/>
      <c r="AQ185" s="44"/>
    </row>
    <row r="186" spans="1:43" ht="12.75" x14ac:dyDescent="0.2">
      <c r="A186" s="44"/>
      <c r="B186" s="44"/>
      <c r="C186" s="44"/>
      <c r="D186" s="44"/>
      <c r="E186" s="44"/>
      <c r="F186" s="44"/>
      <c r="G186" s="113"/>
      <c r="H186" s="77"/>
      <c r="I186" s="77"/>
      <c r="J186" s="77"/>
      <c r="K186" s="77"/>
      <c r="L186" s="77"/>
      <c r="M186" s="114"/>
      <c r="N186" s="115"/>
      <c r="O186" s="116"/>
      <c r="P186" s="116"/>
      <c r="Q186" s="113"/>
      <c r="R186" s="77"/>
      <c r="S186" s="117"/>
      <c r="T186" s="44"/>
      <c r="U186" s="44"/>
      <c r="V186" s="44"/>
      <c r="W186" s="44"/>
      <c r="X186" s="44"/>
      <c r="Y186" s="44"/>
      <c r="Z186" s="44"/>
      <c r="AA186" s="44"/>
      <c r="AB186" s="44"/>
      <c r="AC186" s="115"/>
      <c r="AD186" s="115"/>
      <c r="AE186" s="77"/>
      <c r="AF186" s="115"/>
      <c r="AG186" s="77"/>
      <c r="AH186" s="77"/>
      <c r="AI186" s="77"/>
      <c r="AJ186" s="116"/>
      <c r="AK186" s="44"/>
      <c r="AL186" s="77"/>
      <c r="AM186" s="77"/>
      <c r="AN186" s="77"/>
      <c r="AO186" s="44"/>
      <c r="AP186" s="44"/>
      <c r="AQ186" s="44"/>
    </row>
    <row r="187" spans="1:43" ht="12.75" x14ac:dyDescent="0.2">
      <c r="A187" s="44"/>
      <c r="B187" s="44"/>
      <c r="C187" s="44"/>
      <c r="D187" s="44"/>
      <c r="E187" s="44"/>
      <c r="F187" s="44"/>
      <c r="G187" s="113"/>
      <c r="H187" s="77"/>
      <c r="I187" s="77"/>
      <c r="J187" s="77"/>
      <c r="K187" s="77"/>
      <c r="L187" s="77"/>
      <c r="M187" s="114"/>
      <c r="N187" s="115"/>
      <c r="O187" s="116"/>
      <c r="P187" s="116"/>
      <c r="Q187" s="113"/>
      <c r="R187" s="77"/>
      <c r="S187" s="117"/>
      <c r="T187" s="44"/>
      <c r="U187" s="44"/>
      <c r="V187" s="44"/>
      <c r="W187" s="44"/>
      <c r="X187" s="44"/>
      <c r="Y187" s="44"/>
      <c r="Z187" s="44"/>
      <c r="AA187" s="44"/>
      <c r="AB187" s="44"/>
      <c r="AC187" s="115"/>
      <c r="AD187" s="115"/>
      <c r="AE187" s="77"/>
      <c r="AF187" s="115"/>
      <c r="AG187" s="77"/>
      <c r="AH187" s="77"/>
      <c r="AI187" s="77"/>
      <c r="AJ187" s="116"/>
      <c r="AK187" s="44"/>
      <c r="AL187" s="77"/>
      <c r="AM187" s="77"/>
      <c r="AN187" s="77"/>
      <c r="AO187" s="44"/>
      <c r="AP187" s="44"/>
      <c r="AQ187" s="44"/>
    </row>
    <row r="188" spans="1:43" ht="12.75" x14ac:dyDescent="0.2">
      <c r="A188" s="44"/>
      <c r="B188" s="44"/>
      <c r="C188" s="44"/>
      <c r="D188" s="44"/>
      <c r="E188" s="44"/>
      <c r="F188" s="44"/>
      <c r="G188" s="113"/>
      <c r="H188" s="77"/>
      <c r="I188" s="77"/>
      <c r="J188" s="77"/>
      <c r="K188" s="77"/>
      <c r="L188" s="77"/>
      <c r="M188" s="114"/>
      <c r="N188" s="115"/>
      <c r="O188" s="116"/>
      <c r="P188" s="116"/>
      <c r="Q188" s="113"/>
      <c r="R188" s="77"/>
      <c r="S188" s="117"/>
      <c r="T188" s="44"/>
      <c r="U188" s="44"/>
      <c r="V188" s="44"/>
      <c r="W188" s="44"/>
      <c r="X188" s="44"/>
      <c r="Y188" s="44"/>
      <c r="Z188" s="44"/>
      <c r="AA188" s="44"/>
      <c r="AB188" s="44"/>
      <c r="AC188" s="115"/>
      <c r="AD188" s="115"/>
      <c r="AE188" s="77"/>
      <c r="AF188" s="115"/>
      <c r="AG188" s="77"/>
      <c r="AH188" s="77"/>
      <c r="AI188" s="77"/>
      <c r="AJ188" s="116"/>
      <c r="AK188" s="44"/>
      <c r="AL188" s="77"/>
      <c r="AM188" s="77"/>
      <c r="AN188" s="77"/>
      <c r="AO188" s="44"/>
      <c r="AP188" s="44"/>
      <c r="AQ188" s="44"/>
    </row>
    <row r="189" spans="1:43" ht="12.75" x14ac:dyDescent="0.2">
      <c r="A189" s="44"/>
      <c r="B189" s="44"/>
      <c r="C189" s="44"/>
      <c r="D189" s="44"/>
      <c r="E189" s="44"/>
      <c r="F189" s="44"/>
      <c r="G189" s="113"/>
      <c r="H189" s="77"/>
      <c r="I189" s="77"/>
      <c r="J189" s="77"/>
      <c r="K189" s="77"/>
      <c r="L189" s="77"/>
      <c r="M189" s="114"/>
      <c r="N189" s="115"/>
      <c r="O189" s="116"/>
      <c r="P189" s="116"/>
      <c r="Q189" s="113"/>
      <c r="R189" s="77"/>
      <c r="S189" s="117"/>
      <c r="T189" s="44"/>
      <c r="U189" s="44"/>
      <c r="V189" s="44"/>
      <c r="W189" s="44"/>
      <c r="X189" s="44"/>
      <c r="Y189" s="44"/>
      <c r="Z189" s="44"/>
      <c r="AA189" s="44"/>
      <c r="AB189" s="44"/>
      <c r="AC189" s="115"/>
      <c r="AD189" s="115"/>
      <c r="AE189" s="77"/>
      <c r="AF189" s="115"/>
      <c r="AG189" s="77"/>
      <c r="AH189" s="77"/>
      <c r="AI189" s="77"/>
      <c r="AJ189" s="116"/>
      <c r="AK189" s="44"/>
      <c r="AL189" s="77"/>
      <c r="AM189" s="77"/>
      <c r="AN189" s="77"/>
      <c r="AO189" s="44"/>
      <c r="AP189" s="44"/>
      <c r="AQ189" s="44"/>
    </row>
    <row r="190" spans="1:43" ht="12.75" x14ac:dyDescent="0.2">
      <c r="A190" s="44"/>
      <c r="B190" s="44"/>
      <c r="C190" s="44"/>
      <c r="D190" s="44"/>
      <c r="E190" s="44"/>
      <c r="F190" s="44"/>
      <c r="G190" s="113"/>
      <c r="H190" s="77"/>
      <c r="I190" s="77"/>
      <c r="J190" s="77"/>
      <c r="K190" s="77"/>
      <c r="L190" s="77"/>
      <c r="M190" s="114"/>
      <c r="N190" s="115"/>
      <c r="O190" s="116"/>
      <c r="P190" s="116"/>
      <c r="Q190" s="113"/>
      <c r="R190" s="77"/>
      <c r="S190" s="117"/>
      <c r="T190" s="44"/>
      <c r="U190" s="44"/>
      <c r="V190" s="44"/>
      <c r="W190" s="44"/>
      <c r="X190" s="44"/>
      <c r="Y190" s="44"/>
      <c r="Z190" s="44"/>
      <c r="AA190" s="44"/>
      <c r="AB190" s="44"/>
      <c r="AC190" s="115"/>
      <c r="AD190" s="115"/>
      <c r="AE190" s="77"/>
      <c r="AF190" s="115"/>
      <c r="AG190" s="77"/>
      <c r="AH190" s="77"/>
      <c r="AI190" s="77"/>
      <c r="AJ190" s="116"/>
      <c r="AK190" s="44"/>
      <c r="AL190" s="77"/>
      <c r="AM190" s="77"/>
      <c r="AN190" s="77"/>
      <c r="AO190" s="44"/>
      <c r="AP190" s="44"/>
      <c r="AQ190" s="44"/>
    </row>
    <row r="191" spans="1:43" ht="12.75" x14ac:dyDescent="0.2">
      <c r="A191" s="44"/>
      <c r="B191" s="44"/>
      <c r="C191" s="44"/>
      <c r="D191" s="44"/>
      <c r="E191" s="44"/>
      <c r="F191" s="44"/>
      <c r="G191" s="113"/>
      <c r="H191" s="77"/>
      <c r="I191" s="77"/>
      <c r="J191" s="77"/>
      <c r="K191" s="77"/>
      <c r="L191" s="77"/>
      <c r="M191" s="114"/>
      <c r="N191" s="115"/>
      <c r="O191" s="116"/>
      <c r="P191" s="116"/>
      <c r="Q191" s="113"/>
      <c r="R191" s="77"/>
      <c r="S191" s="117"/>
      <c r="T191" s="44"/>
      <c r="U191" s="44"/>
      <c r="V191" s="44"/>
      <c r="W191" s="44"/>
      <c r="X191" s="44"/>
      <c r="Y191" s="44"/>
      <c r="Z191" s="44"/>
      <c r="AA191" s="44"/>
      <c r="AB191" s="44"/>
      <c r="AC191" s="115"/>
      <c r="AD191" s="115"/>
      <c r="AE191" s="77"/>
      <c r="AF191" s="115"/>
      <c r="AG191" s="77"/>
      <c r="AH191" s="77"/>
      <c r="AI191" s="77"/>
      <c r="AJ191" s="116"/>
      <c r="AK191" s="44"/>
      <c r="AL191" s="77"/>
      <c r="AM191" s="77"/>
      <c r="AN191" s="77"/>
      <c r="AO191" s="44"/>
      <c r="AP191" s="44"/>
      <c r="AQ191" s="44"/>
    </row>
    <row r="192" spans="1:43" ht="12.75" x14ac:dyDescent="0.2">
      <c r="A192" s="44"/>
      <c r="B192" s="44"/>
      <c r="C192" s="44"/>
      <c r="D192" s="44"/>
      <c r="E192" s="44"/>
      <c r="F192" s="44"/>
      <c r="G192" s="113"/>
      <c r="H192" s="77"/>
      <c r="I192" s="77"/>
      <c r="J192" s="77"/>
      <c r="K192" s="77"/>
      <c r="L192" s="77"/>
      <c r="M192" s="114"/>
      <c r="N192" s="115"/>
      <c r="O192" s="116"/>
      <c r="P192" s="116"/>
      <c r="Q192" s="113"/>
      <c r="R192" s="77"/>
      <c r="S192" s="117"/>
      <c r="T192" s="44"/>
      <c r="U192" s="44"/>
      <c r="V192" s="44"/>
      <c r="W192" s="44"/>
      <c r="X192" s="44"/>
      <c r="Y192" s="44"/>
      <c r="Z192" s="44"/>
      <c r="AA192" s="44"/>
      <c r="AB192" s="44"/>
      <c r="AC192" s="115"/>
      <c r="AD192" s="115"/>
      <c r="AE192" s="77"/>
      <c r="AF192" s="115"/>
      <c r="AG192" s="77"/>
      <c r="AH192" s="77"/>
      <c r="AI192" s="77"/>
      <c r="AJ192" s="116"/>
      <c r="AK192" s="44"/>
      <c r="AL192" s="77"/>
      <c r="AM192" s="77"/>
      <c r="AN192" s="77"/>
      <c r="AO192" s="44"/>
      <c r="AP192" s="44"/>
      <c r="AQ192" s="44"/>
    </row>
    <row r="193" spans="1:43" ht="12.75" x14ac:dyDescent="0.2">
      <c r="A193" s="44"/>
      <c r="B193" s="44"/>
      <c r="C193" s="44"/>
      <c r="D193" s="44"/>
      <c r="E193" s="44"/>
      <c r="F193" s="44"/>
      <c r="G193" s="113"/>
      <c r="H193" s="77"/>
      <c r="I193" s="77"/>
      <c r="J193" s="77"/>
      <c r="K193" s="77"/>
      <c r="L193" s="77"/>
      <c r="M193" s="114"/>
      <c r="N193" s="115"/>
      <c r="O193" s="116"/>
      <c r="P193" s="116"/>
      <c r="Q193" s="113"/>
      <c r="R193" s="77"/>
      <c r="S193" s="117"/>
      <c r="T193" s="44"/>
      <c r="U193" s="44"/>
      <c r="V193" s="44"/>
      <c r="W193" s="44"/>
      <c r="X193" s="44"/>
      <c r="Y193" s="44"/>
      <c r="Z193" s="44"/>
      <c r="AA193" s="44"/>
      <c r="AB193" s="44"/>
      <c r="AC193" s="115"/>
      <c r="AD193" s="115"/>
      <c r="AE193" s="77"/>
      <c r="AF193" s="115"/>
      <c r="AG193" s="77"/>
      <c r="AH193" s="77"/>
      <c r="AI193" s="77"/>
      <c r="AJ193" s="116"/>
      <c r="AK193" s="44"/>
      <c r="AL193" s="77"/>
      <c r="AM193" s="77"/>
      <c r="AN193" s="77"/>
      <c r="AO193" s="44"/>
      <c r="AP193" s="44"/>
      <c r="AQ193" s="44"/>
    </row>
    <row r="194" spans="1:43" ht="12.75" x14ac:dyDescent="0.2">
      <c r="A194" s="44"/>
      <c r="B194" s="44"/>
      <c r="C194" s="44"/>
      <c r="D194" s="44"/>
      <c r="E194" s="44"/>
      <c r="F194" s="44"/>
      <c r="G194" s="113"/>
      <c r="H194" s="77"/>
      <c r="I194" s="77"/>
      <c r="J194" s="77"/>
      <c r="K194" s="77"/>
      <c r="L194" s="77"/>
      <c r="M194" s="114"/>
      <c r="N194" s="115"/>
      <c r="O194" s="116"/>
      <c r="P194" s="116"/>
      <c r="Q194" s="113"/>
      <c r="R194" s="77"/>
      <c r="S194" s="117"/>
      <c r="T194" s="44"/>
      <c r="U194" s="44"/>
      <c r="V194" s="44"/>
      <c r="W194" s="44"/>
      <c r="X194" s="44"/>
      <c r="Y194" s="44"/>
      <c r="Z194" s="44"/>
      <c r="AA194" s="44"/>
      <c r="AB194" s="44"/>
      <c r="AC194" s="115"/>
      <c r="AD194" s="115"/>
      <c r="AE194" s="77"/>
      <c r="AF194" s="115"/>
      <c r="AG194" s="77"/>
      <c r="AH194" s="77"/>
      <c r="AI194" s="77"/>
      <c r="AJ194" s="116"/>
      <c r="AK194" s="44"/>
      <c r="AL194" s="77"/>
      <c r="AM194" s="77"/>
      <c r="AN194" s="77"/>
      <c r="AO194" s="44"/>
      <c r="AP194" s="44"/>
      <c r="AQ194" s="44"/>
    </row>
    <row r="195" spans="1:43" ht="12.75" x14ac:dyDescent="0.2">
      <c r="A195" s="44"/>
      <c r="B195" s="44"/>
      <c r="C195" s="44"/>
      <c r="D195" s="44"/>
      <c r="E195" s="44"/>
      <c r="F195" s="44"/>
      <c r="G195" s="113"/>
      <c r="H195" s="77"/>
      <c r="I195" s="77"/>
      <c r="J195" s="77"/>
      <c r="K195" s="77"/>
      <c r="L195" s="77"/>
      <c r="M195" s="114"/>
      <c r="N195" s="115"/>
      <c r="O195" s="116"/>
      <c r="P195" s="116"/>
      <c r="Q195" s="113"/>
      <c r="R195" s="77"/>
      <c r="S195" s="117"/>
      <c r="T195" s="44"/>
      <c r="U195" s="44"/>
      <c r="V195" s="44"/>
      <c r="W195" s="44"/>
      <c r="X195" s="44"/>
      <c r="Y195" s="44"/>
      <c r="Z195" s="44"/>
      <c r="AA195" s="44"/>
      <c r="AB195" s="44"/>
      <c r="AC195" s="115"/>
      <c r="AD195" s="115"/>
      <c r="AE195" s="77"/>
      <c r="AF195" s="115"/>
      <c r="AG195" s="77"/>
      <c r="AH195" s="77"/>
      <c r="AI195" s="77"/>
      <c r="AJ195" s="116"/>
      <c r="AK195" s="44"/>
      <c r="AL195" s="77"/>
      <c r="AM195" s="77"/>
      <c r="AN195" s="77"/>
      <c r="AO195" s="44"/>
      <c r="AP195" s="44"/>
      <c r="AQ195" s="44"/>
    </row>
    <row r="196" spans="1:43" ht="12.75" x14ac:dyDescent="0.2">
      <c r="A196" s="44"/>
      <c r="B196" s="44"/>
      <c r="C196" s="44"/>
      <c r="D196" s="44"/>
      <c r="E196" s="44"/>
      <c r="F196" s="44"/>
      <c r="G196" s="113"/>
      <c r="H196" s="77"/>
      <c r="I196" s="77"/>
      <c r="J196" s="77"/>
      <c r="K196" s="77"/>
      <c r="L196" s="77"/>
      <c r="M196" s="114"/>
      <c r="N196" s="115"/>
      <c r="O196" s="116"/>
      <c r="P196" s="116"/>
      <c r="Q196" s="113"/>
      <c r="R196" s="77"/>
      <c r="S196" s="117"/>
      <c r="T196" s="44"/>
      <c r="U196" s="44"/>
      <c r="V196" s="44"/>
      <c r="W196" s="44"/>
      <c r="X196" s="44"/>
      <c r="Y196" s="44"/>
      <c r="Z196" s="44"/>
      <c r="AA196" s="44"/>
      <c r="AB196" s="44"/>
      <c r="AC196" s="115"/>
      <c r="AD196" s="115"/>
      <c r="AE196" s="77"/>
      <c r="AF196" s="115"/>
      <c r="AG196" s="77"/>
      <c r="AH196" s="77"/>
      <c r="AI196" s="77"/>
      <c r="AJ196" s="116"/>
      <c r="AK196" s="44"/>
      <c r="AL196" s="77"/>
      <c r="AM196" s="77"/>
      <c r="AN196" s="77"/>
      <c r="AO196" s="44"/>
      <c r="AP196" s="44"/>
      <c r="AQ196" s="44"/>
    </row>
    <row r="197" spans="1:43" ht="12.75" x14ac:dyDescent="0.2">
      <c r="A197" s="44"/>
      <c r="B197" s="44"/>
      <c r="C197" s="44"/>
      <c r="D197" s="44"/>
      <c r="E197" s="44"/>
      <c r="F197" s="44"/>
      <c r="G197" s="113"/>
      <c r="H197" s="77"/>
      <c r="I197" s="77"/>
      <c r="J197" s="77"/>
      <c r="K197" s="77"/>
      <c r="L197" s="77"/>
      <c r="M197" s="114"/>
      <c r="N197" s="115"/>
      <c r="O197" s="116"/>
      <c r="P197" s="116"/>
      <c r="Q197" s="113"/>
      <c r="R197" s="77"/>
      <c r="S197" s="117"/>
      <c r="T197" s="44"/>
      <c r="U197" s="44"/>
      <c r="V197" s="44"/>
      <c r="W197" s="44"/>
      <c r="X197" s="44"/>
      <c r="Y197" s="44"/>
      <c r="Z197" s="44"/>
      <c r="AA197" s="44"/>
      <c r="AB197" s="44"/>
      <c r="AC197" s="115"/>
      <c r="AD197" s="115"/>
      <c r="AE197" s="77"/>
      <c r="AF197" s="115"/>
      <c r="AG197" s="77"/>
      <c r="AH197" s="77"/>
      <c r="AI197" s="77"/>
      <c r="AJ197" s="116"/>
      <c r="AK197" s="44"/>
      <c r="AL197" s="77"/>
      <c r="AM197" s="77"/>
      <c r="AN197" s="77"/>
      <c r="AO197" s="44"/>
      <c r="AP197" s="44"/>
      <c r="AQ197" s="44"/>
    </row>
    <row r="198" spans="1:43" ht="12.75" x14ac:dyDescent="0.2">
      <c r="A198" s="44"/>
      <c r="B198" s="44"/>
      <c r="C198" s="44"/>
      <c r="D198" s="44"/>
      <c r="E198" s="44"/>
      <c r="F198" s="44"/>
      <c r="G198" s="113"/>
      <c r="H198" s="77"/>
      <c r="I198" s="77"/>
      <c r="J198" s="77"/>
      <c r="K198" s="77"/>
      <c r="L198" s="77"/>
      <c r="M198" s="114"/>
      <c r="N198" s="115"/>
      <c r="O198" s="116"/>
      <c r="P198" s="116"/>
      <c r="Q198" s="113"/>
      <c r="R198" s="77"/>
      <c r="S198" s="117"/>
      <c r="T198" s="44"/>
      <c r="U198" s="44"/>
      <c r="V198" s="44"/>
      <c r="W198" s="44"/>
      <c r="X198" s="44"/>
      <c r="Y198" s="44"/>
      <c r="Z198" s="44"/>
      <c r="AA198" s="44"/>
      <c r="AB198" s="44"/>
      <c r="AC198" s="115"/>
      <c r="AD198" s="115"/>
      <c r="AE198" s="77"/>
      <c r="AF198" s="115"/>
      <c r="AG198" s="77"/>
      <c r="AH198" s="77"/>
      <c r="AI198" s="77"/>
      <c r="AJ198" s="116"/>
      <c r="AK198" s="44"/>
      <c r="AL198" s="77"/>
      <c r="AM198" s="77"/>
      <c r="AN198" s="77"/>
      <c r="AO198" s="44"/>
      <c r="AP198" s="44"/>
      <c r="AQ198" s="44"/>
    </row>
    <row r="199" spans="1:43" ht="12.75" x14ac:dyDescent="0.2">
      <c r="A199" s="44"/>
      <c r="B199" s="44"/>
      <c r="C199" s="44"/>
      <c r="D199" s="44"/>
      <c r="E199" s="44"/>
      <c r="F199" s="44"/>
      <c r="G199" s="113"/>
      <c r="H199" s="77"/>
      <c r="I199" s="77"/>
      <c r="J199" s="77"/>
      <c r="K199" s="77"/>
      <c r="L199" s="77"/>
      <c r="M199" s="114"/>
      <c r="N199" s="115"/>
      <c r="O199" s="116"/>
      <c r="P199" s="116"/>
      <c r="Q199" s="113"/>
      <c r="R199" s="77"/>
      <c r="S199" s="117"/>
      <c r="T199" s="44"/>
      <c r="U199" s="44"/>
      <c r="V199" s="44"/>
      <c r="W199" s="44"/>
      <c r="X199" s="44"/>
      <c r="Y199" s="44"/>
      <c r="Z199" s="44"/>
      <c r="AA199" s="44"/>
      <c r="AB199" s="44"/>
      <c r="AC199" s="115"/>
      <c r="AD199" s="115"/>
      <c r="AE199" s="77"/>
      <c r="AF199" s="115"/>
      <c r="AG199" s="77"/>
      <c r="AH199" s="77"/>
      <c r="AI199" s="77"/>
      <c r="AJ199" s="116"/>
      <c r="AK199" s="44"/>
      <c r="AL199" s="77"/>
      <c r="AM199" s="77"/>
      <c r="AN199" s="77"/>
      <c r="AO199" s="44"/>
      <c r="AP199" s="44"/>
      <c r="AQ199" s="44"/>
    </row>
    <row r="200" spans="1:43" ht="12.75" x14ac:dyDescent="0.2">
      <c r="A200" s="44"/>
      <c r="B200" s="44"/>
      <c r="C200" s="44"/>
      <c r="D200" s="44"/>
      <c r="E200" s="44"/>
      <c r="F200" s="44"/>
      <c r="G200" s="113"/>
      <c r="H200" s="77"/>
      <c r="I200" s="77"/>
      <c r="J200" s="77"/>
      <c r="K200" s="77"/>
      <c r="L200" s="77"/>
      <c r="M200" s="114"/>
      <c r="N200" s="115"/>
      <c r="O200" s="116"/>
      <c r="P200" s="116"/>
      <c r="Q200" s="113"/>
      <c r="R200" s="77"/>
      <c r="S200" s="117"/>
      <c r="T200" s="44"/>
      <c r="U200" s="44"/>
      <c r="V200" s="44"/>
      <c r="W200" s="44"/>
      <c r="X200" s="44"/>
      <c r="Y200" s="44"/>
      <c r="Z200" s="44"/>
      <c r="AA200" s="44"/>
      <c r="AB200" s="44"/>
      <c r="AC200" s="115"/>
      <c r="AD200" s="115"/>
      <c r="AE200" s="77"/>
      <c r="AF200" s="115"/>
      <c r="AG200" s="77"/>
      <c r="AH200" s="77"/>
      <c r="AI200" s="77"/>
      <c r="AJ200" s="116"/>
      <c r="AK200" s="44"/>
      <c r="AL200" s="77"/>
      <c r="AM200" s="77"/>
      <c r="AN200" s="77"/>
      <c r="AO200" s="44"/>
      <c r="AP200" s="44"/>
      <c r="AQ200" s="44"/>
    </row>
    <row r="201" spans="1:43" ht="12.75" x14ac:dyDescent="0.2">
      <c r="A201" s="44"/>
      <c r="B201" s="44"/>
      <c r="C201" s="44"/>
      <c r="D201" s="44"/>
      <c r="E201" s="44"/>
      <c r="F201" s="44"/>
      <c r="G201" s="113"/>
      <c r="H201" s="77"/>
      <c r="I201" s="77"/>
      <c r="J201" s="77"/>
      <c r="K201" s="77"/>
      <c r="L201" s="77"/>
      <c r="M201" s="114"/>
      <c r="N201" s="115"/>
      <c r="O201" s="116"/>
      <c r="P201" s="116"/>
      <c r="Q201" s="113"/>
      <c r="R201" s="77"/>
      <c r="S201" s="117"/>
      <c r="T201" s="44"/>
      <c r="U201" s="44"/>
      <c r="V201" s="44"/>
      <c r="W201" s="44"/>
      <c r="X201" s="44"/>
      <c r="Y201" s="44"/>
      <c r="Z201" s="44"/>
      <c r="AA201" s="44"/>
      <c r="AB201" s="44"/>
      <c r="AC201" s="115"/>
      <c r="AD201" s="115"/>
      <c r="AE201" s="77"/>
      <c r="AF201" s="115"/>
      <c r="AG201" s="77"/>
      <c r="AH201" s="77"/>
      <c r="AI201" s="77"/>
      <c r="AJ201" s="116"/>
      <c r="AK201" s="44"/>
      <c r="AL201" s="77"/>
      <c r="AM201" s="77"/>
      <c r="AN201" s="77"/>
      <c r="AO201" s="44"/>
      <c r="AP201" s="44"/>
      <c r="AQ201" s="44"/>
    </row>
    <row r="202" spans="1:43" ht="12.75" x14ac:dyDescent="0.2">
      <c r="A202" s="44"/>
      <c r="B202" s="44"/>
      <c r="C202" s="44"/>
      <c r="D202" s="44"/>
      <c r="E202" s="44"/>
      <c r="F202" s="44"/>
      <c r="G202" s="113"/>
      <c r="H202" s="77"/>
      <c r="I202" s="77"/>
      <c r="J202" s="77"/>
      <c r="K202" s="77"/>
      <c r="L202" s="77"/>
      <c r="M202" s="114"/>
      <c r="N202" s="115"/>
      <c r="O202" s="116"/>
      <c r="P202" s="116"/>
      <c r="Q202" s="113"/>
      <c r="R202" s="77"/>
      <c r="S202" s="117"/>
      <c r="T202" s="44"/>
      <c r="U202" s="44"/>
      <c r="V202" s="44"/>
      <c r="W202" s="44"/>
      <c r="X202" s="44"/>
      <c r="Y202" s="44"/>
      <c r="Z202" s="44"/>
      <c r="AA202" s="44"/>
      <c r="AB202" s="44"/>
      <c r="AC202" s="115"/>
      <c r="AD202" s="115"/>
      <c r="AE202" s="77"/>
      <c r="AF202" s="115"/>
      <c r="AG202" s="77"/>
      <c r="AH202" s="77"/>
      <c r="AI202" s="77"/>
      <c r="AJ202" s="116"/>
      <c r="AK202" s="44"/>
      <c r="AL202" s="77"/>
      <c r="AM202" s="77"/>
      <c r="AN202" s="77"/>
      <c r="AO202" s="44"/>
      <c r="AP202" s="44"/>
      <c r="AQ202" s="44"/>
    </row>
    <row r="203" spans="1:43" ht="12.75" x14ac:dyDescent="0.2">
      <c r="A203" s="44"/>
      <c r="B203" s="44"/>
      <c r="C203" s="44"/>
      <c r="D203" s="44"/>
      <c r="E203" s="44"/>
      <c r="F203" s="44"/>
      <c r="G203" s="113"/>
      <c r="H203" s="77"/>
      <c r="I203" s="77"/>
      <c r="J203" s="77"/>
      <c r="K203" s="77"/>
      <c r="L203" s="77"/>
      <c r="M203" s="114"/>
      <c r="N203" s="115"/>
      <c r="O203" s="116"/>
      <c r="P203" s="116"/>
      <c r="Q203" s="113"/>
      <c r="R203" s="77"/>
      <c r="S203" s="117"/>
      <c r="T203" s="44"/>
      <c r="U203" s="44"/>
      <c r="V203" s="44"/>
      <c r="W203" s="44"/>
      <c r="X203" s="44"/>
      <c r="Y203" s="44"/>
      <c r="Z203" s="44"/>
      <c r="AA203" s="44"/>
      <c r="AB203" s="44"/>
      <c r="AC203" s="115"/>
      <c r="AD203" s="115"/>
      <c r="AE203" s="77"/>
      <c r="AF203" s="115"/>
      <c r="AG203" s="77"/>
      <c r="AH203" s="77"/>
      <c r="AI203" s="77"/>
      <c r="AJ203" s="116"/>
      <c r="AK203" s="44"/>
      <c r="AL203" s="77"/>
      <c r="AM203" s="77"/>
      <c r="AN203" s="77"/>
      <c r="AO203" s="44"/>
      <c r="AP203" s="44"/>
      <c r="AQ203" s="44"/>
    </row>
    <row r="204" spans="1:43" ht="12.75" x14ac:dyDescent="0.2">
      <c r="A204" s="44"/>
      <c r="B204" s="44"/>
      <c r="C204" s="44"/>
      <c r="D204" s="44"/>
      <c r="E204" s="44"/>
      <c r="F204" s="44"/>
      <c r="G204" s="113"/>
      <c r="H204" s="77"/>
      <c r="I204" s="77"/>
      <c r="J204" s="77"/>
      <c r="K204" s="77"/>
      <c r="L204" s="77"/>
      <c r="M204" s="114"/>
      <c r="N204" s="115"/>
      <c r="O204" s="116"/>
      <c r="P204" s="116"/>
      <c r="Q204" s="113"/>
      <c r="R204" s="77"/>
      <c r="S204" s="117"/>
      <c r="T204" s="44"/>
      <c r="U204" s="44"/>
      <c r="V204" s="44"/>
      <c r="W204" s="44"/>
      <c r="X204" s="44"/>
      <c r="Y204" s="44"/>
      <c r="Z204" s="44"/>
      <c r="AA204" s="44"/>
      <c r="AB204" s="44"/>
      <c r="AC204" s="115"/>
      <c r="AD204" s="115"/>
      <c r="AE204" s="77"/>
      <c r="AF204" s="115"/>
      <c r="AG204" s="77"/>
      <c r="AH204" s="77"/>
      <c r="AI204" s="77"/>
      <c r="AJ204" s="116"/>
      <c r="AK204" s="44"/>
      <c r="AL204" s="77"/>
      <c r="AM204" s="77"/>
      <c r="AN204" s="77"/>
      <c r="AO204" s="44"/>
      <c r="AP204" s="44"/>
      <c r="AQ204" s="44"/>
    </row>
    <row r="205" spans="1:43" ht="12.75" x14ac:dyDescent="0.2">
      <c r="A205" s="44"/>
      <c r="B205" s="44"/>
      <c r="C205" s="44"/>
      <c r="D205" s="44"/>
      <c r="E205" s="44"/>
      <c r="F205" s="44"/>
      <c r="G205" s="113"/>
      <c r="H205" s="77"/>
      <c r="I205" s="77"/>
      <c r="J205" s="77"/>
      <c r="K205" s="77"/>
      <c r="L205" s="77"/>
      <c r="M205" s="114"/>
      <c r="N205" s="115"/>
      <c r="O205" s="116"/>
      <c r="P205" s="116"/>
      <c r="Q205" s="113"/>
      <c r="R205" s="77"/>
      <c r="S205" s="117"/>
      <c r="T205" s="44"/>
      <c r="U205" s="44"/>
      <c r="V205" s="44"/>
      <c r="W205" s="44"/>
      <c r="X205" s="44"/>
      <c r="Y205" s="44"/>
      <c r="Z205" s="44"/>
      <c r="AA205" s="44"/>
      <c r="AB205" s="44"/>
      <c r="AC205" s="115"/>
      <c r="AD205" s="115"/>
      <c r="AE205" s="77"/>
      <c r="AF205" s="115"/>
      <c r="AG205" s="77"/>
      <c r="AH205" s="77"/>
      <c r="AI205" s="77"/>
      <c r="AJ205" s="116"/>
      <c r="AK205" s="44"/>
      <c r="AL205" s="77"/>
      <c r="AM205" s="77"/>
      <c r="AN205" s="77"/>
      <c r="AO205" s="44"/>
      <c r="AP205" s="44"/>
      <c r="AQ205" s="44"/>
    </row>
    <row r="206" spans="1:43" ht="12.75" x14ac:dyDescent="0.2">
      <c r="A206" s="44"/>
      <c r="B206" s="44"/>
      <c r="C206" s="44"/>
      <c r="D206" s="44"/>
      <c r="E206" s="44"/>
      <c r="F206" s="44"/>
      <c r="G206" s="113"/>
      <c r="H206" s="77"/>
      <c r="I206" s="77"/>
      <c r="J206" s="77"/>
      <c r="K206" s="77"/>
      <c r="L206" s="77"/>
      <c r="M206" s="114"/>
      <c r="N206" s="115"/>
      <c r="O206" s="116"/>
      <c r="P206" s="116"/>
      <c r="Q206" s="113"/>
      <c r="R206" s="77"/>
      <c r="S206" s="117"/>
      <c r="T206" s="44"/>
      <c r="U206" s="44"/>
      <c r="V206" s="44"/>
      <c r="W206" s="44"/>
      <c r="X206" s="44"/>
      <c r="Y206" s="44"/>
      <c r="Z206" s="44"/>
      <c r="AA206" s="44"/>
      <c r="AB206" s="44"/>
      <c r="AC206" s="115"/>
      <c r="AD206" s="115"/>
      <c r="AE206" s="77"/>
      <c r="AF206" s="115"/>
      <c r="AG206" s="77"/>
      <c r="AH206" s="77"/>
      <c r="AI206" s="77"/>
      <c r="AJ206" s="116"/>
      <c r="AK206" s="44"/>
      <c r="AL206" s="77"/>
      <c r="AM206" s="77"/>
      <c r="AN206" s="77"/>
      <c r="AO206" s="44"/>
      <c r="AP206" s="44"/>
      <c r="AQ206" s="44"/>
    </row>
    <row r="207" spans="1:43" ht="12.75" x14ac:dyDescent="0.2">
      <c r="A207" s="44"/>
      <c r="B207" s="44"/>
      <c r="C207" s="44"/>
      <c r="D207" s="44"/>
      <c r="E207" s="44"/>
      <c r="F207" s="44"/>
      <c r="G207" s="113"/>
      <c r="H207" s="77"/>
      <c r="I207" s="77"/>
      <c r="J207" s="77"/>
      <c r="K207" s="77"/>
      <c r="L207" s="77"/>
      <c r="M207" s="114"/>
      <c r="N207" s="115"/>
      <c r="O207" s="116"/>
      <c r="P207" s="116"/>
      <c r="Q207" s="113"/>
      <c r="R207" s="77"/>
      <c r="S207" s="117"/>
      <c r="T207" s="44"/>
      <c r="U207" s="44"/>
      <c r="V207" s="44"/>
      <c r="W207" s="44"/>
      <c r="X207" s="44"/>
      <c r="Y207" s="44"/>
      <c r="Z207" s="44"/>
      <c r="AA207" s="44"/>
      <c r="AB207" s="44"/>
      <c r="AC207" s="115"/>
      <c r="AD207" s="115"/>
      <c r="AE207" s="77"/>
      <c r="AF207" s="115"/>
      <c r="AG207" s="77"/>
      <c r="AH207" s="77"/>
      <c r="AI207" s="77"/>
      <c r="AJ207" s="116"/>
      <c r="AK207" s="44"/>
      <c r="AL207" s="77"/>
      <c r="AM207" s="77"/>
      <c r="AN207" s="77"/>
      <c r="AO207" s="44"/>
      <c r="AP207" s="44"/>
      <c r="AQ207" s="44"/>
    </row>
    <row r="208" spans="1:43" ht="12.75" x14ac:dyDescent="0.2">
      <c r="A208" s="44"/>
      <c r="B208" s="44"/>
      <c r="C208" s="44"/>
      <c r="D208" s="44"/>
      <c r="E208" s="44"/>
      <c r="F208" s="44"/>
      <c r="G208" s="113"/>
      <c r="H208" s="77"/>
      <c r="I208" s="77"/>
      <c r="J208" s="77"/>
      <c r="K208" s="77"/>
      <c r="L208" s="77"/>
      <c r="M208" s="114"/>
      <c r="N208" s="115"/>
      <c r="O208" s="116"/>
      <c r="P208" s="116"/>
      <c r="Q208" s="113"/>
      <c r="R208" s="77"/>
      <c r="S208" s="117"/>
      <c r="T208" s="44"/>
      <c r="U208" s="44"/>
      <c r="V208" s="44"/>
      <c r="W208" s="44"/>
      <c r="X208" s="44"/>
      <c r="Y208" s="44"/>
      <c r="Z208" s="44"/>
      <c r="AA208" s="44"/>
      <c r="AB208" s="44"/>
      <c r="AC208" s="115"/>
      <c r="AD208" s="115"/>
      <c r="AE208" s="77"/>
      <c r="AF208" s="115"/>
      <c r="AG208" s="77"/>
      <c r="AH208" s="77"/>
      <c r="AI208" s="77"/>
      <c r="AJ208" s="116"/>
      <c r="AK208" s="44"/>
      <c r="AL208" s="77"/>
      <c r="AM208" s="77"/>
      <c r="AN208" s="77"/>
      <c r="AO208" s="44"/>
      <c r="AP208" s="44"/>
      <c r="AQ208" s="44"/>
    </row>
    <row r="209" spans="1:43" ht="12.75" x14ac:dyDescent="0.2">
      <c r="A209" s="44"/>
      <c r="B209" s="44"/>
      <c r="C209" s="44"/>
      <c r="D209" s="44"/>
      <c r="E209" s="44"/>
      <c r="F209" s="44"/>
      <c r="G209" s="113"/>
      <c r="H209" s="77"/>
      <c r="I209" s="77"/>
      <c r="J209" s="77"/>
      <c r="K209" s="77"/>
      <c r="L209" s="77"/>
      <c r="M209" s="114"/>
      <c r="N209" s="115"/>
      <c r="O209" s="116"/>
      <c r="P209" s="116"/>
      <c r="Q209" s="113"/>
      <c r="R209" s="77"/>
      <c r="S209" s="117"/>
      <c r="T209" s="44"/>
      <c r="U209" s="44"/>
      <c r="V209" s="44"/>
      <c r="W209" s="44"/>
      <c r="X209" s="44"/>
      <c r="Y209" s="44"/>
      <c r="Z209" s="44"/>
      <c r="AA209" s="44"/>
      <c r="AB209" s="44"/>
      <c r="AC209" s="115"/>
      <c r="AD209" s="115"/>
      <c r="AE209" s="77"/>
      <c r="AF209" s="115"/>
      <c r="AG209" s="77"/>
      <c r="AH209" s="77"/>
      <c r="AI209" s="77"/>
      <c r="AJ209" s="116"/>
      <c r="AK209" s="44"/>
      <c r="AL209" s="77"/>
      <c r="AM209" s="77"/>
      <c r="AN209" s="77"/>
      <c r="AO209" s="44"/>
      <c r="AP209" s="44"/>
      <c r="AQ209" s="44"/>
    </row>
    <row r="210" spans="1:43" ht="12.75" x14ac:dyDescent="0.2">
      <c r="A210" s="44"/>
      <c r="B210" s="44"/>
      <c r="C210" s="44"/>
      <c r="D210" s="44"/>
      <c r="E210" s="44"/>
      <c r="F210" s="44"/>
      <c r="G210" s="113"/>
      <c r="H210" s="77"/>
      <c r="I210" s="77"/>
      <c r="J210" s="77"/>
      <c r="K210" s="77"/>
      <c r="L210" s="77"/>
      <c r="M210" s="114"/>
      <c r="N210" s="115"/>
      <c r="O210" s="116"/>
      <c r="P210" s="116"/>
      <c r="Q210" s="113"/>
      <c r="R210" s="77"/>
      <c r="S210" s="117"/>
      <c r="T210" s="44"/>
      <c r="U210" s="44"/>
      <c r="V210" s="44"/>
      <c r="W210" s="44"/>
      <c r="X210" s="44"/>
      <c r="Y210" s="44"/>
      <c r="Z210" s="44"/>
      <c r="AA210" s="44"/>
      <c r="AB210" s="44"/>
      <c r="AC210" s="115"/>
      <c r="AD210" s="115"/>
      <c r="AE210" s="77"/>
      <c r="AF210" s="115"/>
      <c r="AG210" s="77"/>
      <c r="AH210" s="77"/>
      <c r="AI210" s="77"/>
      <c r="AJ210" s="116"/>
      <c r="AK210" s="44"/>
      <c r="AL210" s="77"/>
      <c r="AM210" s="77"/>
      <c r="AN210" s="77"/>
      <c r="AO210" s="44"/>
      <c r="AP210" s="44"/>
      <c r="AQ210" s="44"/>
    </row>
    <row r="211" spans="1:43" ht="12.75" x14ac:dyDescent="0.2">
      <c r="A211" s="44"/>
      <c r="B211" s="44"/>
      <c r="C211" s="44"/>
      <c r="D211" s="44"/>
      <c r="E211" s="44"/>
      <c r="F211" s="44"/>
      <c r="G211" s="113"/>
      <c r="H211" s="77"/>
      <c r="I211" s="77"/>
      <c r="J211" s="77"/>
      <c r="K211" s="77"/>
      <c r="L211" s="77"/>
      <c r="M211" s="114"/>
      <c r="N211" s="115"/>
      <c r="O211" s="116"/>
      <c r="P211" s="116"/>
      <c r="Q211" s="113"/>
      <c r="R211" s="77"/>
      <c r="S211" s="117"/>
      <c r="T211" s="44"/>
      <c r="U211" s="44"/>
      <c r="V211" s="44"/>
      <c r="W211" s="44"/>
      <c r="X211" s="44"/>
      <c r="Y211" s="44"/>
      <c r="Z211" s="44"/>
      <c r="AA211" s="44"/>
      <c r="AB211" s="44"/>
      <c r="AC211" s="115"/>
      <c r="AD211" s="115"/>
      <c r="AE211" s="77"/>
      <c r="AF211" s="115"/>
      <c r="AG211" s="77"/>
      <c r="AH211" s="77"/>
      <c r="AI211" s="77"/>
      <c r="AJ211" s="116"/>
      <c r="AK211" s="44"/>
      <c r="AL211" s="77"/>
      <c r="AM211" s="77"/>
      <c r="AN211" s="77"/>
      <c r="AO211" s="44"/>
      <c r="AP211" s="44"/>
      <c r="AQ211" s="44"/>
    </row>
    <row r="212" spans="1:43" ht="12.75" x14ac:dyDescent="0.2">
      <c r="A212" s="44"/>
      <c r="B212" s="44"/>
      <c r="C212" s="44"/>
      <c r="D212" s="44"/>
      <c r="E212" s="44"/>
      <c r="F212" s="44"/>
      <c r="G212" s="113"/>
      <c r="H212" s="77"/>
      <c r="I212" s="77"/>
      <c r="J212" s="77"/>
      <c r="K212" s="77"/>
      <c r="L212" s="77"/>
      <c r="M212" s="114"/>
      <c r="N212" s="115"/>
      <c r="O212" s="116"/>
      <c r="P212" s="116"/>
      <c r="Q212" s="113"/>
      <c r="R212" s="77"/>
      <c r="S212" s="117"/>
      <c r="T212" s="44"/>
      <c r="U212" s="44"/>
      <c r="V212" s="44"/>
      <c r="W212" s="44"/>
      <c r="X212" s="44"/>
      <c r="Y212" s="44"/>
      <c r="Z212" s="44"/>
      <c r="AA212" s="44"/>
      <c r="AB212" s="44"/>
      <c r="AC212" s="115"/>
      <c r="AD212" s="115"/>
      <c r="AE212" s="77"/>
      <c r="AF212" s="115"/>
      <c r="AG212" s="77"/>
      <c r="AH212" s="77"/>
      <c r="AI212" s="77"/>
      <c r="AJ212" s="116"/>
      <c r="AK212" s="44"/>
      <c r="AL212" s="77"/>
      <c r="AM212" s="77"/>
      <c r="AN212" s="77"/>
      <c r="AO212" s="44"/>
      <c r="AP212" s="44"/>
      <c r="AQ212" s="44"/>
    </row>
    <row r="213" spans="1:43" ht="12.75" x14ac:dyDescent="0.2">
      <c r="A213" s="44"/>
      <c r="B213" s="44"/>
      <c r="C213" s="44"/>
      <c r="D213" s="44"/>
      <c r="E213" s="44"/>
      <c r="F213" s="44"/>
      <c r="G213" s="113"/>
      <c r="H213" s="77"/>
      <c r="I213" s="77"/>
      <c r="J213" s="77"/>
      <c r="K213" s="77"/>
      <c r="L213" s="77"/>
      <c r="M213" s="114"/>
      <c r="N213" s="115"/>
      <c r="O213" s="116"/>
      <c r="P213" s="116"/>
      <c r="Q213" s="113"/>
      <c r="R213" s="77"/>
      <c r="S213" s="117"/>
      <c r="T213" s="44"/>
      <c r="U213" s="44"/>
      <c r="V213" s="44"/>
      <c r="W213" s="44"/>
      <c r="X213" s="44"/>
      <c r="Y213" s="44"/>
      <c r="Z213" s="44"/>
      <c r="AA213" s="44"/>
      <c r="AB213" s="44"/>
      <c r="AC213" s="115"/>
      <c r="AD213" s="115"/>
      <c r="AE213" s="77"/>
      <c r="AF213" s="115"/>
      <c r="AG213" s="77"/>
      <c r="AH213" s="77"/>
      <c r="AI213" s="77"/>
      <c r="AJ213" s="116"/>
      <c r="AK213" s="44"/>
      <c r="AL213" s="77"/>
      <c r="AM213" s="77"/>
      <c r="AN213" s="77"/>
      <c r="AO213" s="44"/>
      <c r="AP213" s="44"/>
      <c r="AQ213" s="44"/>
    </row>
    <row r="214" spans="1:43" ht="12.75" x14ac:dyDescent="0.2">
      <c r="A214" s="44"/>
      <c r="B214" s="44"/>
      <c r="C214" s="44"/>
      <c r="D214" s="44"/>
      <c r="E214" s="44"/>
      <c r="F214" s="44"/>
      <c r="G214" s="113"/>
      <c r="H214" s="77"/>
      <c r="I214" s="77"/>
      <c r="J214" s="77"/>
      <c r="K214" s="77"/>
      <c r="L214" s="77"/>
      <c r="M214" s="114"/>
      <c r="N214" s="115"/>
      <c r="O214" s="116"/>
      <c r="P214" s="116"/>
      <c r="Q214" s="113"/>
      <c r="R214" s="77"/>
      <c r="S214" s="117"/>
      <c r="T214" s="44"/>
      <c r="U214" s="44"/>
      <c r="V214" s="44"/>
      <c r="W214" s="44"/>
      <c r="X214" s="44"/>
      <c r="Y214" s="44"/>
      <c r="Z214" s="44"/>
      <c r="AA214" s="44"/>
      <c r="AB214" s="44"/>
      <c r="AC214" s="115"/>
      <c r="AD214" s="115"/>
      <c r="AE214" s="77"/>
      <c r="AF214" s="115"/>
      <c r="AG214" s="77"/>
      <c r="AH214" s="77"/>
      <c r="AI214" s="77"/>
      <c r="AJ214" s="116"/>
      <c r="AK214" s="44"/>
      <c r="AL214" s="77"/>
      <c r="AM214" s="77"/>
      <c r="AN214" s="77"/>
      <c r="AO214" s="44"/>
      <c r="AP214" s="44"/>
      <c r="AQ214" s="44"/>
    </row>
    <row r="215" spans="1:43" ht="12.75" x14ac:dyDescent="0.2">
      <c r="A215" s="44"/>
      <c r="B215" s="44"/>
      <c r="C215" s="44"/>
      <c r="D215" s="44"/>
      <c r="E215" s="44"/>
      <c r="F215" s="44"/>
      <c r="G215" s="113"/>
      <c r="H215" s="77"/>
      <c r="I215" s="77"/>
      <c r="J215" s="77"/>
      <c r="K215" s="77"/>
      <c r="L215" s="77"/>
      <c r="M215" s="114"/>
      <c r="N215" s="115"/>
      <c r="O215" s="116"/>
      <c r="P215" s="116"/>
      <c r="Q215" s="113"/>
      <c r="R215" s="77"/>
      <c r="S215" s="117"/>
      <c r="T215" s="44"/>
      <c r="U215" s="44"/>
      <c r="V215" s="44"/>
      <c r="W215" s="44"/>
      <c r="X215" s="44"/>
      <c r="Y215" s="44"/>
      <c r="Z215" s="44"/>
      <c r="AA215" s="44"/>
      <c r="AB215" s="44"/>
      <c r="AC215" s="115"/>
      <c r="AD215" s="115"/>
      <c r="AE215" s="77"/>
      <c r="AF215" s="115"/>
      <c r="AG215" s="77"/>
      <c r="AH215" s="77"/>
      <c r="AI215" s="77"/>
      <c r="AJ215" s="116"/>
      <c r="AK215" s="44"/>
      <c r="AL215" s="77"/>
      <c r="AM215" s="77"/>
      <c r="AN215" s="77"/>
      <c r="AO215" s="44"/>
      <c r="AP215" s="44"/>
      <c r="AQ215" s="44"/>
    </row>
    <row r="216" spans="1:43" ht="12.75" x14ac:dyDescent="0.2">
      <c r="A216" s="44"/>
      <c r="B216" s="44"/>
      <c r="C216" s="44"/>
      <c r="D216" s="44"/>
      <c r="E216" s="44"/>
      <c r="F216" s="44"/>
      <c r="G216" s="113"/>
      <c r="H216" s="77"/>
      <c r="I216" s="77"/>
      <c r="J216" s="77"/>
      <c r="K216" s="77"/>
      <c r="L216" s="77"/>
      <c r="M216" s="114"/>
      <c r="N216" s="115"/>
      <c r="O216" s="116"/>
      <c r="P216" s="116"/>
      <c r="Q216" s="113"/>
      <c r="R216" s="77"/>
      <c r="S216" s="117"/>
      <c r="T216" s="44"/>
      <c r="U216" s="44"/>
      <c r="V216" s="44"/>
      <c r="W216" s="44"/>
      <c r="X216" s="44"/>
      <c r="Y216" s="44"/>
      <c r="Z216" s="44"/>
      <c r="AA216" s="44"/>
      <c r="AB216" s="44"/>
      <c r="AC216" s="115"/>
      <c r="AD216" s="115"/>
      <c r="AE216" s="77"/>
      <c r="AF216" s="115"/>
      <c r="AG216" s="77"/>
      <c r="AH216" s="77"/>
      <c r="AI216" s="77"/>
      <c r="AJ216" s="116"/>
      <c r="AK216" s="44"/>
      <c r="AL216" s="77"/>
      <c r="AM216" s="77"/>
      <c r="AN216" s="77"/>
      <c r="AO216" s="44"/>
      <c r="AP216" s="44"/>
      <c r="AQ216" s="44"/>
    </row>
    <row r="217" spans="1:43" ht="12.75" x14ac:dyDescent="0.2">
      <c r="A217" s="44"/>
      <c r="B217" s="44"/>
      <c r="C217" s="44"/>
      <c r="D217" s="44"/>
      <c r="E217" s="44"/>
      <c r="F217" s="44"/>
      <c r="G217" s="113"/>
      <c r="H217" s="77"/>
      <c r="I217" s="77"/>
      <c r="J217" s="77"/>
      <c r="K217" s="77"/>
      <c r="L217" s="77"/>
      <c r="M217" s="114"/>
      <c r="N217" s="115"/>
      <c r="O217" s="116"/>
      <c r="P217" s="116"/>
      <c r="Q217" s="113"/>
      <c r="R217" s="77"/>
      <c r="S217" s="117"/>
      <c r="T217" s="44"/>
      <c r="U217" s="44"/>
      <c r="V217" s="44"/>
      <c r="W217" s="44"/>
      <c r="X217" s="44"/>
      <c r="Y217" s="44"/>
      <c r="Z217" s="44"/>
      <c r="AA217" s="44"/>
      <c r="AB217" s="44"/>
      <c r="AC217" s="115"/>
      <c r="AD217" s="115"/>
      <c r="AE217" s="77"/>
      <c r="AF217" s="115"/>
      <c r="AG217" s="77"/>
      <c r="AH217" s="77"/>
      <c r="AI217" s="77"/>
      <c r="AJ217" s="116"/>
      <c r="AK217" s="44"/>
      <c r="AL217" s="77"/>
      <c r="AM217" s="77"/>
      <c r="AN217" s="77"/>
      <c r="AO217" s="44"/>
      <c r="AP217" s="44"/>
      <c r="AQ217" s="44"/>
    </row>
    <row r="218" spans="1:43" ht="12.75" x14ac:dyDescent="0.2">
      <c r="A218" s="44"/>
      <c r="B218" s="44"/>
      <c r="C218" s="44"/>
      <c r="D218" s="44"/>
      <c r="E218" s="44"/>
      <c r="F218" s="44"/>
      <c r="G218" s="113"/>
      <c r="H218" s="77"/>
      <c r="I218" s="77"/>
      <c r="J218" s="77"/>
      <c r="K218" s="77"/>
      <c r="L218" s="77"/>
      <c r="M218" s="114"/>
      <c r="N218" s="115"/>
      <c r="O218" s="116"/>
      <c r="P218" s="116"/>
      <c r="Q218" s="113"/>
      <c r="R218" s="77"/>
      <c r="S218" s="117"/>
      <c r="T218" s="44"/>
      <c r="U218" s="44"/>
      <c r="V218" s="44"/>
      <c r="W218" s="44"/>
      <c r="X218" s="44"/>
      <c r="Y218" s="44"/>
      <c r="Z218" s="44"/>
      <c r="AA218" s="44"/>
      <c r="AB218" s="44"/>
      <c r="AC218" s="115"/>
      <c r="AD218" s="115"/>
      <c r="AE218" s="77"/>
      <c r="AF218" s="115"/>
      <c r="AG218" s="77"/>
      <c r="AH218" s="77"/>
      <c r="AI218" s="77"/>
      <c r="AJ218" s="116"/>
      <c r="AK218" s="44"/>
      <c r="AL218" s="77"/>
      <c r="AM218" s="77"/>
      <c r="AN218" s="77"/>
      <c r="AO218" s="44"/>
      <c r="AP218" s="44"/>
      <c r="AQ218" s="44"/>
    </row>
    <row r="219" spans="1:43" ht="12.75" x14ac:dyDescent="0.2">
      <c r="A219" s="44"/>
      <c r="B219" s="44"/>
      <c r="C219" s="44"/>
      <c r="D219" s="44"/>
      <c r="E219" s="44"/>
      <c r="F219" s="44"/>
      <c r="G219" s="113"/>
      <c r="H219" s="77"/>
      <c r="I219" s="77"/>
      <c r="J219" s="77"/>
      <c r="K219" s="77"/>
      <c r="L219" s="77"/>
      <c r="M219" s="114"/>
      <c r="N219" s="115"/>
      <c r="O219" s="116"/>
      <c r="P219" s="116"/>
      <c r="Q219" s="113"/>
      <c r="R219" s="77"/>
      <c r="S219" s="117"/>
      <c r="T219" s="44"/>
      <c r="U219" s="44"/>
      <c r="V219" s="44"/>
      <c r="W219" s="44"/>
      <c r="X219" s="44"/>
      <c r="Y219" s="44"/>
      <c r="Z219" s="44"/>
      <c r="AA219" s="44"/>
      <c r="AB219" s="44"/>
      <c r="AC219" s="115"/>
      <c r="AD219" s="115"/>
      <c r="AE219" s="77"/>
      <c r="AF219" s="115"/>
      <c r="AG219" s="77"/>
      <c r="AH219" s="77"/>
      <c r="AI219" s="77"/>
      <c r="AJ219" s="116"/>
      <c r="AK219" s="44"/>
      <c r="AL219" s="77"/>
      <c r="AM219" s="77"/>
      <c r="AN219" s="77"/>
      <c r="AO219" s="44"/>
      <c r="AP219" s="44"/>
      <c r="AQ219" s="44"/>
    </row>
    <row r="220" spans="1:43" ht="12.75" x14ac:dyDescent="0.2">
      <c r="A220" s="44"/>
      <c r="B220" s="44"/>
      <c r="C220" s="44"/>
      <c r="D220" s="44"/>
      <c r="E220" s="44"/>
      <c r="F220" s="44"/>
      <c r="G220" s="113"/>
      <c r="H220" s="77"/>
      <c r="I220" s="77"/>
      <c r="J220" s="77"/>
      <c r="K220" s="77"/>
      <c r="L220" s="77"/>
      <c r="M220" s="114"/>
      <c r="N220" s="115"/>
      <c r="O220" s="116"/>
      <c r="P220" s="116"/>
      <c r="Q220" s="113"/>
      <c r="R220" s="77"/>
      <c r="S220" s="117"/>
      <c r="T220" s="44"/>
      <c r="U220" s="44"/>
      <c r="V220" s="44"/>
      <c r="W220" s="44"/>
      <c r="X220" s="44"/>
      <c r="Y220" s="44"/>
      <c r="Z220" s="44"/>
      <c r="AA220" s="44"/>
      <c r="AB220" s="44"/>
      <c r="AC220" s="115"/>
      <c r="AD220" s="115"/>
      <c r="AE220" s="77"/>
      <c r="AF220" s="115"/>
      <c r="AG220" s="77"/>
      <c r="AH220" s="77"/>
      <c r="AI220" s="77"/>
      <c r="AJ220" s="116"/>
      <c r="AK220" s="44"/>
      <c r="AL220" s="77"/>
      <c r="AM220" s="77"/>
      <c r="AN220" s="77"/>
      <c r="AO220" s="44"/>
      <c r="AP220" s="44"/>
      <c r="AQ220" s="44"/>
    </row>
    <row r="221" spans="1:43" ht="12.75" x14ac:dyDescent="0.2">
      <c r="A221" s="44"/>
      <c r="B221" s="44"/>
      <c r="C221" s="44"/>
      <c r="D221" s="44"/>
      <c r="E221" s="44"/>
      <c r="F221" s="44"/>
      <c r="G221" s="113"/>
      <c r="H221" s="77"/>
      <c r="I221" s="77"/>
      <c r="J221" s="77"/>
      <c r="K221" s="77"/>
      <c r="L221" s="77"/>
      <c r="M221" s="114"/>
      <c r="N221" s="115"/>
      <c r="O221" s="116"/>
      <c r="P221" s="116"/>
      <c r="Q221" s="113"/>
      <c r="R221" s="77"/>
      <c r="S221" s="117"/>
      <c r="T221" s="44"/>
      <c r="U221" s="44"/>
      <c r="V221" s="44"/>
      <c r="W221" s="44"/>
      <c r="X221" s="44"/>
      <c r="Y221" s="44"/>
      <c r="Z221" s="44"/>
      <c r="AA221" s="44"/>
      <c r="AB221" s="44"/>
      <c r="AC221" s="115"/>
      <c r="AD221" s="115"/>
      <c r="AE221" s="77"/>
      <c r="AF221" s="115"/>
      <c r="AG221" s="77"/>
      <c r="AH221" s="77"/>
      <c r="AI221" s="77"/>
      <c r="AJ221" s="116"/>
      <c r="AK221" s="44"/>
      <c r="AL221" s="77"/>
      <c r="AM221" s="77"/>
      <c r="AN221" s="77"/>
      <c r="AO221" s="44"/>
      <c r="AP221" s="44"/>
      <c r="AQ221" s="44"/>
    </row>
    <row r="222" spans="1:43" ht="12.75" x14ac:dyDescent="0.2">
      <c r="A222" s="44"/>
      <c r="B222" s="44"/>
      <c r="C222" s="44"/>
      <c r="D222" s="44"/>
      <c r="E222" s="44"/>
      <c r="F222" s="44"/>
      <c r="G222" s="113"/>
      <c r="H222" s="77"/>
      <c r="I222" s="77"/>
      <c r="J222" s="77"/>
      <c r="K222" s="77"/>
      <c r="L222" s="77"/>
      <c r="M222" s="114"/>
      <c r="N222" s="115"/>
      <c r="O222" s="116"/>
      <c r="P222" s="116"/>
      <c r="Q222" s="113"/>
      <c r="R222" s="77"/>
      <c r="S222" s="117"/>
      <c r="T222" s="44"/>
      <c r="U222" s="44"/>
      <c r="V222" s="44"/>
      <c r="W222" s="44"/>
      <c r="X222" s="44"/>
      <c r="Y222" s="44"/>
      <c r="Z222" s="44"/>
      <c r="AA222" s="44"/>
      <c r="AB222" s="44"/>
      <c r="AC222" s="115"/>
      <c r="AD222" s="115"/>
      <c r="AE222" s="77"/>
      <c r="AF222" s="115"/>
      <c r="AG222" s="77"/>
      <c r="AH222" s="77"/>
      <c r="AI222" s="77"/>
      <c r="AJ222" s="116"/>
      <c r="AK222" s="44"/>
      <c r="AL222" s="77"/>
      <c r="AM222" s="77"/>
      <c r="AN222" s="77"/>
      <c r="AO222" s="44"/>
      <c r="AP222" s="44"/>
      <c r="AQ222" s="44"/>
    </row>
    <row r="223" spans="1:43" ht="12.75" x14ac:dyDescent="0.2">
      <c r="A223" s="44"/>
      <c r="B223" s="44"/>
      <c r="C223" s="44"/>
      <c r="D223" s="44"/>
      <c r="E223" s="44"/>
      <c r="F223" s="44"/>
      <c r="G223" s="113"/>
      <c r="H223" s="77"/>
      <c r="I223" s="77"/>
      <c r="J223" s="77"/>
      <c r="K223" s="77"/>
      <c r="L223" s="77"/>
      <c r="M223" s="114"/>
      <c r="N223" s="115"/>
      <c r="O223" s="116"/>
      <c r="P223" s="116"/>
      <c r="Q223" s="113"/>
      <c r="R223" s="77"/>
      <c r="S223" s="117"/>
      <c r="T223" s="44"/>
      <c r="U223" s="44"/>
      <c r="V223" s="44"/>
      <c r="W223" s="44"/>
      <c r="X223" s="44"/>
      <c r="Y223" s="44"/>
      <c r="Z223" s="44"/>
      <c r="AA223" s="44"/>
      <c r="AB223" s="44"/>
      <c r="AC223" s="115"/>
      <c r="AD223" s="115"/>
      <c r="AE223" s="77"/>
      <c r="AF223" s="115"/>
      <c r="AG223" s="77"/>
      <c r="AH223" s="77"/>
      <c r="AI223" s="77"/>
      <c r="AJ223" s="116"/>
      <c r="AK223" s="44"/>
      <c r="AL223" s="77"/>
      <c r="AM223" s="77"/>
      <c r="AN223" s="77"/>
      <c r="AO223" s="44"/>
      <c r="AP223" s="44"/>
      <c r="AQ223" s="44"/>
    </row>
    <row r="224" spans="1:43" ht="12.75" x14ac:dyDescent="0.2">
      <c r="A224" s="44"/>
      <c r="B224" s="44"/>
      <c r="C224" s="44"/>
      <c r="D224" s="44"/>
      <c r="E224" s="44"/>
      <c r="F224" s="44"/>
      <c r="G224" s="113"/>
      <c r="H224" s="77"/>
      <c r="I224" s="77"/>
      <c r="J224" s="77"/>
      <c r="K224" s="77"/>
      <c r="L224" s="77"/>
      <c r="M224" s="114"/>
      <c r="N224" s="115"/>
      <c r="O224" s="116"/>
      <c r="P224" s="116"/>
      <c r="Q224" s="113"/>
      <c r="R224" s="77"/>
      <c r="S224" s="117"/>
      <c r="T224" s="44"/>
      <c r="U224" s="44"/>
      <c r="V224" s="44"/>
      <c r="W224" s="44"/>
      <c r="X224" s="44"/>
      <c r="Y224" s="44"/>
      <c r="Z224" s="44"/>
      <c r="AA224" s="44"/>
      <c r="AB224" s="44"/>
      <c r="AC224" s="115"/>
      <c r="AD224" s="115"/>
      <c r="AE224" s="77"/>
      <c r="AF224" s="115"/>
      <c r="AG224" s="77"/>
      <c r="AH224" s="77"/>
      <c r="AI224" s="77"/>
      <c r="AJ224" s="116"/>
      <c r="AK224" s="44"/>
      <c r="AL224" s="77"/>
      <c r="AM224" s="77"/>
      <c r="AN224" s="77"/>
      <c r="AO224" s="44"/>
      <c r="AP224" s="44"/>
      <c r="AQ224" s="44"/>
    </row>
    <row r="225" spans="1:43" ht="12.75" x14ac:dyDescent="0.2">
      <c r="A225" s="44"/>
      <c r="B225" s="44"/>
      <c r="C225" s="44"/>
      <c r="D225" s="44"/>
      <c r="E225" s="44"/>
      <c r="F225" s="44"/>
      <c r="G225" s="113"/>
      <c r="H225" s="77"/>
      <c r="I225" s="77"/>
      <c r="J225" s="77"/>
      <c r="K225" s="77"/>
      <c r="L225" s="77"/>
      <c r="M225" s="114"/>
      <c r="N225" s="115"/>
      <c r="O225" s="116"/>
      <c r="P225" s="116"/>
      <c r="Q225" s="113"/>
      <c r="R225" s="77"/>
      <c r="S225" s="117"/>
      <c r="T225" s="44"/>
      <c r="U225" s="44"/>
      <c r="V225" s="44"/>
      <c r="W225" s="44"/>
      <c r="X225" s="44"/>
      <c r="Y225" s="44"/>
      <c r="Z225" s="44"/>
      <c r="AA225" s="44"/>
      <c r="AB225" s="44"/>
      <c r="AC225" s="115"/>
      <c r="AD225" s="115"/>
      <c r="AE225" s="77"/>
      <c r="AF225" s="115"/>
      <c r="AG225" s="77"/>
      <c r="AH225" s="77"/>
      <c r="AI225" s="77"/>
      <c r="AJ225" s="116"/>
      <c r="AK225" s="44"/>
      <c r="AL225" s="77"/>
      <c r="AM225" s="77"/>
      <c r="AN225" s="77"/>
      <c r="AO225" s="44"/>
      <c r="AP225" s="44"/>
      <c r="AQ225" s="44"/>
    </row>
    <row r="226" spans="1:43" ht="12.75" x14ac:dyDescent="0.2">
      <c r="A226" s="44"/>
      <c r="B226" s="44"/>
      <c r="C226" s="44"/>
      <c r="D226" s="44"/>
      <c r="E226" s="44"/>
      <c r="F226" s="44"/>
      <c r="G226" s="113"/>
      <c r="H226" s="77"/>
      <c r="I226" s="77"/>
      <c r="J226" s="77"/>
      <c r="K226" s="77"/>
      <c r="L226" s="77"/>
      <c r="M226" s="114"/>
      <c r="N226" s="115"/>
      <c r="O226" s="116"/>
      <c r="P226" s="116"/>
      <c r="Q226" s="113"/>
      <c r="R226" s="77"/>
      <c r="S226" s="117"/>
      <c r="T226" s="44"/>
      <c r="U226" s="44"/>
      <c r="V226" s="44"/>
      <c r="W226" s="44"/>
      <c r="X226" s="44"/>
      <c r="Y226" s="44"/>
      <c r="Z226" s="44"/>
      <c r="AA226" s="44"/>
      <c r="AB226" s="44"/>
      <c r="AC226" s="115"/>
      <c r="AD226" s="115"/>
      <c r="AE226" s="77"/>
      <c r="AF226" s="115"/>
      <c r="AG226" s="77"/>
      <c r="AH226" s="77"/>
      <c r="AI226" s="77"/>
      <c r="AJ226" s="116"/>
      <c r="AK226" s="44"/>
      <c r="AL226" s="77"/>
      <c r="AM226" s="77"/>
      <c r="AN226" s="77"/>
      <c r="AO226" s="44"/>
      <c r="AP226" s="44"/>
      <c r="AQ226" s="44"/>
    </row>
    <row r="227" spans="1:43" ht="12.75" x14ac:dyDescent="0.2">
      <c r="A227" s="44"/>
      <c r="B227" s="44"/>
      <c r="C227" s="44"/>
      <c r="D227" s="44"/>
      <c r="E227" s="44"/>
      <c r="F227" s="44"/>
      <c r="G227" s="113"/>
      <c r="H227" s="77"/>
      <c r="I227" s="77"/>
      <c r="J227" s="77"/>
      <c r="K227" s="77"/>
      <c r="L227" s="77"/>
      <c r="M227" s="114"/>
      <c r="N227" s="115"/>
      <c r="O227" s="116"/>
      <c r="P227" s="116"/>
      <c r="Q227" s="113"/>
      <c r="R227" s="77"/>
      <c r="S227" s="117"/>
      <c r="T227" s="44"/>
      <c r="U227" s="44"/>
      <c r="V227" s="44"/>
      <c r="W227" s="44"/>
      <c r="X227" s="44"/>
      <c r="Y227" s="44"/>
      <c r="Z227" s="44"/>
      <c r="AA227" s="44"/>
      <c r="AB227" s="44"/>
      <c r="AC227" s="115"/>
      <c r="AD227" s="115"/>
      <c r="AE227" s="77"/>
      <c r="AF227" s="115"/>
      <c r="AG227" s="77"/>
      <c r="AH227" s="77"/>
      <c r="AI227" s="77"/>
      <c r="AJ227" s="116"/>
      <c r="AK227" s="44"/>
      <c r="AL227" s="77"/>
      <c r="AM227" s="77"/>
      <c r="AN227" s="77"/>
      <c r="AO227" s="44"/>
      <c r="AP227" s="44"/>
      <c r="AQ227" s="44"/>
    </row>
    <row r="228" spans="1:43" ht="12.75" x14ac:dyDescent="0.2">
      <c r="A228" s="44"/>
      <c r="B228" s="44"/>
      <c r="C228" s="44"/>
      <c r="D228" s="44"/>
      <c r="E228" s="44"/>
      <c r="F228" s="44"/>
      <c r="G228" s="113"/>
      <c r="H228" s="77"/>
      <c r="I228" s="77"/>
      <c r="J228" s="77"/>
      <c r="K228" s="77"/>
      <c r="L228" s="77"/>
      <c r="M228" s="114"/>
      <c r="N228" s="115"/>
      <c r="O228" s="116"/>
      <c r="P228" s="116"/>
      <c r="Q228" s="113"/>
      <c r="R228" s="77"/>
      <c r="S228" s="117"/>
      <c r="T228" s="44"/>
      <c r="U228" s="44"/>
      <c r="V228" s="44"/>
      <c r="W228" s="44"/>
      <c r="X228" s="44"/>
      <c r="Y228" s="44"/>
      <c r="Z228" s="44"/>
      <c r="AA228" s="44"/>
      <c r="AB228" s="44"/>
      <c r="AC228" s="115"/>
      <c r="AD228" s="115"/>
      <c r="AE228" s="77"/>
      <c r="AF228" s="115"/>
      <c r="AG228" s="77"/>
      <c r="AH228" s="77"/>
      <c r="AI228" s="77"/>
      <c r="AJ228" s="116"/>
      <c r="AK228" s="44"/>
      <c r="AL228" s="77"/>
      <c r="AM228" s="77"/>
      <c r="AN228" s="77"/>
      <c r="AO228" s="44"/>
      <c r="AP228" s="44"/>
      <c r="AQ228" s="44"/>
    </row>
    <row r="229" spans="1:43" ht="12.75" x14ac:dyDescent="0.2">
      <c r="A229" s="44"/>
      <c r="B229" s="44"/>
      <c r="C229" s="44"/>
      <c r="D229" s="44"/>
      <c r="E229" s="44"/>
      <c r="F229" s="44"/>
      <c r="G229" s="113"/>
      <c r="H229" s="77"/>
      <c r="I229" s="77"/>
      <c r="J229" s="77"/>
      <c r="K229" s="77"/>
      <c r="L229" s="77"/>
      <c r="M229" s="114"/>
      <c r="N229" s="115"/>
      <c r="O229" s="116"/>
      <c r="P229" s="116"/>
      <c r="Q229" s="113"/>
      <c r="R229" s="77"/>
      <c r="S229" s="117"/>
      <c r="T229" s="44"/>
      <c r="U229" s="44"/>
      <c r="V229" s="44"/>
      <c r="W229" s="44"/>
      <c r="X229" s="44"/>
      <c r="Y229" s="44"/>
      <c r="Z229" s="44"/>
      <c r="AA229" s="44"/>
      <c r="AB229" s="44"/>
      <c r="AC229" s="115"/>
      <c r="AD229" s="115"/>
      <c r="AE229" s="77"/>
      <c r="AF229" s="115"/>
      <c r="AG229" s="77"/>
      <c r="AH229" s="77"/>
      <c r="AI229" s="77"/>
      <c r="AJ229" s="116"/>
      <c r="AK229" s="44"/>
      <c r="AL229" s="77"/>
      <c r="AM229" s="77"/>
      <c r="AN229" s="77"/>
      <c r="AO229" s="44"/>
      <c r="AP229" s="44"/>
      <c r="AQ229" s="44"/>
    </row>
    <row r="230" spans="1:43" ht="12.75" x14ac:dyDescent="0.2">
      <c r="A230" s="44"/>
      <c r="B230" s="44"/>
      <c r="C230" s="44"/>
      <c r="D230" s="44"/>
      <c r="E230" s="44"/>
      <c r="F230" s="44"/>
      <c r="G230" s="113"/>
      <c r="H230" s="77"/>
      <c r="I230" s="77"/>
      <c r="J230" s="77"/>
      <c r="K230" s="77"/>
      <c r="L230" s="77"/>
      <c r="M230" s="114"/>
      <c r="N230" s="115"/>
      <c r="O230" s="116"/>
      <c r="P230" s="116"/>
      <c r="Q230" s="113"/>
      <c r="R230" s="77"/>
      <c r="S230" s="117"/>
      <c r="T230" s="44"/>
      <c r="U230" s="44"/>
      <c r="V230" s="44"/>
      <c r="W230" s="44"/>
      <c r="X230" s="44"/>
      <c r="Y230" s="44"/>
      <c r="Z230" s="44"/>
      <c r="AA230" s="44"/>
      <c r="AB230" s="44"/>
      <c r="AC230" s="115"/>
      <c r="AD230" s="115"/>
      <c r="AE230" s="77"/>
      <c r="AF230" s="115"/>
      <c r="AG230" s="77"/>
      <c r="AH230" s="77"/>
      <c r="AI230" s="77"/>
      <c r="AJ230" s="116"/>
      <c r="AK230" s="44"/>
      <c r="AL230" s="77"/>
      <c r="AM230" s="77"/>
      <c r="AN230" s="77"/>
      <c r="AO230" s="44"/>
      <c r="AP230" s="44"/>
      <c r="AQ230" s="44"/>
    </row>
    <row r="231" spans="1:43" ht="12.75" x14ac:dyDescent="0.2">
      <c r="A231" s="44"/>
      <c r="B231" s="44"/>
      <c r="C231" s="44"/>
      <c r="D231" s="44"/>
      <c r="E231" s="44"/>
      <c r="F231" s="44"/>
      <c r="G231" s="113"/>
      <c r="H231" s="77"/>
      <c r="I231" s="77"/>
      <c r="J231" s="77"/>
      <c r="K231" s="77"/>
      <c r="L231" s="77"/>
      <c r="M231" s="114"/>
      <c r="N231" s="115"/>
      <c r="O231" s="116"/>
      <c r="P231" s="116"/>
      <c r="Q231" s="113"/>
      <c r="R231" s="77"/>
      <c r="S231" s="117"/>
      <c r="T231" s="44"/>
      <c r="U231" s="44"/>
      <c r="V231" s="44"/>
      <c r="W231" s="44"/>
      <c r="X231" s="44"/>
      <c r="Y231" s="44"/>
      <c r="Z231" s="44"/>
      <c r="AA231" s="44"/>
      <c r="AB231" s="44"/>
      <c r="AC231" s="115"/>
      <c r="AD231" s="115"/>
      <c r="AE231" s="77"/>
      <c r="AF231" s="115"/>
      <c r="AG231" s="77"/>
      <c r="AH231" s="77"/>
      <c r="AI231" s="77"/>
      <c r="AJ231" s="116"/>
      <c r="AK231" s="44"/>
      <c r="AL231" s="77"/>
      <c r="AM231" s="77"/>
      <c r="AN231" s="77"/>
      <c r="AO231" s="44"/>
      <c r="AP231" s="44"/>
      <c r="AQ231" s="44"/>
    </row>
    <row r="232" spans="1:43" ht="12.75" x14ac:dyDescent="0.2">
      <c r="A232" s="44"/>
      <c r="B232" s="44"/>
      <c r="C232" s="44"/>
      <c r="D232" s="44"/>
      <c r="E232" s="44"/>
      <c r="F232" s="44"/>
      <c r="G232" s="113"/>
      <c r="H232" s="77"/>
      <c r="I232" s="77"/>
      <c r="J232" s="77"/>
      <c r="K232" s="77"/>
      <c r="L232" s="77"/>
      <c r="M232" s="114"/>
      <c r="N232" s="115"/>
      <c r="O232" s="116"/>
      <c r="P232" s="116"/>
      <c r="Q232" s="113"/>
      <c r="R232" s="77"/>
      <c r="S232" s="117"/>
      <c r="T232" s="44"/>
      <c r="U232" s="44"/>
      <c r="V232" s="44"/>
      <c r="W232" s="44"/>
      <c r="X232" s="44"/>
      <c r="Y232" s="44"/>
      <c r="Z232" s="44"/>
      <c r="AA232" s="44"/>
      <c r="AB232" s="44"/>
      <c r="AC232" s="115"/>
      <c r="AD232" s="115"/>
      <c r="AE232" s="77"/>
      <c r="AF232" s="115"/>
      <c r="AG232" s="77"/>
      <c r="AH232" s="77"/>
      <c r="AI232" s="77"/>
      <c r="AJ232" s="116"/>
      <c r="AK232" s="44"/>
      <c r="AL232" s="77"/>
      <c r="AM232" s="77"/>
      <c r="AN232" s="77"/>
      <c r="AO232" s="44"/>
      <c r="AP232" s="44"/>
      <c r="AQ232" s="44"/>
    </row>
    <row r="233" spans="1:43" ht="12.75" x14ac:dyDescent="0.2">
      <c r="A233" s="44"/>
      <c r="B233" s="44"/>
      <c r="C233" s="44"/>
      <c r="D233" s="44"/>
      <c r="E233" s="44"/>
      <c r="F233" s="44"/>
      <c r="G233" s="113"/>
      <c r="H233" s="77"/>
      <c r="I233" s="77"/>
      <c r="J233" s="77"/>
      <c r="K233" s="77"/>
      <c r="L233" s="77"/>
      <c r="M233" s="114"/>
      <c r="N233" s="115"/>
      <c r="O233" s="116"/>
      <c r="P233" s="116"/>
      <c r="Q233" s="113"/>
      <c r="R233" s="77"/>
      <c r="S233" s="117"/>
      <c r="T233" s="44"/>
      <c r="U233" s="44"/>
      <c r="V233" s="44"/>
      <c r="W233" s="44"/>
      <c r="X233" s="44"/>
      <c r="Y233" s="44"/>
      <c r="Z233" s="44"/>
      <c r="AA233" s="44"/>
      <c r="AB233" s="44"/>
      <c r="AC233" s="115"/>
      <c r="AD233" s="115"/>
      <c r="AE233" s="77"/>
      <c r="AF233" s="115"/>
      <c r="AG233" s="77"/>
      <c r="AH233" s="77"/>
      <c r="AI233" s="77"/>
      <c r="AJ233" s="116"/>
      <c r="AK233" s="44"/>
      <c r="AL233" s="77"/>
      <c r="AM233" s="77"/>
      <c r="AN233" s="77"/>
      <c r="AO233" s="44"/>
      <c r="AP233" s="44"/>
      <c r="AQ233" s="44"/>
    </row>
    <row r="234" spans="1:43" ht="12.75" x14ac:dyDescent="0.2">
      <c r="A234" s="44"/>
      <c r="B234" s="44"/>
      <c r="C234" s="44"/>
      <c r="D234" s="44"/>
      <c r="E234" s="44"/>
      <c r="F234" s="44"/>
      <c r="G234" s="113"/>
      <c r="H234" s="77"/>
      <c r="I234" s="77"/>
      <c r="J234" s="77"/>
      <c r="K234" s="77"/>
      <c r="L234" s="77"/>
      <c r="M234" s="114"/>
      <c r="N234" s="115"/>
      <c r="O234" s="116"/>
      <c r="P234" s="116"/>
      <c r="Q234" s="113"/>
      <c r="R234" s="77"/>
      <c r="S234" s="117"/>
      <c r="T234" s="44"/>
      <c r="U234" s="44"/>
      <c r="V234" s="44"/>
      <c r="W234" s="44"/>
      <c r="X234" s="44"/>
      <c r="Y234" s="44"/>
      <c r="Z234" s="44"/>
      <c r="AA234" s="44"/>
      <c r="AB234" s="44"/>
      <c r="AC234" s="115"/>
      <c r="AD234" s="115"/>
      <c r="AE234" s="77"/>
      <c r="AF234" s="115"/>
      <c r="AG234" s="77"/>
      <c r="AH234" s="77"/>
      <c r="AI234" s="77"/>
      <c r="AJ234" s="116"/>
      <c r="AK234" s="44"/>
      <c r="AL234" s="77"/>
      <c r="AM234" s="77"/>
      <c r="AN234" s="77"/>
      <c r="AO234" s="44"/>
      <c r="AP234" s="44"/>
      <c r="AQ234" s="44"/>
    </row>
    <row r="235" spans="1:43" ht="12.75" x14ac:dyDescent="0.2">
      <c r="A235" s="44"/>
      <c r="B235" s="44"/>
      <c r="C235" s="44"/>
      <c r="D235" s="44"/>
      <c r="E235" s="44"/>
      <c r="F235" s="44"/>
      <c r="G235" s="113"/>
      <c r="H235" s="77"/>
      <c r="I235" s="77"/>
      <c r="J235" s="77"/>
      <c r="K235" s="77"/>
      <c r="L235" s="77"/>
      <c r="M235" s="114"/>
      <c r="N235" s="115"/>
      <c r="O235" s="116"/>
      <c r="P235" s="116"/>
      <c r="Q235" s="113"/>
      <c r="R235" s="77"/>
      <c r="S235" s="117"/>
      <c r="T235" s="44"/>
      <c r="U235" s="44"/>
      <c r="V235" s="44"/>
      <c r="W235" s="44"/>
      <c r="X235" s="44"/>
      <c r="Y235" s="44"/>
      <c r="Z235" s="44"/>
      <c r="AA235" s="44"/>
      <c r="AB235" s="44"/>
      <c r="AC235" s="115"/>
      <c r="AD235" s="115"/>
      <c r="AE235" s="77"/>
      <c r="AF235" s="115"/>
      <c r="AG235" s="77"/>
      <c r="AH235" s="77"/>
      <c r="AI235" s="77"/>
      <c r="AJ235" s="116"/>
      <c r="AK235" s="44"/>
      <c r="AL235" s="77"/>
      <c r="AM235" s="77"/>
      <c r="AN235" s="77"/>
      <c r="AO235" s="44"/>
      <c r="AP235" s="44"/>
      <c r="AQ235" s="44"/>
    </row>
    <row r="236" spans="1:43" ht="12.75" x14ac:dyDescent="0.2">
      <c r="A236" s="44"/>
      <c r="B236" s="44"/>
      <c r="C236" s="44"/>
      <c r="D236" s="44"/>
      <c r="E236" s="44"/>
      <c r="F236" s="44"/>
      <c r="G236" s="113"/>
      <c r="H236" s="77"/>
      <c r="I236" s="77"/>
      <c r="J236" s="77"/>
      <c r="K236" s="77"/>
      <c r="L236" s="77"/>
      <c r="M236" s="114"/>
      <c r="N236" s="115"/>
      <c r="O236" s="116"/>
      <c r="P236" s="116"/>
      <c r="Q236" s="113"/>
      <c r="R236" s="77"/>
      <c r="S236" s="117"/>
      <c r="T236" s="44"/>
      <c r="U236" s="44"/>
      <c r="V236" s="44"/>
      <c r="W236" s="44"/>
      <c r="X236" s="44"/>
      <c r="Y236" s="44"/>
      <c r="Z236" s="44"/>
      <c r="AA236" s="44"/>
      <c r="AB236" s="44"/>
      <c r="AC236" s="115"/>
      <c r="AD236" s="115"/>
      <c r="AE236" s="77"/>
      <c r="AF236" s="115"/>
      <c r="AG236" s="77"/>
      <c r="AH236" s="77"/>
      <c r="AI236" s="77"/>
      <c r="AJ236" s="116"/>
      <c r="AK236" s="44"/>
      <c r="AL236" s="77"/>
      <c r="AM236" s="77"/>
      <c r="AN236" s="77"/>
      <c r="AO236" s="44"/>
      <c r="AP236" s="44"/>
      <c r="AQ236" s="44"/>
    </row>
    <row r="237" spans="1:43" ht="12.75" x14ac:dyDescent="0.2">
      <c r="A237" s="44"/>
      <c r="B237" s="44"/>
      <c r="C237" s="44"/>
      <c r="D237" s="44"/>
      <c r="E237" s="44"/>
      <c r="F237" s="44"/>
      <c r="G237" s="113"/>
      <c r="H237" s="77"/>
      <c r="I237" s="77"/>
      <c r="J237" s="77"/>
      <c r="K237" s="77"/>
      <c r="L237" s="77"/>
      <c r="M237" s="114"/>
      <c r="N237" s="115"/>
      <c r="O237" s="116"/>
      <c r="P237" s="116"/>
      <c r="Q237" s="113"/>
      <c r="R237" s="77"/>
      <c r="S237" s="117"/>
      <c r="T237" s="44"/>
      <c r="U237" s="44"/>
      <c r="V237" s="44"/>
      <c r="W237" s="44"/>
      <c r="X237" s="44"/>
      <c r="Y237" s="44"/>
      <c r="Z237" s="44"/>
      <c r="AA237" s="44"/>
      <c r="AB237" s="44"/>
      <c r="AC237" s="115"/>
      <c r="AD237" s="115"/>
      <c r="AE237" s="77"/>
      <c r="AF237" s="115"/>
      <c r="AG237" s="77"/>
      <c r="AH237" s="77"/>
      <c r="AI237" s="77"/>
      <c r="AJ237" s="116"/>
      <c r="AK237" s="44"/>
      <c r="AL237" s="77"/>
      <c r="AM237" s="77"/>
      <c r="AN237" s="77"/>
      <c r="AO237" s="44"/>
      <c r="AP237" s="44"/>
      <c r="AQ237" s="44"/>
    </row>
    <row r="238" spans="1:43" ht="12.75" x14ac:dyDescent="0.2">
      <c r="A238" s="44"/>
      <c r="B238" s="44"/>
      <c r="C238" s="44"/>
      <c r="D238" s="44"/>
      <c r="E238" s="44"/>
      <c r="F238" s="44"/>
      <c r="G238" s="113"/>
      <c r="H238" s="77"/>
      <c r="I238" s="77"/>
      <c r="J238" s="77"/>
      <c r="K238" s="77"/>
      <c r="L238" s="77"/>
      <c r="M238" s="114"/>
      <c r="N238" s="115"/>
      <c r="O238" s="116"/>
      <c r="P238" s="116"/>
      <c r="Q238" s="113"/>
      <c r="R238" s="77"/>
      <c r="S238" s="117"/>
      <c r="T238" s="44"/>
      <c r="U238" s="44"/>
      <c r="V238" s="44"/>
      <c r="W238" s="44"/>
      <c r="X238" s="44"/>
      <c r="Y238" s="44"/>
      <c r="Z238" s="44"/>
      <c r="AA238" s="44"/>
      <c r="AB238" s="44"/>
      <c r="AC238" s="115"/>
      <c r="AD238" s="115"/>
      <c r="AE238" s="77"/>
      <c r="AF238" s="115"/>
      <c r="AG238" s="77"/>
      <c r="AH238" s="77"/>
      <c r="AI238" s="77"/>
      <c r="AJ238" s="116"/>
      <c r="AK238" s="44"/>
      <c r="AL238" s="77"/>
      <c r="AM238" s="77"/>
      <c r="AN238" s="77"/>
      <c r="AO238" s="44"/>
      <c r="AP238" s="44"/>
      <c r="AQ238" s="44"/>
    </row>
    <row r="239" spans="1:43" ht="12.75" x14ac:dyDescent="0.2">
      <c r="A239" s="44"/>
      <c r="B239" s="44"/>
      <c r="C239" s="44"/>
      <c r="D239" s="44"/>
      <c r="E239" s="44"/>
      <c r="F239" s="44"/>
      <c r="G239" s="113"/>
      <c r="H239" s="77"/>
      <c r="I239" s="77"/>
      <c r="J239" s="77"/>
      <c r="K239" s="77"/>
      <c r="L239" s="77"/>
      <c r="M239" s="114"/>
      <c r="N239" s="115"/>
      <c r="O239" s="116"/>
      <c r="P239" s="116"/>
      <c r="Q239" s="113"/>
      <c r="R239" s="77"/>
      <c r="S239" s="117"/>
      <c r="T239" s="44"/>
      <c r="U239" s="44"/>
      <c r="V239" s="44"/>
      <c r="W239" s="44"/>
      <c r="X239" s="44"/>
      <c r="Y239" s="44"/>
      <c r="Z239" s="44"/>
      <c r="AA239" s="44"/>
      <c r="AB239" s="44"/>
      <c r="AC239" s="115"/>
      <c r="AD239" s="115"/>
      <c r="AE239" s="77"/>
      <c r="AF239" s="115"/>
      <c r="AG239" s="77"/>
      <c r="AH239" s="77"/>
      <c r="AI239" s="77"/>
      <c r="AJ239" s="116"/>
      <c r="AK239" s="44"/>
      <c r="AL239" s="77"/>
      <c r="AM239" s="77"/>
      <c r="AN239" s="77"/>
      <c r="AO239" s="44"/>
      <c r="AP239" s="44"/>
      <c r="AQ239" s="44"/>
    </row>
    <row r="240" spans="1:43" ht="12.75" x14ac:dyDescent="0.2">
      <c r="A240" s="44"/>
      <c r="B240" s="44"/>
      <c r="C240" s="44"/>
      <c r="D240" s="44"/>
      <c r="E240" s="44"/>
      <c r="F240" s="44"/>
      <c r="G240" s="113"/>
      <c r="H240" s="77"/>
      <c r="I240" s="77"/>
      <c r="J240" s="77"/>
      <c r="K240" s="77"/>
      <c r="L240" s="77"/>
      <c r="M240" s="114"/>
      <c r="N240" s="115"/>
      <c r="O240" s="116"/>
      <c r="P240" s="116"/>
      <c r="Q240" s="113"/>
      <c r="R240" s="77"/>
      <c r="S240" s="117"/>
      <c r="T240" s="44"/>
      <c r="U240" s="44"/>
      <c r="V240" s="44"/>
      <c r="W240" s="44"/>
      <c r="X240" s="44"/>
      <c r="Y240" s="44"/>
      <c r="Z240" s="44"/>
      <c r="AA240" s="44"/>
      <c r="AB240" s="44"/>
      <c r="AC240" s="115"/>
      <c r="AD240" s="115"/>
      <c r="AE240" s="77"/>
      <c r="AF240" s="115"/>
      <c r="AG240" s="77"/>
      <c r="AH240" s="77"/>
      <c r="AI240" s="77"/>
      <c r="AJ240" s="116"/>
      <c r="AK240" s="44"/>
      <c r="AL240" s="77"/>
      <c r="AM240" s="77"/>
      <c r="AN240" s="77"/>
      <c r="AO240" s="44"/>
      <c r="AP240" s="44"/>
      <c r="AQ240" s="44"/>
    </row>
    <row r="241" spans="1:43" ht="12.75" x14ac:dyDescent="0.2">
      <c r="A241" s="44"/>
      <c r="B241" s="44"/>
      <c r="C241" s="44"/>
      <c r="D241" s="44"/>
      <c r="E241" s="44"/>
      <c r="F241" s="44"/>
      <c r="G241" s="113"/>
      <c r="H241" s="77"/>
      <c r="I241" s="77"/>
      <c r="J241" s="77"/>
      <c r="K241" s="77"/>
      <c r="L241" s="77"/>
      <c r="M241" s="114"/>
      <c r="N241" s="115"/>
      <c r="O241" s="116"/>
      <c r="P241" s="116"/>
      <c r="Q241" s="113"/>
      <c r="R241" s="77"/>
      <c r="S241" s="117"/>
      <c r="T241" s="44"/>
      <c r="U241" s="44"/>
      <c r="V241" s="44"/>
      <c r="W241" s="44"/>
      <c r="X241" s="44"/>
      <c r="Y241" s="44"/>
      <c r="Z241" s="44"/>
      <c r="AA241" s="44"/>
      <c r="AB241" s="44"/>
      <c r="AC241" s="115"/>
      <c r="AD241" s="115"/>
      <c r="AE241" s="77"/>
      <c r="AF241" s="115"/>
      <c r="AG241" s="77"/>
      <c r="AH241" s="77"/>
      <c r="AI241" s="77"/>
      <c r="AJ241" s="116"/>
      <c r="AK241" s="44"/>
      <c r="AL241" s="77"/>
      <c r="AM241" s="77"/>
      <c r="AN241" s="77"/>
      <c r="AO241" s="44"/>
      <c r="AP241" s="44"/>
      <c r="AQ241" s="44"/>
    </row>
    <row r="242" spans="1:43" ht="12.75" x14ac:dyDescent="0.2">
      <c r="A242" s="44"/>
      <c r="B242" s="44"/>
      <c r="C242" s="44"/>
      <c r="D242" s="44"/>
      <c r="E242" s="44"/>
      <c r="F242" s="44"/>
      <c r="G242" s="113"/>
      <c r="H242" s="77"/>
      <c r="I242" s="77"/>
      <c r="J242" s="77"/>
      <c r="K242" s="77"/>
      <c r="L242" s="77"/>
      <c r="M242" s="114"/>
      <c r="N242" s="115"/>
      <c r="O242" s="116"/>
      <c r="P242" s="116"/>
      <c r="Q242" s="113"/>
      <c r="R242" s="77"/>
      <c r="S242" s="117"/>
      <c r="T242" s="44"/>
      <c r="U242" s="44"/>
      <c r="V242" s="44"/>
      <c r="W242" s="44"/>
      <c r="X242" s="44"/>
      <c r="Y242" s="44"/>
      <c r="Z242" s="44"/>
      <c r="AA242" s="44"/>
      <c r="AB242" s="44"/>
      <c r="AC242" s="115"/>
      <c r="AD242" s="115"/>
      <c r="AE242" s="77"/>
      <c r="AF242" s="115"/>
      <c r="AG242" s="77"/>
      <c r="AH242" s="77"/>
      <c r="AI242" s="77"/>
      <c r="AJ242" s="116"/>
      <c r="AK242" s="44"/>
      <c r="AL242" s="77"/>
      <c r="AM242" s="77"/>
      <c r="AN242" s="77"/>
      <c r="AO242" s="44"/>
      <c r="AP242" s="44"/>
      <c r="AQ242" s="44"/>
    </row>
  </sheetData>
  <sortState xmlns:xlrd2="http://schemas.microsoft.com/office/spreadsheetml/2017/richdata2" ref="A2:AQ38">
    <sortCondition ref="B1"/>
    <sortCondition ref="C1"/>
  </sortState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9A79-6BBF-4856-B53D-1EFD02B17386}">
  <sheetPr codeName="shDeltas"/>
  <dimension ref="A1:G19"/>
  <sheetViews>
    <sheetView workbookViewId="0">
      <selection activeCell="E23" sqref="E23"/>
    </sheetView>
  </sheetViews>
  <sheetFormatPr defaultColWidth="9.140625" defaultRowHeight="15" x14ac:dyDescent="0.25"/>
  <cols>
    <col min="1" max="3" width="9.140625" style="14"/>
    <col min="4" max="6" width="9.28515625" style="14" bestFit="1" customWidth="1"/>
    <col min="7" max="7" width="13.5703125" style="14" bestFit="1" customWidth="1"/>
    <col min="8" max="16384" width="9.140625" style="14"/>
  </cols>
  <sheetData>
    <row r="1" spans="1:7" x14ac:dyDescent="0.25">
      <c r="A1" s="207" t="s">
        <v>0</v>
      </c>
      <c r="B1" s="207" t="s">
        <v>3</v>
      </c>
      <c r="C1" s="207" t="s">
        <v>54</v>
      </c>
      <c r="D1" s="207" t="s">
        <v>10901</v>
      </c>
      <c r="E1" s="207" t="s">
        <v>58</v>
      </c>
      <c r="F1" s="207" t="s">
        <v>59</v>
      </c>
      <c r="G1" s="207" t="s">
        <v>60</v>
      </c>
    </row>
    <row r="2" spans="1:7" x14ac:dyDescent="0.25">
      <c r="A2" t="s">
        <v>12711</v>
      </c>
      <c r="B2" t="s">
        <v>11754</v>
      </c>
      <c r="C2" t="s">
        <v>11754</v>
      </c>
      <c r="D2" s="2">
        <v>63</v>
      </c>
      <c r="E2" s="158">
        <v>1</v>
      </c>
      <c r="F2" s="2">
        <v>0</v>
      </c>
      <c r="G2" s="2">
        <v>13080060</v>
      </c>
    </row>
    <row r="3" spans="1:7" x14ac:dyDescent="0.25">
      <c r="A3" t="s">
        <v>12711</v>
      </c>
      <c r="B3" t="s">
        <v>11756</v>
      </c>
      <c r="C3" t="s">
        <v>11756</v>
      </c>
      <c r="D3" s="2">
        <v>35</v>
      </c>
      <c r="E3" s="158">
        <v>1</v>
      </c>
      <c r="F3" s="2">
        <v>0</v>
      </c>
      <c r="G3" s="2">
        <v>10551100</v>
      </c>
    </row>
    <row r="4" spans="1:7" x14ac:dyDescent="0.25">
      <c r="A4" t="s">
        <v>12711</v>
      </c>
      <c r="B4" t="s">
        <v>12714</v>
      </c>
      <c r="C4" t="s">
        <v>12714</v>
      </c>
      <c r="D4" s="2">
        <v>0</v>
      </c>
      <c r="E4" s="158">
        <v>1</v>
      </c>
      <c r="F4" s="2">
        <v>0</v>
      </c>
      <c r="G4" s="2">
        <v>0</v>
      </c>
    </row>
    <row r="5" spans="1:7" x14ac:dyDescent="0.25">
      <c r="A5" t="s">
        <v>12711</v>
      </c>
      <c r="B5" t="s">
        <v>12715</v>
      </c>
      <c r="C5" t="s">
        <v>12715</v>
      </c>
      <c r="D5" s="2">
        <v>0</v>
      </c>
      <c r="E5" s="158">
        <v>1</v>
      </c>
      <c r="F5" s="2">
        <v>0</v>
      </c>
      <c r="G5" s="2">
        <v>0</v>
      </c>
    </row>
    <row r="6" spans="1:7" x14ac:dyDescent="0.25">
      <c r="A6"/>
      <c r="B6"/>
      <c r="C6"/>
      <c r="D6" s="2"/>
      <c r="E6" s="158"/>
      <c r="F6" s="2"/>
      <c r="G6" s="2"/>
    </row>
    <row r="7" spans="1:7" x14ac:dyDescent="0.25">
      <c r="A7"/>
      <c r="B7"/>
      <c r="C7"/>
      <c r="D7" s="2"/>
      <c r="E7" s="158"/>
      <c r="F7" s="2"/>
      <c r="G7" s="2"/>
    </row>
    <row r="8" spans="1:7" x14ac:dyDescent="0.25">
      <c r="A8"/>
      <c r="B8"/>
      <c r="C8"/>
      <c r="D8" s="2"/>
      <c r="E8" s="158"/>
      <c r="F8" s="2"/>
      <c r="G8" s="2"/>
    </row>
    <row r="9" spans="1:7" x14ac:dyDescent="0.25">
      <c r="A9"/>
      <c r="B9"/>
      <c r="C9"/>
      <c r="D9" s="2"/>
      <c r="E9" s="158"/>
      <c r="F9" s="2"/>
      <c r="G9" s="2"/>
    </row>
    <row r="10" spans="1:7" x14ac:dyDescent="0.25">
      <c r="A10"/>
      <c r="B10"/>
      <c r="C10"/>
      <c r="D10" s="2"/>
      <c r="E10" s="158"/>
      <c r="F10" s="2"/>
      <c r="G10" s="2"/>
    </row>
    <row r="11" spans="1:7" x14ac:dyDescent="0.25">
      <c r="A11"/>
      <c r="B11"/>
      <c r="C11"/>
      <c r="D11" s="2"/>
      <c r="E11" s="158"/>
      <c r="F11" s="2"/>
      <c r="G11" s="2"/>
    </row>
    <row r="12" spans="1:7" x14ac:dyDescent="0.25">
      <c r="A12"/>
      <c r="B12"/>
      <c r="C12"/>
      <c r="D12" s="2"/>
      <c r="E12" s="158"/>
      <c r="F12" s="2"/>
      <c r="G12" s="2"/>
    </row>
    <row r="13" spans="1:7" x14ac:dyDescent="0.25">
      <c r="A13"/>
      <c r="B13"/>
      <c r="C13"/>
      <c r="D13" s="2"/>
      <c r="E13" s="158"/>
      <c r="F13" s="2"/>
      <c r="G13" s="2"/>
    </row>
    <row r="14" spans="1:7" x14ac:dyDescent="0.25">
      <c r="A14"/>
      <c r="B14"/>
      <c r="C14"/>
      <c r="D14" s="2"/>
      <c r="E14" s="158"/>
      <c r="F14" s="2"/>
      <c r="G14" s="2"/>
    </row>
    <row r="15" spans="1:7" x14ac:dyDescent="0.25">
      <c r="A15"/>
      <c r="B15"/>
      <c r="C15"/>
      <c r="D15" s="2"/>
      <c r="E15" s="158"/>
      <c r="F15" s="2"/>
      <c r="G15" s="2"/>
    </row>
    <row r="16" spans="1:7" x14ac:dyDescent="0.25">
      <c r="A16"/>
      <c r="B16"/>
      <c r="C16"/>
      <c r="D16" s="2"/>
      <c r="E16" s="158"/>
      <c r="F16" s="2"/>
      <c r="G16" s="2"/>
    </row>
    <row r="17" spans="1:7" x14ac:dyDescent="0.25">
      <c r="A17"/>
      <c r="B17"/>
      <c r="C17"/>
      <c r="D17" s="2"/>
      <c r="E17" s="158"/>
      <c r="F17" s="2"/>
      <c r="G17" s="2"/>
    </row>
    <row r="18" spans="1:7" x14ac:dyDescent="0.25">
      <c r="A18"/>
      <c r="B18"/>
      <c r="C18"/>
      <c r="D18" s="2"/>
      <c r="E18" s="158"/>
      <c r="F18" s="2"/>
      <c r="G18" s="2"/>
    </row>
    <row r="19" spans="1:7" x14ac:dyDescent="0.25">
      <c r="A19" s="44"/>
      <c r="B19" s="44"/>
      <c r="C19" s="44"/>
      <c r="D19" s="77"/>
      <c r="E19" s="78"/>
      <c r="F19" s="77"/>
      <c r="G19" s="7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B8CC-5D5B-4F30-9A7C-0F26A4A53542}">
  <sheetPr codeName="shBM"/>
  <dimension ref="A1:X2647"/>
  <sheetViews>
    <sheetView workbookViewId="0">
      <selection activeCell="V4" sqref="V4"/>
    </sheetView>
  </sheetViews>
  <sheetFormatPr defaultColWidth="9.140625" defaultRowHeight="15" x14ac:dyDescent="0.25"/>
  <cols>
    <col min="1" max="4" width="7.42578125" style="47" customWidth="1"/>
    <col min="5" max="5" width="7.5703125" style="48" bestFit="1" customWidth="1"/>
    <col min="6" max="8" width="9.140625" style="44"/>
    <col min="9" max="24" width="9.140625" style="14"/>
    <col min="25" max="16384" width="9.140625" style="44"/>
  </cols>
  <sheetData>
    <row r="1" spans="1:22" x14ac:dyDescent="0.25">
      <c r="A1" s="47" t="s">
        <v>116</v>
      </c>
      <c r="B1" s="47" t="s">
        <v>117</v>
      </c>
      <c r="C1" s="47" t="s">
        <v>118</v>
      </c>
      <c r="D1" s="47" t="s">
        <v>119</v>
      </c>
      <c r="I1" s="14" t="s">
        <v>120</v>
      </c>
      <c r="J1" s="14" t="s">
        <v>121</v>
      </c>
      <c r="U1" s="49" t="str">
        <f>HYPERLINK("https://www.ishares.com/de/privatanleger/de/produkte/251882/ishares-msci-world-ucits-etf-acc-fund/1478358465952.ajax?fileType=csv&amp;fileName=EUNL_holdings&amp;dataType=fund","MSCI ACWI source data")</f>
        <v>MSCI ACWI source data</v>
      </c>
    </row>
    <row r="2" spans="1:22" x14ac:dyDescent="0.25">
      <c r="A2" s="47" t="s">
        <v>122</v>
      </c>
      <c r="B2" s="47" t="s">
        <v>123</v>
      </c>
      <c r="C2" s="50">
        <v>186</v>
      </c>
      <c r="D2" s="47">
        <v>16.4894</v>
      </c>
      <c r="E2" s="48">
        <f>SUMIF(Data!$E:$E,$C2,Data!$AI:$AI)</f>
        <v>0</v>
      </c>
      <c r="I2" s="14" t="s">
        <v>124</v>
      </c>
    </row>
    <row r="3" spans="1:22" x14ac:dyDescent="0.25">
      <c r="A3" s="47" t="s">
        <v>122</v>
      </c>
      <c r="B3" s="47" t="s">
        <v>123</v>
      </c>
      <c r="C3" s="50">
        <v>207</v>
      </c>
      <c r="D3" s="47">
        <v>3.4931999999999999</v>
      </c>
      <c r="E3" s="48">
        <f>SUMIF(Data!$E:$E,$C3,Data!$AI:$AI)</f>
        <v>0</v>
      </c>
      <c r="I3" s="14" t="s">
        <v>125</v>
      </c>
      <c r="J3" s="14" t="s">
        <v>126</v>
      </c>
      <c r="K3" s="14" t="s">
        <v>127</v>
      </c>
      <c r="L3" s="14" t="s">
        <v>128</v>
      </c>
      <c r="M3" s="14" t="s">
        <v>129</v>
      </c>
      <c r="N3" s="14" t="s">
        <v>130</v>
      </c>
      <c r="O3" s="14" t="s">
        <v>131</v>
      </c>
      <c r="P3" s="14" t="s">
        <v>132</v>
      </c>
      <c r="Q3" s="14" t="s">
        <v>133</v>
      </c>
      <c r="R3" s="14" t="s">
        <v>134</v>
      </c>
      <c r="S3" s="14" t="s">
        <v>135</v>
      </c>
      <c r="T3" s="14" t="s">
        <v>136</v>
      </c>
      <c r="U3" s="14" t="s">
        <v>137</v>
      </c>
    </row>
    <row r="4" spans="1:22" x14ac:dyDescent="0.25">
      <c r="A4" s="47" t="s">
        <v>122</v>
      </c>
      <c r="B4" s="47" t="s">
        <v>123</v>
      </c>
      <c r="C4" s="50">
        <v>209</v>
      </c>
      <c r="D4" s="47">
        <v>5.2779999999999996</v>
      </c>
      <c r="E4" s="48">
        <f>SUMIF(Data!$E:$E,$C4,Data!$AI:$AI)</f>
        <v>0</v>
      </c>
      <c r="I4" s="14" t="s">
        <v>138</v>
      </c>
      <c r="J4" s="14" t="s">
        <v>139</v>
      </c>
      <c r="K4" s="14" t="s">
        <v>140</v>
      </c>
      <c r="L4" s="14" t="s">
        <v>141</v>
      </c>
      <c r="M4" s="14" t="s">
        <v>142</v>
      </c>
      <c r="N4" s="14" t="s">
        <v>143</v>
      </c>
      <c r="O4" s="14" t="s">
        <v>144</v>
      </c>
      <c r="P4" s="14" t="s">
        <v>145</v>
      </c>
      <c r="Q4" s="14" t="s">
        <v>146</v>
      </c>
      <c r="R4" s="14" t="s">
        <v>147</v>
      </c>
      <c r="S4" s="14" t="s">
        <v>148</v>
      </c>
      <c r="T4" s="14" t="s">
        <v>149</v>
      </c>
      <c r="U4" s="14" t="s">
        <v>113</v>
      </c>
      <c r="V4" s="48">
        <f>SUMIF(Data!$E:$E,$I4,Data!$AI:$AI)</f>
        <v>0</v>
      </c>
    </row>
    <row r="5" spans="1:22" x14ac:dyDescent="0.25">
      <c r="A5" s="47" t="s">
        <v>122</v>
      </c>
      <c r="B5" s="47" t="s">
        <v>123</v>
      </c>
      <c r="C5" s="50">
        <v>208</v>
      </c>
      <c r="D5" s="47">
        <v>3.7744</v>
      </c>
      <c r="E5" s="48">
        <f>SUMIF(Data!$E:$E,$C5,Data!$AI:$AI)</f>
        <v>0</v>
      </c>
      <c r="I5" s="14" t="s">
        <v>150</v>
      </c>
      <c r="J5" s="14" t="s">
        <v>151</v>
      </c>
      <c r="K5" s="14" t="s">
        <v>140</v>
      </c>
      <c r="L5" s="14" t="s">
        <v>152</v>
      </c>
      <c r="M5" s="14" t="s">
        <v>153</v>
      </c>
      <c r="N5" s="14" t="s">
        <v>154</v>
      </c>
      <c r="O5" s="14" t="s">
        <v>155</v>
      </c>
      <c r="P5" s="14" t="s">
        <v>156</v>
      </c>
      <c r="Q5" s="14" t="s">
        <v>146</v>
      </c>
      <c r="R5" s="14" t="s">
        <v>157</v>
      </c>
      <c r="S5" s="14" t="s">
        <v>148</v>
      </c>
      <c r="T5" s="14" t="s">
        <v>149</v>
      </c>
      <c r="U5" s="14" t="s">
        <v>113</v>
      </c>
      <c r="V5" s="48">
        <f>SUMIF(Data!$E:$E,$I5,Data!$AI:$AI)</f>
        <v>0</v>
      </c>
    </row>
    <row r="6" spans="1:22" x14ac:dyDescent="0.25">
      <c r="A6" s="47" t="s">
        <v>122</v>
      </c>
      <c r="B6" s="47" t="s">
        <v>123</v>
      </c>
      <c r="C6" s="47" t="s">
        <v>158</v>
      </c>
      <c r="D6" s="47">
        <v>0.65990000000000004</v>
      </c>
      <c r="E6" s="48">
        <f>SUMIF(Data!$E:$E,$C6,Data!$AI:$AI)</f>
        <v>0</v>
      </c>
      <c r="I6" s="14" t="s">
        <v>159</v>
      </c>
      <c r="J6" s="14" t="s">
        <v>160</v>
      </c>
      <c r="K6" s="14" t="s">
        <v>140</v>
      </c>
      <c r="L6" s="14" t="s">
        <v>161</v>
      </c>
      <c r="M6" s="14" t="s">
        <v>162</v>
      </c>
      <c r="N6" s="14">
        <v>225.34200000000001</v>
      </c>
      <c r="O6" s="14" t="s">
        <v>163</v>
      </c>
      <c r="P6" s="14" t="s">
        <v>164</v>
      </c>
      <c r="Q6" s="14" t="s">
        <v>165</v>
      </c>
      <c r="R6" s="14" t="s">
        <v>166</v>
      </c>
      <c r="S6" s="14" t="s">
        <v>148</v>
      </c>
      <c r="T6" s="14" t="s">
        <v>149</v>
      </c>
      <c r="U6" s="14" t="s">
        <v>113</v>
      </c>
      <c r="V6" s="48">
        <f>SUMIF(Data!$E:$E,$I6,Data!$AI:$AI)</f>
        <v>0</v>
      </c>
    </row>
    <row r="7" spans="1:22" x14ac:dyDescent="0.25">
      <c r="A7" s="47" t="s">
        <v>122</v>
      </c>
      <c r="B7" s="47" t="s">
        <v>123</v>
      </c>
      <c r="C7" s="47" t="s">
        <v>167</v>
      </c>
      <c r="D7" s="47">
        <v>0.68910000000000005</v>
      </c>
      <c r="E7" s="48">
        <f>SUMIF(Data!$E:$E,$C7,Data!$AI:$AI)</f>
        <v>0</v>
      </c>
      <c r="I7" s="14" t="s">
        <v>168</v>
      </c>
      <c r="J7" s="14" t="s">
        <v>169</v>
      </c>
      <c r="K7" s="14" t="s">
        <v>140</v>
      </c>
      <c r="L7" s="14" t="s">
        <v>170</v>
      </c>
      <c r="M7" s="14" t="s">
        <v>171</v>
      </c>
      <c r="N7" s="14" t="s">
        <v>172</v>
      </c>
      <c r="O7" s="14" t="s">
        <v>173</v>
      </c>
      <c r="P7" s="14" t="s">
        <v>174</v>
      </c>
      <c r="Q7" s="14" t="s">
        <v>175</v>
      </c>
      <c r="R7" s="14" t="s">
        <v>176</v>
      </c>
      <c r="S7" s="14" t="s">
        <v>148</v>
      </c>
      <c r="T7" s="14" t="s">
        <v>149</v>
      </c>
      <c r="U7" s="14" t="s">
        <v>113</v>
      </c>
      <c r="V7" s="48">
        <f>SUMIF(Data!$E:$E,$I7,Data!$AI:$AI)</f>
        <v>0</v>
      </c>
    </row>
    <row r="8" spans="1:22" x14ac:dyDescent="0.25">
      <c r="A8" s="47" t="s">
        <v>122</v>
      </c>
      <c r="B8" s="47" t="s">
        <v>123</v>
      </c>
      <c r="C8" s="47" t="s">
        <v>177</v>
      </c>
      <c r="D8" s="47">
        <v>1.5447</v>
      </c>
      <c r="E8" s="48">
        <f>SUMIF(Data!$E:$E,$C8,Data!$AI:$AI)</f>
        <v>0</v>
      </c>
      <c r="I8" s="14" t="s">
        <v>178</v>
      </c>
      <c r="J8" s="14" t="s">
        <v>179</v>
      </c>
      <c r="K8" s="14" t="s">
        <v>140</v>
      </c>
      <c r="L8" s="14" t="s">
        <v>180</v>
      </c>
      <c r="M8" s="14" t="s">
        <v>181</v>
      </c>
      <c r="N8" s="14">
        <v>168.38200000000001</v>
      </c>
      <c r="O8" s="14" t="s">
        <v>182</v>
      </c>
      <c r="P8" s="14" t="s">
        <v>183</v>
      </c>
      <c r="Q8" s="14" t="s">
        <v>175</v>
      </c>
      <c r="R8" s="14" t="s">
        <v>184</v>
      </c>
      <c r="S8" s="14" t="s">
        <v>148</v>
      </c>
      <c r="T8" s="14" t="s">
        <v>149</v>
      </c>
      <c r="U8" s="14" t="s">
        <v>113</v>
      </c>
      <c r="V8" s="48">
        <f>SUMIF(Data!$E:$E,$I8,Data!$AI:$AI)</f>
        <v>0</v>
      </c>
    </row>
    <row r="9" spans="1:22" x14ac:dyDescent="0.25">
      <c r="A9" s="47" t="s">
        <v>122</v>
      </c>
      <c r="B9" s="47" t="s">
        <v>123</v>
      </c>
      <c r="C9" s="47" t="s">
        <v>185</v>
      </c>
      <c r="D9" s="47">
        <v>1.6880999999999999</v>
      </c>
      <c r="E9" s="48">
        <f>SUMIF(Data!$E:$E,$C9,Data!$AI:$AI)</f>
        <v>0</v>
      </c>
      <c r="I9" s="14" t="s">
        <v>186</v>
      </c>
      <c r="J9" s="14" t="s">
        <v>187</v>
      </c>
      <c r="K9" s="14" t="s">
        <v>140</v>
      </c>
      <c r="L9" s="14" t="s">
        <v>188</v>
      </c>
      <c r="M9" s="14" t="s">
        <v>189</v>
      </c>
      <c r="N9" s="14" t="s">
        <v>190</v>
      </c>
      <c r="O9" s="14" t="s">
        <v>191</v>
      </c>
      <c r="P9" s="14" t="s">
        <v>192</v>
      </c>
      <c r="Q9" s="14" t="s">
        <v>193</v>
      </c>
      <c r="R9" s="14" t="s">
        <v>194</v>
      </c>
      <c r="S9" s="14" t="s">
        <v>195</v>
      </c>
      <c r="T9" s="14" t="s">
        <v>149</v>
      </c>
      <c r="U9" s="14" t="s">
        <v>113</v>
      </c>
      <c r="V9" s="48">
        <f>SUMIF(Data!$E:$E,$I9,Data!$AI:$AI)</f>
        <v>0</v>
      </c>
    </row>
    <row r="10" spans="1:22" x14ac:dyDescent="0.25">
      <c r="A10" s="47" t="s">
        <v>122</v>
      </c>
      <c r="B10" s="47" t="s">
        <v>123</v>
      </c>
      <c r="C10" s="47" t="s">
        <v>196</v>
      </c>
      <c r="D10" s="47">
        <v>1.2485999999999999</v>
      </c>
      <c r="E10" s="48">
        <f>SUMIF(Data!$E:$E,$C10,Data!$AI:$AI)</f>
        <v>0</v>
      </c>
      <c r="I10" s="14" t="s">
        <v>197</v>
      </c>
      <c r="J10" s="14" t="s">
        <v>198</v>
      </c>
      <c r="K10" s="14" t="s">
        <v>140</v>
      </c>
      <c r="L10" s="14" t="s">
        <v>199</v>
      </c>
      <c r="M10" s="14" t="s">
        <v>200</v>
      </c>
      <c r="N10" s="14">
        <v>160.28899999999999</v>
      </c>
      <c r="O10" s="14" t="s">
        <v>201</v>
      </c>
      <c r="P10" s="14" t="s">
        <v>202</v>
      </c>
      <c r="Q10" s="14" t="s">
        <v>175</v>
      </c>
      <c r="R10" s="14" t="s">
        <v>203</v>
      </c>
      <c r="S10" s="14" t="s">
        <v>148</v>
      </c>
      <c r="T10" s="14" t="s">
        <v>149</v>
      </c>
      <c r="U10" s="14" t="s">
        <v>113</v>
      </c>
      <c r="V10" s="48">
        <f>SUMIF(Data!$E:$E,$I10,Data!$AI:$AI)</f>
        <v>0</v>
      </c>
    </row>
    <row r="11" spans="1:22" x14ac:dyDescent="0.25">
      <c r="A11" s="47" t="s">
        <v>122</v>
      </c>
      <c r="B11" s="47" t="s">
        <v>123</v>
      </c>
      <c r="C11" s="50">
        <v>213</v>
      </c>
      <c r="D11" s="47">
        <v>6.4352</v>
      </c>
      <c r="E11" s="48">
        <f>SUMIF(Data!$E:$E,$C11,Data!$AI:$AI)</f>
        <v>0</v>
      </c>
      <c r="I11" s="14" t="s">
        <v>204</v>
      </c>
      <c r="J11" s="14" t="s">
        <v>205</v>
      </c>
      <c r="K11" s="14" t="s">
        <v>140</v>
      </c>
      <c r="L11" s="14" t="s">
        <v>206</v>
      </c>
      <c r="M11" s="14" t="s">
        <v>207</v>
      </c>
      <c r="N11" s="14" t="s">
        <v>208</v>
      </c>
      <c r="O11" s="14" t="s">
        <v>209</v>
      </c>
      <c r="P11" s="14" t="s">
        <v>210</v>
      </c>
      <c r="Q11" s="14" t="s">
        <v>211</v>
      </c>
      <c r="R11" s="14" t="s">
        <v>212</v>
      </c>
      <c r="S11" s="14" t="s">
        <v>195</v>
      </c>
      <c r="T11" s="14" t="s">
        <v>149</v>
      </c>
      <c r="U11" s="14" t="s">
        <v>113</v>
      </c>
      <c r="V11" s="48">
        <f>SUMIF(Data!$E:$E,$I11,Data!$AI:$AI)</f>
        <v>0</v>
      </c>
    </row>
    <row r="12" spans="1:22" x14ac:dyDescent="0.25">
      <c r="A12" s="47" t="s">
        <v>122</v>
      </c>
      <c r="B12" s="47" t="s">
        <v>123</v>
      </c>
      <c r="C12" s="50">
        <v>214</v>
      </c>
      <c r="D12" s="47">
        <v>4.6957000000000004</v>
      </c>
      <c r="E12" s="48">
        <f>SUMIF(Data!$E:$E,$C12,Data!$AI:$AI)</f>
        <v>0</v>
      </c>
      <c r="I12" s="14" t="s">
        <v>213</v>
      </c>
      <c r="J12" s="14" t="s">
        <v>214</v>
      </c>
      <c r="K12" s="14" t="s">
        <v>140</v>
      </c>
      <c r="L12" s="14" t="s">
        <v>215</v>
      </c>
      <c r="M12" s="14" t="s">
        <v>216</v>
      </c>
      <c r="N12" s="14">
        <v>935.11699999999996</v>
      </c>
      <c r="O12" s="14" t="s">
        <v>217</v>
      </c>
      <c r="P12" s="14" t="s">
        <v>218</v>
      </c>
      <c r="Q12" s="14" t="s">
        <v>146</v>
      </c>
      <c r="R12" s="14" t="s">
        <v>219</v>
      </c>
      <c r="S12" s="14" t="s">
        <v>195</v>
      </c>
      <c r="T12" s="14" t="s">
        <v>149</v>
      </c>
      <c r="U12" s="14" t="s">
        <v>113</v>
      </c>
      <c r="V12" s="48">
        <f>SUMIF(Data!$E:$E,$I12,Data!$AI:$AI)</f>
        <v>0</v>
      </c>
    </row>
    <row r="13" spans="1:22" x14ac:dyDescent="0.25">
      <c r="A13" s="47" t="s">
        <v>122</v>
      </c>
      <c r="B13" s="47" t="s">
        <v>123</v>
      </c>
      <c r="C13" s="50">
        <v>2023</v>
      </c>
      <c r="D13" s="47">
        <v>5.1942000000000004</v>
      </c>
      <c r="E13" s="48">
        <f>SUMIF(Data!$E:$E,$C13,Data!$AI:$AI)</f>
        <v>0</v>
      </c>
      <c r="I13" s="14" t="s">
        <v>220</v>
      </c>
      <c r="J13" s="14" t="s">
        <v>221</v>
      </c>
      <c r="K13" s="14" t="s">
        <v>140</v>
      </c>
      <c r="L13" s="14" t="s">
        <v>222</v>
      </c>
      <c r="M13" s="14" t="s">
        <v>223</v>
      </c>
      <c r="N13" s="14" t="s">
        <v>224</v>
      </c>
      <c r="O13" s="14" t="s">
        <v>225</v>
      </c>
      <c r="P13" s="14" t="s">
        <v>226</v>
      </c>
      <c r="Q13" s="14" t="s">
        <v>227</v>
      </c>
      <c r="R13" s="14" t="s">
        <v>228</v>
      </c>
      <c r="S13" s="14" t="s">
        <v>229</v>
      </c>
      <c r="T13" s="14" t="s">
        <v>230</v>
      </c>
      <c r="U13" s="14" t="s">
        <v>231</v>
      </c>
      <c r="V13" s="48">
        <f>SUMIF(Data!$E:$E,$I13,Data!$AI:$AI)</f>
        <v>0</v>
      </c>
    </row>
    <row r="14" spans="1:22" x14ac:dyDescent="0.25">
      <c r="A14" s="47" t="s">
        <v>122</v>
      </c>
      <c r="B14" s="47" t="s">
        <v>123</v>
      </c>
      <c r="C14" s="50">
        <v>2048</v>
      </c>
      <c r="D14" s="47">
        <v>11.422499999999999</v>
      </c>
      <c r="E14" s="48">
        <f>SUMIF(Data!$E:$E,$C14,Data!$AI:$AI)</f>
        <v>0</v>
      </c>
      <c r="I14" s="14" t="s">
        <v>232</v>
      </c>
      <c r="J14" s="14" t="s">
        <v>233</v>
      </c>
      <c r="K14" s="14" t="s">
        <v>140</v>
      </c>
      <c r="L14" s="14" t="s">
        <v>234</v>
      </c>
      <c r="M14" s="14" t="s">
        <v>235</v>
      </c>
      <c r="N14" s="14" t="s">
        <v>236</v>
      </c>
      <c r="O14" s="14" t="s">
        <v>237</v>
      </c>
      <c r="P14" s="14" t="s">
        <v>238</v>
      </c>
      <c r="Q14" s="14" t="s">
        <v>227</v>
      </c>
      <c r="R14" s="14" t="s">
        <v>239</v>
      </c>
      <c r="S14" s="14" t="s">
        <v>195</v>
      </c>
      <c r="T14" s="14" t="s">
        <v>149</v>
      </c>
      <c r="U14" s="14" t="s">
        <v>113</v>
      </c>
      <c r="V14" s="48">
        <f>SUMIF(Data!$E:$E,$I14,Data!$AI:$AI)</f>
        <v>0</v>
      </c>
    </row>
    <row r="15" spans="1:22" x14ac:dyDescent="0.25">
      <c r="A15" s="47" t="s">
        <v>122</v>
      </c>
      <c r="B15" s="47" t="s">
        <v>123</v>
      </c>
      <c r="C15" s="50">
        <v>2037</v>
      </c>
      <c r="D15" s="47">
        <v>7.0557999999999996</v>
      </c>
      <c r="E15" s="48">
        <f>SUMIF(Data!$E:$E,$C15,Data!$AI:$AI)</f>
        <v>0</v>
      </c>
      <c r="I15" s="14" t="s">
        <v>240</v>
      </c>
      <c r="J15" s="14" t="s">
        <v>241</v>
      </c>
      <c r="K15" s="14" t="s">
        <v>140</v>
      </c>
      <c r="L15" s="14" t="s">
        <v>242</v>
      </c>
      <c r="M15" s="14" t="s">
        <v>243</v>
      </c>
      <c r="N15" s="14" t="s">
        <v>244</v>
      </c>
      <c r="O15" s="14" t="s">
        <v>245</v>
      </c>
      <c r="P15" s="14" t="s">
        <v>246</v>
      </c>
      <c r="Q15" s="14" t="s">
        <v>193</v>
      </c>
      <c r="R15" s="14" t="s">
        <v>247</v>
      </c>
      <c r="S15" s="14" t="s">
        <v>195</v>
      </c>
      <c r="T15" s="14" t="s">
        <v>149</v>
      </c>
      <c r="U15" s="14" t="s">
        <v>113</v>
      </c>
      <c r="V15" s="48">
        <f>SUMIF(Data!$E:$E,$I15,Data!$AI:$AI)</f>
        <v>0</v>
      </c>
    </row>
    <row r="16" spans="1:22" x14ac:dyDescent="0.25">
      <c r="A16" s="47" t="s">
        <v>122</v>
      </c>
      <c r="B16" s="47" t="s">
        <v>123</v>
      </c>
      <c r="C16" s="50">
        <v>2030</v>
      </c>
      <c r="D16" s="47">
        <v>7.1749000000000001</v>
      </c>
      <c r="E16" s="48">
        <f>SUMIF(Data!$E:$E,$C16,Data!$AI:$AI)</f>
        <v>0</v>
      </c>
      <c r="I16" s="14" t="s">
        <v>248</v>
      </c>
      <c r="J16" s="14" t="s">
        <v>249</v>
      </c>
      <c r="K16" s="14" t="s">
        <v>140</v>
      </c>
      <c r="L16" s="14" t="s">
        <v>250</v>
      </c>
      <c r="M16" s="14" t="s">
        <v>251</v>
      </c>
      <c r="N16" s="14">
        <v>698.78700000000003</v>
      </c>
      <c r="O16" s="14" t="s">
        <v>252</v>
      </c>
      <c r="P16" s="14" t="s">
        <v>253</v>
      </c>
      <c r="Q16" s="14" t="s">
        <v>193</v>
      </c>
      <c r="R16" s="14" t="s">
        <v>254</v>
      </c>
      <c r="S16" s="14" t="s">
        <v>195</v>
      </c>
      <c r="T16" s="14" t="s">
        <v>149</v>
      </c>
      <c r="U16" s="14" t="s">
        <v>113</v>
      </c>
      <c r="V16" s="48">
        <f>SUMIF(Data!$E:$E,$I16,Data!$AI:$AI)</f>
        <v>0</v>
      </c>
    </row>
    <row r="17" spans="1:22" x14ac:dyDescent="0.25">
      <c r="A17" s="47" t="s">
        <v>122</v>
      </c>
      <c r="B17" s="47" t="s">
        <v>123</v>
      </c>
      <c r="C17" s="47" t="s">
        <v>255</v>
      </c>
      <c r="D17" s="47">
        <v>0.8266</v>
      </c>
      <c r="E17" s="48">
        <f>SUMIF(Data!$E:$E,$C17,Data!$AI:$AI)</f>
        <v>0</v>
      </c>
      <c r="I17" s="14" t="s">
        <v>256</v>
      </c>
      <c r="J17" s="14" t="s">
        <v>257</v>
      </c>
      <c r="K17" s="14" t="s">
        <v>140</v>
      </c>
      <c r="L17" s="14" t="s">
        <v>258</v>
      </c>
      <c r="M17" s="14" t="s">
        <v>259</v>
      </c>
      <c r="N17" s="14" t="s">
        <v>260</v>
      </c>
      <c r="O17" s="14" t="s">
        <v>261</v>
      </c>
      <c r="P17" s="14" t="s">
        <v>262</v>
      </c>
      <c r="Q17" s="14" t="s">
        <v>263</v>
      </c>
      <c r="R17" s="14" t="s">
        <v>264</v>
      </c>
      <c r="S17" s="14" t="s">
        <v>195</v>
      </c>
      <c r="T17" s="14" t="s">
        <v>149</v>
      </c>
      <c r="U17" s="14" t="s">
        <v>113</v>
      </c>
      <c r="V17" s="48">
        <f>SUMIF(Data!$E:$E,$I17,Data!$AI:$AI)</f>
        <v>0</v>
      </c>
    </row>
    <row r="18" spans="1:22" x14ac:dyDescent="0.25">
      <c r="A18" s="47" t="s">
        <v>122</v>
      </c>
      <c r="B18" s="47" t="s">
        <v>123</v>
      </c>
      <c r="C18" s="50">
        <v>2032</v>
      </c>
      <c r="D18" s="47">
        <v>6.1326000000000001</v>
      </c>
      <c r="E18" s="48">
        <f>SUMIF(Data!$E:$E,$C18,Data!$AI:$AI)</f>
        <v>0</v>
      </c>
      <c r="I18" s="14" t="s">
        <v>265</v>
      </c>
      <c r="J18" s="14" t="s">
        <v>266</v>
      </c>
      <c r="K18" s="14" t="s">
        <v>140</v>
      </c>
      <c r="L18" s="14" t="s">
        <v>267</v>
      </c>
      <c r="M18" s="14" t="s">
        <v>268</v>
      </c>
      <c r="N18" s="14">
        <v>491.048</v>
      </c>
      <c r="O18" s="14" t="s">
        <v>269</v>
      </c>
      <c r="P18" s="14" t="s">
        <v>270</v>
      </c>
      <c r="Q18" s="14" t="s">
        <v>146</v>
      </c>
      <c r="R18" s="14" t="s">
        <v>271</v>
      </c>
      <c r="S18" s="14" t="s">
        <v>195</v>
      </c>
      <c r="T18" s="14" t="s">
        <v>149</v>
      </c>
      <c r="U18" s="14" t="s">
        <v>113</v>
      </c>
      <c r="V18" s="48">
        <f>SUMIF(Data!$E:$E,$I18,Data!$AI:$AI)</f>
        <v>0</v>
      </c>
    </row>
    <row r="19" spans="1:22" x14ac:dyDescent="0.25">
      <c r="A19" s="47" t="s">
        <v>122</v>
      </c>
      <c r="B19" s="47" t="s">
        <v>123</v>
      </c>
      <c r="C19" s="50">
        <v>2044</v>
      </c>
      <c r="D19" s="47">
        <v>7.0827999999999998</v>
      </c>
      <c r="E19" s="48">
        <f>SUMIF(Data!$E:$E,$C19,Data!$AI:$AI)</f>
        <v>0</v>
      </c>
      <c r="I19" s="14" t="s">
        <v>272</v>
      </c>
      <c r="J19" s="14" t="s">
        <v>273</v>
      </c>
      <c r="K19" s="14" t="s">
        <v>140</v>
      </c>
      <c r="L19" s="14" t="s">
        <v>274</v>
      </c>
      <c r="M19" s="14" t="s">
        <v>275</v>
      </c>
      <c r="N19" s="14">
        <v>511.20600000000002</v>
      </c>
      <c r="O19" s="14" t="s">
        <v>276</v>
      </c>
      <c r="P19" s="14" t="s">
        <v>277</v>
      </c>
      <c r="Q19" s="14" t="s">
        <v>211</v>
      </c>
      <c r="R19" s="14" t="s">
        <v>278</v>
      </c>
      <c r="S19" s="14" t="s">
        <v>195</v>
      </c>
      <c r="T19" s="14" t="s">
        <v>149</v>
      </c>
      <c r="U19" s="14" t="s">
        <v>113</v>
      </c>
      <c r="V19" s="48">
        <f>SUMIF(Data!$E:$E,$I19,Data!$AI:$AI)</f>
        <v>0</v>
      </c>
    </row>
    <row r="20" spans="1:22" x14ac:dyDescent="0.25">
      <c r="A20" s="47" t="s">
        <v>122</v>
      </c>
      <c r="B20" s="47" t="s">
        <v>123</v>
      </c>
      <c r="C20" s="50">
        <v>2035</v>
      </c>
      <c r="D20" s="47">
        <v>4.7552000000000003</v>
      </c>
      <c r="E20" s="48">
        <f>SUMIF(Data!$E:$E,$C20,Data!$AI:$AI)</f>
        <v>0</v>
      </c>
      <c r="I20" s="14" t="s">
        <v>279</v>
      </c>
      <c r="J20" s="14" t="s">
        <v>280</v>
      </c>
      <c r="K20" s="14" t="s">
        <v>140</v>
      </c>
      <c r="L20" s="14" t="s">
        <v>281</v>
      </c>
      <c r="M20" s="14" t="s">
        <v>282</v>
      </c>
      <c r="N20" s="14" t="s">
        <v>283</v>
      </c>
      <c r="O20" s="14" t="s">
        <v>284</v>
      </c>
      <c r="P20" s="14" t="s">
        <v>285</v>
      </c>
      <c r="Q20" s="14" t="s">
        <v>175</v>
      </c>
      <c r="R20" s="14" t="s">
        <v>286</v>
      </c>
      <c r="S20" s="14" t="s">
        <v>195</v>
      </c>
      <c r="T20" s="14" t="s">
        <v>149</v>
      </c>
      <c r="U20" s="14" t="s">
        <v>113</v>
      </c>
      <c r="V20" s="48">
        <f>SUMIF(Data!$E:$E,$I20,Data!$AI:$AI)</f>
        <v>0</v>
      </c>
    </row>
    <row r="21" spans="1:22" x14ac:dyDescent="0.25">
      <c r="A21" s="47" t="s">
        <v>122</v>
      </c>
      <c r="B21" s="47" t="s">
        <v>123</v>
      </c>
      <c r="C21" s="50">
        <v>2040</v>
      </c>
      <c r="D21" s="47">
        <v>4.3581000000000003</v>
      </c>
      <c r="E21" s="48">
        <f>SUMIF(Data!$E:$E,$C21,Data!$AI:$AI)</f>
        <v>0</v>
      </c>
      <c r="I21" s="14" t="s">
        <v>287</v>
      </c>
      <c r="J21" s="14" t="s">
        <v>288</v>
      </c>
      <c r="K21" s="14" t="s">
        <v>140</v>
      </c>
      <c r="L21" s="14" t="s">
        <v>289</v>
      </c>
      <c r="M21" s="14" t="s">
        <v>290</v>
      </c>
      <c r="N21" s="14" t="s">
        <v>291</v>
      </c>
      <c r="O21" s="14" t="s">
        <v>292</v>
      </c>
      <c r="P21" s="14" t="s">
        <v>293</v>
      </c>
      <c r="Q21" s="14" t="s">
        <v>146</v>
      </c>
      <c r="R21" s="14" t="s">
        <v>294</v>
      </c>
      <c r="S21" s="14" t="s">
        <v>148</v>
      </c>
      <c r="T21" s="14" t="s">
        <v>149</v>
      </c>
      <c r="U21" s="14" t="s">
        <v>113</v>
      </c>
      <c r="V21" s="48">
        <f>SUMIF(Data!$E:$E,$I21,Data!$AI:$AI)</f>
        <v>0</v>
      </c>
    </row>
    <row r="22" spans="1:22" x14ac:dyDescent="0.25">
      <c r="A22" s="47" t="s">
        <v>122</v>
      </c>
      <c r="B22" s="47" t="s">
        <v>123</v>
      </c>
      <c r="C22" s="47" t="s">
        <v>295</v>
      </c>
      <c r="D22" s="47">
        <v>0</v>
      </c>
      <c r="E22" s="48">
        <f>SUMIF(Data!$E:$E,$C22,Data!$AI:$AI)</f>
        <v>0</v>
      </c>
      <c r="I22" s="14" t="s">
        <v>296</v>
      </c>
      <c r="J22" s="14" t="s">
        <v>297</v>
      </c>
      <c r="K22" s="14" t="s">
        <v>140</v>
      </c>
      <c r="L22" s="14" t="s">
        <v>289</v>
      </c>
      <c r="M22" s="14" t="s">
        <v>298</v>
      </c>
      <c r="N22" s="14">
        <v>969.29200000000003</v>
      </c>
      <c r="O22" s="14" t="s">
        <v>299</v>
      </c>
      <c r="P22" s="14" t="s">
        <v>300</v>
      </c>
      <c r="Q22" s="14" t="s">
        <v>175</v>
      </c>
      <c r="R22" s="14" t="s">
        <v>301</v>
      </c>
      <c r="S22" s="14" t="s">
        <v>195</v>
      </c>
      <c r="T22" s="14" t="s">
        <v>149</v>
      </c>
      <c r="U22" s="14" t="s">
        <v>113</v>
      </c>
      <c r="V22" s="48">
        <f>SUMIF(Data!$E:$E,$I22,Data!$AI:$AI)</f>
        <v>0</v>
      </c>
    </row>
    <row r="23" spans="1:22" x14ac:dyDescent="0.25">
      <c r="A23" s="47" t="s">
        <v>302</v>
      </c>
      <c r="B23" s="47" t="s">
        <v>123</v>
      </c>
      <c r="C23" s="50">
        <v>204</v>
      </c>
      <c r="D23" s="47">
        <v>44.087299999999999</v>
      </c>
      <c r="E23" s="48">
        <f>SUMIF(Data!$E:$E,$C23,Data!$AI:$AI)</f>
        <v>0</v>
      </c>
      <c r="I23" s="14" t="s">
        <v>303</v>
      </c>
      <c r="J23" s="14" t="s">
        <v>304</v>
      </c>
      <c r="K23" s="14" t="s">
        <v>140</v>
      </c>
      <c r="L23" s="14" t="s">
        <v>305</v>
      </c>
      <c r="M23" s="14" t="s">
        <v>306</v>
      </c>
      <c r="N23" s="14">
        <v>591.29899999999998</v>
      </c>
      <c r="O23" s="14" t="s">
        <v>307</v>
      </c>
      <c r="P23" s="14" t="s">
        <v>308</v>
      </c>
      <c r="Q23" s="14" t="s">
        <v>165</v>
      </c>
      <c r="R23" s="14" t="s">
        <v>309</v>
      </c>
      <c r="S23" s="14" t="s">
        <v>195</v>
      </c>
      <c r="T23" s="14" t="s">
        <v>149</v>
      </c>
      <c r="U23" s="14" t="s">
        <v>113</v>
      </c>
      <c r="V23" s="48">
        <f>SUMIF(Data!$E:$E,$I23,Data!$AI:$AI)</f>
        <v>0</v>
      </c>
    </row>
    <row r="24" spans="1:22" x14ac:dyDescent="0.25">
      <c r="A24" s="47" t="s">
        <v>302</v>
      </c>
      <c r="B24" s="47" t="s">
        <v>123</v>
      </c>
      <c r="C24" s="50">
        <v>207</v>
      </c>
      <c r="D24" s="47">
        <v>55.912599999999998</v>
      </c>
      <c r="E24" s="48">
        <f>SUMIF(Data!$E:$E,$C24,Data!$AI:$AI)</f>
        <v>0</v>
      </c>
      <c r="I24" s="14" t="s">
        <v>310</v>
      </c>
      <c r="J24" s="14" t="s">
        <v>311</v>
      </c>
      <c r="K24" s="14" t="s">
        <v>140</v>
      </c>
      <c r="L24" s="14" t="s">
        <v>312</v>
      </c>
      <c r="M24" s="14" t="s">
        <v>313</v>
      </c>
      <c r="N24" s="14" t="s">
        <v>314</v>
      </c>
      <c r="O24" s="14" t="s">
        <v>315</v>
      </c>
      <c r="P24" s="14" t="s">
        <v>316</v>
      </c>
      <c r="Q24" s="14" t="s">
        <v>175</v>
      </c>
      <c r="R24" s="14" t="s">
        <v>317</v>
      </c>
      <c r="S24" s="14" t="s">
        <v>195</v>
      </c>
      <c r="T24" s="14" t="s">
        <v>149</v>
      </c>
      <c r="U24" s="14" t="s">
        <v>113</v>
      </c>
      <c r="V24" s="48">
        <f>SUMIF(Data!$E:$E,$I24,Data!$AI:$AI)</f>
        <v>0</v>
      </c>
    </row>
    <row r="25" spans="1:22" x14ac:dyDescent="0.25">
      <c r="A25" s="47" t="s">
        <v>302</v>
      </c>
      <c r="B25" s="47" t="s">
        <v>123</v>
      </c>
      <c r="C25" s="47" t="s">
        <v>295</v>
      </c>
      <c r="D25" s="47">
        <v>0</v>
      </c>
      <c r="E25" s="48">
        <f>SUMIF(Data!$E:$E,$C25,Data!$AI:$AI)</f>
        <v>0</v>
      </c>
      <c r="I25" s="14" t="s">
        <v>318</v>
      </c>
      <c r="J25" s="14" t="s">
        <v>319</v>
      </c>
      <c r="K25" s="14" t="s">
        <v>140</v>
      </c>
      <c r="L25" s="14" t="s">
        <v>320</v>
      </c>
      <c r="M25" s="14" t="s">
        <v>321</v>
      </c>
      <c r="N25" s="14">
        <v>375.67200000000003</v>
      </c>
      <c r="O25" s="14" t="s">
        <v>322</v>
      </c>
      <c r="P25" s="14" t="s">
        <v>323</v>
      </c>
      <c r="Q25" s="14" t="s">
        <v>211</v>
      </c>
      <c r="R25" s="14" t="s">
        <v>324</v>
      </c>
      <c r="S25" s="14" t="s">
        <v>229</v>
      </c>
      <c r="T25" s="14" t="s">
        <v>230</v>
      </c>
      <c r="U25" s="14" t="s">
        <v>231</v>
      </c>
      <c r="V25" s="48">
        <f>SUMIF(Data!$E:$E,$I25,Data!$AI:$AI)</f>
        <v>0</v>
      </c>
    </row>
    <row r="26" spans="1:22" x14ac:dyDescent="0.25">
      <c r="A26" s="47" t="s">
        <v>325</v>
      </c>
      <c r="B26" s="47" t="s">
        <v>123</v>
      </c>
      <c r="C26" s="47" t="s">
        <v>326</v>
      </c>
      <c r="D26" s="47">
        <v>5.8087</v>
      </c>
      <c r="E26" s="48">
        <f>SUMIF(Data!$E:$E,$C26,Data!$AI:$AI)</f>
        <v>0</v>
      </c>
      <c r="I26" s="14" t="s">
        <v>327</v>
      </c>
      <c r="J26" s="14" t="s">
        <v>328</v>
      </c>
      <c r="K26" s="14" t="s">
        <v>140</v>
      </c>
      <c r="L26" s="14" t="s">
        <v>320</v>
      </c>
      <c r="M26" s="14" t="s">
        <v>329</v>
      </c>
      <c r="N26" s="14" t="s">
        <v>330</v>
      </c>
      <c r="O26" s="14" t="s">
        <v>331</v>
      </c>
      <c r="P26" s="14" t="s">
        <v>332</v>
      </c>
      <c r="Q26" s="14" t="s">
        <v>211</v>
      </c>
      <c r="R26" s="14" t="s">
        <v>333</v>
      </c>
      <c r="S26" s="14" t="s">
        <v>195</v>
      </c>
      <c r="T26" s="14" t="s">
        <v>149</v>
      </c>
      <c r="U26" s="14" t="s">
        <v>113</v>
      </c>
      <c r="V26" s="48">
        <f>SUMIF(Data!$E:$E,$I26,Data!$AI:$AI)</f>
        <v>0</v>
      </c>
    </row>
    <row r="27" spans="1:22" x14ac:dyDescent="0.25">
      <c r="A27" s="47" t="s">
        <v>325</v>
      </c>
      <c r="B27" s="47" t="s">
        <v>123</v>
      </c>
      <c r="C27" s="47" t="s">
        <v>334</v>
      </c>
      <c r="D27" s="47">
        <v>0.7944</v>
      </c>
      <c r="E27" s="48">
        <f>SUMIF(Data!$E:$E,$C27,Data!$AI:$AI)</f>
        <v>0</v>
      </c>
      <c r="I27" s="14" t="s">
        <v>335</v>
      </c>
      <c r="J27" s="14" t="s">
        <v>336</v>
      </c>
      <c r="K27" s="14" t="s">
        <v>140</v>
      </c>
      <c r="L27" s="14" t="s">
        <v>337</v>
      </c>
      <c r="M27" s="14" t="s">
        <v>338</v>
      </c>
      <c r="N27" s="14" t="s">
        <v>339</v>
      </c>
      <c r="O27" s="14" t="s">
        <v>340</v>
      </c>
      <c r="P27" s="14" t="s">
        <v>341</v>
      </c>
      <c r="Q27" s="14" t="s">
        <v>227</v>
      </c>
      <c r="R27" s="14" t="s">
        <v>342</v>
      </c>
      <c r="S27" s="14" t="s">
        <v>195</v>
      </c>
      <c r="T27" s="14" t="s">
        <v>149</v>
      </c>
      <c r="U27" s="14" t="s">
        <v>113</v>
      </c>
      <c r="V27" s="48">
        <f>SUMIF(Data!$E:$E,$I27,Data!$AI:$AI)</f>
        <v>0</v>
      </c>
    </row>
    <row r="28" spans="1:22" x14ac:dyDescent="0.25">
      <c r="A28" s="47" t="s">
        <v>325</v>
      </c>
      <c r="B28" s="47" t="s">
        <v>123</v>
      </c>
      <c r="C28" s="47" t="s">
        <v>343</v>
      </c>
      <c r="D28" s="47">
        <v>5.2252000000000001</v>
      </c>
      <c r="E28" s="48">
        <f>SUMIF(Data!$E:$E,$C28,Data!$AI:$AI)</f>
        <v>0</v>
      </c>
      <c r="I28" s="14" t="s">
        <v>344</v>
      </c>
      <c r="J28" s="14" t="s">
        <v>345</v>
      </c>
      <c r="K28" s="14" t="s">
        <v>140</v>
      </c>
      <c r="L28" s="14" t="s">
        <v>346</v>
      </c>
      <c r="M28" s="14" t="s">
        <v>347</v>
      </c>
      <c r="N28" s="14" t="s">
        <v>348</v>
      </c>
      <c r="O28" s="14" t="s">
        <v>349</v>
      </c>
      <c r="P28" s="14" t="s">
        <v>350</v>
      </c>
      <c r="Q28" s="14" t="s">
        <v>193</v>
      </c>
      <c r="R28" s="14" t="s">
        <v>351</v>
      </c>
      <c r="S28" s="14" t="s">
        <v>195</v>
      </c>
      <c r="T28" s="14" t="s">
        <v>149</v>
      </c>
      <c r="U28" s="14" t="s">
        <v>113</v>
      </c>
      <c r="V28" s="48">
        <f>SUMIF(Data!$E:$E,$I28,Data!$AI:$AI)</f>
        <v>0</v>
      </c>
    </row>
    <row r="29" spans="1:22" x14ac:dyDescent="0.25">
      <c r="A29" s="47" t="s">
        <v>325</v>
      </c>
      <c r="B29" s="47" t="s">
        <v>123</v>
      </c>
      <c r="C29" s="47" t="s">
        <v>352</v>
      </c>
      <c r="D29" s="47">
        <v>0.85370000000000001</v>
      </c>
      <c r="E29" s="48">
        <f>SUMIF(Data!$E:$E,$C29,Data!$AI:$AI)</f>
        <v>0</v>
      </c>
      <c r="I29" s="14" t="s">
        <v>353</v>
      </c>
      <c r="J29" s="14" t="s">
        <v>354</v>
      </c>
      <c r="K29" s="14" t="s">
        <v>140</v>
      </c>
      <c r="L29" s="14" t="s">
        <v>346</v>
      </c>
      <c r="M29" s="14" t="s">
        <v>355</v>
      </c>
      <c r="N29" s="14" t="s">
        <v>356</v>
      </c>
      <c r="O29" s="14" t="s">
        <v>357</v>
      </c>
      <c r="P29" s="14" t="s">
        <v>358</v>
      </c>
      <c r="Q29" s="14" t="s">
        <v>263</v>
      </c>
      <c r="R29" s="14" t="s">
        <v>359</v>
      </c>
      <c r="S29" s="14" t="s">
        <v>195</v>
      </c>
      <c r="T29" s="14" t="s">
        <v>149</v>
      </c>
      <c r="U29" s="14" t="s">
        <v>113</v>
      </c>
      <c r="V29" s="48">
        <f>SUMIF(Data!$E:$E,$I29,Data!$AI:$AI)</f>
        <v>0</v>
      </c>
    </row>
    <row r="30" spans="1:22" x14ac:dyDescent="0.25">
      <c r="A30" s="47" t="s">
        <v>325</v>
      </c>
      <c r="B30" s="47" t="s">
        <v>123</v>
      </c>
      <c r="C30" s="47" t="s">
        <v>360</v>
      </c>
      <c r="D30" s="47">
        <v>4.3754</v>
      </c>
      <c r="E30" s="48">
        <f>SUMIF(Data!$E:$E,$C30,Data!$AI:$AI)</f>
        <v>0</v>
      </c>
      <c r="I30" s="14" t="s">
        <v>361</v>
      </c>
      <c r="J30" s="14" t="s">
        <v>362</v>
      </c>
      <c r="K30" s="14" t="s">
        <v>140</v>
      </c>
      <c r="L30" s="14" t="s">
        <v>363</v>
      </c>
      <c r="M30" s="14" t="s">
        <v>364</v>
      </c>
      <c r="N30" s="14" t="s">
        <v>365</v>
      </c>
      <c r="O30" s="14" t="s">
        <v>366</v>
      </c>
      <c r="P30" s="14" t="s">
        <v>367</v>
      </c>
      <c r="Q30" s="14" t="s">
        <v>211</v>
      </c>
      <c r="R30" s="14" t="s">
        <v>368</v>
      </c>
      <c r="S30" s="14" t="s">
        <v>195</v>
      </c>
      <c r="T30" s="14" t="s">
        <v>149</v>
      </c>
      <c r="U30" s="14" t="s">
        <v>113</v>
      </c>
      <c r="V30" s="48">
        <f>SUMIF(Data!$E:$E,$I30,Data!$AI:$AI)</f>
        <v>0</v>
      </c>
    </row>
    <row r="31" spans="1:22" x14ac:dyDescent="0.25">
      <c r="A31" s="47" t="s">
        <v>325</v>
      </c>
      <c r="B31" s="47" t="s">
        <v>123</v>
      </c>
      <c r="C31" s="47" t="s">
        <v>369</v>
      </c>
      <c r="D31" s="47">
        <v>0.32550000000000001</v>
      </c>
      <c r="E31" s="48">
        <f>SUMIF(Data!$E:$E,$C31,Data!$AI:$AI)</f>
        <v>0</v>
      </c>
      <c r="I31" s="14" t="s">
        <v>370</v>
      </c>
      <c r="J31" s="14" t="s">
        <v>371</v>
      </c>
      <c r="K31" s="14" t="s">
        <v>140</v>
      </c>
      <c r="L31" s="14" t="s">
        <v>372</v>
      </c>
      <c r="M31" s="14" t="s">
        <v>373</v>
      </c>
      <c r="N31" s="14" t="s">
        <v>374</v>
      </c>
      <c r="O31" s="14" t="s">
        <v>375</v>
      </c>
      <c r="P31" s="14" t="s">
        <v>376</v>
      </c>
      <c r="Q31" s="14" t="s">
        <v>211</v>
      </c>
      <c r="R31" s="14" t="s">
        <v>377</v>
      </c>
      <c r="S31" s="14" t="s">
        <v>229</v>
      </c>
      <c r="T31" s="14" t="s">
        <v>230</v>
      </c>
      <c r="U31" s="14" t="s">
        <v>231</v>
      </c>
      <c r="V31" s="48">
        <f>SUMIF(Data!$E:$E,$I31,Data!$AI:$AI)</f>
        <v>0</v>
      </c>
    </row>
    <row r="32" spans="1:22" x14ac:dyDescent="0.25">
      <c r="A32" s="47" t="s">
        <v>325</v>
      </c>
      <c r="B32" s="47" t="s">
        <v>123</v>
      </c>
      <c r="C32" s="47" t="s">
        <v>378</v>
      </c>
      <c r="D32" s="47">
        <v>0.32900000000000001</v>
      </c>
      <c r="E32" s="48">
        <f>SUMIF(Data!$E:$E,$C32,Data!$AI:$AI)</f>
        <v>0</v>
      </c>
      <c r="I32" s="14" t="s">
        <v>379</v>
      </c>
      <c r="J32" s="14" t="s">
        <v>380</v>
      </c>
      <c r="K32" s="14" t="s">
        <v>140</v>
      </c>
      <c r="L32" s="14" t="s">
        <v>372</v>
      </c>
      <c r="M32" s="14" t="s">
        <v>381</v>
      </c>
      <c r="N32" s="14" t="s">
        <v>382</v>
      </c>
      <c r="O32" s="14" t="s">
        <v>383</v>
      </c>
      <c r="P32" s="14" t="s">
        <v>384</v>
      </c>
      <c r="Q32" s="14" t="s">
        <v>175</v>
      </c>
      <c r="R32" s="14" t="s">
        <v>385</v>
      </c>
      <c r="S32" s="14" t="s">
        <v>148</v>
      </c>
      <c r="T32" s="14" t="s">
        <v>149</v>
      </c>
      <c r="U32" s="14" t="s">
        <v>113</v>
      </c>
      <c r="V32" s="48">
        <f>SUMIF(Data!$E:$E,$I32,Data!$AI:$AI)</f>
        <v>0</v>
      </c>
    </row>
    <row r="33" spans="1:22" x14ac:dyDescent="0.25">
      <c r="A33" s="47" t="s">
        <v>325</v>
      </c>
      <c r="B33" s="47" t="s">
        <v>123</v>
      </c>
      <c r="C33" s="47" t="s">
        <v>386</v>
      </c>
      <c r="D33" s="47">
        <v>0.69059999999999999</v>
      </c>
      <c r="E33" s="48">
        <f>SUMIF(Data!$E:$E,$C33,Data!$AI:$AI)</f>
        <v>0</v>
      </c>
      <c r="I33" s="14" t="s">
        <v>387</v>
      </c>
      <c r="J33" s="14" t="s">
        <v>388</v>
      </c>
      <c r="K33" s="14" t="s">
        <v>140</v>
      </c>
      <c r="L33" s="14" t="s">
        <v>389</v>
      </c>
      <c r="M33" s="14" t="s">
        <v>390</v>
      </c>
      <c r="N33" s="14" t="s">
        <v>391</v>
      </c>
      <c r="O33" s="14" t="s">
        <v>392</v>
      </c>
      <c r="P33" s="14" t="s">
        <v>393</v>
      </c>
      <c r="Q33" s="14" t="s">
        <v>146</v>
      </c>
      <c r="R33" s="14" t="s">
        <v>394</v>
      </c>
      <c r="S33" s="14" t="s">
        <v>148</v>
      </c>
      <c r="T33" s="14" t="s">
        <v>149</v>
      </c>
      <c r="U33" s="14" t="s">
        <v>113</v>
      </c>
      <c r="V33" s="48">
        <f>SUMIF(Data!$E:$E,$I33,Data!$AI:$AI)</f>
        <v>0</v>
      </c>
    </row>
    <row r="34" spans="1:22" x14ac:dyDescent="0.25">
      <c r="A34" s="47" t="s">
        <v>325</v>
      </c>
      <c r="B34" s="47" t="s">
        <v>123</v>
      </c>
      <c r="C34" s="47" t="s">
        <v>395</v>
      </c>
      <c r="D34" s="47">
        <v>2.3452999999999999</v>
      </c>
      <c r="E34" s="48">
        <f>SUMIF(Data!$E:$E,$C34,Data!$AI:$AI)</f>
        <v>0</v>
      </c>
      <c r="I34" s="14" t="s">
        <v>396</v>
      </c>
      <c r="J34" s="14" t="s">
        <v>397</v>
      </c>
      <c r="K34" s="14" t="s">
        <v>140</v>
      </c>
      <c r="L34" s="14" t="s">
        <v>398</v>
      </c>
      <c r="M34" s="14" t="s">
        <v>399</v>
      </c>
      <c r="N34" s="14">
        <v>753.73800000000006</v>
      </c>
      <c r="O34" s="14" t="s">
        <v>400</v>
      </c>
      <c r="P34" s="14" t="s">
        <v>401</v>
      </c>
      <c r="Q34" s="14" t="s">
        <v>227</v>
      </c>
      <c r="R34" s="14" t="s">
        <v>402</v>
      </c>
      <c r="S34" s="14" t="s">
        <v>148</v>
      </c>
      <c r="T34" s="14" t="s">
        <v>149</v>
      </c>
      <c r="U34" s="14" t="s">
        <v>113</v>
      </c>
      <c r="V34" s="48">
        <f>SUMIF(Data!$E:$E,$I34,Data!$AI:$AI)</f>
        <v>0</v>
      </c>
    </row>
    <row r="35" spans="1:22" x14ac:dyDescent="0.25">
      <c r="A35" s="47" t="s">
        <v>325</v>
      </c>
      <c r="B35" s="47" t="s">
        <v>123</v>
      </c>
      <c r="C35" s="47" t="s">
        <v>403</v>
      </c>
      <c r="D35" s="47">
        <v>2.8529</v>
      </c>
      <c r="E35" s="48">
        <f>SUMIF(Data!$E:$E,$C35,Data!$AI:$AI)</f>
        <v>0</v>
      </c>
      <c r="I35" s="14" t="s">
        <v>404</v>
      </c>
      <c r="J35" s="14" t="s">
        <v>405</v>
      </c>
      <c r="K35" s="14" t="s">
        <v>140</v>
      </c>
      <c r="L35" s="14" t="s">
        <v>406</v>
      </c>
      <c r="M35" s="14" t="s">
        <v>407</v>
      </c>
      <c r="N35" s="14" t="s">
        <v>408</v>
      </c>
      <c r="O35" s="14" t="s">
        <v>409</v>
      </c>
      <c r="P35" s="14" t="s">
        <v>410</v>
      </c>
      <c r="Q35" s="14" t="s">
        <v>193</v>
      </c>
      <c r="R35" s="14" t="s">
        <v>411</v>
      </c>
      <c r="S35" s="14" t="s">
        <v>195</v>
      </c>
      <c r="T35" s="14" t="s">
        <v>149</v>
      </c>
      <c r="U35" s="14" t="s">
        <v>113</v>
      </c>
      <c r="V35" s="48">
        <f>SUMIF(Data!$E:$E,$I35,Data!$AI:$AI)</f>
        <v>0</v>
      </c>
    </row>
    <row r="36" spans="1:22" x14ac:dyDescent="0.25">
      <c r="A36" s="47" t="s">
        <v>325</v>
      </c>
      <c r="B36" s="47" t="s">
        <v>123</v>
      </c>
      <c r="C36" s="47" t="s">
        <v>412</v>
      </c>
      <c r="D36" s="47">
        <v>1.3242</v>
      </c>
      <c r="E36" s="48">
        <f>SUMIF(Data!$E:$E,$C36,Data!$AI:$AI)</f>
        <v>0</v>
      </c>
      <c r="I36" s="14" t="s">
        <v>413</v>
      </c>
      <c r="J36" s="14" t="s">
        <v>414</v>
      </c>
      <c r="K36" s="14" t="s">
        <v>140</v>
      </c>
      <c r="L36" s="14" t="s">
        <v>415</v>
      </c>
      <c r="M36" s="14" t="s">
        <v>416</v>
      </c>
      <c r="N36" s="14">
        <v>286.697</v>
      </c>
      <c r="O36" s="14" t="s">
        <v>417</v>
      </c>
      <c r="P36" s="14" t="s">
        <v>418</v>
      </c>
      <c r="Q36" s="14" t="s">
        <v>419</v>
      </c>
      <c r="R36" s="14" t="s">
        <v>420</v>
      </c>
      <c r="S36" s="14" t="s">
        <v>195</v>
      </c>
      <c r="T36" s="14" t="s">
        <v>149</v>
      </c>
      <c r="U36" s="14" t="s">
        <v>113</v>
      </c>
      <c r="V36" s="48">
        <f>SUMIF(Data!$E:$E,$I36,Data!$AI:$AI)</f>
        <v>0</v>
      </c>
    </row>
    <row r="37" spans="1:22" x14ac:dyDescent="0.25">
      <c r="A37" s="47" t="s">
        <v>325</v>
      </c>
      <c r="B37" s="47" t="s">
        <v>123</v>
      </c>
      <c r="C37" s="47" t="s">
        <v>421</v>
      </c>
      <c r="D37" s="47">
        <v>0.40600000000000003</v>
      </c>
      <c r="E37" s="48">
        <f>SUMIF(Data!$E:$E,$C37,Data!$AI:$AI)</f>
        <v>0</v>
      </c>
      <c r="I37" s="14" t="s">
        <v>422</v>
      </c>
      <c r="J37" s="14" t="s">
        <v>423</v>
      </c>
      <c r="K37" s="14" t="s">
        <v>140</v>
      </c>
      <c r="L37" s="14" t="s">
        <v>424</v>
      </c>
      <c r="M37" s="14" t="s">
        <v>425</v>
      </c>
      <c r="N37" s="14">
        <v>777.77800000000002</v>
      </c>
      <c r="O37" s="14" t="s">
        <v>426</v>
      </c>
      <c r="P37" s="14" t="s">
        <v>427</v>
      </c>
      <c r="Q37" s="14" t="s">
        <v>227</v>
      </c>
      <c r="R37" s="14" t="s">
        <v>428</v>
      </c>
      <c r="S37" s="14" t="s">
        <v>195</v>
      </c>
      <c r="T37" s="14" t="s">
        <v>149</v>
      </c>
      <c r="U37" s="14" t="s">
        <v>113</v>
      </c>
      <c r="V37" s="48">
        <f>SUMIF(Data!$E:$E,$I37,Data!$AI:$AI)</f>
        <v>0</v>
      </c>
    </row>
    <row r="38" spans="1:22" x14ac:dyDescent="0.25">
      <c r="A38" s="47" t="s">
        <v>325</v>
      </c>
      <c r="B38" s="47" t="s">
        <v>123</v>
      </c>
      <c r="C38" s="47" t="s">
        <v>429</v>
      </c>
      <c r="D38" s="47">
        <v>0.44990000000000002</v>
      </c>
      <c r="E38" s="48">
        <f>SUMIF(Data!$E:$E,$C38,Data!$AI:$AI)</f>
        <v>0</v>
      </c>
      <c r="I38" s="14" t="s">
        <v>430</v>
      </c>
      <c r="J38" s="14" t="s">
        <v>431</v>
      </c>
      <c r="K38" s="14" t="s">
        <v>140</v>
      </c>
      <c r="L38" s="14" t="s">
        <v>424</v>
      </c>
      <c r="M38" s="14" t="s">
        <v>432</v>
      </c>
      <c r="N38" s="14">
        <v>261.709</v>
      </c>
      <c r="O38" s="14" t="s">
        <v>433</v>
      </c>
      <c r="P38" s="14" t="s">
        <v>434</v>
      </c>
      <c r="Q38" s="14" t="s">
        <v>146</v>
      </c>
      <c r="R38" s="14" t="s">
        <v>435</v>
      </c>
      <c r="S38" s="14" t="s">
        <v>148</v>
      </c>
      <c r="T38" s="14" t="s">
        <v>149</v>
      </c>
      <c r="U38" s="14" t="s">
        <v>113</v>
      </c>
      <c r="V38" s="48">
        <f>SUMIF(Data!$E:$E,$I38,Data!$AI:$AI)</f>
        <v>0</v>
      </c>
    </row>
    <row r="39" spans="1:22" x14ac:dyDescent="0.25">
      <c r="A39" s="47" t="s">
        <v>325</v>
      </c>
      <c r="B39" s="47" t="s">
        <v>123</v>
      </c>
      <c r="C39" s="47" t="s">
        <v>436</v>
      </c>
      <c r="D39" s="47">
        <v>1.1994</v>
      </c>
      <c r="E39" s="48">
        <f>SUMIF(Data!$E:$E,$C39,Data!$AI:$AI)</f>
        <v>0</v>
      </c>
      <c r="I39" s="14">
        <v>7203</v>
      </c>
      <c r="J39" s="14" t="s">
        <v>437</v>
      </c>
      <c r="K39" s="14" t="s">
        <v>140</v>
      </c>
      <c r="L39" s="14" t="s">
        <v>438</v>
      </c>
      <c r="M39" s="14" t="s">
        <v>439</v>
      </c>
      <c r="N39" s="14" t="s">
        <v>440</v>
      </c>
      <c r="O39" s="14" t="s">
        <v>441</v>
      </c>
      <c r="P39" s="14" t="s">
        <v>442</v>
      </c>
      <c r="Q39" s="14" t="s">
        <v>165</v>
      </c>
      <c r="R39" s="14" t="s">
        <v>443</v>
      </c>
      <c r="S39" s="14" t="s">
        <v>444</v>
      </c>
      <c r="T39" s="14" t="s">
        <v>445</v>
      </c>
      <c r="U39" s="14" t="s">
        <v>446</v>
      </c>
      <c r="V39" s="48">
        <f>SUMIF(Data!$E:$E,$I39,Data!$AI:$AI)</f>
        <v>0</v>
      </c>
    </row>
    <row r="40" spans="1:22" x14ac:dyDescent="0.25">
      <c r="A40" s="47" t="s">
        <v>325</v>
      </c>
      <c r="B40" s="47" t="s">
        <v>123</v>
      </c>
      <c r="C40" s="47" t="s">
        <v>447</v>
      </c>
      <c r="D40" s="47">
        <v>0.5837</v>
      </c>
      <c r="E40" s="48">
        <f>SUMIF(Data!$E:$E,$C40,Data!$AI:$AI)</f>
        <v>0</v>
      </c>
      <c r="I40" s="14" t="s">
        <v>448</v>
      </c>
      <c r="J40" s="14" t="s">
        <v>449</v>
      </c>
      <c r="K40" s="14" t="s">
        <v>140</v>
      </c>
      <c r="L40" s="14" t="s">
        <v>438</v>
      </c>
      <c r="M40" s="14" t="s">
        <v>450</v>
      </c>
      <c r="N40" s="14">
        <v>406.15199999999999</v>
      </c>
      <c r="O40" s="14" t="s">
        <v>451</v>
      </c>
      <c r="P40" s="14" t="s">
        <v>452</v>
      </c>
      <c r="Q40" s="14" t="s">
        <v>165</v>
      </c>
      <c r="R40" s="14" t="s">
        <v>453</v>
      </c>
      <c r="S40" s="14" t="s">
        <v>195</v>
      </c>
      <c r="T40" s="14" t="s">
        <v>149</v>
      </c>
      <c r="U40" s="14" t="s">
        <v>113</v>
      </c>
      <c r="V40" s="48">
        <f>SUMIF(Data!$E:$E,$I40,Data!$AI:$AI)</f>
        <v>0</v>
      </c>
    </row>
    <row r="41" spans="1:22" x14ac:dyDescent="0.25">
      <c r="A41" s="47" t="s">
        <v>325</v>
      </c>
      <c r="B41" s="47" t="s">
        <v>123</v>
      </c>
      <c r="C41" s="47" t="s">
        <v>454</v>
      </c>
      <c r="D41" s="47">
        <v>0.1545</v>
      </c>
      <c r="E41" s="48">
        <f>SUMIF(Data!$E:$E,$C41,Data!$AI:$AI)</f>
        <v>0</v>
      </c>
      <c r="I41" s="14" t="s">
        <v>455</v>
      </c>
      <c r="J41" s="14" t="s">
        <v>456</v>
      </c>
      <c r="K41" s="14" t="s">
        <v>140</v>
      </c>
      <c r="L41" s="14" t="s">
        <v>457</v>
      </c>
      <c r="M41" s="14" t="s">
        <v>458</v>
      </c>
      <c r="N41" s="14">
        <v>705.78599999999994</v>
      </c>
      <c r="O41" s="14" t="s">
        <v>459</v>
      </c>
      <c r="P41" s="14" t="s">
        <v>460</v>
      </c>
      <c r="Q41" s="14" t="s">
        <v>211</v>
      </c>
      <c r="R41" s="14" t="s">
        <v>461</v>
      </c>
      <c r="S41" s="14" t="s">
        <v>195</v>
      </c>
      <c r="T41" s="14" t="s">
        <v>149</v>
      </c>
      <c r="U41" s="14" t="s">
        <v>113</v>
      </c>
      <c r="V41" s="48">
        <f>SUMIF(Data!$E:$E,$I41,Data!$AI:$AI)</f>
        <v>0</v>
      </c>
    </row>
    <row r="42" spans="1:22" x14ac:dyDescent="0.25">
      <c r="A42" s="47" t="s">
        <v>325</v>
      </c>
      <c r="B42" s="47" t="s">
        <v>123</v>
      </c>
      <c r="C42" s="47" t="s">
        <v>462</v>
      </c>
      <c r="D42" s="47">
        <v>1.9825999999999999</v>
      </c>
      <c r="E42" s="48">
        <f>SUMIF(Data!$E:$E,$C42,Data!$AI:$AI)</f>
        <v>0</v>
      </c>
      <c r="I42" s="14" t="s">
        <v>463</v>
      </c>
      <c r="J42" s="14" t="s">
        <v>464</v>
      </c>
      <c r="K42" s="14" t="s">
        <v>140</v>
      </c>
      <c r="L42" s="14" t="s">
        <v>457</v>
      </c>
      <c r="M42" s="14" t="s">
        <v>465</v>
      </c>
      <c r="N42" s="14" t="s">
        <v>466</v>
      </c>
      <c r="O42" s="14" t="s">
        <v>467</v>
      </c>
      <c r="P42" s="14" t="s">
        <v>468</v>
      </c>
      <c r="Q42" s="14" t="s">
        <v>211</v>
      </c>
      <c r="R42" s="14" t="s">
        <v>469</v>
      </c>
      <c r="S42" s="14" t="s">
        <v>195</v>
      </c>
      <c r="T42" s="14" t="s">
        <v>149</v>
      </c>
      <c r="U42" s="14" t="s">
        <v>113</v>
      </c>
      <c r="V42" s="48">
        <f>SUMIF(Data!$E:$E,$I42,Data!$AI:$AI)</f>
        <v>0</v>
      </c>
    </row>
    <row r="43" spans="1:22" x14ac:dyDescent="0.25">
      <c r="A43" s="47" t="s">
        <v>325</v>
      </c>
      <c r="B43" s="47" t="s">
        <v>123</v>
      </c>
      <c r="C43" s="47" t="s">
        <v>470</v>
      </c>
      <c r="D43" s="47">
        <v>4.5945999999999998</v>
      </c>
      <c r="E43" s="48">
        <f>SUMIF(Data!$E:$E,$C43,Data!$AI:$AI)</f>
        <v>0</v>
      </c>
      <c r="I43" s="14" t="s">
        <v>471</v>
      </c>
      <c r="J43" s="14" t="s">
        <v>472</v>
      </c>
      <c r="K43" s="14" t="s">
        <v>140</v>
      </c>
      <c r="L43" s="14" t="s">
        <v>473</v>
      </c>
      <c r="M43" s="14" t="s">
        <v>474</v>
      </c>
      <c r="N43" s="14" t="s">
        <v>475</v>
      </c>
      <c r="O43" s="14" t="s">
        <v>476</v>
      </c>
      <c r="P43" s="14" t="s">
        <v>477</v>
      </c>
      <c r="Q43" s="14" t="s">
        <v>193</v>
      </c>
      <c r="R43" s="14" t="s">
        <v>478</v>
      </c>
      <c r="S43" s="14" t="s">
        <v>479</v>
      </c>
      <c r="T43" s="14" t="s">
        <v>480</v>
      </c>
      <c r="U43" s="14" t="s">
        <v>481</v>
      </c>
      <c r="V43" s="48">
        <f>SUMIF(Data!$E:$E,$I43,Data!$AI:$AI)</f>
        <v>0</v>
      </c>
    </row>
    <row r="44" spans="1:22" x14ac:dyDescent="0.25">
      <c r="A44" s="47" t="s">
        <v>325</v>
      </c>
      <c r="B44" s="47" t="s">
        <v>123</v>
      </c>
      <c r="C44" s="47" t="s">
        <v>482</v>
      </c>
      <c r="D44" s="47">
        <v>0.35849999999999999</v>
      </c>
      <c r="E44" s="48">
        <f>SUMIF(Data!$E:$E,$C44,Data!$AI:$AI)</f>
        <v>0</v>
      </c>
      <c r="I44" s="14" t="s">
        <v>483</v>
      </c>
      <c r="J44" s="14" t="s">
        <v>484</v>
      </c>
      <c r="K44" s="14" t="s">
        <v>140</v>
      </c>
      <c r="L44" s="14" t="s">
        <v>473</v>
      </c>
      <c r="M44" s="14" t="s">
        <v>485</v>
      </c>
      <c r="N44" s="14">
        <v>449.09899999999999</v>
      </c>
      <c r="O44" s="14" t="s">
        <v>486</v>
      </c>
      <c r="P44" s="14" t="s">
        <v>487</v>
      </c>
      <c r="Q44" s="14" t="s">
        <v>146</v>
      </c>
      <c r="R44" s="14" t="s">
        <v>488</v>
      </c>
      <c r="S44" s="14" t="s">
        <v>195</v>
      </c>
      <c r="T44" s="14" t="s">
        <v>149</v>
      </c>
      <c r="U44" s="14" t="s">
        <v>113</v>
      </c>
      <c r="V44" s="48">
        <f>SUMIF(Data!$E:$E,$I44,Data!$AI:$AI)</f>
        <v>0</v>
      </c>
    </row>
    <row r="45" spans="1:22" x14ac:dyDescent="0.25">
      <c r="A45" s="47" t="s">
        <v>325</v>
      </c>
      <c r="B45" s="47" t="s">
        <v>123</v>
      </c>
      <c r="C45" s="47" t="s">
        <v>489</v>
      </c>
      <c r="D45" s="47">
        <v>7.2400000000000006E-2</v>
      </c>
      <c r="E45" s="48">
        <f>SUMIF(Data!$E:$E,$C45,Data!$AI:$AI)</f>
        <v>0</v>
      </c>
      <c r="I45" s="14" t="s">
        <v>490</v>
      </c>
      <c r="J45" s="14" t="s">
        <v>491</v>
      </c>
      <c r="K45" s="14" t="s">
        <v>140</v>
      </c>
      <c r="L45" s="14" t="s">
        <v>473</v>
      </c>
      <c r="M45" s="14" t="s">
        <v>492</v>
      </c>
      <c r="N45" s="14">
        <v>937.69200000000001</v>
      </c>
      <c r="O45" s="14" t="s">
        <v>493</v>
      </c>
      <c r="P45" s="14" t="s">
        <v>494</v>
      </c>
      <c r="Q45" s="14" t="s">
        <v>211</v>
      </c>
      <c r="R45" s="14" t="s">
        <v>495</v>
      </c>
      <c r="S45" s="14" t="s">
        <v>195</v>
      </c>
      <c r="T45" s="14" t="s">
        <v>149</v>
      </c>
      <c r="U45" s="14" t="s">
        <v>113</v>
      </c>
      <c r="V45" s="48">
        <f>SUMIF(Data!$E:$E,$I45,Data!$AI:$AI)</f>
        <v>0</v>
      </c>
    </row>
    <row r="46" spans="1:22" x14ac:dyDescent="0.25">
      <c r="A46" s="47" t="s">
        <v>325</v>
      </c>
      <c r="B46" s="47" t="s">
        <v>123</v>
      </c>
      <c r="C46" s="47" t="s">
        <v>496</v>
      </c>
      <c r="D46" s="47">
        <v>0.36120000000000002</v>
      </c>
      <c r="E46" s="48">
        <f>SUMIF(Data!$E:$E,$C46,Data!$AI:$AI)</f>
        <v>0</v>
      </c>
      <c r="I46" s="14" t="s">
        <v>497</v>
      </c>
      <c r="J46" s="14" t="s">
        <v>498</v>
      </c>
      <c r="K46" s="14" t="s">
        <v>140</v>
      </c>
      <c r="L46" s="14" t="s">
        <v>499</v>
      </c>
      <c r="M46" s="14" t="s">
        <v>500</v>
      </c>
      <c r="N46" s="14">
        <v>237.036</v>
      </c>
      <c r="O46" s="14" t="s">
        <v>501</v>
      </c>
      <c r="P46" s="14" t="s">
        <v>502</v>
      </c>
      <c r="Q46" s="14" t="s">
        <v>175</v>
      </c>
      <c r="R46" s="14" t="s">
        <v>503</v>
      </c>
      <c r="S46" s="14" t="s">
        <v>148</v>
      </c>
      <c r="T46" s="14" t="s">
        <v>149</v>
      </c>
      <c r="U46" s="14" t="s">
        <v>113</v>
      </c>
      <c r="V46" s="48">
        <f>SUMIF(Data!$E:$E,$I46,Data!$AI:$AI)</f>
        <v>0</v>
      </c>
    </row>
    <row r="47" spans="1:22" x14ac:dyDescent="0.25">
      <c r="A47" s="47" t="s">
        <v>325</v>
      </c>
      <c r="B47" s="47" t="s">
        <v>123</v>
      </c>
      <c r="C47" s="47" t="s">
        <v>504</v>
      </c>
      <c r="D47" s="47">
        <v>1.3392999999999999</v>
      </c>
      <c r="E47" s="48">
        <f>SUMIF(Data!$E:$E,$C47,Data!$AI:$AI)</f>
        <v>0</v>
      </c>
      <c r="I47" s="14" t="s">
        <v>505</v>
      </c>
      <c r="J47" s="14" t="s">
        <v>506</v>
      </c>
      <c r="K47" s="14" t="s">
        <v>140</v>
      </c>
      <c r="L47" s="14" t="s">
        <v>499</v>
      </c>
      <c r="M47" s="14" t="s">
        <v>507</v>
      </c>
      <c r="N47" s="14">
        <v>327.33999999999997</v>
      </c>
      <c r="O47" s="14" t="s">
        <v>508</v>
      </c>
      <c r="P47" s="14" t="s">
        <v>509</v>
      </c>
      <c r="Q47" s="14" t="s">
        <v>211</v>
      </c>
      <c r="R47" s="14" t="s">
        <v>510</v>
      </c>
      <c r="S47" s="14" t="s">
        <v>148</v>
      </c>
      <c r="T47" s="14" t="s">
        <v>149</v>
      </c>
      <c r="U47" s="14" t="s">
        <v>113</v>
      </c>
      <c r="V47" s="48">
        <f>SUMIF(Data!$E:$E,$I47,Data!$AI:$AI)</f>
        <v>0</v>
      </c>
    </row>
    <row r="48" spans="1:22" x14ac:dyDescent="0.25">
      <c r="A48" s="47" t="s">
        <v>325</v>
      </c>
      <c r="B48" s="47" t="s">
        <v>123</v>
      </c>
      <c r="C48" s="47" t="s">
        <v>511</v>
      </c>
      <c r="D48" s="47">
        <v>1.1201000000000001</v>
      </c>
      <c r="E48" s="48">
        <f>SUMIF(Data!$E:$E,$C48,Data!$AI:$AI)</f>
        <v>0</v>
      </c>
      <c r="I48" s="14" t="s">
        <v>512</v>
      </c>
      <c r="J48" s="14" t="s">
        <v>513</v>
      </c>
      <c r="K48" s="14" t="s">
        <v>140</v>
      </c>
      <c r="L48" s="14" t="s">
        <v>514</v>
      </c>
      <c r="M48" s="14" t="s">
        <v>515</v>
      </c>
      <c r="N48" s="14">
        <v>310.75599999999997</v>
      </c>
      <c r="O48" s="14" t="s">
        <v>516</v>
      </c>
      <c r="P48" s="14" t="s">
        <v>517</v>
      </c>
      <c r="Q48" s="14" t="s">
        <v>146</v>
      </c>
      <c r="R48" s="14" t="s">
        <v>518</v>
      </c>
      <c r="S48" s="14" t="s">
        <v>148</v>
      </c>
      <c r="T48" s="14" t="s">
        <v>149</v>
      </c>
      <c r="U48" s="14" t="s">
        <v>113</v>
      </c>
      <c r="V48" s="48">
        <f>SUMIF(Data!$E:$E,$I48,Data!$AI:$AI)</f>
        <v>0</v>
      </c>
    </row>
    <row r="49" spans="1:22" x14ac:dyDescent="0.25">
      <c r="A49" s="47" t="s">
        <v>325</v>
      </c>
      <c r="B49" s="47" t="s">
        <v>123</v>
      </c>
      <c r="C49" s="47" t="s">
        <v>519</v>
      </c>
      <c r="D49" s="47">
        <v>0.20580000000000001</v>
      </c>
      <c r="E49" s="48">
        <f>SUMIF(Data!$E:$E,$C49,Data!$AI:$AI)</f>
        <v>0</v>
      </c>
      <c r="I49" s="14" t="s">
        <v>520</v>
      </c>
      <c r="J49" s="14" t="s">
        <v>520</v>
      </c>
      <c r="K49" s="14" t="s">
        <v>140</v>
      </c>
      <c r="L49" s="14" t="s">
        <v>521</v>
      </c>
      <c r="M49" s="14" t="s">
        <v>522</v>
      </c>
      <c r="N49" s="14">
        <v>533.702</v>
      </c>
      <c r="O49" s="14" t="s">
        <v>523</v>
      </c>
      <c r="P49" s="14" t="s">
        <v>524</v>
      </c>
      <c r="Q49" s="14" t="s">
        <v>146</v>
      </c>
      <c r="R49" s="14" t="s">
        <v>525</v>
      </c>
      <c r="S49" s="14" t="s">
        <v>526</v>
      </c>
      <c r="T49" s="14" t="s">
        <v>527</v>
      </c>
      <c r="U49" s="14" t="s">
        <v>528</v>
      </c>
      <c r="V49" s="48">
        <f>SUMIF(Data!$E:$E,$I49,Data!$AI:$AI)</f>
        <v>0.42534541896463962</v>
      </c>
    </row>
    <row r="50" spans="1:22" x14ac:dyDescent="0.25">
      <c r="A50" s="47" t="s">
        <v>325</v>
      </c>
      <c r="B50" s="47" t="s">
        <v>123</v>
      </c>
      <c r="C50" s="47" t="s">
        <v>529</v>
      </c>
      <c r="D50" s="47">
        <v>0.47639999999999999</v>
      </c>
      <c r="E50" s="48">
        <f>SUMIF(Data!$E:$E,$C50,Data!$AI:$AI)</f>
        <v>0</v>
      </c>
      <c r="I50" s="14" t="s">
        <v>530</v>
      </c>
      <c r="J50" s="14" t="s">
        <v>531</v>
      </c>
      <c r="K50" s="14" t="s">
        <v>140</v>
      </c>
      <c r="L50" s="14" t="s">
        <v>521</v>
      </c>
      <c r="M50" s="14" t="s">
        <v>532</v>
      </c>
      <c r="N50" s="14">
        <v>827.17</v>
      </c>
      <c r="O50" s="14" t="s">
        <v>533</v>
      </c>
      <c r="P50" s="14" t="s">
        <v>534</v>
      </c>
      <c r="Q50" s="14" t="s">
        <v>227</v>
      </c>
      <c r="R50" s="14" t="s">
        <v>535</v>
      </c>
      <c r="S50" s="14" t="s">
        <v>195</v>
      </c>
      <c r="T50" s="14" t="s">
        <v>149</v>
      </c>
      <c r="U50" s="14" t="s">
        <v>113</v>
      </c>
      <c r="V50" s="48">
        <f>SUMIF(Data!$E:$E,$I50,Data!$AI:$AI)</f>
        <v>0</v>
      </c>
    </row>
    <row r="51" spans="1:22" x14ac:dyDescent="0.25">
      <c r="A51" s="47" t="s">
        <v>325</v>
      </c>
      <c r="B51" s="47" t="s">
        <v>123</v>
      </c>
      <c r="C51" s="47" t="s">
        <v>536</v>
      </c>
      <c r="D51" s="47">
        <v>0.51370000000000005</v>
      </c>
      <c r="E51" s="48">
        <f>SUMIF(Data!$E:$E,$C51,Data!$AI:$AI)</f>
        <v>0</v>
      </c>
      <c r="I51" s="14" t="s">
        <v>537</v>
      </c>
      <c r="J51" s="14" t="s">
        <v>538</v>
      </c>
      <c r="K51" s="14" t="s">
        <v>140</v>
      </c>
      <c r="L51" s="14" t="s">
        <v>539</v>
      </c>
      <c r="M51" s="14" t="s">
        <v>540</v>
      </c>
      <c r="N51" s="14" t="s">
        <v>541</v>
      </c>
      <c r="O51" s="14" t="s">
        <v>542</v>
      </c>
      <c r="P51" s="14" t="s">
        <v>543</v>
      </c>
      <c r="Q51" s="14" t="s">
        <v>263</v>
      </c>
      <c r="R51" s="14" t="s">
        <v>544</v>
      </c>
      <c r="S51" s="14" t="s">
        <v>479</v>
      </c>
      <c r="T51" s="14" t="s">
        <v>480</v>
      </c>
      <c r="U51" s="14" t="s">
        <v>481</v>
      </c>
      <c r="V51" s="48">
        <f>SUMIF(Data!$E:$E,$I51,Data!$AI:$AI)</f>
        <v>0</v>
      </c>
    </row>
    <row r="52" spans="1:22" x14ac:dyDescent="0.25">
      <c r="A52" s="47" t="s">
        <v>325</v>
      </c>
      <c r="B52" s="47" t="s">
        <v>123</v>
      </c>
      <c r="C52" s="47" t="s">
        <v>545</v>
      </c>
      <c r="D52" s="47">
        <v>0.29389999999999999</v>
      </c>
      <c r="E52" s="48">
        <f>SUMIF(Data!$E:$E,$C52,Data!$AI:$AI)</f>
        <v>0</v>
      </c>
      <c r="I52" s="14">
        <v>1299</v>
      </c>
      <c r="J52" s="14" t="s">
        <v>546</v>
      </c>
      <c r="K52" s="14" t="s">
        <v>140</v>
      </c>
      <c r="L52" s="14" t="s">
        <v>539</v>
      </c>
      <c r="M52" s="14" t="s">
        <v>547</v>
      </c>
      <c r="N52" s="14" t="s">
        <v>548</v>
      </c>
      <c r="O52" s="14" t="s">
        <v>549</v>
      </c>
      <c r="P52" s="14" t="s">
        <v>550</v>
      </c>
      <c r="Q52" s="14" t="s">
        <v>193</v>
      </c>
      <c r="R52" s="14" t="s">
        <v>551</v>
      </c>
      <c r="S52" s="14" t="s">
        <v>552</v>
      </c>
      <c r="T52" s="14" t="s">
        <v>553</v>
      </c>
      <c r="U52" s="14" t="s">
        <v>554</v>
      </c>
      <c r="V52" s="48">
        <f>SUMIF(Data!$E:$E,$I52,Data!$AI:$AI)</f>
        <v>0</v>
      </c>
    </row>
    <row r="53" spans="1:22" x14ac:dyDescent="0.25">
      <c r="A53" s="47" t="s">
        <v>325</v>
      </c>
      <c r="B53" s="47" t="s">
        <v>123</v>
      </c>
      <c r="C53" s="47" t="s">
        <v>555</v>
      </c>
      <c r="D53" s="47">
        <v>0.17280000000000001</v>
      </c>
      <c r="E53" s="48">
        <f>SUMIF(Data!$E:$E,$C53,Data!$AI:$AI)</f>
        <v>0</v>
      </c>
      <c r="I53" s="14" t="s">
        <v>556</v>
      </c>
      <c r="J53" s="14" t="s">
        <v>557</v>
      </c>
      <c r="K53" s="14" t="s">
        <v>140</v>
      </c>
      <c r="L53" s="14" t="s">
        <v>539</v>
      </c>
      <c r="M53" s="14" t="s">
        <v>558</v>
      </c>
      <c r="N53" s="14" t="s">
        <v>559</v>
      </c>
      <c r="O53" s="14" t="s">
        <v>560</v>
      </c>
      <c r="P53" s="14" t="s">
        <v>561</v>
      </c>
      <c r="Q53" s="14" t="s">
        <v>263</v>
      </c>
      <c r="R53" s="14" t="s">
        <v>562</v>
      </c>
      <c r="S53" s="14" t="s">
        <v>563</v>
      </c>
      <c r="T53" s="14" t="s">
        <v>564</v>
      </c>
      <c r="U53" s="14" t="s">
        <v>528</v>
      </c>
      <c r="V53" s="48">
        <f>SUMIF(Data!$E:$E,$I53,Data!$AI:$AI)</f>
        <v>0</v>
      </c>
    </row>
    <row r="54" spans="1:22" x14ac:dyDescent="0.25">
      <c r="A54" s="47" t="s">
        <v>325</v>
      </c>
      <c r="B54" s="47" t="s">
        <v>123</v>
      </c>
      <c r="C54" s="47" t="s">
        <v>565</v>
      </c>
      <c r="D54" s="47">
        <v>1.1383000000000001</v>
      </c>
      <c r="E54" s="48">
        <f>SUMIF(Data!$E:$E,$C54,Data!$AI:$AI)</f>
        <v>0</v>
      </c>
      <c r="I54" s="14" t="s">
        <v>566</v>
      </c>
      <c r="J54" s="14" t="s">
        <v>567</v>
      </c>
      <c r="K54" s="14" t="s">
        <v>140</v>
      </c>
      <c r="L54" s="14" t="s">
        <v>539</v>
      </c>
      <c r="M54" s="14" t="s">
        <v>568</v>
      </c>
      <c r="N54" s="14">
        <v>708.35</v>
      </c>
      <c r="O54" s="14" t="s">
        <v>569</v>
      </c>
      <c r="P54" s="14" t="s">
        <v>570</v>
      </c>
      <c r="Q54" s="14" t="s">
        <v>211</v>
      </c>
      <c r="R54" s="14" t="s">
        <v>571</v>
      </c>
      <c r="S54" s="14" t="s">
        <v>479</v>
      </c>
      <c r="T54" s="14" t="s">
        <v>480</v>
      </c>
      <c r="U54" s="14" t="s">
        <v>481</v>
      </c>
      <c r="V54" s="48">
        <f>SUMIF(Data!$E:$E,$I54,Data!$AI:$AI)</f>
        <v>0</v>
      </c>
    </row>
    <row r="55" spans="1:22" x14ac:dyDescent="0.25">
      <c r="A55" s="47" t="s">
        <v>325</v>
      </c>
      <c r="B55" s="47" t="s">
        <v>123</v>
      </c>
      <c r="C55" s="47" t="s">
        <v>572</v>
      </c>
      <c r="D55" s="47">
        <v>0.28039999999999998</v>
      </c>
      <c r="E55" s="48">
        <f>SUMIF(Data!$E:$E,$C55,Data!$AI:$AI)</f>
        <v>0</v>
      </c>
      <c r="I55" s="14" t="s">
        <v>573</v>
      </c>
      <c r="J55" s="14" t="s">
        <v>574</v>
      </c>
      <c r="K55" s="14" t="s">
        <v>140</v>
      </c>
      <c r="L55" s="14" t="s">
        <v>539</v>
      </c>
      <c r="M55" s="14" t="s">
        <v>575</v>
      </c>
      <c r="N55" s="14">
        <v>214.43100000000001</v>
      </c>
      <c r="O55" s="14" t="s">
        <v>576</v>
      </c>
      <c r="P55" s="14" t="s">
        <v>577</v>
      </c>
      <c r="Q55" s="14" t="s">
        <v>211</v>
      </c>
      <c r="R55" s="14" t="s">
        <v>578</v>
      </c>
      <c r="S55" s="14" t="s">
        <v>195</v>
      </c>
      <c r="T55" s="14" t="s">
        <v>149</v>
      </c>
      <c r="U55" s="14" t="s">
        <v>113</v>
      </c>
      <c r="V55" s="48">
        <f>SUMIF(Data!$E:$E,$I55,Data!$AI:$AI)</f>
        <v>0</v>
      </c>
    </row>
    <row r="56" spans="1:22" x14ac:dyDescent="0.25">
      <c r="A56" s="47" t="s">
        <v>325</v>
      </c>
      <c r="B56" s="47" t="s">
        <v>123</v>
      </c>
      <c r="C56" s="47" t="s">
        <v>579</v>
      </c>
      <c r="D56" s="47">
        <v>0.39129999999999998</v>
      </c>
      <c r="E56" s="48">
        <f>SUMIF(Data!$E:$E,$C56,Data!$AI:$AI)</f>
        <v>0</v>
      </c>
      <c r="I56" s="14" t="s">
        <v>580</v>
      </c>
      <c r="J56" s="14" t="s">
        <v>581</v>
      </c>
      <c r="K56" s="14" t="s">
        <v>140</v>
      </c>
      <c r="L56" s="14" t="s">
        <v>539</v>
      </c>
      <c r="M56" s="14" t="s">
        <v>582</v>
      </c>
      <c r="N56" s="14">
        <v>787.27599999999995</v>
      </c>
      <c r="O56" s="14" t="s">
        <v>583</v>
      </c>
      <c r="P56" s="14" t="s">
        <v>584</v>
      </c>
      <c r="Q56" s="14" t="s">
        <v>211</v>
      </c>
      <c r="R56" s="14" t="s">
        <v>585</v>
      </c>
      <c r="S56" s="14" t="s">
        <v>195</v>
      </c>
      <c r="T56" s="14" t="s">
        <v>149</v>
      </c>
      <c r="U56" s="14" t="s">
        <v>113</v>
      </c>
      <c r="V56" s="48">
        <f>SUMIF(Data!$E:$E,$I56,Data!$AI:$AI)</f>
        <v>0</v>
      </c>
    </row>
    <row r="57" spans="1:22" x14ac:dyDescent="0.25">
      <c r="A57" s="47" t="s">
        <v>325</v>
      </c>
      <c r="B57" s="47" t="s">
        <v>123</v>
      </c>
      <c r="C57" s="47" t="s">
        <v>586</v>
      </c>
      <c r="D57" s="47">
        <v>0.95740000000000003</v>
      </c>
      <c r="E57" s="48">
        <f>SUMIF(Data!$E:$E,$C57,Data!$AI:$AI)</f>
        <v>0</v>
      </c>
      <c r="I57" s="14" t="s">
        <v>587</v>
      </c>
      <c r="J57" s="14" t="s">
        <v>588</v>
      </c>
      <c r="K57" s="14" t="s">
        <v>140</v>
      </c>
      <c r="L57" s="14" t="s">
        <v>539</v>
      </c>
      <c r="M57" s="14" t="s">
        <v>589</v>
      </c>
      <c r="N57" s="14">
        <v>691.16399999999999</v>
      </c>
      <c r="O57" s="14" t="s">
        <v>590</v>
      </c>
      <c r="P57" s="14" t="s">
        <v>591</v>
      </c>
      <c r="Q57" s="14" t="s">
        <v>165</v>
      </c>
      <c r="R57" s="14" t="s">
        <v>592</v>
      </c>
      <c r="S57" s="14" t="s">
        <v>195</v>
      </c>
      <c r="T57" s="14" t="s">
        <v>149</v>
      </c>
      <c r="U57" s="14" t="s">
        <v>113</v>
      </c>
      <c r="V57" s="48">
        <f>SUMIF(Data!$E:$E,$I57,Data!$AI:$AI)</f>
        <v>0</v>
      </c>
    </row>
    <row r="58" spans="1:22" x14ac:dyDescent="0.25">
      <c r="A58" s="47" t="s">
        <v>325</v>
      </c>
      <c r="B58" s="47" t="s">
        <v>123</v>
      </c>
      <c r="C58" s="47" t="s">
        <v>593</v>
      </c>
      <c r="D58" s="47">
        <v>0.46920000000000001</v>
      </c>
      <c r="E58" s="48">
        <f>SUMIF(Data!$E:$E,$C58,Data!$AI:$AI)</f>
        <v>0</v>
      </c>
      <c r="I58" s="14" t="s">
        <v>594</v>
      </c>
      <c r="J58" s="14" t="s">
        <v>595</v>
      </c>
      <c r="K58" s="14" t="s">
        <v>140</v>
      </c>
      <c r="L58" s="14" t="s">
        <v>539</v>
      </c>
      <c r="M58" s="14" t="s">
        <v>596</v>
      </c>
      <c r="N58" s="14">
        <v>335.75900000000001</v>
      </c>
      <c r="O58" s="14" t="s">
        <v>597</v>
      </c>
      <c r="P58" s="14" t="s">
        <v>598</v>
      </c>
      <c r="Q58" s="14" t="s">
        <v>146</v>
      </c>
      <c r="R58" s="14" t="s">
        <v>599</v>
      </c>
      <c r="S58" s="14" t="s">
        <v>195</v>
      </c>
      <c r="T58" s="14" t="s">
        <v>149</v>
      </c>
      <c r="U58" s="14" t="s">
        <v>113</v>
      </c>
      <c r="V58" s="48">
        <f>SUMIF(Data!$E:$E,$I58,Data!$AI:$AI)</f>
        <v>0</v>
      </c>
    </row>
    <row r="59" spans="1:22" x14ac:dyDescent="0.25">
      <c r="A59" s="47" t="s">
        <v>325</v>
      </c>
      <c r="B59" s="47" t="s">
        <v>123</v>
      </c>
      <c r="C59" s="47" t="s">
        <v>600</v>
      </c>
      <c r="D59" s="47">
        <v>1.0868</v>
      </c>
      <c r="E59" s="48">
        <f>SUMIF(Data!$E:$E,$C59,Data!$AI:$AI)</f>
        <v>0</v>
      </c>
      <c r="I59" s="14" t="s">
        <v>601</v>
      </c>
      <c r="J59" s="14" t="s">
        <v>602</v>
      </c>
      <c r="K59" s="14" t="s">
        <v>140</v>
      </c>
      <c r="L59" s="14" t="s">
        <v>539</v>
      </c>
      <c r="M59" s="14" t="s">
        <v>603</v>
      </c>
      <c r="N59" s="14">
        <v>389.57900000000001</v>
      </c>
      <c r="O59" s="14" t="s">
        <v>604</v>
      </c>
      <c r="P59" s="14" t="s">
        <v>605</v>
      </c>
      <c r="Q59" s="14" t="s">
        <v>419</v>
      </c>
      <c r="R59" s="14" t="s">
        <v>606</v>
      </c>
      <c r="S59" s="14" t="s">
        <v>195</v>
      </c>
      <c r="T59" s="14" t="s">
        <v>149</v>
      </c>
      <c r="U59" s="14" t="s">
        <v>113</v>
      </c>
      <c r="V59" s="48">
        <f>SUMIF(Data!$E:$E,$I59,Data!$AI:$AI)</f>
        <v>0</v>
      </c>
    </row>
    <row r="60" spans="1:22" x14ac:dyDescent="0.25">
      <c r="A60" s="47" t="s">
        <v>325</v>
      </c>
      <c r="B60" s="47" t="s">
        <v>123</v>
      </c>
      <c r="C60" s="47" t="s">
        <v>607</v>
      </c>
      <c r="D60" s="47">
        <v>0.1754</v>
      </c>
      <c r="E60" s="48">
        <f>SUMIF(Data!$E:$E,$C60,Data!$AI:$AI)</f>
        <v>0</v>
      </c>
      <c r="I60" s="14" t="s">
        <v>608</v>
      </c>
      <c r="J60" s="14" t="s">
        <v>609</v>
      </c>
      <c r="K60" s="14" t="s">
        <v>140</v>
      </c>
      <c r="L60" s="14" t="s">
        <v>539</v>
      </c>
      <c r="M60" s="14" t="s">
        <v>610</v>
      </c>
      <c r="N60" s="14">
        <v>233.83799999999999</v>
      </c>
      <c r="O60" s="14" t="s">
        <v>611</v>
      </c>
      <c r="P60" s="14" t="s">
        <v>612</v>
      </c>
      <c r="Q60" s="14" t="s">
        <v>227</v>
      </c>
      <c r="R60" s="14" t="s">
        <v>613</v>
      </c>
      <c r="S60" s="14" t="s">
        <v>148</v>
      </c>
      <c r="T60" s="14" t="s">
        <v>149</v>
      </c>
      <c r="U60" s="14" t="s">
        <v>113</v>
      </c>
      <c r="V60" s="48">
        <f>SUMIF(Data!$E:$E,$I60,Data!$AI:$AI)</f>
        <v>0</v>
      </c>
    </row>
    <row r="61" spans="1:22" x14ac:dyDescent="0.25">
      <c r="A61" s="47" t="s">
        <v>325</v>
      </c>
      <c r="B61" s="47" t="s">
        <v>123</v>
      </c>
      <c r="C61" s="47" t="s">
        <v>614</v>
      </c>
      <c r="D61" s="47">
        <v>4.2799999999999998E-2</v>
      </c>
      <c r="E61" s="48">
        <f>SUMIF(Data!$E:$E,$C61,Data!$AI:$AI)</f>
        <v>0</v>
      </c>
      <c r="I61" s="14" t="s">
        <v>615</v>
      </c>
      <c r="J61" s="14" t="s">
        <v>616</v>
      </c>
      <c r="K61" s="14" t="s">
        <v>140</v>
      </c>
      <c r="L61" s="14" t="s">
        <v>539</v>
      </c>
      <c r="M61" s="14" t="s">
        <v>617</v>
      </c>
      <c r="N61" s="14">
        <v>147.52799999999999</v>
      </c>
      <c r="O61" s="14" t="s">
        <v>618</v>
      </c>
      <c r="P61" s="14" t="s">
        <v>619</v>
      </c>
      <c r="Q61" s="14" t="s">
        <v>165</v>
      </c>
      <c r="R61" s="14" t="s">
        <v>620</v>
      </c>
      <c r="S61" s="14" t="s">
        <v>563</v>
      </c>
      <c r="T61" s="14" t="s">
        <v>564</v>
      </c>
      <c r="U61" s="14" t="s">
        <v>528</v>
      </c>
      <c r="V61" s="48">
        <f>SUMIF(Data!$E:$E,$I61,Data!$AI:$AI)</f>
        <v>0</v>
      </c>
    </row>
    <row r="62" spans="1:22" x14ac:dyDescent="0.25">
      <c r="A62" s="47" t="s">
        <v>325</v>
      </c>
      <c r="B62" s="47" t="s">
        <v>123</v>
      </c>
      <c r="C62" s="47" t="s">
        <v>621</v>
      </c>
      <c r="D62" s="47">
        <v>0.74770000000000003</v>
      </c>
      <c r="E62" s="48">
        <f>SUMIF(Data!$E:$E,$C62,Data!$AI:$AI)</f>
        <v>0</v>
      </c>
      <c r="I62" s="14" t="s">
        <v>622</v>
      </c>
      <c r="J62" s="14" t="s">
        <v>623</v>
      </c>
      <c r="K62" s="14" t="s">
        <v>140</v>
      </c>
      <c r="L62" s="14" t="s">
        <v>624</v>
      </c>
      <c r="M62" s="14" t="s">
        <v>625</v>
      </c>
      <c r="N62" s="14" t="s">
        <v>626</v>
      </c>
      <c r="O62" s="14" t="s">
        <v>627</v>
      </c>
      <c r="P62" s="14" t="s">
        <v>628</v>
      </c>
      <c r="Q62" s="14" t="s">
        <v>263</v>
      </c>
      <c r="R62" s="14" t="s">
        <v>629</v>
      </c>
      <c r="S62" s="14" t="s">
        <v>479</v>
      </c>
      <c r="T62" s="14" t="s">
        <v>480</v>
      </c>
      <c r="U62" s="14" t="s">
        <v>481</v>
      </c>
      <c r="V62" s="48">
        <f>SUMIF(Data!$E:$E,$I62,Data!$AI:$AI)</f>
        <v>0</v>
      </c>
    </row>
    <row r="63" spans="1:22" x14ac:dyDescent="0.25">
      <c r="A63" s="47" t="s">
        <v>325</v>
      </c>
      <c r="B63" s="47" t="s">
        <v>123</v>
      </c>
      <c r="C63" s="47" t="s">
        <v>630</v>
      </c>
      <c r="D63" s="47">
        <v>0.94889999999999997</v>
      </c>
      <c r="E63" s="48">
        <f>SUMIF(Data!$E:$E,$C63,Data!$AI:$AI)</f>
        <v>0</v>
      </c>
      <c r="I63" s="14" t="s">
        <v>631</v>
      </c>
      <c r="J63" s="14" t="s">
        <v>632</v>
      </c>
      <c r="K63" s="14" t="s">
        <v>140</v>
      </c>
      <c r="L63" s="14" t="s">
        <v>624</v>
      </c>
      <c r="M63" s="14" t="s">
        <v>633</v>
      </c>
      <c r="N63" s="14" t="s">
        <v>634</v>
      </c>
      <c r="O63" s="14" t="s">
        <v>635</v>
      </c>
      <c r="P63" s="14" t="s">
        <v>636</v>
      </c>
      <c r="Q63" s="14" t="s">
        <v>146</v>
      </c>
      <c r="R63" s="14" t="s">
        <v>637</v>
      </c>
      <c r="S63" s="14" t="s">
        <v>195</v>
      </c>
      <c r="T63" s="14" t="s">
        <v>149</v>
      </c>
      <c r="U63" s="14" t="s">
        <v>113</v>
      </c>
      <c r="V63" s="48">
        <f>SUMIF(Data!$E:$E,$I63,Data!$AI:$AI)</f>
        <v>0</v>
      </c>
    </row>
    <row r="64" spans="1:22" x14ac:dyDescent="0.25">
      <c r="A64" s="47" t="s">
        <v>325</v>
      </c>
      <c r="B64" s="47" t="s">
        <v>123</v>
      </c>
      <c r="C64" s="47" t="s">
        <v>638</v>
      </c>
      <c r="D64" s="47">
        <v>0.10349999999999999</v>
      </c>
      <c r="E64" s="48">
        <f>SUMIF(Data!$E:$E,$C64,Data!$AI:$AI)</f>
        <v>0</v>
      </c>
      <c r="I64" s="14" t="s">
        <v>639</v>
      </c>
      <c r="J64" s="14" t="s">
        <v>640</v>
      </c>
      <c r="K64" s="14" t="s">
        <v>140</v>
      </c>
      <c r="L64" s="14" t="s">
        <v>624</v>
      </c>
      <c r="M64" s="14" t="s">
        <v>641</v>
      </c>
      <c r="N64" s="14">
        <v>226.58099999999999</v>
      </c>
      <c r="O64" s="14" t="s">
        <v>642</v>
      </c>
      <c r="P64" s="14" t="s">
        <v>643</v>
      </c>
      <c r="Q64" s="14" t="s">
        <v>146</v>
      </c>
      <c r="R64" s="14" t="s">
        <v>644</v>
      </c>
      <c r="S64" s="14" t="s">
        <v>645</v>
      </c>
      <c r="T64" s="14" t="s">
        <v>646</v>
      </c>
      <c r="U64" s="14" t="s">
        <v>528</v>
      </c>
      <c r="V64" s="48">
        <f>SUMIF(Data!$E:$E,$I64,Data!$AI:$AI)</f>
        <v>0</v>
      </c>
    </row>
    <row r="65" spans="1:22" x14ac:dyDescent="0.25">
      <c r="A65" s="47" t="s">
        <v>325</v>
      </c>
      <c r="B65" s="47" t="s">
        <v>123</v>
      </c>
      <c r="C65" s="47" t="s">
        <v>647</v>
      </c>
      <c r="D65" s="47">
        <v>1.6003000000000001</v>
      </c>
      <c r="E65" s="48">
        <f>SUMIF(Data!$E:$E,$C65,Data!$AI:$AI)</f>
        <v>0</v>
      </c>
      <c r="I65" s="14" t="s">
        <v>648</v>
      </c>
      <c r="J65" s="14" t="s">
        <v>649</v>
      </c>
      <c r="K65" s="14" t="s">
        <v>140</v>
      </c>
      <c r="L65" s="14" t="s">
        <v>624</v>
      </c>
      <c r="M65" s="14" t="s">
        <v>650</v>
      </c>
      <c r="N65" s="14">
        <v>378.77800000000002</v>
      </c>
      <c r="O65" s="14" t="s">
        <v>651</v>
      </c>
      <c r="P65" s="14" t="s">
        <v>652</v>
      </c>
      <c r="Q65" s="14" t="s">
        <v>419</v>
      </c>
      <c r="R65" s="14" t="s">
        <v>653</v>
      </c>
      <c r="S65" s="14" t="s">
        <v>195</v>
      </c>
      <c r="T65" s="14" t="s">
        <v>149</v>
      </c>
      <c r="U65" s="14" t="s">
        <v>113</v>
      </c>
      <c r="V65" s="48">
        <f>SUMIF(Data!$E:$E,$I65,Data!$AI:$AI)</f>
        <v>0</v>
      </c>
    </row>
    <row r="66" spans="1:22" x14ac:dyDescent="0.25">
      <c r="A66" s="47" t="s">
        <v>325</v>
      </c>
      <c r="B66" s="47" t="s">
        <v>123</v>
      </c>
      <c r="C66" s="47" t="s">
        <v>654</v>
      </c>
      <c r="D66" s="47">
        <v>2.3896000000000002</v>
      </c>
      <c r="E66" s="48">
        <f>SUMIF(Data!$E:$E,$C66,Data!$AI:$AI)</f>
        <v>0</v>
      </c>
      <c r="I66" s="14" t="s">
        <v>655</v>
      </c>
      <c r="J66" s="14" t="s">
        <v>656</v>
      </c>
      <c r="K66" s="14" t="s">
        <v>140</v>
      </c>
      <c r="L66" s="14" t="s">
        <v>657</v>
      </c>
      <c r="M66" s="14" t="s">
        <v>658</v>
      </c>
      <c r="N66" s="14">
        <v>588.21600000000001</v>
      </c>
      <c r="O66" s="14" t="s">
        <v>659</v>
      </c>
      <c r="P66" s="14" t="s">
        <v>660</v>
      </c>
      <c r="Q66" s="14" t="s">
        <v>146</v>
      </c>
      <c r="R66" s="14" t="s">
        <v>661</v>
      </c>
      <c r="S66" s="14" t="s">
        <v>148</v>
      </c>
      <c r="T66" s="14" t="s">
        <v>149</v>
      </c>
      <c r="U66" s="14" t="s">
        <v>113</v>
      </c>
      <c r="V66" s="48">
        <f>SUMIF(Data!$E:$E,$I66,Data!$AI:$AI)</f>
        <v>0</v>
      </c>
    </row>
    <row r="67" spans="1:22" x14ac:dyDescent="0.25">
      <c r="A67" s="47" t="s">
        <v>325</v>
      </c>
      <c r="B67" s="47" t="s">
        <v>123</v>
      </c>
      <c r="C67" s="47" t="s">
        <v>662</v>
      </c>
      <c r="D67" s="47">
        <v>0.72670000000000001</v>
      </c>
      <c r="E67" s="48">
        <f>SUMIF(Data!$E:$E,$C67,Data!$AI:$AI)</f>
        <v>0</v>
      </c>
      <c r="I67" s="14" t="s">
        <v>663</v>
      </c>
      <c r="J67" s="14" t="s">
        <v>664</v>
      </c>
      <c r="K67" s="14" t="s">
        <v>140</v>
      </c>
      <c r="L67" s="14" t="s">
        <v>657</v>
      </c>
      <c r="M67" s="14" t="s">
        <v>665</v>
      </c>
      <c r="N67" s="14">
        <v>436.46300000000002</v>
      </c>
      <c r="O67" s="14" t="s">
        <v>666</v>
      </c>
      <c r="P67" s="14" t="s">
        <v>667</v>
      </c>
      <c r="Q67" s="14" t="s">
        <v>419</v>
      </c>
      <c r="R67" s="14" t="s">
        <v>668</v>
      </c>
      <c r="S67" s="14" t="s">
        <v>195</v>
      </c>
      <c r="T67" s="14" t="s">
        <v>149</v>
      </c>
      <c r="U67" s="14" t="s">
        <v>113</v>
      </c>
      <c r="V67" s="48">
        <f>SUMIF(Data!$E:$E,$I67,Data!$AI:$AI)</f>
        <v>0</v>
      </c>
    </row>
    <row r="68" spans="1:22" x14ac:dyDescent="0.25">
      <c r="A68" s="47" t="s">
        <v>325</v>
      </c>
      <c r="B68" s="47" t="s">
        <v>123</v>
      </c>
      <c r="C68" s="47" t="s">
        <v>669</v>
      </c>
      <c r="D68" s="47">
        <v>6.3799999999999996E-2</v>
      </c>
      <c r="E68" s="48">
        <f>SUMIF(Data!$E:$E,$C68,Data!$AI:$AI)</f>
        <v>0</v>
      </c>
      <c r="I68" s="14" t="s">
        <v>670</v>
      </c>
      <c r="J68" s="14" t="s">
        <v>671</v>
      </c>
      <c r="K68" s="14" t="s">
        <v>140</v>
      </c>
      <c r="L68" s="14" t="s">
        <v>657</v>
      </c>
      <c r="M68" s="14" t="s">
        <v>672</v>
      </c>
      <c r="N68" s="14">
        <v>506.74</v>
      </c>
      <c r="O68" s="14" t="s">
        <v>673</v>
      </c>
      <c r="P68" s="14" t="s">
        <v>674</v>
      </c>
      <c r="Q68" s="14" t="s">
        <v>146</v>
      </c>
      <c r="R68" s="14" t="s">
        <v>675</v>
      </c>
      <c r="S68" s="14" t="s">
        <v>148</v>
      </c>
      <c r="T68" s="14" t="s">
        <v>149</v>
      </c>
      <c r="U68" s="14" t="s">
        <v>113</v>
      </c>
      <c r="V68" s="48">
        <f>SUMIF(Data!$E:$E,$I68,Data!$AI:$AI)</f>
        <v>0</v>
      </c>
    </row>
    <row r="69" spans="1:22" x14ac:dyDescent="0.25">
      <c r="A69" s="47" t="s">
        <v>325</v>
      </c>
      <c r="B69" s="47" t="s">
        <v>123</v>
      </c>
      <c r="C69" s="47" t="s">
        <v>676</v>
      </c>
      <c r="D69" s="47">
        <v>0.20830000000000001</v>
      </c>
      <c r="E69" s="48">
        <f>SUMIF(Data!$E:$E,$C69,Data!$AI:$AI)</f>
        <v>0</v>
      </c>
      <c r="I69" s="14" t="s">
        <v>677</v>
      </c>
      <c r="J69" s="14" t="s">
        <v>678</v>
      </c>
      <c r="K69" s="14" t="s">
        <v>140</v>
      </c>
      <c r="L69" s="14" t="s">
        <v>657</v>
      </c>
      <c r="M69" s="14" t="s">
        <v>679</v>
      </c>
      <c r="N69" s="14">
        <v>475.43799999999999</v>
      </c>
      <c r="O69" s="14" t="s">
        <v>680</v>
      </c>
      <c r="P69" s="14" t="s">
        <v>681</v>
      </c>
      <c r="Q69" s="14" t="s">
        <v>211</v>
      </c>
      <c r="R69" s="14" t="s">
        <v>682</v>
      </c>
      <c r="S69" s="14" t="s">
        <v>195</v>
      </c>
      <c r="T69" s="14" t="s">
        <v>149</v>
      </c>
      <c r="U69" s="14" t="s">
        <v>113</v>
      </c>
      <c r="V69" s="48">
        <f>SUMIF(Data!$E:$E,$I69,Data!$AI:$AI)</f>
        <v>0</v>
      </c>
    </row>
    <row r="70" spans="1:22" x14ac:dyDescent="0.25">
      <c r="A70" s="47" t="s">
        <v>325</v>
      </c>
      <c r="B70" s="47" t="s">
        <v>123</v>
      </c>
      <c r="C70" s="47" t="s">
        <v>683</v>
      </c>
      <c r="D70" s="47">
        <v>0.29799999999999999</v>
      </c>
      <c r="E70" s="48">
        <f>SUMIF(Data!$E:$E,$C70,Data!$AI:$AI)</f>
        <v>0</v>
      </c>
      <c r="I70" s="14" t="s">
        <v>684</v>
      </c>
      <c r="J70" s="14" t="s">
        <v>685</v>
      </c>
      <c r="K70" s="14" t="s">
        <v>140</v>
      </c>
      <c r="L70" s="14" t="s">
        <v>657</v>
      </c>
      <c r="M70" s="14" t="s">
        <v>686</v>
      </c>
      <c r="N70" s="14">
        <v>477.23599999999999</v>
      </c>
      <c r="O70" s="14" t="s">
        <v>687</v>
      </c>
      <c r="P70" s="14" t="s">
        <v>688</v>
      </c>
      <c r="Q70" s="14" t="s">
        <v>146</v>
      </c>
      <c r="R70" s="14" t="s">
        <v>689</v>
      </c>
      <c r="S70" s="14" t="s">
        <v>195</v>
      </c>
      <c r="T70" s="14" t="s">
        <v>149</v>
      </c>
      <c r="U70" s="14" t="s">
        <v>113</v>
      </c>
      <c r="V70" s="48">
        <f>SUMIF(Data!$E:$E,$I70,Data!$AI:$AI)</f>
        <v>0</v>
      </c>
    </row>
    <row r="71" spans="1:22" x14ac:dyDescent="0.25">
      <c r="A71" s="47" t="s">
        <v>325</v>
      </c>
      <c r="B71" s="47" t="s">
        <v>123</v>
      </c>
      <c r="C71" s="47" t="s">
        <v>690</v>
      </c>
      <c r="D71" s="47">
        <v>0.63759999999999994</v>
      </c>
      <c r="E71" s="48">
        <f>SUMIF(Data!$E:$E,$C71,Data!$AI:$AI)</f>
        <v>0</v>
      </c>
      <c r="I71" s="14" t="s">
        <v>691</v>
      </c>
      <c r="J71" s="14" t="s">
        <v>692</v>
      </c>
      <c r="K71" s="14" t="s">
        <v>140</v>
      </c>
      <c r="L71" s="14" t="s">
        <v>693</v>
      </c>
      <c r="M71" s="14" t="s">
        <v>694</v>
      </c>
      <c r="N71" s="14">
        <v>263.358</v>
      </c>
      <c r="O71" s="14" t="s">
        <v>695</v>
      </c>
      <c r="P71" s="14" t="s">
        <v>696</v>
      </c>
      <c r="Q71" s="14" t="s">
        <v>697</v>
      </c>
      <c r="R71" s="14" t="s">
        <v>698</v>
      </c>
      <c r="S71" s="14" t="s">
        <v>195</v>
      </c>
      <c r="T71" s="14" t="s">
        <v>149</v>
      </c>
      <c r="U71" s="14" t="s">
        <v>113</v>
      </c>
      <c r="V71" s="48">
        <f>SUMIF(Data!$E:$E,$I71,Data!$AI:$AI)</f>
        <v>0</v>
      </c>
    </row>
    <row r="72" spans="1:22" x14ac:dyDescent="0.25">
      <c r="A72" s="47" t="s">
        <v>325</v>
      </c>
      <c r="B72" s="47" t="s">
        <v>123</v>
      </c>
      <c r="C72" s="47" t="s">
        <v>699</v>
      </c>
      <c r="D72" s="47">
        <v>0.18079999999999999</v>
      </c>
      <c r="E72" s="48">
        <f>SUMIF(Data!$E:$E,$C72,Data!$AI:$AI)</f>
        <v>0</v>
      </c>
      <c r="I72" s="14" t="s">
        <v>700</v>
      </c>
      <c r="J72" s="14" t="s">
        <v>701</v>
      </c>
      <c r="K72" s="14" t="s">
        <v>140</v>
      </c>
      <c r="L72" s="14" t="s">
        <v>693</v>
      </c>
      <c r="M72" s="14" t="s">
        <v>702</v>
      </c>
      <c r="N72" s="14">
        <v>213.63200000000001</v>
      </c>
      <c r="O72" s="14" t="s">
        <v>703</v>
      </c>
      <c r="P72" s="14" t="s">
        <v>704</v>
      </c>
      <c r="Q72" s="14" t="s">
        <v>146</v>
      </c>
      <c r="R72" s="14" t="s">
        <v>705</v>
      </c>
      <c r="S72" s="14" t="s">
        <v>148</v>
      </c>
      <c r="T72" s="14" t="s">
        <v>149</v>
      </c>
      <c r="U72" s="14" t="s">
        <v>113</v>
      </c>
      <c r="V72" s="48">
        <f>SUMIF(Data!$E:$E,$I72,Data!$AI:$AI)</f>
        <v>0</v>
      </c>
    </row>
    <row r="73" spans="1:22" x14ac:dyDescent="0.25">
      <c r="A73" s="47" t="s">
        <v>325</v>
      </c>
      <c r="B73" s="47" t="s">
        <v>123</v>
      </c>
      <c r="C73" s="47" t="s">
        <v>706</v>
      </c>
      <c r="D73" s="47">
        <v>0.37709999999999999</v>
      </c>
      <c r="E73" s="48">
        <f>SUMIF(Data!$E:$E,$C73,Data!$AI:$AI)</f>
        <v>0</v>
      </c>
      <c r="I73" s="14" t="s">
        <v>707</v>
      </c>
      <c r="J73" s="14" t="s">
        <v>708</v>
      </c>
      <c r="K73" s="14" t="s">
        <v>140</v>
      </c>
      <c r="L73" s="14" t="s">
        <v>693</v>
      </c>
      <c r="M73" s="14" t="s">
        <v>709</v>
      </c>
      <c r="N73" s="14" t="s">
        <v>710</v>
      </c>
      <c r="O73" s="14" t="s">
        <v>711</v>
      </c>
      <c r="P73" s="14" t="s">
        <v>712</v>
      </c>
      <c r="Q73" s="14" t="s">
        <v>211</v>
      </c>
      <c r="R73" s="14" t="s">
        <v>713</v>
      </c>
      <c r="S73" s="14" t="s">
        <v>479</v>
      </c>
      <c r="T73" s="14" t="s">
        <v>480</v>
      </c>
      <c r="U73" s="14" t="s">
        <v>481</v>
      </c>
      <c r="V73" s="48">
        <f>SUMIF(Data!$E:$E,$I73,Data!$AI:$AI)</f>
        <v>0</v>
      </c>
    </row>
    <row r="74" spans="1:22" x14ac:dyDescent="0.25">
      <c r="A74" s="47" t="s">
        <v>325</v>
      </c>
      <c r="B74" s="47" t="s">
        <v>123</v>
      </c>
      <c r="C74" s="47" t="s">
        <v>714</v>
      </c>
      <c r="D74" s="47">
        <v>6.2399999999999997E-2</v>
      </c>
      <c r="E74" s="48">
        <f>SUMIF(Data!$E:$E,$C74,Data!$AI:$AI)</f>
        <v>0</v>
      </c>
      <c r="I74" s="14" t="s">
        <v>715</v>
      </c>
      <c r="J74" s="14" t="s">
        <v>716</v>
      </c>
      <c r="K74" s="14" t="s">
        <v>140</v>
      </c>
      <c r="L74" s="14" t="s">
        <v>693</v>
      </c>
      <c r="M74" s="14" t="s">
        <v>717</v>
      </c>
      <c r="N74" s="14">
        <v>609.73900000000003</v>
      </c>
      <c r="O74" s="14" t="s">
        <v>718</v>
      </c>
      <c r="P74" s="14" t="s">
        <v>719</v>
      </c>
      <c r="Q74" s="14" t="s">
        <v>211</v>
      </c>
      <c r="R74" s="14" t="s">
        <v>720</v>
      </c>
      <c r="S74" s="14" t="s">
        <v>563</v>
      </c>
      <c r="T74" s="14" t="s">
        <v>564</v>
      </c>
      <c r="U74" s="14" t="s">
        <v>528</v>
      </c>
      <c r="V74" s="48">
        <f>SUMIF(Data!$E:$E,$I74,Data!$AI:$AI)</f>
        <v>0</v>
      </c>
    </row>
    <row r="75" spans="1:22" x14ac:dyDescent="0.25">
      <c r="A75" s="47" t="s">
        <v>325</v>
      </c>
      <c r="B75" s="47" t="s">
        <v>123</v>
      </c>
      <c r="C75" s="47" t="s">
        <v>721</v>
      </c>
      <c r="D75" s="47">
        <v>0.20430000000000001</v>
      </c>
      <c r="E75" s="48">
        <f>SUMIF(Data!$E:$E,$C75,Data!$AI:$AI)</f>
        <v>0</v>
      </c>
      <c r="I75" s="14" t="s">
        <v>722</v>
      </c>
      <c r="J75" s="14" t="s">
        <v>723</v>
      </c>
      <c r="K75" s="14" t="s">
        <v>140</v>
      </c>
      <c r="L75" s="14" t="s">
        <v>693</v>
      </c>
      <c r="M75" s="14" t="s">
        <v>724</v>
      </c>
      <c r="N75" s="14">
        <v>781.71400000000006</v>
      </c>
      <c r="O75" s="14" t="s">
        <v>725</v>
      </c>
      <c r="P75" s="14" t="s">
        <v>726</v>
      </c>
      <c r="Q75" s="14" t="s">
        <v>193</v>
      </c>
      <c r="R75" s="14" t="s">
        <v>727</v>
      </c>
      <c r="S75" s="14" t="s">
        <v>728</v>
      </c>
      <c r="T75" s="14" t="s">
        <v>729</v>
      </c>
      <c r="U75" s="14" t="s">
        <v>730</v>
      </c>
      <c r="V75" s="48">
        <f>SUMIF(Data!$E:$E,$I75,Data!$AI:$AI)</f>
        <v>0</v>
      </c>
    </row>
    <row r="76" spans="1:22" x14ac:dyDescent="0.25">
      <c r="A76" s="47" t="s">
        <v>325</v>
      </c>
      <c r="B76" s="47" t="s">
        <v>123</v>
      </c>
      <c r="C76" s="47" t="s">
        <v>731</v>
      </c>
      <c r="D76" s="47">
        <v>6.0100000000000001E-2</v>
      </c>
      <c r="E76" s="48">
        <f>SUMIF(Data!$E:$E,$C76,Data!$AI:$AI)</f>
        <v>0</v>
      </c>
      <c r="I76" s="14" t="s">
        <v>732</v>
      </c>
      <c r="J76" s="14" t="s">
        <v>733</v>
      </c>
      <c r="K76" s="14" t="s">
        <v>140</v>
      </c>
      <c r="L76" s="14" t="s">
        <v>693</v>
      </c>
      <c r="M76" s="14" t="s">
        <v>734</v>
      </c>
      <c r="N76" s="14">
        <v>298.63600000000002</v>
      </c>
      <c r="O76" s="14" t="s">
        <v>735</v>
      </c>
      <c r="P76" s="14" t="s">
        <v>736</v>
      </c>
      <c r="Q76" s="14" t="s">
        <v>737</v>
      </c>
      <c r="R76" s="14" t="s">
        <v>738</v>
      </c>
      <c r="S76" s="14" t="s">
        <v>195</v>
      </c>
      <c r="T76" s="14" t="s">
        <v>149</v>
      </c>
      <c r="U76" s="14" t="s">
        <v>113</v>
      </c>
      <c r="V76" s="48">
        <f>SUMIF(Data!$E:$E,$I76,Data!$AI:$AI)</f>
        <v>0</v>
      </c>
    </row>
    <row r="77" spans="1:22" x14ac:dyDescent="0.25">
      <c r="A77" s="47" t="s">
        <v>325</v>
      </c>
      <c r="B77" s="47" t="s">
        <v>123</v>
      </c>
      <c r="C77" s="47" t="s">
        <v>739</v>
      </c>
      <c r="D77" s="47">
        <v>0.83360000000000001</v>
      </c>
      <c r="E77" s="48">
        <f>SUMIF(Data!$E:$E,$C77,Data!$AI:$AI)</f>
        <v>0</v>
      </c>
      <c r="I77" s="14" t="s">
        <v>740</v>
      </c>
      <c r="J77" s="14" t="s">
        <v>741</v>
      </c>
      <c r="K77" s="14" t="s">
        <v>140</v>
      </c>
      <c r="L77" s="14" t="s">
        <v>742</v>
      </c>
      <c r="M77" s="14" t="s">
        <v>743</v>
      </c>
      <c r="N77" s="14" t="s">
        <v>744</v>
      </c>
      <c r="O77" s="14" t="s">
        <v>745</v>
      </c>
      <c r="P77" s="14" t="s">
        <v>746</v>
      </c>
      <c r="Q77" s="14" t="s">
        <v>263</v>
      </c>
      <c r="R77" s="14" t="s">
        <v>747</v>
      </c>
      <c r="S77" s="14" t="s">
        <v>479</v>
      </c>
      <c r="T77" s="14" t="s">
        <v>480</v>
      </c>
      <c r="U77" s="14" t="s">
        <v>481</v>
      </c>
      <c r="V77" s="48">
        <f>SUMIF(Data!$E:$E,$I77,Data!$AI:$AI)</f>
        <v>0</v>
      </c>
    </row>
    <row r="78" spans="1:22" x14ac:dyDescent="0.25">
      <c r="A78" s="47" t="s">
        <v>325</v>
      </c>
      <c r="B78" s="47" t="s">
        <v>123</v>
      </c>
      <c r="C78" s="47" t="s">
        <v>748</v>
      </c>
      <c r="D78" s="47">
        <v>0.82010000000000005</v>
      </c>
      <c r="E78" s="48">
        <f>SUMIF(Data!$E:$E,$C78,Data!$AI:$AI)</f>
        <v>0</v>
      </c>
      <c r="I78" s="14" t="s">
        <v>749</v>
      </c>
      <c r="J78" s="14" t="s">
        <v>750</v>
      </c>
      <c r="K78" s="14" t="s">
        <v>140</v>
      </c>
      <c r="L78" s="14" t="s">
        <v>751</v>
      </c>
      <c r="M78" s="14" t="s">
        <v>752</v>
      </c>
      <c r="N78" s="14">
        <v>660.62199999999996</v>
      </c>
      <c r="O78" s="14" t="s">
        <v>753</v>
      </c>
      <c r="P78" s="14" t="s">
        <v>754</v>
      </c>
      <c r="Q78" s="14" t="s">
        <v>165</v>
      </c>
      <c r="R78" s="14" t="s">
        <v>755</v>
      </c>
      <c r="S78" s="14" t="s">
        <v>148</v>
      </c>
      <c r="T78" s="14" t="s">
        <v>149</v>
      </c>
      <c r="U78" s="14" t="s">
        <v>113</v>
      </c>
      <c r="V78" s="48">
        <f>SUMIF(Data!$E:$E,$I78,Data!$AI:$AI)</f>
        <v>0</v>
      </c>
    </row>
    <row r="79" spans="1:22" x14ac:dyDescent="0.25">
      <c r="A79" s="47" t="s">
        <v>325</v>
      </c>
      <c r="B79" s="47" t="s">
        <v>123</v>
      </c>
      <c r="C79" s="47" t="s">
        <v>756</v>
      </c>
      <c r="D79" s="47">
        <v>0.27310000000000001</v>
      </c>
      <c r="E79" s="48">
        <f>SUMIF(Data!$E:$E,$C79,Data!$AI:$AI)</f>
        <v>0</v>
      </c>
      <c r="I79" s="14" t="s">
        <v>113</v>
      </c>
      <c r="J79" s="14" t="s">
        <v>757</v>
      </c>
      <c r="K79" s="14" t="s">
        <v>758</v>
      </c>
      <c r="L79" s="14" t="s">
        <v>751</v>
      </c>
      <c r="M79" s="14" t="s">
        <v>759</v>
      </c>
      <c r="N79" s="14" t="s">
        <v>760</v>
      </c>
      <c r="O79" s="14" t="s">
        <v>760</v>
      </c>
      <c r="P79" s="14" t="s">
        <v>761</v>
      </c>
      <c r="Q79" s="14" t="s">
        <v>762</v>
      </c>
      <c r="R79" s="14" t="s">
        <v>763</v>
      </c>
      <c r="S79" s="14" t="s">
        <v>763</v>
      </c>
      <c r="T79" s="14" t="s">
        <v>149</v>
      </c>
      <c r="U79" s="14" t="s">
        <v>113</v>
      </c>
      <c r="V79" s="48">
        <f>SUMIF(Data!$E:$E,$I79,Data!$AI:$AI)</f>
        <v>0</v>
      </c>
    </row>
    <row r="80" spans="1:22" x14ac:dyDescent="0.25">
      <c r="A80" s="47" t="s">
        <v>325</v>
      </c>
      <c r="B80" s="47" t="s">
        <v>123</v>
      </c>
      <c r="C80" s="47" t="s">
        <v>764</v>
      </c>
      <c r="D80" s="47">
        <v>0.36430000000000001</v>
      </c>
      <c r="E80" s="48">
        <f>SUMIF(Data!$E:$E,$C80,Data!$AI:$AI)</f>
        <v>0</v>
      </c>
      <c r="I80" s="14" t="s">
        <v>765</v>
      </c>
      <c r="J80" s="14" t="s">
        <v>766</v>
      </c>
      <c r="K80" s="14" t="s">
        <v>140</v>
      </c>
      <c r="L80" s="14" t="s">
        <v>751</v>
      </c>
      <c r="M80" s="14" t="s">
        <v>767</v>
      </c>
      <c r="N80" s="14">
        <v>991.79700000000003</v>
      </c>
      <c r="O80" s="14" t="s">
        <v>768</v>
      </c>
      <c r="P80" s="14" t="s">
        <v>769</v>
      </c>
      <c r="Q80" s="14" t="s">
        <v>211</v>
      </c>
      <c r="R80" s="14" t="s">
        <v>770</v>
      </c>
      <c r="S80" s="14" t="s">
        <v>771</v>
      </c>
      <c r="T80" s="14" t="s">
        <v>772</v>
      </c>
      <c r="U80" s="14" t="s">
        <v>773</v>
      </c>
      <c r="V80" s="48">
        <f>SUMIF(Data!$E:$E,$I80,Data!$AI:$AI)</f>
        <v>0</v>
      </c>
    </row>
    <row r="81" spans="1:22" x14ac:dyDescent="0.25">
      <c r="A81" s="47" t="s">
        <v>325</v>
      </c>
      <c r="B81" s="47" t="s">
        <v>123</v>
      </c>
      <c r="C81" s="47" t="s">
        <v>774</v>
      </c>
      <c r="D81" s="47">
        <v>3.6400000000000002E-2</v>
      </c>
      <c r="E81" s="48">
        <f>SUMIF(Data!$E:$E,$C81,Data!$AI:$AI)</f>
        <v>0</v>
      </c>
      <c r="I81" s="14" t="s">
        <v>775</v>
      </c>
      <c r="J81" s="14" t="s">
        <v>776</v>
      </c>
      <c r="K81" s="14" t="s">
        <v>140</v>
      </c>
      <c r="L81" s="14" t="s">
        <v>751</v>
      </c>
      <c r="M81" s="14" t="s">
        <v>777</v>
      </c>
      <c r="N81" s="14">
        <v>645.78899999999999</v>
      </c>
      <c r="O81" s="14" t="s">
        <v>778</v>
      </c>
      <c r="P81" s="14" t="s">
        <v>779</v>
      </c>
      <c r="Q81" s="14" t="s">
        <v>146</v>
      </c>
      <c r="R81" s="14" t="s">
        <v>780</v>
      </c>
      <c r="S81" s="14" t="s">
        <v>148</v>
      </c>
      <c r="T81" s="14" t="s">
        <v>149</v>
      </c>
      <c r="U81" s="14" t="s">
        <v>113</v>
      </c>
      <c r="V81" s="48">
        <f>SUMIF(Data!$E:$E,$I81,Data!$AI:$AI)</f>
        <v>0</v>
      </c>
    </row>
    <row r="82" spans="1:22" x14ac:dyDescent="0.25">
      <c r="A82" s="47" t="s">
        <v>325</v>
      </c>
      <c r="B82" s="47" t="s">
        <v>123</v>
      </c>
      <c r="C82" s="47" t="s">
        <v>781</v>
      </c>
      <c r="D82" s="47">
        <v>5.4899999999999997E-2</v>
      </c>
      <c r="E82" s="48">
        <f>SUMIF(Data!$E:$E,$C82,Data!$AI:$AI)</f>
        <v>0</v>
      </c>
      <c r="I82" s="14" t="s">
        <v>782</v>
      </c>
      <c r="J82" s="14" t="s">
        <v>783</v>
      </c>
      <c r="K82" s="14" t="s">
        <v>140</v>
      </c>
      <c r="L82" s="14" t="s">
        <v>784</v>
      </c>
      <c r="M82" s="14" t="s">
        <v>785</v>
      </c>
      <c r="N82" s="14">
        <v>136.833</v>
      </c>
      <c r="O82" s="14" t="s">
        <v>786</v>
      </c>
      <c r="P82" s="14" t="s">
        <v>787</v>
      </c>
      <c r="Q82" s="14" t="s">
        <v>419</v>
      </c>
      <c r="R82" s="14" t="s">
        <v>788</v>
      </c>
      <c r="S82" s="14" t="s">
        <v>195</v>
      </c>
      <c r="T82" s="14" t="s">
        <v>149</v>
      </c>
      <c r="U82" s="14" t="s">
        <v>113</v>
      </c>
      <c r="V82" s="48">
        <f>SUMIF(Data!$E:$E,$I82,Data!$AI:$AI)</f>
        <v>0</v>
      </c>
    </row>
    <row r="83" spans="1:22" x14ac:dyDescent="0.25">
      <c r="A83" s="47" t="s">
        <v>325</v>
      </c>
      <c r="B83" s="47" t="s">
        <v>123</v>
      </c>
      <c r="C83" s="47" t="s">
        <v>789</v>
      </c>
      <c r="D83" s="47">
        <v>0.1032</v>
      </c>
      <c r="E83" s="48">
        <f>SUMIF(Data!$E:$E,$C83,Data!$AI:$AI)</f>
        <v>0</v>
      </c>
      <c r="I83" s="14" t="s">
        <v>790</v>
      </c>
      <c r="J83" s="14" t="s">
        <v>791</v>
      </c>
      <c r="K83" s="14" t="s">
        <v>140</v>
      </c>
      <c r="L83" s="14" t="s">
        <v>784</v>
      </c>
      <c r="M83" s="14" t="s">
        <v>792</v>
      </c>
      <c r="N83" s="14">
        <v>227.40100000000001</v>
      </c>
      <c r="O83" s="14" t="s">
        <v>793</v>
      </c>
      <c r="P83" s="14" t="s">
        <v>794</v>
      </c>
      <c r="Q83" s="14" t="s">
        <v>193</v>
      </c>
      <c r="R83" s="14" t="s">
        <v>795</v>
      </c>
      <c r="S83" s="14" t="s">
        <v>526</v>
      </c>
      <c r="T83" s="14" t="s">
        <v>527</v>
      </c>
      <c r="U83" s="14" t="s">
        <v>528</v>
      </c>
      <c r="V83" s="48">
        <f>SUMIF(Data!$E:$E,$I83,Data!$AI:$AI)</f>
        <v>0</v>
      </c>
    </row>
    <row r="84" spans="1:22" x14ac:dyDescent="0.25">
      <c r="A84" s="47" t="s">
        <v>325</v>
      </c>
      <c r="B84" s="47" t="s">
        <v>123</v>
      </c>
      <c r="C84" s="47" t="s">
        <v>796</v>
      </c>
      <c r="D84" s="47">
        <v>0.67369999999999997</v>
      </c>
      <c r="E84" s="48">
        <f>SUMIF(Data!$E:$E,$C84,Data!$AI:$AI)</f>
        <v>0</v>
      </c>
      <c r="I84" s="14" t="s">
        <v>797</v>
      </c>
      <c r="J84" s="14" t="s">
        <v>798</v>
      </c>
      <c r="K84" s="14" t="s">
        <v>140</v>
      </c>
      <c r="L84" s="14" t="s">
        <v>784</v>
      </c>
      <c r="M84" s="14" t="s">
        <v>799</v>
      </c>
      <c r="N84" s="14">
        <v>306.29700000000003</v>
      </c>
      <c r="O84" s="14" t="s">
        <v>800</v>
      </c>
      <c r="P84" s="14" t="s">
        <v>801</v>
      </c>
      <c r="Q84" s="14" t="s">
        <v>419</v>
      </c>
      <c r="R84" s="14" t="s">
        <v>802</v>
      </c>
      <c r="S84" s="14" t="s">
        <v>195</v>
      </c>
      <c r="T84" s="14" t="s">
        <v>149</v>
      </c>
      <c r="U84" s="14" t="s">
        <v>113</v>
      </c>
      <c r="V84" s="48">
        <f>SUMIF(Data!$E:$E,$I84,Data!$AI:$AI)</f>
        <v>0</v>
      </c>
    </row>
    <row r="85" spans="1:22" x14ac:dyDescent="0.25">
      <c r="A85" s="47" t="s">
        <v>325</v>
      </c>
      <c r="B85" s="47" t="s">
        <v>123</v>
      </c>
      <c r="C85" s="47" t="s">
        <v>803</v>
      </c>
      <c r="D85" s="47">
        <v>3.6055000000000001</v>
      </c>
      <c r="E85" s="48">
        <f>SUMIF(Data!$E:$E,$C85,Data!$AI:$AI)</f>
        <v>0</v>
      </c>
      <c r="I85" s="14" t="s">
        <v>804</v>
      </c>
      <c r="J85" s="14" t="s">
        <v>805</v>
      </c>
      <c r="K85" s="14" t="s">
        <v>140</v>
      </c>
      <c r="L85" s="14" t="s">
        <v>784</v>
      </c>
      <c r="M85" s="14" t="s">
        <v>806</v>
      </c>
      <c r="N85" s="14">
        <v>238.82900000000001</v>
      </c>
      <c r="O85" s="14" t="s">
        <v>807</v>
      </c>
      <c r="P85" s="14" t="s">
        <v>808</v>
      </c>
      <c r="Q85" s="14" t="s">
        <v>809</v>
      </c>
      <c r="R85" s="14" t="s">
        <v>810</v>
      </c>
      <c r="S85" s="14" t="s">
        <v>195</v>
      </c>
      <c r="T85" s="14" t="s">
        <v>149</v>
      </c>
      <c r="U85" s="14" t="s">
        <v>113</v>
      </c>
      <c r="V85" s="48">
        <f>SUMIF(Data!$E:$E,$I85,Data!$AI:$AI)</f>
        <v>0</v>
      </c>
    </row>
    <row r="86" spans="1:22" x14ac:dyDescent="0.25">
      <c r="A86" s="47" t="s">
        <v>325</v>
      </c>
      <c r="B86" s="47" t="s">
        <v>123</v>
      </c>
      <c r="C86" s="47" t="s">
        <v>811</v>
      </c>
      <c r="D86" s="47">
        <v>0.18410000000000001</v>
      </c>
      <c r="E86" s="48">
        <f>SUMIF(Data!$E:$E,$C86,Data!$AI:$AI)</f>
        <v>0</v>
      </c>
      <c r="I86" s="14" t="s">
        <v>812</v>
      </c>
      <c r="J86" s="14" t="s">
        <v>813</v>
      </c>
      <c r="K86" s="14" t="s">
        <v>140</v>
      </c>
      <c r="L86" s="14" t="s">
        <v>814</v>
      </c>
      <c r="M86" s="14" t="s">
        <v>815</v>
      </c>
      <c r="N86" s="14" t="s">
        <v>816</v>
      </c>
      <c r="O86" s="14" t="s">
        <v>817</v>
      </c>
      <c r="P86" s="14" t="s">
        <v>818</v>
      </c>
      <c r="Q86" s="14" t="s">
        <v>227</v>
      </c>
      <c r="R86" s="14" t="s">
        <v>819</v>
      </c>
      <c r="S86" s="14" t="s">
        <v>479</v>
      </c>
      <c r="T86" s="14" t="s">
        <v>480</v>
      </c>
      <c r="U86" s="14" t="s">
        <v>481</v>
      </c>
      <c r="V86" s="48">
        <f>SUMIF(Data!$E:$E,$I86,Data!$AI:$AI)</f>
        <v>0</v>
      </c>
    </row>
    <row r="87" spans="1:22" x14ac:dyDescent="0.25">
      <c r="A87" s="47" t="s">
        <v>325</v>
      </c>
      <c r="B87" s="47" t="s">
        <v>123</v>
      </c>
      <c r="C87" s="47" t="s">
        <v>820</v>
      </c>
      <c r="D87" s="47">
        <v>1.5123</v>
      </c>
      <c r="E87" s="48">
        <f>SUMIF(Data!$E:$E,$C87,Data!$AI:$AI)</f>
        <v>0</v>
      </c>
      <c r="I87" s="14" t="s">
        <v>821</v>
      </c>
      <c r="J87" s="14" t="s">
        <v>822</v>
      </c>
      <c r="K87" s="14" t="s">
        <v>140</v>
      </c>
      <c r="L87" s="14" t="s">
        <v>814</v>
      </c>
      <c r="M87" s="14" t="s">
        <v>823</v>
      </c>
      <c r="N87" s="14" t="s">
        <v>824</v>
      </c>
      <c r="O87" s="14" t="s">
        <v>825</v>
      </c>
      <c r="P87" s="14" t="s">
        <v>826</v>
      </c>
      <c r="Q87" s="14" t="s">
        <v>227</v>
      </c>
      <c r="R87" s="14" t="s">
        <v>827</v>
      </c>
      <c r="S87" s="14" t="s">
        <v>479</v>
      </c>
      <c r="T87" s="14" t="s">
        <v>480</v>
      </c>
      <c r="U87" s="14" t="s">
        <v>481</v>
      </c>
      <c r="V87" s="48">
        <f>SUMIF(Data!$E:$E,$I87,Data!$AI:$AI)</f>
        <v>0</v>
      </c>
    </row>
    <row r="88" spans="1:22" x14ac:dyDescent="0.25">
      <c r="A88" s="47" t="s">
        <v>325</v>
      </c>
      <c r="B88" s="47" t="s">
        <v>123</v>
      </c>
      <c r="C88" s="47" t="s">
        <v>828</v>
      </c>
      <c r="D88" s="47">
        <v>8.6300000000000002E-2</v>
      </c>
      <c r="E88" s="48">
        <f>SUMIF(Data!$E:$E,$C88,Data!$AI:$AI)</f>
        <v>0</v>
      </c>
      <c r="I88" s="14" t="s">
        <v>829</v>
      </c>
      <c r="J88" s="14" t="s">
        <v>830</v>
      </c>
      <c r="K88" s="14" t="s">
        <v>140</v>
      </c>
      <c r="L88" s="14" t="s">
        <v>814</v>
      </c>
      <c r="M88" s="14" t="s">
        <v>831</v>
      </c>
      <c r="N88" s="14" t="s">
        <v>832</v>
      </c>
      <c r="O88" s="14" t="s">
        <v>833</v>
      </c>
      <c r="P88" s="14" t="s">
        <v>834</v>
      </c>
      <c r="Q88" s="14" t="s">
        <v>419</v>
      </c>
      <c r="R88" s="14" t="s">
        <v>835</v>
      </c>
      <c r="S88" s="14" t="s">
        <v>195</v>
      </c>
      <c r="T88" s="14" t="s">
        <v>149</v>
      </c>
      <c r="U88" s="14" t="s">
        <v>113</v>
      </c>
      <c r="V88" s="48">
        <f>SUMIF(Data!$E:$E,$I88,Data!$AI:$AI)</f>
        <v>0</v>
      </c>
    </row>
    <row r="89" spans="1:22" x14ac:dyDescent="0.25">
      <c r="A89" s="47" t="s">
        <v>325</v>
      </c>
      <c r="B89" s="47" t="s">
        <v>123</v>
      </c>
      <c r="C89" s="47" t="s">
        <v>836</v>
      </c>
      <c r="D89" s="47">
        <v>0.2359</v>
      </c>
      <c r="E89" s="48">
        <f>SUMIF(Data!$E:$E,$C89,Data!$AI:$AI)</f>
        <v>0</v>
      </c>
      <c r="I89" s="14" t="s">
        <v>837</v>
      </c>
      <c r="J89" s="14" t="s">
        <v>838</v>
      </c>
      <c r="K89" s="14" t="s">
        <v>140</v>
      </c>
      <c r="L89" s="14" t="s">
        <v>814</v>
      </c>
      <c r="M89" s="14" t="s">
        <v>839</v>
      </c>
      <c r="N89" s="14">
        <v>964.89</v>
      </c>
      <c r="O89" s="14" t="s">
        <v>840</v>
      </c>
      <c r="P89" s="14" t="s">
        <v>841</v>
      </c>
      <c r="Q89" s="14" t="s">
        <v>193</v>
      </c>
      <c r="R89" s="14" t="s">
        <v>842</v>
      </c>
      <c r="S89" s="14" t="s">
        <v>728</v>
      </c>
      <c r="T89" s="14" t="s">
        <v>729</v>
      </c>
      <c r="U89" s="14" t="s">
        <v>730</v>
      </c>
      <c r="V89" s="48">
        <f>SUMIF(Data!$E:$E,$I89,Data!$AI:$AI)</f>
        <v>0</v>
      </c>
    </row>
    <row r="90" spans="1:22" x14ac:dyDescent="0.25">
      <c r="A90" s="47" t="s">
        <v>325</v>
      </c>
      <c r="B90" s="47" t="s">
        <v>123</v>
      </c>
      <c r="C90" s="47" t="s">
        <v>843</v>
      </c>
      <c r="D90" s="47">
        <v>0.74550000000000005</v>
      </c>
      <c r="E90" s="48">
        <f>SUMIF(Data!$E:$E,$C90,Data!$AI:$AI)</f>
        <v>0</v>
      </c>
      <c r="I90" s="14" t="s">
        <v>844</v>
      </c>
      <c r="J90" s="14" t="s">
        <v>845</v>
      </c>
      <c r="K90" s="14" t="s">
        <v>140</v>
      </c>
      <c r="L90" s="14" t="s">
        <v>814</v>
      </c>
      <c r="M90" s="14" t="s">
        <v>846</v>
      </c>
      <c r="N90" s="14">
        <v>943.94299999999998</v>
      </c>
      <c r="O90" s="14" t="s">
        <v>847</v>
      </c>
      <c r="P90" s="14" t="s">
        <v>848</v>
      </c>
      <c r="Q90" s="14" t="s">
        <v>193</v>
      </c>
      <c r="R90" s="14" t="s">
        <v>849</v>
      </c>
      <c r="S90" s="14" t="s">
        <v>850</v>
      </c>
      <c r="T90" s="14" t="s">
        <v>851</v>
      </c>
      <c r="U90" s="14" t="s">
        <v>852</v>
      </c>
      <c r="V90" s="48">
        <f>SUMIF(Data!$E:$E,$I90,Data!$AI:$AI)</f>
        <v>0</v>
      </c>
    </row>
    <row r="91" spans="1:22" x14ac:dyDescent="0.25">
      <c r="A91" s="47" t="s">
        <v>325</v>
      </c>
      <c r="B91" s="47" t="s">
        <v>123</v>
      </c>
      <c r="C91" s="47" t="s">
        <v>853</v>
      </c>
      <c r="D91" s="47">
        <v>0.92430000000000001</v>
      </c>
      <c r="E91" s="48">
        <f>SUMIF(Data!$E:$E,$C91,Data!$AI:$AI)</f>
        <v>0</v>
      </c>
      <c r="I91" s="14" t="s">
        <v>854</v>
      </c>
      <c r="J91" s="14" t="s">
        <v>855</v>
      </c>
      <c r="K91" s="14" t="s">
        <v>140</v>
      </c>
      <c r="L91" s="14" t="s">
        <v>814</v>
      </c>
      <c r="M91" s="14" t="s">
        <v>856</v>
      </c>
      <c r="N91" s="14">
        <v>260.14299999999997</v>
      </c>
      <c r="O91" s="14" t="s">
        <v>857</v>
      </c>
      <c r="P91" s="14" t="s">
        <v>858</v>
      </c>
      <c r="Q91" s="14" t="s">
        <v>211</v>
      </c>
      <c r="R91" s="14" t="s">
        <v>859</v>
      </c>
      <c r="S91" s="14" t="s">
        <v>850</v>
      </c>
      <c r="T91" s="14" t="s">
        <v>851</v>
      </c>
      <c r="U91" s="14" t="s">
        <v>852</v>
      </c>
      <c r="V91" s="48">
        <f>SUMIF(Data!$E:$E,$I91,Data!$AI:$AI)</f>
        <v>0</v>
      </c>
    </row>
    <row r="92" spans="1:22" x14ac:dyDescent="0.25">
      <c r="A92" s="47" t="s">
        <v>325</v>
      </c>
      <c r="B92" s="47" t="s">
        <v>123</v>
      </c>
      <c r="C92" s="47" t="s">
        <v>860</v>
      </c>
      <c r="D92" s="47">
        <v>0.42130000000000001</v>
      </c>
      <c r="E92" s="48">
        <f>SUMIF(Data!$E:$E,$C92,Data!$AI:$AI)</f>
        <v>0</v>
      </c>
      <c r="I92" s="14" t="s">
        <v>861</v>
      </c>
      <c r="J92" s="14" t="s">
        <v>862</v>
      </c>
      <c r="K92" s="14" t="s">
        <v>140</v>
      </c>
      <c r="L92" s="14" t="s">
        <v>814</v>
      </c>
      <c r="M92" s="14" t="s">
        <v>863</v>
      </c>
      <c r="N92" s="14">
        <v>339.51400000000001</v>
      </c>
      <c r="O92" s="14" t="s">
        <v>864</v>
      </c>
      <c r="P92" s="14" t="s">
        <v>865</v>
      </c>
      <c r="Q92" s="14" t="s">
        <v>211</v>
      </c>
      <c r="R92" s="14" t="s">
        <v>866</v>
      </c>
      <c r="S92" s="14" t="s">
        <v>195</v>
      </c>
      <c r="T92" s="14" t="s">
        <v>149</v>
      </c>
      <c r="U92" s="14" t="s">
        <v>113</v>
      </c>
      <c r="V92" s="48">
        <f>SUMIF(Data!$E:$E,$I92,Data!$AI:$AI)</f>
        <v>0</v>
      </c>
    </row>
    <row r="93" spans="1:22" x14ac:dyDescent="0.25">
      <c r="A93" s="47" t="s">
        <v>325</v>
      </c>
      <c r="B93" s="47" t="s">
        <v>123</v>
      </c>
      <c r="C93" s="47" t="s">
        <v>867</v>
      </c>
      <c r="D93" s="47">
        <v>1.6483000000000001</v>
      </c>
      <c r="E93" s="48">
        <f>SUMIF(Data!$E:$E,$C93,Data!$AI:$AI)</f>
        <v>0</v>
      </c>
      <c r="I93" s="14" t="s">
        <v>868</v>
      </c>
      <c r="J93" s="14" t="s">
        <v>869</v>
      </c>
      <c r="K93" s="14" t="s">
        <v>140</v>
      </c>
      <c r="L93" s="14" t="s">
        <v>814</v>
      </c>
      <c r="M93" s="14" t="s">
        <v>870</v>
      </c>
      <c r="N93" s="14">
        <v>411.18900000000002</v>
      </c>
      <c r="O93" s="14" t="s">
        <v>871</v>
      </c>
      <c r="P93" s="14" t="s">
        <v>872</v>
      </c>
      <c r="Q93" s="14" t="s">
        <v>419</v>
      </c>
      <c r="R93" s="14" t="s">
        <v>873</v>
      </c>
      <c r="S93" s="14" t="s">
        <v>526</v>
      </c>
      <c r="T93" s="14" t="s">
        <v>527</v>
      </c>
      <c r="U93" s="14" t="s">
        <v>528</v>
      </c>
      <c r="V93" s="48">
        <f>SUMIF(Data!$E:$E,$I93,Data!$AI:$AI)</f>
        <v>0</v>
      </c>
    </row>
    <row r="94" spans="1:22" x14ac:dyDescent="0.25">
      <c r="A94" s="47" t="s">
        <v>325</v>
      </c>
      <c r="B94" s="47" t="s">
        <v>123</v>
      </c>
      <c r="C94" s="47" t="s">
        <v>874</v>
      </c>
      <c r="D94" s="47">
        <v>0.18390000000000001</v>
      </c>
      <c r="E94" s="48">
        <f>SUMIF(Data!$E:$E,$C94,Data!$AI:$AI)</f>
        <v>0</v>
      </c>
      <c r="I94" s="14" t="s">
        <v>875</v>
      </c>
      <c r="J94" s="14" t="s">
        <v>876</v>
      </c>
      <c r="K94" s="14" t="s">
        <v>140</v>
      </c>
      <c r="L94" s="14" t="s">
        <v>877</v>
      </c>
      <c r="M94" s="14" t="s">
        <v>878</v>
      </c>
      <c r="N94" s="14">
        <v>424.75099999999998</v>
      </c>
      <c r="O94" s="14" t="s">
        <v>879</v>
      </c>
      <c r="P94" s="14" t="s">
        <v>880</v>
      </c>
      <c r="Q94" s="14" t="s">
        <v>165</v>
      </c>
      <c r="R94" s="14" t="s">
        <v>881</v>
      </c>
      <c r="S94" s="14" t="s">
        <v>195</v>
      </c>
      <c r="T94" s="14" t="s">
        <v>149</v>
      </c>
      <c r="U94" s="14" t="s">
        <v>113</v>
      </c>
      <c r="V94" s="48">
        <f>SUMIF(Data!$E:$E,$I94,Data!$AI:$AI)</f>
        <v>0</v>
      </c>
    </row>
    <row r="95" spans="1:22" x14ac:dyDescent="0.25">
      <c r="A95" s="47" t="s">
        <v>325</v>
      </c>
      <c r="B95" s="47" t="s">
        <v>123</v>
      </c>
      <c r="C95" s="47" t="s">
        <v>882</v>
      </c>
      <c r="D95" s="47">
        <v>7.4993999999999996</v>
      </c>
      <c r="E95" s="48">
        <f>SUMIF(Data!$E:$E,$C95,Data!$AI:$AI)</f>
        <v>0</v>
      </c>
      <c r="I95" s="14">
        <v>6758</v>
      </c>
      <c r="J95" s="14" t="s">
        <v>883</v>
      </c>
      <c r="K95" s="14" t="s">
        <v>140</v>
      </c>
      <c r="L95" s="14" t="s">
        <v>877</v>
      </c>
      <c r="M95" s="14" t="s">
        <v>884</v>
      </c>
      <c r="N95" s="14">
        <v>706.39800000000002</v>
      </c>
      <c r="O95" s="14" t="s">
        <v>885</v>
      </c>
      <c r="P95" s="14" t="s">
        <v>886</v>
      </c>
      <c r="Q95" s="14" t="s">
        <v>165</v>
      </c>
      <c r="R95" s="14" t="s">
        <v>887</v>
      </c>
      <c r="S95" s="14" t="s">
        <v>444</v>
      </c>
      <c r="T95" s="14" t="s">
        <v>445</v>
      </c>
      <c r="U95" s="14" t="s">
        <v>446</v>
      </c>
      <c r="V95" s="48">
        <f>SUMIF(Data!$E:$E,$I95,Data!$AI:$AI)</f>
        <v>0</v>
      </c>
    </row>
    <row r="96" spans="1:22" x14ac:dyDescent="0.25">
      <c r="A96" s="47" t="s">
        <v>325</v>
      </c>
      <c r="B96" s="47" t="s">
        <v>123</v>
      </c>
      <c r="C96" s="47" t="s">
        <v>888</v>
      </c>
      <c r="D96" s="47">
        <v>0.72789999999999999</v>
      </c>
      <c r="E96" s="48">
        <f>SUMIF(Data!$E:$E,$C96,Data!$AI:$AI)</f>
        <v>0</v>
      </c>
      <c r="I96" s="14" t="s">
        <v>889</v>
      </c>
      <c r="J96" s="14" t="s">
        <v>890</v>
      </c>
      <c r="K96" s="14" t="s">
        <v>140</v>
      </c>
      <c r="L96" s="14" t="s">
        <v>877</v>
      </c>
      <c r="M96" s="14" t="s">
        <v>891</v>
      </c>
      <c r="N96" s="14">
        <v>700.34500000000003</v>
      </c>
      <c r="O96" s="14" t="s">
        <v>892</v>
      </c>
      <c r="P96" s="14" t="s">
        <v>893</v>
      </c>
      <c r="Q96" s="14" t="s">
        <v>211</v>
      </c>
      <c r="R96" s="14" t="s">
        <v>894</v>
      </c>
      <c r="S96" s="14" t="s">
        <v>195</v>
      </c>
      <c r="T96" s="14" t="s">
        <v>149</v>
      </c>
      <c r="U96" s="14" t="s">
        <v>113</v>
      </c>
      <c r="V96" s="48">
        <f>SUMIF(Data!$E:$E,$I96,Data!$AI:$AI)</f>
        <v>0</v>
      </c>
    </row>
    <row r="97" spans="1:22" x14ac:dyDescent="0.25">
      <c r="A97" s="47" t="s">
        <v>325</v>
      </c>
      <c r="B97" s="47" t="s">
        <v>123</v>
      </c>
      <c r="C97" s="47" t="s">
        <v>895</v>
      </c>
      <c r="D97" s="47">
        <v>0.22559999999999999</v>
      </c>
      <c r="E97" s="48">
        <f>SUMIF(Data!$E:$E,$C97,Data!$AI:$AI)</f>
        <v>0</v>
      </c>
      <c r="I97" s="14" t="s">
        <v>896</v>
      </c>
      <c r="J97" s="14" t="s">
        <v>897</v>
      </c>
      <c r="K97" s="14" t="s">
        <v>140</v>
      </c>
      <c r="L97" s="14" t="s">
        <v>898</v>
      </c>
      <c r="M97" s="14" t="s">
        <v>899</v>
      </c>
      <c r="N97" s="14">
        <v>991.11699999999996</v>
      </c>
      <c r="O97" s="14" t="s">
        <v>900</v>
      </c>
      <c r="P97" s="14" t="s">
        <v>901</v>
      </c>
      <c r="Q97" s="14" t="s">
        <v>227</v>
      </c>
      <c r="R97" s="14" t="s">
        <v>902</v>
      </c>
      <c r="S97" s="14" t="s">
        <v>195</v>
      </c>
      <c r="T97" s="14" t="s">
        <v>149</v>
      </c>
      <c r="U97" s="14" t="s">
        <v>113</v>
      </c>
      <c r="V97" s="48">
        <f>SUMIF(Data!$E:$E,$I97,Data!$AI:$AI)</f>
        <v>0</v>
      </c>
    </row>
    <row r="98" spans="1:22" x14ac:dyDescent="0.25">
      <c r="A98" s="47" t="s">
        <v>325</v>
      </c>
      <c r="B98" s="47" t="s">
        <v>123</v>
      </c>
      <c r="C98" s="47" t="s">
        <v>903</v>
      </c>
      <c r="D98" s="47">
        <v>0.52139999999999997</v>
      </c>
      <c r="E98" s="48">
        <f>SUMIF(Data!$E:$E,$C98,Data!$AI:$AI)</f>
        <v>0</v>
      </c>
      <c r="I98" s="14" t="s">
        <v>904</v>
      </c>
      <c r="J98" s="14" t="s">
        <v>905</v>
      </c>
      <c r="K98" s="14" t="s">
        <v>140</v>
      </c>
      <c r="L98" s="14" t="s">
        <v>898</v>
      </c>
      <c r="M98" s="14" t="s">
        <v>906</v>
      </c>
      <c r="N98" s="14">
        <v>390.11200000000002</v>
      </c>
      <c r="O98" s="14" t="s">
        <v>907</v>
      </c>
      <c r="P98" s="14" t="s">
        <v>908</v>
      </c>
      <c r="Q98" s="14" t="s">
        <v>193</v>
      </c>
      <c r="R98" s="14" t="s">
        <v>909</v>
      </c>
      <c r="S98" s="14" t="s">
        <v>195</v>
      </c>
      <c r="T98" s="14" t="s">
        <v>149</v>
      </c>
      <c r="U98" s="14" t="s">
        <v>113</v>
      </c>
      <c r="V98" s="48">
        <f>SUMIF(Data!$E:$E,$I98,Data!$AI:$AI)</f>
        <v>0</v>
      </c>
    </row>
    <row r="99" spans="1:22" x14ac:dyDescent="0.25">
      <c r="A99" s="47" t="s">
        <v>325</v>
      </c>
      <c r="B99" s="47" t="s">
        <v>123</v>
      </c>
      <c r="C99" s="47" t="s">
        <v>910</v>
      </c>
      <c r="D99" s="47">
        <v>0.24940000000000001</v>
      </c>
      <c r="E99" s="48">
        <f>SUMIF(Data!$E:$E,$C99,Data!$AI:$AI)</f>
        <v>0</v>
      </c>
      <c r="I99" s="14" t="s">
        <v>911</v>
      </c>
      <c r="J99" s="14" t="s">
        <v>912</v>
      </c>
      <c r="K99" s="14" t="s">
        <v>140</v>
      </c>
      <c r="L99" s="14" t="s">
        <v>898</v>
      </c>
      <c r="M99" s="14" t="s">
        <v>913</v>
      </c>
      <c r="N99" s="14">
        <v>23.094999999999999</v>
      </c>
      <c r="O99" s="14" t="s">
        <v>914</v>
      </c>
      <c r="P99" s="14" t="s">
        <v>915</v>
      </c>
      <c r="Q99" s="14" t="s">
        <v>165</v>
      </c>
      <c r="R99" s="14" t="s">
        <v>916</v>
      </c>
      <c r="S99" s="14" t="s">
        <v>148</v>
      </c>
      <c r="T99" s="14" t="s">
        <v>149</v>
      </c>
      <c r="U99" s="14" t="s">
        <v>113</v>
      </c>
      <c r="V99" s="48">
        <f>SUMIF(Data!$E:$E,$I99,Data!$AI:$AI)</f>
        <v>0</v>
      </c>
    </row>
    <row r="100" spans="1:22" x14ac:dyDescent="0.25">
      <c r="A100" s="47" t="s">
        <v>325</v>
      </c>
      <c r="B100" s="47" t="s">
        <v>123</v>
      </c>
      <c r="C100" s="47" t="s">
        <v>917</v>
      </c>
      <c r="D100" s="47">
        <v>1.1346000000000001</v>
      </c>
      <c r="E100" s="48">
        <f>SUMIF(Data!$E:$E,$C100,Data!$AI:$AI)</f>
        <v>0</v>
      </c>
      <c r="I100" s="14" t="s">
        <v>918</v>
      </c>
      <c r="J100" s="14" t="s">
        <v>919</v>
      </c>
      <c r="K100" s="14" t="s">
        <v>140</v>
      </c>
      <c r="L100" s="14" t="s">
        <v>920</v>
      </c>
      <c r="M100" s="14" t="s">
        <v>921</v>
      </c>
      <c r="N100" s="14">
        <v>314.20100000000002</v>
      </c>
      <c r="O100" s="14" t="s">
        <v>922</v>
      </c>
      <c r="P100" s="14" t="s">
        <v>923</v>
      </c>
      <c r="Q100" s="14" t="s">
        <v>419</v>
      </c>
      <c r="R100" s="14" t="s">
        <v>924</v>
      </c>
      <c r="S100" s="14" t="s">
        <v>563</v>
      </c>
      <c r="T100" s="14" t="s">
        <v>564</v>
      </c>
      <c r="U100" s="14" t="s">
        <v>528</v>
      </c>
      <c r="V100" s="48">
        <f>SUMIF(Data!$E:$E,$I100,Data!$AI:$AI)</f>
        <v>0</v>
      </c>
    </row>
    <row r="101" spans="1:22" x14ac:dyDescent="0.25">
      <c r="A101" s="47" t="s">
        <v>325</v>
      </c>
      <c r="B101" s="47" t="s">
        <v>123</v>
      </c>
      <c r="C101" s="47" t="s">
        <v>925</v>
      </c>
      <c r="D101" s="47">
        <v>1.8365</v>
      </c>
      <c r="E101" s="48">
        <f>SUMIF(Data!$E:$E,$C101,Data!$AI:$AI)</f>
        <v>0</v>
      </c>
      <c r="I101" s="14" t="s">
        <v>926</v>
      </c>
      <c r="J101" s="14" t="s">
        <v>927</v>
      </c>
      <c r="K101" s="14" t="s">
        <v>140</v>
      </c>
      <c r="L101" s="14" t="s">
        <v>920</v>
      </c>
      <c r="M101" s="14" t="s">
        <v>928</v>
      </c>
      <c r="N101" s="14">
        <v>816.73400000000004</v>
      </c>
      <c r="O101" s="14" t="s">
        <v>929</v>
      </c>
      <c r="P101" s="14" t="s">
        <v>930</v>
      </c>
      <c r="Q101" s="14" t="s">
        <v>193</v>
      </c>
      <c r="R101" s="14" t="s">
        <v>931</v>
      </c>
      <c r="S101" s="14" t="s">
        <v>195</v>
      </c>
      <c r="T101" s="14" t="s">
        <v>149</v>
      </c>
      <c r="U101" s="14" t="s">
        <v>113</v>
      </c>
      <c r="V101" s="48">
        <f>SUMIF(Data!$E:$E,$I101,Data!$AI:$AI)</f>
        <v>0</v>
      </c>
    </row>
    <row r="102" spans="1:22" x14ac:dyDescent="0.25">
      <c r="A102" s="47" t="s">
        <v>325</v>
      </c>
      <c r="B102" s="47" t="s">
        <v>123</v>
      </c>
      <c r="C102" s="47" t="s">
        <v>932</v>
      </c>
      <c r="D102" s="47">
        <v>3.5</v>
      </c>
      <c r="E102" s="48">
        <f>SUMIF(Data!$E:$E,$C102,Data!$AI:$AI)</f>
        <v>0</v>
      </c>
      <c r="I102" s="14" t="s">
        <v>933</v>
      </c>
      <c r="J102" s="14" t="s">
        <v>934</v>
      </c>
      <c r="K102" s="14" t="s">
        <v>140</v>
      </c>
      <c r="L102" s="14" t="s">
        <v>920</v>
      </c>
      <c r="M102" s="14" t="s">
        <v>935</v>
      </c>
      <c r="N102" s="14">
        <v>323.98399999999998</v>
      </c>
      <c r="O102" s="14" t="s">
        <v>936</v>
      </c>
      <c r="P102" s="14" t="s">
        <v>937</v>
      </c>
      <c r="Q102" s="14" t="s">
        <v>146</v>
      </c>
      <c r="R102" s="14" t="s">
        <v>938</v>
      </c>
      <c r="S102" s="14" t="s">
        <v>195</v>
      </c>
      <c r="T102" s="14" t="s">
        <v>149</v>
      </c>
      <c r="U102" s="14" t="s">
        <v>113</v>
      </c>
      <c r="V102" s="48">
        <f>SUMIF(Data!$E:$E,$I102,Data!$AI:$AI)</f>
        <v>0</v>
      </c>
    </row>
    <row r="103" spans="1:22" x14ac:dyDescent="0.25">
      <c r="A103" s="47" t="s">
        <v>325</v>
      </c>
      <c r="B103" s="47" t="s">
        <v>123</v>
      </c>
      <c r="C103" s="47" t="s">
        <v>939</v>
      </c>
      <c r="D103" s="47">
        <v>0.22289999999999999</v>
      </c>
      <c r="E103" s="48">
        <f>SUMIF(Data!$E:$E,$C103,Data!$AI:$AI)</f>
        <v>0</v>
      </c>
      <c r="I103" s="14" t="s">
        <v>940</v>
      </c>
      <c r="J103" s="14" t="s">
        <v>941</v>
      </c>
      <c r="K103" s="14" t="s">
        <v>140</v>
      </c>
      <c r="L103" s="14" t="s">
        <v>942</v>
      </c>
      <c r="M103" s="14" t="s">
        <v>943</v>
      </c>
      <c r="N103" s="14">
        <v>686.11800000000005</v>
      </c>
      <c r="O103" s="14" t="s">
        <v>944</v>
      </c>
      <c r="P103" s="14" t="s">
        <v>945</v>
      </c>
      <c r="Q103" s="14" t="s">
        <v>211</v>
      </c>
      <c r="R103" s="14" t="s">
        <v>946</v>
      </c>
      <c r="S103" s="14" t="s">
        <v>148</v>
      </c>
      <c r="T103" s="14" t="s">
        <v>149</v>
      </c>
      <c r="U103" s="14" t="s">
        <v>113</v>
      </c>
      <c r="V103" s="48">
        <f>SUMIF(Data!$E:$E,$I103,Data!$AI:$AI)</f>
        <v>0</v>
      </c>
    </row>
    <row r="104" spans="1:22" x14ac:dyDescent="0.25">
      <c r="A104" s="47" t="s">
        <v>325</v>
      </c>
      <c r="B104" s="47" t="s">
        <v>123</v>
      </c>
      <c r="C104" s="47" t="s">
        <v>947</v>
      </c>
      <c r="D104" s="47">
        <v>0.57999999999999996</v>
      </c>
      <c r="E104" s="48">
        <f>SUMIF(Data!$E:$E,$C104,Data!$AI:$AI)</f>
        <v>0</v>
      </c>
      <c r="I104" s="14" t="s">
        <v>948</v>
      </c>
      <c r="J104" s="14" t="s">
        <v>949</v>
      </c>
      <c r="K104" s="14" t="s">
        <v>140</v>
      </c>
      <c r="L104" s="14" t="s">
        <v>942</v>
      </c>
      <c r="M104" s="14" t="s">
        <v>950</v>
      </c>
      <c r="N104" s="14">
        <v>304.47500000000002</v>
      </c>
      <c r="O104" s="14" t="s">
        <v>951</v>
      </c>
      <c r="P104" s="14" t="s">
        <v>952</v>
      </c>
      <c r="Q104" s="14" t="s">
        <v>419</v>
      </c>
      <c r="R104" s="14" t="s">
        <v>953</v>
      </c>
      <c r="S104" s="14" t="s">
        <v>195</v>
      </c>
      <c r="T104" s="14" t="s">
        <v>149</v>
      </c>
      <c r="U104" s="14" t="s">
        <v>113</v>
      </c>
      <c r="V104" s="48">
        <f>SUMIF(Data!$E:$E,$I104,Data!$AI:$AI)</f>
        <v>0</v>
      </c>
    </row>
    <row r="105" spans="1:22" x14ac:dyDescent="0.25">
      <c r="A105" s="47" t="s">
        <v>325</v>
      </c>
      <c r="B105" s="47" t="s">
        <v>123</v>
      </c>
      <c r="C105" s="47" t="s">
        <v>954</v>
      </c>
      <c r="D105" s="47">
        <v>0.7601</v>
      </c>
      <c r="E105" s="48">
        <f>SUMIF(Data!$E:$E,$C105,Data!$AI:$AI)</f>
        <v>0</v>
      </c>
      <c r="I105" s="14" t="s">
        <v>955</v>
      </c>
      <c r="J105" s="14" t="s">
        <v>956</v>
      </c>
      <c r="K105" s="14" t="s">
        <v>140</v>
      </c>
      <c r="L105" s="14" t="s">
        <v>942</v>
      </c>
      <c r="M105" s="14" t="s">
        <v>957</v>
      </c>
      <c r="N105" s="14">
        <v>86.563999999999993</v>
      </c>
      <c r="O105" s="14" t="s">
        <v>958</v>
      </c>
      <c r="P105" s="14" t="s">
        <v>959</v>
      </c>
      <c r="Q105" s="14" t="s">
        <v>175</v>
      </c>
      <c r="R105" s="14" t="s">
        <v>960</v>
      </c>
      <c r="S105" s="14" t="s">
        <v>148</v>
      </c>
      <c r="T105" s="14" t="s">
        <v>149</v>
      </c>
      <c r="U105" s="14" t="s">
        <v>113</v>
      </c>
      <c r="V105" s="48">
        <f>SUMIF(Data!$E:$E,$I105,Data!$AI:$AI)</f>
        <v>0</v>
      </c>
    </row>
    <row r="106" spans="1:22" x14ac:dyDescent="0.25">
      <c r="A106" s="47" t="s">
        <v>325</v>
      </c>
      <c r="B106" s="47" t="s">
        <v>123</v>
      </c>
      <c r="C106" s="47" t="s">
        <v>961</v>
      </c>
      <c r="D106" s="47">
        <v>0.50290000000000001</v>
      </c>
      <c r="E106" s="48">
        <f>SUMIF(Data!$E:$E,$C106,Data!$AI:$AI)</f>
        <v>0</v>
      </c>
      <c r="I106" s="14" t="s">
        <v>962</v>
      </c>
      <c r="J106" s="14" t="s">
        <v>963</v>
      </c>
      <c r="K106" s="14" t="s">
        <v>140</v>
      </c>
      <c r="L106" s="14" t="s">
        <v>942</v>
      </c>
      <c r="M106" s="14" t="s">
        <v>964</v>
      </c>
      <c r="N106" s="14">
        <v>371.1</v>
      </c>
      <c r="O106" s="14" t="s">
        <v>965</v>
      </c>
      <c r="P106" s="14" t="s">
        <v>966</v>
      </c>
      <c r="Q106" s="14" t="s">
        <v>419</v>
      </c>
      <c r="R106" s="14" t="s">
        <v>967</v>
      </c>
      <c r="S106" s="14" t="s">
        <v>195</v>
      </c>
      <c r="T106" s="14" t="s">
        <v>149</v>
      </c>
      <c r="U106" s="14" t="s">
        <v>113</v>
      </c>
      <c r="V106" s="48">
        <f>SUMIF(Data!$E:$E,$I106,Data!$AI:$AI)</f>
        <v>0</v>
      </c>
    </row>
    <row r="107" spans="1:22" x14ac:dyDescent="0.25">
      <c r="A107" s="47" t="s">
        <v>325</v>
      </c>
      <c r="B107" s="47" t="s">
        <v>123</v>
      </c>
      <c r="C107" s="47" t="s">
        <v>968</v>
      </c>
      <c r="D107" s="47">
        <v>1.5849</v>
      </c>
      <c r="E107" s="48">
        <f>SUMIF(Data!$E:$E,$C107,Data!$AI:$AI)</f>
        <v>0</v>
      </c>
      <c r="I107" s="14" t="s">
        <v>969</v>
      </c>
      <c r="J107" s="14" t="s">
        <v>970</v>
      </c>
      <c r="K107" s="14" t="s">
        <v>140</v>
      </c>
      <c r="L107" s="14" t="s">
        <v>942</v>
      </c>
      <c r="M107" s="14" t="s">
        <v>971</v>
      </c>
      <c r="N107" s="14" t="s">
        <v>972</v>
      </c>
      <c r="O107" s="14" t="s">
        <v>973</v>
      </c>
      <c r="P107" s="14" t="s">
        <v>974</v>
      </c>
      <c r="Q107" s="14" t="s">
        <v>263</v>
      </c>
      <c r="R107" s="14" t="s">
        <v>975</v>
      </c>
      <c r="S107" s="14" t="s">
        <v>728</v>
      </c>
      <c r="T107" s="14" t="s">
        <v>729</v>
      </c>
      <c r="U107" s="14" t="s">
        <v>730</v>
      </c>
      <c r="V107" s="48">
        <f>SUMIF(Data!$E:$E,$I107,Data!$AI:$AI)</f>
        <v>0</v>
      </c>
    </row>
    <row r="108" spans="1:22" x14ac:dyDescent="0.25">
      <c r="A108" s="47" t="s">
        <v>325</v>
      </c>
      <c r="B108" s="47" t="s">
        <v>123</v>
      </c>
      <c r="C108" s="47" t="s">
        <v>976</v>
      </c>
      <c r="D108" s="47">
        <v>0.36480000000000001</v>
      </c>
      <c r="E108" s="48">
        <f>SUMIF(Data!$E:$E,$C108,Data!$AI:$AI)</f>
        <v>0</v>
      </c>
      <c r="I108" s="14" t="s">
        <v>977</v>
      </c>
      <c r="J108" s="14" t="s">
        <v>978</v>
      </c>
      <c r="K108" s="14" t="s">
        <v>140</v>
      </c>
      <c r="L108" s="14" t="s">
        <v>942</v>
      </c>
      <c r="M108" s="14" t="s">
        <v>979</v>
      </c>
      <c r="N108" s="14">
        <v>766.99800000000005</v>
      </c>
      <c r="O108" s="14" t="s">
        <v>980</v>
      </c>
      <c r="P108" s="14" t="s">
        <v>981</v>
      </c>
      <c r="Q108" s="14" t="s">
        <v>227</v>
      </c>
      <c r="R108" s="14" t="s">
        <v>982</v>
      </c>
      <c r="S108" s="14" t="s">
        <v>645</v>
      </c>
      <c r="T108" s="14" t="s">
        <v>646</v>
      </c>
      <c r="U108" s="14" t="s">
        <v>528</v>
      </c>
      <c r="V108" s="48">
        <f>SUMIF(Data!$E:$E,$I108,Data!$AI:$AI)</f>
        <v>0</v>
      </c>
    </row>
    <row r="109" spans="1:22" x14ac:dyDescent="0.25">
      <c r="A109" s="47" t="s">
        <v>325</v>
      </c>
      <c r="B109" s="47" t="s">
        <v>123</v>
      </c>
      <c r="C109" s="47" t="s">
        <v>983</v>
      </c>
      <c r="D109" s="47">
        <v>0.66579999999999995</v>
      </c>
      <c r="E109" s="48">
        <f>SUMIF(Data!$E:$E,$C109,Data!$AI:$AI)</f>
        <v>0</v>
      </c>
      <c r="I109" s="14" t="s">
        <v>984</v>
      </c>
      <c r="J109" s="14" t="s">
        <v>985</v>
      </c>
      <c r="K109" s="14" t="s">
        <v>140</v>
      </c>
      <c r="L109" s="14" t="s">
        <v>942</v>
      </c>
      <c r="M109" s="14" t="s">
        <v>986</v>
      </c>
      <c r="N109" s="14" t="s">
        <v>987</v>
      </c>
      <c r="O109" s="14" t="s">
        <v>988</v>
      </c>
      <c r="P109" s="14" t="s">
        <v>989</v>
      </c>
      <c r="Q109" s="14" t="s">
        <v>737</v>
      </c>
      <c r="R109" s="14" t="s">
        <v>990</v>
      </c>
      <c r="S109" s="14" t="s">
        <v>850</v>
      </c>
      <c r="T109" s="14" t="s">
        <v>851</v>
      </c>
      <c r="U109" s="14" t="s">
        <v>852</v>
      </c>
      <c r="V109" s="48">
        <f>SUMIF(Data!$E:$E,$I109,Data!$AI:$AI)</f>
        <v>0</v>
      </c>
    </row>
    <row r="110" spans="1:22" x14ac:dyDescent="0.25">
      <c r="A110" s="47" t="s">
        <v>325</v>
      </c>
      <c r="B110" s="47" t="s">
        <v>123</v>
      </c>
      <c r="C110" s="47" t="s">
        <v>991</v>
      </c>
      <c r="D110" s="47">
        <v>2.9317000000000002</v>
      </c>
      <c r="E110" s="48">
        <f>SUMIF(Data!$E:$E,$C110,Data!$AI:$AI)</f>
        <v>0</v>
      </c>
      <c r="I110" s="14" t="s">
        <v>992</v>
      </c>
      <c r="J110" s="14" t="s">
        <v>993</v>
      </c>
      <c r="K110" s="14" t="s">
        <v>140</v>
      </c>
      <c r="L110" s="14" t="s">
        <v>994</v>
      </c>
      <c r="M110" s="14" t="s">
        <v>995</v>
      </c>
      <c r="N110" s="14">
        <v>199.79499999999999</v>
      </c>
      <c r="O110" s="14" t="s">
        <v>996</v>
      </c>
      <c r="P110" s="14" t="s">
        <v>997</v>
      </c>
      <c r="Q110" s="14" t="s">
        <v>211</v>
      </c>
      <c r="R110" s="14" t="s">
        <v>998</v>
      </c>
      <c r="S110" s="14" t="s">
        <v>195</v>
      </c>
      <c r="T110" s="14" t="s">
        <v>149</v>
      </c>
      <c r="U110" s="14" t="s">
        <v>113</v>
      </c>
      <c r="V110" s="48">
        <f>SUMIF(Data!$E:$E,$I110,Data!$AI:$AI)</f>
        <v>0</v>
      </c>
    </row>
    <row r="111" spans="1:22" x14ac:dyDescent="0.25">
      <c r="A111" s="47" t="s">
        <v>325</v>
      </c>
      <c r="B111" s="47" t="s">
        <v>123</v>
      </c>
      <c r="C111" s="47" t="s">
        <v>999</v>
      </c>
      <c r="D111" s="47">
        <v>3.0099999999999998E-2</v>
      </c>
      <c r="E111" s="48">
        <f>SUMIF(Data!$E:$E,$C111,Data!$AI:$AI)</f>
        <v>0</v>
      </c>
      <c r="I111" s="14" t="s">
        <v>1000</v>
      </c>
      <c r="J111" s="14" t="s">
        <v>1001</v>
      </c>
      <c r="K111" s="14" t="s">
        <v>140</v>
      </c>
      <c r="L111" s="14" t="s">
        <v>994</v>
      </c>
      <c r="M111" s="14" t="s">
        <v>1002</v>
      </c>
      <c r="N111" s="14">
        <v>773.01199999999994</v>
      </c>
      <c r="O111" s="14" t="s">
        <v>1003</v>
      </c>
      <c r="P111" s="14" t="s">
        <v>1004</v>
      </c>
      <c r="Q111" s="14" t="s">
        <v>227</v>
      </c>
      <c r="R111" s="14" t="s">
        <v>1005</v>
      </c>
      <c r="S111" s="14" t="s">
        <v>148</v>
      </c>
      <c r="T111" s="14" t="s">
        <v>149</v>
      </c>
      <c r="U111" s="14" t="s">
        <v>113</v>
      </c>
      <c r="V111" s="48">
        <f>SUMIF(Data!$E:$E,$I111,Data!$AI:$AI)</f>
        <v>0</v>
      </c>
    </row>
    <row r="112" spans="1:22" x14ac:dyDescent="0.25">
      <c r="A112" s="47" t="s">
        <v>325</v>
      </c>
      <c r="B112" s="47" t="s">
        <v>123</v>
      </c>
      <c r="C112" s="47" t="s">
        <v>1006</v>
      </c>
      <c r="D112" s="47">
        <v>4.5594999999999999</v>
      </c>
      <c r="E112" s="48">
        <f>SUMIF(Data!$E:$E,$C112,Data!$AI:$AI)</f>
        <v>0</v>
      </c>
      <c r="I112" s="14" t="s">
        <v>1007</v>
      </c>
      <c r="J112" s="14" t="s">
        <v>1008</v>
      </c>
      <c r="K112" s="14" t="s">
        <v>140</v>
      </c>
      <c r="L112" s="14" t="s">
        <v>994</v>
      </c>
      <c r="M112" s="14" t="s">
        <v>1009</v>
      </c>
      <c r="N112" s="14">
        <v>135.29599999999999</v>
      </c>
      <c r="O112" s="14" t="s">
        <v>1010</v>
      </c>
      <c r="P112" s="14" t="s">
        <v>1011</v>
      </c>
      <c r="Q112" s="14" t="s">
        <v>211</v>
      </c>
      <c r="R112" s="14" t="s">
        <v>1012</v>
      </c>
      <c r="S112" s="14" t="s">
        <v>195</v>
      </c>
      <c r="T112" s="14" t="s">
        <v>149</v>
      </c>
      <c r="U112" s="14" t="s">
        <v>113</v>
      </c>
      <c r="V112" s="48">
        <f>SUMIF(Data!$E:$E,$I112,Data!$AI:$AI)</f>
        <v>0</v>
      </c>
    </row>
    <row r="113" spans="1:22" x14ac:dyDescent="0.25">
      <c r="A113" s="47" t="s">
        <v>325</v>
      </c>
      <c r="B113" s="47" t="s">
        <v>123</v>
      </c>
      <c r="C113" s="47" t="s">
        <v>1013</v>
      </c>
      <c r="D113" s="47">
        <v>0.70699999999999996</v>
      </c>
      <c r="E113" s="48">
        <f>SUMIF(Data!$E:$E,$C113,Data!$AI:$AI)</f>
        <v>0</v>
      </c>
      <c r="I113" s="14" t="s">
        <v>1014</v>
      </c>
      <c r="J113" s="14" t="s">
        <v>1015</v>
      </c>
      <c r="K113" s="14" t="s">
        <v>140</v>
      </c>
      <c r="L113" s="14" t="s">
        <v>994</v>
      </c>
      <c r="M113" s="14" t="s">
        <v>1016</v>
      </c>
      <c r="N113" s="14">
        <v>736.86</v>
      </c>
      <c r="O113" s="14" t="s">
        <v>1017</v>
      </c>
      <c r="P113" s="14" t="s">
        <v>1018</v>
      </c>
      <c r="Q113" s="14" t="s">
        <v>193</v>
      </c>
      <c r="R113" s="14" t="s">
        <v>1019</v>
      </c>
      <c r="S113" s="14" t="s">
        <v>195</v>
      </c>
      <c r="T113" s="14" t="s">
        <v>149</v>
      </c>
      <c r="U113" s="14" t="s">
        <v>113</v>
      </c>
      <c r="V113" s="48">
        <f>SUMIF(Data!$E:$E,$I113,Data!$AI:$AI)</f>
        <v>0</v>
      </c>
    </row>
    <row r="114" spans="1:22" x14ac:dyDescent="0.25">
      <c r="A114" s="47" t="s">
        <v>325</v>
      </c>
      <c r="B114" s="47" t="s">
        <v>123</v>
      </c>
      <c r="C114" s="47" t="s">
        <v>1020</v>
      </c>
      <c r="D114" s="47">
        <v>0.77359999999999995</v>
      </c>
      <c r="E114" s="48">
        <f>SUMIF(Data!$E:$E,$C114,Data!$AI:$AI)</f>
        <v>0</v>
      </c>
      <c r="I114" s="14" t="s">
        <v>1021</v>
      </c>
      <c r="J114" s="14" t="s">
        <v>1022</v>
      </c>
      <c r="K114" s="14" t="s">
        <v>140</v>
      </c>
      <c r="L114" s="14" t="s">
        <v>994</v>
      </c>
      <c r="M114" s="14" t="s">
        <v>1023</v>
      </c>
      <c r="N114" s="14">
        <v>491.09199999999998</v>
      </c>
      <c r="O114" s="14" t="s">
        <v>1024</v>
      </c>
      <c r="P114" s="14" t="s">
        <v>1025</v>
      </c>
      <c r="Q114" s="14" t="s">
        <v>211</v>
      </c>
      <c r="R114" s="14" t="s">
        <v>1026</v>
      </c>
      <c r="S114" s="14" t="s">
        <v>526</v>
      </c>
      <c r="T114" s="14" t="s">
        <v>527</v>
      </c>
      <c r="U114" s="14" t="s">
        <v>528</v>
      </c>
      <c r="V114" s="48">
        <f>SUMIF(Data!$E:$E,$I114,Data!$AI:$AI)</f>
        <v>0</v>
      </c>
    </row>
    <row r="115" spans="1:22" x14ac:dyDescent="0.25">
      <c r="A115" s="47" t="s">
        <v>325</v>
      </c>
      <c r="B115" s="47" t="s">
        <v>123</v>
      </c>
      <c r="C115" s="47" t="s">
        <v>1027</v>
      </c>
      <c r="D115" s="47">
        <v>0.20069999999999999</v>
      </c>
      <c r="E115" s="48">
        <f>SUMIF(Data!$E:$E,$C115,Data!$AI:$AI)</f>
        <v>0</v>
      </c>
      <c r="I115" s="14" t="s">
        <v>1028</v>
      </c>
      <c r="J115" s="14" t="s">
        <v>1029</v>
      </c>
      <c r="K115" s="14" t="s">
        <v>140</v>
      </c>
      <c r="L115" s="14" t="s">
        <v>994</v>
      </c>
      <c r="M115" s="14" t="s">
        <v>1030</v>
      </c>
      <c r="N115" s="14">
        <v>169.36799999999999</v>
      </c>
      <c r="O115" s="14" t="s">
        <v>1031</v>
      </c>
      <c r="P115" s="14" t="s">
        <v>1032</v>
      </c>
      <c r="Q115" s="14" t="s">
        <v>193</v>
      </c>
      <c r="R115" s="14" t="s">
        <v>1033</v>
      </c>
      <c r="S115" s="14" t="s">
        <v>195</v>
      </c>
      <c r="T115" s="14" t="s">
        <v>149</v>
      </c>
      <c r="U115" s="14" t="s">
        <v>113</v>
      </c>
      <c r="V115" s="48">
        <f>SUMIF(Data!$E:$E,$I115,Data!$AI:$AI)</f>
        <v>0</v>
      </c>
    </row>
    <row r="116" spans="1:22" x14ac:dyDescent="0.25">
      <c r="A116" s="47" t="s">
        <v>325</v>
      </c>
      <c r="B116" s="47" t="s">
        <v>123</v>
      </c>
      <c r="C116" s="47" t="s">
        <v>1034</v>
      </c>
      <c r="D116" s="47">
        <v>2.2189999999999999</v>
      </c>
      <c r="E116" s="48">
        <f>SUMIF(Data!$E:$E,$C116,Data!$AI:$AI)</f>
        <v>0</v>
      </c>
      <c r="I116" s="14" t="s">
        <v>1035</v>
      </c>
      <c r="J116" s="14" t="s">
        <v>1036</v>
      </c>
      <c r="K116" s="14" t="s">
        <v>140</v>
      </c>
      <c r="L116" s="14" t="s">
        <v>994</v>
      </c>
      <c r="M116" s="14" t="s">
        <v>1037</v>
      </c>
      <c r="N116" s="14">
        <v>655.74400000000003</v>
      </c>
      <c r="O116" s="14" t="s">
        <v>1038</v>
      </c>
      <c r="P116" s="14" t="s">
        <v>1039</v>
      </c>
      <c r="Q116" s="14" t="s">
        <v>165</v>
      </c>
      <c r="R116" s="14" t="s">
        <v>1040</v>
      </c>
      <c r="S116" s="14" t="s">
        <v>195</v>
      </c>
      <c r="T116" s="14" t="s">
        <v>149</v>
      </c>
      <c r="U116" s="14" t="s">
        <v>113</v>
      </c>
      <c r="V116" s="48">
        <f>SUMIF(Data!$E:$E,$I116,Data!$AI:$AI)</f>
        <v>0</v>
      </c>
    </row>
    <row r="117" spans="1:22" x14ac:dyDescent="0.25">
      <c r="A117" s="47" t="s">
        <v>325</v>
      </c>
      <c r="B117" s="47" t="s">
        <v>123</v>
      </c>
      <c r="C117" s="47" t="s">
        <v>1041</v>
      </c>
      <c r="D117" s="47">
        <v>0.22120000000000001</v>
      </c>
      <c r="E117" s="48">
        <f>SUMIF(Data!$E:$E,$C117,Data!$AI:$AI)</f>
        <v>0</v>
      </c>
      <c r="I117" s="14" t="s">
        <v>1042</v>
      </c>
      <c r="J117" s="14" t="s">
        <v>1043</v>
      </c>
      <c r="K117" s="14" t="s">
        <v>140</v>
      </c>
      <c r="L117" s="14" t="s">
        <v>1044</v>
      </c>
      <c r="M117" s="14" t="s">
        <v>1045</v>
      </c>
      <c r="N117" s="14">
        <v>145.554</v>
      </c>
      <c r="O117" s="14" t="s">
        <v>1046</v>
      </c>
      <c r="P117" s="14" t="s">
        <v>1047</v>
      </c>
      <c r="Q117" s="14" t="s">
        <v>211</v>
      </c>
      <c r="R117" s="14" t="s">
        <v>1048</v>
      </c>
      <c r="S117" s="14" t="s">
        <v>195</v>
      </c>
      <c r="T117" s="14" t="s">
        <v>149</v>
      </c>
      <c r="U117" s="14" t="s">
        <v>113</v>
      </c>
      <c r="V117" s="48">
        <f>SUMIF(Data!$E:$E,$I117,Data!$AI:$AI)</f>
        <v>0</v>
      </c>
    </row>
    <row r="118" spans="1:22" x14ac:dyDescent="0.25">
      <c r="A118" s="47" t="s">
        <v>325</v>
      </c>
      <c r="B118" s="47" t="s">
        <v>123</v>
      </c>
      <c r="C118" s="47" t="s">
        <v>1049</v>
      </c>
      <c r="D118" s="47">
        <v>0.56059999999999999</v>
      </c>
      <c r="E118" s="48">
        <f>SUMIF(Data!$E:$E,$C118,Data!$AI:$AI)</f>
        <v>0</v>
      </c>
      <c r="I118" s="14" t="s">
        <v>1050</v>
      </c>
      <c r="J118" s="14" t="s">
        <v>1051</v>
      </c>
      <c r="K118" s="14" t="s">
        <v>140</v>
      </c>
      <c r="L118" s="14" t="s">
        <v>1044</v>
      </c>
      <c r="M118" s="14" t="s">
        <v>1052</v>
      </c>
      <c r="N118" s="14">
        <v>194.70599999999999</v>
      </c>
      <c r="O118" s="14" t="s">
        <v>1053</v>
      </c>
      <c r="P118" s="14" t="s">
        <v>1054</v>
      </c>
      <c r="Q118" s="14" t="s">
        <v>193</v>
      </c>
      <c r="R118" s="14" t="s">
        <v>1055</v>
      </c>
      <c r="S118" s="14" t="s">
        <v>148</v>
      </c>
      <c r="T118" s="14" t="s">
        <v>149</v>
      </c>
      <c r="U118" s="14" t="s">
        <v>113</v>
      </c>
      <c r="V118" s="48">
        <f>SUMIF(Data!$E:$E,$I118,Data!$AI:$AI)</f>
        <v>0</v>
      </c>
    </row>
    <row r="119" spans="1:22" x14ac:dyDescent="0.25">
      <c r="A119" s="47" t="s">
        <v>325</v>
      </c>
      <c r="B119" s="47" t="s">
        <v>123</v>
      </c>
      <c r="C119" s="47" t="s">
        <v>1056</v>
      </c>
      <c r="D119" s="47">
        <v>0.21390000000000001</v>
      </c>
      <c r="E119" s="48">
        <f>SUMIF(Data!$E:$E,$C119,Data!$AI:$AI)</f>
        <v>0</v>
      </c>
      <c r="I119" s="14">
        <v>9984</v>
      </c>
      <c r="J119" s="14" t="s">
        <v>1057</v>
      </c>
      <c r="K119" s="14" t="s">
        <v>140</v>
      </c>
      <c r="L119" s="14" t="s">
        <v>1044</v>
      </c>
      <c r="M119" s="14" t="s">
        <v>1058</v>
      </c>
      <c r="N119" s="14">
        <v>890.22199999999998</v>
      </c>
      <c r="O119" s="14" t="s">
        <v>1059</v>
      </c>
      <c r="P119" s="14" t="s">
        <v>1060</v>
      </c>
      <c r="Q119" s="14" t="s">
        <v>175</v>
      </c>
      <c r="R119" s="14" t="s">
        <v>1061</v>
      </c>
      <c r="S119" s="14" t="s">
        <v>444</v>
      </c>
      <c r="T119" s="14" t="s">
        <v>445</v>
      </c>
      <c r="U119" s="14" t="s">
        <v>446</v>
      </c>
      <c r="V119" s="48">
        <f>SUMIF(Data!$E:$E,$I119,Data!$AI:$AI)</f>
        <v>0</v>
      </c>
    </row>
    <row r="120" spans="1:22" x14ac:dyDescent="0.25">
      <c r="A120" s="47" t="s">
        <v>325</v>
      </c>
      <c r="B120" s="47" t="s">
        <v>123</v>
      </c>
      <c r="C120" s="47" t="s">
        <v>1062</v>
      </c>
      <c r="D120" s="47">
        <v>0.50019999999999998</v>
      </c>
      <c r="E120" s="48">
        <f>SUMIF(Data!$E:$E,$C120,Data!$AI:$AI)</f>
        <v>0</v>
      </c>
      <c r="I120" s="14" t="s">
        <v>1063</v>
      </c>
      <c r="J120" s="14" t="s">
        <v>1064</v>
      </c>
      <c r="K120" s="14" t="s">
        <v>140</v>
      </c>
      <c r="L120" s="14" t="s">
        <v>1044</v>
      </c>
      <c r="M120" s="14" t="s">
        <v>1065</v>
      </c>
      <c r="N120" s="14">
        <v>603.40300000000002</v>
      </c>
      <c r="O120" s="14" t="s">
        <v>1066</v>
      </c>
      <c r="P120" s="14" t="s">
        <v>1067</v>
      </c>
      <c r="Q120" s="14" t="s">
        <v>263</v>
      </c>
      <c r="R120" s="14" t="s">
        <v>1068</v>
      </c>
      <c r="S120" s="14" t="s">
        <v>195</v>
      </c>
      <c r="T120" s="14" t="s">
        <v>149</v>
      </c>
      <c r="U120" s="14" t="s">
        <v>113</v>
      </c>
      <c r="V120" s="48">
        <f>SUMIF(Data!$E:$E,$I120,Data!$AI:$AI)</f>
        <v>0</v>
      </c>
    </row>
    <row r="121" spans="1:22" x14ac:dyDescent="0.25">
      <c r="A121" s="47" t="s">
        <v>325</v>
      </c>
      <c r="B121" s="47" t="s">
        <v>123</v>
      </c>
      <c r="C121" s="47" t="s">
        <v>1069</v>
      </c>
      <c r="D121" s="47">
        <v>0.1414</v>
      </c>
      <c r="E121" s="48">
        <f>SUMIF(Data!$E:$E,$C121,Data!$AI:$AI)</f>
        <v>0</v>
      </c>
      <c r="I121" s="14" t="s">
        <v>1070</v>
      </c>
      <c r="J121" s="14" t="s">
        <v>1071</v>
      </c>
      <c r="K121" s="14" t="s">
        <v>140</v>
      </c>
      <c r="L121" s="14" t="s">
        <v>1044</v>
      </c>
      <c r="M121" s="14" t="s">
        <v>1072</v>
      </c>
      <c r="N121" s="14">
        <v>247.374</v>
      </c>
      <c r="O121" s="14" t="s">
        <v>1073</v>
      </c>
      <c r="P121" s="14" t="s">
        <v>1074</v>
      </c>
      <c r="Q121" s="14" t="s">
        <v>193</v>
      </c>
      <c r="R121" s="14" t="s">
        <v>1075</v>
      </c>
      <c r="S121" s="14" t="s">
        <v>195</v>
      </c>
      <c r="T121" s="14" t="s">
        <v>149</v>
      </c>
      <c r="U121" s="14" t="s">
        <v>113</v>
      </c>
      <c r="V121" s="48">
        <f>SUMIF(Data!$E:$E,$I121,Data!$AI:$AI)</f>
        <v>0</v>
      </c>
    </row>
    <row r="122" spans="1:22" x14ac:dyDescent="0.25">
      <c r="A122" s="47" t="s">
        <v>325</v>
      </c>
      <c r="B122" s="47" t="s">
        <v>123</v>
      </c>
      <c r="C122" s="47" t="s">
        <v>1076</v>
      </c>
      <c r="D122" s="47">
        <v>4.48E-2</v>
      </c>
      <c r="E122" s="48">
        <f>SUMIF(Data!$E:$E,$C122,Data!$AI:$AI)</f>
        <v>0</v>
      </c>
      <c r="I122" s="14" t="s">
        <v>1077</v>
      </c>
      <c r="J122" s="14" t="s">
        <v>1078</v>
      </c>
      <c r="K122" s="14" t="s">
        <v>140</v>
      </c>
      <c r="L122" s="14" t="s">
        <v>1044</v>
      </c>
      <c r="M122" s="14" t="s">
        <v>1079</v>
      </c>
      <c r="N122" s="14">
        <v>227.96700000000001</v>
      </c>
      <c r="O122" s="14" t="s">
        <v>1080</v>
      </c>
      <c r="P122" s="14" t="s">
        <v>1081</v>
      </c>
      <c r="Q122" s="14" t="s">
        <v>146</v>
      </c>
      <c r="R122" s="14" t="s">
        <v>1082</v>
      </c>
      <c r="S122" s="14" t="s">
        <v>148</v>
      </c>
      <c r="T122" s="14" t="s">
        <v>149</v>
      </c>
      <c r="U122" s="14" t="s">
        <v>113</v>
      </c>
      <c r="V122" s="48">
        <f>SUMIF(Data!$E:$E,$I122,Data!$AI:$AI)</f>
        <v>0</v>
      </c>
    </row>
    <row r="123" spans="1:22" x14ac:dyDescent="0.25">
      <c r="A123" s="47" t="s">
        <v>325</v>
      </c>
      <c r="B123" s="47" t="s">
        <v>123</v>
      </c>
      <c r="C123" s="47" t="s">
        <v>1083</v>
      </c>
      <c r="D123" s="47">
        <v>0.1958</v>
      </c>
      <c r="E123" s="48">
        <f>SUMIF(Data!$E:$E,$C123,Data!$AI:$AI)</f>
        <v>0</v>
      </c>
      <c r="I123" s="14" t="s">
        <v>1084</v>
      </c>
      <c r="J123" s="14" t="s">
        <v>1085</v>
      </c>
      <c r="K123" s="14" t="s">
        <v>140</v>
      </c>
      <c r="L123" s="14" t="s">
        <v>1044</v>
      </c>
      <c r="M123" s="14" t="s">
        <v>1086</v>
      </c>
      <c r="N123" s="14">
        <v>131.89099999999999</v>
      </c>
      <c r="O123" s="14" t="s">
        <v>1087</v>
      </c>
      <c r="P123" s="14" t="s">
        <v>1088</v>
      </c>
      <c r="Q123" s="14" t="s">
        <v>227</v>
      </c>
      <c r="R123" s="14" t="s">
        <v>1089</v>
      </c>
      <c r="S123" s="14" t="s">
        <v>563</v>
      </c>
      <c r="T123" s="14" t="s">
        <v>564</v>
      </c>
      <c r="U123" s="14" t="s">
        <v>528</v>
      </c>
      <c r="V123" s="48">
        <f>SUMIF(Data!$E:$E,$I123,Data!$AI:$AI)</f>
        <v>0</v>
      </c>
    </row>
    <row r="124" spans="1:22" x14ac:dyDescent="0.25">
      <c r="A124" s="47" t="s">
        <v>325</v>
      </c>
      <c r="B124" s="47" t="s">
        <v>123</v>
      </c>
      <c r="C124" s="47" t="s">
        <v>1090</v>
      </c>
      <c r="D124" s="47">
        <v>1.1862999999999999</v>
      </c>
      <c r="E124" s="48">
        <f>SUMIF(Data!$E:$E,$C124,Data!$AI:$AI)</f>
        <v>0</v>
      </c>
      <c r="I124" s="14" t="s">
        <v>1091</v>
      </c>
      <c r="J124" s="14" t="s">
        <v>1092</v>
      </c>
      <c r="K124" s="14" t="s">
        <v>140</v>
      </c>
      <c r="L124" s="14" t="s">
        <v>1044</v>
      </c>
      <c r="M124" s="14" t="s">
        <v>1093</v>
      </c>
      <c r="N124" s="14">
        <v>132.6</v>
      </c>
      <c r="O124" s="14" t="s">
        <v>1094</v>
      </c>
      <c r="P124" s="14" t="s">
        <v>1095</v>
      </c>
      <c r="Q124" s="14" t="s">
        <v>193</v>
      </c>
      <c r="R124" s="14" t="s">
        <v>1096</v>
      </c>
      <c r="S124" s="14" t="s">
        <v>195</v>
      </c>
      <c r="T124" s="14" t="s">
        <v>149</v>
      </c>
      <c r="U124" s="14" t="s">
        <v>113</v>
      </c>
      <c r="V124" s="48">
        <f>SUMIF(Data!$E:$E,$I124,Data!$AI:$AI)</f>
        <v>0</v>
      </c>
    </row>
    <row r="125" spans="1:22" x14ac:dyDescent="0.25">
      <c r="A125" s="47" t="s">
        <v>325</v>
      </c>
      <c r="B125" s="47" t="s">
        <v>123</v>
      </c>
      <c r="C125" s="47" t="s">
        <v>1097</v>
      </c>
      <c r="D125" s="47">
        <v>6.5600000000000006E-2</v>
      </c>
      <c r="E125" s="48">
        <f>SUMIF(Data!$E:$E,$C125,Data!$AI:$AI)</f>
        <v>0</v>
      </c>
      <c r="I125" s="14" t="s">
        <v>1098</v>
      </c>
      <c r="J125" s="14" t="s">
        <v>1099</v>
      </c>
      <c r="K125" s="14" t="s">
        <v>140</v>
      </c>
      <c r="L125" s="14" t="s">
        <v>1044</v>
      </c>
      <c r="M125" s="14" t="s">
        <v>1100</v>
      </c>
      <c r="N125" s="14">
        <v>139.114</v>
      </c>
      <c r="O125" s="14" t="s">
        <v>1101</v>
      </c>
      <c r="P125" s="14" t="s">
        <v>1102</v>
      </c>
      <c r="Q125" s="14" t="s">
        <v>146</v>
      </c>
      <c r="R125" s="14" t="s">
        <v>1103</v>
      </c>
      <c r="S125" s="14" t="s">
        <v>148</v>
      </c>
      <c r="T125" s="14" t="s">
        <v>149</v>
      </c>
      <c r="U125" s="14" t="s">
        <v>113</v>
      </c>
      <c r="V125" s="48">
        <f>SUMIF(Data!$E:$E,$I125,Data!$AI:$AI)</f>
        <v>0</v>
      </c>
    </row>
    <row r="126" spans="1:22" x14ac:dyDescent="0.25">
      <c r="A126" s="47" t="s">
        <v>1104</v>
      </c>
      <c r="B126" s="47" t="s">
        <v>123</v>
      </c>
      <c r="C126" s="50">
        <v>197</v>
      </c>
      <c r="D126" s="47">
        <v>18.8139</v>
      </c>
      <c r="E126" s="48">
        <f>SUMIF(Data!$E:$E,$C126,Data!$AI:$AI)</f>
        <v>0</v>
      </c>
      <c r="I126" s="14" t="s">
        <v>1105</v>
      </c>
      <c r="J126" s="14" t="s">
        <v>1106</v>
      </c>
      <c r="K126" s="14" t="s">
        <v>140</v>
      </c>
      <c r="L126" s="14" t="s">
        <v>1107</v>
      </c>
      <c r="M126" s="14" t="s">
        <v>1108</v>
      </c>
      <c r="N126" s="14">
        <v>179.566</v>
      </c>
      <c r="O126" s="14" t="s">
        <v>1109</v>
      </c>
      <c r="P126" s="14" t="s">
        <v>1110</v>
      </c>
      <c r="Q126" s="14" t="s">
        <v>211</v>
      </c>
      <c r="R126" s="14" t="s">
        <v>1111</v>
      </c>
      <c r="S126" s="14" t="s">
        <v>195</v>
      </c>
      <c r="T126" s="14" t="s">
        <v>149</v>
      </c>
      <c r="U126" s="14" t="s">
        <v>113</v>
      </c>
      <c r="V126" s="48">
        <f>SUMIF(Data!$E:$E,$I126,Data!$AI:$AI)</f>
        <v>0</v>
      </c>
    </row>
    <row r="127" spans="1:22" x14ac:dyDescent="0.25">
      <c r="A127" s="47" t="s">
        <v>1104</v>
      </c>
      <c r="B127" s="47" t="s">
        <v>123</v>
      </c>
      <c r="C127" s="50">
        <v>202</v>
      </c>
      <c r="D127" s="47">
        <v>16.282499999999999</v>
      </c>
      <c r="E127" s="48">
        <f>SUMIF(Data!$E:$E,$C127,Data!$AI:$AI)</f>
        <v>0</v>
      </c>
      <c r="I127" s="14" t="s">
        <v>1112</v>
      </c>
      <c r="J127" s="14" t="s">
        <v>1113</v>
      </c>
      <c r="K127" s="14" t="s">
        <v>140</v>
      </c>
      <c r="L127" s="14" t="s">
        <v>1107</v>
      </c>
      <c r="M127" s="14" t="s">
        <v>1114</v>
      </c>
      <c r="N127" s="14">
        <v>62.82</v>
      </c>
      <c r="O127" s="14" t="s">
        <v>1115</v>
      </c>
      <c r="P127" s="14" t="s">
        <v>1116</v>
      </c>
      <c r="Q127" s="14" t="s">
        <v>211</v>
      </c>
      <c r="R127" s="14" t="s">
        <v>1117</v>
      </c>
      <c r="S127" s="14" t="s">
        <v>148</v>
      </c>
      <c r="T127" s="14" t="s">
        <v>149</v>
      </c>
      <c r="U127" s="14" t="s">
        <v>113</v>
      </c>
      <c r="V127" s="48">
        <f>SUMIF(Data!$E:$E,$I127,Data!$AI:$AI)</f>
        <v>0</v>
      </c>
    </row>
    <row r="128" spans="1:22" x14ac:dyDescent="0.25">
      <c r="A128" s="47" t="s">
        <v>1104</v>
      </c>
      <c r="B128" s="47" t="s">
        <v>123</v>
      </c>
      <c r="C128" s="50">
        <v>210</v>
      </c>
      <c r="D128" s="47">
        <v>10.3735</v>
      </c>
      <c r="E128" s="48">
        <f>SUMIF(Data!$E:$E,$C128,Data!$AI:$AI)</f>
        <v>0</v>
      </c>
      <c r="I128" s="14" t="s">
        <v>1118</v>
      </c>
      <c r="J128" s="14" t="s">
        <v>1119</v>
      </c>
      <c r="K128" s="14" t="s">
        <v>140</v>
      </c>
      <c r="L128" s="14" t="s">
        <v>1107</v>
      </c>
      <c r="M128" s="14" t="s">
        <v>1120</v>
      </c>
      <c r="N128" s="14">
        <v>319.33699999999999</v>
      </c>
      <c r="O128" s="14" t="s">
        <v>1121</v>
      </c>
      <c r="P128" s="14" t="s">
        <v>1122</v>
      </c>
      <c r="Q128" s="14" t="s">
        <v>146</v>
      </c>
      <c r="R128" s="14" t="s">
        <v>1123</v>
      </c>
      <c r="S128" s="14" t="s">
        <v>148</v>
      </c>
      <c r="T128" s="14" t="s">
        <v>149</v>
      </c>
      <c r="U128" s="14" t="s">
        <v>113</v>
      </c>
      <c r="V128" s="48">
        <f>SUMIF(Data!$E:$E,$I128,Data!$AI:$AI)</f>
        <v>0</v>
      </c>
    </row>
    <row r="129" spans="1:22" x14ac:dyDescent="0.25">
      <c r="A129" s="47" t="s">
        <v>1104</v>
      </c>
      <c r="B129" s="47" t="s">
        <v>123</v>
      </c>
      <c r="C129" s="50">
        <v>212</v>
      </c>
      <c r="D129" s="47">
        <v>8.6831999999999994</v>
      </c>
      <c r="E129" s="48">
        <f>SUMIF(Data!$E:$E,$C129,Data!$AI:$AI)</f>
        <v>0</v>
      </c>
      <c r="I129" s="14" t="s">
        <v>1124</v>
      </c>
      <c r="J129" s="14" t="s">
        <v>1124</v>
      </c>
      <c r="K129" s="14" t="s">
        <v>140</v>
      </c>
      <c r="L129" s="14" t="s">
        <v>1107</v>
      </c>
      <c r="M129" s="14" t="s">
        <v>1125</v>
      </c>
      <c r="N129" s="14" t="s">
        <v>1126</v>
      </c>
      <c r="O129" s="14" t="s">
        <v>1127</v>
      </c>
      <c r="P129" s="14" t="s">
        <v>1128</v>
      </c>
      <c r="Q129" s="14" t="s">
        <v>697</v>
      </c>
      <c r="R129" s="14" t="s">
        <v>1129</v>
      </c>
      <c r="S129" s="14" t="s">
        <v>1130</v>
      </c>
      <c r="T129" s="14" t="s">
        <v>1131</v>
      </c>
      <c r="U129" s="14" t="s">
        <v>528</v>
      </c>
      <c r="V129" s="48">
        <f>SUMIF(Data!$E:$E,$I129,Data!$AI:$AI)</f>
        <v>0</v>
      </c>
    </row>
    <row r="130" spans="1:22" x14ac:dyDescent="0.25">
      <c r="A130" s="47" t="s">
        <v>1104</v>
      </c>
      <c r="B130" s="47" t="s">
        <v>123</v>
      </c>
      <c r="C130" s="47" t="s">
        <v>1132</v>
      </c>
      <c r="D130" s="47">
        <v>1.6008</v>
      </c>
      <c r="E130" s="48">
        <f>SUMIF(Data!$E:$E,$C130,Data!$AI:$AI)</f>
        <v>0</v>
      </c>
      <c r="I130" s="14" t="s">
        <v>1133</v>
      </c>
      <c r="J130" s="14" t="s">
        <v>1134</v>
      </c>
      <c r="K130" s="14" t="s">
        <v>140</v>
      </c>
      <c r="L130" s="14" t="s">
        <v>1107</v>
      </c>
      <c r="M130" s="14" t="s">
        <v>1135</v>
      </c>
      <c r="N130" s="14">
        <v>404.548</v>
      </c>
      <c r="O130" s="14" t="s">
        <v>1136</v>
      </c>
      <c r="P130" s="14" t="s">
        <v>1137</v>
      </c>
      <c r="Q130" s="14" t="s">
        <v>419</v>
      </c>
      <c r="R130" s="14" t="s">
        <v>1138</v>
      </c>
      <c r="S130" s="14" t="s">
        <v>728</v>
      </c>
      <c r="T130" s="14" t="s">
        <v>729</v>
      </c>
      <c r="U130" s="14" t="s">
        <v>730</v>
      </c>
      <c r="V130" s="48">
        <f>SUMIF(Data!$E:$E,$I130,Data!$AI:$AI)</f>
        <v>0</v>
      </c>
    </row>
    <row r="131" spans="1:22" x14ac:dyDescent="0.25">
      <c r="A131" s="47" t="s">
        <v>1104</v>
      </c>
      <c r="B131" s="47" t="s">
        <v>123</v>
      </c>
      <c r="C131" s="47" t="s">
        <v>1139</v>
      </c>
      <c r="D131" s="47">
        <v>1.0117</v>
      </c>
      <c r="E131" s="48">
        <f>SUMIF(Data!$E:$E,$C131,Data!$AI:$AI)</f>
        <v>0</v>
      </c>
      <c r="I131" s="14" t="s">
        <v>1140</v>
      </c>
      <c r="J131" s="14" t="s">
        <v>1141</v>
      </c>
      <c r="K131" s="14" t="s">
        <v>140</v>
      </c>
      <c r="L131" s="14" t="s">
        <v>1107</v>
      </c>
      <c r="M131" s="14" t="s">
        <v>1142</v>
      </c>
      <c r="N131" s="14">
        <v>632.32899999999995</v>
      </c>
      <c r="O131" s="14" t="s">
        <v>1143</v>
      </c>
      <c r="P131" s="14" t="s">
        <v>1144</v>
      </c>
      <c r="Q131" s="14" t="s">
        <v>737</v>
      </c>
      <c r="R131" s="14" t="s">
        <v>1145</v>
      </c>
      <c r="S131" s="14" t="s">
        <v>479</v>
      </c>
      <c r="T131" s="14" t="s">
        <v>480</v>
      </c>
      <c r="U131" s="14" t="s">
        <v>481</v>
      </c>
      <c r="V131" s="48">
        <f>SUMIF(Data!$E:$E,$I131,Data!$AI:$AI)</f>
        <v>0</v>
      </c>
    </row>
    <row r="132" spans="1:22" x14ac:dyDescent="0.25">
      <c r="A132" s="47" t="s">
        <v>1104</v>
      </c>
      <c r="B132" s="47" t="s">
        <v>123</v>
      </c>
      <c r="C132" s="47" t="s">
        <v>1146</v>
      </c>
      <c r="D132" s="47">
        <v>1.1575</v>
      </c>
      <c r="E132" s="48">
        <f>SUMIF(Data!$E:$E,$C132,Data!$AI:$AI)</f>
        <v>0</v>
      </c>
      <c r="I132" s="14" t="s">
        <v>1147</v>
      </c>
      <c r="J132" s="14" t="s">
        <v>1148</v>
      </c>
      <c r="K132" s="14" t="s">
        <v>140</v>
      </c>
      <c r="L132" s="14" t="s">
        <v>1107</v>
      </c>
      <c r="M132" s="14" t="s">
        <v>1149</v>
      </c>
      <c r="N132" s="14">
        <v>669.64200000000005</v>
      </c>
      <c r="O132" s="14" t="s">
        <v>1150</v>
      </c>
      <c r="P132" s="14" t="s">
        <v>1151</v>
      </c>
      <c r="Q132" s="14" t="s">
        <v>193</v>
      </c>
      <c r="R132" s="14" t="s">
        <v>1152</v>
      </c>
      <c r="S132" s="14" t="s">
        <v>728</v>
      </c>
      <c r="T132" s="14" t="s">
        <v>729</v>
      </c>
      <c r="U132" s="14" t="s">
        <v>730</v>
      </c>
      <c r="V132" s="48">
        <f>SUMIF(Data!$E:$E,$I132,Data!$AI:$AI)</f>
        <v>0</v>
      </c>
    </row>
    <row r="133" spans="1:22" x14ac:dyDescent="0.25">
      <c r="A133" s="47" t="s">
        <v>1104</v>
      </c>
      <c r="B133" s="47" t="s">
        <v>123</v>
      </c>
      <c r="C133" s="47" t="s">
        <v>1153</v>
      </c>
      <c r="D133" s="47">
        <v>7.6494999999999997</v>
      </c>
      <c r="E133" s="48">
        <f>SUMIF(Data!$E:$E,$C133,Data!$AI:$AI)</f>
        <v>0</v>
      </c>
      <c r="I133" s="14" t="s">
        <v>1154</v>
      </c>
      <c r="J133" s="14" t="s">
        <v>1155</v>
      </c>
      <c r="K133" s="14" t="s">
        <v>140</v>
      </c>
      <c r="L133" s="14" t="s">
        <v>1107</v>
      </c>
      <c r="M133" s="14" t="s">
        <v>1156</v>
      </c>
      <c r="N133" s="14">
        <v>243.68799999999999</v>
      </c>
      <c r="O133" s="14" t="s">
        <v>1157</v>
      </c>
      <c r="P133" s="14" t="s">
        <v>1158</v>
      </c>
      <c r="Q133" s="14" t="s">
        <v>193</v>
      </c>
      <c r="R133" s="14" t="s">
        <v>1159</v>
      </c>
      <c r="S133" s="14" t="s">
        <v>195</v>
      </c>
      <c r="T133" s="14" t="s">
        <v>149</v>
      </c>
      <c r="U133" s="14" t="s">
        <v>113</v>
      </c>
      <c r="V133" s="48">
        <f>SUMIF(Data!$E:$E,$I133,Data!$AI:$AI)</f>
        <v>0</v>
      </c>
    </row>
    <row r="134" spans="1:22" x14ac:dyDescent="0.25">
      <c r="A134" s="47" t="s">
        <v>1104</v>
      </c>
      <c r="B134" s="47" t="s">
        <v>123</v>
      </c>
      <c r="C134" s="47" t="s">
        <v>1160</v>
      </c>
      <c r="D134" s="47">
        <v>10.406000000000001</v>
      </c>
      <c r="E134" s="48">
        <f>SUMIF(Data!$E:$E,$C134,Data!$AI:$AI)</f>
        <v>0</v>
      </c>
      <c r="I134" s="14" t="s">
        <v>715</v>
      </c>
      <c r="J134" s="14" t="s">
        <v>1161</v>
      </c>
      <c r="K134" s="14" t="s">
        <v>140</v>
      </c>
      <c r="L134" s="14" t="s">
        <v>1107</v>
      </c>
      <c r="M134" s="14" t="s">
        <v>1162</v>
      </c>
      <c r="N134" s="14" t="s">
        <v>1163</v>
      </c>
      <c r="O134" s="14" t="s">
        <v>1164</v>
      </c>
      <c r="P134" s="14" t="s">
        <v>1165</v>
      </c>
      <c r="Q134" s="14" t="s">
        <v>193</v>
      </c>
      <c r="R134" s="14" t="s">
        <v>1166</v>
      </c>
      <c r="S134" s="14" t="s">
        <v>1167</v>
      </c>
      <c r="T134" s="14" t="s">
        <v>1168</v>
      </c>
      <c r="U134" s="14" t="s">
        <v>528</v>
      </c>
      <c r="V134" s="48">
        <f>SUMIF(Data!$E:$E,$I134,Data!$AI:$AI)</f>
        <v>0</v>
      </c>
    </row>
    <row r="135" spans="1:22" x14ac:dyDescent="0.25">
      <c r="A135" s="47" t="s">
        <v>1104</v>
      </c>
      <c r="B135" s="47" t="s">
        <v>123</v>
      </c>
      <c r="C135" s="47" t="s">
        <v>1169</v>
      </c>
      <c r="D135" s="47">
        <v>8.7146000000000008</v>
      </c>
      <c r="E135" s="48">
        <f>SUMIF(Data!$E:$E,$C135,Data!$AI:$AI)</f>
        <v>0</v>
      </c>
      <c r="I135" s="14" t="s">
        <v>1170</v>
      </c>
      <c r="J135" s="14" t="s">
        <v>1171</v>
      </c>
      <c r="K135" s="14" t="s">
        <v>140</v>
      </c>
      <c r="L135" s="14" t="s">
        <v>1107</v>
      </c>
      <c r="M135" s="14" t="s">
        <v>1172</v>
      </c>
      <c r="N135" s="14">
        <v>256.30500000000001</v>
      </c>
      <c r="O135" s="14" t="s">
        <v>1173</v>
      </c>
      <c r="P135" s="14" t="s">
        <v>1174</v>
      </c>
      <c r="Q135" s="14" t="s">
        <v>737</v>
      </c>
      <c r="R135" s="14" t="s">
        <v>1175</v>
      </c>
      <c r="S135" s="14" t="s">
        <v>563</v>
      </c>
      <c r="T135" s="14" t="s">
        <v>564</v>
      </c>
      <c r="U135" s="14" t="s">
        <v>528</v>
      </c>
      <c r="V135" s="48">
        <f>SUMIF(Data!$E:$E,$I135,Data!$AI:$AI)</f>
        <v>0</v>
      </c>
    </row>
    <row r="136" spans="1:22" x14ac:dyDescent="0.25">
      <c r="A136" s="47" t="s">
        <v>1104</v>
      </c>
      <c r="B136" s="47" t="s">
        <v>123</v>
      </c>
      <c r="C136" s="47" t="s">
        <v>1176</v>
      </c>
      <c r="D136" s="47">
        <v>0.95479999999999998</v>
      </c>
      <c r="E136" s="48">
        <f>SUMIF(Data!$E:$E,$C136,Data!$AI:$AI)</f>
        <v>0</v>
      </c>
      <c r="I136" s="14" t="s">
        <v>1177</v>
      </c>
      <c r="J136" s="14" t="s">
        <v>1178</v>
      </c>
      <c r="K136" s="14" t="s">
        <v>140</v>
      </c>
      <c r="L136" s="14" t="s">
        <v>1107</v>
      </c>
      <c r="M136" s="14" t="s">
        <v>1179</v>
      </c>
      <c r="N136" s="14">
        <v>74.540000000000006</v>
      </c>
      <c r="O136" s="14" t="s">
        <v>1180</v>
      </c>
      <c r="P136" s="14" t="s">
        <v>1181</v>
      </c>
      <c r="Q136" s="14" t="s">
        <v>165</v>
      </c>
      <c r="R136" s="14" t="s">
        <v>1182</v>
      </c>
      <c r="S136" s="14" t="s">
        <v>148</v>
      </c>
      <c r="T136" s="14" t="s">
        <v>149</v>
      </c>
      <c r="U136" s="14" t="s">
        <v>113</v>
      </c>
      <c r="V136" s="48">
        <f>SUMIF(Data!$E:$E,$I136,Data!$AI:$AI)</f>
        <v>0</v>
      </c>
    </row>
    <row r="137" spans="1:22" x14ac:dyDescent="0.25">
      <c r="A137" s="47" t="s">
        <v>1104</v>
      </c>
      <c r="B137" s="47" t="s">
        <v>123</v>
      </c>
      <c r="C137" s="47" t="s">
        <v>1183</v>
      </c>
      <c r="D137" s="47">
        <v>0.6008</v>
      </c>
      <c r="E137" s="48">
        <f>SUMIF(Data!$E:$E,$C137,Data!$AI:$AI)</f>
        <v>0</v>
      </c>
      <c r="I137" s="14" t="s">
        <v>1184</v>
      </c>
      <c r="J137" s="14" t="s">
        <v>1185</v>
      </c>
      <c r="K137" s="14" t="s">
        <v>140</v>
      </c>
      <c r="L137" s="14" t="s">
        <v>1107</v>
      </c>
      <c r="M137" s="14" t="s">
        <v>1186</v>
      </c>
      <c r="N137" s="14">
        <v>430.69</v>
      </c>
      <c r="O137" s="14" t="s">
        <v>1187</v>
      </c>
      <c r="P137" s="14" t="s">
        <v>1188</v>
      </c>
      <c r="Q137" s="14" t="s">
        <v>697</v>
      </c>
      <c r="R137" s="14" t="s">
        <v>1189</v>
      </c>
      <c r="S137" s="14" t="s">
        <v>195</v>
      </c>
      <c r="T137" s="14" t="s">
        <v>149</v>
      </c>
      <c r="U137" s="14" t="s">
        <v>113</v>
      </c>
      <c r="V137" s="48">
        <f>SUMIF(Data!$E:$E,$I137,Data!$AI:$AI)</f>
        <v>0</v>
      </c>
    </row>
    <row r="138" spans="1:22" x14ac:dyDescent="0.25">
      <c r="A138" s="47" t="s">
        <v>1104</v>
      </c>
      <c r="B138" s="47" t="s">
        <v>123</v>
      </c>
      <c r="C138" s="47" t="s">
        <v>1190</v>
      </c>
      <c r="D138" s="47">
        <v>7.6001000000000003</v>
      </c>
      <c r="E138" s="48">
        <f>SUMIF(Data!$E:$E,$C138,Data!$AI:$AI)</f>
        <v>0</v>
      </c>
      <c r="I138" s="14" t="s">
        <v>1191</v>
      </c>
      <c r="J138" s="14" t="s">
        <v>1192</v>
      </c>
      <c r="K138" s="14" t="s">
        <v>140</v>
      </c>
      <c r="L138" s="14" t="s">
        <v>1107</v>
      </c>
      <c r="M138" s="14" t="s">
        <v>1193</v>
      </c>
      <c r="N138" s="14">
        <v>390.69</v>
      </c>
      <c r="O138" s="14" t="s">
        <v>1194</v>
      </c>
      <c r="P138" s="14" t="s">
        <v>1195</v>
      </c>
      <c r="Q138" s="14" t="s">
        <v>697</v>
      </c>
      <c r="R138" s="14" t="s">
        <v>1196</v>
      </c>
      <c r="S138" s="14" t="s">
        <v>195</v>
      </c>
      <c r="T138" s="14" t="s">
        <v>149</v>
      </c>
      <c r="U138" s="14" t="s">
        <v>113</v>
      </c>
      <c r="V138" s="48">
        <f>SUMIF(Data!$E:$E,$I138,Data!$AI:$AI)</f>
        <v>0</v>
      </c>
    </row>
    <row r="139" spans="1:22" x14ac:dyDescent="0.25">
      <c r="A139" s="47" t="s">
        <v>1104</v>
      </c>
      <c r="B139" s="47" t="s">
        <v>123</v>
      </c>
      <c r="C139" s="47" t="s">
        <v>1197</v>
      </c>
      <c r="D139" s="47">
        <v>3.7869000000000002</v>
      </c>
      <c r="E139" s="48">
        <f>SUMIF(Data!$E:$E,$C139,Data!$AI:$AI)</f>
        <v>0</v>
      </c>
      <c r="I139" s="14" t="s">
        <v>1198</v>
      </c>
      <c r="J139" s="14" t="s">
        <v>1199</v>
      </c>
      <c r="K139" s="14" t="s">
        <v>140</v>
      </c>
      <c r="L139" s="14" t="s">
        <v>1107</v>
      </c>
      <c r="M139" s="14" t="s">
        <v>1200</v>
      </c>
      <c r="N139" s="14">
        <v>482.60899999999998</v>
      </c>
      <c r="O139" s="14" t="s">
        <v>1201</v>
      </c>
      <c r="P139" s="14" t="s">
        <v>1202</v>
      </c>
      <c r="Q139" s="14" t="s">
        <v>737</v>
      </c>
      <c r="R139" s="14" t="s">
        <v>1203</v>
      </c>
      <c r="S139" s="14" t="s">
        <v>526</v>
      </c>
      <c r="T139" s="14" t="s">
        <v>527</v>
      </c>
      <c r="U139" s="14" t="s">
        <v>528</v>
      </c>
      <c r="V139" s="48">
        <f>SUMIF(Data!$E:$E,$I139,Data!$AI:$AI)</f>
        <v>0</v>
      </c>
    </row>
    <row r="140" spans="1:22" x14ac:dyDescent="0.25">
      <c r="A140" s="47" t="s">
        <v>1104</v>
      </c>
      <c r="B140" s="47" t="s">
        <v>123</v>
      </c>
      <c r="C140" s="47" t="s">
        <v>1204</v>
      </c>
      <c r="D140" s="47">
        <v>2.3635999999999999</v>
      </c>
      <c r="E140" s="48">
        <f>SUMIF(Data!$E:$E,$C140,Data!$AI:$AI)</f>
        <v>0</v>
      </c>
      <c r="I140" s="14" t="s">
        <v>1205</v>
      </c>
      <c r="J140" s="14" t="s">
        <v>1206</v>
      </c>
      <c r="K140" s="14" t="s">
        <v>140</v>
      </c>
      <c r="L140" s="14" t="s">
        <v>1207</v>
      </c>
      <c r="M140" s="14" t="s">
        <v>1208</v>
      </c>
      <c r="N140" s="14">
        <v>549.20100000000002</v>
      </c>
      <c r="O140" s="14" t="s">
        <v>1209</v>
      </c>
      <c r="P140" s="14" t="s">
        <v>1210</v>
      </c>
      <c r="Q140" s="14" t="s">
        <v>697</v>
      </c>
      <c r="R140" s="14" t="s">
        <v>1211</v>
      </c>
      <c r="S140" s="14" t="s">
        <v>195</v>
      </c>
      <c r="T140" s="14" t="s">
        <v>149</v>
      </c>
      <c r="U140" s="14" t="s">
        <v>113</v>
      </c>
      <c r="V140" s="48">
        <f>SUMIF(Data!$E:$E,$I140,Data!$AI:$AI)</f>
        <v>0</v>
      </c>
    </row>
    <row r="141" spans="1:22" x14ac:dyDescent="0.25">
      <c r="A141" s="47" t="s">
        <v>1212</v>
      </c>
      <c r="B141" s="47" t="s">
        <v>123</v>
      </c>
      <c r="C141" s="47">
        <v>6003973</v>
      </c>
      <c r="D141" s="47">
        <v>0.34210000000000002</v>
      </c>
      <c r="E141" s="48">
        <f>SUMIF(Data!$E:$E,$C141,Data!$AI:$AI)</f>
        <v>0</v>
      </c>
      <c r="I141" s="14">
        <v>8306</v>
      </c>
      <c r="J141" s="14" t="s">
        <v>1213</v>
      </c>
      <c r="K141" s="14" t="s">
        <v>140</v>
      </c>
      <c r="L141" s="14" t="s">
        <v>1207</v>
      </c>
      <c r="M141" s="14" t="s">
        <v>1214</v>
      </c>
      <c r="N141" s="14" t="s">
        <v>1215</v>
      </c>
      <c r="O141" s="14" t="s">
        <v>1216</v>
      </c>
      <c r="P141" s="14" t="s">
        <v>1217</v>
      </c>
      <c r="Q141" s="14" t="s">
        <v>193</v>
      </c>
      <c r="R141" s="14" t="s">
        <v>1218</v>
      </c>
      <c r="S141" s="14" t="s">
        <v>444</v>
      </c>
      <c r="T141" s="14" t="s">
        <v>445</v>
      </c>
      <c r="U141" s="14" t="s">
        <v>446</v>
      </c>
      <c r="V141" s="48">
        <f>SUMIF(Data!$E:$E,$I141,Data!$AI:$AI)</f>
        <v>0</v>
      </c>
    </row>
    <row r="142" spans="1:22" x14ac:dyDescent="0.25">
      <c r="A142" s="47" t="s">
        <v>1212</v>
      </c>
      <c r="B142" s="47" t="s">
        <v>123</v>
      </c>
      <c r="C142" s="47">
        <v>6011318</v>
      </c>
      <c r="D142" s="47">
        <v>0.1608</v>
      </c>
      <c r="E142" s="48">
        <f>SUMIF(Data!$E:$E,$C142,Data!$AI:$AI)</f>
        <v>0</v>
      </c>
      <c r="I142" s="14" t="s">
        <v>1219</v>
      </c>
      <c r="J142" s="14" t="s">
        <v>1220</v>
      </c>
      <c r="K142" s="14" t="s">
        <v>140</v>
      </c>
      <c r="L142" s="14" t="s">
        <v>1207</v>
      </c>
      <c r="M142" s="14" t="s">
        <v>1221</v>
      </c>
      <c r="N142" s="14">
        <v>602.47900000000004</v>
      </c>
      <c r="O142" s="14" t="s">
        <v>1222</v>
      </c>
      <c r="P142" s="14" t="s">
        <v>1223</v>
      </c>
      <c r="Q142" s="14" t="s">
        <v>193</v>
      </c>
      <c r="R142" s="14" t="s">
        <v>1224</v>
      </c>
      <c r="S142" s="14" t="s">
        <v>563</v>
      </c>
      <c r="T142" s="14" t="s">
        <v>564</v>
      </c>
      <c r="U142" s="14" t="s">
        <v>528</v>
      </c>
      <c r="V142" s="48">
        <f>SUMIF(Data!$E:$E,$I142,Data!$AI:$AI)</f>
        <v>0</v>
      </c>
    </row>
    <row r="143" spans="1:22" x14ac:dyDescent="0.25">
      <c r="A143" s="47" t="s">
        <v>1212</v>
      </c>
      <c r="B143" s="47" t="s">
        <v>123</v>
      </c>
      <c r="C143" s="47">
        <v>6016670</v>
      </c>
      <c r="D143" s="47">
        <v>0.29949999999999999</v>
      </c>
      <c r="E143" s="48">
        <f>SUMIF(Data!$E:$E,$C143,Data!$AI:$AI)</f>
        <v>0</v>
      </c>
      <c r="I143" s="14" t="s">
        <v>1225</v>
      </c>
      <c r="J143" s="14" t="s">
        <v>1226</v>
      </c>
      <c r="K143" s="14" t="s">
        <v>140</v>
      </c>
      <c r="L143" s="14" t="s">
        <v>1207</v>
      </c>
      <c r="M143" s="14" t="s">
        <v>1227</v>
      </c>
      <c r="N143" s="14">
        <v>153.52199999999999</v>
      </c>
      <c r="O143" s="14" t="s">
        <v>1228</v>
      </c>
      <c r="P143" s="14" t="s">
        <v>1229</v>
      </c>
      <c r="Q143" s="14" t="s">
        <v>419</v>
      </c>
      <c r="R143" s="14" t="s">
        <v>1230</v>
      </c>
      <c r="S143" s="14" t="s">
        <v>195</v>
      </c>
      <c r="T143" s="14" t="s">
        <v>149</v>
      </c>
      <c r="U143" s="14" t="s">
        <v>113</v>
      </c>
      <c r="V143" s="48">
        <f>SUMIF(Data!$E:$E,$I143,Data!$AI:$AI)</f>
        <v>0</v>
      </c>
    </row>
    <row r="144" spans="1:22" x14ac:dyDescent="0.25">
      <c r="A144" s="47" t="s">
        <v>1212</v>
      </c>
      <c r="B144" s="47" t="s">
        <v>123</v>
      </c>
      <c r="C144" s="47">
        <v>6036991</v>
      </c>
      <c r="D144" s="47">
        <v>0.2485</v>
      </c>
      <c r="E144" s="48">
        <f>SUMIF(Data!$E:$E,$C144,Data!$AI:$AI)</f>
        <v>0</v>
      </c>
      <c r="I144" s="14" t="s">
        <v>1231</v>
      </c>
      <c r="J144" s="14" t="s">
        <v>1232</v>
      </c>
      <c r="K144" s="14" t="s">
        <v>140</v>
      </c>
      <c r="L144" s="14" t="s">
        <v>1207</v>
      </c>
      <c r="M144" s="14" t="s">
        <v>1233</v>
      </c>
      <c r="N144" s="14">
        <v>659.48800000000006</v>
      </c>
      <c r="O144" s="14" t="s">
        <v>1234</v>
      </c>
      <c r="P144" s="14" t="s">
        <v>1235</v>
      </c>
      <c r="Q144" s="14" t="s">
        <v>193</v>
      </c>
      <c r="R144" s="14" t="s">
        <v>1236</v>
      </c>
      <c r="S144" s="14" t="s">
        <v>195</v>
      </c>
      <c r="T144" s="14" t="s">
        <v>149</v>
      </c>
      <c r="U144" s="14" t="s">
        <v>113</v>
      </c>
      <c r="V144" s="48">
        <f>SUMIF(Data!$E:$E,$I144,Data!$AI:$AI)</f>
        <v>0</v>
      </c>
    </row>
    <row r="145" spans="1:22" x14ac:dyDescent="0.25">
      <c r="A145" s="47" t="s">
        <v>1212</v>
      </c>
      <c r="B145" s="47" t="s">
        <v>123</v>
      </c>
      <c r="C145" s="47">
        <v>6037596</v>
      </c>
      <c r="D145" s="47">
        <v>0.14399999999999999</v>
      </c>
      <c r="E145" s="48">
        <f>SUMIF(Data!$E:$E,$C145,Data!$AI:$AI)</f>
        <v>0</v>
      </c>
      <c r="I145" s="14" t="s">
        <v>1237</v>
      </c>
      <c r="J145" s="14" t="s">
        <v>1238</v>
      </c>
      <c r="K145" s="14" t="s">
        <v>140</v>
      </c>
      <c r="L145" s="14" t="s">
        <v>1207</v>
      </c>
      <c r="M145" s="14" t="s">
        <v>1239</v>
      </c>
      <c r="N145" s="14">
        <v>275.48500000000001</v>
      </c>
      <c r="O145" s="14" t="s">
        <v>1240</v>
      </c>
      <c r="P145" s="14" t="s">
        <v>1241</v>
      </c>
      <c r="Q145" s="14" t="s">
        <v>165</v>
      </c>
      <c r="R145" s="14" t="s">
        <v>1242</v>
      </c>
      <c r="S145" s="14" t="s">
        <v>195</v>
      </c>
      <c r="T145" s="14" t="s">
        <v>149</v>
      </c>
      <c r="U145" s="14" t="s">
        <v>113</v>
      </c>
      <c r="V145" s="48">
        <f>SUMIF(Data!$E:$E,$I145,Data!$AI:$AI)</f>
        <v>0</v>
      </c>
    </row>
    <row r="146" spans="1:22" x14ac:dyDescent="0.25">
      <c r="A146" s="47" t="s">
        <v>1212</v>
      </c>
      <c r="B146" s="47" t="s">
        <v>123</v>
      </c>
      <c r="C146" s="47">
        <v>6040550</v>
      </c>
      <c r="D146" s="47">
        <v>0.1767</v>
      </c>
      <c r="E146" s="48">
        <f>SUMIF(Data!$E:$E,$C146,Data!$AI:$AI)</f>
        <v>0</v>
      </c>
      <c r="I146" s="14" t="s">
        <v>1243</v>
      </c>
      <c r="J146" s="14" t="s">
        <v>1244</v>
      </c>
      <c r="K146" s="14" t="s">
        <v>140</v>
      </c>
      <c r="L146" s="14" t="s">
        <v>1207</v>
      </c>
      <c r="M146" s="14" t="s">
        <v>1245</v>
      </c>
      <c r="N146" s="14">
        <v>252.79900000000001</v>
      </c>
      <c r="O146" s="14" t="s">
        <v>1246</v>
      </c>
      <c r="P146" s="14" t="s">
        <v>1247</v>
      </c>
      <c r="Q146" s="14" t="s">
        <v>211</v>
      </c>
      <c r="R146" s="14" t="s">
        <v>1248</v>
      </c>
      <c r="S146" s="14" t="s">
        <v>195</v>
      </c>
      <c r="T146" s="14" t="s">
        <v>149</v>
      </c>
      <c r="U146" s="14" t="s">
        <v>113</v>
      </c>
      <c r="V146" s="48">
        <f>SUMIF(Data!$E:$E,$I146,Data!$AI:$AI)</f>
        <v>0</v>
      </c>
    </row>
    <row r="147" spans="1:22" x14ac:dyDescent="0.25">
      <c r="A147" s="47" t="s">
        <v>1212</v>
      </c>
      <c r="B147" s="47" t="s">
        <v>123</v>
      </c>
      <c r="C147" s="47">
        <v>6042017</v>
      </c>
      <c r="D147" s="47">
        <v>0.32579999999999998</v>
      </c>
      <c r="E147" s="48">
        <f>SUMIF(Data!$E:$E,$C147,Data!$AI:$AI)</f>
        <v>0</v>
      </c>
      <c r="I147" s="14" t="s">
        <v>1249</v>
      </c>
      <c r="J147" s="14" t="s">
        <v>1250</v>
      </c>
      <c r="K147" s="14" t="s">
        <v>140</v>
      </c>
      <c r="L147" s="14" t="s">
        <v>1207</v>
      </c>
      <c r="M147" s="14" t="s">
        <v>1251</v>
      </c>
      <c r="N147" s="14">
        <v>748.53099999999995</v>
      </c>
      <c r="O147" s="14" t="s">
        <v>1252</v>
      </c>
      <c r="P147" s="14" t="s">
        <v>1253</v>
      </c>
      <c r="Q147" s="14" t="s">
        <v>211</v>
      </c>
      <c r="R147" s="14" t="s">
        <v>1254</v>
      </c>
      <c r="S147" s="14" t="s">
        <v>195</v>
      </c>
      <c r="T147" s="14" t="s">
        <v>149</v>
      </c>
      <c r="U147" s="14" t="s">
        <v>113</v>
      </c>
      <c r="V147" s="48">
        <f>SUMIF(Data!$E:$E,$I147,Data!$AI:$AI)</f>
        <v>0</v>
      </c>
    </row>
    <row r="148" spans="1:22" x14ac:dyDescent="0.25">
      <c r="A148" s="47" t="s">
        <v>1212</v>
      </c>
      <c r="B148" s="47" t="s">
        <v>123</v>
      </c>
      <c r="C148" s="47">
        <v>6073062</v>
      </c>
      <c r="D148" s="47">
        <v>0.624</v>
      </c>
      <c r="E148" s="48">
        <f>SUMIF(Data!$E:$E,$C148,Data!$AI:$AI)</f>
        <v>0</v>
      </c>
      <c r="I148" s="14">
        <v>6861</v>
      </c>
      <c r="J148" s="14" t="s">
        <v>1255</v>
      </c>
      <c r="K148" s="14" t="s">
        <v>140</v>
      </c>
      <c r="L148" s="14" t="s">
        <v>1207</v>
      </c>
      <c r="M148" s="14" t="s">
        <v>1256</v>
      </c>
      <c r="N148" s="14">
        <v>94.103999999999999</v>
      </c>
      <c r="O148" s="14" t="s">
        <v>1257</v>
      </c>
      <c r="P148" s="14" t="s">
        <v>1258</v>
      </c>
      <c r="Q148" s="14" t="s">
        <v>146</v>
      </c>
      <c r="R148" s="14" t="s">
        <v>1259</v>
      </c>
      <c r="S148" s="14" t="s">
        <v>444</v>
      </c>
      <c r="T148" s="14" t="s">
        <v>445</v>
      </c>
      <c r="U148" s="14" t="s">
        <v>446</v>
      </c>
      <c r="V148" s="48">
        <f>SUMIF(Data!$E:$E,$I148,Data!$AI:$AI)</f>
        <v>0</v>
      </c>
    </row>
    <row r="149" spans="1:22" x14ac:dyDescent="0.25">
      <c r="A149" s="47" t="s">
        <v>1212</v>
      </c>
      <c r="B149" s="47" t="s">
        <v>123</v>
      </c>
      <c r="C149" s="47">
        <v>6085261</v>
      </c>
      <c r="D149" s="47">
        <v>0.18429999999999999</v>
      </c>
      <c r="E149" s="48">
        <f>SUMIF(Data!$E:$E,$C149,Data!$AI:$AI)</f>
        <v>0</v>
      </c>
      <c r="I149" s="14" t="s">
        <v>1260</v>
      </c>
      <c r="J149" s="14" t="s">
        <v>1261</v>
      </c>
      <c r="K149" s="14" t="s">
        <v>140</v>
      </c>
      <c r="L149" s="14" t="s">
        <v>1207</v>
      </c>
      <c r="M149" s="14" t="s">
        <v>1262</v>
      </c>
      <c r="N149" s="14">
        <v>83.039000000000001</v>
      </c>
      <c r="O149" s="14" t="s">
        <v>1263</v>
      </c>
      <c r="P149" s="14" t="s">
        <v>1264</v>
      </c>
      <c r="Q149" s="14" t="s">
        <v>193</v>
      </c>
      <c r="R149" s="14" t="s">
        <v>1265</v>
      </c>
      <c r="S149" s="14" t="s">
        <v>229</v>
      </c>
      <c r="T149" s="14" t="s">
        <v>230</v>
      </c>
      <c r="U149" s="14" t="s">
        <v>231</v>
      </c>
      <c r="V149" s="48">
        <f>SUMIF(Data!$E:$E,$I149,Data!$AI:$AI)</f>
        <v>0</v>
      </c>
    </row>
    <row r="150" spans="1:22" x14ac:dyDescent="0.25">
      <c r="A150" s="47" t="s">
        <v>1212</v>
      </c>
      <c r="B150" s="47" t="s">
        <v>123</v>
      </c>
      <c r="C150" s="47">
        <v>6086297</v>
      </c>
      <c r="D150" s="47">
        <v>0.19350000000000001</v>
      </c>
      <c r="E150" s="48">
        <f>SUMIF(Data!$E:$E,$C150,Data!$AI:$AI)</f>
        <v>0</v>
      </c>
      <c r="I150" s="14" t="s">
        <v>1266</v>
      </c>
      <c r="J150" s="14" t="s">
        <v>1267</v>
      </c>
      <c r="K150" s="14" t="s">
        <v>140</v>
      </c>
      <c r="L150" s="14" t="s">
        <v>1207</v>
      </c>
      <c r="M150" s="14" t="s">
        <v>928</v>
      </c>
      <c r="N150" s="14">
        <v>599.40300000000002</v>
      </c>
      <c r="O150" s="14" t="s">
        <v>1268</v>
      </c>
      <c r="P150" s="14" t="s">
        <v>1269</v>
      </c>
      <c r="Q150" s="14" t="s">
        <v>146</v>
      </c>
      <c r="R150" s="14" t="s">
        <v>1270</v>
      </c>
      <c r="S150" s="14" t="s">
        <v>148</v>
      </c>
      <c r="T150" s="14" t="s">
        <v>149</v>
      </c>
      <c r="U150" s="14" t="s">
        <v>113</v>
      </c>
      <c r="V150" s="48">
        <f>SUMIF(Data!$E:$E,$I150,Data!$AI:$AI)</f>
        <v>0</v>
      </c>
    </row>
    <row r="151" spans="1:22" x14ac:dyDescent="0.25">
      <c r="A151" s="47" t="s">
        <v>1212</v>
      </c>
      <c r="B151" s="47" t="s">
        <v>123</v>
      </c>
      <c r="C151" s="47">
        <v>6086974</v>
      </c>
      <c r="D151" s="47">
        <v>0.98070000000000002</v>
      </c>
      <c r="E151" s="48">
        <f>SUMIF(Data!$E:$E,$C151,Data!$AI:$AI)</f>
        <v>0</v>
      </c>
      <c r="I151" s="14" t="s">
        <v>1271</v>
      </c>
      <c r="J151" s="14" t="s">
        <v>1272</v>
      </c>
      <c r="K151" s="14" t="s">
        <v>140</v>
      </c>
      <c r="L151" s="14" t="s">
        <v>1207</v>
      </c>
      <c r="M151" s="14" t="s">
        <v>1273</v>
      </c>
      <c r="N151" s="14">
        <v>414.25900000000001</v>
      </c>
      <c r="O151" s="14" t="s">
        <v>1274</v>
      </c>
      <c r="P151" s="14" t="s">
        <v>1275</v>
      </c>
      <c r="Q151" s="14" t="s">
        <v>227</v>
      </c>
      <c r="R151" s="14" t="s">
        <v>1276</v>
      </c>
      <c r="S151" s="14" t="s">
        <v>1277</v>
      </c>
      <c r="T151" s="14" t="s">
        <v>1278</v>
      </c>
      <c r="U151" s="14" t="s">
        <v>528</v>
      </c>
      <c r="V151" s="48">
        <f>SUMIF(Data!$E:$E,$I151,Data!$AI:$AI)</f>
        <v>0</v>
      </c>
    </row>
    <row r="152" spans="1:22" x14ac:dyDescent="0.25">
      <c r="A152" s="47" t="s">
        <v>1212</v>
      </c>
      <c r="B152" s="47" t="s">
        <v>123</v>
      </c>
      <c r="C152" s="47">
        <v>6093048</v>
      </c>
      <c r="D152" s="47">
        <v>0.2301</v>
      </c>
      <c r="E152" s="48">
        <f>SUMIF(Data!$E:$E,$C152,Data!$AI:$AI)</f>
        <v>0</v>
      </c>
      <c r="I152" s="14" t="s">
        <v>1279</v>
      </c>
      <c r="J152" s="14" t="s">
        <v>1280</v>
      </c>
      <c r="K152" s="14" t="s">
        <v>110</v>
      </c>
      <c r="L152" s="14" t="s">
        <v>1207</v>
      </c>
      <c r="M152" s="14" t="s">
        <v>1281</v>
      </c>
      <c r="N152" s="14" t="s">
        <v>1282</v>
      </c>
      <c r="O152" s="14" t="s">
        <v>1282</v>
      </c>
      <c r="P152" s="14" t="s">
        <v>1283</v>
      </c>
      <c r="Q152" s="14" t="s">
        <v>762</v>
      </c>
      <c r="R152" s="14" t="s">
        <v>1284</v>
      </c>
      <c r="S152" s="14" t="s">
        <v>763</v>
      </c>
      <c r="T152" s="14" t="s">
        <v>1285</v>
      </c>
      <c r="U152" s="14" t="s">
        <v>113</v>
      </c>
      <c r="V152" s="48">
        <f>SUMIF(Data!$E:$E,$I152,Data!$AI:$AI)</f>
        <v>0</v>
      </c>
    </row>
    <row r="153" spans="1:22" x14ac:dyDescent="0.25">
      <c r="A153" s="47" t="s">
        <v>1212</v>
      </c>
      <c r="B153" s="47" t="s">
        <v>123</v>
      </c>
      <c r="C153" s="47">
        <v>6093060</v>
      </c>
      <c r="D153" s="47">
        <v>0.20100000000000001</v>
      </c>
      <c r="E153" s="48">
        <f>SUMIF(Data!$E:$E,$C153,Data!$AI:$AI)</f>
        <v>0</v>
      </c>
      <c r="I153" s="14" t="s">
        <v>1286</v>
      </c>
      <c r="J153" s="14" t="s">
        <v>1287</v>
      </c>
      <c r="K153" s="14" t="s">
        <v>140</v>
      </c>
      <c r="L153" s="14" t="s">
        <v>1207</v>
      </c>
      <c r="M153" s="14" t="s">
        <v>1288</v>
      </c>
      <c r="N153" s="14" t="s">
        <v>1289</v>
      </c>
      <c r="O153" s="14" t="s">
        <v>1290</v>
      </c>
      <c r="P153" s="14" t="s">
        <v>1291</v>
      </c>
      <c r="Q153" s="14" t="s">
        <v>697</v>
      </c>
      <c r="R153" s="14" t="s">
        <v>1292</v>
      </c>
      <c r="S153" s="14" t="s">
        <v>1167</v>
      </c>
      <c r="T153" s="14" t="s">
        <v>1168</v>
      </c>
      <c r="U153" s="14" t="s">
        <v>528</v>
      </c>
      <c r="V153" s="48">
        <f>SUMIF(Data!$E:$E,$I153,Data!$AI:$AI)</f>
        <v>0</v>
      </c>
    </row>
    <row r="154" spans="1:22" x14ac:dyDescent="0.25">
      <c r="A154" s="47" t="s">
        <v>1212</v>
      </c>
      <c r="B154" s="47" t="s">
        <v>123</v>
      </c>
      <c r="C154" s="47">
        <v>6104780</v>
      </c>
      <c r="D154" s="47">
        <v>0.33910000000000001</v>
      </c>
      <c r="E154" s="48">
        <f>SUMIF(Data!$E:$E,$C154,Data!$AI:$AI)</f>
        <v>0</v>
      </c>
      <c r="I154" s="14" t="s">
        <v>1293</v>
      </c>
      <c r="J154" s="14" t="s">
        <v>1294</v>
      </c>
      <c r="K154" s="14" t="s">
        <v>140</v>
      </c>
      <c r="L154" s="14" t="s">
        <v>1207</v>
      </c>
      <c r="M154" s="14" t="s">
        <v>1295</v>
      </c>
      <c r="N154" s="14">
        <v>594.279</v>
      </c>
      <c r="O154" s="14" t="s">
        <v>1296</v>
      </c>
      <c r="P154" s="14" t="s">
        <v>1297</v>
      </c>
      <c r="Q154" s="14" t="s">
        <v>227</v>
      </c>
      <c r="R154" s="14" t="s">
        <v>1298</v>
      </c>
      <c r="S154" s="14" t="s">
        <v>479</v>
      </c>
      <c r="T154" s="14" t="s">
        <v>480</v>
      </c>
      <c r="U154" s="14" t="s">
        <v>481</v>
      </c>
      <c r="V154" s="48">
        <f>SUMIF(Data!$E:$E,$I154,Data!$AI:$AI)</f>
        <v>0</v>
      </c>
    </row>
    <row r="155" spans="1:22" x14ac:dyDescent="0.25">
      <c r="A155" s="47" t="s">
        <v>1212</v>
      </c>
      <c r="B155" s="47" t="s">
        <v>123</v>
      </c>
      <c r="C155" s="47">
        <v>6107176</v>
      </c>
      <c r="D155" s="47">
        <v>0.52059999999999995</v>
      </c>
      <c r="E155" s="48">
        <f>SUMIF(Data!$E:$E,$C155,Data!$AI:$AI)</f>
        <v>0</v>
      </c>
      <c r="I155" s="14" t="s">
        <v>1299</v>
      </c>
      <c r="J155" s="14" t="s">
        <v>1300</v>
      </c>
      <c r="K155" s="14" t="s">
        <v>140</v>
      </c>
      <c r="L155" s="14" t="s">
        <v>1207</v>
      </c>
      <c r="M155" s="14" t="s">
        <v>1301</v>
      </c>
      <c r="N155" s="14">
        <v>172.749</v>
      </c>
      <c r="O155" s="14" t="s">
        <v>1302</v>
      </c>
      <c r="P155" s="14" t="s">
        <v>1303</v>
      </c>
      <c r="Q155" s="14" t="s">
        <v>211</v>
      </c>
      <c r="R155" s="14" t="s">
        <v>1304</v>
      </c>
      <c r="S155" s="14" t="s">
        <v>195</v>
      </c>
      <c r="T155" s="14" t="s">
        <v>149</v>
      </c>
      <c r="U155" s="14" t="s">
        <v>113</v>
      </c>
      <c r="V155" s="48">
        <f>SUMIF(Data!$E:$E,$I155,Data!$AI:$AI)</f>
        <v>0</v>
      </c>
    </row>
    <row r="156" spans="1:22" x14ac:dyDescent="0.25">
      <c r="A156" s="47" t="s">
        <v>1212</v>
      </c>
      <c r="B156" s="47" t="s">
        <v>123</v>
      </c>
      <c r="C156" s="47">
        <v>6107284</v>
      </c>
      <c r="D156" s="47">
        <v>0.36280000000000001</v>
      </c>
      <c r="E156" s="48">
        <f>SUMIF(Data!$E:$E,$C156,Data!$AI:$AI)</f>
        <v>0</v>
      </c>
      <c r="I156" s="14" t="s">
        <v>1305</v>
      </c>
      <c r="J156" s="14" t="s">
        <v>1306</v>
      </c>
      <c r="K156" s="14" t="s">
        <v>140</v>
      </c>
      <c r="L156" s="14" t="s">
        <v>1307</v>
      </c>
      <c r="M156" s="14" t="s">
        <v>1308</v>
      </c>
      <c r="N156" s="14">
        <v>95.022999999999996</v>
      </c>
      <c r="O156" s="14" t="s">
        <v>1309</v>
      </c>
      <c r="P156" s="14" t="s">
        <v>1310</v>
      </c>
      <c r="Q156" s="14" t="s">
        <v>165</v>
      </c>
      <c r="R156" s="14" t="s">
        <v>1311</v>
      </c>
      <c r="S156" s="14" t="s">
        <v>526</v>
      </c>
      <c r="T156" s="14" t="s">
        <v>527</v>
      </c>
      <c r="U156" s="14" t="s">
        <v>528</v>
      </c>
      <c r="V156" s="48">
        <f>SUMIF(Data!$E:$E,$I156,Data!$AI:$AI)</f>
        <v>0</v>
      </c>
    </row>
    <row r="157" spans="1:22" x14ac:dyDescent="0.25">
      <c r="A157" s="47" t="s">
        <v>1212</v>
      </c>
      <c r="B157" s="47" t="s">
        <v>123</v>
      </c>
      <c r="C157" s="47">
        <v>6109901</v>
      </c>
      <c r="D157" s="47">
        <v>1.0076000000000001</v>
      </c>
      <c r="E157" s="48">
        <f>SUMIF(Data!$E:$E,$C157,Data!$AI:$AI)</f>
        <v>0</v>
      </c>
      <c r="I157" s="14" t="s">
        <v>1312</v>
      </c>
      <c r="J157" s="14" t="s">
        <v>1313</v>
      </c>
      <c r="K157" s="14" t="s">
        <v>140</v>
      </c>
      <c r="L157" s="14" t="s">
        <v>1307</v>
      </c>
      <c r="M157" s="14" t="s">
        <v>1314</v>
      </c>
      <c r="N157" s="14">
        <v>86.647000000000006</v>
      </c>
      <c r="O157" s="14" t="s">
        <v>1315</v>
      </c>
      <c r="P157" s="14" t="s">
        <v>1316</v>
      </c>
      <c r="Q157" s="14" t="s">
        <v>419</v>
      </c>
      <c r="R157" s="14" t="s">
        <v>1317</v>
      </c>
      <c r="S157" s="14" t="s">
        <v>195</v>
      </c>
      <c r="T157" s="14" t="s">
        <v>149</v>
      </c>
      <c r="U157" s="14" t="s">
        <v>113</v>
      </c>
      <c r="V157" s="48">
        <f>SUMIF(Data!$E:$E,$I157,Data!$AI:$AI)</f>
        <v>0</v>
      </c>
    </row>
    <row r="158" spans="1:22" x14ac:dyDescent="0.25">
      <c r="A158" s="47" t="s">
        <v>1212</v>
      </c>
      <c r="B158" s="47" t="s">
        <v>123</v>
      </c>
      <c r="C158" s="47">
        <v>6110088</v>
      </c>
      <c r="D158" s="47">
        <v>0.23080000000000001</v>
      </c>
      <c r="E158" s="48">
        <f>SUMIF(Data!$E:$E,$C158,Data!$AI:$AI)</f>
        <v>0</v>
      </c>
      <c r="I158" s="14">
        <v>4502</v>
      </c>
      <c r="J158" s="14" t="s">
        <v>1318</v>
      </c>
      <c r="K158" s="14" t="s">
        <v>140</v>
      </c>
      <c r="L158" s="14" t="s">
        <v>1307</v>
      </c>
      <c r="M158" s="14" t="s">
        <v>971</v>
      </c>
      <c r="N158" s="14">
        <v>808.79499999999996</v>
      </c>
      <c r="O158" s="14" t="s">
        <v>1319</v>
      </c>
      <c r="P158" s="14" t="s">
        <v>1320</v>
      </c>
      <c r="Q158" s="14" t="s">
        <v>211</v>
      </c>
      <c r="R158" s="14" t="s">
        <v>1321</v>
      </c>
      <c r="S158" s="14" t="s">
        <v>444</v>
      </c>
      <c r="T158" s="14" t="s">
        <v>445</v>
      </c>
      <c r="U158" s="14" t="s">
        <v>446</v>
      </c>
      <c r="V158" s="48">
        <f>SUMIF(Data!$E:$E,$I158,Data!$AI:$AI)</f>
        <v>0</v>
      </c>
    </row>
    <row r="159" spans="1:22" x14ac:dyDescent="0.25">
      <c r="A159" s="47" t="s">
        <v>1212</v>
      </c>
      <c r="B159" s="47" t="s">
        <v>123</v>
      </c>
      <c r="C159" s="47">
        <v>6110107</v>
      </c>
      <c r="D159" s="47">
        <v>0.2442</v>
      </c>
      <c r="E159" s="48">
        <f>SUMIF(Data!$E:$E,$C159,Data!$AI:$AI)</f>
        <v>0</v>
      </c>
      <c r="I159" s="14" t="s">
        <v>1322</v>
      </c>
      <c r="J159" s="14" t="s">
        <v>1323</v>
      </c>
      <c r="K159" s="14" t="s">
        <v>140</v>
      </c>
      <c r="L159" s="14" t="s">
        <v>1307</v>
      </c>
      <c r="M159" s="14" t="s">
        <v>1324</v>
      </c>
      <c r="N159" s="14">
        <v>450.11700000000002</v>
      </c>
      <c r="O159" s="14" t="s">
        <v>1325</v>
      </c>
      <c r="P159" s="14" t="s">
        <v>1326</v>
      </c>
      <c r="Q159" s="14" t="s">
        <v>227</v>
      </c>
      <c r="R159" s="14" t="s">
        <v>1327</v>
      </c>
      <c r="S159" s="14" t="s">
        <v>195</v>
      </c>
      <c r="T159" s="14" t="s">
        <v>149</v>
      </c>
      <c r="U159" s="14" t="s">
        <v>113</v>
      </c>
      <c r="V159" s="48">
        <f>SUMIF(Data!$E:$E,$I159,Data!$AI:$AI)</f>
        <v>0</v>
      </c>
    </row>
    <row r="160" spans="1:22" x14ac:dyDescent="0.25">
      <c r="A160" s="47" t="s">
        <v>1212</v>
      </c>
      <c r="B160" s="47" t="s">
        <v>123</v>
      </c>
      <c r="C160" s="47">
        <v>6112910</v>
      </c>
      <c r="D160" s="47">
        <v>0.1575</v>
      </c>
      <c r="E160" s="48">
        <f>SUMIF(Data!$E:$E,$C160,Data!$AI:$AI)</f>
        <v>0</v>
      </c>
      <c r="I160" s="14" t="s">
        <v>1328</v>
      </c>
      <c r="J160" s="14" t="s">
        <v>1329</v>
      </c>
      <c r="K160" s="14" t="s">
        <v>140</v>
      </c>
      <c r="L160" s="14" t="s">
        <v>1307</v>
      </c>
      <c r="M160" s="14" t="s">
        <v>1330</v>
      </c>
      <c r="N160" s="14">
        <v>221.607</v>
      </c>
      <c r="O160" s="14" t="s">
        <v>1331</v>
      </c>
      <c r="P160" s="14" t="s">
        <v>1332</v>
      </c>
      <c r="Q160" s="14" t="s">
        <v>809</v>
      </c>
      <c r="R160" s="14" t="s">
        <v>1333</v>
      </c>
      <c r="S160" s="14" t="s">
        <v>195</v>
      </c>
      <c r="T160" s="14" t="s">
        <v>149</v>
      </c>
      <c r="U160" s="14" t="s">
        <v>113</v>
      </c>
      <c r="V160" s="48">
        <f>SUMIF(Data!$E:$E,$I160,Data!$AI:$AI)</f>
        <v>0</v>
      </c>
    </row>
    <row r="161" spans="1:22" x14ac:dyDescent="0.25">
      <c r="A161" s="47" t="s">
        <v>1212</v>
      </c>
      <c r="B161" s="47" t="s">
        <v>123</v>
      </c>
      <c r="C161" s="47">
        <v>6116008</v>
      </c>
      <c r="D161" s="47">
        <v>0.1658</v>
      </c>
      <c r="E161" s="48">
        <f>SUMIF(Data!$E:$E,$C161,Data!$AI:$AI)</f>
        <v>0</v>
      </c>
      <c r="I161" s="14" t="s">
        <v>1334</v>
      </c>
      <c r="J161" s="14" t="s">
        <v>1335</v>
      </c>
      <c r="K161" s="14" t="s">
        <v>140</v>
      </c>
      <c r="L161" s="14" t="s">
        <v>1307</v>
      </c>
      <c r="M161" s="14" t="s">
        <v>1336</v>
      </c>
      <c r="N161" s="14">
        <v>61.343000000000004</v>
      </c>
      <c r="O161" s="14" t="s">
        <v>1337</v>
      </c>
      <c r="P161" s="14" t="s">
        <v>1338</v>
      </c>
      <c r="Q161" s="14" t="s">
        <v>193</v>
      </c>
      <c r="R161" s="14" t="s">
        <v>1339</v>
      </c>
      <c r="S161" s="14" t="s">
        <v>195</v>
      </c>
      <c r="T161" s="14" t="s">
        <v>149</v>
      </c>
      <c r="U161" s="14" t="s">
        <v>113</v>
      </c>
      <c r="V161" s="48">
        <f>SUMIF(Data!$E:$E,$I161,Data!$AI:$AI)</f>
        <v>0</v>
      </c>
    </row>
    <row r="162" spans="1:22" x14ac:dyDescent="0.25">
      <c r="A162" s="47" t="s">
        <v>1212</v>
      </c>
      <c r="B162" s="47" t="s">
        <v>123</v>
      </c>
      <c r="C162" s="47">
        <v>6117874</v>
      </c>
      <c r="D162" s="47">
        <v>0.158</v>
      </c>
      <c r="E162" s="48">
        <f>SUMIF(Data!$E:$E,$C162,Data!$AI:$AI)</f>
        <v>0</v>
      </c>
      <c r="I162" s="14" t="s">
        <v>1340</v>
      </c>
      <c r="J162" s="14" t="s">
        <v>1341</v>
      </c>
      <c r="K162" s="14" t="s">
        <v>140</v>
      </c>
      <c r="L162" s="14" t="s">
        <v>1307</v>
      </c>
      <c r="M162" s="14" t="s">
        <v>1342</v>
      </c>
      <c r="N162" s="14">
        <v>656.27</v>
      </c>
      <c r="O162" s="14" t="s">
        <v>1343</v>
      </c>
      <c r="P162" s="14" t="s">
        <v>1344</v>
      </c>
      <c r="Q162" s="14" t="s">
        <v>193</v>
      </c>
      <c r="R162" s="14" t="s">
        <v>1345</v>
      </c>
      <c r="S162" s="14" t="s">
        <v>195</v>
      </c>
      <c r="T162" s="14" t="s">
        <v>149</v>
      </c>
      <c r="U162" s="14" t="s">
        <v>113</v>
      </c>
      <c r="V162" s="48">
        <f>SUMIF(Data!$E:$E,$I162,Data!$AI:$AI)</f>
        <v>0</v>
      </c>
    </row>
    <row r="163" spans="1:22" x14ac:dyDescent="0.25">
      <c r="A163" s="47" t="s">
        <v>1212</v>
      </c>
      <c r="B163" s="47" t="s">
        <v>123</v>
      </c>
      <c r="C163" s="47">
        <v>6119289</v>
      </c>
      <c r="D163" s="47">
        <v>4.65E-2</v>
      </c>
      <c r="E163" s="48">
        <f>SUMIF(Data!$E:$E,$C163,Data!$AI:$AI)</f>
        <v>0</v>
      </c>
      <c r="I163" s="14" t="s">
        <v>1346</v>
      </c>
      <c r="J163" s="14" t="s">
        <v>1347</v>
      </c>
      <c r="K163" s="14" t="s">
        <v>140</v>
      </c>
      <c r="L163" s="14" t="s">
        <v>1307</v>
      </c>
      <c r="M163" s="14" t="s">
        <v>1348</v>
      </c>
      <c r="N163" s="14" t="s">
        <v>1349</v>
      </c>
      <c r="O163" s="14" t="s">
        <v>1350</v>
      </c>
      <c r="P163" s="14" t="s">
        <v>1351</v>
      </c>
      <c r="Q163" s="14" t="s">
        <v>193</v>
      </c>
      <c r="R163" s="14" t="s">
        <v>1352</v>
      </c>
      <c r="S163" s="14" t="s">
        <v>850</v>
      </c>
      <c r="T163" s="14" t="s">
        <v>851</v>
      </c>
      <c r="U163" s="14" t="s">
        <v>852</v>
      </c>
      <c r="V163" s="48">
        <f>SUMIF(Data!$E:$E,$I163,Data!$AI:$AI)</f>
        <v>0</v>
      </c>
    </row>
    <row r="164" spans="1:22" x14ac:dyDescent="0.25">
      <c r="A164" s="47" t="s">
        <v>1212</v>
      </c>
      <c r="B164" s="47" t="s">
        <v>123</v>
      </c>
      <c r="C164" s="47">
        <v>6121187</v>
      </c>
      <c r="D164" s="47">
        <v>0.31859999999999999</v>
      </c>
      <c r="E164" s="48">
        <f>SUMIF(Data!$E:$E,$C164,Data!$AI:$AI)</f>
        <v>0</v>
      </c>
      <c r="I164" s="14" t="s">
        <v>1353</v>
      </c>
      <c r="J164" s="14" t="s">
        <v>1354</v>
      </c>
      <c r="K164" s="14" t="s">
        <v>140</v>
      </c>
      <c r="L164" s="14" t="s">
        <v>1307</v>
      </c>
      <c r="M164" s="14" t="s">
        <v>1355</v>
      </c>
      <c r="N164" s="14">
        <v>502.553</v>
      </c>
      <c r="O164" s="14" t="s">
        <v>1356</v>
      </c>
      <c r="P164" s="14" t="s">
        <v>1357</v>
      </c>
      <c r="Q164" s="14" t="s">
        <v>146</v>
      </c>
      <c r="R164" s="14" t="s">
        <v>1358</v>
      </c>
      <c r="S164" s="14" t="s">
        <v>148</v>
      </c>
      <c r="T164" s="14" t="s">
        <v>149</v>
      </c>
      <c r="U164" s="14" t="s">
        <v>113</v>
      </c>
      <c r="V164" s="48">
        <f>SUMIF(Data!$E:$E,$I164,Data!$AI:$AI)</f>
        <v>0</v>
      </c>
    </row>
    <row r="165" spans="1:22" x14ac:dyDescent="0.25">
      <c r="A165" s="47" t="s">
        <v>1212</v>
      </c>
      <c r="B165" s="47" t="s">
        <v>123</v>
      </c>
      <c r="C165" s="47">
        <v>6128780</v>
      </c>
      <c r="D165" s="47">
        <v>0.22839999999999999</v>
      </c>
      <c r="E165" s="48">
        <f>SUMIF(Data!$E:$E,$C165,Data!$AI:$AI)</f>
        <v>0</v>
      </c>
      <c r="I165" s="14" t="s">
        <v>1359</v>
      </c>
      <c r="J165" s="14" t="s">
        <v>1360</v>
      </c>
      <c r="K165" s="14" t="s">
        <v>140</v>
      </c>
      <c r="L165" s="14" t="s">
        <v>1307</v>
      </c>
      <c r="M165" s="14" t="s">
        <v>1361</v>
      </c>
      <c r="N165" s="14">
        <v>133.96299999999999</v>
      </c>
      <c r="O165" s="14" t="s">
        <v>1362</v>
      </c>
      <c r="P165" s="14" t="s">
        <v>1363</v>
      </c>
      <c r="Q165" s="14" t="s">
        <v>211</v>
      </c>
      <c r="R165" s="14" t="s">
        <v>1364</v>
      </c>
      <c r="S165" s="14" t="s">
        <v>148</v>
      </c>
      <c r="T165" s="14" t="s">
        <v>149</v>
      </c>
      <c r="U165" s="14" t="s">
        <v>113</v>
      </c>
      <c r="V165" s="48">
        <f>SUMIF(Data!$E:$E,$I165,Data!$AI:$AI)</f>
        <v>0</v>
      </c>
    </row>
    <row r="166" spans="1:22" x14ac:dyDescent="0.25">
      <c r="A166" s="47" t="s">
        <v>1212</v>
      </c>
      <c r="B166" s="47" t="s">
        <v>123</v>
      </c>
      <c r="C166" s="47">
        <v>6131012</v>
      </c>
      <c r="D166" s="47">
        <v>0.1951</v>
      </c>
      <c r="E166" s="48">
        <f>SUMIF(Data!$E:$E,$C166,Data!$AI:$AI)</f>
        <v>0</v>
      </c>
      <c r="I166" s="14" t="s">
        <v>1365</v>
      </c>
      <c r="J166" s="14" t="s">
        <v>1366</v>
      </c>
      <c r="K166" s="14" t="s">
        <v>140</v>
      </c>
      <c r="L166" s="14" t="s">
        <v>1307</v>
      </c>
      <c r="M166" s="14" t="s">
        <v>1367</v>
      </c>
      <c r="N166" s="14">
        <v>341.54700000000003</v>
      </c>
      <c r="O166" s="14" t="s">
        <v>1368</v>
      </c>
      <c r="P166" s="14" t="s">
        <v>1369</v>
      </c>
      <c r="Q166" s="14" t="s">
        <v>809</v>
      </c>
      <c r="R166" s="14" t="s">
        <v>1370</v>
      </c>
      <c r="S166" s="14" t="s">
        <v>195</v>
      </c>
      <c r="T166" s="14" t="s">
        <v>149</v>
      </c>
      <c r="U166" s="14" t="s">
        <v>113</v>
      </c>
      <c r="V166" s="48">
        <f>SUMIF(Data!$E:$E,$I166,Data!$AI:$AI)</f>
        <v>0</v>
      </c>
    </row>
    <row r="167" spans="1:22" x14ac:dyDescent="0.25">
      <c r="A167" s="47" t="s">
        <v>1212</v>
      </c>
      <c r="B167" s="47" t="s">
        <v>123</v>
      </c>
      <c r="C167" s="47">
        <v>6158594</v>
      </c>
      <c r="D167" s="47">
        <v>0.1709</v>
      </c>
      <c r="E167" s="48">
        <f>SUMIF(Data!$E:$E,$C167,Data!$AI:$AI)</f>
        <v>0</v>
      </c>
      <c r="I167" s="14" t="s">
        <v>1371</v>
      </c>
      <c r="J167" s="14" t="s">
        <v>1372</v>
      </c>
      <c r="K167" s="14" t="s">
        <v>140</v>
      </c>
      <c r="L167" s="14" t="s">
        <v>1307</v>
      </c>
      <c r="M167" s="14" t="s">
        <v>1373</v>
      </c>
      <c r="N167" s="14">
        <v>386.59100000000001</v>
      </c>
      <c r="O167" s="14" t="s">
        <v>1374</v>
      </c>
      <c r="P167" s="14" t="s">
        <v>1375</v>
      </c>
      <c r="Q167" s="14" t="s">
        <v>227</v>
      </c>
      <c r="R167" s="14" t="s">
        <v>1376</v>
      </c>
      <c r="S167" s="14" t="s">
        <v>479</v>
      </c>
      <c r="T167" s="14" t="s">
        <v>480</v>
      </c>
      <c r="U167" s="14" t="s">
        <v>481</v>
      </c>
      <c r="V167" s="48">
        <f>SUMIF(Data!$E:$E,$I167,Data!$AI:$AI)</f>
        <v>0</v>
      </c>
    </row>
    <row r="168" spans="1:22" x14ac:dyDescent="0.25">
      <c r="A168" s="47" t="s">
        <v>1212</v>
      </c>
      <c r="B168" s="47" t="s">
        <v>123</v>
      </c>
      <c r="C168" s="47">
        <v>6177685</v>
      </c>
      <c r="D168" s="47">
        <v>0.13500000000000001</v>
      </c>
      <c r="E168" s="48">
        <f>SUMIF(Data!$E:$E,$C168,Data!$AI:$AI)</f>
        <v>0</v>
      </c>
      <c r="I168" s="14" t="s">
        <v>1377</v>
      </c>
      <c r="J168" s="14" t="s">
        <v>1378</v>
      </c>
      <c r="K168" s="14" t="s">
        <v>140</v>
      </c>
      <c r="L168" s="14" t="s">
        <v>1379</v>
      </c>
      <c r="M168" s="14" t="s">
        <v>1380</v>
      </c>
      <c r="N168" s="14">
        <v>414.41899999999998</v>
      </c>
      <c r="O168" s="14" t="s">
        <v>1381</v>
      </c>
      <c r="P168" s="14" t="s">
        <v>1382</v>
      </c>
      <c r="Q168" s="14" t="s">
        <v>419</v>
      </c>
      <c r="R168" s="14" t="s">
        <v>1383</v>
      </c>
      <c r="S168" s="14" t="s">
        <v>148</v>
      </c>
      <c r="T168" s="14" t="s">
        <v>149</v>
      </c>
      <c r="U168" s="14" t="s">
        <v>113</v>
      </c>
      <c r="V168" s="48">
        <f>SUMIF(Data!$E:$E,$I168,Data!$AI:$AI)</f>
        <v>0</v>
      </c>
    </row>
    <row r="169" spans="1:22" x14ac:dyDescent="0.25">
      <c r="A169" s="47" t="s">
        <v>1212</v>
      </c>
      <c r="B169" s="47" t="s">
        <v>123</v>
      </c>
      <c r="C169" s="47">
        <v>6180809</v>
      </c>
      <c r="D169" s="47">
        <v>0.19800000000000001</v>
      </c>
      <c r="E169" s="48">
        <f>SUMIF(Data!$E:$E,$C169,Data!$AI:$AI)</f>
        <v>0</v>
      </c>
      <c r="I169" s="14" t="s">
        <v>1384</v>
      </c>
      <c r="J169" s="14" t="s">
        <v>1385</v>
      </c>
      <c r="K169" s="14" t="s">
        <v>140</v>
      </c>
      <c r="L169" s="14" t="s">
        <v>1379</v>
      </c>
      <c r="M169" s="14" t="s">
        <v>1386</v>
      </c>
      <c r="N169" s="14">
        <v>274.08999999999997</v>
      </c>
      <c r="O169" s="14" t="s">
        <v>1387</v>
      </c>
      <c r="P169" s="14" t="s">
        <v>1388</v>
      </c>
      <c r="Q169" s="14" t="s">
        <v>419</v>
      </c>
      <c r="R169" s="14" t="s">
        <v>1389</v>
      </c>
      <c r="S169" s="14" t="s">
        <v>563</v>
      </c>
      <c r="T169" s="14" t="s">
        <v>564</v>
      </c>
      <c r="U169" s="14" t="s">
        <v>528</v>
      </c>
      <c r="V169" s="48">
        <f>SUMIF(Data!$E:$E,$I169,Data!$AI:$AI)</f>
        <v>0</v>
      </c>
    </row>
    <row r="170" spans="1:22" x14ac:dyDescent="0.25">
      <c r="A170" s="47" t="s">
        <v>1212</v>
      </c>
      <c r="B170" s="47" t="s">
        <v>123</v>
      </c>
      <c r="C170" s="47">
        <v>6182043</v>
      </c>
      <c r="D170" s="47">
        <v>1.3409</v>
      </c>
      <c r="E170" s="48">
        <f>SUMIF(Data!$E:$E,$C170,Data!$AI:$AI)</f>
        <v>0</v>
      </c>
      <c r="I170" s="14" t="s">
        <v>1390</v>
      </c>
      <c r="J170" s="14" t="s">
        <v>1391</v>
      </c>
      <c r="K170" s="14" t="s">
        <v>140</v>
      </c>
      <c r="L170" s="14" t="s">
        <v>1379</v>
      </c>
      <c r="M170" s="14" t="s">
        <v>1392</v>
      </c>
      <c r="N170" s="14" t="s">
        <v>1393</v>
      </c>
      <c r="O170" s="14" t="s">
        <v>1394</v>
      </c>
      <c r="P170" s="14" t="s">
        <v>1395</v>
      </c>
      <c r="Q170" s="14" t="s">
        <v>175</v>
      </c>
      <c r="R170" s="14" t="s">
        <v>1396</v>
      </c>
      <c r="S170" s="14" t="s">
        <v>526</v>
      </c>
      <c r="T170" s="14" t="s">
        <v>527</v>
      </c>
      <c r="U170" s="14" t="s">
        <v>528</v>
      </c>
      <c r="V170" s="48">
        <f>SUMIF(Data!$E:$E,$I170,Data!$AI:$AI)</f>
        <v>0</v>
      </c>
    </row>
    <row r="171" spans="1:22" x14ac:dyDescent="0.25">
      <c r="A171" s="47" t="s">
        <v>1212</v>
      </c>
      <c r="B171" s="47" t="s">
        <v>123</v>
      </c>
      <c r="C171" s="47">
        <v>6188052</v>
      </c>
      <c r="D171" s="47">
        <v>0.18720000000000001</v>
      </c>
      <c r="E171" s="48">
        <f>SUMIF(Data!$E:$E,$C171,Data!$AI:$AI)</f>
        <v>0</v>
      </c>
      <c r="I171" s="14" t="s">
        <v>1397</v>
      </c>
      <c r="J171" s="14" t="s">
        <v>1398</v>
      </c>
      <c r="K171" s="14" t="s">
        <v>140</v>
      </c>
      <c r="L171" s="14" t="s">
        <v>1379</v>
      </c>
      <c r="M171" s="14" t="s">
        <v>1399</v>
      </c>
      <c r="N171" s="14" t="s">
        <v>1400</v>
      </c>
      <c r="O171" s="14" t="s">
        <v>1401</v>
      </c>
      <c r="P171" s="14" t="s">
        <v>1402</v>
      </c>
      <c r="Q171" s="14" t="s">
        <v>193</v>
      </c>
      <c r="R171" s="14" t="s">
        <v>1403</v>
      </c>
      <c r="S171" s="14" t="s">
        <v>479</v>
      </c>
      <c r="T171" s="14" t="s">
        <v>480</v>
      </c>
      <c r="U171" s="14" t="s">
        <v>481</v>
      </c>
      <c r="V171" s="48">
        <f>SUMIF(Data!$E:$E,$I171,Data!$AI:$AI)</f>
        <v>0</v>
      </c>
    </row>
    <row r="172" spans="1:22" x14ac:dyDescent="0.25">
      <c r="A172" s="47" t="s">
        <v>1212</v>
      </c>
      <c r="B172" s="47" t="s">
        <v>123</v>
      </c>
      <c r="C172" s="47">
        <v>6193948</v>
      </c>
      <c r="D172" s="47">
        <v>0.25609999999999999</v>
      </c>
      <c r="E172" s="48">
        <f>SUMIF(Data!$E:$E,$C172,Data!$AI:$AI)</f>
        <v>0</v>
      </c>
      <c r="I172" s="14" t="s">
        <v>1404</v>
      </c>
      <c r="J172" s="14" t="s">
        <v>1405</v>
      </c>
      <c r="K172" s="14" t="s">
        <v>140</v>
      </c>
      <c r="L172" s="14" t="s">
        <v>1379</v>
      </c>
      <c r="M172" s="14" t="s">
        <v>1406</v>
      </c>
      <c r="N172" s="14">
        <v>99.525000000000006</v>
      </c>
      <c r="O172" s="14" t="s">
        <v>1407</v>
      </c>
      <c r="P172" s="14" t="s">
        <v>1408</v>
      </c>
      <c r="Q172" s="14" t="s">
        <v>146</v>
      </c>
      <c r="R172" s="14" t="s">
        <v>1409</v>
      </c>
      <c r="S172" s="14" t="s">
        <v>195</v>
      </c>
      <c r="T172" s="14" t="s">
        <v>149</v>
      </c>
      <c r="U172" s="14" t="s">
        <v>113</v>
      </c>
      <c r="V172" s="48">
        <f>SUMIF(Data!$E:$E,$I172,Data!$AI:$AI)</f>
        <v>0</v>
      </c>
    </row>
    <row r="173" spans="1:22" x14ac:dyDescent="0.25">
      <c r="A173" s="47" t="s">
        <v>1212</v>
      </c>
      <c r="B173" s="47" t="s">
        <v>123</v>
      </c>
      <c r="C173" s="47">
        <v>6201498</v>
      </c>
      <c r="D173" s="47">
        <v>0.2077</v>
      </c>
      <c r="E173" s="48">
        <f>SUMIF(Data!$E:$E,$C173,Data!$AI:$AI)</f>
        <v>0</v>
      </c>
      <c r="I173" s="14" t="s">
        <v>1410</v>
      </c>
      <c r="J173" s="14" t="s">
        <v>1411</v>
      </c>
      <c r="K173" s="14" t="s">
        <v>140</v>
      </c>
      <c r="L173" s="14" t="s">
        <v>1379</v>
      </c>
      <c r="M173" s="14" t="s">
        <v>1412</v>
      </c>
      <c r="N173" s="14" t="s">
        <v>1413</v>
      </c>
      <c r="O173" s="14" t="s">
        <v>1414</v>
      </c>
      <c r="P173" s="14" t="s">
        <v>1415</v>
      </c>
      <c r="Q173" s="14" t="s">
        <v>193</v>
      </c>
      <c r="R173" s="14" t="s">
        <v>1416</v>
      </c>
      <c r="S173" s="14" t="s">
        <v>563</v>
      </c>
      <c r="T173" s="14" t="s">
        <v>564</v>
      </c>
      <c r="U173" s="14" t="s">
        <v>528</v>
      </c>
      <c r="V173" s="48">
        <f>SUMIF(Data!$E:$E,$I173,Data!$AI:$AI)</f>
        <v>0</v>
      </c>
    </row>
    <row r="174" spans="1:22" x14ac:dyDescent="0.25">
      <c r="A174" s="47" t="s">
        <v>1212</v>
      </c>
      <c r="B174" s="47" t="s">
        <v>123</v>
      </c>
      <c r="C174" s="47">
        <v>6247964</v>
      </c>
      <c r="D174" s="47">
        <v>0.1222</v>
      </c>
      <c r="E174" s="48">
        <f>SUMIF(Data!$E:$E,$C174,Data!$AI:$AI)</f>
        <v>0</v>
      </c>
      <c r="I174" s="14" t="s">
        <v>1417</v>
      </c>
      <c r="J174" s="14" t="s">
        <v>1418</v>
      </c>
      <c r="K174" s="14" t="s">
        <v>140</v>
      </c>
      <c r="L174" s="14" t="s">
        <v>1379</v>
      </c>
      <c r="M174" s="14" t="s">
        <v>1419</v>
      </c>
      <c r="N174" s="14">
        <v>155.874</v>
      </c>
      <c r="O174" s="14" t="s">
        <v>1420</v>
      </c>
      <c r="P174" s="14" t="s">
        <v>1421</v>
      </c>
      <c r="Q174" s="14" t="s">
        <v>146</v>
      </c>
      <c r="R174" s="14" t="s">
        <v>1422</v>
      </c>
      <c r="S174" s="14" t="s">
        <v>195</v>
      </c>
      <c r="T174" s="14" t="s">
        <v>149</v>
      </c>
      <c r="U174" s="14" t="s">
        <v>113</v>
      </c>
      <c r="V174" s="48">
        <f>SUMIF(Data!$E:$E,$I174,Data!$AI:$AI)</f>
        <v>0</v>
      </c>
    </row>
    <row r="175" spans="1:22" x14ac:dyDescent="0.25">
      <c r="A175" s="47" t="s">
        <v>1212</v>
      </c>
      <c r="B175" s="47" t="s">
        <v>123</v>
      </c>
      <c r="C175" s="47">
        <v>6281519</v>
      </c>
      <c r="D175" s="47">
        <v>0.15049999999999999</v>
      </c>
      <c r="E175" s="48">
        <f>SUMIF(Data!$E:$E,$C175,Data!$AI:$AI)</f>
        <v>0</v>
      </c>
      <c r="I175" s="14" t="s">
        <v>1423</v>
      </c>
      <c r="J175" s="14" t="s">
        <v>1424</v>
      </c>
      <c r="K175" s="14" t="s">
        <v>140</v>
      </c>
      <c r="L175" s="14" t="s">
        <v>1379</v>
      </c>
      <c r="M175" s="14" t="s">
        <v>1425</v>
      </c>
      <c r="N175" s="14">
        <v>262.69299999999998</v>
      </c>
      <c r="O175" s="14" t="s">
        <v>1426</v>
      </c>
      <c r="P175" s="14" t="s">
        <v>1427</v>
      </c>
      <c r="Q175" s="14" t="s">
        <v>193</v>
      </c>
      <c r="R175" s="14" t="s">
        <v>1428</v>
      </c>
      <c r="S175" s="14" t="s">
        <v>195</v>
      </c>
      <c r="T175" s="14" t="s">
        <v>149</v>
      </c>
      <c r="U175" s="14" t="s">
        <v>113</v>
      </c>
      <c r="V175" s="48">
        <f>SUMIF(Data!$E:$E,$I175,Data!$AI:$AI)</f>
        <v>0</v>
      </c>
    </row>
    <row r="176" spans="1:22" x14ac:dyDescent="0.25">
      <c r="A176" s="47" t="s">
        <v>1212</v>
      </c>
      <c r="B176" s="47" t="s">
        <v>123</v>
      </c>
      <c r="C176" s="47">
        <v>6288457</v>
      </c>
      <c r="D176" s="47">
        <v>0.93879999999999997</v>
      </c>
      <c r="E176" s="48">
        <f>SUMIF(Data!$E:$E,$C176,Data!$AI:$AI)</f>
        <v>0</v>
      </c>
      <c r="I176" s="14" t="s">
        <v>1429</v>
      </c>
      <c r="J176" s="14" t="s">
        <v>1430</v>
      </c>
      <c r="K176" s="14" t="s">
        <v>140</v>
      </c>
      <c r="L176" s="14" t="s">
        <v>1379</v>
      </c>
      <c r="M176" s="14" t="s">
        <v>1431</v>
      </c>
      <c r="N176" s="14">
        <v>148.16999999999999</v>
      </c>
      <c r="O176" s="14" t="s">
        <v>1432</v>
      </c>
      <c r="P176" s="14" t="s">
        <v>1433</v>
      </c>
      <c r="Q176" s="14" t="s">
        <v>419</v>
      </c>
      <c r="R176" s="14" t="s">
        <v>1434</v>
      </c>
      <c r="S176" s="14" t="s">
        <v>195</v>
      </c>
      <c r="T176" s="14" t="s">
        <v>149</v>
      </c>
      <c r="U176" s="14" t="s">
        <v>113</v>
      </c>
      <c r="V176" s="48">
        <f>SUMIF(Data!$E:$E,$I176,Data!$AI:$AI)</f>
        <v>0</v>
      </c>
    </row>
    <row r="177" spans="1:22" x14ac:dyDescent="0.25">
      <c r="A177" s="47" t="s">
        <v>1212</v>
      </c>
      <c r="B177" s="47" t="s">
        <v>123</v>
      </c>
      <c r="C177" s="47">
        <v>6289977</v>
      </c>
      <c r="D177" s="47">
        <v>0.18240000000000001</v>
      </c>
      <c r="E177" s="48">
        <f>SUMIF(Data!$E:$E,$C177,Data!$AI:$AI)</f>
        <v>0</v>
      </c>
      <c r="I177" s="14">
        <v>9433</v>
      </c>
      <c r="J177" s="14" t="s">
        <v>1435</v>
      </c>
      <c r="K177" s="14" t="s">
        <v>140</v>
      </c>
      <c r="L177" s="14" t="s">
        <v>1379</v>
      </c>
      <c r="M177" s="14" t="s">
        <v>1436</v>
      </c>
      <c r="N177" s="14">
        <v>972.85</v>
      </c>
      <c r="O177" s="14" t="s">
        <v>1437</v>
      </c>
      <c r="P177" s="14" t="s">
        <v>1438</v>
      </c>
      <c r="Q177" s="14" t="s">
        <v>175</v>
      </c>
      <c r="R177" s="14" t="s">
        <v>1439</v>
      </c>
      <c r="S177" s="14" t="s">
        <v>444</v>
      </c>
      <c r="T177" s="14" t="s">
        <v>445</v>
      </c>
      <c r="U177" s="14" t="s">
        <v>446</v>
      </c>
      <c r="V177" s="48">
        <f>SUMIF(Data!$E:$E,$I177,Data!$AI:$AI)</f>
        <v>0</v>
      </c>
    </row>
    <row r="178" spans="1:22" x14ac:dyDescent="0.25">
      <c r="A178" s="47" t="s">
        <v>1212</v>
      </c>
      <c r="B178" s="47" t="s">
        <v>123</v>
      </c>
      <c r="C178" s="47">
        <v>6307954</v>
      </c>
      <c r="D178" s="47">
        <v>0.60550000000000004</v>
      </c>
      <c r="E178" s="48">
        <f>SUMIF(Data!$E:$E,$C178,Data!$AI:$AI)</f>
        <v>0</v>
      </c>
      <c r="I178" s="14" t="s">
        <v>1440</v>
      </c>
      <c r="J178" s="14" t="s">
        <v>1441</v>
      </c>
      <c r="K178" s="14" t="s">
        <v>140</v>
      </c>
      <c r="L178" s="14" t="s">
        <v>1379</v>
      </c>
      <c r="M178" s="14" t="s">
        <v>1442</v>
      </c>
      <c r="N178" s="14">
        <v>847.721</v>
      </c>
      <c r="O178" s="14" t="s">
        <v>1443</v>
      </c>
      <c r="P178" s="14" t="s">
        <v>1444</v>
      </c>
      <c r="Q178" s="14" t="s">
        <v>263</v>
      </c>
      <c r="R178" s="14" t="s">
        <v>1445</v>
      </c>
      <c r="S178" s="14" t="s">
        <v>728</v>
      </c>
      <c r="T178" s="14" t="s">
        <v>729</v>
      </c>
      <c r="U178" s="14" t="s">
        <v>730</v>
      </c>
      <c r="V178" s="48">
        <f>SUMIF(Data!$E:$E,$I178,Data!$AI:$AI)</f>
        <v>0</v>
      </c>
    </row>
    <row r="179" spans="1:22" x14ac:dyDescent="0.25">
      <c r="A179" s="47" t="s">
        <v>1212</v>
      </c>
      <c r="B179" s="47" t="s">
        <v>123</v>
      </c>
      <c r="C179" s="47">
        <v>6310747</v>
      </c>
      <c r="D179" s="47">
        <v>1.7573000000000001</v>
      </c>
      <c r="E179" s="48">
        <f>SUMIF(Data!$E:$E,$C179,Data!$AI:$AI)</f>
        <v>0</v>
      </c>
      <c r="I179" s="14" t="s">
        <v>1440</v>
      </c>
      <c r="J179" s="14" t="s">
        <v>1446</v>
      </c>
      <c r="K179" s="14" t="s">
        <v>140</v>
      </c>
      <c r="L179" s="14" t="s">
        <v>1379</v>
      </c>
      <c r="M179" s="14" t="s">
        <v>1447</v>
      </c>
      <c r="N179" s="14">
        <v>283.46300000000002</v>
      </c>
      <c r="O179" s="14" t="s">
        <v>1448</v>
      </c>
      <c r="P179" s="14" t="s">
        <v>1449</v>
      </c>
      <c r="Q179" s="14" t="s">
        <v>419</v>
      </c>
      <c r="R179" s="14" t="s">
        <v>1450</v>
      </c>
      <c r="S179" s="14" t="s">
        <v>563</v>
      </c>
      <c r="T179" s="14" t="s">
        <v>564</v>
      </c>
      <c r="U179" s="14" t="s">
        <v>528</v>
      </c>
      <c r="V179" s="48">
        <f>SUMIF(Data!$E:$E,$I179,Data!$AI:$AI)</f>
        <v>0</v>
      </c>
    </row>
    <row r="180" spans="1:22" x14ac:dyDescent="0.25">
      <c r="A180" s="47" t="s">
        <v>1212</v>
      </c>
      <c r="B180" s="47" t="s">
        <v>123</v>
      </c>
      <c r="C180" s="47">
        <v>6313092</v>
      </c>
      <c r="D180" s="47">
        <v>0.19209999999999999</v>
      </c>
      <c r="E180" s="48">
        <f>SUMIF(Data!$E:$E,$C180,Data!$AI:$AI)</f>
        <v>0</v>
      </c>
      <c r="I180" s="14" t="s">
        <v>1451</v>
      </c>
      <c r="J180" s="14" t="s">
        <v>1452</v>
      </c>
      <c r="K180" s="14" t="s">
        <v>140</v>
      </c>
      <c r="L180" s="14" t="s">
        <v>1379</v>
      </c>
      <c r="M180" s="14" t="s">
        <v>1453</v>
      </c>
      <c r="N180" s="14">
        <v>97.766999999999996</v>
      </c>
      <c r="O180" s="14" t="s">
        <v>1454</v>
      </c>
      <c r="P180" s="14" t="s">
        <v>1455</v>
      </c>
      <c r="Q180" s="14" t="s">
        <v>211</v>
      </c>
      <c r="R180" s="14" t="s">
        <v>1456</v>
      </c>
      <c r="S180" s="14" t="s">
        <v>148</v>
      </c>
      <c r="T180" s="14" t="s">
        <v>149</v>
      </c>
      <c r="U180" s="14" t="s">
        <v>113</v>
      </c>
      <c r="V180" s="48">
        <f>SUMIF(Data!$E:$E,$I180,Data!$AI:$AI)</f>
        <v>0</v>
      </c>
    </row>
    <row r="181" spans="1:22" x14ac:dyDescent="0.25">
      <c r="A181" s="47" t="s">
        <v>1212</v>
      </c>
      <c r="B181" s="47" t="s">
        <v>123</v>
      </c>
      <c r="C181" s="47">
        <v>6314932</v>
      </c>
      <c r="D181" s="47">
        <v>0.53400000000000003</v>
      </c>
      <c r="E181" s="48">
        <f>SUMIF(Data!$E:$E,$C181,Data!$AI:$AI)</f>
        <v>0</v>
      </c>
      <c r="I181" s="14" t="s">
        <v>1457</v>
      </c>
      <c r="J181" s="14" t="s">
        <v>1458</v>
      </c>
      <c r="K181" s="14" t="s">
        <v>140</v>
      </c>
      <c r="L181" s="14" t="s">
        <v>1379</v>
      </c>
      <c r="M181" s="14" t="s">
        <v>1459</v>
      </c>
      <c r="N181" s="14">
        <v>161.76599999999999</v>
      </c>
      <c r="O181" s="14" t="s">
        <v>1460</v>
      </c>
      <c r="P181" s="14" t="s">
        <v>1461</v>
      </c>
      <c r="Q181" s="14" t="s">
        <v>419</v>
      </c>
      <c r="R181" s="14" t="s">
        <v>1462</v>
      </c>
      <c r="S181" s="14" t="s">
        <v>195</v>
      </c>
      <c r="T181" s="14" t="s">
        <v>149</v>
      </c>
      <c r="U181" s="14" t="s">
        <v>113</v>
      </c>
      <c r="V181" s="48">
        <f>SUMIF(Data!$E:$E,$I181,Data!$AI:$AI)</f>
        <v>0</v>
      </c>
    </row>
    <row r="182" spans="1:22" x14ac:dyDescent="0.25">
      <c r="A182" s="47" t="s">
        <v>1212</v>
      </c>
      <c r="B182" s="47" t="s">
        <v>123</v>
      </c>
      <c r="C182" s="47">
        <v>6315838</v>
      </c>
      <c r="D182" s="47">
        <v>0.1522</v>
      </c>
      <c r="E182" s="48">
        <f>SUMIF(Data!$E:$E,$C182,Data!$AI:$AI)</f>
        <v>0</v>
      </c>
      <c r="I182" s="14" t="s">
        <v>1463</v>
      </c>
      <c r="J182" s="14" t="s">
        <v>1464</v>
      </c>
      <c r="K182" s="14" t="s">
        <v>140</v>
      </c>
      <c r="L182" s="14" t="s">
        <v>1379</v>
      </c>
      <c r="M182" s="14" t="s">
        <v>1465</v>
      </c>
      <c r="N182" s="14">
        <v>305.06900000000002</v>
      </c>
      <c r="O182" s="14" t="s">
        <v>1466</v>
      </c>
      <c r="P182" s="14" t="s">
        <v>1467</v>
      </c>
      <c r="Q182" s="14" t="s">
        <v>193</v>
      </c>
      <c r="R182" s="14" t="s">
        <v>1468</v>
      </c>
      <c r="S182" s="14" t="s">
        <v>195</v>
      </c>
      <c r="T182" s="14" t="s">
        <v>149</v>
      </c>
      <c r="U182" s="14" t="s">
        <v>113</v>
      </c>
      <c r="V182" s="48">
        <f>SUMIF(Data!$E:$E,$I182,Data!$AI:$AI)</f>
        <v>0</v>
      </c>
    </row>
    <row r="183" spans="1:22" x14ac:dyDescent="0.25">
      <c r="A183" s="47" t="s">
        <v>1212</v>
      </c>
      <c r="B183" s="47" t="s">
        <v>123</v>
      </c>
      <c r="C183" s="47">
        <v>6320887</v>
      </c>
      <c r="D183" s="47">
        <v>0.10589999999999999</v>
      </c>
      <c r="E183" s="48">
        <f>SUMIF(Data!$E:$E,$C183,Data!$AI:$AI)</f>
        <v>0</v>
      </c>
      <c r="I183" s="14" t="s">
        <v>1469</v>
      </c>
      <c r="J183" s="14" t="s">
        <v>1470</v>
      </c>
      <c r="K183" s="14" t="s">
        <v>140</v>
      </c>
      <c r="L183" s="14" t="s">
        <v>1379</v>
      </c>
      <c r="M183" s="14" t="s">
        <v>1471</v>
      </c>
      <c r="N183" s="14" t="s">
        <v>1472</v>
      </c>
      <c r="O183" s="14" t="s">
        <v>1473</v>
      </c>
      <c r="P183" s="14" t="s">
        <v>1474</v>
      </c>
      <c r="Q183" s="14" t="s">
        <v>175</v>
      </c>
      <c r="R183" s="14" t="s">
        <v>1475</v>
      </c>
      <c r="S183" s="14" t="s">
        <v>479</v>
      </c>
      <c r="T183" s="14" t="s">
        <v>480</v>
      </c>
      <c r="U183" s="14" t="s">
        <v>481</v>
      </c>
      <c r="V183" s="48">
        <f>SUMIF(Data!$E:$E,$I183,Data!$AI:$AI)</f>
        <v>0</v>
      </c>
    </row>
    <row r="184" spans="1:22" x14ac:dyDescent="0.25">
      <c r="A184" s="47" t="s">
        <v>1212</v>
      </c>
      <c r="B184" s="47" t="s">
        <v>123</v>
      </c>
      <c r="C184" s="47">
        <v>6320973</v>
      </c>
      <c r="D184" s="47">
        <v>0.2399</v>
      </c>
      <c r="E184" s="48">
        <f>SUMIF(Data!$E:$E,$C184,Data!$AI:$AI)</f>
        <v>0</v>
      </c>
      <c r="I184" s="14" t="s">
        <v>1476</v>
      </c>
      <c r="J184" s="14" t="s">
        <v>1477</v>
      </c>
      <c r="K184" s="14" t="s">
        <v>140</v>
      </c>
      <c r="L184" s="14" t="s">
        <v>1379</v>
      </c>
      <c r="M184" s="14" t="s">
        <v>1478</v>
      </c>
      <c r="N184" s="14">
        <v>713.63099999999997</v>
      </c>
      <c r="O184" s="14" t="s">
        <v>1479</v>
      </c>
      <c r="P184" s="14" t="s">
        <v>1480</v>
      </c>
      <c r="Q184" s="14" t="s">
        <v>263</v>
      </c>
      <c r="R184" s="14" t="s">
        <v>1481</v>
      </c>
      <c r="S184" s="14" t="s">
        <v>195</v>
      </c>
      <c r="T184" s="14" t="s">
        <v>149</v>
      </c>
      <c r="U184" s="14" t="s">
        <v>113</v>
      </c>
      <c r="V184" s="48">
        <f>SUMIF(Data!$E:$E,$I184,Data!$AI:$AI)</f>
        <v>0</v>
      </c>
    </row>
    <row r="185" spans="1:22" x14ac:dyDescent="0.25">
      <c r="A185" s="47" t="s">
        <v>1212</v>
      </c>
      <c r="B185" s="47" t="s">
        <v>123</v>
      </c>
      <c r="C185" s="47">
        <v>6334350</v>
      </c>
      <c r="D185" s="47">
        <v>0.5524</v>
      </c>
      <c r="E185" s="48">
        <f>SUMIF(Data!$E:$E,$C185,Data!$AI:$AI)</f>
        <v>0</v>
      </c>
      <c r="I185" s="14">
        <v>6098</v>
      </c>
      <c r="J185" s="14" t="s">
        <v>1482</v>
      </c>
      <c r="K185" s="14" t="s">
        <v>140</v>
      </c>
      <c r="L185" s="14" t="s">
        <v>1379</v>
      </c>
      <c r="M185" s="14" t="s">
        <v>1483</v>
      </c>
      <c r="N185" s="14">
        <v>731.2</v>
      </c>
      <c r="O185" s="14" t="s">
        <v>1484</v>
      </c>
      <c r="P185" s="14" t="s">
        <v>1485</v>
      </c>
      <c r="Q185" s="14" t="s">
        <v>419</v>
      </c>
      <c r="R185" s="14" t="s">
        <v>1486</v>
      </c>
      <c r="S185" s="14" t="s">
        <v>444</v>
      </c>
      <c r="T185" s="14" t="s">
        <v>445</v>
      </c>
      <c r="U185" s="14" t="s">
        <v>446</v>
      </c>
      <c r="V185" s="48">
        <f>SUMIF(Data!$E:$E,$I185,Data!$AI:$AI)</f>
        <v>0</v>
      </c>
    </row>
    <row r="186" spans="1:22" x14ac:dyDescent="0.25">
      <c r="A186" s="47" t="s">
        <v>1212</v>
      </c>
      <c r="B186" s="47" t="s">
        <v>123</v>
      </c>
      <c r="C186" s="47">
        <v>6335933</v>
      </c>
      <c r="D186" s="47">
        <v>0.3422</v>
      </c>
      <c r="E186" s="48">
        <f>SUMIF(Data!$E:$E,$C186,Data!$AI:$AI)</f>
        <v>0</v>
      </c>
      <c r="I186" s="14" t="s">
        <v>1487</v>
      </c>
      <c r="J186" s="14" t="s">
        <v>1488</v>
      </c>
      <c r="K186" s="14" t="s">
        <v>140</v>
      </c>
      <c r="L186" s="14" t="s">
        <v>1379</v>
      </c>
      <c r="M186" s="14" t="s">
        <v>1489</v>
      </c>
      <c r="N186" s="14">
        <v>162.54599999999999</v>
      </c>
      <c r="O186" s="14" t="s">
        <v>1490</v>
      </c>
      <c r="P186" s="14" t="s">
        <v>1491</v>
      </c>
      <c r="Q186" s="14" t="s">
        <v>419</v>
      </c>
      <c r="R186" s="14" t="s">
        <v>1492</v>
      </c>
      <c r="S186" s="14" t="s">
        <v>195</v>
      </c>
      <c r="T186" s="14" t="s">
        <v>149</v>
      </c>
      <c r="U186" s="14" t="s">
        <v>113</v>
      </c>
      <c r="V186" s="48">
        <f>SUMIF(Data!$E:$E,$I186,Data!$AI:$AI)</f>
        <v>0</v>
      </c>
    </row>
    <row r="187" spans="1:22" x14ac:dyDescent="0.25">
      <c r="A187" s="47" t="s">
        <v>1212</v>
      </c>
      <c r="B187" s="47" t="s">
        <v>123</v>
      </c>
      <c r="C187" s="47">
        <v>6346678</v>
      </c>
      <c r="D187" s="47">
        <v>0.1605</v>
      </c>
      <c r="E187" s="48">
        <f>SUMIF(Data!$E:$E,$C187,Data!$AI:$AI)</f>
        <v>0</v>
      </c>
      <c r="I187" s="14" t="s">
        <v>1493</v>
      </c>
      <c r="J187" s="14" t="s">
        <v>1494</v>
      </c>
      <c r="K187" s="14" t="s">
        <v>140</v>
      </c>
      <c r="L187" s="14" t="s">
        <v>1495</v>
      </c>
      <c r="M187" s="14" t="s">
        <v>1496</v>
      </c>
      <c r="N187" s="14">
        <v>42.414999999999999</v>
      </c>
      <c r="O187" s="14" t="s">
        <v>1497</v>
      </c>
      <c r="P187" s="14" t="s">
        <v>1498</v>
      </c>
      <c r="Q187" s="14" t="s">
        <v>165</v>
      </c>
      <c r="R187" s="14" t="s">
        <v>1499</v>
      </c>
      <c r="S187" s="14" t="s">
        <v>563</v>
      </c>
      <c r="T187" s="14" t="s">
        <v>564</v>
      </c>
      <c r="U187" s="14" t="s">
        <v>528</v>
      </c>
      <c r="V187" s="48">
        <f>SUMIF(Data!$E:$E,$I187,Data!$AI:$AI)</f>
        <v>0</v>
      </c>
    </row>
    <row r="188" spans="1:22" x14ac:dyDescent="0.25">
      <c r="A188" s="47" t="s">
        <v>1212</v>
      </c>
      <c r="B188" s="47" t="s">
        <v>123</v>
      </c>
      <c r="C188" s="47">
        <v>6353537</v>
      </c>
      <c r="D188" s="47">
        <v>0.33119999999999999</v>
      </c>
      <c r="E188" s="48">
        <f>SUMIF(Data!$E:$E,$C188,Data!$AI:$AI)</f>
        <v>0</v>
      </c>
      <c r="I188" s="14" t="s">
        <v>1500</v>
      </c>
      <c r="J188" s="14" t="s">
        <v>1501</v>
      </c>
      <c r="K188" s="14" t="s">
        <v>140</v>
      </c>
      <c r="L188" s="14" t="s">
        <v>1495</v>
      </c>
      <c r="M188" s="14" t="s">
        <v>1502</v>
      </c>
      <c r="N188" s="14">
        <v>133.72200000000001</v>
      </c>
      <c r="O188" s="14" t="s">
        <v>1503</v>
      </c>
      <c r="P188" s="14" t="s">
        <v>1504</v>
      </c>
      <c r="Q188" s="14" t="s">
        <v>193</v>
      </c>
      <c r="R188" s="14" t="s">
        <v>1505</v>
      </c>
      <c r="S188" s="14" t="s">
        <v>195</v>
      </c>
      <c r="T188" s="14" t="s">
        <v>149</v>
      </c>
      <c r="U188" s="14" t="s">
        <v>113</v>
      </c>
      <c r="V188" s="48">
        <f>SUMIF(Data!$E:$E,$I188,Data!$AI:$AI)</f>
        <v>0</v>
      </c>
    </row>
    <row r="189" spans="1:22" x14ac:dyDescent="0.25">
      <c r="A189" s="47" t="s">
        <v>1212</v>
      </c>
      <c r="B189" s="47" t="s">
        <v>123</v>
      </c>
      <c r="C189" s="47">
        <v>6373728</v>
      </c>
      <c r="D189" s="47">
        <v>0.57479999999999998</v>
      </c>
      <c r="E189" s="48">
        <f>SUMIF(Data!$E:$E,$C189,Data!$AI:$AI)</f>
        <v>0</v>
      </c>
      <c r="I189" s="14" t="s">
        <v>1506</v>
      </c>
      <c r="J189" s="14" t="s">
        <v>1507</v>
      </c>
      <c r="K189" s="14" t="s">
        <v>140</v>
      </c>
      <c r="L189" s="14" t="s">
        <v>1495</v>
      </c>
      <c r="M189" s="14" t="s">
        <v>1508</v>
      </c>
      <c r="N189" s="14">
        <v>82.376999999999995</v>
      </c>
      <c r="O189" s="14" t="s">
        <v>1509</v>
      </c>
      <c r="P189" s="14" t="s">
        <v>1510</v>
      </c>
      <c r="Q189" s="14" t="s">
        <v>211</v>
      </c>
      <c r="R189" s="14" t="s">
        <v>1511</v>
      </c>
      <c r="S189" s="14" t="s">
        <v>148</v>
      </c>
      <c r="T189" s="14" t="s">
        <v>149</v>
      </c>
      <c r="U189" s="14" t="s">
        <v>113</v>
      </c>
      <c r="V189" s="48">
        <f>SUMIF(Data!$E:$E,$I189,Data!$AI:$AI)</f>
        <v>0</v>
      </c>
    </row>
    <row r="190" spans="1:22" x14ac:dyDescent="0.25">
      <c r="A190" s="47" t="s">
        <v>1212</v>
      </c>
      <c r="B190" s="47" t="s">
        <v>123</v>
      </c>
      <c r="C190" s="47">
        <v>6377214</v>
      </c>
      <c r="D190" s="47">
        <v>0.26579999999999998</v>
      </c>
      <c r="E190" s="48">
        <f>SUMIF(Data!$E:$E,$C190,Data!$AI:$AI)</f>
        <v>0</v>
      </c>
      <c r="I190" s="14" t="s">
        <v>1512</v>
      </c>
      <c r="J190" s="14" t="s">
        <v>1513</v>
      </c>
      <c r="K190" s="14" t="s">
        <v>140</v>
      </c>
      <c r="L190" s="14" t="s">
        <v>1495</v>
      </c>
      <c r="M190" s="14" t="s">
        <v>1514</v>
      </c>
      <c r="N190" s="14" t="s">
        <v>1515</v>
      </c>
      <c r="O190" s="14" t="s">
        <v>1516</v>
      </c>
      <c r="P190" s="14" t="s">
        <v>1517</v>
      </c>
      <c r="Q190" s="14" t="s">
        <v>419</v>
      </c>
      <c r="R190" s="14" t="s">
        <v>1518</v>
      </c>
      <c r="S190" s="14" t="s">
        <v>479</v>
      </c>
      <c r="T190" s="14" t="s">
        <v>480</v>
      </c>
      <c r="U190" s="14" t="s">
        <v>481</v>
      </c>
      <c r="V190" s="48">
        <f>SUMIF(Data!$E:$E,$I190,Data!$AI:$AI)</f>
        <v>0</v>
      </c>
    </row>
    <row r="191" spans="1:22" x14ac:dyDescent="0.25">
      <c r="A191" s="47" t="s">
        <v>1212</v>
      </c>
      <c r="B191" s="47" t="s">
        <v>123</v>
      </c>
      <c r="C191" s="47">
        <v>6388885</v>
      </c>
      <c r="D191" s="47">
        <v>0.16830000000000001</v>
      </c>
      <c r="E191" s="48">
        <f>SUMIF(Data!$E:$E,$C191,Data!$AI:$AI)</f>
        <v>0</v>
      </c>
      <c r="I191" s="14" t="s">
        <v>1519</v>
      </c>
      <c r="J191" s="14" t="s">
        <v>1520</v>
      </c>
      <c r="K191" s="14" t="s">
        <v>140</v>
      </c>
      <c r="L191" s="14" t="s">
        <v>1495</v>
      </c>
      <c r="M191" s="14" t="s">
        <v>1521</v>
      </c>
      <c r="N191" s="14">
        <v>522.48099999999999</v>
      </c>
      <c r="O191" s="14" t="s">
        <v>1522</v>
      </c>
      <c r="P191" s="14" t="s">
        <v>1523</v>
      </c>
      <c r="Q191" s="14" t="s">
        <v>263</v>
      </c>
      <c r="R191" s="14" t="s">
        <v>1524</v>
      </c>
      <c r="S191" s="14" t="s">
        <v>728</v>
      </c>
      <c r="T191" s="14" t="s">
        <v>729</v>
      </c>
      <c r="U191" s="14" t="s">
        <v>730</v>
      </c>
      <c r="V191" s="48">
        <f>SUMIF(Data!$E:$E,$I191,Data!$AI:$AI)</f>
        <v>0</v>
      </c>
    </row>
    <row r="192" spans="1:22" x14ac:dyDescent="0.25">
      <c r="A192" s="47" t="s">
        <v>1212</v>
      </c>
      <c r="B192" s="47" t="s">
        <v>123</v>
      </c>
      <c r="C192" s="47">
        <v>6412687</v>
      </c>
      <c r="D192" s="47">
        <v>0.27700000000000002</v>
      </c>
      <c r="E192" s="48">
        <f>SUMIF(Data!$E:$E,$C192,Data!$AI:$AI)</f>
        <v>0</v>
      </c>
      <c r="I192" s="14" t="s">
        <v>1525</v>
      </c>
      <c r="J192" s="14" t="s">
        <v>1526</v>
      </c>
      <c r="K192" s="14" t="s">
        <v>140</v>
      </c>
      <c r="L192" s="14" t="s">
        <v>1495</v>
      </c>
      <c r="M192" s="14" t="s">
        <v>1527</v>
      </c>
      <c r="N192" s="14">
        <v>45.783999999999999</v>
      </c>
      <c r="O192" s="14" t="s">
        <v>1528</v>
      </c>
      <c r="P192" s="14" t="s">
        <v>1529</v>
      </c>
      <c r="Q192" s="14" t="s">
        <v>809</v>
      </c>
      <c r="R192" s="14" t="s">
        <v>1530</v>
      </c>
      <c r="S192" s="14" t="s">
        <v>148</v>
      </c>
      <c r="T192" s="14" t="s">
        <v>149</v>
      </c>
      <c r="U192" s="14" t="s">
        <v>113</v>
      </c>
      <c r="V192" s="48">
        <f>SUMIF(Data!$E:$E,$I192,Data!$AI:$AI)</f>
        <v>0</v>
      </c>
    </row>
    <row r="193" spans="1:22" x14ac:dyDescent="0.25">
      <c r="A193" s="47" t="s">
        <v>1212</v>
      </c>
      <c r="B193" s="47" t="s">
        <v>123</v>
      </c>
      <c r="C193" s="47">
        <v>6414832</v>
      </c>
      <c r="D193" s="47">
        <v>2.4108000000000001</v>
      </c>
      <c r="E193" s="48">
        <f>SUMIF(Data!$E:$E,$C193,Data!$AI:$AI)</f>
        <v>0</v>
      </c>
      <c r="I193" s="14" t="s">
        <v>1531</v>
      </c>
      <c r="J193" s="14" t="s">
        <v>1532</v>
      </c>
      <c r="K193" s="14" t="s">
        <v>140</v>
      </c>
      <c r="L193" s="14" t="s">
        <v>1495</v>
      </c>
      <c r="M193" s="14" t="s">
        <v>1533</v>
      </c>
      <c r="N193" s="14" t="s">
        <v>1534</v>
      </c>
      <c r="O193" s="14" t="s">
        <v>1535</v>
      </c>
      <c r="P193" s="14" t="s">
        <v>1536</v>
      </c>
      <c r="Q193" s="14" t="s">
        <v>193</v>
      </c>
      <c r="R193" s="14" t="s">
        <v>1537</v>
      </c>
      <c r="S193" s="14" t="s">
        <v>850</v>
      </c>
      <c r="T193" s="14" t="s">
        <v>851</v>
      </c>
      <c r="U193" s="14" t="s">
        <v>852</v>
      </c>
      <c r="V193" s="48">
        <f>SUMIF(Data!$E:$E,$I193,Data!$AI:$AI)</f>
        <v>0</v>
      </c>
    </row>
    <row r="194" spans="1:22" x14ac:dyDescent="0.25">
      <c r="A194" s="47" t="s">
        <v>1212</v>
      </c>
      <c r="B194" s="47" t="s">
        <v>123</v>
      </c>
      <c r="C194" s="47">
        <v>6434551</v>
      </c>
      <c r="D194" s="47">
        <v>0.17749999999999999</v>
      </c>
      <c r="E194" s="48">
        <f>SUMIF(Data!$E:$E,$C194,Data!$AI:$AI)</f>
        <v>0</v>
      </c>
      <c r="I194" s="14" t="s">
        <v>1538</v>
      </c>
      <c r="J194" s="14" t="s">
        <v>1539</v>
      </c>
      <c r="K194" s="14" t="s">
        <v>140</v>
      </c>
      <c r="L194" s="14" t="s">
        <v>1495</v>
      </c>
      <c r="M194" s="14" t="s">
        <v>1540</v>
      </c>
      <c r="N194" s="14" t="s">
        <v>1541</v>
      </c>
      <c r="O194" s="14" t="s">
        <v>1542</v>
      </c>
      <c r="P194" s="14" t="s">
        <v>1543</v>
      </c>
      <c r="Q194" s="14" t="s">
        <v>193</v>
      </c>
      <c r="R194" s="14" t="s">
        <v>1544</v>
      </c>
      <c r="S194" s="14" t="s">
        <v>479</v>
      </c>
      <c r="T194" s="14" t="s">
        <v>480</v>
      </c>
      <c r="U194" s="14" t="s">
        <v>481</v>
      </c>
      <c r="V194" s="48">
        <f>SUMIF(Data!$E:$E,$I194,Data!$AI:$AI)</f>
        <v>0</v>
      </c>
    </row>
    <row r="195" spans="1:22" x14ac:dyDescent="0.25">
      <c r="A195" s="47" t="s">
        <v>1212</v>
      </c>
      <c r="B195" s="47" t="s">
        <v>123</v>
      </c>
      <c r="C195" s="47">
        <v>6439794</v>
      </c>
      <c r="D195" s="47">
        <v>0.12620000000000001</v>
      </c>
      <c r="E195" s="48">
        <f>SUMIF(Data!$E:$E,$C195,Data!$AI:$AI)</f>
        <v>0</v>
      </c>
      <c r="I195" s="14" t="s">
        <v>1545</v>
      </c>
      <c r="J195" s="14" t="s">
        <v>1546</v>
      </c>
      <c r="K195" s="14" t="s">
        <v>140</v>
      </c>
      <c r="L195" s="14" t="s">
        <v>1495</v>
      </c>
      <c r="M195" s="14" t="s">
        <v>1547</v>
      </c>
      <c r="N195" s="14">
        <v>461.721</v>
      </c>
      <c r="O195" s="14" t="s">
        <v>1548</v>
      </c>
      <c r="P195" s="14" t="s">
        <v>1549</v>
      </c>
      <c r="Q195" s="14" t="s">
        <v>193</v>
      </c>
      <c r="R195" s="14" t="s">
        <v>1550</v>
      </c>
      <c r="S195" s="14" t="s">
        <v>728</v>
      </c>
      <c r="T195" s="14" t="s">
        <v>729</v>
      </c>
      <c r="U195" s="14" t="s">
        <v>730</v>
      </c>
      <c r="V195" s="48">
        <f>SUMIF(Data!$E:$E,$I195,Data!$AI:$AI)</f>
        <v>0</v>
      </c>
    </row>
    <row r="196" spans="1:22" x14ac:dyDescent="0.25">
      <c r="A196" s="47" t="s">
        <v>1212</v>
      </c>
      <c r="B196" s="47" t="s">
        <v>123</v>
      </c>
      <c r="C196" s="47">
        <v>6441595</v>
      </c>
      <c r="D196" s="47">
        <v>0.46279999999999999</v>
      </c>
      <c r="E196" s="48">
        <f>SUMIF(Data!$E:$E,$C196,Data!$AI:$AI)</f>
        <v>0</v>
      </c>
      <c r="I196" s="14" t="s">
        <v>1551</v>
      </c>
      <c r="J196" s="14" t="s">
        <v>1552</v>
      </c>
      <c r="K196" s="14" t="s">
        <v>140</v>
      </c>
      <c r="L196" s="14" t="s">
        <v>1495</v>
      </c>
      <c r="M196" s="14" t="s">
        <v>1553</v>
      </c>
      <c r="N196" s="14">
        <v>310.61399999999998</v>
      </c>
      <c r="O196" s="14" t="s">
        <v>1554</v>
      </c>
      <c r="P196" s="14" t="s">
        <v>1555</v>
      </c>
      <c r="Q196" s="14" t="s">
        <v>263</v>
      </c>
      <c r="R196" s="14" t="s">
        <v>1556</v>
      </c>
      <c r="S196" s="14" t="s">
        <v>195</v>
      </c>
      <c r="T196" s="14" t="s">
        <v>149</v>
      </c>
      <c r="U196" s="14" t="s">
        <v>113</v>
      </c>
      <c r="V196" s="48">
        <f>SUMIF(Data!$E:$E,$I196,Data!$AI:$AI)</f>
        <v>0</v>
      </c>
    </row>
    <row r="197" spans="1:22" x14ac:dyDescent="0.25">
      <c r="A197" s="47" t="s">
        <v>1212</v>
      </c>
      <c r="B197" s="47" t="s">
        <v>123</v>
      </c>
      <c r="C197" s="47">
        <v>6458841</v>
      </c>
      <c r="D197" s="47">
        <v>1.5494000000000001</v>
      </c>
      <c r="E197" s="48">
        <f>SUMIF(Data!$E:$E,$C197,Data!$AI:$AI)</f>
        <v>0</v>
      </c>
      <c r="I197" s="14" t="s">
        <v>1557</v>
      </c>
      <c r="J197" s="14" t="s">
        <v>1558</v>
      </c>
      <c r="K197" s="14" t="s">
        <v>140</v>
      </c>
      <c r="L197" s="14" t="s">
        <v>1495</v>
      </c>
      <c r="M197" s="14" t="s">
        <v>1559</v>
      </c>
      <c r="N197" s="14" t="s">
        <v>1560</v>
      </c>
      <c r="O197" s="14" t="s">
        <v>1561</v>
      </c>
      <c r="P197" s="14" t="s">
        <v>1562</v>
      </c>
      <c r="Q197" s="14" t="s">
        <v>193</v>
      </c>
      <c r="R197" s="14" t="s">
        <v>1563</v>
      </c>
      <c r="S197" s="14" t="s">
        <v>229</v>
      </c>
      <c r="T197" s="14" t="s">
        <v>230</v>
      </c>
      <c r="U197" s="14" t="s">
        <v>231</v>
      </c>
      <c r="V197" s="48">
        <f>SUMIF(Data!$E:$E,$I197,Data!$AI:$AI)</f>
        <v>0</v>
      </c>
    </row>
    <row r="198" spans="1:22" x14ac:dyDescent="0.25">
      <c r="A198" s="47" t="s">
        <v>1212</v>
      </c>
      <c r="B198" s="47" t="s">
        <v>123</v>
      </c>
      <c r="C198" s="47">
        <v>6479024</v>
      </c>
      <c r="D198" s="47">
        <v>0.28239999999999998</v>
      </c>
      <c r="E198" s="48">
        <f>SUMIF(Data!$E:$E,$C198,Data!$AI:$AI)</f>
        <v>0</v>
      </c>
      <c r="I198" s="14" t="s">
        <v>1564</v>
      </c>
      <c r="J198" s="14" t="s">
        <v>1565</v>
      </c>
      <c r="K198" s="14" t="s">
        <v>140</v>
      </c>
      <c r="L198" s="14" t="s">
        <v>1495</v>
      </c>
      <c r="M198" s="14" t="s">
        <v>1566</v>
      </c>
      <c r="N198" s="14">
        <v>486.40899999999999</v>
      </c>
      <c r="O198" s="14" t="s">
        <v>1567</v>
      </c>
      <c r="P198" s="14" t="s">
        <v>1568</v>
      </c>
      <c r="Q198" s="14" t="s">
        <v>165</v>
      </c>
      <c r="R198" s="14" t="s">
        <v>1569</v>
      </c>
      <c r="S198" s="14" t="s">
        <v>526</v>
      </c>
      <c r="T198" s="14" t="s">
        <v>527</v>
      </c>
      <c r="U198" s="14" t="s">
        <v>528</v>
      </c>
      <c r="V198" s="48">
        <f>SUMIF(Data!$E:$E,$I198,Data!$AI:$AI)</f>
        <v>0</v>
      </c>
    </row>
    <row r="199" spans="1:22" x14ac:dyDescent="0.25">
      <c r="A199" s="47" t="s">
        <v>1212</v>
      </c>
      <c r="B199" s="47" t="s">
        <v>123</v>
      </c>
      <c r="C199" s="47">
        <v>6486228</v>
      </c>
      <c r="D199" s="47">
        <v>7.7200000000000005E-2</v>
      </c>
      <c r="E199" s="48">
        <f>SUMIF(Data!$E:$E,$C199,Data!$AI:$AI)</f>
        <v>0</v>
      </c>
      <c r="I199" s="14" t="s">
        <v>1570</v>
      </c>
      <c r="J199" s="14" t="s">
        <v>1571</v>
      </c>
      <c r="K199" s="14" t="s">
        <v>140</v>
      </c>
      <c r="L199" s="14" t="s">
        <v>1495</v>
      </c>
      <c r="M199" s="14" t="s">
        <v>1572</v>
      </c>
      <c r="N199" s="14">
        <v>331.02</v>
      </c>
      <c r="O199" s="14" t="s">
        <v>1573</v>
      </c>
      <c r="P199" s="14" t="s">
        <v>1574</v>
      </c>
      <c r="Q199" s="14" t="s">
        <v>227</v>
      </c>
      <c r="R199" s="14" t="s">
        <v>1575</v>
      </c>
      <c r="S199" s="14" t="s">
        <v>563</v>
      </c>
      <c r="T199" s="14" t="s">
        <v>564</v>
      </c>
      <c r="U199" s="14" t="s">
        <v>528</v>
      </c>
      <c r="V199" s="48">
        <f>SUMIF(Data!$E:$E,$I199,Data!$AI:$AI)</f>
        <v>0</v>
      </c>
    </row>
    <row r="200" spans="1:22" x14ac:dyDescent="0.25">
      <c r="A200" s="47" t="s">
        <v>1212</v>
      </c>
      <c r="B200" s="47" t="s">
        <v>123</v>
      </c>
      <c r="C200" s="47">
        <v>6504476</v>
      </c>
      <c r="D200" s="47">
        <v>0.13400000000000001</v>
      </c>
      <c r="E200" s="48">
        <f>SUMIF(Data!$E:$E,$C200,Data!$AI:$AI)</f>
        <v>0</v>
      </c>
      <c r="I200" s="14" t="s">
        <v>1576</v>
      </c>
      <c r="J200" s="14" t="s">
        <v>1577</v>
      </c>
      <c r="K200" s="14" t="s">
        <v>140</v>
      </c>
      <c r="L200" s="14" t="s">
        <v>1495</v>
      </c>
      <c r="M200" s="14" t="s">
        <v>1578</v>
      </c>
      <c r="N200" s="14">
        <v>229.63399999999999</v>
      </c>
      <c r="O200" s="14" t="s">
        <v>1579</v>
      </c>
      <c r="P200" s="14" t="s">
        <v>1580</v>
      </c>
      <c r="Q200" s="14" t="s">
        <v>419</v>
      </c>
      <c r="R200" s="14" t="s">
        <v>1581</v>
      </c>
      <c r="S200" s="14" t="s">
        <v>195</v>
      </c>
      <c r="T200" s="14" t="s">
        <v>149</v>
      </c>
      <c r="U200" s="14" t="s">
        <v>113</v>
      </c>
      <c r="V200" s="48">
        <f>SUMIF(Data!$E:$E,$I200,Data!$AI:$AI)</f>
        <v>0</v>
      </c>
    </row>
    <row r="201" spans="1:22" x14ac:dyDescent="0.25">
      <c r="A201" s="47" t="s">
        <v>1212</v>
      </c>
      <c r="B201" s="47" t="s">
        <v>123</v>
      </c>
      <c r="C201" s="47">
        <v>6515854</v>
      </c>
      <c r="D201" s="47">
        <v>0.2054</v>
      </c>
      <c r="E201" s="48">
        <f>SUMIF(Data!$E:$E,$C201,Data!$AI:$AI)</f>
        <v>0</v>
      </c>
      <c r="I201" s="14" t="s">
        <v>1582</v>
      </c>
      <c r="J201" s="14" t="s">
        <v>1583</v>
      </c>
      <c r="K201" s="14" t="s">
        <v>140</v>
      </c>
      <c r="L201" s="14" t="s">
        <v>1495</v>
      </c>
      <c r="M201" s="14" t="s">
        <v>1584</v>
      </c>
      <c r="N201" s="14">
        <v>553.66899999999998</v>
      </c>
      <c r="O201" s="14" t="s">
        <v>1585</v>
      </c>
      <c r="P201" s="14" t="s">
        <v>1586</v>
      </c>
      <c r="Q201" s="14" t="s">
        <v>146</v>
      </c>
      <c r="R201" s="14" t="s">
        <v>1587</v>
      </c>
      <c r="S201" s="14" t="s">
        <v>148</v>
      </c>
      <c r="T201" s="14" t="s">
        <v>149</v>
      </c>
      <c r="U201" s="14" t="s">
        <v>113</v>
      </c>
      <c r="V201" s="48">
        <f>SUMIF(Data!$E:$E,$I201,Data!$AI:$AI)</f>
        <v>0</v>
      </c>
    </row>
    <row r="202" spans="1:22" x14ac:dyDescent="0.25">
      <c r="A202" s="47" t="s">
        <v>1212</v>
      </c>
      <c r="B202" s="47" t="s">
        <v>123</v>
      </c>
      <c r="C202" s="47">
        <v>6517485</v>
      </c>
      <c r="D202" s="47">
        <v>0.36449999999999999</v>
      </c>
      <c r="E202" s="48">
        <f>SUMIF(Data!$E:$E,$C202,Data!$AI:$AI)</f>
        <v>0</v>
      </c>
      <c r="I202" s="14" t="s">
        <v>1588</v>
      </c>
      <c r="J202" s="14" t="s">
        <v>1589</v>
      </c>
      <c r="K202" s="14" t="s">
        <v>140</v>
      </c>
      <c r="L202" s="14" t="s">
        <v>1495</v>
      </c>
      <c r="M202" s="14" t="s">
        <v>1590</v>
      </c>
      <c r="N202" s="14">
        <v>72.884</v>
      </c>
      <c r="O202" s="14" t="s">
        <v>1591</v>
      </c>
      <c r="P202" s="14" t="s">
        <v>1592</v>
      </c>
      <c r="Q202" s="14" t="s">
        <v>211</v>
      </c>
      <c r="R202" s="14" t="s">
        <v>1593</v>
      </c>
      <c r="S202" s="14" t="s">
        <v>195</v>
      </c>
      <c r="T202" s="14" t="s">
        <v>149</v>
      </c>
      <c r="U202" s="14" t="s">
        <v>113</v>
      </c>
      <c r="V202" s="48">
        <f>SUMIF(Data!$E:$E,$I202,Data!$AI:$AI)</f>
        <v>0</v>
      </c>
    </row>
    <row r="203" spans="1:22" x14ac:dyDescent="0.25">
      <c r="A203" s="47" t="s">
        <v>1212</v>
      </c>
      <c r="B203" s="47" t="s">
        <v>123</v>
      </c>
      <c r="C203" s="47">
        <v>6518723</v>
      </c>
      <c r="D203" s="47">
        <v>2.4426000000000001</v>
      </c>
      <c r="E203" s="48">
        <f>SUMIF(Data!$E:$E,$C203,Data!$AI:$AI)</f>
        <v>0</v>
      </c>
      <c r="I203" s="14" t="s">
        <v>1594</v>
      </c>
      <c r="J203" s="14" t="s">
        <v>1595</v>
      </c>
      <c r="K203" s="14" t="s">
        <v>140</v>
      </c>
      <c r="L203" s="14" t="s">
        <v>1495</v>
      </c>
      <c r="M203" s="14" t="s">
        <v>1596</v>
      </c>
      <c r="N203" s="14">
        <v>343.48399999999998</v>
      </c>
      <c r="O203" s="14" t="s">
        <v>1597</v>
      </c>
      <c r="P203" s="14" t="s">
        <v>1598</v>
      </c>
      <c r="Q203" s="14" t="s">
        <v>419</v>
      </c>
      <c r="R203" s="14" t="s">
        <v>1599</v>
      </c>
      <c r="S203" s="14" t="s">
        <v>195</v>
      </c>
      <c r="T203" s="14" t="s">
        <v>149</v>
      </c>
      <c r="U203" s="14" t="s">
        <v>113</v>
      </c>
      <c r="V203" s="48">
        <f>SUMIF(Data!$E:$E,$I203,Data!$AI:$AI)</f>
        <v>0</v>
      </c>
    </row>
    <row r="204" spans="1:22" x14ac:dyDescent="0.25">
      <c r="A204" s="47" t="s">
        <v>1212</v>
      </c>
      <c r="B204" s="47" t="s">
        <v>123</v>
      </c>
      <c r="C204" s="47">
        <v>6529532</v>
      </c>
      <c r="D204" s="47">
        <v>0.17730000000000001</v>
      </c>
      <c r="E204" s="48">
        <f>SUMIF(Data!$E:$E,$C204,Data!$AI:$AI)</f>
        <v>0</v>
      </c>
      <c r="I204" s="14" t="s">
        <v>1600</v>
      </c>
      <c r="J204" s="14" t="s">
        <v>1601</v>
      </c>
      <c r="K204" s="14" t="s">
        <v>140</v>
      </c>
      <c r="L204" s="14" t="s">
        <v>1495</v>
      </c>
      <c r="M204" s="14" t="s">
        <v>1602</v>
      </c>
      <c r="N204" s="14">
        <v>171.553</v>
      </c>
      <c r="O204" s="14" t="s">
        <v>1603</v>
      </c>
      <c r="P204" s="14" t="s">
        <v>1604</v>
      </c>
      <c r="Q204" s="14" t="s">
        <v>419</v>
      </c>
      <c r="R204" s="14" t="s">
        <v>1605</v>
      </c>
      <c r="S204" s="14" t="s">
        <v>563</v>
      </c>
      <c r="T204" s="14" t="s">
        <v>564</v>
      </c>
      <c r="U204" s="14" t="s">
        <v>528</v>
      </c>
      <c r="V204" s="48">
        <f>SUMIF(Data!$E:$E,$I204,Data!$AI:$AI)</f>
        <v>0</v>
      </c>
    </row>
    <row r="205" spans="1:22" x14ac:dyDescent="0.25">
      <c r="A205" s="47" t="s">
        <v>1212</v>
      </c>
      <c r="B205" s="47" t="s">
        <v>123</v>
      </c>
      <c r="C205" s="47">
        <v>6541525</v>
      </c>
      <c r="D205" s="47">
        <v>0.2112</v>
      </c>
      <c r="E205" s="48">
        <f>SUMIF(Data!$E:$E,$C205,Data!$AI:$AI)</f>
        <v>0</v>
      </c>
      <c r="I205" s="14" t="s">
        <v>1606</v>
      </c>
      <c r="J205" s="14" t="s">
        <v>1607</v>
      </c>
      <c r="K205" s="14" t="s">
        <v>140</v>
      </c>
      <c r="L205" s="14" t="s">
        <v>1495</v>
      </c>
      <c r="M205" s="14" t="s">
        <v>1608</v>
      </c>
      <c r="N205" s="14">
        <v>187.44</v>
      </c>
      <c r="O205" s="14" t="s">
        <v>1609</v>
      </c>
      <c r="P205" s="14" t="s">
        <v>1610</v>
      </c>
      <c r="Q205" s="14" t="s">
        <v>227</v>
      </c>
      <c r="R205" s="14" t="s">
        <v>1611</v>
      </c>
      <c r="S205" s="14" t="s">
        <v>195</v>
      </c>
      <c r="T205" s="14" t="s">
        <v>149</v>
      </c>
      <c r="U205" s="14" t="s">
        <v>113</v>
      </c>
      <c r="V205" s="48">
        <f>SUMIF(Data!$E:$E,$I205,Data!$AI:$AI)</f>
        <v>0</v>
      </c>
    </row>
    <row r="206" spans="1:22" x14ac:dyDescent="0.25">
      <c r="A206" s="47" t="s">
        <v>1212</v>
      </c>
      <c r="B206" s="47" t="s">
        <v>123</v>
      </c>
      <c r="C206" s="47">
        <v>6547998</v>
      </c>
      <c r="D206" s="47">
        <v>0.58309999999999995</v>
      </c>
      <c r="E206" s="48">
        <f>SUMIF(Data!$E:$E,$C206,Data!$AI:$AI)</f>
        <v>0</v>
      </c>
      <c r="I206" s="14">
        <v>8316</v>
      </c>
      <c r="J206" s="14" t="s">
        <v>1612</v>
      </c>
      <c r="K206" s="14" t="s">
        <v>140</v>
      </c>
      <c r="L206" s="14" t="s">
        <v>1495</v>
      </c>
      <c r="M206" s="14" t="s">
        <v>1613</v>
      </c>
      <c r="N206" s="14">
        <v>711.97799999999995</v>
      </c>
      <c r="O206" s="14" t="s">
        <v>1614</v>
      </c>
      <c r="P206" s="14" t="s">
        <v>1615</v>
      </c>
      <c r="Q206" s="14" t="s">
        <v>193</v>
      </c>
      <c r="R206" s="14" t="s">
        <v>1616</v>
      </c>
      <c r="S206" s="14" t="s">
        <v>444</v>
      </c>
      <c r="T206" s="14" t="s">
        <v>445</v>
      </c>
      <c r="U206" s="14" t="s">
        <v>446</v>
      </c>
      <c r="V206" s="48">
        <f>SUMIF(Data!$E:$E,$I206,Data!$AI:$AI)</f>
        <v>0</v>
      </c>
    </row>
    <row r="207" spans="1:22" x14ac:dyDescent="0.25">
      <c r="A207" s="47" t="s">
        <v>1212</v>
      </c>
      <c r="B207" s="47" t="s">
        <v>123</v>
      </c>
      <c r="C207" s="47">
        <v>6561051</v>
      </c>
      <c r="D207" s="47">
        <v>0.1288</v>
      </c>
      <c r="E207" s="48">
        <f>SUMIF(Data!$E:$E,$C207,Data!$AI:$AI)</f>
        <v>0</v>
      </c>
      <c r="I207" s="14" t="s">
        <v>1617</v>
      </c>
      <c r="J207" s="14" t="s">
        <v>1618</v>
      </c>
      <c r="K207" s="14" t="s">
        <v>140</v>
      </c>
      <c r="L207" s="14" t="s">
        <v>1495</v>
      </c>
      <c r="M207" s="14" t="s">
        <v>1619</v>
      </c>
      <c r="N207" s="14">
        <v>112.614</v>
      </c>
      <c r="O207" s="14" t="s">
        <v>1620</v>
      </c>
      <c r="P207" s="14" t="s">
        <v>1621</v>
      </c>
      <c r="Q207" s="14" t="s">
        <v>737</v>
      </c>
      <c r="R207" s="14" t="s">
        <v>1622</v>
      </c>
      <c r="S207" s="14" t="s">
        <v>195</v>
      </c>
      <c r="T207" s="14" t="s">
        <v>149</v>
      </c>
      <c r="U207" s="14" t="s">
        <v>113</v>
      </c>
      <c r="V207" s="48">
        <f>SUMIF(Data!$E:$E,$I207,Data!$AI:$AI)</f>
        <v>0</v>
      </c>
    </row>
    <row r="208" spans="1:22" x14ac:dyDescent="0.25">
      <c r="A208" s="47" t="s">
        <v>1212</v>
      </c>
      <c r="B208" s="47" t="s">
        <v>123</v>
      </c>
      <c r="C208" s="47">
        <v>6648824</v>
      </c>
      <c r="D208" s="47">
        <v>0.27139999999999997</v>
      </c>
      <c r="E208" s="48">
        <f>SUMIF(Data!$E:$E,$C208,Data!$AI:$AI)</f>
        <v>0</v>
      </c>
      <c r="I208" s="14" t="s">
        <v>1623</v>
      </c>
      <c r="J208" s="14" t="s">
        <v>1624</v>
      </c>
      <c r="K208" s="14" t="s">
        <v>140</v>
      </c>
      <c r="L208" s="14" t="s">
        <v>1495</v>
      </c>
      <c r="M208" s="14" t="s">
        <v>1625</v>
      </c>
      <c r="N208" s="14">
        <v>87.340999999999994</v>
      </c>
      <c r="O208" s="14" t="s">
        <v>1626</v>
      </c>
      <c r="P208" s="14" t="s">
        <v>1627</v>
      </c>
      <c r="Q208" s="14" t="s">
        <v>193</v>
      </c>
      <c r="R208" s="14" t="s">
        <v>1628</v>
      </c>
      <c r="S208" s="14" t="s">
        <v>526</v>
      </c>
      <c r="T208" s="14" t="s">
        <v>527</v>
      </c>
      <c r="U208" s="14" t="s">
        <v>528</v>
      </c>
      <c r="V208" s="48">
        <f>SUMIF(Data!$E:$E,$I208,Data!$AI:$AI)</f>
        <v>0</v>
      </c>
    </row>
    <row r="209" spans="1:22" x14ac:dyDescent="0.25">
      <c r="A209" s="47" t="s">
        <v>1212</v>
      </c>
      <c r="B209" s="47" t="s">
        <v>123</v>
      </c>
      <c r="C209" s="47">
        <v>6651297</v>
      </c>
      <c r="D209" s="47">
        <v>0.1948</v>
      </c>
      <c r="E209" s="48">
        <f>SUMIF(Data!$E:$E,$C209,Data!$AI:$AI)</f>
        <v>0</v>
      </c>
      <c r="I209" s="14" t="s">
        <v>1629</v>
      </c>
      <c r="J209" s="14" t="s">
        <v>1630</v>
      </c>
      <c r="K209" s="14" t="s">
        <v>140</v>
      </c>
      <c r="L209" s="14" t="s">
        <v>1495</v>
      </c>
      <c r="M209" s="14" t="s">
        <v>1631</v>
      </c>
      <c r="N209" s="14">
        <v>333.59899999999999</v>
      </c>
      <c r="O209" s="14" t="s">
        <v>1632</v>
      </c>
      <c r="P209" s="14" t="s">
        <v>1633</v>
      </c>
      <c r="Q209" s="14" t="s">
        <v>193</v>
      </c>
      <c r="R209" s="14" t="s">
        <v>1634</v>
      </c>
      <c r="S209" s="14" t="s">
        <v>728</v>
      </c>
      <c r="T209" s="14" t="s">
        <v>729</v>
      </c>
      <c r="U209" s="14" t="s">
        <v>730</v>
      </c>
      <c r="V209" s="48">
        <f>SUMIF(Data!$E:$E,$I209,Data!$AI:$AI)</f>
        <v>0</v>
      </c>
    </row>
    <row r="210" spans="1:22" x14ac:dyDescent="0.25">
      <c r="A210" s="47" t="s">
        <v>1212</v>
      </c>
      <c r="B210" s="47" t="s">
        <v>123</v>
      </c>
      <c r="C210" s="47">
        <v>6664972</v>
      </c>
      <c r="D210" s="47">
        <v>0.26910000000000001</v>
      </c>
      <c r="E210" s="48">
        <f>SUMIF(Data!$E:$E,$C210,Data!$AI:$AI)</f>
        <v>0</v>
      </c>
      <c r="I210" s="14" t="s">
        <v>1635</v>
      </c>
      <c r="J210" s="14" t="s">
        <v>1636</v>
      </c>
      <c r="K210" s="14" t="s">
        <v>140</v>
      </c>
      <c r="L210" s="14" t="s">
        <v>1495</v>
      </c>
      <c r="M210" s="14" t="s">
        <v>1637</v>
      </c>
      <c r="N210" s="14" t="s">
        <v>1638</v>
      </c>
      <c r="O210" s="14" t="s">
        <v>1639</v>
      </c>
      <c r="P210" s="14" t="s">
        <v>1640</v>
      </c>
      <c r="Q210" s="14" t="s">
        <v>193</v>
      </c>
      <c r="R210" s="14" t="s">
        <v>1641</v>
      </c>
      <c r="S210" s="14" t="s">
        <v>850</v>
      </c>
      <c r="T210" s="14" t="s">
        <v>851</v>
      </c>
      <c r="U210" s="14" t="s">
        <v>852</v>
      </c>
      <c r="V210" s="48">
        <f>SUMIF(Data!$E:$E,$I210,Data!$AI:$AI)</f>
        <v>0</v>
      </c>
    </row>
    <row r="211" spans="1:22" x14ac:dyDescent="0.25">
      <c r="A211" s="47" t="s">
        <v>1212</v>
      </c>
      <c r="B211" s="47" t="s">
        <v>123</v>
      </c>
      <c r="C211" s="47">
        <v>6673280</v>
      </c>
      <c r="D211" s="47">
        <v>0.2165</v>
      </c>
      <c r="E211" s="48">
        <f>SUMIF(Data!$E:$E,$C211,Data!$AI:$AI)</f>
        <v>0</v>
      </c>
      <c r="I211" s="14" t="s">
        <v>1642</v>
      </c>
      <c r="J211" s="14" t="s">
        <v>1643</v>
      </c>
      <c r="K211" s="14" t="s">
        <v>140</v>
      </c>
      <c r="L211" s="14" t="s">
        <v>1495</v>
      </c>
      <c r="M211" s="14" t="s">
        <v>1644</v>
      </c>
      <c r="N211" s="14" t="s">
        <v>1645</v>
      </c>
      <c r="O211" s="14" t="s">
        <v>1646</v>
      </c>
      <c r="P211" s="14" t="s">
        <v>1647</v>
      </c>
      <c r="Q211" s="14" t="s">
        <v>193</v>
      </c>
      <c r="R211" s="14" t="s">
        <v>1648</v>
      </c>
      <c r="S211" s="14" t="s">
        <v>645</v>
      </c>
      <c r="T211" s="14" t="s">
        <v>646</v>
      </c>
      <c r="U211" s="14" t="s">
        <v>528</v>
      </c>
      <c r="V211" s="48">
        <f>SUMIF(Data!$E:$E,$I211,Data!$AI:$AI)</f>
        <v>0</v>
      </c>
    </row>
    <row r="212" spans="1:22" x14ac:dyDescent="0.25">
      <c r="A212" s="47" t="s">
        <v>1212</v>
      </c>
      <c r="B212" s="47" t="s">
        <v>123</v>
      </c>
      <c r="C212" s="47">
        <v>6676825</v>
      </c>
      <c r="D212" s="47">
        <v>0.1714</v>
      </c>
      <c r="E212" s="48">
        <f>SUMIF(Data!$E:$E,$C212,Data!$AI:$AI)</f>
        <v>0</v>
      </c>
      <c r="I212" s="14" t="s">
        <v>1649</v>
      </c>
      <c r="J212" s="14" t="s">
        <v>1650</v>
      </c>
      <c r="K212" s="14" t="s">
        <v>140</v>
      </c>
      <c r="L212" s="14" t="s">
        <v>1495</v>
      </c>
      <c r="M212" s="14" t="s">
        <v>1651</v>
      </c>
      <c r="N212" s="14">
        <v>243.69800000000001</v>
      </c>
      <c r="O212" s="14" t="s">
        <v>1652</v>
      </c>
      <c r="P212" s="14" t="s">
        <v>1653</v>
      </c>
      <c r="Q212" s="14" t="s">
        <v>263</v>
      </c>
      <c r="R212" s="14" t="s">
        <v>1654</v>
      </c>
      <c r="S212" s="14" t="s">
        <v>195</v>
      </c>
      <c r="T212" s="14" t="s">
        <v>149</v>
      </c>
      <c r="U212" s="14" t="s">
        <v>113</v>
      </c>
      <c r="V212" s="48">
        <f>SUMIF(Data!$E:$E,$I212,Data!$AI:$AI)</f>
        <v>0</v>
      </c>
    </row>
    <row r="213" spans="1:22" x14ac:dyDescent="0.25">
      <c r="A213" s="47" t="s">
        <v>1212</v>
      </c>
      <c r="B213" s="47" t="s">
        <v>123</v>
      </c>
      <c r="C213" s="47">
        <v>6683438</v>
      </c>
      <c r="D213" s="47">
        <v>0.55079999999999996</v>
      </c>
      <c r="E213" s="48">
        <f>SUMIF(Data!$E:$E,$C213,Data!$AI:$AI)</f>
        <v>0</v>
      </c>
      <c r="I213" s="14" t="s">
        <v>1655</v>
      </c>
      <c r="J213" s="14" t="s">
        <v>1656</v>
      </c>
      <c r="K213" s="14" t="s">
        <v>140</v>
      </c>
      <c r="L213" s="14" t="s">
        <v>1657</v>
      </c>
      <c r="M213" s="14" t="s">
        <v>1658</v>
      </c>
      <c r="N213" s="14">
        <v>109.509</v>
      </c>
      <c r="O213" s="14" t="s">
        <v>1659</v>
      </c>
      <c r="P213" s="14" t="s">
        <v>1660</v>
      </c>
      <c r="Q213" s="14" t="s">
        <v>211</v>
      </c>
      <c r="R213" s="14" t="s">
        <v>1661</v>
      </c>
      <c r="S213" s="14" t="s">
        <v>195</v>
      </c>
      <c r="T213" s="14" t="s">
        <v>149</v>
      </c>
      <c r="U213" s="14" t="s">
        <v>113</v>
      </c>
      <c r="V213" s="48">
        <f>SUMIF(Data!$E:$E,$I213,Data!$AI:$AI)</f>
        <v>0</v>
      </c>
    </row>
    <row r="214" spans="1:22" x14ac:dyDescent="0.25">
      <c r="A214" s="47" t="s">
        <v>1212</v>
      </c>
      <c r="B214" s="47" t="s">
        <v>123</v>
      </c>
      <c r="C214" s="47">
        <v>6683461</v>
      </c>
      <c r="D214" s="47">
        <v>0.21640000000000001</v>
      </c>
      <c r="E214" s="48">
        <f>SUMIF(Data!$E:$E,$C214,Data!$AI:$AI)</f>
        <v>0</v>
      </c>
      <c r="I214" s="14" t="s">
        <v>1662</v>
      </c>
      <c r="J214" s="14" t="s">
        <v>1663</v>
      </c>
      <c r="K214" s="14" t="s">
        <v>140</v>
      </c>
      <c r="L214" s="14" t="s">
        <v>1657</v>
      </c>
      <c r="M214" s="14" t="s">
        <v>1664</v>
      </c>
      <c r="N214" s="14">
        <v>250.93199999999999</v>
      </c>
      <c r="O214" s="14" t="s">
        <v>1665</v>
      </c>
      <c r="P214" s="14" t="s">
        <v>1666</v>
      </c>
      <c r="Q214" s="14" t="s">
        <v>193</v>
      </c>
      <c r="R214" s="14" t="s">
        <v>1667</v>
      </c>
      <c r="S214" s="14" t="s">
        <v>195</v>
      </c>
      <c r="T214" s="14" t="s">
        <v>149</v>
      </c>
      <c r="U214" s="14" t="s">
        <v>113</v>
      </c>
      <c r="V214" s="48">
        <f>SUMIF(Data!$E:$E,$I214,Data!$AI:$AI)</f>
        <v>0</v>
      </c>
    </row>
    <row r="215" spans="1:22" x14ac:dyDescent="0.25">
      <c r="A215" s="47" t="s">
        <v>1212</v>
      </c>
      <c r="B215" s="47" t="s">
        <v>123</v>
      </c>
      <c r="C215" s="47">
        <v>6695228</v>
      </c>
      <c r="D215" s="47">
        <v>0.22309999999999999</v>
      </c>
      <c r="E215" s="48">
        <f>SUMIF(Data!$E:$E,$C215,Data!$AI:$AI)</f>
        <v>0</v>
      </c>
      <c r="I215" s="14" t="s">
        <v>984</v>
      </c>
      <c r="J215" s="14" t="s">
        <v>1668</v>
      </c>
      <c r="K215" s="14" t="s">
        <v>140</v>
      </c>
      <c r="L215" s="14" t="s">
        <v>1657</v>
      </c>
      <c r="M215" s="14" t="s">
        <v>1669</v>
      </c>
      <c r="N215" s="14" t="s">
        <v>1670</v>
      </c>
      <c r="O215" s="14" t="s">
        <v>1671</v>
      </c>
      <c r="P215" s="14" t="s">
        <v>1672</v>
      </c>
      <c r="Q215" s="14" t="s">
        <v>737</v>
      </c>
      <c r="R215" s="14" t="s">
        <v>1673</v>
      </c>
      <c r="S215" s="14" t="s">
        <v>479</v>
      </c>
      <c r="T215" s="14" t="s">
        <v>480</v>
      </c>
      <c r="U215" s="14" t="s">
        <v>481</v>
      </c>
      <c r="V215" s="48">
        <f>SUMIF(Data!$E:$E,$I215,Data!$AI:$AI)</f>
        <v>0</v>
      </c>
    </row>
    <row r="216" spans="1:22" x14ac:dyDescent="0.25">
      <c r="A216" s="47" t="s">
        <v>1212</v>
      </c>
      <c r="B216" s="47" t="s">
        <v>123</v>
      </c>
      <c r="C216" s="47">
        <v>6711630</v>
      </c>
      <c r="D216" s="47">
        <v>0.92179999999999995</v>
      </c>
      <c r="E216" s="48">
        <f>SUMIF(Data!$E:$E,$C216,Data!$AI:$AI)</f>
        <v>0</v>
      </c>
      <c r="I216" s="14" t="s">
        <v>1674</v>
      </c>
      <c r="J216" s="14" t="s">
        <v>1675</v>
      </c>
      <c r="K216" s="14" t="s">
        <v>140</v>
      </c>
      <c r="L216" s="14" t="s">
        <v>1657</v>
      </c>
      <c r="M216" s="14" t="s">
        <v>1676</v>
      </c>
      <c r="N216" s="14">
        <v>120.223</v>
      </c>
      <c r="O216" s="14" t="s">
        <v>1677</v>
      </c>
      <c r="P216" s="14" t="s">
        <v>1678</v>
      </c>
      <c r="Q216" s="14" t="s">
        <v>419</v>
      </c>
      <c r="R216" s="14" t="s">
        <v>1679</v>
      </c>
      <c r="S216" s="14" t="s">
        <v>195</v>
      </c>
      <c r="T216" s="14" t="s">
        <v>149</v>
      </c>
      <c r="U216" s="14" t="s">
        <v>113</v>
      </c>
      <c r="V216" s="48">
        <f>SUMIF(Data!$E:$E,$I216,Data!$AI:$AI)</f>
        <v>0</v>
      </c>
    </row>
    <row r="217" spans="1:22" x14ac:dyDescent="0.25">
      <c r="A217" s="47" t="s">
        <v>1212</v>
      </c>
      <c r="B217" s="47" t="s">
        <v>123</v>
      </c>
      <c r="C217" s="47">
        <v>6716884</v>
      </c>
      <c r="D217" s="47">
        <v>0.4264</v>
      </c>
      <c r="E217" s="48">
        <f>SUMIF(Data!$E:$E,$C217,Data!$AI:$AI)</f>
        <v>0</v>
      </c>
      <c r="I217" s="14" t="s">
        <v>1680</v>
      </c>
      <c r="J217" s="14" t="s">
        <v>1681</v>
      </c>
      <c r="K217" s="14" t="s">
        <v>140</v>
      </c>
      <c r="L217" s="14" t="s">
        <v>1657</v>
      </c>
      <c r="M217" s="14" t="s">
        <v>1682</v>
      </c>
      <c r="N217" s="14">
        <v>133.47499999999999</v>
      </c>
      <c r="O217" s="14" t="s">
        <v>1683</v>
      </c>
      <c r="P217" s="14" t="s">
        <v>1684</v>
      </c>
      <c r="Q217" s="14" t="s">
        <v>737</v>
      </c>
      <c r="R217" s="14" t="s">
        <v>1685</v>
      </c>
      <c r="S217" s="14" t="s">
        <v>195</v>
      </c>
      <c r="T217" s="14" t="s">
        <v>149</v>
      </c>
      <c r="U217" s="14" t="s">
        <v>113</v>
      </c>
      <c r="V217" s="48">
        <f>SUMIF(Data!$E:$E,$I217,Data!$AI:$AI)</f>
        <v>0</v>
      </c>
    </row>
    <row r="218" spans="1:22" x14ac:dyDescent="0.25">
      <c r="A218" s="47" t="s">
        <v>1212</v>
      </c>
      <c r="B218" s="47" t="s">
        <v>123</v>
      </c>
      <c r="C218" s="47">
        <v>6727604</v>
      </c>
      <c r="D218" s="47">
        <v>0.34039999999999998</v>
      </c>
      <c r="E218" s="48">
        <f>SUMIF(Data!$E:$E,$C218,Data!$AI:$AI)</f>
        <v>0</v>
      </c>
      <c r="I218" s="14" t="s">
        <v>1686</v>
      </c>
      <c r="J218" s="14" t="s">
        <v>1687</v>
      </c>
      <c r="K218" s="14" t="s">
        <v>140</v>
      </c>
      <c r="L218" s="14" t="s">
        <v>1657</v>
      </c>
      <c r="M218" s="14" t="s">
        <v>1688</v>
      </c>
      <c r="N218" s="14" t="s">
        <v>1689</v>
      </c>
      <c r="O218" s="14" t="s">
        <v>1690</v>
      </c>
      <c r="P218" s="14" t="s">
        <v>1691</v>
      </c>
      <c r="Q218" s="14" t="s">
        <v>419</v>
      </c>
      <c r="R218" s="14" t="s">
        <v>1692</v>
      </c>
      <c r="S218" s="14" t="s">
        <v>229</v>
      </c>
      <c r="T218" s="14" t="s">
        <v>230</v>
      </c>
      <c r="U218" s="14" t="s">
        <v>231</v>
      </c>
      <c r="V218" s="48">
        <f>SUMIF(Data!$E:$E,$I218,Data!$AI:$AI)</f>
        <v>0</v>
      </c>
    </row>
    <row r="219" spans="1:22" x14ac:dyDescent="0.25">
      <c r="A219" s="47" t="s">
        <v>1212</v>
      </c>
      <c r="B219" s="47" t="s">
        <v>123</v>
      </c>
      <c r="C219" s="47">
        <v>6731133</v>
      </c>
      <c r="D219" s="47">
        <v>0.24179999999999999</v>
      </c>
      <c r="E219" s="48">
        <f>SUMIF(Data!$E:$E,$C219,Data!$AI:$AI)</f>
        <v>0</v>
      </c>
      <c r="I219" s="14" t="s">
        <v>1693</v>
      </c>
      <c r="J219" s="14" t="s">
        <v>1694</v>
      </c>
      <c r="K219" s="14" t="s">
        <v>140</v>
      </c>
      <c r="L219" s="14" t="s">
        <v>1657</v>
      </c>
      <c r="M219" s="14" t="s">
        <v>1695</v>
      </c>
      <c r="N219" s="14">
        <v>264.84300000000002</v>
      </c>
      <c r="O219" s="14" t="s">
        <v>1696</v>
      </c>
      <c r="P219" s="14" t="s">
        <v>1697</v>
      </c>
      <c r="Q219" s="14" t="s">
        <v>697</v>
      </c>
      <c r="R219" s="14" t="s">
        <v>1698</v>
      </c>
      <c r="S219" s="14" t="s">
        <v>195</v>
      </c>
      <c r="T219" s="14" t="s">
        <v>149</v>
      </c>
      <c r="U219" s="14" t="s">
        <v>113</v>
      </c>
      <c r="V219" s="48">
        <f>SUMIF(Data!$E:$E,$I219,Data!$AI:$AI)</f>
        <v>0</v>
      </c>
    </row>
    <row r="220" spans="1:22" x14ac:dyDescent="0.25">
      <c r="A220" s="47" t="s">
        <v>1212</v>
      </c>
      <c r="B220" s="47" t="s">
        <v>123</v>
      </c>
      <c r="C220" s="47">
        <v>6773511</v>
      </c>
      <c r="D220" s="47">
        <v>0.52480000000000004</v>
      </c>
      <c r="E220" s="48">
        <f>SUMIF(Data!$E:$E,$C220,Data!$AI:$AI)</f>
        <v>0</v>
      </c>
      <c r="I220" s="14" t="s">
        <v>1699</v>
      </c>
      <c r="J220" s="14" t="s">
        <v>1700</v>
      </c>
      <c r="K220" s="14" t="s">
        <v>140</v>
      </c>
      <c r="L220" s="14" t="s">
        <v>1657</v>
      </c>
      <c r="M220" s="14" t="s">
        <v>1701</v>
      </c>
      <c r="N220" s="14">
        <v>138.81200000000001</v>
      </c>
      <c r="O220" s="14" t="s">
        <v>1702</v>
      </c>
      <c r="P220" s="14" t="s">
        <v>1703</v>
      </c>
      <c r="Q220" s="14" t="s">
        <v>419</v>
      </c>
      <c r="R220" s="14" t="s">
        <v>1704</v>
      </c>
      <c r="S220" s="14" t="s">
        <v>195</v>
      </c>
      <c r="T220" s="14" t="s">
        <v>149</v>
      </c>
      <c r="U220" s="14" t="s">
        <v>113</v>
      </c>
      <c r="V220" s="48">
        <f>SUMIF(Data!$E:$E,$I220,Data!$AI:$AI)</f>
        <v>0</v>
      </c>
    </row>
    <row r="221" spans="1:22" x14ac:dyDescent="0.25">
      <c r="A221" s="47" t="s">
        <v>1212</v>
      </c>
      <c r="B221" s="47" t="s">
        <v>123</v>
      </c>
      <c r="C221" s="47">
        <v>6783941</v>
      </c>
      <c r="D221" s="47">
        <v>0.25380000000000003</v>
      </c>
      <c r="E221" s="48">
        <f>SUMIF(Data!$E:$E,$C221,Data!$AI:$AI)</f>
        <v>0</v>
      </c>
      <c r="I221" s="14" t="s">
        <v>1705</v>
      </c>
      <c r="J221" s="14" t="s">
        <v>1706</v>
      </c>
      <c r="K221" s="14" t="s">
        <v>140</v>
      </c>
      <c r="L221" s="14" t="s">
        <v>1657</v>
      </c>
      <c r="M221" s="14" t="s">
        <v>1707</v>
      </c>
      <c r="N221" s="14">
        <v>417.322</v>
      </c>
      <c r="O221" s="14" t="s">
        <v>1708</v>
      </c>
      <c r="P221" s="14" t="s">
        <v>1709</v>
      </c>
      <c r="Q221" s="14" t="s">
        <v>175</v>
      </c>
      <c r="R221" s="14" t="s">
        <v>1710</v>
      </c>
      <c r="S221" s="14" t="s">
        <v>148</v>
      </c>
      <c r="T221" s="14" t="s">
        <v>149</v>
      </c>
      <c r="U221" s="14" t="s">
        <v>113</v>
      </c>
      <c r="V221" s="48">
        <f>SUMIF(Data!$E:$E,$I221,Data!$AI:$AI)</f>
        <v>0</v>
      </c>
    </row>
    <row r="222" spans="1:22" x14ac:dyDescent="0.25">
      <c r="A222" s="47" t="s">
        <v>1212</v>
      </c>
      <c r="B222" s="47" t="s">
        <v>123</v>
      </c>
      <c r="C222" s="47">
        <v>6801382</v>
      </c>
      <c r="D222" s="47">
        <v>0.24840000000000001</v>
      </c>
      <c r="E222" s="48">
        <f>SUMIF(Data!$E:$E,$C222,Data!$AI:$AI)</f>
        <v>0</v>
      </c>
      <c r="I222" s="14" t="s">
        <v>1711</v>
      </c>
      <c r="J222" s="14" t="s">
        <v>1712</v>
      </c>
      <c r="K222" s="14" t="s">
        <v>140</v>
      </c>
      <c r="L222" s="14" t="s">
        <v>1657</v>
      </c>
      <c r="M222" s="14" t="s">
        <v>1713</v>
      </c>
      <c r="N222" s="14">
        <v>83.408000000000001</v>
      </c>
      <c r="O222" s="14" t="s">
        <v>1714</v>
      </c>
      <c r="P222" s="14" t="s">
        <v>1715</v>
      </c>
      <c r="Q222" s="14" t="s">
        <v>146</v>
      </c>
      <c r="R222" s="14" t="s">
        <v>1716</v>
      </c>
      <c r="S222" s="14" t="s">
        <v>148</v>
      </c>
      <c r="T222" s="14" t="s">
        <v>149</v>
      </c>
      <c r="U222" s="14" t="s">
        <v>113</v>
      </c>
      <c r="V222" s="48">
        <f>SUMIF(Data!$E:$E,$I222,Data!$AI:$AI)</f>
        <v>0</v>
      </c>
    </row>
    <row r="223" spans="1:22" x14ac:dyDescent="0.25">
      <c r="A223" s="47" t="s">
        <v>1212</v>
      </c>
      <c r="B223" s="47" t="s">
        <v>123</v>
      </c>
      <c r="C223" s="47">
        <v>6801713</v>
      </c>
      <c r="D223" s="47">
        <v>0.32940000000000003</v>
      </c>
      <c r="E223" s="48">
        <f>SUMIF(Data!$E:$E,$C223,Data!$AI:$AI)</f>
        <v>0</v>
      </c>
      <c r="I223" s="14" t="s">
        <v>1717</v>
      </c>
      <c r="J223" s="14" t="s">
        <v>1718</v>
      </c>
      <c r="K223" s="14" t="s">
        <v>140</v>
      </c>
      <c r="L223" s="14" t="s">
        <v>1657</v>
      </c>
      <c r="M223" s="14" t="s">
        <v>1719</v>
      </c>
      <c r="N223" s="14">
        <v>202.274</v>
      </c>
      <c r="O223" s="14" t="s">
        <v>1720</v>
      </c>
      <c r="P223" s="14" t="s">
        <v>1721</v>
      </c>
      <c r="Q223" s="14" t="s">
        <v>165</v>
      </c>
      <c r="R223" s="14" t="s">
        <v>1722</v>
      </c>
      <c r="S223" s="14" t="s">
        <v>148</v>
      </c>
      <c r="T223" s="14" t="s">
        <v>149</v>
      </c>
      <c r="U223" s="14" t="s">
        <v>113</v>
      </c>
      <c r="V223" s="48">
        <f>SUMIF(Data!$E:$E,$I223,Data!$AI:$AI)</f>
        <v>0</v>
      </c>
    </row>
    <row r="224" spans="1:22" x14ac:dyDescent="0.25">
      <c r="A224" s="47" t="s">
        <v>1212</v>
      </c>
      <c r="B224" s="47" t="s">
        <v>123</v>
      </c>
      <c r="C224" s="47">
        <v>6801791</v>
      </c>
      <c r="D224" s="47">
        <v>0.1203</v>
      </c>
      <c r="E224" s="48">
        <f>SUMIF(Data!$E:$E,$C224,Data!$AI:$AI)</f>
        <v>0</v>
      </c>
      <c r="I224" s="14" t="s">
        <v>1723</v>
      </c>
      <c r="J224" s="14" t="s">
        <v>1724</v>
      </c>
      <c r="K224" s="14" t="s">
        <v>140</v>
      </c>
      <c r="L224" s="14" t="s">
        <v>1657</v>
      </c>
      <c r="M224" s="14" t="s">
        <v>1725</v>
      </c>
      <c r="N224" s="14">
        <v>155.34700000000001</v>
      </c>
      <c r="O224" s="14" t="s">
        <v>1726</v>
      </c>
      <c r="P224" s="14" t="s">
        <v>1727</v>
      </c>
      <c r="Q224" s="14" t="s">
        <v>165</v>
      </c>
      <c r="R224" s="14" t="s">
        <v>1728</v>
      </c>
      <c r="S224" s="14" t="s">
        <v>563</v>
      </c>
      <c r="T224" s="14" t="s">
        <v>564</v>
      </c>
      <c r="U224" s="14" t="s">
        <v>528</v>
      </c>
      <c r="V224" s="48">
        <f>SUMIF(Data!$E:$E,$I224,Data!$AI:$AI)</f>
        <v>0</v>
      </c>
    </row>
    <row r="225" spans="1:22" x14ac:dyDescent="0.25">
      <c r="A225" s="47" t="s">
        <v>1212</v>
      </c>
      <c r="B225" s="47" t="s">
        <v>123</v>
      </c>
      <c r="C225" s="47">
        <v>6802006</v>
      </c>
      <c r="D225" s="47">
        <v>0.88400000000000001</v>
      </c>
      <c r="E225" s="48">
        <f>SUMIF(Data!$E:$E,$C225,Data!$AI:$AI)</f>
        <v>0</v>
      </c>
      <c r="I225" s="14" t="s">
        <v>1729</v>
      </c>
      <c r="J225" s="14" t="s">
        <v>1730</v>
      </c>
      <c r="K225" s="14" t="s">
        <v>140</v>
      </c>
      <c r="L225" s="14" t="s">
        <v>1657</v>
      </c>
      <c r="M225" s="14" t="s">
        <v>1731</v>
      </c>
      <c r="N225" s="14">
        <v>56.643999999999998</v>
      </c>
      <c r="O225" s="14" t="s">
        <v>1732</v>
      </c>
      <c r="P225" s="14" t="s">
        <v>1733</v>
      </c>
      <c r="Q225" s="14" t="s">
        <v>146</v>
      </c>
      <c r="R225" s="14" t="s">
        <v>1734</v>
      </c>
      <c r="S225" s="14" t="s">
        <v>728</v>
      </c>
      <c r="T225" s="14" t="s">
        <v>729</v>
      </c>
      <c r="U225" s="14" t="s">
        <v>730</v>
      </c>
      <c r="V225" s="48">
        <f>SUMIF(Data!$E:$E,$I225,Data!$AI:$AI)</f>
        <v>0</v>
      </c>
    </row>
    <row r="226" spans="1:22" x14ac:dyDescent="0.25">
      <c r="A226" s="47" t="s">
        <v>1212</v>
      </c>
      <c r="B226" s="47" t="s">
        <v>123</v>
      </c>
      <c r="C226" s="47">
        <v>6802471</v>
      </c>
      <c r="D226" s="47">
        <v>0.1376</v>
      </c>
      <c r="E226" s="48">
        <f>SUMIF(Data!$E:$E,$C226,Data!$AI:$AI)</f>
        <v>0</v>
      </c>
      <c r="I226" s="14" t="s">
        <v>1735</v>
      </c>
      <c r="J226" s="14" t="s">
        <v>1736</v>
      </c>
      <c r="K226" s="14" t="s">
        <v>140</v>
      </c>
      <c r="L226" s="14" t="s">
        <v>1657</v>
      </c>
      <c r="M226" s="14" t="s">
        <v>1737</v>
      </c>
      <c r="N226" s="14">
        <v>42.902000000000001</v>
      </c>
      <c r="O226" s="14" t="s">
        <v>1738</v>
      </c>
      <c r="P226" s="14" t="s">
        <v>1739</v>
      </c>
      <c r="Q226" s="14" t="s">
        <v>737</v>
      </c>
      <c r="R226" s="14" t="s">
        <v>1740</v>
      </c>
      <c r="S226" s="14" t="s">
        <v>195</v>
      </c>
      <c r="T226" s="14" t="s">
        <v>149</v>
      </c>
      <c r="U226" s="14" t="s">
        <v>113</v>
      </c>
      <c r="V226" s="48">
        <f>SUMIF(Data!$E:$E,$I226,Data!$AI:$AI)</f>
        <v>0</v>
      </c>
    </row>
    <row r="227" spans="1:22" x14ac:dyDescent="0.25">
      <c r="A227" s="47" t="s">
        <v>1212</v>
      </c>
      <c r="B227" s="47" t="s">
        <v>123</v>
      </c>
      <c r="C227" s="47">
        <v>6803098</v>
      </c>
      <c r="D227" s="47">
        <v>0.17899999999999999</v>
      </c>
      <c r="E227" s="48">
        <f>SUMIF(Data!$E:$E,$C227,Data!$AI:$AI)</f>
        <v>0</v>
      </c>
      <c r="I227" s="14">
        <v>7267</v>
      </c>
      <c r="J227" s="14" t="s">
        <v>1741</v>
      </c>
      <c r="K227" s="14" t="s">
        <v>140</v>
      </c>
      <c r="L227" s="14" t="s">
        <v>1657</v>
      </c>
      <c r="M227" s="14" t="s">
        <v>1742</v>
      </c>
      <c r="N227" s="14">
        <v>869.25</v>
      </c>
      <c r="O227" s="14" t="s">
        <v>1743</v>
      </c>
      <c r="P227" s="14" t="s">
        <v>1744</v>
      </c>
      <c r="Q227" s="14" t="s">
        <v>165</v>
      </c>
      <c r="R227" s="14" t="s">
        <v>1745</v>
      </c>
      <c r="S227" s="14" t="s">
        <v>444</v>
      </c>
      <c r="T227" s="14" t="s">
        <v>445</v>
      </c>
      <c r="U227" s="14" t="s">
        <v>446</v>
      </c>
      <c r="V227" s="48">
        <f>SUMIF(Data!$E:$E,$I227,Data!$AI:$AI)</f>
        <v>0</v>
      </c>
    </row>
    <row r="228" spans="1:22" x14ac:dyDescent="0.25">
      <c r="A228" s="47" t="s">
        <v>1212</v>
      </c>
      <c r="B228" s="47" t="s">
        <v>123</v>
      </c>
      <c r="C228" s="47">
        <v>6803708</v>
      </c>
      <c r="D228" s="47">
        <v>1.6560999999999999</v>
      </c>
      <c r="E228" s="48">
        <f>SUMIF(Data!$E:$E,$C228,Data!$AI:$AI)</f>
        <v>0</v>
      </c>
      <c r="I228" s="14" t="s">
        <v>1746</v>
      </c>
      <c r="J228" s="14" t="s">
        <v>1747</v>
      </c>
      <c r="K228" s="14" t="s">
        <v>140</v>
      </c>
      <c r="L228" s="14" t="s">
        <v>1657</v>
      </c>
      <c r="M228" s="14" t="s">
        <v>1748</v>
      </c>
      <c r="N228" s="14">
        <v>490.214</v>
      </c>
      <c r="O228" s="14" t="s">
        <v>1749</v>
      </c>
      <c r="P228" s="14" t="s">
        <v>1750</v>
      </c>
      <c r="Q228" s="14" t="s">
        <v>211</v>
      </c>
      <c r="R228" s="14" t="s">
        <v>1751</v>
      </c>
      <c r="S228" s="14" t="s">
        <v>645</v>
      </c>
      <c r="T228" s="14" t="s">
        <v>646</v>
      </c>
      <c r="U228" s="14" t="s">
        <v>528</v>
      </c>
      <c r="V228" s="48">
        <f>SUMIF(Data!$E:$E,$I228,Data!$AI:$AI)</f>
        <v>0</v>
      </c>
    </row>
    <row r="229" spans="1:22" x14ac:dyDescent="0.25">
      <c r="A229" s="47" t="s">
        <v>1212</v>
      </c>
      <c r="B229" s="47" t="s">
        <v>123</v>
      </c>
      <c r="C229" s="47">
        <v>6817088</v>
      </c>
      <c r="D229" s="47">
        <v>0.11269999999999999</v>
      </c>
      <c r="E229" s="48">
        <f>SUMIF(Data!$E:$E,$C229,Data!$AI:$AI)</f>
        <v>0</v>
      </c>
      <c r="I229" s="14" t="s">
        <v>1723</v>
      </c>
      <c r="J229" s="14" t="s">
        <v>1752</v>
      </c>
      <c r="K229" s="14" t="s">
        <v>140</v>
      </c>
      <c r="L229" s="14" t="s">
        <v>1657</v>
      </c>
      <c r="M229" s="14" t="s">
        <v>1753</v>
      </c>
      <c r="N229" s="14">
        <v>114.04600000000001</v>
      </c>
      <c r="O229" s="14" t="s">
        <v>1754</v>
      </c>
      <c r="P229" s="14" t="s">
        <v>1755</v>
      </c>
      <c r="Q229" s="14" t="s">
        <v>227</v>
      </c>
      <c r="R229" s="14" t="s">
        <v>1756</v>
      </c>
      <c r="S229" s="14" t="s">
        <v>195</v>
      </c>
      <c r="T229" s="14" t="s">
        <v>149</v>
      </c>
      <c r="U229" s="14" t="s">
        <v>113</v>
      </c>
      <c r="V229" s="48">
        <f>SUMIF(Data!$E:$E,$I229,Data!$AI:$AI)</f>
        <v>0</v>
      </c>
    </row>
    <row r="230" spans="1:22" x14ac:dyDescent="0.25">
      <c r="A230" s="47" t="s">
        <v>1212</v>
      </c>
      <c r="B230" s="47" t="s">
        <v>123</v>
      </c>
      <c r="C230" s="47">
        <v>6817367</v>
      </c>
      <c r="D230" s="47">
        <v>0.11509999999999999</v>
      </c>
      <c r="E230" s="48">
        <f>SUMIF(Data!$E:$E,$C230,Data!$AI:$AI)</f>
        <v>0</v>
      </c>
      <c r="I230" s="14" t="s">
        <v>1757</v>
      </c>
      <c r="J230" s="14" t="s">
        <v>1758</v>
      </c>
      <c r="K230" s="14" t="s">
        <v>140</v>
      </c>
      <c r="L230" s="14" t="s">
        <v>1657</v>
      </c>
      <c r="M230" s="14" t="s">
        <v>1759</v>
      </c>
      <c r="N230" s="14">
        <v>403.76100000000002</v>
      </c>
      <c r="O230" s="14" t="s">
        <v>1760</v>
      </c>
      <c r="P230" s="14" t="s">
        <v>1761</v>
      </c>
      <c r="Q230" s="14" t="s">
        <v>737</v>
      </c>
      <c r="R230" s="14" t="s">
        <v>1762</v>
      </c>
      <c r="S230" s="14" t="s">
        <v>195</v>
      </c>
      <c r="T230" s="14" t="s">
        <v>149</v>
      </c>
      <c r="U230" s="14" t="s">
        <v>113</v>
      </c>
      <c r="V230" s="48">
        <f>SUMIF(Data!$E:$E,$I230,Data!$AI:$AI)</f>
        <v>0</v>
      </c>
    </row>
    <row r="231" spans="1:22" x14ac:dyDescent="0.25">
      <c r="A231" s="47" t="s">
        <v>1212</v>
      </c>
      <c r="B231" s="47" t="s">
        <v>123</v>
      </c>
      <c r="C231" s="47">
        <v>6878331</v>
      </c>
      <c r="D231" s="47">
        <v>0.17319999999999999</v>
      </c>
      <c r="E231" s="48">
        <f>SUMIF(Data!$E:$E,$C231,Data!$AI:$AI)</f>
        <v>0</v>
      </c>
      <c r="I231" s="14" t="s">
        <v>1763</v>
      </c>
      <c r="J231" s="14" t="s">
        <v>1764</v>
      </c>
      <c r="K231" s="14" t="s">
        <v>140</v>
      </c>
      <c r="L231" s="14" t="s">
        <v>1657</v>
      </c>
      <c r="M231" s="14" t="s">
        <v>1765</v>
      </c>
      <c r="N231" s="14">
        <v>461.63200000000001</v>
      </c>
      <c r="O231" s="14" t="s">
        <v>1766</v>
      </c>
      <c r="P231" s="14" t="s">
        <v>1767</v>
      </c>
      <c r="Q231" s="14" t="s">
        <v>193</v>
      </c>
      <c r="R231" s="14" t="s">
        <v>1768</v>
      </c>
      <c r="S231" s="14" t="s">
        <v>195</v>
      </c>
      <c r="T231" s="14" t="s">
        <v>149</v>
      </c>
      <c r="U231" s="14" t="s">
        <v>113</v>
      </c>
      <c r="V231" s="48">
        <f>SUMIF(Data!$E:$E,$I231,Data!$AI:$AI)</f>
        <v>0</v>
      </c>
    </row>
    <row r="232" spans="1:22" x14ac:dyDescent="0.25">
      <c r="A232" s="47" t="s">
        <v>1212</v>
      </c>
      <c r="B232" s="47" t="s">
        <v>123</v>
      </c>
      <c r="C232" s="47">
        <v>6932323</v>
      </c>
      <c r="D232" s="47">
        <v>0.15429999999999999</v>
      </c>
      <c r="E232" s="48">
        <f>SUMIF(Data!$E:$E,$C232,Data!$AI:$AI)</f>
        <v>0</v>
      </c>
      <c r="I232" s="14">
        <v>7974</v>
      </c>
      <c r="J232" s="14" t="s">
        <v>1769</v>
      </c>
      <c r="K232" s="14" t="s">
        <v>140</v>
      </c>
      <c r="L232" s="14" t="s">
        <v>1657</v>
      </c>
      <c r="M232" s="14" t="s">
        <v>1770</v>
      </c>
      <c r="N232" s="14">
        <v>60.576999999999998</v>
      </c>
      <c r="O232" s="14" t="s">
        <v>1771</v>
      </c>
      <c r="P232" s="14" t="s">
        <v>1772</v>
      </c>
      <c r="Q232" s="14" t="s">
        <v>175</v>
      </c>
      <c r="R232" s="14" t="s">
        <v>1773</v>
      </c>
      <c r="S232" s="14" t="s">
        <v>444</v>
      </c>
      <c r="T232" s="14" t="s">
        <v>445</v>
      </c>
      <c r="U232" s="14" t="s">
        <v>446</v>
      </c>
      <c r="V232" s="48">
        <f>SUMIF(Data!$E:$E,$I232,Data!$AI:$AI)</f>
        <v>0</v>
      </c>
    </row>
    <row r="233" spans="1:22" x14ac:dyDescent="0.25">
      <c r="A233" s="47" t="s">
        <v>1212</v>
      </c>
      <c r="B233" s="47" t="s">
        <v>123</v>
      </c>
      <c r="C233" s="47">
        <v>6984045</v>
      </c>
      <c r="D233" s="47">
        <v>0.43769999999999998</v>
      </c>
      <c r="E233" s="48">
        <f>SUMIF(Data!$E:$E,$C233,Data!$AI:$AI)</f>
        <v>0</v>
      </c>
      <c r="I233" s="14" t="s">
        <v>1774</v>
      </c>
      <c r="J233" s="14" t="s">
        <v>1775</v>
      </c>
      <c r="K233" s="14" t="s">
        <v>140</v>
      </c>
      <c r="L233" s="14" t="s">
        <v>1657</v>
      </c>
      <c r="M233" s="14" t="s">
        <v>1776</v>
      </c>
      <c r="N233" s="14">
        <v>201.982</v>
      </c>
      <c r="O233" s="14" t="s">
        <v>1777</v>
      </c>
      <c r="P233" s="14" t="s">
        <v>1778</v>
      </c>
      <c r="Q233" s="14" t="s">
        <v>146</v>
      </c>
      <c r="R233" s="14" t="s">
        <v>1779</v>
      </c>
      <c r="S233" s="14" t="s">
        <v>148</v>
      </c>
      <c r="T233" s="14" t="s">
        <v>149</v>
      </c>
      <c r="U233" s="14" t="s">
        <v>113</v>
      </c>
      <c r="V233" s="48">
        <f>SUMIF(Data!$E:$E,$I233,Data!$AI:$AI)</f>
        <v>0</v>
      </c>
    </row>
    <row r="234" spans="1:22" x14ac:dyDescent="0.25">
      <c r="A234" s="47" t="s">
        <v>1212</v>
      </c>
      <c r="B234" s="47" t="s">
        <v>123</v>
      </c>
      <c r="C234" s="47">
        <v>6990257</v>
      </c>
      <c r="D234" s="47">
        <v>1.6904999999999999</v>
      </c>
      <c r="E234" s="48">
        <f>SUMIF(Data!$E:$E,$C234,Data!$AI:$AI)</f>
        <v>0</v>
      </c>
      <c r="I234" s="14" t="s">
        <v>1780</v>
      </c>
      <c r="J234" s="14" t="s">
        <v>1781</v>
      </c>
      <c r="K234" s="14" t="s">
        <v>140</v>
      </c>
      <c r="L234" s="14" t="s">
        <v>1657</v>
      </c>
      <c r="M234" s="14" t="s">
        <v>1782</v>
      </c>
      <c r="N234" s="14">
        <v>159.37100000000001</v>
      </c>
      <c r="O234" s="14" t="s">
        <v>1783</v>
      </c>
      <c r="P234" s="14" t="s">
        <v>1784</v>
      </c>
      <c r="Q234" s="14" t="s">
        <v>697</v>
      </c>
      <c r="R234" s="14" t="s">
        <v>1785</v>
      </c>
      <c r="S234" s="14" t="s">
        <v>195</v>
      </c>
      <c r="T234" s="14" t="s">
        <v>149</v>
      </c>
      <c r="U234" s="14" t="s">
        <v>113</v>
      </c>
      <c r="V234" s="48">
        <f>SUMIF(Data!$E:$E,$I234,Data!$AI:$AI)</f>
        <v>0</v>
      </c>
    </row>
    <row r="235" spans="1:22" x14ac:dyDescent="0.25">
      <c r="A235" s="47" t="s">
        <v>1212</v>
      </c>
      <c r="B235" s="47" t="s">
        <v>123</v>
      </c>
      <c r="C235" s="47">
        <v>6990718</v>
      </c>
      <c r="D235" s="47">
        <v>0.30280000000000001</v>
      </c>
      <c r="E235" s="48">
        <f>SUMIF(Data!$E:$E,$C235,Data!$AI:$AI)</f>
        <v>0</v>
      </c>
      <c r="I235" s="14" t="s">
        <v>1786</v>
      </c>
      <c r="J235" s="14" t="s">
        <v>1787</v>
      </c>
      <c r="K235" s="14" t="s">
        <v>140</v>
      </c>
      <c r="L235" s="14" t="s">
        <v>1657</v>
      </c>
      <c r="M235" s="14" t="s">
        <v>1788</v>
      </c>
      <c r="N235" s="14">
        <v>163.65199999999999</v>
      </c>
      <c r="O235" s="14" t="s">
        <v>1789</v>
      </c>
      <c r="P235" s="14" t="s">
        <v>1790</v>
      </c>
      <c r="Q235" s="14" t="s">
        <v>809</v>
      </c>
      <c r="R235" s="14" t="s">
        <v>1791</v>
      </c>
      <c r="S235" s="14" t="s">
        <v>195</v>
      </c>
      <c r="T235" s="14" t="s">
        <v>149</v>
      </c>
      <c r="U235" s="14" t="s">
        <v>113</v>
      </c>
      <c r="V235" s="48">
        <f>SUMIF(Data!$E:$E,$I235,Data!$AI:$AI)</f>
        <v>0.1705308312796065</v>
      </c>
    </row>
    <row r="236" spans="1:22" x14ac:dyDescent="0.25">
      <c r="A236" s="47" t="s">
        <v>1212</v>
      </c>
      <c r="B236" s="47" t="s">
        <v>123</v>
      </c>
      <c r="C236" s="47" t="s">
        <v>1792</v>
      </c>
      <c r="D236" s="47">
        <v>0.14069999999999999</v>
      </c>
      <c r="E236" s="48">
        <f>SUMIF(Data!$E:$E,$C236,Data!$AI:$AI)</f>
        <v>0</v>
      </c>
      <c r="I236" s="14" t="s">
        <v>1793</v>
      </c>
      <c r="J236" s="14" t="s">
        <v>1794</v>
      </c>
      <c r="K236" s="14" t="s">
        <v>140</v>
      </c>
      <c r="L236" s="14" t="s">
        <v>1657</v>
      </c>
      <c r="M236" s="14" t="s">
        <v>1795</v>
      </c>
      <c r="N236" s="14">
        <v>506.44099999999997</v>
      </c>
      <c r="O236" s="14" t="s">
        <v>1796</v>
      </c>
      <c r="P236" s="14" t="s">
        <v>1797</v>
      </c>
      <c r="Q236" s="14" t="s">
        <v>697</v>
      </c>
      <c r="R236" s="14" t="s">
        <v>1798</v>
      </c>
      <c r="S236" s="14" t="s">
        <v>148</v>
      </c>
      <c r="T236" s="14" t="s">
        <v>149</v>
      </c>
      <c r="U236" s="14" t="s">
        <v>113</v>
      </c>
      <c r="V236" s="48">
        <f>SUMIF(Data!$E:$E,$I236,Data!$AI:$AI)</f>
        <v>0</v>
      </c>
    </row>
    <row r="237" spans="1:22" x14ac:dyDescent="0.25">
      <c r="A237" s="47" t="s">
        <v>1212</v>
      </c>
      <c r="B237" s="47" t="s">
        <v>123</v>
      </c>
      <c r="C237" s="47" t="s">
        <v>1799</v>
      </c>
      <c r="D237" s="47">
        <v>0.4521</v>
      </c>
      <c r="E237" s="48">
        <f>SUMIF(Data!$E:$E,$C237,Data!$AI:$AI)</f>
        <v>0</v>
      </c>
      <c r="I237" s="14" t="s">
        <v>1800</v>
      </c>
      <c r="J237" s="14" t="s">
        <v>1801</v>
      </c>
      <c r="K237" s="14" t="s">
        <v>140</v>
      </c>
      <c r="L237" s="14" t="s">
        <v>1657</v>
      </c>
      <c r="M237" s="14" t="s">
        <v>1802</v>
      </c>
      <c r="N237" s="14">
        <v>443.92500000000001</v>
      </c>
      <c r="O237" s="14" t="s">
        <v>1803</v>
      </c>
      <c r="P237" s="14" t="s">
        <v>1804</v>
      </c>
      <c r="Q237" s="14" t="s">
        <v>193</v>
      </c>
      <c r="R237" s="14" t="s">
        <v>1805</v>
      </c>
      <c r="S237" s="14" t="s">
        <v>195</v>
      </c>
      <c r="T237" s="14" t="s">
        <v>149</v>
      </c>
      <c r="U237" s="14" t="s">
        <v>113</v>
      </c>
      <c r="V237" s="48">
        <f>SUMIF(Data!$E:$E,$I237,Data!$AI:$AI)</f>
        <v>0</v>
      </c>
    </row>
    <row r="238" spans="1:22" x14ac:dyDescent="0.25">
      <c r="A238" s="47" t="s">
        <v>1212</v>
      </c>
      <c r="B238" s="47" t="s">
        <v>123</v>
      </c>
      <c r="C238" s="47" t="s">
        <v>1806</v>
      </c>
      <c r="D238" s="47">
        <v>0.80479999999999996</v>
      </c>
      <c r="E238" s="48">
        <f>SUMIF(Data!$E:$E,$C238,Data!$AI:$AI)</f>
        <v>0</v>
      </c>
      <c r="I238" s="14" t="s">
        <v>1807</v>
      </c>
      <c r="J238" s="14" t="s">
        <v>1808</v>
      </c>
      <c r="K238" s="14" t="s">
        <v>140</v>
      </c>
      <c r="L238" s="14" t="s">
        <v>1809</v>
      </c>
      <c r="M238" s="14" t="s">
        <v>1810</v>
      </c>
      <c r="N238" s="14">
        <v>268.76900000000001</v>
      </c>
      <c r="O238" s="14" t="s">
        <v>1811</v>
      </c>
      <c r="P238" s="14" t="s">
        <v>1812</v>
      </c>
      <c r="Q238" s="14" t="s">
        <v>211</v>
      </c>
      <c r="R238" s="14" t="s">
        <v>1813</v>
      </c>
      <c r="S238" s="14" t="s">
        <v>195</v>
      </c>
      <c r="T238" s="14" t="s">
        <v>149</v>
      </c>
      <c r="U238" s="14" t="s">
        <v>113</v>
      </c>
      <c r="V238" s="48">
        <f>SUMIF(Data!$E:$E,$I238,Data!$AI:$AI)</f>
        <v>0</v>
      </c>
    </row>
    <row r="239" spans="1:22" x14ac:dyDescent="0.25">
      <c r="A239" s="47" t="s">
        <v>1212</v>
      </c>
      <c r="B239" s="47" t="s">
        <v>123</v>
      </c>
      <c r="C239" s="47" t="s">
        <v>1814</v>
      </c>
      <c r="D239" s="47">
        <v>0.48220000000000002</v>
      </c>
      <c r="E239" s="48">
        <f>SUMIF(Data!$E:$E,$C239,Data!$AI:$AI)</f>
        <v>0</v>
      </c>
      <c r="I239" s="14" t="s">
        <v>1815</v>
      </c>
      <c r="J239" s="14" t="s">
        <v>1816</v>
      </c>
      <c r="K239" s="14" t="s">
        <v>140</v>
      </c>
      <c r="L239" s="14" t="s">
        <v>1809</v>
      </c>
      <c r="M239" s="14" t="s">
        <v>1817</v>
      </c>
      <c r="N239" s="14">
        <v>454.553</v>
      </c>
      <c r="O239" s="14" t="s">
        <v>1818</v>
      </c>
      <c r="P239" s="14" t="s">
        <v>1819</v>
      </c>
      <c r="Q239" s="14" t="s">
        <v>193</v>
      </c>
      <c r="R239" s="14" t="s">
        <v>1820</v>
      </c>
      <c r="S239" s="14" t="s">
        <v>195</v>
      </c>
      <c r="T239" s="14" t="s">
        <v>149</v>
      </c>
      <c r="U239" s="14" t="s">
        <v>113</v>
      </c>
      <c r="V239" s="48">
        <f>SUMIF(Data!$E:$E,$I239,Data!$AI:$AI)</f>
        <v>0</v>
      </c>
    </row>
    <row r="240" spans="1:22" x14ac:dyDescent="0.25">
      <c r="A240" s="47" t="s">
        <v>1212</v>
      </c>
      <c r="B240" s="47" t="s">
        <v>123</v>
      </c>
      <c r="C240" s="47" t="s">
        <v>1821</v>
      </c>
      <c r="D240" s="47">
        <v>0.68579999999999997</v>
      </c>
      <c r="E240" s="48">
        <f>SUMIF(Data!$E:$E,$C240,Data!$AI:$AI)</f>
        <v>0</v>
      </c>
      <c r="I240" s="14">
        <v>6367</v>
      </c>
      <c r="J240" s="14" t="s">
        <v>1822</v>
      </c>
      <c r="K240" s="14" t="s">
        <v>140</v>
      </c>
      <c r="L240" s="14" t="s">
        <v>1809</v>
      </c>
      <c r="M240" s="14" t="s">
        <v>1823</v>
      </c>
      <c r="N240" s="14">
        <v>160.749</v>
      </c>
      <c r="O240" s="14" t="s">
        <v>1824</v>
      </c>
      <c r="P240" s="14" t="s">
        <v>1825</v>
      </c>
      <c r="Q240" s="14" t="s">
        <v>419</v>
      </c>
      <c r="R240" s="14" t="s">
        <v>1826</v>
      </c>
      <c r="S240" s="14" t="s">
        <v>444</v>
      </c>
      <c r="T240" s="14" t="s">
        <v>445</v>
      </c>
      <c r="U240" s="14" t="s">
        <v>446</v>
      </c>
      <c r="V240" s="48">
        <f>SUMIF(Data!$E:$E,$I240,Data!$AI:$AI)</f>
        <v>0</v>
      </c>
    </row>
    <row r="241" spans="1:22" x14ac:dyDescent="0.25">
      <c r="A241" s="47" t="s">
        <v>1212</v>
      </c>
      <c r="B241" s="47" t="s">
        <v>123</v>
      </c>
      <c r="C241" s="47" t="s">
        <v>1827</v>
      </c>
      <c r="D241" s="47">
        <v>0.161</v>
      </c>
      <c r="E241" s="48">
        <f>SUMIF(Data!$E:$E,$C241,Data!$AI:$AI)</f>
        <v>0</v>
      </c>
      <c r="I241" s="14">
        <v>4063</v>
      </c>
      <c r="J241" s="14" t="s">
        <v>1828</v>
      </c>
      <c r="K241" s="14" t="s">
        <v>140</v>
      </c>
      <c r="L241" s="14" t="s">
        <v>1809</v>
      </c>
      <c r="M241" s="14" t="s">
        <v>1829</v>
      </c>
      <c r="N241" s="14">
        <v>208.15700000000001</v>
      </c>
      <c r="O241" s="14" t="s">
        <v>1830</v>
      </c>
      <c r="P241" s="14" t="s">
        <v>1831</v>
      </c>
      <c r="Q241" s="14" t="s">
        <v>737</v>
      </c>
      <c r="R241" s="14" t="s">
        <v>1832</v>
      </c>
      <c r="S241" s="14" t="s">
        <v>444</v>
      </c>
      <c r="T241" s="14" t="s">
        <v>445</v>
      </c>
      <c r="U241" s="14" t="s">
        <v>446</v>
      </c>
      <c r="V241" s="48">
        <f>SUMIF(Data!$E:$E,$I241,Data!$AI:$AI)</f>
        <v>0</v>
      </c>
    </row>
    <row r="242" spans="1:22" x14ac:dyDescent="0.25">
      <c r="A242" s="47" t="s">
        <v>1212</v>
      </c>
      <c r="B242" s="47" t="s">
        <v>123</v>
      </c>
      <c r="C242" s="47" t="s">
        <v>1833</v>
      </c>
      <c r="D242" s="47">
        <v>1.1995</v>
      </c>
      <c r="E242" s="48">
        <f>SUMIF(Data!$E:$E,$C242,Data!$AI:$AI)</f>
        <v>0</v>
      </c>
      <c r="I242" s="14" t="s">
        <v>1834</v>
      </c>
      <c r="J242" s="14" t="s">
        <v>1835</v>
      </c>
      <c r="K242" s="14" t="s">
        <v>140</v>
      </c>
      <c r="L242" s="14" t="s">
        <v>1809</v>
      </c>
      <c r="M242" s="14" t="s">
        <v>1836</v>
      </c>
      <c r="N242" s="14">
        <v>152.66999999999999</v>
      </c>
      <c r="O242" s="14" t="s">
        <v>1837</v>
      </c>
      <c r="P242" s="14" t="s">
        <v>1838</v>
      </c>
      <c r="Q242" s="14" t="s">
        <v>211</v>
      </c>
      <c r="R242" s="14" t="s">
        <v>1839</v>
      </c>
      <c r="S242" s="14" t="s">
        <v>195</v>
      </c>
      <c r="T242" s="14" t="s">
        <v>149</v>
      </c>
      <c r="U242" s="14" t="s">
        <v>113</v>
      </c>
      <c r="V242" s="48">
        <f>SUMIF(Data!$E:$E,$I242,Data!$AI:$AI)</f>
        <v>0</v>
      </c>
    </row>
    <row r="243" spans="1:22" x14ac:dyDescent="0.25">
      <c r="A243" s="47" t="s">
        <v>1212</v>
      </c>
      <c r="B243" s="47" t="s">
        <v>123</v>
      </c>
      <c r="C243" s="47" t="s">
        <v>1840</v>
      </c>
      <c r="D243" s="47">
        <v>0.16220000000000001</v>
      </c>
      <c r="E243" s="48">
        <f>SUMIF(Data!$E:$E,$C243,Data!$AI:$AI)</f>
        <v>0</v>
      </c>
      <c r="I243" s="14" t="s">
        <v>1841</v>
      </c>
      <c r="J243" s="14" t="s">
        <v>1842</v>
      </c>
      <c r="K243" s="14" t="s">
        <v>140</v>
      </c>
      <c r="L243" s="14" t="s">
        <v>1809</v>
      </c>
      <c r="M243" s="14" t="s">
        <v>1843</v>
      </c>
      <c r="N243" s="14">
        <v>90.733000000000004</v>
      </c>
      <c r="O243" s="14" t="s">
        <v>1844</v>
      </c>
      <c r="P243" s="14" t="s">
        <v>1845</v>
      </c>
      <c r="Q243" s="14" t="s">
        <v>193</v>
      </c>
      <c r="R243" s="14" t="s">
        <v>1846</v>
      </c>
      <c r="S243" s="14" t="s">
        <v>195</v>
      </c>
      <c r="T243" s="14" t="s">
        <v>149</v>
      </c>
      <c r="U243" s="14" t="s">
        <v>113</v>
      </c>
      <c r="V243" s="48">
        <f>SUMIF(Data!$E:$E,$I243,Data!$AI:$AI)</f>
        <v>0</v>
      </c>
    </row>
    <row r="244" spans="1:22" x14ac:dyDescent="0.25">
      <c r="A244" s="47" t="s">
        <v>1212</v>
      </c>
      <c r="B244" s="47" t="s">
        <v>123</v>
      </c>
      <c r="C244" s="47" t="s">
        <v>1847</v>
      </c>
      <c r="D244" s="47">
        <v>9.7199999999999995E-2</v>
      </c>
      <c r="E244" s="48">
        <f>SUMIF(Data!$E:$E,$C244,Data!$AI:$AI)</f>
        <v>0</v>
      </c>
      <c r="I244" s="14" t="s">
        <v>1848</v>
      </c>
      <c r="J244" s="14" t="s">
        <v>1849</v>
      </c>
      <c r="K244" s="14" t="s">
        <v>140</v>
      </c>
      <c r="L244" s="14" t="s">
        <v>1809</v>
      </c>
      <c r="M244" s="14" t="s">
        <v>1850</v>
      </c>
      <c r="N244" s="14">
        <v>649.255</v>
      </c>
      <c r="O244" s="14" t="s">
        <v>1851</v>
      </c>
      <c r="P244" s="14" t="s">
        <v>1852</v>
      </c>
      <c r="Q244" s="14" t="s">
        <v>165</v>
      </c>
      <c r="R244" s="14" t="s">
        <v>1853</v>
      </c>
      <c r="S244" s="14" t="s">
        <v>195</v>
      </c>
      <c r="T244" s="14" t="s">
        <v>149</v>
      </c>
      <c r="U244" s="14" t="s">
        <v>113</v>
      </c>
      <c r="V244" s="48">
        <f>SUMIF(Data!$E:$E,$I244,Data!$AI:$AI)</f>
        <v>0</v>
      </c>
    </row>
    <row r="245" spans="1:22" x14ac:dyDescent="0.25">
      <c r="A245" s="47" t="s">
        <v>1212</v>
      </c>
      <c r="B245" s="47" t="s">
        <v>123</v>
      </c>
      <c r="C245" s="47" t="s">
        <v>1854</v>
      </c>
      <c r="D245" s="47">
        <v>0.159</v>
      </c>
      <c r="E245" s="48">
        <f>SUMIF(Data!$E:$E,$C245,Data!$AI:$AI)</f>
        <v>0</v>
      </c>
      <c r="I245" s="14" t="s">
        <v>1855</v>
      </c>
      <c r="J245" s="14" t="s">
        <v>1856</v>
      </c>
      <c r="K245" s="14" t="s">
        <v>140</v>
      </c>
      <c r="L245" s="14" t="s">
        <v>1809</v>
      </c>
      <c r="M245" s="14" t="s">
        <v>1857</v>
      </c>
      <c r="N245" s="14">
        <v>303.42599999999999</v>
      </c>
      <c r="O245" s="14" t="s">
        <v>1858</v>
      </c>
      <c r="P245" s="14" t="s">
        <v>1859</v>
      </c>
      <c r="Q245" s="14" t="s">
        <v>193</v>
      </c>
      <c r="R245" s="14" t="s">
        <v>1860</v>
      </c>
      <c r="S245" s="14" t="s">
        <v>195</v>
      </c>
      <c r="T245" s="14" t="s">
        <v>149</v>
      </c>
      <c r="U245" s="14" t="s">
        <v>113</v>
      </c>
      <c r="V245" s="48">
        <f>SUMIF(Data!$E:$E,$I245,Data!$AI:$AI)</f>
        <v>0</v>
      </c>
    </row>
    <row r="246" spans="1:22" x14ac:dyDescent="0.25">
      <c r="A246" s="47" t="s">
        <v>1212</v>
      </c>
      <c r="B246" s="47" t="s">
        <v>123</v>
      </c>
      <c r="C246" s="47" t="s">
        <v>1861</v>
      </c>
      <c r="D246" s="47">
        <v>0.42830000000000001</v>
      </c>
      <c r="E246" s="48">
        <f>SUMIF(Data!$E:$E,$C246,Data!$AI:$AI)</f>
        <v>0</v>
      </c>
      <c r="I246" s="14" t="s">
        <v>1862</v>
      </c>
      <c r="J246" s="14" t="s">
        <v>1863</v>
      </c>
      <c r="K246" s="14" t="s">
        <v>140</v>
      </c>
      <c r="L246" s="14" t="s">
        <v>1809</v>
      </c>
      <c r="M246" s="14" t="s">
        <v>1864</v>
      </c>
      <c r="N246" s="14">
        <v>229.785</v>
      </c>
      <c r="O246" s="14" t="s">
        <v>1865</v>
      </c>
      <c r="P246" s="14" t="s">
        <v>1866</v>
      </c>
      <c r="Q246" s="14" t="s">
        <v>263</v>
      </c>
      <c r="R246" s="14" t="s">
        <v>1867</v>
      </c>
      <c r="S246" s="14" t="s">
        <v>195</v>
      </c>
      <c r="T246" s="14" t="s">
        <v>149</v>
      </c>
      <c r="U246" s="14" t="s">
        <v>113</v>
      </c>
      <c r="V246" s="48">
        <f>SUMIF(Data!$E:$E,$I246,Data!$AI:$AI)</f>
        <v>0</v>
      </c>
    </row>
    <row r="247" spans="1:22" x14ac:dyDescent="0.25">
      <c r="A247" s="47" t="s">
        <v>1212</v>
      </c>
      <c r="B247" s="47" t="s">
        <v>123</v>
      </c>
      <c r="C247" s="47" t="s">
        <v>1868</v>
      </c>
      <c r="D247" s="47">
        <v>1.9975000000000001</v>
      </c>
      <c r="E247" s="48">
        <f>SUMIF(Data!$E:$E,$C247,Data!$AI:$AI)</f>
        <v>0</v>
      </c>
      <c r="I247" s="14" t="s">
        <v>1869</v>
      </c>
      <c r="J247" s="14" t="s">
        <v>1870</v>
      </c>
      <c r="K247" s="14" t="s">
        <v>140</v>
      </c>
      <c r="L247" s="14" t="s">
        <v>1809</v>
      </c>
      <c r="M247" s="14" t="s">
        <v>1871</v>
      </c>
      <c r="N247" s="14">
        <v>115.38800000000001</v>
      </c>
      <c r="O247" s="14" t="s">
        <v>1872</v>
      </c>
      <c r="P247" s="14" t="s">
        <v>1873</v>
      </c>
      <c r="Q247" s="14" t="s">
        <v>146</v>
      </c>
      <c r="R247" s="14" t="s">
        <v>1874</v>
      </c>
      <c r="S247" s="14" t="s">
        <v>148</v>
      </c>
      <c r="T247" s="14" t="s">
        <v>149</v>
      </c>
      <c r="U247" s="14" t="s">
        <v>113</v>
      </c>
      <c r="V247" s="48">
        <f>SUMIF(Data!$E:$E,$I247,Data!$AI:$AI)</f>
        <v>0</v>
      </c>
    </row>
    <row r="248" spans="1:22" x14ac:dyDescent="0.25">
      <c r="A248" s="47" t="s">
        <v>1212</v>
      </c>
      <c r="B248" s="47" t="s">
        <v>123</v>
      </c>
      <c r="C248" s="47" t="s">
        <v>1875</v>
      </c>
      <c r="D248" s="47">
        <v>5.4379</v>
      </c>
      <c r="E248" s="48">
        <f>SUMIF(Data!$E:$E,$C248,Data!$AI:$AI)</f>
        <v>0</v>
      </c>
      <c r="I248" s="14" t="s">
        <v>1876</v>
      </c>
      <c r="J248" s="14" t="s">
        <v>1877</v>
      </c>
      <c r="K248" s="14" t="s">
        <v>140</v>
      </c>
      <c r="L248" s="14" t="s">
        <v>1809</v>
      </c>
      <c r="M248" s="14" t="s">
        <v>1878</v>
      </c>
      <c r="N248" s="14" t="s">
        <v>1879</v>
      </c>
      <c r="O248" s="14" t="s">
        <v>1880</v>
      </c>
      <c r="P248" s="14" t="s">
        <v>1881</v>
      </c>
      <c r="Q248" s="14" t="s">
        <v>263</v>
      </c>
      <c r="R248" s="14" t="s">
        <v>1882</v>
      </c>
      <c r="S248" s="14" t="s">
        <v>195</v>
      </c>
      <c r="T248" s="14" t="s">
        <v>149</v>
      </c>
      <c r="U248" s="14" t="s">
        <v>113</v>
      </c>
      <c r="V248" s="48">
        <f>SUMIF(Data!$E:$E,$I248,Data!$AI:$AI)</f>
        <v>0</v>
      </c>
    </row>
    <row r="249" spans="1:22" x14ac:dyDescent="0.25">
      <c r="A249" s="47" t="s">
        <v>1212</v>
      </c>
      <c r="B249" s="47" t="s">
        <v>123</v>
      </c>
      <c r="C249" s="47" t="s">
        <v>1883</v>
      </c>
      <c r="D249" s="47">
        <v>0.1789</v>
      </c>
      <c r="E249" s="48">
        <f>SUMIF(Data!$E:$E,$C249,Data!$AI:$AI)</f>
        <v>0</v>
      </c>
      <c r="I249" s="14" t="s">
        <v>1884</v>
      </c>
      <c r="J249" s="14" t="s">
        <v>1885</v>
      </c>
      <c r="K249" s="14" t="s">
        <v>140</v>
      </c>
      <c r="L249" s="14" t="s">
        <v>1809</v>
      </c>
      <c r="M249" s="14" t="s">
        <v>1886</v>
      </c>
      <c r="N249" s="14">
        <v>406.86200000000002</v>
      </c>
      <c r="O249" s="14" t="s">
        <v>1887</v>
      </c>
      <c r="P249" s="14" t="s">
        <v>1888</v>
      </c>
      <c r="Q249" s="14" t="s">
        <v>227</v>
      </c>
      <c r="R249" s="14" t="s">
        <v>1889</v>
      </c>
      <c r="S249" s="14" t="s">
        <v>148</v>
      </c>
      <c r="T249" s="14" t="s">
        <v>149</v>
      </c>
      <c r="U249" s="14" t="s">
        <v>113</v>
      </c>
      <c r="V249" s="48">
        <f>SUMIF(Data!$E:$E,$I249,Data!$AI:$AI)</f>
        <v>0</v>
      </c>
    </row>
    <row r="250" spans="1:22" x14ac:dyDescent="0.25">
      <c r="A250" s="47" t="s">
        <v>1212</v>
      </c>
      <c r="B250" s="47" t="s">
        <v>123</v>
      </c>
      <c r="C250" s="47" t="s">
        <v>1890</v>
      </c>
      <c r="D250" s="47">
        <v>1.6093999999999999</v>
      </c>
      <c r="E250" s="48">
        <f>SUMIF(Data!$E:$E,$C250,Data!$AI:$AI)</f>
        <v>0</v>
      </c>
      <c r="I250" s="14" t="s">
        <v>1891</v>
      </c>
      <c r="J250" s="14" t="s">
        <v>1892</v>
      </c>
      <c r="K250" s="14" t="s">
        <v>140</v>
      </c>
      <c r="L250" s="14" t="s">
        <v>1809</v>
      </c>
      <c r="M250" s="14" t="s">
        <v>1893</v>
      </c>
      <c r="N250" s="14">
        <v>259.44400000000002</v>
      </c>
      <c r="O250" s="14" t="s">
        <v>1894</v>
      </c>
      <c r="P250" s="14" t="s">
        <v>1895</v>
      </c>
      <c r="Q250" s="14" t="s">
        <v>227</v>
      </c>
      <c r="R250" s="14" t="s">
        <v>1896</v>
      </c>
      <c r="S250" s="14" t="s">
        <v>195</v>
      </c>
      <c r="T250" s="14" t="s">
        <v>149</v>
      </c>
      <c r="U250" s="14" t="s">
        <v>113</v>
      </c>
      <c r="V250" s="48">
        <f>SUMIF(Data!$E:$E,$I250,Data!$AI:$AI)</f>
        <v>0</v>
      </c>
    </row>
    <row r="251" spans="1:22" x14ac:dyDescent="0.25">
      <c r="A251" s="47" t="s">
        <v>1212</v>
      </c>
      <c r="B251" s="47" t="s">
        <v>123</v>
      </c>
      <c r="C251" s="47" t="s">
        <v>1897</v>
      </c>
      <c r="D251" s="47">
        <v>0.49299999999999999</v>
      </c>
      <c r="E251" s="48">
        <f>SUMIF(Data!$E:$E,$C251,Data!$AI:$AI)</f>
        <v>0</v>
      </c>
      <c r="I251" s="14" t="s">
        <v>1898</v>
      </c>
      <c r="J251" s="14" t="s">
        <v>1899</v>
      </c>
      <c r="K251" s="14" t="s">
        <v>140</v>
      </c>
      <c r="L251" s="14" t="s">
        <v>1809</v>
      </c>
      <c r="M251" s="14" t="s">
        <v>1900</v>
      </c>
      <c r="N251" s="14">
        <v>479.63400000000001</v>
      </c>
      <c r="O251" s="14" t="s">
        <v>1901</v>
      </c>
      <c r="P251" s="14" t="s">
        <v>1902</v>
      </c>
      <c r="Q251" s="14" t="s">
        <v>263</v>
      </c>
      <c r="R251" s="14" t="s">
        <v>1903</v>
      </c>
      <c r="S251" s="14" t="s">
        <v>195</v>
      </c>
      <c r="T251" s="14" t="s">
        <v>149</v>
      </c>
      <c r="U251" s="14" t="s">
        <v>113</v>
      </c>
      <c r="V251" s="48">
        <f>SUMIF(Data!$E:$E,$I251,Data!$AI:$AI)</f>
        <v>0</v>
      </c>
    </row>
    <row r="252" spans="1:22" x14ac:dyDescent="0.25">
      <c r="A252" s="47" t="s">
        <v>1212</v>
      </c>
      <c r="B252" s="47" t="s">
        <v>123</v>
      </c>
      <c r="C252" s="47" t="s">
        <v>1904</v>
      </c>
      <c r="D252" s="47">
        <v>0.3362</v>
      </c>
      <c r="E252" s="48">
        <f>SUMIF(Data!$E:$E,$C252,Data!$AI:$AI)</f>
        <v>0</v>
      </c>
      <c r="I252" s="14" t="s">
        <v>1905</v>
      </c>
      <c r="J252" s="14" t="s">
        <v>1906</v>
      </c>
      <c r="K252" s="14" t="s">
        <v>140</v>
      </c>
      <c r="L252" s="14" t="s">
        <v>1809</v>
      </c>
      <c r="M252" s="14" t="s">
        <v>1907</v>
      </c>
      <c r="N252" s="14" t="s">
        <v>1908</v>
      </c>
      <c r="O252" s="14" t="s">
        <v>1909</v>
      </c>
      <c r="P252" s="14" t="s">
        <v>1910</v>
      </c>
      <c r="Q252" s="14" t="s">
        <v>193</v>
      </c>
      <c r="R252" s="14" t="s">
        <v>1911</v>
      </c>
      <c r="S252" s="14" t="s">
        <v>728</v>
      </c>
      <c r="T252" s="14" t="s">
        <v>729</v>
      </c>
      <c r="U252" s="14" t="s">
        <v>730</v>
      </c>
      <c r="V252" s="48">
        <f>SUMIF(Data!$E:$E,$I252,Data!$AI:$AI)</f>
        <v>0</v>
      </c>
    </row>
    <row r="253" spans="1:22" x14ac:dyDescent="0.25">
      <c r="A253" s="47" t="s">
        <v>1212</v>
      </c>
      <c r="B253" s="47" t="s">
        <v>123</v>
      </c>
      <c r="C253" s="47" t="s">
        <v>1912</v>
      </c>
      <c r="D253" s="47">
        <v>0.37069999999999997</v>
      </c>
      <c r="E253" s="48">
        <f>SUMIF(Data!$E:$E,$C253,Data!$AI:$AI)</f>
        <v>0</v>
      </c>
      <c r="I253" s="14" t="s">
        <v>1913</v>
      </c>
      <c r="J253" s="14" t="s">
        <v>1914</v>
      </c>
      <c r="K253" s="14" t="s">
        <v>140</v>
      </c>
      <c r="L253" s="14" t="s">
        <v>1809</v>
      </c>
      <c r="M253" s="14" t="s">
        <v>1915</v>
      </c>
      <c r="N253" s="14" t="s">
        <v>1916</v>
      </c>
      <c r="O253" s="14" t="s">
        <v>1917</v>
      </c>
      <c r="P253" s="14" t="s">
        <v>1918</v>
      </c>
      <c r="Q253" s="14" t="s">
        <v>697</v>
      </c>
      <c r="R253" s="14" t="s">
        <v>1919</v>
      </c>
      <c r="S253" s="14" t="s">
        <v>479</v>
      </c>
      <c r="T253" s="14" t="s">
        <v>480</v>
      </c>
      <c r="U253" s="14" t="s">
        <v>481</v>
      </c>
      <c r="V253" s="48">
        <f>SUMIF(Data!$E:$E,$I253,Data!$AI:$AI)</f>
        <v>0</v>
      </c>
    </row>
    <row r="254" spans="1:22" x14ac:dyDescent="0.25">
      <c r="A254" s="47" t="s">
        <v>1212</v>
      </c>
      <c r="B254" s="47" t="s">
        <v>123</v>
      </c>
      <c r="C254" s="47" t="s">
        <v>1920</v>
      </c>
      <c r="D254" s="47">
        <v>0.37309999999999999</v>
      </c>
      <c r="E254" s="48">
        <f>SUMIF(Data!$E:$E,$C254,Data!$AI:$AI)</f>
        <v>0</v>
      </c>
      <c r="I254" s="14" t="s">
        <v>1921</v>
      </c>
      <c r="J254" s="14" t="s">
        <v>1922</v>
      </c>
      <c r="K254" s="14" t="s">
        <v>140</v>
      </c>
      <c r="L254" s="14" t="s">
        <v>1809</v>
      </c>
      <c r="M254" s="14" t="s">
        <v>1923</v>
      </c>
      <c r="N254" s="14">
        <v>150.46100000000001</v>
      </c>
      <c r="O254" s="14" t="s">
        <v>1924</v>
      </c>
      <c r="P254" s="14" t="s">
        <v>1925</v>
      </c>
      <c r="Q254" s="14" t="s">
        <v>165</v>
      </c>
      <c r="R254" s="14" t="s">
        <v>1926</v>
      </c>
      <c r="S254" s="14" t="s">
        <v>148</v>
      </c>
      <c r="T254" s="14" t="s">
        <v>149</v>
      </c>
      <c r="U254" s="14" t="s">
        <v>113</v>
      </c>
      <c r="V254" s="48">
        <f>SUMIF(Data!$E:$E,$I254,Data!$AI:$AI)</f>
        <v>0</v>
      </c>
    </row>
    <row r="255" spans="1:22" x14ac:dyDescent="0.25">
      <c r="A255" s="47" t="s">
        <v>1212</v>
      </c>
      <c r="B255" s="47" t="s">
        <v>123</v>
      </c>
      <c r="C255" s="47" t="s">
        <v>1927</v>
      </c>
      <c r="D255" s="47">
        <v>0.15409999999999999</v>
      </c>
      <c r="E255" s="48">
        <f>SUMIF(Data!$E:$E,$C255,Data!$AI:$AI)</f>
        <v>0</v>
      </c>
      <c r="I255" s="14" t="s">
        <v>1928</v>
      </c>
      <c r="J255" s="14" t="s">
        <v>1929</v>
      </c>
      <c r="K255" s="14" t="s">
        <v>140</v>
      </c>
      <c r="L255" s="14" t="s">
        <v>1809</v>
      </c>
      <c r="M255" s="14" t="s">
        <v>1930</v>
      </c>
      <c r="N255" s="14">
        <v>362.87400000000002</v>
      </c>
      <c r="O255" s="14" t="s">
        <v>1931</v>
      </c>
      <c r="P255" s="14" t="s">
        <v>1932</v>
      </c>
      <c r="Q255" s="14" t="s">
        <v>263</v>
      </c>
      <c r="R255" s="14" t="s">
        <v>1933</v>
      </c>
      <c r="S255" s="14" t="s">
        <v>195</v>
      </c>
      <c r="T255" s="14" t="s">
        <v>149</v>
      </c>
      <c r="U255" s="14" t="s">
        <v>113</v>
      </c>
      <c r="V255" s="48">
        <f>SUMIF(Data!$E:$E,$I255,Data!$AI:$AI)</f>
        <v>0</v>
      </c>
    </row>
    <row r="256" spans="1:22" x14ac:dyDescent="0.25">
      <c r="A256" s="47" t="s">
        <v>1212</v>
      </c>
      <c r="B256" s="47" t="s">
        <v>123</v>
      </c>
      <c r="C256" s="47" t="s">
        <v>1934</v>
      </c>
      <c r="D256" s="47">
        <v>1.0094000000000001</v>
      </c>
      <c r="E256" s="48">
        <f>SUMIF(Data!$E:$E,$C256,Data!$AI:$AI)</f>
        <v>0</v>
      </c>
      <c r="I256" s="14" t="s">
        <v>1935</v>
      </c>
      <c r="J256" s="14" t="s">
        <v>1936</v>
      </c>
      <c r="K256" s="14" t="s">
        <v>140</v>
      </c>
      <c r="L256" s="14" t="s">
        <v>1809</v>
      </c>
      <c r="M256" s="14" t="s">
        <v>1937</v>
      </c>
      <c r="N256" s="14">
        <v>168.054</v>
      </c>
      <c r="O256" s="14" t="s">
        <v>1938</v>
      </c>
      <c r="P256" s="14" t="s">
        <v>1939</v>
      </c>
      <c r="Q256" s="14" t="s">
        <v>146</v>
      </c>
      <c r="R256" s="14" t="s">
        <v>1940</v>
      </c>
      <c r="S256" s="14" t="s">
        <v>148</v>
      </c>
      <c r="T256" s="14" t="s">
        <v>646</v>
      </c>
      <c r="U256" s="14" t="s">
        <v>113</v>
      </c>
      <c r="V256" s="48">
        <f>SUMIF(Data!$E:$E,$I256,Data!$AI:$AI)</f>
        <v>0</v>
      </c>
    </row>
    <row r="257" spans="1:22" x14ac:dyDescent="0.25">
      <c r="A257" s="47" t="s">
        <v>1212</v>
      </c>
      <c r="B257" s="47" t="s">
        <v>123</v>
      </c>
      <c r="C257" s="47" t="s">
        <v>1941</v>
      </c>
      <c r="D257" s="47">
        <v>0.43380000000000002</v>
      </c>
      <c r="E257" s="48">
        <f>SUMIF(Data!$E:$E,$C257,Data!$AI:$AI)</f>
        <v>0</v>
      </c>
      <c r="I257" s="14" t="s">
        <v>1942</v>
      </c>
      <c r="J257" s="14" t="s">
        <v>1943</v>
      </c>
      <c r="K257" s="14" t="s">
        <v>140</v>
      </c>
      <c r="L257" s="14" t="s">
        <v>1809</v>
      </c>
      <c r="M257" s="14" t="s">
        <v>1944</v>
      </c>
      <c r="N257" s="14">
        <v>278.85700000000003</v>
      </c>
      <c r="O257" s="14" t="s">
        <v>1945</v>
      </c>
      <c r="P257" s="14" t="s">
        <v>1946</v>
      </c>
      <c r="Q257" s="14" t="s">
        <v>165</v>
      </c>
      <c r="R257" s="14" t="s">
        <v>1947</v>
      </c>
      <c r="S257" s="14" t="s">
        <v>229</v>
      </c>
      <c r="T257" s="14" t="s">
        <v>230</v>
      </c>
      <c r="U257" s="14" t="s">
        <v>231</v>
      </c>
      <c r="V257" s="48">
        <f>SUMIF(Data!$E:$E,$I257,Data!$AI:$AI)</f>
        <v>0</v>
      </c>
    </row>
    <row r="258" spans="1:22" x14ac:dyDescent="0.25">
      <c r="A258" s="47" t="s">
        <v>1212</v>
      </c>
      <c r="B258" s="47" t="s">
        <v>123</v>
      </c>
      <c r="C258" s="47" t="s">
        <v>1948</v>
      </c>
      <c r="D258" s="47">
        <v>0.38400000000000001</v>
      </c>
      <c r="E258" s="48">
        <f>SUMIF(Data!$E:$E,$C258,Data!$AI:$AI)</f>
        <v>0</v>
      </c>
      <c r="I258" s="14" t="s">
        <v>1949</v>
      </c>
      <c r="J258" s="14" t="s">
        <v>1950</v>
      </c>
      <c r="K258" s="14" t="s">
        <v>140</v>
      </c>
      <c r="L258" s="14" t="s">
        <v>1809</v>
      </c>
      <c r="M258" s="14" t="s">
        <v>1951</v>
      </c>
      <c r="N258" s="14">
        <v>411.7</v>
      </c>
      <c r="O258" s="14" t="s">
        <v>1952</v>
      </c>
      <c r="P258" s="14" t="s">
        <v>1953</v>
      </c>
      <c r="Q258" s="14" t="s">
        <v>193</v>
      </c>
      <c r="R258" s="14" t="s">
        <v>1954</v>
      </c>
      <c r="S258" s="14" t="s">
        <v>195</v>
      </c>
      <c r="T258" s="14" t="s">
        <v>149</v>
      </c>
      <c r="U258" s="14" t="s">
        <v>113</v>
      </c>
      <c r="V258" s="48">
        <f>SUMIF(Data!$E:$E,$I258,Data!$AI:$AI)</f>
        <v>0</v>
      </c>
    </row>
    <row r="259" spans="1:22" x14ac:dyDescent="0.25">
      <c r="A259" s="47" t="s">
        <v>1212</v>
      </c>
      <c r="B259" s="47" t="s">
        <v>123</v>
      </c>
      <c r="C259" s="47" t="s">
        <v>1955</v>
      </c>
      <c r="D259" s="47">
        <v>0.35970000000000002</v>
      </c>
      <c r="E259" s="48">
        <f>SUMIF(Data!$E:$E,$C259,Data!$AI:$AI)</f>
        <v>0</v>
      </c>
      <c r="I259" s="14">
        <v>4452</v>
      </c>
      <c r="J259" s="14" t="s">
        <v>1956</v>
      </c>
      <c r="K259" s="14" t="s">
        <v>140</v>
      </c>
      <c r="L259" s="14" t="s">
        <v>1809</v>
      </c>
      <c r="M259" s="14" t="s">
        <v>1957</v>
      </c>
      <c r="N259" s="14">
        <v>254.72399999999999</v>
      </c>
      <c r="O259" s="14" t="s">
        <v>1958</v>
      </c>
      <c r="P259" s="14" t="s">
        <v>1959</v>
      </c>
      <c r="Q259" s="14" t="s">
        <v>227</v>
      </c>
      <c r="R259" s="14" t="s">
        <v>1960</v>
      </c>
      <c r="S259" s="14" t="s">
        <v>444</v>
      </c>
      <c r="T259" s="14" t="s">
        <v>445</v>
      </c>
      <c r="U259" s="14" t="s">
        <v>446</v>
      </c>
      <c r="V259" s="48">
        <f>SUMIF(Data!$E:$E,$I259,Data!$AI:$AI)</f>
        <v>0</v>
      </c>
    </row>
    <row r="260" spans="1:22" x14ac:dyDescent="0.25">
      <c r="A260" s="47" t="s">
        <v>1212</v>
      </c>
      <c r="B260" s="47" t="s">
        <v>123</v>
      </c>
      <c r="C260" s="47" t="s">
        <v>1961</v>
      </c>
      <c r="D260" s="47">
        <v>0.59760000000000002</v>
      </c>
      <c r="E260" s="48">
        <f>SUMIF(Data!$E:$E,$C260,Data!$AI:$AI)</f>
        <v>0</v>
      </c>
      <c r="I260" s="14">
        <v>6501</v>
      </c>
      <c r="J260" s="14" t="s">
        <v>1962</v>
      </c>
      <c r="K260" s="14" t="s">
        <v>140</v>
      </c>
      <c r="L260" s="14" t="s">
        <v>1809</v>
      </c>
      <c r="M260" s="14" t="s">
        <v>1963</v>
      </c>
      <c r="N260" s="14">
        <v>511.93599999999998</v>
      </c>
      <c r="O260" s="14" t="s">
        <v>1964</v>
      </c>
      <c r="P260" s="14" t="s">
        <v>1965</v>
      </c>
      <c r="Q260" s="14" t="s">
        <v>146</v>
      </c>
      <c r="R260" s="14" t="s">
        <v>1966</v>
      </c>
      <c r="S260" s="14" t="s">
        <v>444</v>
      </c>
      <c r="T260" s="14" t="s">
        <v>445</v>
      </c>
      <c r="U260" s="14" t="s">
        <v>446</v>
      </c>
      <c r="V260" s="48">
        <f>SUMIF(Data!$E:$E,$I260,Data!$AI:$AI)</f>
        <v>0</v>
      </c>
    </row>
    <row r="261" spans="1:22" x14ac:dyDescent="0.25">
      <c r="A261" s="47" t="s">
        <v>1212</v>
      </c>
      <c r="B261" s="47" t="s">
        <v>123</v>
      </c>
      <c r="C261" s="47" t="s">
        <v>1967</v>
      </c>
      <c r="D261" s="47">
        <v>0.112</v>
      </c>
      <c r="E261" s="48">
        <f>SUMIF(Data!$E:$E,$C261,Data!$AI:$AI)</f>
        <v>0</v>
      </c>
      <c r="I261" s="14" t="s">
        <v>1968</v>
      </c>
      <c r="J261" s="14" t="s">
        <v>1969</v>
      </c>
      <c r="K261" s="14" t="s">
        <v>140</v>
      </c>
      <c r="L261" s="14" t="s">
        <v>1809</v>
      </c>
      <c r="M261" s="14" t="s">
        <v>1970</v>
      </c>
      <c r="N261" s="14">
        <v>852.98299999999995</v>
      </c>
      <c r="O261" s="14" t="s">
        <v>1971</v>
      </c>
      <c r="P261" s="14" t="s">
        <v>1972</v>
      </c>
      <c r="Q261" s="14" t="s">
        <v>165</v>
      </c>
      <c r="R261" s="14" t="s">
        <v>1973</v>
      </c>
      <c r="S261" s="14" t="s">
        <v>479</v>
      </c>
      <c r="T261" s="14" t="s">
        <v>480</v>
      </c>
      <c r="U261" s="14" t="s">
        <v>481</v>
      </c>
      <c r="V261" s="48">
        <f>SUMIF(Data!$E:$E,$I261,Data!$AI:$AI)</f>
        <v>0</v>
      </c>
    </row>
    <row r="262" spans="1:22" x14ac:dyDescent="0.25">
      <c r="A262" s="47" t="s">
        <v>1212</v>
      </c>
      <c r="B262" s="47" t="s">
        <v>123</v>
      </c>
      <c r="C262" s="47" t="s">
        <v>1974</v>
      </c>
      <c r="D262" s="47">
        <v>0.2462</v>
      </c>
      <c r="E262" s="48">
        <f>SUMIF(Data!$E:$E,$C262,Data!$AI:$AI)</f>
        <v>0</v>
      </c>
      <c r="I262" s="14" t="s">
        <v>1975</v>
      </c>
      <c r="J262" s="14" t="s">
        <v>1976</v>
      </c>
      <c r="K262" s="14" t="s">
        <v>140</v>
      </c>
      <c r="L262" s="14" t="s">
        <v>1809</v>
      </c>
      <c r="M262" s="14" t="s">
        <v>1977</v>
      </c>
      <c r="N262" s="14">
        <v>186.76599999999999</v>
      </c>
      <c r="O262" s="14" t="s">
        <v>1978</v>
      </c>
      <c r="P262" s="14" t="s">
        <v>1979</v>
      </c>
      <c r="Q262" s="14" t="s">
        <v>193</v>
      </c>
      <c r="R262" s="14" t="s">
        <v>1980</v>
      </c>
      <c r="S262" s="14" t="s">
        <v>195</v>
      </c>
      <c r="T262" s="14" t="s">
        <v>149</v>
      </c>
      <c r="U262" s="14" t="s">
        <v>113</v>
      </c>
      <c r="V262" s="48">
        <f>SUMIF(Data!$E:$E,$I262,Data!$AI:$AI)</f>
        <v>0</v>
      </c>
    </row>
    <row r="263" spans="1:22" x14ac:dyDescent="0.25">
      <c r="A263" s="47" t="s">
        <v>1212</v>
      </c>
      <c r="B263" s="47" t="s">
        <v>123</v>
      </c>
      <c r="C263" s="47" t="s">
        <v>1981</v>
      </c>
      <c r="D263" s="47">
        <v>1.0759000000000001</v>
      </c>
      <c r="E263" s="48">
        <f>SUMIF(Data!$E:$E,$C263,Data!$AI:$AI)</f>
        <v>0</v>
      </c>
      <c r="I263" s="14" t="s">
        <v>1384</v>
      </c>
      <c r="J263" s="14" t="s">
        <v>1982</v>
      </c>
      <c r="K263" s="14" t="s">
        <v>140</v>
      </c>
      <c r="L263" s="14" t="s">
        <v>1809</v>
      </c>
      <c r="M263" s="14" t="s">
        <v>1983</v>
      </c>
      <c r="N263" s="14">
        <v>136.21700000000001</v>
      </c>
      <c r="O263" s="14" t="s">
        <v>1984</v>
      </c>
      <c r="P263" s="14" t="s">
        <v>1985</v>
      </c>
      <c r="Q263" s="14" t="s">
        <v>165</v>
      </c>
      <c r="R263" s="14" t="s">
        <v>1986</v>
      </c>
      <c r="S263" s="14" t="s">
        <v>195</v>
      </c>
      <c r="T263" s="14" t="s">
        <v>149</v>
      </c>
      <c r="U263" s="14" t="s">
        <v>113</v>
      </c>
      <c r="V263" s="48">
        <f>SUMIF(Data!$E:$E,$I263,Data!$AI:$AI)</f>
        <v>0</v>
      </c>
    </row>
    <row r="264" spans="1:22" x14ac:dyDescent="0.25">
      <c r="A264" s="47" t="s">
        <v>1212</v>
      </c>
      <c r="B264" s="47" t="s">
        <v>123</v>
      </c>
      <c r="C264" s="47" t="s">
        <v>1987</v>
      </c>
      <c r="D264" s="47">
        <v>0.26340000000000002</v>
      </c>
      <c r="E264" s="48">
        <f>SUMIF(Data!$E:$E,$C264,Data!$AI:$AI)</f>
        <v>0</v>
      </c>
      <c r="I264" s="14" t="s">
        <v>1988</v>
      </c>
      <c r="J264" s="14" t="s">
        <v>1989</v>
      </c>
      <c r="K264" s="14" t="s">
        <v>140</v>
      </c>
      <c r="L264" s="14" t="s">
        <v>1809</v>
      </c>
      <c r="M264" s="14" t="s">
        <v>1990</v>
      </c>
      <c r="N264" s="14" t="s">
        <v>1991</v>
      </c>
      <c r="O264" s="14" t="s">
        <v>1992</v>
      </c>
      <c r="P264" s="14" t="s">
        <v>1993</v>
      </c>
      <c r="Q264" s="14" t="s">
        <v>193</v>
      </c>
      <c r="R264" s="14" t="s">
        <v>1994</v>
      </c>
      <c r="S264" s="14" t="s">
        <v>1130</v>
      </c>
      <c r="T264" s="14" t="s">
        <v>1131</v>
      </c>
      <c r="U264" s="14" t="s">
        <v>528</v>
      </c>
      <c r="V264" s="48">
        <f>SUMIF(Data!$E:$E,$I264,Data!$AI:$AI)</f>
        <v>0</v>
      </c>
    </row>
    <row r="265" spans="1:22" x14ac:dyDescent="0.25">
      <c r="A265" s="47" t="s">
        <v>1212</v>
      </c>
      <c r="B265" s="47" t="s">
        <v>123</v>
      </c>
      <c r="C265" s="47" t="s">
        <v>1995</v>
      </c>
      <c r="D265" s="47">
        <v>0.50580000000000003</v>
      </c>
      <c r="E265" s="48">
        <f>SUMIF(Data!$E:$E,$C265,Data!$AI:$AI)</f>
        <v>0</v>
      </c>
      <c r="I265" s="14" t="s">
        <v>1996</v>
      </c>
      <c r="J265" s="14" t="s">
        <v>1997</v>
      </c>
      <c r="K265" s="14" t="s">
        <v>140</v>
      </c>
      <c r="L265" s="14" t="s">
        <v>1809</v>
      </c>
      <c r="M265" s="14" t="s">
        <v>1998</v>
      </c>
      <c r="N265" s="14">
        <v>403.46800000000002</v>
      </c>
      <c r="O265" s="14" t="s">
        <v>1999</v>
      </c>
      <c r="P265" s="14" t="s">
        <v>2000</v>
      </c>
      <c r="Q265" s="14" t="s">
        <v>737</v>
      </c>
      <c r="R265" s="14" t="s">
        <v>2001</v>
      </c>
      <c r="S265" s="14" t="s">
        <v>195</v>
      </c>
      <c r="T265" s="14" t="s">
        <v>149</v>
      </c>
      <c r="U265" s="14" t="s">
        <v>113</v>
      </c>
      <c r="V265" s="48">
        <f>SUMIF(Data!$E:$E,$I265,Data!$AI:$AI)</f>
        <v>0</v>
      </c>
    </row>
    <row r="266" spans="1:22" x14ac:dyDescent="0.25">
      <c r="A266" s="47" t="s">
        <v>1212</v>
      </c>
      <c r="B266" s="47" t="s">
        <v>123</v>
      </c>
      <c r="C266" s="47" t="s">
        <v>2002</v>
      </c>
      <c r="D266" s="47">
        <v>0.37219999999999998</v>
      </c>
      <c r="E266" s="48">
        <f>SUMIF(Data!$E:$E,$C266,Data!$AI:$AI)</f>
        <v>0</v>
      </c>
      <c r="I266" s="14" t="s">
        <v>2003</v>
      </c>
      <c r="J266" s="14" t="s">
        <v>2004</v>
      </c>
      <c r="K266" s="14" t="s">
        <v>140</v>
      </c>
      <c r="L266" s="14" t="s">
        <v>2005</v>
      </c>
      <c r="M266" s="14" t="s">
        <v>2006</v>
      </c>
      <c r="N266" s="14">
        <v>116.75</v>
      </c>
      <c r="O266" s="14" t="s">
        <v>2007</v>
      </c>
      <c r="P266" s="14" t="s">
        <v>2008</v>
      </c>
      <c r="Q266" s="14" t="s">
        <v>227</v>
      </c>
      <c r="R266" s="14" t="s">
        <v>2009</v>
      </c>
      <c r="S266" s="14" t="s">
        <v>563</v>
      </c>
      <c r="T266" s="14" t="s">
        <v>564</v>
      </c>
      <c r="U266" s="14" t="s">
        <v>528</v>
      </c>
      <c r="V266" s="48">
        <f>SUMIF(Data!$E:$E,$I266,Data!$AI:$AI)</f>
        <v>0</v>
      </c>
    </row>
    <row r="267" spans="1:22" x14ac:dyDescent="0.25">
      <c r="A267" s="47" t="s">
        <v>1212</v>
      </c>
      <c r="B267" s="47" t="s">
        <v>123</v>
      </c>
      <c r="C267" s="47" t="s">
        <v>2010</v>
      </c>
      <c r="D267" s="47">
        <v>0.32340000000000002</v>
      </c>
      <c r="E267" s="48">
        <f>SUMIF(Data!$E:$E,$C267,Data!$AI:$AI)</f>
        <v>0</v>
      </c>
      <c r="I267" s="14" t="s">
        <v>1538</v>
      </c>
      <c r="J267" s="14" t="s">
        <v>2011</v>
      </c>
      <c r="K267" s="14" t="s">
        <v>140</v>
      </c>
      <c r="L267" s="14" t="s">
        <v>2005</v>
      </c>
      <c r="M267" s="14" t="s">
        <v>2012</v>
      </c>
      <c r="N267" s="14">
        <v>218.29499999999999</v>
      </c>
      <c r="O267" s="14" t="s">
        <v>2013</v>
      </c>
      <c r="P267" s="14" t="s">
        <v>2014</v>
      </c>
      <c r="Q267" s="14" t="s">
        <v>193</v>
      </c>
      <c r="R267" s="14" t="s">
        <v>2015</v>
      </c>
      <c r="S267" s="14" t="s">
        <v>195</v>
      </c>
      <c r="T267" s="14" t="s">
        <v>149</v>
      </c>
      <c r="U267" s="14" t="s">
        <v>113</v>
      </c>
      <c r="V267" s="48">
        <f>SUMIF(Data!$E:$E,$I267,Data!$AI:$AI)</f>
        <v>0</v>
      </c>
    </row>
    <row r="268" spans="1:22" x14ac:dyDescent="0.25">
      <c r="A268" s="47" t="s">
        <v>1212</v>
      </c>
      <c r="B268" s="47" t="s">
        <v>123</v>
      </c>
      <c r="C268" s="47" t="s">
        <v>2016</v>
      </c>
      <c r="D268" s="47">
        <v>0.87760000000000005</v>
      </c>
      <c r="E268" s="48">
        <f>SUMIF(Data!$E:$E,$C268,Data!$AI:$AI)</f>
        <v>0</v>
      </c>
      <c r="I268" s="14" t="s">
        <v>2017</v>
      </c>
      <c r="J268" s="14" t="s">
        <v>2018</v>
      </c>
      <c r="K268" s="14" t="s">
        <v>140</v>
      </c>
      <c r="L268" s="14" t="s">
        <v>2005</v>
      </c>
      <c r="M268" s="14" t="s">
        <v>2019</v>
      </c>
      <c r="N268" s="14">
        <v>249.595</v>
      </c>
      <c r="O268" s="14" t="s">
        <v>2020</v>
      </c>
      <c r="P268" s="14" t="s">
        <v>2021</v>
      </c>
      <c r="Q268" s="14" t="s">
        <v>146</v>
      </c>
      <c r="R268" s="14" t="s">
        <v>2022</v>
      </c>
      <c r="S268" s="14" t="s">
        <v>1167</v>
      </c>
      <c r="T268" s="14" t="s">
        <v>1168</v>
      </c>
      <c r="U268" s="14" t="s">
        <v>528</v>
      </c>
      <c r="V268" s="48">
        <f>SUMIF(Data!$E:$E,$I268,Data!$AI:$AI)</f>
        <v>0</v>
      </c>
    </row>
    <row r="269" spans="1:22" x14ac:dyDescent="0.25">
      <c r="A269" s="47" t="s">
        <v>1212</v>
      </c>
      <c r="B269" s="47" t="s">
        <v>123</v>
      </c>
      <c r="C269" s="47" t="s">
        <v>2023</v>
      </c>
      <c r="D269" s="47">
        <v>0.1963</v>
      </c>
      <c r="E269" s="48">
        <f>SUMIF(Data!$E:$E,$C269,Data!$AI:$AI)</f>
        <v>0</v>
      </c>
      <c r="I269" s="14" t="s">
        <v>2024</v>
      </c>
      <c r="J269" s="14" t="s">
        <v>2025</v>
      </c>
      <c r="K269" s="14" t="s">
        <v>140</v>
      </c>
      <c r="L269" s="14" t="s">
        <v>2005</v>
      </c>
      <c r="M269" s="14" t="s">
        <v>2026</v>
      </c>
      <c r="N269" s="14">
        <v>99.566000000000003</v>
      </c>
      <c r="O269" s="14" t="s">
        <v>2027</v>
      </c>
      <c r="P269" s="14" t="s">
        <v>2028</v>
      </c>
      <c r="Q269" s="14" t="s">
        <v>165</v>
      </c>
      <c r="R269" s="14" t="s">
        <v>2029</v>
      </c>
      <c r="S269" s="14" t="s">
        <v>526</v>
      </c>
      <c r="T269" s="14" t="s">
        <v>527</v>
      </c>
      <c r="U269" s="14" t="s">
        <v>528</v>
      </c>
      <c r="V269" s="48">
        <f>SUMIF(Data!$E:$E,$I269,Data!$AI:$AI)</f>
        <v>0</v>
      </c>
    </row>
    <row r="270" spans="1:22" x14ac:dyDescent="0.25">
      <c r="A270" s="47" t="s">
        <v>1212</v>
      </c>
      <c r="B270" s="47" t="s">
        <v>123</v>
      </c>
      <c r="C270" s="47" t="s">
        <v>2030</v>
      </c>
      <c r="D270" s="47">
        <v>0.215</v>
      </c>
      <c r="E270" s="48">
        <f>SUMIF(Data!$E:$E,$C270,Data!$AI:$AI)</f>
        <v>0</v>
      </c>
      <c r="I270" s="14" t="s">
        <v>2031</v>
      </c>
      <c r="J270" s="14" t="s">
        <v>2032</v>
      </c>
      <c r="K270" s="14" t="s">
        <v>140</v>
      </c>
      <c r="L270" s="14" t="s">
        <v>2005</v>
      </c>
      <c r="M270" s="14" t="s">
        <v>2033</v>
      </c>
      <c r="N270" s="14">
        <v>215.95599999999999</v>
      </c>
      <c r="O270" s="14" t="s">
        <v>2034</v>
      </c>
      <c r="P270" s="14" t="s">
        <v>2035</v>
      </c>
      <c r="Q270" s="14" t="s">
        <v>419</v>
      </c>
      <c r="R270" s="14" t="s">
        <v>2036</v>
      </c>
      <c r="S270" s="14" t="s">
        <v>195</v>
      </c>
      <c r="T270" s="14" t="s">
        <v>149</v>
      </c>
      <c r="U270" s="14" t="s">
        <v>113</v>
      </c>
      <c r="V270" s="48">
        <f>SUMIF(Data!$E:$E,$I270,Data!$AI:$AI)</f>
        <v>0</v>
      </c>
    </row>
    <row r="271" spans="1:22" x14ac:dyDescent="0.25">
      <c r="A271" s="47" t="s">
        <v>1212</v>
      </c>
      <c r="B271" s="47" t="s">
        <v>123</v>
      </c>
      <c r="C271" s="47" t="s">
        <v>2037</v>
      </c>
      <c r="D271" s="47">
        <v>0.28349999999999997</v>
      </c>
      <c r="E271" s="48">
        <f>SUMIF(Data!$E:$E,$C271,Data!$AI:$AI)</f>
        <v>0</v>
      </c>
      <c r="I271" s="14" t="s">
        <v>2038</v>
      </c>
      <c r="J271" s="14" t="s">
        <v>2039</v>
      </c>
      <c r="K271" s="14" t="s">
        <v>140</v>
      </c>
      <c r="L271" s="14" t="s">
        <v>2005</v>
      </c>
      <c r="M271" s="14" t="s">
        <v>2040</v>
      </c>
      <c r="N271" s="14">
        <v>355.09399999999999</v>
      </c>
      <c r="O271" s="14" t="s">
        <v>2041</v>
      </c>
      <c r="P271" s="14" t="s">
        <v>2042</v>
      </c>
      <c r="Q271" s="14" t="s">
        <v>193</v>
      </c>
      <c r="R271" s="14" t="s">
        <v>2043</v>
      </c>
      <c r="S271" s="14" t="s">
        <v>195</v>
      </c>
      <c r="T271" s="14" t="s">
        <v>149</v>
      </c>
      <c r="U271" s="14" t="s">
        <v>113</v>
      </c>
      <c r="V271" s="48">
        <f>SUMIF(Data!$E:$E,$I271,Data!$AI:$AI)</f>
        <v>0</v>
      </c>
    </row>
    <row r="272" spans="1:22" x14ac:dyDescent="0.25">
      <c r="A272" s="47" t="s">
        <v>1212</v>
      </c>
      <c r="B272" s="47" t="s">
        <v>123</v>
      </c>
      <c r="C272" s="47" t="s">
        <v>2044</v>
      </c>
      <c r="D272" s="47">
        <v>0.28110000000000002</v>
      </c>
      <c r="E272" s="48">
        <f>SUMIF(Data!$E:$E,$C272,Data!$AI:$AI)</f>
        <v>0</v>
      </c>
      <c r="I272" s="14" t="s">
        <v>2045</v>
      </c>
      <c r="J272" s="14" t="s">
        <v>2046</v>
      </c>
      <c r="K272" s="14" t="s">
        <v>140</v>
      </c>
      <c r="L272" s="14" t="s">
        <v>2005</v>
      </c>
      <c r="M272" s="14" t="s">
        <v>2047</v>
      </c>
      <c r="N272" s="14" t="s">
        <v>2048</v>
      </c>
      <c r="O272" s="14" t="s">
        <v>2049</v>
      </c>
      <c r="P272" s="14" t="s">
        <v>2050</v>
      </c>
      <c r="Q272" s="14" t="s">
        <v>193</v>
      </c>
      <c r="R272" s="14" t="s">
        <v>2051</v>
      </c>
      <c r="S272" s="14" t="s">
        <v>1167</v>
      </c>
      <c r="T272" s="14" t="s">
        <v>1168</v>
      </c>
      <c r="U272" s="14" t="s">
        <v>528</v>
      </c>
      <c r="V272" s="48">
        <f>SUMIF(Data!$E:$E,$I272,Data!$AI:$AI)</f>
        <v>0</v>
      </c>
    </row>
    <row r="273" spans="1:22" x14ac:dyDescent="0.25">
      <c r="A273" s="47" t="s">
        <v>1212</v>
      </c>
      <c r="B273" s="47" t="s">
        <v>123</v>
      </c>
      <c r="C273" s="47" t="s">
        <v>2052</v>
      </c>
      <c r="D273" s="47">
        <v>0.13689999999999999</v>
      </c>
      <c r="E273" s="48">
        <f>SUMIF(Data!$E:$E,$C273,Data!$AI:$AI)</f>
        <v>0</v>
      </c>
      <c r="I273" s="14" t="s">
        <v>2053</v>
      </c>
      <c r="J273" s="14" t="s">
        <v>2053</v>
      </c>
      <c r="K273" s="14" t="s">
        <v>140</v>
      </c>
      <c r="L273" s="14" t="s">
        <v>2005</v>
      </c>
      <c r="M273" s="14" t="s">
        <v>2054</v>
      </c>
      <c r="N273" s="14" t="s">
        <v>2055</v>
      </c>
      <c r="O273" s="14" t="s">
        <v>2056</v>
      </c>
      <c r="P273" s="14" t="s">
        <v>2057</v>
      </c>
      <c r="Q273" s="14" t="s">
        <v>263</v>
      </c>
      <c r="R273" s="14" t="s">
        <v>2058</v>
      </c>
      <c r="S273" s="14" t="s">
        <v>1130</v>
      </c>
      <c r="T273" s="14" t="s">
        <v>1131</v>
      </c>
      <c r="U273" s="14" t="s">
        <v>528</v>
      </c>
      <c r="V273" s="48">
        <f>SUMIF(Data!$E:$E,$I273,Data!$AI:$AI)</f>
        <v>0</v>
      </c>
    </row>
    <row r="274" spans="1:22" x14ac:dyDescent="0.25">
      <c r="A274" s="47" t="s">
        <v>1212</v>
      </c>
      <c r="B274" s="47" t="s">
        <v>123</v>
      </c>
      <c r="C274" s="47" t="s">
        <v>2059</v>
      </c>
      <c r="D274" s="47">
        <v>0.32800000000000001</v>
      </c>
      <c r="E274" s="48">
        <f>SUMIF(Data!$E:$E,$C274,Data!$AI:$AI)</f>
        <v>0</v>
      </c>
      <c r="I274" s="14" t="s">
        <v>2060</v>
      </c>
      <c r="J274" s="14" t="s">
        <v>2061</v>
      </c>
      <c r="K274" s="14" t="s">
        <v>140</v>
      </c>
      <c r="L274" s="14" t="s">
        <v>2005</v>
      </c>
      <c r="M274" s="14" t="s">
        <v>2062</v>
      </c>
      <c r="N274" s="14" t="s">
        <v>2063</v>
      </c>
      <c r="O274" s="14" t="s">
        <v>2064</v>
      </c>
      <c r="P274" s="14" t="s">
        <v>2065</v>
      </c>
      <c r="Q274" s="14" t="s">
        <v>193</v>
      </c>
      <c r="R274" s="14" t="s">
        <v>2066</v>
      </c>
      <c r="S274" s="14" t="s">
        <v>479</v>
      </c>
      <c r="T274" s="14" t="s">
        <v>480</v>
      </c>
      <c r="U274" s="14" t="s">
        <v>481</v>
      </c>
      <c r="V274" s="48">
        <f>SUMIF(Data!$E:$E,$I274,Data!$AI:$AI)</f>
        <v>0</v>
      </c>
    </row>
    <row r="275" spans="1:22" x14ac:dyDescent="0.25">
      <c r="A275" s="47" t="s">
        <v>1212</v>
      </c>
      <c r="B275" s="47" t="s">
        <v>123</v>
      </c>
      <c r="C275" s="47" t="s">
        <v>2067</v>
      </c>
      <c r="D275" s="47">
        <v>1.29</v>
      </c>
      <c r="E275" s="48">
        <f>SUMIF(Data!$E:$E,$C275,Data!$AI:$AI)</f>
        <v>0</v>
      </c>
      <c r="I275" s="14" t="s">
        <v>2068</v>
      </c>
      <c r="J275" s="14" t="s">
        <v>2069</v>
      </c>
      <c r="K275" s="14" t="s">
        <v>140</v>
      </c>
      <c r="L275" s="14" t="s">
        <v>2005</v>
      </c>
      <c r="M275" s="14" t="s">
        <v>2070</v>
      </c>
      <c r="N275" s="14">
        <v>254.149</v>
      </c>
      <c r="O275" s="14" t="s">
        <v>2071</v>
      </c>
      <c r="P275" s="14" t="s">
        <v>2072</v>
      </c>
      <c r="Q275" s="14" t="s">
        <v>165</v>
      </c>
      <c r="R275" s="14" t="s">
        <v>2073</v>
      </c>
      <c r="S275" s="14" t="s">
        <v>645</v>
      </c>
      <c r="T275" s="14" t="s">
        <v>646</v>
      </c>
      <c r="U275" s="14" t="s">
        <v>528</v>
      </c>
      <c r="V275" s="48">
        <f>SUMIF(Data!$E:$E,$I275,Data!$AI:$AI)</f>
        <v>0.12363143351317776</v>
      </c>
    </row>
    <row r="276" spans="1:22" x14ac:dyDescent="0.25">
      <c r="A276" s="47" t="s">
        <v>1212</v>
      </c>
      <c r="B276" s="47" t="s">
        <v>123</v>
      </c>
      <c r="C276" s="47" t="s">
        <v>2074</v>
      </c>
      <c r="D276" s="47">
        <v>0.312</v>
      </c>
      <c r="E276" s="48">
        <f>SUMIF(Data!$E:$E,$C276,Data!$AI:$AI)</f>
        <v>0</v>
      </c>
      <c r="I276" s="14" t="s">
        <v>2075</v>
      </c>
      <c r="J276" s="14" t="s">
        <v>2076</v>
      </c>
      <c r="K276" s="14" t="s">
        <v>140</v>
      </c>
      <c r="L276" s="14" t="s">
        <v>2005</v>
      </c>
      <c r="M276" s="14" t="s">
        <v>2077</v>
      </c>
      <c r="N276" s="14">
        <v>640.40099999999995</v>
      </c>
      <c r="O276" s="14" t="s">
        <v>2078</v>
      </c>
      <c r="P276" s="14" t="s">
        <v>2079</v>
      </c>
      <c r="Q276" s="14" t="s">
        <v>263</v>
      </c>
      <c r="R276" s="14" t="s">
        <v>2080</v>
      </c>
      <c r="S276" s="14" t="s">
        <v>728</v>
      </c>
      <c r="T276" s="14" t="s">
        <v>729</v>
      </c>
      <c r="U276" s="14" t="s">
        <v>730</v>
      </c>
      <c r="V276" s="48">
        <f>SUMIF(Data!$E:$E,$I276,Data!$AI:$AI)</f>
        <v>0</v>
      </c>
    </row>
    <row r="277" spans="1:22" x14ac:dyDescent="0.25">
      <c r="A277" s="47" t="s">
        <v>1212</v>
      </c>
      <c r="B277" s="47" t="s">
        <v>123</v>
      </c>
      <c r="C277" s="47" t="s">
        <v>2081</v>
      </c>
      <c r="D277" s="47">
        <v>1.0949</v>
      </c>
      <c r="E277" s="48">
        <f>SUMIF(Data!$E:$E,$C277,Data!$AI:$AI)</f>
        <v>0</v>
      </c>
      <c r="I277" s="14">
        <v>8411</v>
      </c>
      <c r="J277" s="14" t="s">
        <v>2082</v>
      </c>
      <c r="K277" s="14" t="s">
        <v>140</v>
      </c>
      <c r="L277" s="14" t="s">
        <v>2005</v>
      </c>
      <c r="M277" s="14" t="s">
        <v>2083</v>
      </c>
      <c r="N277" s="14" t="s">
        <v>2084</v>
      </c>
      <c r="O277" s="14" t="s">
        <v>2085</v>
      </c>
      <c r="P277" s="14" t="s">
        <v>2086</v>
      </c>
      <c r="Q277" s="14" t="s">
        <v>193</v>
      </c>
      <c r="R277" s="14" t="s">
        <v>2087</v>
      </c>
      <c r="S277" s="14" t="s">
        <v>444</v>
      </c>
      <c r="T277" s="14" t="s">
        <v>445</v>
      </c>
      <c r="U277" s="14" t="s">
        <v>446</v>
      </c>
      <c r="V277" s="48">
        <f>SUMIF(Data!$E:$E,$I277,Data!$AI:$AI)</f>
        <v>0</v>
      </c>
    </row>
    <row r="278" spans="1:22" x14ac:dyDescent="0.25">
      <c r="A278" s="47" t="s">
        <v>1212</v>
      </c>
      <c r="B278" s="47" t="s">
        <v>123</v>
      </c>
      <c r="C278" s="47" t="s">
        <v>2088</v>
      </c>
      <c r="D278" s="47">
        <v>0.34429999999999999</v>
      </c>
      <c r="E278" s="48">
        <f>SUMIF(Data!$E:$E,$C278,Data!$AI:$AI)</f>
        <v>0</v>
      </c>
      <c r="I278" s="14" t="s">
        <v>2089</v>
      </c>
      <c r="J278" s="14" t="s">
        <v>2090</v>
      </c>
      <c r="K278" s="14" t="s">
        <v>140</v>
      </c>
      <c r="L278" s="14" t="s">
        <v>2005</v>
      </c>
      <c r="M278" s="14" t="s">
        <v>2091</v>
      </c>
      <c r="N278" s="14" t="s">
        <v>2092</v>
      </c>
      <c r="O278" s="14" t="s">
        <v>2093</v>
      </c>
      <c r="P278" s="14" t="s">
        <v>2094</v>
      </c>
      <c r="Q278" s="14" t="s">
        <v>737</v>
      </c>
      <c r="R278" s="14" t="s">
        <v>2095</v>
      </c>
      <c r="S278" s="14" t="s">
        <v>479</v>
      </c>
      <c r="T278" s="14" t="s">
        <v>480</v>
      </c>
      <c r="U278" s="14" t="s">
        <v>481</v>
      </c>
      <c r="V278" s="48">
        <f>SUMIF(Data!$E:$E,$I278,Data!$AI:$AI)</f>
        <v>0</v>
      </c>
    </row>
    <row r="279" spans="1:22" x14ac:dyDescent="0.25">
      <c r="A279" s="47" t="s">
        <v>1212</v>
      </c>
      <c r="B279" s="47" t="s">
        <v>123</v>
      </c>
      <c r="C279" s="47" t="s">
        <v>2096</v>
      </c>
      <c r="D279" s="47">
        <v>0.25409999999999999</v>
      </c>
      <c r="E279" s="48">
        <f>SUMIF(Data!$E:$E,$C279,Data!$AI:$AI)</f>
        <v>0</v>
      </c>
      <c r="I279" s="14">
        <v>8058</v>
      </c>
      <c r="J279" s="14" t="s">
        <v>2097</v>
      </c>
      <c r="K279" s="14" t="s">
        <v>140</v>
      </c>
      <c r="L279" s="14" t="s">
        <v>2005</v>
      </c>
      <c r="M279" s="14" t="s">
        <v>2098</v>
      </c>
      <c r="N279" s="14">
        <v>766.26800000000003</v>
      </c>
      <c r="O279" s="14" t="s">
        <v>2099</v>
      </c>
      <c r="P279" s="14" t="s">
        <v>2100</v>
      </c>
      <c r="Q279" s="14" t="s">
        <v>419</v>
      </c>
      <c r="R279" s="14" t="s">
        <v>2101</v>
      </c>
      <c r="S279" s="14" t="s">
        <v>444</v>
      </c>
      <c r="T279" s="14" t="s">
        <v>445</v>
      </c>
      <c r="U279" s="14" t="s">
        <v>446</v>
      </c>
      <c r="V279" s="48">
        <f>SUMIF(Data!$E:$E,$I279,Data!$AI:$AI)</f>
        <v>0</v>
      </c>
    </row>
    <row r="280" spans="1:22" x14ac:dyDescent="0.25">
      <c r="A280" s="47" t="s">
        <v>1212</v>
      </c>
      <c r="B280" s="47" t="s">
        <v>123</v>
      </c>
      <c r="C280" s="47" t="s">
        <v>2102</v>
      </c>
      <c r="D280" s="47">
        <v>6.3E-2</v>
      </c>
      <c r="E280" s="48">
        <f>SUMIF(Data!$E:$E,$C280,Data!$AI:$AI)</f>
        <v>0</v>
      </c>
      <c r="I280" s="14">
        <v>7741</v>
      </c>
      <c r="J280" s="14" t="s">
        <v>2103</v>
      </c>
      <c r="K280" s="14" t="s">
        <v>140</v>
      </c>
      <c r="L280" s="14" t="s">
        <v>2005</v>
      </c>
      <c r="M280" s="14" t="s">
        <v>2104</v>
      </c>
      <c r="N280" s="14">
        <v>207.423</v>
      </c>
      <c r="O280" s="14" t="s">
        <v>2105</v>
      </c>
      <c r="P280" s="14" t="s">
        <v>2106</v>
      </c>
      <c r="Q280" s="14" t="s">
        <v>211</v>
      </c>
      <c r="R280" s="14" t="s">
        <v>2107</v>
      </c>
      <c r="S280" s="14" t="s">
        <v>444</v>
      </c>
      <c r="T280" s="14" t="s">
        <v>445</v>
      </c>
      <c r="U280" s="14" t="s">
        <v>446</v>
      </c>
      <c r="V280" s="48">
        <f>SUMIF(Data!$E:$E,$I280,Data!$AI:$AI)</f>
        <v>0</v>
      </c>
    </row>
    <row r="281" spans="1:22" x14ac:dyDescent="0.25">
      <c r="A281" s="47" t="s">
        <v>1212</v>
      </c>
      <c r="B281" s="47" t="s">
        <v>123</v>
      </c>
      <c r="C281" s="47" t="s">
        <v>2108</v>
      </c>
      <c r="D281" s="47">
        <v>0.34160000000000001</v>
      </c>
      <c r="E281" s="48">
        <f>SUMIF(Data!$E:$E,$C281,Data!$AI:$AI)</f>
        <v>0</v>
      </c>
      <c r="I281" s="14" t="s">
        <v>2109</v>
      </c>
      <c r="J281" s="14" t="s">
        <v>2110</v>
      </c>
      <c r="K281" s="14" t="s">
        <v>140</v>
      </c>
      <c r="L281" s="14" t="s">
        <v>2005</v>
      </c>
      <c r="M281" s="14" t="s">
        <v>2111</v>
      </c>
      <c r="N281" s="14">
        <v>128.60300000000001</v>
      </c>
      <c r="O281" s="14" t="s">
        <v>2112</v>
      </c>
      <c r="P281" s="14" t="s">
        <v>2113</v>
      </c>
      <c r="Q281" s="14" t="s">
        <v>419</v>
      </c>
      <c r="R281" s="14" t="s">
        <v>2114</v>
      </c>
      <c r="S281" s="14" t="s">
        <v>195</v>
      </c>
      <c r="T281" s="14" t="s">
        <v>149</v>
      </c>
      <c r="U281" s="14" t="s">
        <v>113</v>
      </c>
      <c r="V281" s="48">
        <f>SUMIF(Data!$E:$E,$I281,Data!$AI:$AI)</f>
        <v>0</v>
      </c>
    </row>
    <row r="282" spans="1:22" x14ac:dyDescent="0.25">
      <c r="A282" s="47" t="s">
        <v>1212</v>
      </c>
      <c r="B282" s="47" t="s">
        <v>123</v>
      </c>
      <c r="C282" s="47" t="s">
        <v>2115</v>
      </c>
      <c r="D282" s="47">
        <v>0.15790000000000001</v>
      </c>
      <c r="E282" s="48">
        <f>SUMIF(Data!$E:$E,$C282,Data!$AI:$AI)</f>
        <v>0</v>
      </c>
      <c r="I282" s="14">
        <v>9437</v>
      </c>
      <c r="J282" s="14" t="s">
        <v>2116</v>
      </c>
      <c r="K282" s="14" t="s">
        <v>140</v>
      </c>
      <c r="L282" s="14" t="s">
        <v>2005</v>
      </c>
      <c r="M282" s="14" t="s">
        <v>2117</v>
      </c>
      <c r="N282" s="14">
        <v>716.7</v>
      </c>
      <c r="O282" s="14" t="s">
        <v>2118</v>
      </c>
      <c r="P282" s="14" t="s">
        <v>2119</v>
      </c>
      <c r="Q282" s="14" t="s">
        <v>175</v>
      </c>
      <c r="R282" s="14" t="s">
        <v>2120</v>
      </c>
      <c r="S282" s="14" t="s">
        <v>444</v>
      </c>
      <c r="T282" s="14" t="s">
        <v>445</v>
      </c>
      <c r="U282" s="14" t="s">
        <v>446</v>
      </c>
      <c r="V282" s="48">
        <f>SUMIF(Data!$E:$E,$I282,Data!$AI:$AI)</f>
        <v>0</v>
      </c>
    </row>
    <row r="283" spans="1:22" x14ac:dyDescent="0.25">
      <c r="A283" s="47" t="s">
        <v>1212</v>
      </c>
      <c r="B283" s="47" t="s">
        <v>123</v>
      </c>
      <c r="C283" s="47" t="s">
        <v>2121</v>
      </c>
      <c r="D283" s="47">
        <v>0.11700000000000001</v>
      </c>
      <c r="E283" s="48">
        <f>SUMIF(Data!$E:$E,$C283,Data!$AI:$AI)</f>
        <v>0</v>
      </c>
      <c r="I283" s="14" t="s">
        <v>2122</v>
      </c>
      <c r="J283" s="14" t="s">
        <v>2123</v>
      </c>
      <c r="K283" s="14" t="s">
        <v>140</v>
      </c>
      <c r="L283" s="14" t="s">
        <v>2005</v>
      </c>
      <c r="M283" s="14" t="s">
        <v>2124</v>
      </c>
      <c r="N283" s="14">
        <v>762.89499999999998</v>
      </c>
      <c r="O283" s="14" t="s">
        <v>2125</v>
      </c>
      <c r="P283" s="14" t="s">
        <v>2126</v>
      </c>
      <c r="Q283" s="14" t="s">
        <v>227</v>
      </c>
      <c r="R283" s="14" t="s">
        <v>2127</v>
      </c>
      <c r="S283" s="14" t="s">
        <v>850</v>
      </c>
      <c r="T283" s="14" t="s">
        <v>851</v>
      </c>
      <c r="U283" s="14" t="s">
        <v>852</v>
      </c>
      <c r="V283" s="48">
        <f>SUMIF(Data!$E:$E,$I283,Data!$AI:$AI)</f>
        <v>0</v>
      </c>
    </row>
    <row r="284" spans="1:22" x14ac:dyDescent="0.25">
      <c r="A284" s="47" t="s">
        <v>1212</v>
      </c>
      <c r="B284" s="47" t="s">
        <v>123</v>
      </c>
      <c r="C284" s="47" t="s">
        <v>2128</v>
      </c>
      <c r="D284" s="47">
        <v>0.59770000000000001</v>
      </c>
      <c r="E284" s="48">
        <f>SUMIF(Data!$E:$E,$C284,Data!$AI:$AI)</f>
        <v>0</v>
      </c>
      <c r="I284" s="14" t="s">
        <v>2129</v>
      </c>
      <c r="J284" s="14" t="s">
        <v>2130</v>
      </c>
      <c r="K284" s="14" t="s">
        <v>140</v>
      </c>
      <c r="L284" s="14" t="s">
        <v>2005</v>
      </c>
      <c r="M284" s="14" t="s">
        <v>2131</v>
      </c>
      <c r="N284" s="14">
        <v>146.32</v>
      </c>
      <c r="O284" s="14" t="s">
        <v>2132</v>
      </c>
      <c r="P284" s="14" t="s">
        <v>2133</v>
      </c>
      <c r="Q284" s="14" t="s">
        <v>193</v>
      </c>
      <c r="R284" s="14" t="s">
        <v>2134</v>
      </c>
      <c r="S284" s="14" t="s">
        <v>195</v>
      </c>
      <c r="T284" s="14" t="s">
        <v>149</v>
      </c>
      <c r="U284" s="14" t="s">
        <v>113</v>
      </c>
      <c r="V284" s="48">
        <f>SUMIF(Data!$E:$E,$I284,Data!$AI:$AI)</f>
        <v>0</v>
      </c>
    </row>
    <row r="285" spans="1:22" x14ac:dyDescent="0.25">
      <c r="A285" s="47" t="s">
        <v>1212</v>
      </c>
      <c r="B285" s="47" t="s">
        <v>123</v>
      </c>
      <c r="C285" s="47" t="s">
        <v>2135</v>
      </c>
      <c r="D285" s="47">
        <v>0.56699999999999995</v>
      </c>
      <c r="E285" s="48">
        <f>SUMIF(Data!$E:$E,$C285,Data!$AI:$AI)</f>
        <v>0</v>
      </c>
      <c r="I285" s="14">
        <v>8035</v>
      </c>
      <c r="J285" s="14" t="s">
        <v>2136</v>
      </c>
      <c r="K285" s="14" t="s">
        <v>140</v>
      </c>
      <c r="L285" s="14" t="s">
        <v>2005</v>
      </c>
      <c r="M285" s="14" t="s">
        <v>2137</v>
      </c>
      <c r="N285" s="14">
        <v>86.98</v>
      </c>
      <c r="O285" s="14" t="s">
        <v>2138</v>
      </c>
      <c r="P285" s="14" t="s">
        <v>2139</v>
      </c>
      <c r="Q285" s="14" t="s">
        <v>146</v>
      </c>
      <c r="R285" s="14" t="s">
        <v>2140</v>
      </c>
      <c r="S285" s="14" t="s">
        <v>444</v>
      </c>
      <c r="T285" s="14" t="s">
        <v>445</v>
      </c>
      <c r="U285" s="14" t="s">
        <v>446</v>
      </c>
      <c r="V285" s="48">
        <f>SUMIF(Data!$E:$E,$I285,Data!$AI:$AI)</f>
        <v>0</v>
      </c>
    </row>
    <row r="286" spans="1:22" x14ac:dyDescent="0.25">
      <c r="A286" s="47" t="s">
        <v>1212</v>
      </c>
      <c r="B286" s="47" t="s">
        <v>123</v>
      </c>
      <c r="C286" s="47" t="s">
        <v>2141</v>
      </c>
      <c r="D286" s="47">
        <v>0.1241</v>
      </c>
      <c r="E286" s="48">
        <f>SUMIF(Data!$E:$E,$C286,Data!$AI:$AI)</f>
        <v>0</v>
      </c>
      <c r="I286" s="14" t="s">
        <v>2142</v>
      </c>
      <c r="J286" s="14" t="s">
        <v>2143</v>
      </c>
      <c r="K286" s="14" t="s">
        <v>140</v>
      </c>
      <c r="L286" s="14" t="s">
        <v>2005</v>
      </c>
      <c r="M286" s="14" t="s">
        <v>2144</v>
      </c>
      <c r="N286" s="14">
        <v>518.46199999999999</v>
      </c>
      <c r="O286" s="14" t="s">
        <v>2145</v>
      </c>
      <c r="P286" s="14" t="s">
        <v>2146</v>
      </c>
      <c r="Q286" s="14" t="s">
        <v>419</v>
      </c>
      <c r="R286" s="14" t="s">
        <v>2147</v>
      </c>
      <c r="S286" s="14" t="s">
        <v>526</v>
      </c>
      <c r="T286" s="14" t="s">
        <v>527</v>
      </c>
      <c r="U286" s="14" t="s">
        <v>528</v>
      </c>
      <c r="V286" s="48">
        <f>SUMIF(Data!$E:$E,$I286,Data!$AI:$AI)</f>
        <v>0</v>
      </c>
    </row>
    <row r="287" spans="1:22" x14ac:dyDescent="0.25">
      <c r="A287" s="47" t="s">
        <v>1212</v>
      </c>
      <c r="B287" s="47" t="s">
        <v>123</v>
      </c>
      <c r="C287" s="47" t="s">
        <v>2148</v>
      </c>
      <c r="D287" s="47">
        <v>0.1777</v>
      </c>
      <c r="E287" s="48">
        <f>SUMIF(Data!$E:$E,$C287,Data!$AI:$AI)</f>
        <v>0</v>
      </c>
      <c r="I287" s="14">
        <v>6981</v>
      </c>
      <c r="J287" s="14" t="s">
        <v>2149</v>
      </c>
      <c r="K287" s="14" t="s">
        <v>140</v>
      </c>
      <c r="L287" s="14" t="s">
        <v>2005</v>
      </c>
      <c r="M287" s="14" t="s">
        <v>2150</v>
      </c>
      <c r="N287" s="14">
        <v>311.61799999999999</v>
      </c>
      <c r="O287" s="14" t="s">
        <v>2151</v>
      </c>
      <c r="P287" s="14" t="s">
        <v>2152</v>
      </c>
      <c r="Q287" s="14" t="s">
        <v>146</v>
      </c>
      <c r="R287" s="14" t="s">
        <v>2153</v>
      </c>
      <c r="S287" s="14" t="s">
        <v>444</v>
      </c>
      <c r="T287" s="14" t="s">
        <v>445</v>
      </c>
      <c r="U287" s="14" t="s">
        <v>446</v>
      </c>
      <c r="V287" s="48">
        <f>SUMIF(Data!$E:$E,$I287,Data!$AI:$AI)</f>
        <v>0</v>
      </c>
    </row>
    <row r="288" spans="1:22" x14ac:dyDescent="0.25">
      <c r="A288" s="47" t="s">
        <v>1212</v>
      </c>
      <c r="B288" s="47" t="s">
        <v>123</v>
      </c>
      <c r="C288" s="47" t="s">
        <v>2154</v>
      </c>
      <c r="D288" s="47">
        <v>0.45350000000000001</v>
      </c>
      <c r="E288" s="48">
        <f>SUMIF(Data!$E:$E,$C288,Data!$AI:$AI)</f>
        <v>0</v>
      </c>
      <c r="I288" s="14" t="s">
        <v>2155</v>
      </c>
      <c r="J288" s="14" t="s">
        <v>2156</v>
      </c>
      <c r="K288" s="14" t="s">
        <v>140</v>
      </c>
      <c r="L288" s="14" t="s">
        <v>2005</v>
      </c>
      <c r="M288" s="14" t="s">
        <v>2157</v>
      </c>
      <c r="N288" s="14">
        <v>557.33799999999997</v>
      </c>
      <c r="O288" s="14" t="s">
        <v>2158</v>
      </c>
      <c r="P288" s="14" t="s">
        <v>2159</v>
      </c>
      <c r="Q288" s="14" t="s">
        <v>165</v>
      </c>
      <c r="R288" s="14" t="s">
        <v>2160</v>
      </c>
      <c r="S288" s="14" t="s">
        <v>1167</v>
      </c>
      <c r="T288" s="14" t="s">
        <v>1168</v>
      </c>
      <c r="U288" s="14" t="s">
        <v>528</v>
      </c>
      <c r="V288" s="48">
        <f>SUMIF(Data!$E:$E,$I288,Data!$AI:$AI)</f>
        <v>0</v>
      </c>
    </row>
    <row r="289" spans="1:22" x14ac:dyDescent="0.25">
      <c r="A289" s="47" t="s">
        <v>1212</v>
      </c>
      <c r="B289" s="47" t="s">
        <v>123</v>
      </c>
      <c r="C289" s="47" t="s">
        <v>2161</v>
      </c>
      <c r="D289" s="47">
        <v>0.68469999999999998</v>
      </c>
      <c r="E289" s="48">
        <f>SUMIF(Data!$E:$E,$C289,Data!$AI:$AI)</f>
        <v>0</v>
      </c>
      <c r="I289" s="14">
        <v>8766</v>
      </c>
      <c r="J289" s="14" t="s">
        <v>2162</v>
      </c>
      <c r="K289" s="14" t="s">
        <v>140</v>
      </c>
      <c r="L289" s="14" t="s">
        <v>2005</v>
      </c>
      <c r="M289" s="14" t="s">
        <v>2163</v>
      </c>
      <c r="N289" s="14">
        <v>352.47199999999998</v>
      </c>
      <c r="O289" s="14" t="s">
        <v>2164</v>
      </c>
      <c r="P289" s="14" t="s">
        <v>2165</v>
      </c>
      <c r="Q289" s="14" t="s">
        <v>193</v>
      </c>
      <c r="R289" s="14" t="s">
        <v>2166</v>
      </c>
      <c r="S289" s="14" t="s">
        <v>444</v>
      </c>
      <c r="T289" s="14" t="s">
        <v>445</v>
      </c>
      <c r="U289" s="14" t="s">
        <v>446</v>
      </c>
      <c r="V289" s="48">
        <f>SUMIF(Data!$E:$E,$I289,Data!$AI:$AI)</f>
        <v>0</v>
      </c>
    </row>
    <row r="290" spans="1:22" x14ac:dyDescent="0.25">
      <c r="A290" s="47" t="s">
        <v>1212</v>
      </c>
      <c r="B290" s="47" t="s">
        <v>123</v>
      </c>
      <c r="C290" s="47" t="s">
        <v>2167</v>
      </c>
      <c r="D290" s="47">
        <v>1.3533999999999999</v>
      </c>
      <c r="E290" s="48">
        <f>SUMIF(Data!$E:$E,$C290,Data!$AI:$AI)</f>
        <v>0</v>
      </c>
      <c r="I290" s="14" t="s">
        <v>2168</v>
      </c>
      <c r="J290" s="14" t="s">
        <v>2169</v>
      </c>
      <c r="K290" s="14" t="s">
        <v>140</v>
      </c>
      <c r="L290" s="14" t="s">
        <v>2005</v>
      </c>
      <c r="M290" s="14" t="s">
        <v>2170</v>
      </c>
      <c r="N290" s="14">
        <v>457.79899999999998</v>
      </c>
      <c r="O290" s="14" t="s">
        <v>2171</v>
      </c>
      <c r="P290" s="14" t="s">
        <v>2172</v>
      </c>
      <c r="Q290" s="14" t="s">
        <v>737</v>
      </c>
      <c r="R290" s="14" t="s">
        <v>2173</v>
      </c>
      <c r="S290" s="14" t="s">
        <v>195</v>
      </c>
      <c r="T290" s="14" t="s">
        <v>149</v>
      </c>
      <c r="U290" s="14" t="s">
        <v>113</v>
      </c>
      <c r="V290" s="48">
        <f>SUMIF(Data!$E:$E,$I290,Data!$AI:$AI)</f>
        <v>0</v>
      </c>
    </row>
    <row r="291" spans="1:22" x14ac:dyDescent="0.25">
      <c r="A291" s="47" t="s">
        <v>1212</v>
      </c>
      <c r="B291" s="47" t="s">
        <v>123</v>
      </c>
      <c r="C291" s="47" t="s">
        <v>2174</v>
      </c>
      <c r="D291" s="47">
        <v>0.36799999999999999</v>
      </c>
      <c r="E291" s="48">
        <f>SUMIF(Data!$E:$E,$C291,Data!$AI:$AI)</f>
        <v>0</v>
      </c>
      <c r="I291" s="14" t="s">
        <v>2175</v>
      </c>
      <c r="J291" s="14" t="s">
        <v>2176</v>
      </c>
      <c r="K291" s="14" t="s">
        <v>140</v>
      </c>
      <c r="L291" s="14" t="s">
        <v>2005</v>
      </c>
      <c r="M291" s="14" t="s">
        <v>2177</v>
      </c>
      <c r="N291" s="14">
        <v>233.928</v>
      </c>
      <c r="O291" s="14" t="s">
        <v>2178</v>
      </c>
      <c r="P291" s="14" t="s">
        <v>2179</v>
      </c>
      <c r="Q291" s="14" t="s">
        <v>193</v>
      </c>
      <c r="R291" s="14" t="s">
        <v>2180</v>
      </c>
      <c r="S291" s="14" t="s">
        <v>728</v>
      </c>
      <c r="T291" s="14" t="s">
        <v>729</v>
      </c>
      <c r="U291" s="14" t="s">
        <v>730</v>
      </c>
      <c r="V291" s="48">
        <f>SUMIF(Data!$E:$E,$I291,Data!$AI:$AI)</f>
        <v>0</v>
      </c>
    </row>
    <row r="292" spans="1:22" x14ac:dyDescent="0.25">
      <c r="A292" s="47" t="s">
        <v>1212</v>
      </c>
      <c r="B292" s="47" t="s">
        <v>123</v>
      </c>
      <c r="C292" s="47" t="s">
        <v>2181</v>
      </c>
      <c r="D292" s="47">
        <v>0.2167</v>
      </c>
      <c r="E292" s="48">
        <f>SUMIF(Data!$E:$E,$C292,Data!$AI:$AI)</f>
        <v>0</v>
      </c>
      <c r="I292" s="14">
        <v>4568</v>
      </c>
      <c r="J292" s="14" t="s">
        <v>2182</v>
      </c>
      <c r="K292" s="14" t="s">
        <v>140</v>
      </c>
      <c r="L292" s="14" t="s">
        <v>2005</v>
      </c>
      <c r="M292" s="14" t="s">
        <v>2183</v>
      </c>
      <c r="N292" s="14">
        <v>294.75700000000001</v>
      </c>
      <c r="O292" s="14" t="s">
        <v>2184</v>
      </c>
      <c r="P292" s="14" t="s">
        <v>2185</v>
      </c>
      <c r="Q292" s="14" t="s">
        <v>211</v>
      </c>
      <c r="R292" s="14" t="s">
        <v>2186</v>
      </c>
      <c r="S292" s="14" t="s">
        <v>444</v>
      </c>
      <c r="T292" s="14" t="s">
        <v>445</v>
      </c>
      <c r="U292" s="14" t="s">
        <v>446</v>
      </c>
      <c r="V292" s="48">
        <f>SUMIF(Data!$E:$E,$I292,Data!$AI:$AI)</f>
        <v>0</v>
      </c>
    </row>
    <row r="293" spans="1:22" x14ac:dyDescent="0.25">
      <c r="A293" s="47" t="s">
        <v>1212</v>
      </c>
      <c r="B293" s="47" t="s">
        <v>123</v>
      </c>
      <c r="C293" s="47" t="s">
        <v>2187</v>
      </c>
      <c r="D293" s="47">
        <v>0.43809999999999999</v>
      </c>
      <c r="E293" s="48">
        <f>SUMIF(Data!$E:$E,$C293,Data!$AI:$AI)</f>
        <v>0</v>
      </c>
      <c r="I293" s="14" t="s">
        <v>2188</v>
      </c>
      <c r="J293" s="14" t="s">
        <v>2189</v>
      </c>
      <c r="K293" s="14" t="s">
        <v>140</v>
      </c>
      <c r="L293" s="14" t="s">
        <v>2005</v>
      </c>
      <c r="M293" s="14" t="s">
        <v>2190</v>
      </c>
      <c r="N293" s="14" t="s">
        <v>2191</v>
      </c>
      <c r="O293" s="14" t="s">
        <v>2192</v>
      </c>
      <c r="P293" s="14" t="s">
        <v>2193</v>
      </c>
      <c r="Q293" s="14" t="s">
        <v>193</v>
      </c>
      <c r="R293" s="14" t="s">
        <v>2194</v>
      </c>
      <c r="S293" s="14" t="s">
        <v>229</v>
      </c>
      <c r="T293" s="14" t="s">
        <v>230</v>
      </c>
      <c r="U293" s="14" t="s">
        <v>231</v>
      </c>
      <c r="V293" s="48">
        <f>SUMIF(Data!$E:$E,$I293,Data!$AI:$AI)</f>
        <v>0</v>
      </c>
    </row>
    <row r="294" spans="1:22" x14ac:dyDescent="0.25">
      <c r="A294" s="47" t="s">
        <v>1212</v>
      </c>
      <c r="B294" s="47" t="s">
        <v>123</v>
      </c>
      <c r="C294" s="47" t="s">
        <v>2195</v>
      </c>
      <c r="D294" s="47">
        <v>0.27160000000000001</v>
      </c>
      <c r="E294" s="48">
        <f>SUMIF(Data!$E:$E,$C294,Data!$AI:$AI)</f>
        <v>0</v>
      </c>
      <c r="I294" s="14" t="s">
        <v>2196</v>
      </c>
      <c r="J294" s="14" t="s">
        <v>2197</v>
      </c>
      <c r="K294" s="14" t="s">
        <v>140</v>
      </c>
      <c r="L294" s="14" t="s">
        <v>2005</v>
      </c>
      <c r="M294" s="14" t="s">
        <v>2198</v>
      </c>
      <c r="N294" s="14">
        <v>50.316000000000003</v>
      </c>
      <c r="O294" s="14" t="s">
        <v>2199</v>
      </c>
      <c r="P294" s="14" t="s">
        <v>2200</v>
      </c>
      <c r="Q294" s="14" t="s">
        <v>419</v>
      </c>
      <c r="R294" s="14" t="s">
        <v>2201</v>
      </c>
      <c r="S294" s="14" t="s">
        <v>195</v>
      </c>
      <c r="T294" s="14" t="s">
        <v>149</v>
      </c>
      <c r="U294" s="14" t="s">
        <v>113</v>
      </c>
      <c r="V294" s="48">
        <f>SUMIF(Data!$E:$E,$I294,Data!$AI:$AI)</f>
        <v>0</v>
      </c>
    </row>
    <row r="295" spans="1:22" x14ac:dyDescent="0.25">
      <c r="A295" s="47" t="s">
        <v>1212</v>
      </c>
      <c r="B295" s="47" t="s">
        <v>123</v>
      </c>
      <c r="C295" s="47" t="s">
        <v>2202</v>
      </c>
      <c r="D295" s="47">
        <v>0.253</v>
      </c>
      <c r="E295" s="48">
        <f>SUMIF(Data!$E:$E,$C295,Data!$AI:$AI)</f>
        <v>0</v>
      </c>
      <c r="I295" s="14">
        <v>6954</v>
      </c>
      <c r="J295" s="14" t="s">
        <v>2203</v>
      </c>
      <c r="K295" s="14" t="s">
        <v>140</v>
      </c>
      <c r="L295" s="14" t="s">
        <v>2005</v>
      </c>
      <c r="M295" s="14" t="s">
        <v>2204</v>
      </c>
      <c r="N295" s="14">
        <v>98.551000000000002</v>
      </c>
      <c r="O295" s="14" t="s">
        <v>2205</v>
      </c>
      <c r="P295" s="14" t="s">
        <v>2206</v>
      </c>
      <c r="Q295" s="14" t="s">
        <v>419</v>
      </c>
      <c r="R295" s="14" t="s">
        <v>2207</v>
      </c>
      <c r="S295" s="14" t="s">
        <v>444</v>
      </c>
      <c r="T295" s="14" t="s">
        <v>445</v>
      </c>
      <c r="U295" s="14" t="s">
        <v>446</v>
      </c>
      <c r="V295" s="48">
        <f>SUMIF(Data!$E:$E,$I295,Data!$AI:$AI)</f>
        <v>0</v>
      </c>
    </row>
    <row r="296" spans="1:22" x14ac:dyDescent="0.25">
      <c r="A296" s="47" t="s">
        <v>1212</v>
      </c>
      <c r="B296" s="47" t="s">
        <v>123</v>
      </c>
      <c r="C296" s="47">
        <v>6579355</v>
      </c>
      <c r="D296" s="47">
        <v>1.327</v>
      </c>
      <c r="E296" s="48">
        <f>SUMIF(Data!$E:$E,$C296,Data!$AI:$AI)</f>
        <v>0</v>
      </c>
      <c r="I296" s="14" t="s">
        <v>2208</v>
      </c>
      <c r="J296" s="14" t="s">
        <v>2209</v>
      </c>
      <c r="K296" s="14" t="s">
        <v>140</v>
      </c>
      <c r="L296" s="14" t="s">
        <v>2005</v>
      </c>
      <c r="M296" s="14" t="s">
        <v>2210</v>
      </c>
      <c r="N296" s="14">
        <v>42.517000000000003</v>
      </c>
      <c r="O296" s="14" t="s">
        <v>2211</v>
      </c>
      <c r="P296" s="14" t="s">
        <v>2212</v>
      </c>
      <c r="Q296" s="14" t="s">
        <v>165</v>
      </c>
      <c r="R296" s="14" t="s">
        <v>2213</v>
      </c>
      <c r="S296" s="14" t="s">
        <v>148</v>
      </c>
      <c r="T296" s="14" t="s">
        <v>149</v>
      </c>
      <c r="U296" s="14" t="s">
        <v>113</v>
      </c>
      <c r="V296" s="48">
        <f>SUMIF(Data!$E:$E,$I296,Data!$AI:$AI)</f>
        <v>0</v>
      </c>
    </row>
    <row r="297" spans="1:22" x14ac:dyDescent="0.25">
      <c r="A297" s="47" t="s">
        <v>1212</v>
      </c>
      <c r="B297" s="47" t="s">
        <v>123</v>
      </c>
      <c r="C297" s="47" t="s">
        <v>2214</v>
      </c>
      <c r="D297" s="47">
        <v>0.36520000000000002</v>
      </c>
      <c r="E297" s="48">
        <f>SUMIF(Data!$E:$E,$C297,Data!$AI:$AI)</f>
        <v>0</v>
      </c>
      <c r="I297" s="14" t="s">
        <v>2215</v>
      </c>
      <c r="J297" s="14" t="s">
        <v>2216</v>
      </c>
      <c r="K297" s="14" t="s">
        <v>140</v>
      </c>
      <c r="L297" s="14" t="s">
        <v>2005</v>
      </c>
      <c r="M297" s="14" t="s">
        <v>2217</v>
      </c>
      <c r="N297" s="14">
        <v>71.423000000000002</v>
      </c>
      <c r="O297" s="14" t="s">
        <v>2218</v>
      </c>
      <c r="P297" s="14" t="s">
        <v>2219</v>
      </c>
      <c r="Q297" s="14" t="s">
        <v>419</v>
      </c>
      <c r="R297" s="14" t="s">
        <v>2220</v>
      </c>
      <c r="S297" s="14" t="s">
        <v>728</v>
      </c>
      <c r="T297" s="14" t="s">
        <v>729</v>
      </c>
      <c r="U297" s="14" t="s">
        <v>730</v>
      </c>
      <c r="V297" s="48">
        <f>SUMIF(Data!$E:$E,$I297,Data!$AI:$AI)</f>
        <v>0</v>
      </c>
    </row>
    <row r="298" spans="1:22" x14ac:dyDescent="0.25">
      <c r="A298" s="47" t="s">
        <v>1212</v>
      </c>
      <c r="B298" s="47" t="s">
        <v>123</v>
      </c>
      <c r="C298" s="47">
        <v>6276719</v>
      </c>
      <c r="D298" s="47">
        <v>0.31480000000000002</v>
      </c>
      <c r="E298" s="48">
        <f>SUMIF(Data!$E:$E,$C298,Data!$AI:$AI)</f>
        <v>0</v>
      </c>
      <c r="I298" s="14" t="s">
        <v>2221</v>
      </c>
      <c r="J298" s="14" t="s">
        <v>2222</v>
      </c>
      <c r="K298" s="14" t="s">
        <v>140</v>
      </c>
      <c r="L298" s="14" t="s">
        <v>2005</v>
      </c>
      <c r="M298" s="14" t="s">
        <v>2223</v>
      </c>
      <c r="N298" s="14">
        <v>140.346</v>
      </c>
      <c r="O298" s="14" t="s">
        <v>2224</v>
      </c>
      <c r="P298" s="14" t="s">
        <v>2225</v>
      </c>
      <c r="Q298" s="14" t="s">
        <v>419</v>
      </c>
      <c r="R298" s="14" t="s">
        <v>2226</v>
      </c>
      <c r="S298" s="14" t="s">
        <v>195</v>
      </c>
      <c r="T298" s="14" t="s">
        <v>149</v>
      </c>
      <c r="U298" s="14" t="s">
        <v>113</v>
      </c>
      <c r="V298" s="48">
        <f>SUMIF(Data!$E:$E,$I298,Data!$AI:$AI)</f>
        <v>0</v>
      </c>
    </row>
    <row r="299" spans="1:22" x14ac:dyDescent="0.25">
      <c r="A299" s="47" t="s">
        <v>1212</v>
      </c>
      <c r="B299" s="47" t="s">
        <v>123</v>
      </c>
      <c r="C299" s="47">
        <v>6116956</v>
      </c>
      <c r="D299" s="47">
        <v>0.153</v>
      </c>
      <c r="E299" s="48">
        <f>SUMIF(Data!$E:$E,$C299,Data!$AI:$AI)</f>
        <v>0</v>
      </c>
      <c r="I299" s="14" t="s">
        <v>2227</v>
      </c>
      <c r="J299" s="14" t="s">
        <v>2228</v>
      </c>
      <c r="K299" s="14" t="s">
        <v>140</v>
      </c>
      <c r="L299" s="14" t="s">
        <v>2005</v>
      </c>
      <c r="M299" s="14" t="s">
        <v>2229</v>
      </c>
      <c r="N299" s="14">
        <v>165.3</v>
      </c>
      <c r="O299" s="14" t="s">
        <v>2230</v>
      </c>
      <c r="P299" s="14" t="s">
        <v>2231</v>
      </c>
      <c r="Q299" s="14" t="s">
        <v>193</v>
      </c>
      <c r="R299" s="14" t="s">
        <v>2232</v>
      </c>
      <c r="S299" s="14" t="s">
        <v>229</v>
      </c>
      <c r="T299" s="14" t="s">
        <v>230</v>
      </c>
      <c r="U299" s="14" t="s">
        <v>231</v>
      </c>
      <c r="V299" s="48">
        <f>SUMIF(Data!$E:$E,$I299,Data!$AI:$AI)</f>
        <v>0</v>
      </c>
    </row>
    <row r="300" spans="1:22" x14ac:dyDescent="0.25">
      <c r="A300" s="47" t="s">
        <v>1212</v>
      </c>
      <c r="B300" s="47" t="s">
        <v>123</v>
      </c>
      <c r="C300" s="47">
        <v>6314697</v>
      </c>
      <c r="D300" s="47">
        <v>0.96919999999999995</v>
      </c>
      <c r="E300" s="48">
        <f>SUMIF(Data!$E:$E,$C300,Data!$AI:$AI)</f>
        <v>0</v>
      </c>
      <c r="I300" s="14" t="s">
        <v>2233</v>
      </c>
      <c r="J300" s="14" t="s">
        <v>2234</v>
      </c>
      <c r="K300" s="14" t="s">
        <v>140</v>
      </c>
      <c r="L300" s="14" t="s">
        <v>2005</v>
      </c>
      <c r="M300" s="14" t="s">
        <v>2235</v>
      </c>
      <c r="N300" s="14">
        <v>186.61</v>
      </c>
      <c r="O300" s="14" t="s">
        <v>2236</v>
      </c>
      <c r="P300" s="14" t="s">
        <v>2237</v>
      </c>
      <c r="Q300" s="14" t="s">
        <v>146</v>
      </c>
      <c r="R300" s="14" t="s">
        <v>2238</v>
      </c>
      <c r="S300" s="14" t="s">
        <v>195</v>
      </c>
      <c r="T300" s="14" t="s">
        <v>149</v>
      </c>
      <c r="U300" s="14" t="s">
        <v>113</v>
      </c>
      <c r="V300" s="48">
        <f>SUMIF(Data!$E:$E,$I300,Data!$AI:$AI)</f>
        <v>0</v>
      </c>
    </row>
    <row r="301" spans="1:22" x14ac:dyDescent="0.25">
      <c r="A301" s="47" t="s">
        <v>1212</v>
      </c>
      <c r="B301" s="47" t="s">
        <v>123</v>
      </c>
      <c r="C301" s="47">
        <v>6766555</v>
      </c>
      <c r="D301" s="47">
        <v>1.1085</v>
      </c>
      <c r="E301" s="48">
        <f>SUMIF(Data!$E:$E,$C301,Data!$AI:$AI)</f>
        <v>0</v>
      </c>
      <c r="I301" s="14">
        <v>388</v>
      </c>
      <c r="J301" s="14" t="s">
        <v>2239</v>
      </c>
      <c r="K301" s="14" t="s">
        <v>140</v>
      </c>
      <c r="L301" s="14" t="s">
        <v>2240</v>
      </c>
      <c r="M301" s="14" t="s">
        <v>2241</v>
      </c>
      <c r="N301" s="14">
        <v>513.70699999999999</v>
      </c>
      <c r="O301" s="14" t="s">
        <v>2242</v>
      </c>
      <c r="P301" s="14" t="s">
        <v>2243</v>
      </c>
      <c r="Q301" s="14" t="s">
        <v>193</v>
      </c>
      <c r="R301" s="14" t="s">
        <v>2244</v>
      </c>
      <c r="S301" s="14" t="s">
        <v>552</v>
      </c>
      <c r="T301" s="14" t="s">
        <v>553</v>
      </c>
      <c r="U301" s="14" t="s">
        <v>554</v>
      </c>
      <c r="V301" s="48">
        <f>SUMIF(Data!$E:$E,$I301,Data!$AI:$AI)</f>
        <v>0</v>
      </c>
    </row>
    <row r="302" spans="1:22" x14ac:dyDescent="0.25">
      <c r="A302" s="47" t="s">
        <v>1212</v>
      </c>
      <c r="B302" s="47" t="s">
        <v>123</v>
      </c>
      <c r="C302" s="47">
        <v>6242390</v>
      </c>
      <c r="D302" s="47">
        <v>0.1016</v>
      </c>
      <c r="E302" s="48">
        <f>SUMIF(Data!$E:$E,$C302,Data!$AI:$AI)</f>
        <v>0</v>
      </c>
      <c r="I302" s="14" t="s">
        <v>2245</v>
      </c>
      <c r="J302" s="14" t="s">
        <v>2246</v>
      </c>
      <c r="K302" s="14" t="s">
        <v>140</v>
      </c>
      <c r="L302" s="14" t="s">
        <v>2240</v>
      </c>
      <c r="M302" s="14" t="s">
        <v>2247</v>
      </c>
      <c r="N302" s="14">
        <v>219.334</v>
      </c>
      <c r="O302" s="14" t="s">
        <v>2248</v>
      </c>
      <c r="P302" s="14" t="s">
        <v>2249</v>
      </c>
      <c r="Q302" s="14" t="s">
        <v>809</v>
      </c>
      <c r="R302" s="14" t="s">
        <v>2250</v>
      </c>
      <c r="S302" s="14" t="s">
        <v>195</v>
      </c>
      <c r="T302" s="14" t="s">
        <v>149</v>
      </c>
      <c r="U302" s="14" t="s">
        <v>113</v>
      </c>
      <c r="V302" s="48">
        <f>SUMIF(Data!$E:$E,$I302,Data!$AI:$AI)</f>
        <v>0</v>
      </c>
    </row>
    <row r="303" spans="1:22" x14ac:dyDescent="0.25">
      <c r="A303" s="47" t="s">
        <v>1212</v>
      </c>
      <c r="B303" s="47" t="s">
        <v>123</v>
      </c>
      <c r="C303" s="47">
        <v>6993289</v>
      </c>
      <c r="D303" s="47">
        <v>0.12559999999999999</v>
      </c>
      <c r="E303" s="48">
        <f>SUMIF(Data!$E:$E,$C303,Data!$AI:$AI)</f>
        <v>0</v>
      </c>
      <c r="I303" s="14" t="s">
        <v>2251</v>
      </c>
      <c r="J303" s="14" t="s">
        <v>2252</v>
      </c>
      <c r="K303" s="14" t="s">
        <v>140</v>
      </c>
      <c r="L303" s="14" t="s">
        <v>2240</v>
      </c>
      <c r="M303" s="14" t="s">
        <v>2253</v>
      </c>
      <c r="N303" s="14">
        <v>113.084</v>
      </c>
      <c r="O303" s="14" t="s">
        <v>2254</v>
      </c>
      <c r="P303" s="14" t="s">
        <v>2255</v>
      </c>
      <c r="Q303" s="14" t="s">
        <v>193</v>
      </c>
      <c r="R303" s="14" t="s">
        <v>2256</v>
      </c>
      <c r="S303" s="14" t="s">
        <v>526</v>
      </c>
      <c r="T303" s="14" t="s">
        <v>527</v>
      </c>
      <c r="U303" s="14" t="s">
        <v>528</v>
      </c>
      <c r="V303" s="48">
        <f>SUMIF(Data!$E:$E,$I303,Data!$AI:$AI)</f>
        <v>0</v>
      </c>
    </row>
    <row r="304" spans="1:22" x14ac:dyDescent="0.25">
      <c r="A304" s="47" t="s">
        <v>1212</v>
      </c>
      <c r="B304" s="47" t="s">
        <v>123</v>
      </c>
      <c r="C304" s="47" t="s">
        <v>2257</v>
      </c>
      <c r="D304" s="47">
        <v>0.2011</v>
      </c>
      <c r="E304" s="48">
        <f>SUMIF(Data!$E:$E,$C304,Data!$AI:$AI)</f>
        <v>0</v>
      </c>
      <c r="I304" s="14">
        <v>8001</v>
      </c>
      <c r="J304" s="14" t="s">
        <v>2258</v>
      </c>
      <c r="K304" s="14" t="s">
        <v>140</v>
      </c>
      <c r="L304" s="14" t="s">
        <v>2240</v>
      </c>
      <c r="M304" s="14" t="s">
        <v>2259</v>
      </c>
      <c r="N304" s="14">
        <v>768.50199999999995</v>
      </c>
      <c r="O304" s="14" t="s">
        <v>2260</v>
      </c>
      <c r="P304" s="14" t="s">
        <v>2261</v>
      </c>
      <c r="Q304" s="14" t="s">
        <v>419</v>
      </c>
      <c r="R304" s="14" t="s">
        <v>2262</v>
      </c>
      <c r="S304" s="14" t="s">
        <v>444</v>
      </c>
      <c r="T304" s="14" t="s">
        <v>445</v>
      </c>
      <c r="U304" s="14" t="s">
        <v>446</v>
      </c>
      <c r="V304" s="48">
        <f>SUMIF(Data!$E:$E,$I304,Data!$AI:$AI)</f>
        <v>0</v>
      </c>
    </row>
    <row r="305" spans="1:22" x14ac:dyDescent="0.25">
      <c r="A305" s="47" t="s">
        <v>1212</v>
      </c>
      <c r="B305" s="47" t="s">
        <v>123</v>
      </c>
      <c r="C305" s="47">
        <v>6438951</v>
      </c>
      <c r="D305" s="47">
        <v>0.1048</v>
      </c>
      <c r="E305" s="48">
        <f>SUMIF(Data!$E:$E,$C305,Data!$AI:$AI)</f>
        <v>0</v>
      </c>
      <c r="I305" s="14" t="s">
        <v>2263</v>
      </c>
      <c r="J305" s="14" t="s">
        <v>2264</v>
      </c>
      <c r="K305" s="14" t="s">
        <v>140</v>
      </c>
      <c r="L305" s="14" t="s">
        <v>2240</v>
      </c>
      <c r="M305" s="14" t="s">
        <v>2265</v>
      </c>
      <c r="N305" s="14">
        <v>297.76400000000001</v>
      </c>
      <c r="O305" s="14" t="s">
        <v>2266</v>
      </c>
      <c r="P305" s="14" t="s">
        <v>2267</v>
      </c>
      <c r="Q305" s="14" t="s">
        <v>146</v>
      </c>
      <c r="R305" s="14" t="s">
        <v>2268</v>
      </c>
      <c r="S305" s="14" t="s">
        <v>148</v>
      </c>
      <c r="T305" s="14" t="s">
        <v>149</v>
      </c>
      <c r="U305" s="14" t="s">
        <v>113</v>
      </c>
      <c r="V305" s="48">
        <f>SUMIF(Data!$E:$E,$I305,Data!$AI:$AI)</f>
        <v>0</v>
      </c>
    </row>
    <row r="306" spans="1:22" x14ac:dyDescent="0.25">
      <c r="A306" s="47" t="s">
        <v>1212</v>
      </c>
      <c r="B306" s="47" t="s">
        <v>123</v>
      </c>
      <c r="C306" s="47">
        <v>6203245</v>
      </c>
      <c r="D306" s="47">
        <v>0.221</v>
      </c>
      <c r="E306" s="48">
        <f>SUMIF(Data!$E:$E,$C306,Data!$AI:$AI)</f>
        <v>0</v>
      </c>
      <c r="I306" s="14" t="s">
        <v>2269</v>
      </c>
      <c r="J306" s="14" t="s">
        <v>2270</v>
      </c>
      <c r="K306" s="14" t="s">
        <v>140</v>
      </c>
      <c r="L306" s="14" t="s">
        <v>2240</v>
      </c>
      <c r="M306" s="14" t="s">
        <v>2271</v>
      </c>
      <c r="N306" s="14">
        <v>840.73699999999997</v>
      </c>
      <c r="O306" s="14" t="s">
        <v>2272</v>
      </c>
      <c r="P306" s="14" t="s">
        <v>2273</v>
      </c>
      <c r="Q306" s="14" t="s">
        <v>146</v>
      </c>
      <c r="R306" s="14" t="s">
        <v>2274</v>
      </c>
      <c r="S306" s="14" t="s">
        <v>195</v>
      </c>
      <c r="T306" s="14" t="s">
        <v>149</v>
      </c>
      <c r="U306" s="14" t="s">
        <v>113</v>
      </c>
      <c r="V306" s="48">
        <f>SUMIF(Data!$E:$E,$I306,Data!$AI:$AI)</f>
        <v>0</v>
      </c>
    </row>
    <row r="307" spans="1:22" x14ac:dyDescent="0.25">
      <c r="A307" s="47" t="s">
        <v>1212</v>
      </c>
      <c r="B307" s="47" t="s">
        <v>123</v>
      </c>
      <c r="C307" s="47">
        <v>6283872</v>
      </c>
      <c r="D307" s="47">
        <v>7.6600000000000001E-2</v>
      </c>
      <c r="E307" s="48">
        <f>SUMIF(Data!$E:$E,$C307,Data!$AI:$AI)</f>
        <v>0</v>
      </c>
      <c r="I307" s="14" t="s">
        <v>2275</v>
      </c>
      <c r="J307" s="14" t="s">
        <v>2276</v>
      </c>
      <c r="K307" s="14" t="s">
        <v>140</v>
      </c>
      <c r="L307" s="14" t="s">
        <v>2240</v>
      </c>
      <c r="M307" s="14" t="s">
        <v>2277</v>
      </c>
      <c r="N307" s="14">
        <v>94.655000000000001</v>
      </c>
      <c r="O307" s="14" t="s">
        <v>2278</v>
      </c>
      <c r="P307" s="14" t="s">
        <v>2279</v>
      </c>
      <c r="Q307" s="14" t="s">
        <v>227</v>
      </c>
      <c r="R307" s="14" t="s">
        <v>2280</v>
      </c>
      <c r="S307" s="14" t="s">
        <v>195</v>
      </c>
      <c r="T307" s="14" t="s">
        <v>149</v>
      </c>
      <c r="U307" s="14" t="s">
        <v>113</v>
      </c>
      <c r="V307" s="48">
        <f>SUMIF(Data!$E:$E,$I307,Data!$AI:$AI)</f>
        <v>0</v>
      </c>
    </row>
    <row r="308" spans="1:22" x14ac:dyDescent="0.25">
      <c r="A308" s="47" t="s">
        <v>1212</v>
      </c>
      <c r="B308" s="47" t="s">
        <v>123</v>
      </c>
      <c r="C308" s="47">
        <v>6632162</v>
      </c>
      <c r="D308" s="47">
        <v>0.1628</v>
      </c>
      <c r="E308" s="48">
        <f>SUMIF(Data!$E:$E,$C308,Data!$AI:$AI)</f>
        <v>0</v>
      </c>
      <c r="I308" s="14" t="s">
        <v>2281</v>
      </c>
      <c r="J308" s="14" t="s">
        <v>2282</v>
      </c>
      <c r="K308" s="14" t="s">
        <v>140</v>
      </c>
      <c r="L308" s="14" t="s">
        <v>2240</v>
      </c>
      <c r="M308" s="14" t="s">
        <v>2283</v>
      </c>
      <c r="N308" s="14">
        <v>163.78200000000001</v>
      </c>
      <c r="O308" s="14" t="s">
        <v>2284</v>
      </c>
      <c r="P308" s="14" t="s">
        <v>2285</v>
      </c>
      <c r="Q308" s="14" t="s">
        <v>175</v>
      </c>
      <c r="R308" s="14" t="s">
        <v>2286</v>
      </c>
      <c r="S308" s="14" t="s">
        <v>148</v>
      </c>
      <c r="T308" s="14" t="s">
        <v>149</v>
      </c>
      <c r="U308" s="14" t="s">
        <v>113</v>
      </c>
      <c r="V308" s="48">
        <f>SUMIF(Data!$E:$E,$I308,Data!$AI:$AI)</f>
        <v>0</v>
      </c>
    </row>
    <row r="309" spans="1:22" x14ac:dyDescent="0.25">
      <c r="A309" s="47" t="s">
        <v>1212</v>
      </c>
      <c r="B309" s="47" t="s">
        <v>123</v>
      </c>
      <c r="C309" s="47">
        <v>6983990</v>
      </c>
      <c r="D309" s="47">
        <v>8.9800000000000005E-2</v>
      </c>
      <c r="E309" s="48">
        <f>SUMIF(Data!$E:$E,$C309,Data!$AI:$AI)</f>
        <v>0</v>
      </c>
      <c r="I309" s="14" t="s">
        <v>2287</v>
      </c>
      <c r="J309" s="14" t="s">
        <v>2288</v>
      </c>
      <c r="K309" s="14" t="s">
        <v>140</v>
      </c>
      <c r="L309" s="14" t="s">
        <v>2240</v>
      </c>
      <c r="M309" s="14" t="s">
        <v>2289</v>
      </c>
      <c r="N309" s="14">
        <v>81.927000000000007</v>
      </c>
      <c r="O309" s="14" t="s">
        <v>2290</v>
      </c>
      <c r="P309" s="14" t="s">
        <v>2291</v>
      </c>
      <c r="Q309" s="14" t="s">
        <v>809</v>
      </c>
      <c r="R309" s="14" t="s">
        <v>2292</v>
      </c>
      <c r="S309" s="14" t="s">
        <v>195</v>
      </c>
      <c r="T309" s="14" t="s">
        <v>149</v>
      </c>
      <c r="U309" s="14" t="s">
        <v>113</v>
      </c>
      <c r="V309" s="48">
        <f>SUMIF(Data!$E:$E,$I309,Data!$AI:$AI)</f>
        <v>0</v>
      </c>
    </row>
    <row r="310" spans="1:22" x14ac:dyDescent="0.25">
      <c r="A310" s="47" t="s">
        <v>1212</v>
      </c>
      <c r="B310" s="47" t="s">
        <v>123</v>
      </c>
      <c r="C310" s="47" t="s">
        <v>2293</v>
      </c>
      <c r="D310" s="47">
        <v>0.10199999999999999</v>
      </c>
      <c r="E310" s="48">
        <f>SUMIF(Data!$E:$E,$C310,Data!$AI:$AI)</f>
        <v>0</v>
      </c>
      <c r="I310" s="14" t="s">
        <v>2294</v>
      </c>
      <c r="J310" s="14" t="s">
        <v>2295</v>
      </c>
      <c r="K310" s="14" t="s">
        <v>140</v>
      </c>
      <c r="L310" s="14" t="s">
        <v>2240</v>
      </c>
      <c r="M310" s="14" t="s">
        <v>2296</v>
      </c>
      <c r="N310" s="14" t="s">
        <v>2297</v>
      </c>
      <c r="O310" s="14" t="s">
        <v>2298</v>
      </c>
      <c r="P310" s="14" t="s">
        <v>2299</v>
      </c>
      <c r="Q310" s="14" t="s">
        <v>165</v>
      </c>
      <c r="R310" s="14" t="s">
        <v>2300</v>
      </c>
      <c r="S310" s="14" t="s">
        <v>195</v>
      </c>
      <c r="T310" s="14" t="s">
        <v>149</v>
      </c>
      <c r="U310" s="14" t="s">
        <v>113</v>
      </c>
      <c r="V310" s="48">
        <f>SUMIF(Data!$E:$E,$I310,Data!$AI:$AI)</f>
        <v>0</v>
      </c>
    </row>
    <row r="311" spans="1:22" x14ac:dyDescent="0.25">
      <c r="A311" s="47" t="s">
        <v>1212</v>
      </c>
      <c r="B311" s="47" t="s">
        <v>123</v>
      </c>
      <c r="C311" s="47">
        <v>6718857</v>
      </c>
      <c r="D311" s="47">
        <v>0.1143</v>
      </c>
      <c r="E311" s="48">
        <f>SUMIF(Data!$E:$E,$C311,Data!$AI:$AI)</f>
        <v>0</v>
      </c>
      <c r="I311" s="14" t="s">
        <v>2301</v>
      </c>
      <c r="J311" s="14" t="s">
        <v>2302</v>
      </c>
      <c r="K311" s="14" t="s">
        <v>140</v>
      </c>
      <c r="L311" s="14" t="s">
        <v>2240</v>
      </c>
      <c r="M311" s="14" t="s">
        <v>2303</v>
      </c>
      <c r="N311" s="14">
        <v>575.02300000000002</v>
      </c>
      <c r="O311" s="14" t="s">
        <v>2304</v>
      </c>
      <c r="P311" s="14" t="s">
        <v>2305</v>
      </c>
      <c r="Q311" s="14" t="s">
        <v>165</v>
      </c>
      <c r="R311" s="14" t="s">
        <v>2306</v>
      </c>
      <c r="S311" s="14" t="s">
        <v>850</v>
      </c>
      <c r="T311" s="14" t="s">
        <v>851</v>
      </c>
      <c r="U311" s="14" t="s">
        <v>852</v>
      </c>
      <c r="V311" s="48">
        <f>SUMIF(Data!$E:$E,$I311,Data!$AI:$AI)</f>
        <v>0</v>
      </c>
    </row>
    <row r="312" spans="1:22" x14ac:dyDescent="0.25">
      <c r="A312" s="47" t="s">
        <v>1212</v>
      </c>
      <c r="B312" s="47" t="s">
        <v>123</v>
      </c>
      <c r="C312" s="47">
        <v>6354574</v>
      </c>
      <c r="D312" s="47">
        <v>0.105</v>
      </c>
      <c r="E312" s="48">
        <f>SUMIF(Data!$E:$E,$C312,Data!$AI:$AI)</f>
        <v>0</v>
      </c>
      <c r="I312" s="14" t="s">
        <v>2307</v>
      </c>
      <c r="J312" s="14" t="s">
        <v>2308</v>
      </c>
      <c r="K312" s="14" t="s">
        <v>140</v>
      </c>
      <c r="L312" s="14" t="s">
        <v>2240</v>
      </c>
      <c r="M312" s="14" t="s">
        <v>2309</v>
      </c>
      <c r="N312" s="14">
        <v>424.37400000000002</v>
      </c>
      <c r="O312" s="14" t="s">
        <v>2310</v>
      </c>
      <c r="P312" s="14" t="s">
        <v>2311</v>
      </c>
      <c r="Q312" s="14" t="s">
        <v>419</v>
      </c>
      <c r="R312" s="14" t="s">
        <v>2312</v>
      </c>
      <c r="S312" s="14" t="s">
        <v>195</v>
      </c>
      <c r="T312" s="14" t="s">
        <v>149</v>
      </c>
      <c r="U312" s="14" t="s">
        <v>113</v>
      </c>
      <c r="V312" s="48">
        <f>SUMIF(Data!$E:$E,$I312,Data!$AI:$AI)</f>
        <v>0</v>
      </c>
    </row>
    <row r="313" spans="1:22" x14ac:dyDescent="0.25">
      <c r="A313" s="47" t="s">
        <v>1212</v>
      </c>
      <c r="B313" s="47" t="s">
        <v>123</v>
      </c>
      <c r="C313" s="47" t="s">
        <v>2313</v>
      </c>
      <c r="D313" s="47">
        <v>0.48570000000000002</v>
      </c>
      <c r="E313" s="48">
        <f>SUMIF(Data!$E:$E,$C313,Data!$AI:$AI)</f>
        <v>0</v>
      </c>
      <c r="I313" s="14" t="s">
        <v>2314</v>
      </c>
      <c r="J313" s="14" t="s">
        <v>2315</v>
      </c>
      <c r="K313" s="14" t="s">
        <v>140</v>
      </c>
      <c r="L313" s="14" t="s">
        <v>2240</v>
      </c>
      <c r="M313" s="14" t="s">
        <v>2316</v>
      </c>
      <c r="N313" s="14">
        <v>276.69600000000003</v>
      </c>
      <c r="O313" s="14" t="s">
        <v>2317</v>
      </c>
      <c r="P313" s="14" t="s">
        <v>2318</v>
      </c>
      <c r="Q313" s="14" t="s">
        <v>697</v>
      </c>
      <c r="R313" s="14" t="s">
        <v>2319</v>
      </c>
      <c r="S313" s="14" t="s">
        <v>148</v>
      </c>
      <c r="T313" s="14" t="s">
        <v>149</v>
      </c>
      <c r="U313" s="14" t="s">
        <v>113</v>
      </c>
      <c r="V313" s="48">
        <f>SUMIF(Data!$E:$E,$I313,Data!$AI:$AI)</f>
        <v>0</v>
      </c>
    </row>
    <row r="314" spans="1:22" x14ac:dyDescent="0.25">
      <c r="A314" s="47" t="s">
        <v>1212</v>
      </c>
      <c r="B314" s="47" t="s">
        <v>123</v>
      </c>
      <c r="C314" s="47" t="s">
        <v>2320</v>
      </c>
      <c r="D314" s="47">
        <v>8.4599999999999995E-2</v>
      </c>
      <c r="E314" s="48">
        <f>SUMIF(Data!$E:$E,$C314,Data!$AI:$AI)</f>
        <v>0</v>
      </c>
      <c r="I314" s="14">
        <v>8031</v>
      </c>
      <c r="J314" s="14" t="s">
        <v>2321</v>
      </c>
      <c r="K314" s="14" t="s">
        <v>140</v>
      </c>
      <c r="L314" s="14" t="s">
        <v>2240</v>
      </c>
      <c r="M314" s="14" t="s">
        <v>2322</v>
      </c>
      <c r="N314" s="14">
        <v>962.69200000000001</v>
      </c>
      <c r="O314" s="14" t="s">
        <v>2323</v>
      </c>
      <c r="P314" s="14" t="s">
        <v>2324</v>
      </c>
      <c r="Q314" s="14" t="s">
        <v>419</v>
      </c>
      <c r="R314" s="14" t="s">
        <v>2325</v>
      </c>
      <c r="S314" s="14" t="s">
        <v>444</v>
      </c>
      <c r="T314" s="14" t="s">
        <v>445</v>
      </c>
      <c r="U314" s="14" t="s">
        <v>446</v>
      </c>
      <c r="V314" s="48">
        <f>SUMIF(Data!$E:$E,$I314,Data!$AI:$AI)</f>
        <v>0</v>
      </c>
    </row>
    <row r="315" spans="1:22" x14ac:dyDescent="0.25">
      <c r="A315" s="47" t="s">
        <v>1212</v>
      </c>
      <c r="B315" s="47" t="s">
        <v>123</v>
      </c>
      <c r="C315" s="47" t="s">
        <v>2326</v>
      </c>
      <c r="D315" s="47">
        <v>1.8536999999999999</v>
      </c>
      <c r="E315" s="48">
        <f>SUMIF(Data!$E:$E,$C315,Data!$AI:$AI)</f>
        <v>0</v>
      </c>
      <c r="I315" s="14">
        <v>9020</v>
      </c>
      <c r="J315" s="14" t="s">
        <v>2327</v>
      </c>
      <c r="K315" s="14" t="s">
        <v>140</v>
      </c>
      <c r="L315" s="14" t="s">
        <v>2240</v>
      </c>
      <c r="M315" s="14" t="s">
        <v>777</v>
      </c>
      <c r="N315" s="14">
        <v>191.596</v>
      </c>
      <c r="O315" s="14" t="s">
        <v>2328</v>
      </c>
      <c r="P315" s="14" t="s">
        <v>2329</v>
      </c>
      <c r="Q315" s="14" t="s">
        <v>419</v>
      </c>
      <c r="R315" s="14" t="s">
        <v>2330</v>
      </c>
      <c r="S315" s="14" t="s">
        <v>444</v>
      </c>
      <c r="T315" s="14" t="s">
        <v>445</v>
      </c>
      <c r="U315" s="14" t="s">
        <v>446</v>
      </c>
      <c r="V315" s="48">
        <f>SUMIF(Data!$E:$E,$I315,Data!$AI:$AI)</f>
        <v>0</v>
      </c>
    </row>
    <row r="316" spans="1:22" x14ac:dyDescent="0.25">
      <c r="A316" s="47" t="s">
        <v>1212</v>
      </c>
      <c r="B316" s="47" t="s">
        <v>123</v>
      </c>
      <c r="C316" s="47">
        <v>6110602</v>
      </c>
      <c r="D316" s="47">
        <v>0.24329999999999999</v>
      </c>
      <c r="E316" s="48">
        <f>SUMIF(Data!$E:$E,$C316,Data!$AI:$AI)</f>
        <v>0</v>
      </c>
      <c r="I316" s="14">
        <v>4503</v>
      </c>
      <c r="J316" s="14" t="s">
        <v>2331</v>
      </c>
      <c r="K316" s="14" t="s">
        <v>140</v>
      </c>
      <c r="L316" s="14" t="s">
        <v>2240</v>
      </c>
      <c r="M316" s="14" t="s">
        <v>2332</v>
      </c>
      <c r="N316" s="14" t="s">
        <v>2333</v>
      </c>
      <c r="O316" s="14" t="s">
        <v>2334</v>
      </c>
      <c r="P316" s="14" t="s">
        <v>2335</v>
      </c>
      <c r="Q316" s="14" t="s">
        <v>211</v>
      </c>
      <c r="R316" s="14" t="s">
        <v>2336</v>
      </c>
      <c r="S316" s="14" t="s">
        <v>444</v>
      </c>
      <c r="T316" s="14" t="s">
        <v>445</v>
      </c>
      <c r="U316" s="14" t="s">
        <v>446</v>
      </c>
      <c r="V316" s="48">
        <f>SUMIF(Data!$E:$E,$I316,Data!$AI:$AI)</f>
        <v>0</v>
      </c>
    </row>
    <row r="317" spans="1:22" x14ac:dyDescent="0.25">
      <c r="A317" s="47" t="s">
        <v>1212</v>
      </c>
      <c r="B317" s="47" t="s">
        <v>123</v>
      </c>
      <c r="C317" s="47">
        <v>6997140</v>
      </c>
      <c r="D317" s="47">
        <v>0.19189999999999999</v>
      </c>
      <c r="E317" s="48">
        <f>SUMIF(Data!$E:$E,$C317,Data!$AI:$AI)</f>
        <v>0</v>
      </c>
      <c r="I317" s="14" t="s">
        <v>2337</v>
      </c>
      <c r="J317" s="14" t="s">
        <v>2338</v>
      </c>
      <c r="K317" s="14" t="s">
        <v>140</v>
      </c>
      <c r="L317" s="14" t="s">
        <v>2240</v>
      </c>
      <c r="M317" s="14" t="s">
        <v>2339</v>
      </c>
      <c r="N317" s="14">
        <v>159.26599999999999</v>
      </c>
      <c r="O317" s="14" t="s">
        <v>2340</v>
      </c>
      <c r="P317" s="14" t="s">
        <v>2341</v>
      </c>
      <c r="Q317" s="14" t="s">
        <v>146</v>
      </c>
      <c r="R317" s="14" t="s">
        <v>2342</v>
      </c>
      <c r="S317" s="14" t="s">
        <v>195</v>
      </c>
      <c r="T317" s="14" t="s">
        <v>149</v>
      </c>
      <c r="U317" s="14" t="s">
        <v>113</v>
      </c>
      <c r="V317" s="48">
        <f>SUMIF(Data!$E:$E,$I317,Data!$AI:$AI)</f>
        <v>0</v>
      </c>
    </row>
    <row r="318" spans="1:22" x14ac:dyDescent="0.25">
      <c r="A318" s="47" t="s">
        <v>1212</v>
      </c>
      <c r="B318" s="47" t="s">
        <v>123</v>
      </c>
      <c r="C318" s="47" t="s">
        <v>2343</v>
      </c>
      <c r="D318" s="47">
        <v>0.19620000000000001</v>
      </c>
      <c r="E318" s="48">
        <f>SUMIF(Data!$E:$E,$C318,Data!$AI:$AI)</f>
        <v>0</v>
      </c>
      <c r="I318" s="14" t="s">
        <v>2344</v>
      </c>
      <c r="J318" s="14" t="s">
        <v>2345</v>
      </c>
      <c r="K318" s="14" t="s">
        <v>140</v>
      </c>
      <c r="L318" s="14" t="s">
        <v>2240</v>
      </c>
      <c r="M318" s="14" t="s">
        <v>2346</v>
      </c>
      <c r="N318" s="14">
        <v>169.62700000000001</v>
      </c>
      <c r="O318" s="14" t="s">
        <v>2347</v>
      </c>
      <c r="P318" s="14" t="s">
        <v>2348</v>
      </c>
      <c r="Q318" s="14" t="s">
        <v>165</v>
      </c>
      <c r="R318" s="14" t="s">
        <v>2349</v>
      </c>
      <c r="S318" s="14" t="s">
        <v>195</v>
      </c>
      <c r="T318" s="14" t="s">
        <v>149</v>
      </c>
      <c r="U318" s="14" t="s">
        <v>113</v>
      </c>
      <c r="V318" s="48">
        <f>SUMIF(Data!$E:$E,$I318,Data!$AI:$AI)</f>
        <v>0</v>
      </c>
    </row>
    <row r="319" spans="1:22" x14ac:dyDescent="0.25">
      <c r="A319" s="47" t="s">
        <v>1212</v>
      </c>
      <c r="B319" s="47" t="s">
        <v>123</v>
      </c>
      <c r="C319" s="47">
        <v>6802794</v>
      </c>
      <c r="D319" s="47">
        <v>0.12809999999999999</v>
      </c>
      <c r="E319" s="48">
        <f>SUMIF(Data!$E:$E,$C319,Data!$AI:$AI)</f>
        <v>0</v>
      </c>
      <c r="I319" s="14" t="s">
        <v>2350</v>
      </c>
      <c r="J319" s="14" t="s">
        <v>2351</v>
      </c>
      <c r="K319" s="14" t="s">
        <v>140</v>
      </c>
      <c r="L319" s="14" t="s">
        <v>2240</v>
      </c>
      <c r="M319" s="14" t="s">
        <v>2352</v>
      </c>
      <c r="N319" s="14">
        <v>135.24700000000001</v>
      </c>
      <c r="O319" s="14" t="s">
        <v>2353</v>
      </c>
      <c r="P319" s="14" t="s">
        <v>2354</v>
      </c>
      <c r="Q319" s="14" t="s">
        <v>193</v>
      </c>
      <c r="R319" s="14" t="s">
        <v>2355</v>
      </c>
      <c r="S319" s="14" t="s">
        <v>148</v>
      </c>
      <c r="T319" s="14" t="s">
        <v>149</v>
      </c>
      <c r="U319" s="14" t="s">
        <v>113</v>
      </c>
      <c r="V319" s="48">
        <f>SUMIF(Data!$E:$E,$I319,Data!$AI:$AI)</f>
        <v>0</v>
      </c>
    </row>
    <row r="320" spans="1:22" x14ac:dyDescent="0.25">
      <c r="A320" s="47" t="s">
        <v>1212</v>
      </c>
      <c r="B320" s="47" t="s">
        <v>123</v>
      </c>
      <c r="C320" s="47" t="s">
        <v>2356</v>
      </c>
      <c r="D320" s="47">
        <v>0.11940000000000001</v>
      </c>
      <c r="E320" s="48">
        <f>SUMIF(Data!$E:$E,$C320,Data!$AI:$AI)</f>
        <v>0</v>
      </c>
      <c r="I320" s="14">
        <v>6594</v>
      </c>
      <c r="J320" s="14" t="s">
        <v>2357</v>
      </c>
      <c r="K320" s="14" t="s">
        <v>140</v>
      </c>
      <c r="L320" s="14" t="s">
        <v>2240</v>
      </c>
      <c r="M320" s="14" t="s">
        <v>2358</v>
      </c>
      <c r="N320" s="14">
        <v>122.4</v>
      </c>
      <c r="O320" s="14" t="s">
        <v>2359</v>
      </c>
      <c r="P320" s="14" t="s">
        <v>2360</v>
      </c>
      <c r="Q320" s="14" t="s">
        <v>419</v>
      </c>
      <c r="R320" s="14" t="s">
        <v>2361</v>
      </c>
      <c r="S320" s="14" t="s">
        <v>444</v>
      </c>
      <c r="T320" s="14" t="s">
        <v>445</v>
      </c>
      <c r="U320" s="14" t="s">
        <v>446</v>
      </c>
      <c r="V320" s="48">
        <f>SUMIF(Data!$E:$E,$I320,Data!$AI:$AI)</f>
        <v>0</v>
      </c>
    </row>
    <row r="321" spans="1:22" x14ac:dyDescent="0.25">
      <c r="A321" s="47" t="s">
        <v>1212</v>
      </c>
      <c r="B321" s="47" t="s">
        <v>123</v>
      </c>
      <c r="C321" s="47">
        <v>6044585</v>
      </c>
      <c r="D321" s="47">
        <v>0.2137</v>
      </c>
      <c r="E321" s="48">
        <f>SUMIF(Data!$E:$E,$C321,Data!$AI:$AI)</f>
        <v>0</v>
      </c>
      <c r="I321" s="14" t="s">
        <v>2362</v>
      </c>
      <c r="J321" s="14" t="s">
        <v>2363</v>
      </c>
      <c r="K321" s="14" t="s">
        <v>140</v>
      </c>
      <c r="L321" s="14" t="s">
        <v>2240</v>
      </c>
      <c r="M321" s="14" t="s">
        <v>2364</v>
      </c>
      <c r="N321" s="14">
        <v>890.20899999999995</v>
      </c>
      <c r="O321" s="14" t="s">
        <v>2365</v>
      </c>
      <c r="P321" s="14" t="s">
        <v>2366</v>
      </c>
      <c r="Q321" s="14" t="s">
        <v>193</v>
      </c>
      <c r="R321" s="14" t="s">
        <v>2367</v>
      </c>
      <c r="S321" s="14" t="s">
        <v>2368</v>
      </c>
      <c r="T321" s="14" t="s">
        <v>2369</v>
      </c>
      <c r="U321" s="14" t="s">
        <v>2370</v>
      </c>
      <c r="V321" s="48">
        <f>SUMIF(Data!$E:$E,$I321,Data!$AI:$AI)</f>
        <v>0</v>
      </c>
    </row>
    <row r="322" spans="1:22" x14ac:dyDescent="0.25">
      <c r="A322" s="47" t="s">
        <v>1212</v>
      </c>
      <c r="B322" s="47" t="s">
        <v>123</v>
      </c>
      <c r="C322" s="47" t="s">
        <v>2371</v>
      </c>
      <c r="D322" s="47">
        <v>0.48330000000000001</v>
      </c>
      <c r="E322" s="48">
        <f>SUMIF(Data!$E:$E,$C322,Data!$AI:$AI)</f>
        <v>0</v>
      </c>
      <c r="I322" s="14">
        <v>9432</v>
      </c>
      <c r="J322" s="14" t="s">
        <v>2372</v>
      </c>
      <c r="K322" s="14" t="s">
        <v>140</v>
      </c>
      <c r="L322" s="14" t="s">
        <v>2240</v>
      </c>
      <c r="M322" s="14" t="s">
        <v>2373</v>
      </c>
      <c r="N322" s="14">
        <v>669.4</v>
      </c>
      <c r="O322" s="14" t="s">
        <v>2374</v>
      </c>
      <c r="P322" s="14" t="s">
        <v>2375</v>
      </c>
      <c r="Q322" s="14" t="s">
        <v>175</v>
      </c>
      <c r="R322" s="14" t="s">
        <v>2376</v>
      </c>
      <c r="S322" s="14" t="s">
        <v>444</v>
      </c>
      <c r="T322" s="14" t="s">
        <v>445</v>
      </c>
      <c r="U322" s="14" t="s">
        <v>446</v>
      </c>
      <c r="V322" s="48">
        <f>SUMIF(Data!$E:$E,$I322,Data!$AI:$AI)</f>
        <v>0</v>
      </c>
    </row>
    <row r="323" spans="1:22" x14ac:dyDescent="0.25">
      <c r="A323" s="47" t="s">
        <v>1212</v>
      </c>
      <c r="B323" s="47" t="s">
        <v>123</v>
      </c>
      <c r="C323" s="47">
        <v>6016960</v>
      </c>
      <c r="D323" s="47">
        <v>0.18840000000000001</v>
      </c>
      <c r="E323" s="48">
        <f>SUMIF(Data!$E:$E,$C323,Data!$AI:$AI)</f>
        <v>0</v>
      </c>
      <c r="I323" s="14">
        <v>3382</v>
      </c>
      <c r="J323" s="14" t="s">
        <v>2377</v>
      </c>
      <c r="K323" s="14" t="s">
        <v>140</v>
      </c>
      <c r="L323" s="14" t="s">
        <v>2240</v>
      </c>
      <c r="M323" s="14" t="s">
        <v>2378</v>
      </c>
      <c r="N323" s="14">
        <v>446.71199999999999</v>
      </c>
      <c r="O323" s="14" t="s">
        <v>2379</v>
      </c>
      <c r="P323" s="14" t="s">
        <v>2380</v>
      </c>
      <c r="Q323" s="14" t="s">
        <v>227</v>
      </c>
      <c r="R323" s="14" t="s">
        <v>2381</v>
      </c>
      <c r="S323" s="14" t="s">
        <v>444</v>
      </c>
      <c r="T323" s="14" t="s">
        <v>445</v>
      </c>
      <c r="U323" s="14" t="s">
        <v>446</v>
      </c>
      <c r="V323" s="48">
        <f>SUMIF(Data!$E:$E,$I323,Data!$AI:$AI)</f>
        <v>0</v>
      </c>
    </row>
    <row r="324" spans="1:22" x14ac:dyDescent="0.25">
      <c r="A324" s="47" t="s">
        <v>1212</v>
      </c>
      <c r="B324" s="47" t="s">
        <v>123</v>
      </c>
      <c r="C324" s="47">
        <v>6140182</v>
      </c>
      <c r="D324" s="47">
        <v>0.1108</v>
      </c>
      <c r="E324" s="48">
        <f>SUMIF(Data!$E:$E,$C324,Data!$AI:$AI)</f>
        <v>0</v>
      </c>
      <c r="I324" s="14" t="s">
        <v>2382</v>
      </c>
      <c r="J324" s="14" t="s">
        <v>2383</v>
      </c>
      <c r="K324" s="14" t="s">
        <v>140</v>
      </c>
      <c r="L324" s="14" t="s">
        <v>2240</v>
      </c>
      <c r="M324" s="14" t="s">
        <v>2384</v>
      </c>
      <c r="N324" s="14">
        <v>131.69999999999999</v>
      </c>
      <c r="O324" s="14" t="s">
        <v>2385</v>
      </c>
      <c r="P324" s="14" t="s">
        <v>2386</v>
      </c>
      <c r="Q324" s="14" t="s">
        <v>737</v>
      </c>
      <c r="R324" s="14" t="s">
        <v>2387</v>
      </c>
      <c r="S324" s="14" t="s">
        <v>195</v>
      </c>
      <c r="T324" s="14" t="s">
        <v>149</v>
      </c>
      <c r="U324" s="14" t="s">
        <v>113</v>
      </c>
      <c r="V324" s="48">
        <f>SUMIF(Data!$E:$E,$I324,Data!$AI:$AI)</f>
        <v>0</v>
      </c>
    </row>
    <row r="325" spans="1:22" x14ac:dyDescent="0.25">
      <c r="A325" s="47" t="s">
        <v>1212</v>
      </c>
      <c r="B325" s="47" t="s">
        <v>123</v>
      </c>
      <c r="C325" s="47">
        <v>6247726</v>
      </c>
      <c r="D325" s="47">
        <v>0.1386</v>
      </c>
      <c r="E325" s="48">
        <f>SUMIF(Data!$E:$E,$C325,Data!$AI:$AI)</f>
        <v>0</v>
      </c>
      <c r="I325" s="14" t="s">
        <v>2388</v>
      </c>
      <c r="J325" s="14" t="s">
        <v>2389</v>
      </c>
      <c r="K325" s="14" t="s">
        <v>140</v>
      </c>
      <c r="L325" s="14" t="s">
        <v>2240</v>
      </c>
      <c r="M325" s="14" t="s">
        <v>2390</v>
      </c>
      <c r="N325" s="14">
        <v>173.59</v>
      </c>
      <c r="O325" s="14" t="s">
        <v>2391</v>
      </c>
      <c r="P325" s="14" t="s">
        <v>2392</v>
      </c>
      <c r="Q325" s="14" t="s">
        <v>193</v>
      </c>
      <c r="R325" s="14" t="s">
        <v>2393</v>
      </c>
      <c r="S325" s="14" t="s">
        <v>850</v>
      </c>
      <c r="T325" s="14" t="s">
        <v>851</v>
      </c>
      <c r="U325" s="14" t="s">
        <v>852</v>
      </c>
      <c r="V325" s="48">
        <f>SUMIF(Data!$E:$E,$I325,Data!$AI:$AI)</f>
        <v>0</v>
      </c>
    </row>
    <row r="326" spans="1:22" x14ac:dyDescent="0.25">
      <c r="A326" s="47" t="s">
        <v>1212</v>
      </c>
      <c r="B326" s="47" t="s">
        <v>123</v>
      </c>
      <c r="C326" s="47">
        <v>6306586</v>
      </c>
      <c r="D326" s="47">
        <v>9.5500000000000002E-2</v>
      </c>
      <c r="E326" s="48">
        <f>SUMIF(Data!$E:$E,$C326,Data!$AI:$AI)</f>
        <v>0</v>
      </c>
      <c r="I326" s="14" t="s">
        <v>2394</v>
      </c>
      <c r="J326" s="14" t="s">
        <v>2395</v>
      </c>
      <c r="K326" s="14" t="s">
        <v>140</v>
      </c>
      <c r="L326" s="14" t="s">
        <v>2240</v>
      </c>
      <c r="M326" s="14" t="s">
        <v>2396</v>
      </c>
      <c r="N326" s="14" t="s">
        <v>2397</v>
      </c>
      <c r="O326" s="14" t="s">
        <v>2398</v>
      </c>
      <c r="P326" s="14" t="s">
        <v>2399</v>
      </c>
      <c r="Q326" s="14" t="s">
        <v>175</v>
      </c>
      <c r="R326" s="14" t="s">
        <v>2400</v>
      </c>
      <c r="S326" s="14" t="s">
        <v>1167</v>
      </c>
      <c r="T326" s="14" t="s">
        <v>1168</v>
      </c>
      <c r="U326" s="14" t="s">
        <v>528</v>
      </c>
      <c r="V326" s="48">
        <f>SUMIF(Data!$E:$E,$I326,Data!$AI:$AI)</f>
        <v>0</v>
      </c>
    </row>
    <row r="327" spans="1:22" x14ac:dyDescent="0.25">
      <c r="A327" s="47" t="s">
        <v>1212</v>
      </c>
      <c r="B327" s="47" t="s">
        <v>123</v>
      </c>
      <c r="C327" s="47">
        <v>6317179</v>
      </c>
      <c r="D327" s="47">
        <v>0.1449</v>
      </c>
      <c r="E327" s="48">
        <f>SUMIF(Data!$E:$E,$C327,Data!$AI:$AI)</f>
        <v>0</v>
      </c>
      <c r="I327" s="14" t="s">
        <v>2401</v>
      </c>
      <c r="J327" s="14" t="s">
        <v>2402</v>
      </c>
      <c r="K327" s="14" t="s">
        <v>140</v>
      </c>
      <c r="L327" s="14" t="s">
        <v>2240</v>
      </c>
      <c r="M327" s="14" t="s">
        <v>2403</v>
      </c>
      <c r="N327" s="14">
        <v>321.46300000000002</v>
      </c>
      <c r="O327" s="14" t="s">
        <v>2404</v>
      </c>
      <c r="P327" s="14" t="s">
        <v>2405</v>
      </c>
      <c r="Q327" s="14" t="s">
        <v>227</v>
      </c>
      <c r="R327" s="14" t="s">
        <v>2406</v>
      </c>
      <c r="S327" s="14" t="s">
        <v>195</v>
      </c>
      <c r="T327" s="14" t="s">
        <v>149</v>
      </c>
      <c r="U327" s="14" t="s">
        <v>113</v>
      </c>
      <c r="V327" s="48">
        <f>SUMIF(Data!$E:$E,$I327,Data!$AI:$AI)</f>
        <v>0</v>
      </c>
    </row>
    <row r="328" spans="1:22" x14ac:dyDescent="0.25">
      <c r="A328" s="47" t="s">
        <v>1212</v>
      </c>
      <c r="B328" s="47" t="s">
        <v>123</v>
      </c>
      <c r="C328" s="47">
        <v>6377098</v>
      </c>
      <c r="D328" s="47">
        <v>0.1429</v>
      </c>
      <c r="E328" s="48">
        <f>SUMIF(Data!$E:$E,$C328,Data!$AI:$AI)</f>
        <v>0</v>
      </c>
      <c r="I328" s="14" t="s">
        <v>2407</v>
      </c>
      <c r="J328" s="14" t="s">
        <v>2408</v>
      </c>
      <c r="K328" s="14" t="s">
        <v>140</v>
      </c>
      <c r="L328" s="14" t="s">
        <v>2240</v>
      </c>
      <c r="M328" s="14" t="s">
        <v>2409</v>
      </c>
      <c r="N328" s="14">
        <v>429.68400000000003</v>
      </c>
      <c r="O328" s="14" t="s">
        <v>2410</v>
      </c>
      <c r="P328" s="14" t="s">
        <v>2411</v>
      </c>
      <c r="Q328" s="14" t="s">
        <v>737</v>
      </c>
      <c r="R328" s="14" t="s">
        <v>2412</v>
      </c>
      <c r="S328" s="14" t="s">
        <v>2413</v>
      </c>
      <c r="T328" s="14" t="s">
        <v>1285</v>
      </c>
      <c r="U328" s="14" t="s">
        <v>528</v>
      </c>
      <c r="V328" s="48">
        <f>SUMIF(Data!$E:$E,$I328,Data!$AI:$AI)</f>
        <v>0</v>
      </c>
    </row>
    <row r="329" spans="1:22" x14ac:dyDescent="0.25">
      <c r="A329" s="47" t="s">
        <v>1212</v>
      </c>
      <c r="B329" s="47" t="s">
        <v>123</v>
      </c>
      <c r="C329" s="47">
        <v>6451226</v>
      </c>
      <c r="D329" s="47">
        <v>0.113</v>
      </c>
      <c r="E329" s="48">
        <f>SUMIF(Data!$E:$E,$C329,Data!$AI:$AI)</f>
        <v>0</v>
      </c>
      <c r="I329" s="14" t="s">
        <v>2414</v>
      </c>
      <c r="J329" s="14" t="s">
        <v>2415</v>
      </c>
      <c r="K329" s="14" t="s">
        <v>140</v>
      </c>
      <c r="L329" s="14" t="s">
        <v>2240</v>
      </c>
      <c r="M329" s="14" t="s">
        <v>2416</v>
      </c>
      <c r="N329" s="14">
        <v>353.96499999999997</v>
      </c>
      <c r="O329" s="14" t="s">
        <v>2417</v>
      </c>
      <c r="P329" s="14" t="s">
        <v>2418</v>
      </c>
      <c r="Q329" s="14" t="s">
        <v>737</v>
      </c>
      <c r="R329" s="14" t="s">
        <v>2419</v>
      </c>
      <c r="S329" s="14" t="s">
        <v>728</v>
      </c>
      <c r="T329" s="14" t="s">
        <v>729</v>
      </c>
      <c r="U329" s="14" t="s">
        <v>730</v>
      </c>
      <c r="V329" s="48">
        <f>SUMIF(Data!$E:$E,$I329,Data!$AI:$AI)</f>
        <v>0</v>
      </c>
    </row>
    <row r="330" spans="1:22" x14ac:dyDescent="0.25">
      <c r="A330" s="47" t="s">
        <v>1212</v>
      </c>
      <c r="B330" s="47" t="s">
        <v>123</v>
      </c>
      <c r="C330" s="47">
        <v>6514475</v>
      </c>
      <c r="D330" s="47">
        <v>0.15190000000000001</v>
      </c>
      <c r="E330" s="48">
        <f>SUMIF(Data!$E:$E,$C330,Data!$AI:$AI)</f>
        <v>0</v>
      </c>
      <c r="I330" s="14" t="s">
        <v>2420</v>
      </c>
      <c r="J330" s="14" t="s">
        <v>2421</v>
      </c>
      <c r="K330" s="14" t="s">
        <v>140</v>
      </c>
      <c r="L330" s="14" t="s">
        <v>2240</v>
      </c>
      <c r="M330" s="14" t="s">
        <v>2422</v>
      </c>
      <c r="N330" s="14">
        <v>43.805</v>
      </c>
      <c r="O330" s="14" t="s">
        <v>2423</v>
      </c>
      <c r="P330" s="14" t="s">
        <v>2424</v>
      </c>
      <c r="Q330" s="14" t="s">
        <v>211</v>
      </c>
      <c r="R330" s="14" t="s">
        <v>2425</v>
      </c>
      <c r="S330" s="14" t="s">
        <v>148</v>
      </c>
      <c r="T330" s="14" t="s">
        <v>149</v>
      </c>
      <c r="U330" s="14" t="s">
        <v>113</v>
      </c>
      <c r="V330" s="48">
        <f>SUMIF(Data!$E:$E,$I330,Data!$AI:$AI)</f>
        <v>0</v>
      </c>
    </row>
    <row r="331" spans="1:22" x14ac:dyDescent="0.25">
      <c r="A331" s="47" t="s">
        <v>1212</v>
      </c>
      <c r="B331" s="47" t="s">
        <v>123</v>
      </c>
      <c r="C331" s="47">
        <v>6548764</v>
      </c>
      <c r="D331" s="47">
        <v>0.28420000000000001</v>
      </c>
      <c r="E331" s="48">
        <f>SUMIF(Data!$E:$E,$C331,Data!$AI:$AI)</f>
        <v>0</v>
      </c>
      <c r="I331" s="14">
        <v>4911</v>
      </c>
      <c r="J331" s="14" t="s">
        <v>2426</v>
      </c>
      <c r="K331" s="14" t="s">
        <v>140</v>
      </c>
      <c r="L331" s="14" t="s">
        <v>2240</v>
      </c>
      <c r="M331" s="14" t="s">
        <v>2427</v>
      </c>
      <c r="N331" s="14">
        <v>228.345</v>
      </c>
      <c r="O331" s="14" t="s">
        <v>2428</v>
      </c>
      <c r="P331" s="14" t="s">
        <v>2429</v>
      </c>
      <c r="Q331" s="14" t="s">
        <v>227</v>
      </c>
      <c r="R331" s="14" t="s">
        <v>2430</v>
      </c>
      <c r="S331" s="14" t="s">
        <v>444</v>
      </c>
      <c r="T331" s="14" t="s">
        <v>445</v>
      </c>
      <c r="U331" s="14" t="s">
        <v>446</v>
      </c>
      <c r="V331" s="48">
        <f>SUMIF(Data!$E:$E,$I331,Data!$AI:$AI)</f>
        <v>0</v>
      </c>
    </row>
    <row r="332" spans="1:22" x14ac:dyDescent="0.25">
      <c r="A332" s="47" t="s">
        <v>1212</v>
      </c>
      <c r="B332" s="47" t="s">
        <v>123</v>
      </c>
      <c r="C332" s="47">
        <v>6610458</v>
      </c>
      <c r="D332" s="47">
        <v>0.23380000000000001</v>
      </c>
      <c r="E332" s="48">
        <f>SUMIF(Data!$E:$E,$C332,Data!$AI:$AI)</f>
        <v>0</v>
      </c>
      <c r="I332" s="14">
        <v>9983</v>
      </c>
      <c r="J332" s="14" t="s">
        <v>2431</v>
      </c>
      <c r="K332" s="14" t="s">
        <v>140</v>
      </c>
      <c r="L332" s="14" t="s">
        <v>2240</v>
      </c>
      <c r="M332" s="14" t="s">
        <v>2432</v>
      </c>
      <c r="N332" s="14">
        <v>29.254999999999999</v>
      </c>
      <c r="O332" s="14" t="s">
        <v>2433</v>
      </c>
      <c r="P332" s="14" t="s">
        <v>2434</v>
      </c>
      <c r="Q332" s="14" t="s">
        <v>165</v>
      </c>
      <c r="R332" s="14" t="s">
        <v>2435</v>
      </c>
      <c r="S332" s="14" t="s">
        <v>444</v>
      </c>
      <c r="T332" s="14" t="s">
        <v>445</v>
      </c>
      <c r="U332" s="14" t="s">
        <v>446</v>
      </c>
      <c r="V332" s="48">
        <f>SUMIF(Data!$E:$E,$I332,Data!$AI:$AI)</f>
        <v>0</v>
      </c>
    </row>
    <row r="333" spans="1:22" x14ac:dyDescent="0.25">
      <c r="A333" s="47" t="s">
        <v>1212</v>
      </c>
      <c r="B333" s="47" t="s">
        <v>123</v>
      </c>
      <c r="C333" s="47">
        <v>6709828</v>
      </c>
      <c r="D333" s="47">
        <v>8.8499999999999995E-2</v>
      </c>
      <c r="E333" s="48">
        <f>SUMIF(Data!$E:$E,$C333,Data!$AI:$AI)</f>
        <v>0</v>
      </c>
      <c r="I333" s="14" t="s">
        <v>2436</v>
      </c>
      <c r="J333" s="14" t="s">
        <v>2437</v>
      </c>
      <c r="K333" s="14" t="s">
        <v>140</v>
      </c>
      <c r="L333" s="14" t="s">
        <v>2240</v>
      </c>
      <c r="M333" s="14" t="s">
        <v>2438</v>
      </c>
      <c r="N333" s="14">
        <v>282.30399999999997</v>
      </c>
      <c r="O333" s="14" t="s">
        <v>2439</v>
      </c>
      <c r="P333" s="14" t="s">
        <v>2440</v>
      </c>
      <c r="Q333" s="14" t="s">
        <v>697</v>
      </c>
      <c r="R333" s="14" t="s">
        <v>2441</v>
      </c>
      <c r="S333" s="14" t="s">
        <v>195</v>
      </c>
      <c r="T333" s="14" t="s">
        <v>149</v>
      </c>
      <c r="U333" s="14" t="s">
        <v>113</v>
      </c>
      <c r="V333" s="48">
        <f>SUMIF(Data!$E:$E,$I333,Data!$AI:$AI)</f>
        <v>0</v>
      </c>
    </row>
    <row r="334" spans="1:22" x14ac:dyDescent="0.25">
      <c r="A334" s="47" t="s">
        <v>1212</v>
      </c>
      <c r="B334" s="47" t="s">
        <v>123</v>
      </c>
      <c r="C334" s="47">
        <v>6795065</v>
      </c>
      <c r="D334" s="47">
        <v>0.246</v>
      </c>
      <c r="E334" s="48">
        <f>SUMIF(Data!$E:$E,$C334,Data!$AI:$AI)</f>
        <v>0</v>
      </c>
      <c r="I334" s="14" t="s">
        <v>2442</v>
      </c>
      <c r="J334" s="14" t="s">
        <v>2443</v>
      </c>
      <c r="K334" s="14" t="s">
        <v>140</v>
      </c>
      <c r="L334" s="14" t="s">
        <v>2240</v>
      </c>
      <c r="M334" s="14" t="s">
        <v>2444</v>
      </c>
      <c r="N334" s="14">
        <v>209.863</v>
      </c>
      <c r="O334" s="14" t="s">
        <v>2445</v>
      </c>
      <c r="P334" s="14" t="s">
        <v>2446</v>
      </c>
      <c r="Q334" s="14" t="s">
        <v>419</v>
      </c>
      <c r="R334" s="14" t="s">
        <v>2447</v>
      </c>
      <c r="S334" s="14" t="s">
        <v>195</v>
      </c>
      <c r="T334" s="14" t="s">
        <v>149</v>
      </c>
      <c r="U334" s="14" t="s">
        <v>113</v>
      </c>
      <c r="V334" s="48">
        <f>SUMIF(Data!$E:$E,$I334,Data!$AI:$AI)</f>
        <v>0</v>
      </c>
    </row>
    <row r="335" spans="1:22" x14ac:dyDescent="0.25">
      <c r="A335" s="47" t="s">
        <v>1212</v>
      </c>
      <c r="B335" s="47" t="s">
        <v>123</v>
      </c>
      <c r="C335" s="47">
        <v>6803106</v>
      </c>
      <c r="D335" s="47">
        <v>0.1661</v>
      </c>
      <c r="E335" s="48">
        <f>SUMIF(Data!$E:$E,$C335,Data!$AI:$AI)</f>
        <v>0</v>
      </c>
      <c r="I335" s="14" t="s">
        <v>2448</v>
      </c>
      <c r="J335" s="14" t="s">
        <v>2449</v>
      </c>
      <c r="K335" s="14" t="s">
        <v>140</v>
      </c>
      <c r="L335" s="14" t="s">
        <v>2240</v>
      </c>
      <c r="M335" s="14" t="s">
        <v>2450</v>
      </c>
      <c r="N335" s="14">
        <v>200.119</v>
      </c>
      <c r="O335" s="14" t="s">
        <v>2451</v>
      </c>
      <c r="P335" s="14" t="s">
        <v>2452</v>
      </c>
      <c r="Q335" s="14" t="s">
        <v>193</v>
      </c>
      <c r="R335" s="14" t="s">
        <v>2453</v>
      </c>
      <c r="S335" s="14" t="s">
        <v>195</v>
      </c>
      <c r="T335" s="14" t="s">
        <v>149</v>
      </c>
      <c r="U335" s="14" t="s">
        <v>113</v>
      </c>
      <c r="V335" s="48">
        <f>SUMIF(Data!$E:$E,$I335,Data!$AI:$AI)</f>
        <v>0</v>
      </c>
    </row>
    <row r="336" spans="1:22" x14ac:dyDescent="0.25">
      <c r="A336" s="47" t="s">
        <v>1212</v>
      </c>
      <c r="B336" s="47" t="s">
        <v>123</v>
      </c>
      <c r="C336" s="47">
        <v>6808639</v>
      </c>
      <c r="D336" s="47">
        <v>0.1694</v>
      </c>
      <c r="E336" s="48">
        <f>SUMIF(Data!$E:$E,$C336,Data!$AI:$AI)</f>
        <v>0</v>
      </c>
      <c r="I336" s="14" t="s">
        <v>2454</v>
      </c>
      <c r="J336" s="14" t="s">
        <v>2455</v>
      </c>
      <c r="K336" s="14" t="s">
        <v>140</v>
      </c>
      <c r="L336" s="14" t="s">
        <v>2240</v>
      </c>
      <c r="M336" s="14" t="s">
        <v>2456</v>
      </c>
      <c r="N336" s="14">
        <v>171.49199999999999</v>
      </c>
      <c r="O336" s="14" t="s">
        <v>2457</v>
      </c>
      <c r="P336" s="14" t="s">
        <v>2458</v>
      </c>
      <c r="Q336" s="14" t="s">
        <v>165</v>
      </c>
      <c r="R336" s="14" t="s">
        <v>2459</v>
      </c>
      <c r="S336" s="14" t="s">
        <v>195</v>
      </c>
      <c r="T336" s="14" t="s">
        <v>149</v>
      </c>
      <c r="U336" s="14" t="s">
        <v>113</v>
      </c>
      <c r="V336" s="48">
        <f>SUMIF(Data!$E:$E,$I336,Data!$AI:$AI)</f>
        <v>0</v>
      </c>
    </row>
    <row r="337" spans="1:22" x14ac:dyDescent="0.25">
      <c r="A337" s="47" t="s">
        <v>1212</v>
      </c>
      <c r="B337" s="47" t="s">
        <v>123</v>
      </c>
      <c r="C337" s="47">
        <v>6981068</v>
      </c>
      <c r="D337" s="47">
        <v>0.1138</v>
      </c>
      <c r="E337" s="48">
        <f>SUMIF(Data!$E:$E,$C337,Data!$AI:$AI)</f>
        <v>0</v>
      </c>
      <c r="I337" s="14" t="s">
        <v>2460</v>
      </c>
      <c r="J337" s="14" t="s">
        <v>2461</v>
      </c>
      <c r="K337" s="14" t="s">
        <v>140</v>
      </c>
      <c r="L337" s="14" t="s">
        <v>2240</v>
      </c>
      <c r="M337" s="14" t="s">
        <v>2462</v>
      </c>
      <c r="N337" s="14" t="s">
        <v>2463</v>
      </c>
      <c r="O337" s="14" t="s">
        <v>2464</v>
      </c>
      <c r="P337" s="14" t="s">
        <v>2465</v>
      </c>
      <c r="Q337" s="14" t="s">
        <v>227</v>
      </c>
      <c r="R337" s="14" t="s">
        <v>2466</v>
      </c>
      <c r="S337" s="14" t="s">
        <v>479</v>
      </c>
      <c r="T337" s="14" t="s">
        <v>480</v>
      </c>
      <c r="U337" s="14" t="s">
        <v>481</v>
      </c>
      <c r="V337" s="48">
        <f>SUMIF(Data!$E:$E,$I337,Data!$AI:$AI)</f>
        <v>0</v>
      </c>
    </row>
    <row r="338" spans="1:22" x14ac:dyDescent="0.25">
      <c r="A338" s="47" t="s">
        <v>1212</v>
      </c>
      <c r="B338" s="47" t="s">
        <v>123</v>
      </c>
      <c r="C338" s="47" t="s">
        <v>2467</v>
      </c>
      <c r="D338" s="47">
        <v>0.34489999999999998</v>
      </c>
      <c r="E338" s="48">
        <f>SUMIF(Data!$E:$E,$C338,Data!$AI:$AI)</f>
        <v>0</v>
      </c>
      <c r="I338" s="14" t="s">
        <v>2468</v>
      </c>
      <c r="J338" s="14" t="s">
        <v>2469</v>
      </c>
      <c r="K338" s="14" t="s">
        <v>140</v>
      </c>
      <c r="L338" s="14" t="s">
        <v>2240</v>
      </c>
      <c r="M338" s="14" t="s">
        <v>2470</v>
      </c>
      <c r="N338" s="14">
        <v>149.62200000000001</v>
      </c>
      <c r="O338" s="14" t="s">
        <v>2471</v>
      </c>
      <c r="P338" s="14" t="s">
        <v>2472</v>
      </c>
      <c r="Q338" s="14" t="s">
        <v>165</v>
      </c>
      <c r="R338" s="14" t="s">
        <v>2473</v>
      </c>
      <c r="S338" s="14" t="s">
        <v>195</v>
      </c>
      <c r="T338" s="14" t="s">
        <v>149</v>
      </c>
      <c r="U338" s="14" t="s">
        <v>113</v>
      </c>
      <c r="V338" s="48">
        <f>SUMIF(Data!$E:$E,$I338,Data!$AI:$AI)</f>
        <v>0</v>
      </c>
    </row>
    <row r="339" spans="1:22" x14ac:dyDescent="0.25">
      <c r="A339" s="47" t="s">
        <v>1212</v>
      </c>
      <c r="B339" s="47" t="s">
        <v>123</v>
      </c>
      <c r="C339" s="47" t="s">
        <v>2474</v>
      </c>
      <c r="D339" s="47">
        <v>0.12540000000000001</v>
      </c>
      <c r="E339" s="48">
        <f>SUMIF(Data!$E:$E,$C339,Data!$AI:$AI)</f>
        <v>0</v>
      </c>
      <c r="I339" s="14" t="s">
        <v>2475</v>
      </c>
      <c r="J339" s="14" t="s">
        <v>2476</v>
      </c>
      <c r="K339" s="14" t="s">
        <v>140</v>
      </c>
      <c r="L339" s="14" t="s">
        <v>2240</v>
      </c>
      <c r="M339" s="14" t="s">
        <v>2477</v>
      </c>
      <c r="N339" s="14">
        <v>97.034999999999997</v>
      </c>
      <c r="O339" s="14" t="s">
        <v>2478</v>
      </c>
      <c r="P339" s="14" t="s">
        <v>2479</v>
      </c>
      <c r="Q339" s="14" t="s">
        <v>146</v>
      </c>
      <c r="R339" s="14" t="s">
        <v>2480</v>
      </c>
      <c r="S339" s="14" t="s">
        <v>195</v>
      </c>
      <c r="T339" s="14" t="s">
        <v>149</v>
      </c>
      <c r="U339" s="14" t="s">
        <v>113</v>
      </c>
      <c r="V339" s="48">
        <f>SUMIF(Data!$E:$E,$I339,Data!$AI:$AI)</f>
        <v>0</v>
      </c>
    </row>
    <row r="340" spans="1:22" x14ac:dyDescent="0.25">
      <c r="A340" s="47" t="s">
        <v>1212</v>
      </c>
      <c r="B340" s="47" t="s">
        <v>123</v>
      </c>
      <c r="C340" s="47" t="s">
        <v>2481</v>
      </c>
      <c r="D340" s="47">
        <v>8.8099999999999998E-2</v>
      </c>
      <c r="E340" s="48">
        <f>SUMIF(Data!$E:$E,$C340,Data!$AI:$AI)</f>
        <v>0</v>
      </c>
      <c r="I340" s="14" t="s">
        <v>2482</v>
      </c>
      <c r="J340" s="14" t="s">
        <v>2483</v>
      </c>
      <c r="K340" s="14" t="s">
        <v>140</v>
      </c>
      <c r="L340" s="14" t="s">
        <v>2240</v>
      </c>
      <c r="M340" s="14" t="s">
        <v>1970</v>
      </c>
      <c r="N340" s="14">
        <v>647.37900000000002</v>
      </c>
      <c r="O340" s="14" t="s">
        <v>2484</v>
      </c>
      <c r="P340" s="14" t="s">
        <v>2485</v>
      </c>
      <c r="Q340" s="14" t="s">
        <v>227</v>
      </c>
      <c r="R340" s="14" t="s">
        <v>2486</v>
      </c>
      <c r="S340" s="14" t="s">
        <v>645</v>
      </c>
      <c r="T340" s="14" t="s">
        <v>646</v>
      </c>
      <c r="U340" s="14" t="s">
        <v>528</v>
      </c>
      <c r="V340" s="48">
        <f>SUMIF(Data!$E:$E,$I340,Data!$AI:$AI)</f>
        <v>0</v>
      </c>
    </row>
    <row r="341" spans="1:22" x14ac:dyDescent="0.25">
      <c r="A341" s="47" t="s">
        <v>1212</v>
      </c>
      <c r="B341" s="47" t="s">
        <v>123</v>
      </c>
      <c r="C341" s="47" t="s">
        <v>2487</v>
      </c>
      <c r="D341" s="47">
        <v>6.9699999999999998E-2</v>
      </c>
      <c r="E341" s="48">
        <f>SUMIF(Data!$E:$E,$C341,Data!$AI:$AI)</f>
        <v>0</v>
      </c>
      <c r="I341" s="14" t="s">
        <v>2488</v>
      </c>
      <c r="J341" s="14" t="s">
        <v>2489</v>
      </c>
      <c r="K341" s="14" t="s">
        <v>140</v>
      </c>
      <c r="L341" s="14" t="s">
        <v>2240</v>
      </c>
      <c r="M341" s="14" t="s">
        <v>2490</v>
      </c>
      <c r="N341" s="14">
        <v>66.040999999999997</v>
      </c>
      <c r="O341" s="14" t="s">
        <v>2491</v>
      </c>
      <c r="P341" s="14" t="s">
        <v>2492</v>
      </c>
      <c r="Q341" s="14" t="s">
        <v>809</v>
      </c>
      <c r="R341" s="14" t="s">
        <v>2493</v>
      </c>
      <c r="S341" s="14" t="s">
        <v>148</v>
      </c>
      <c r="T341" s="14" t="s">
        <v>149</v>
      </c>
      <c r="U341" s="14" t="s">
        <v>113</v>
      </c>
      <c r="V341" s="48">
        <f>SUMIF(Data!$E:$E,$I341,Data!$AI:$AI)</f>
        <v>0</v>
      </c>
    </row>
    <row r="342" spans="1:22" x14ac:dyDescent="0.25">
      <c r="A342" s="47" t="s">
        <v>1212</v>
      </c>
      <c r="B342" s="47" t="s">
        <v>123</v>
      </c>
      <c r="C342" s="47" t="s">
        <v>2494</v>
      </c>
      <c r="D342" s="47">
        <v>0.37330000000000002</v>
      </c>
      <c r="E342" s="48">
        <f>SUMIF(Data!$E:$E,$C342,Data!$AI:$AI)</f>
        <v>0</v>
      </c>
      <c r="I342" s="14" t="s">
        <v>2495</v>
      </c>
      <c r="J342" s="14" t="s">
        <v>2496</v>
      </c>
      <c r="K342" s="14" t="s">
        <v>140</v>
      </c>
      <c r="L342" s="14" t="s">
        <v>2240</v>
      </c>
      <c r="M342" s="14" t="s">
        <v>2497</v>
      </c>
      <c r="N342" s="14">
        <v>982.93399999999997</v>
      </c>
      <c r="O342" s="14" t="s">
        <v>2498</v>
      </c>
      <c r="P342" s="14" t="s">
        <v>2499</v>
      </c>
      <c r="Q342" s="14" t="s">
        <v>697</v>
      </c>
      <c r="R342" s="14" t="s">
        <v>2500</v>
      </c>
      <c r="S342" s="14" t="s">
        <v>563</v>
      </c>
      <c r="T342" s="14" t="s">
        <v>564</v>
      </c>
      <c r="U342" s="14" t="s">
        <v>528</v>
      </c>
      <c r="V342" s="48">
        <f>SUMIF(Data!$E:$E,$I342,Data!$AI:$AI)</f>
        <v>0</v>
      </c>
    </row>
    <row r="343" spans="1:22" x14ac:dyDescent="0.25">
      <c r="A343" s="47" t="s">
        <v>1212</v>
      </c>
      <c r="B343" s="47" t="s">
        <v>123</v>
      </c>
      <c r="C343" s="47" t="s">
        <v>2501</v>
      </c>
      <c r="D343" s="47">
        <v>6.8099999999999994E-2</v>
      </c>
      <c r="E343" s="48">
        <f>SUMIF(Data!$E:$E,$C343,Data!$AI:$AI)</f>
        <v>0</v>
      </c>
      <c r="I343" s="14" t="s">
        <v>2502</v>
      </c>
      <c r="J343" s="14" t="s">
        <v>2503</v>
      </c>
      <c r="K343" s="14" t="s">
        <v>140</v>
      </c>
      <c r="L343" s="14" t="s">
        <v>2240</v>
      </c>
      <c r="M343" s="14" t="s">
        <v>2504</v>
      </c>
      <c r="N343" s="14">
        <v>479.09699999999998</v>
      </c>
      <c r="O343" s="14" t="s">
        <v>2505</v>
      </c>
      <c r="P343" s="14" t="s">
        <v>2506</v>
      </c>
      <c r="Q343" s="14" t="s">
        <v>419</v>
      </c>
      <c r="R343" s="14" t="s">
        <v>2507</v>
      </c>
      <c r="S343" s="14" t="s">
        <v>479</v>
      </c>
      <c r="T343" s="14" t="s">
        <v>480</v>
      </c>
      <c r="U343" s="14" t="s">
        <v>481</v>
      </c>
      <c r="V343" s="48">
        <f>SUMIF(Data!$E:$E,$I343,Data!$AI:$AI)</f>
        <v>0</v>
      </c>
    </row>
    <row r="344" spans="1:22" x14ac:dyDescent="0.25">
      <c r="A344" s="47" t="s">
        <v>1212</v>
      </c>
      <c r="B344" s="47" t="s">
        <v>123</v>
      </c>
      <c r="C344" s="47" t="s">
        <v>2508</v>
      </c>
      <c r="D344" s="47">
        <v>7.1900000000000006E-2</v>
      </c>
      <c r="E344" s="48">
        <f>SUMIF(Data!$E:$E,$C344,Data!$AI:$AI)</f>
        <v>0</v>
      </c>
      <c r="I344" s="14" t="s">
        <v>2509</v>
      </c>
      <c r="J344" s="14" t="s">
        <v>2510</v>
      </c>
      <c r="K344" s="14" t="s">
        <v>140</v>
      </c>
      <c r="L344" s="14" t="s">
        <v>2240</v>
      </c>
      <c r="M344" s="14" t="s">
        <v>2511</v>
      </c>
      <c r="N344" s="14">
        <v>197.29400000000001</v>
      </c>
      <c r="O344" s="14" t="s">
        <v>2512</v>
      </c>
      <c r="P344" s="14" t="s">
        <v>2513</v>
      </c>
      <c r="Q344" s="14" t="s">
        <v>809</v>
      </c>
      <c r="R344" s="14" t="s">
        <v>2514</v>
      </c>
      <c r="S344" s="14" t="s">
        <v>195</v>
      </c>
      <c r="T344" s="14" t="s">
        <v>149</v>
      </c>
      <c r="U344" s="14" t="s">
        <v>113</v>
      </c>
      <c r="V344" s="48">
        <f>SUMIF(Data!$E:$E,$I344,Data!$AI:$AI)</f>
        <v>0</v>
      </c>
    </row>
    <row r="345" spans="1:22" x14ac:dyDescent="0.25">
      <c r="A345" s="47" t="s">
        <v>1212</v>
      </c>
      <c r="B345" s="47" t="s">
        <v>123</v>
      </c>
      <c r="C345" s="47" t="s">
        <v>2515</v>
      </c>
      <c r="D345" s="47">
        <v>8.2600000000000007E-2</v>
      </c>
      <c r="E345" s="48">
        <f>SUMIF(Data!$E:$E,$C345,Data!$AI:$AI)</f>
        <v>0</v>
      </c>
      <c r="I345" s="14" t="s">
        <v>2516</v>
      </c>
      <c r="J345" s="14" t="s">
        <v>2517</v>
      </c>
      <c r="K345" s="14" t="s">
        <v>140</v>
      </c>
      <c r="L345" s="14" t="s">
        <v>2240</v>
      </c>
      <c r="M345" s="14" t="s">
        <v>2518</v>
      </c>
      <c r="N345" s="14">
        <v>669.01900000000001</v>
      </c>
      <c r="O345" s="14" t="s">
        <v>2519</v>
      </c>
      <c r="P345" s="14" t="s">
        <v>2520</v>
      </c>
      <c r="Q345" s="14" t="s">
        <v>146</v>
      </c>
      <c r="R345" s="14" t="s">
        <v>2521</v>
      </c>
      <c r="S345" s="14" t="s">
        <v>526</v>
      </c>
      <c r="T345" s="14" t="s">
        <v>527</v>
      </c>
      <c r="U345" s="14" t="s">
        <v>528</v>
      </c>
      <c r="V345" s="48">
        <f>SUMIF(Data!$E:$E,$I345,Data!$AI:$AI)</f>
        <v>0</v>
      </c>
    </row>
    <row r="346" spans="1:22" x14ac:dyDescent="0.25">
      <c r="A346" s="47" t="s">
        <v>1212</v>
      </c>
      <c r="B346" s="47" t="s">
        <v>123</v>
      </c>
      <c r="C346" s="47" t="s">
        <v>2522</v>
      </c>
      <c r="D346" s="47">
        <v>0.17349999999999999</v>
      </c>
      <c r="E346" s="48">
        <f>SUMIF(Data!$E:$E,$C346,Data!$AI:$AI)</f>
        <v>0</v>
      </c>
      <c r="I346" s="14" t="s">
        <v>2523</v>
      </c>
      <c r="J346" s="14" t="s">
        <v>2524</v>
      </c>
      <c r="K346" s="14" t="s">
        <v>140</v>
      </c>
      <c r="L346" s="14" t="s">
        <v>2240</v>
      </c>
      <c r="M346" s="14" t="s">
        <v>2525</v>
      </c>
      <c r="N346" s="14">
        <v>477.77499999999998</v>
      </c>
      <c r="O346" s="14" t="s">
        <v>2526</v>
      </c>
      <c r="P346" s="14" t="s">
        <v>2527</v>
      </c>
      <c r="Q346" s="14" t="s">
        <v>227</v>
      </c>
      <c r="R346" s="14" t="s">
        <v>2528</v>
      </c>
      <c r="S346" s="14" t="s">
        <v>728</v>
      </c>
      <c r="T346" s="14" t="s">
        <v>729</v>
      </c>
      <c r="U346" s="14" t="s">
        <v>730</v>
      </c>
      <c r="V346" s="48">
        <f>SUMIF(Data!$E:$E,$I346,Data!$AI:$AI)</f>
        <v>0</v>
      </c>
    </row>
    <row r="347" spans="1:22" x14ac:dyDescent="0.25">
      <c r="A347" s="47" t="s">
        <v>1212</v>
      </c>
      <c r="B347" s="47" t="s">
        <v>123</v>
      </c>
      <c r="C347" s="47" t="s">
        <v>2529</v>
      </c>
      <c r="D347" s="47">
        <v>0.1171</v>
      </c>
      <c r="E347" s="48">
        <f>SUMIF(Data!$E:$E,$C347,Data!$AI:$AI)</f>
        <v>0</v>
      </c>
      <c r="I347" s="14">
        <v>7751</v>
      </c>
      <c r="J347" s="14" t="s">
        <v>2530</v>
      </c>
      <c r="K347" s="14" t="s">
        <v>140</v>
      </c>
      <c r="L347" s="14" t="s">
        <v>2531</v>
      </c>
      <c r="M347" s="14" t="s">
        <v>1742</v>
      </c>
      <c r="N347" s="14">
        <v>563.86400000000003</v>
      </c>
      <c r="O347" s="14" t="s">
        <v>2532</v>
      </c>
      <c r="P347" s="14" t="s">
        <v>2533</v>
      </c>
      <c r="Q347" s="14" t="s">
        <v>146</v>
      </c>
      <c r="R347" s="14" t="s">
        <v>2534</v>
      </c>
      <c r="S347" s="14" t="s">
        <v>444</v>
      </c>
      <c r="T347" s="14" t="s">
        <v>445</v>
      </c>
      <c r="U347" s="14" t="s">
        <v>446</v>
      </c>
      <c r="V347" s="48">
        <f>SUMIF(Data!$E:$E,$I347,Data!$AI:$AI)</f>
        <v>0</v>
      </c>
    </row>
    <row r="348" spans="1:22" x14ac:dyDescent="0.25">
      <c r="A348" s="47" t="s">
        <v>1212</v>
      </c>
      <c r="B348" s="47" t="s">
        <v>123</v>
      </c>
      <c r="C348" s="47" t="s">
        <v>2535</v>
      </c>
      <c r="D348" s="47">
        <v>0.24349999999999999</v>
      </c>
      <c r="E348" s="48">
        <f>SUMIF(Data!$E:$E,$C348,Data!$AI:$AI)</f>
        <v>0</v>
      </c>
      <c r="I348" s="14">
        <v>9022</v>
      </c>
      <c r="J348" s="14" t="s">
        <v>2536</v>
      </c>
      <c r="K348" s="14" t="s">
        <v>140</v>
      </c>
      <c r="L348" s="14" t="s">
        <v>2531</v>
      </c>
      <c r="M348" s="14" t="s">
        <v>2537</v>
      </c>
      <c r="N348" s="14">
        <v>78.56</v>
      </c>
      <c r="O348" s="14" t="s">
        <v>2538</v>
      </c>
      <c r="P348" s="14" t="s">
        <v>2539</v>
      </c>
      <c r="Q348" s="14" t="s">
        <v>419</v>
      </c>
      <c r="R348" s="14" t="s">
        <v>2540</v>
      </c>
      <c r="S348" s="14" t="s">
        <v>444</v>
      </c>
      <c r="T348" s="14" t="s">
        <v>445</v>
      </c>
      <c r="U348" s="14" t="s">
        <v>446</v>
      </c>
      <c r="V348" s="48">
        <f>SUMIF(Data!$E:$E,$I348,Data!$AI:$AI)</f>
        <v>0</v>
      </c>
    </row>
    <row r="349" spans="1:22" x14ac:dyDescent="0.25">
      <c r="A349" s="47" t="s">
        <v>1212</v>
      </c>
      <c r="B349" s="47" t="s">
        <v>123</v>
      </c>
      <c r="C349" s="47">
        <v>6005247</v>
      </c>
      <c r="D349" s="47">
        <v>8.48E-2</v>
      </c>
      <c r="E349" s="48">
        <f>SUMIF(Data!$E:$E,$C349,Data!$AI:$AI)</f>
        <v>0</v>
      </c>
      <c r="I349" s="14" t="s">
        <v>2541</v>
      </c>
      <c r="J349" s="14" t="s">
        <v>2542</v>
      </c>
      <c r="K349" s="14" t="s">
        <v>140</v>
      </c>
      <c r="L349" s="14" t="s">
        <v>2531</v>
      </c>
      <c r="M349" s="14" t="s">
        <v>2543</v>
      </c>
      <c r="N349" s="14">
        <v>157.08099999999999</v>
      </c>
      <c r="O349" s="14" t="s">
        <v>2544</v>
      </c>
      <c r="P349" s="14" t="s">
        <v>2545</v>
      </c>
      <c r="Q349" s="14" t="s">
        <v>193</v>
      </c>
      <c r="R349" s="14" t="s">
        <v>2546</v>
      </c>
      <c r="S349" s="14" t="s">
        <v>479</v>
      </c>
      <c r="T349" s="14" t="s">
        <v>480</v>
      </c>
      <c r="U349" s="14" t="s">
        <v>481</v>
      </c>
      <c r="V349" s="48">
        <f>SUMIF(Data!$E:$E,$I349,Data!$AI:$AI)</f>
        <v>0</v>
      </c>
    </row>
    <row r="350" spans="1:22" x14ac:dyDescent="0.25">
      <c r="A350" s="47" t="s">
        <v>1212</v>
      </c>
      <c r="B350" s="47" t="s">
        <v>123</v>
      </c>
      <c r="C350" s="47">
        <v>6101725</v>
      </c>
      <c r="D350" s="47">
        <v>0.17019999999999999</v>
      </c>
      <c r="E350" s="48">
        <f>SUMIF(Data!$E:$E,$C350,Data!$AI:$AI)</f>
        <v>0</v>
      </c>
      <c r="I350" s="14" t="s">
        <v>2547</v>
      </c>
      <c r="J350" s="14" t="s">
        <v>2548</v>
      </c>
      <c r="K350" s="14" t="s">
        <v>140</v>
      </c>
      <c r="L350" s="14" t="s">
        <v>2531</v>
      </c>
      <c r="M350" s="14" t="s">
        <v>2549</v>
      </c>
      <c r="N350" s="14">
        <v>545.05999999999995</v>
      </c>
      <c r="O350" s="14" t="s">
        <v>2550</v>
      </c>
      <c r="P350" s="14" t="s">
        <v>2551</v>
      </c>
      <c r="Q350" s="14" t="s">
        <v>175</v>
      </c>
      <c r="R350" s="14" t="s">
        <v>2552</v>
      </c>
      <c r="S350" s="14" t="s">
        <v>563</v>
      </c>
      <c r="T350" s="14" t="s">
        <v>564</v>
      </c>
      <c r="U350" s="14" t="s">
        <v>528</v>
      </c>
      <c r="V350" s="48">
        <f>SUMIF(Data!$E:$E,$I350,Data!$AI:$AI)</f>
        <v>0</v>
      </c>
    </row>
    <row r="351" spans="1:22" x14ac:dyDescent="0.25">
      <c r="A351" s="47" t="s">
        <v>1212</v>
      </c>
      <c r="B351" s="47" t="s">
        <v>123</v>
      </c>
      <c r="C351" s="47" t="s">
        <v>2553</v>
      </c>
      <c r="D351" s="47">
        <v>0.18579999999999999</v>
      </c>
      <c r="E351" s="48">
        <f>SUMIF(Data!$E:$E,$C351,Data!$AI:$AI)</f>
        <v>0</v>
      </c>
      <c r="I351" s="14" t="s">
        <v>2554</v>
      </c>
      <c r="J351" s="14" t="s">
        <v>2555</v>
      </c>
      <c r="K351" s="14" t="s">
        <v>140</v>
      </c>
      <c r="L351" s="14" t="s">
        <v>2531</v>
      </c>
      <c r="M351" s="14" t="s">
        <v>2556</v>
      </c>
      <c r="N351" s="14">
        <v>549.95100000000002</v>
      </c>
      <c r="O351" s="14" t="s">
        <v>2557</v>
      </c>
      <c r="P351" s="14" t="s">
        <v>2558</v>
      </c>
      <c r="Q351" s="14" t="s">
        <v>737</v>
      </c>
      <c r="R351" s="14" t="s">
        <v>2559</v>
      </c>
      <c r="S351" s="14" t="s">
        <v>479</v>
      </c>
      <c r="T351" s="14" t="s">
        <v>480</v>
      </c>
      <c r="U351" s="14" t="s">
        <v>481</v>
      </c>
      <c r="V351" s="48">
        <f>SUMIF(Data!$E:$E,$I351,Data!$AI:$AI)</f>
        <v>0</v>
      </c>
    </row>
    <row r="352" spans="1:22" x14ac:dyDescent="0.25">
      <c r="A352" s="47" t="s">
        <v>1212</v>
      </c>
      <c r="B352" s="47" t="s">
        <v>123</v>
      </c>
      <c r="C352" s="47" t="s">
        <v>2560</v>
      </c>
      <c r="D352" s="47">
        <v>0.24460000000000001</v>
      </c>
      <c r="E352" s="48">
        <f>SUMIF(Data!$E:$E,$C352,Data!$AI:$AI)</f>
        <v>0</v>
      </c>
      <c r="I352" s="14" t="s">
        <v>2561</v>
      </c>
      <c r="J352" s="14" t="s">
        <v>2562</v>
      </c>
      <c r="K352" s="14" t="s">
        <v>140</v>
      </c>
      <c r="L352" s="14" t="s">
        <v>2531</v>
      </c>
      <c r="M352" s="14" t="s">
        <v>2563</v>
      </c>
      <c r="N352" s="14">
        <v>445.55900000000003</v>
      </c>
      <c r="O352" s="14" t="s">
        <v>2564</v>
      </c>
      <c r="P352" s="14" t="s">
        <v>2565</v>
      </c>
      <c r="Q352" s="14" t="s">
        <v>165</v>
      </c>
      <c r="R352" s="14" t="s">
        <v>2566</v>
      </c>
      <c r="S352" s="14" t="s">
        <v>148</v>
      </c>
      <c r="T352" s="14" t="s">
        <v>149</v>
      </c>
      <c r="U352" s="14" t="s">
        <v>113</v>
      </c>
      <c r="V352" s="48">
        <f>SUMIF(Data!$E:$E,$I352,Data!$AI:$AI)</f>
        <v>0</v>
      </c>
    </row>
    <row r="353" spans="1:22" x14ac:dyDescent="0.25">
      <c r="A353" s="47" t="s">
        <v>1212</v>
      </c>
      <c r="B353" s="47" t="s">
        <v>123</v>
      </c>
      <c r="C353" s="47" t="s">
        <v>2567</v>
      </c>
      <c r="D353" s="47">
        <v>0.1925</v>
      </c>
      <c r="E353" s="48">
        <f>SUMIF(Data!$E:$E,$C353,Data!$AI:$AI)</f>
        <v>0</v>
      </c>
      <c r="I353" s="14" t="s">
        <v>2568</v>
      </c>
      <c r="J353" s="14" t="s">
        <v>2569</v>
      </c>
      <c r="K353" s="14" t="s">
        <v>140</v>
      </c>
      <c r="L353" s="14" t="s">
        <v>2531</v>
      </c>
      <c r="M353" s="14" t="s">
        <v>2570</v>
      </c>
      <c r="N353" s="14">
        <v>169.03</v>
      </c>
      <c r="O353" s="14" t="s">
        <v>2571</v>
      </c>
      <c r="P353" s="14" t="s">
        <v>2572</v>
      </c>
      <c r="Q353" s="14" t="s">
        <v>227</v>
      </c>
      <c r="R353" s="14" t="s">
        <v>2573</v>
      </c>
      <c r="S353" s="14" t="s">
        <v>195</v>
      </c>
      <c r="T353" s="14" t="s">
        <v>149</v>
      </c>
      <c r="U353" s="14" t="s">
        <v>113</v>
      </c>
      <c r="V353" s="48">
        <f>SUMIF(Data!$E:$E,$I353,Data!$AI:$AI)</f>
        <v>0</v>
      </c>
    </row>
    <row r="354" spans="1:22" x14ac:dyDescent="0.25">
      <c r="A354" s="47" t="s">
        <v>1212</v>
      </c>
      <c r="B354" s="47" t="s">
        <v>123</v>
      </c>
      <c r="C354" s="47" t="s">
        <v>2574</v>
      </c>
      <c r="D354" s="47">
        <v>0.20230000000000001</v>
      </c>
      <c r="E354" s="48">
        <f>SUMIF(Data!$E:$E,$C354,Data!$AI:$AI)</f>
        <v>0</v>
      </c>
      <c r="I354" s="14" t="s">
        <v>2575</v>
      </c>
      <c r="J354" s="14" t="s">
        <v>2576</v>
      </c>
      <c r="K354" s="14" t="s">
        <v>140</v>
      </c>
      <c r="L354" s="14" t="s">
        <v>2531</v>
      </c>
      <c r="M354" s="14" t="s">
        <v>2577</v>
      </c>
      <c r="N354" s="14">
        <v>85.399000000000001</v>
      </c>
      <c r="O354" s="14" t="s">
        <v>2578</v>
      </c>
      <c r="P354" s="14" t="s">
        <v>2579</v>
      </c>
      <c r="Q354" s="14" t="s">
        <v>146</v>
      </c>
      <c r="R354" s="14" t="s">
        <v>2580</v>
      </c>
      <c r="S354" s="14" t="s">
        <v>148</v>
      </c>
      <c r="T354" s="14" t="s">
        <v>149</v>
      </c>
      <c r="U354" s="14" t="s">
        <v>113</v>
      </c>
      <c r="V354" s="48">
        <f>SUMIF(Data!$E:$E,$I354,Data!$AI:$AI)</f>
        <v>0</v>
      </c>
    </row>
    <row r="355" spans="1:22" x14ac:dyDescent="0.25">
      <c r="A355" s="47" t="s">
        <v>1212</v>
      </c>
      <c r="B355" s="47" t="s">
        <v>123</v>
      </c>
      <c r="C355" s="47" t="s">
        <v>2581</v>
      </c>
      <c r="D355" s="47">
        <v>0.38869999999999999</v>
      </c>
      <c r="E355" s="48">
        <f>SUMIF(Data!$E:$E,$C355,Data!$AI:$AI)</f>
        <v>0</v>
      </c>
      <c r="I355" s="14" t="s">
        <v>2582</v>
      </c>
      <c r="J355" s="14" t="s">
        <v>2583</v>
      </c>
      <c r="K355" s="14" t="s">
        <v>140</v>
      </c>
      <c r="L355" s="14" t="s">
        <v>2531</v>
      </c>
      <c r="M355" s="14" t="s">
        <v>2584</v>
      </c>
      <c r="N355" s="14">
        <v>319.54300000000001</v>
      </c>
      <c r="O355" s="14" t="s">
        <v>2585</v>
      </c>
      <c r="P355" s="14" t="s">
        <v>2586</v>
      </c>
      <c r="Q355" s="14" t="s">
        <v>193</v>
      </c>
      <c r="R355" s="14" t="s">
        <v>2587</v>
      </c>
      <c r="S355" s="14" t="s">
        <v>728</v>
      </c>
      <c r="T355" s="14" t="s">
        <v>729</v>
      </c>
      <c r="U355" s="14" t="s">
        <v>730</v>
      </c>
      <c r="V355" s="48">
        <f>SUMIF(Data!$E:$E,$I355,Data!$AI:$AI)</f>
        <v>0</v>
      </c>
    </row>
    <row r="356" spans="1:22" x14ac:dyDescent="0.25">
      <c r="A356" s="47" t="s">
        <v>1212</v>
      </c>
      <c r="B356" s="47" t="s">
        <v>123</v>
      </c>
      <c r="C356" s="47">
        <v>6004404</v>
      </c>
      <c r="D356" s="47">
        <v>9.3899999999999997E-2</v>
      </c>
      <c r="E356" s="48">
        <f>SUMIF(Data!$E:$E,$C356,Data!$AI:$AI)</f>
        <v>0</v>
      </c>
      <c r="I356" s="14" t="s">
        <v>2588</v>
      </c>
      <c r="J356" s="14" t="s">
        <v>2589</v>
      </c>
      <c r="K356" s="14" t="s">
        <v>140</v>
      </c>
      <c r="L356" s="14" t="s">
        <v>2531</v>
      </c>
      <c r="M356" s="14" t="s">
        <v>2590</v>
      </c>
      <c r="N356" s="14">
        <v>102.209</v>
      </c>
      <c r="O356" s="14" t="s">
        <v>2591</v>
      </c>
      <c r="P356" s="14" t="s">
        <v>2592</v>
      </c>
      <c r="Q356" s="14" t="s">
        <v>211</v>
      </c>
      <c r="R356" s="14" t="s">
        <v>2593</v>
      </c>
      <c r="S356" s="14" t="s">
        <v>195</v>
      </c>
      <c r="T356" s="14" t="s">
        <v>149</v>
      </c>
      <c r="U356" s="14" t="s">
        <v>113</v>
      </c>
      <c r="V356" s="48">
        <f>SUMIF(Data!$E:$E,$I356,Data!$AI:$AI)</f>
        <v>0</v>
      </c>
    </row>
    <row r="357" spans="1:22" x14ac:dyDescent="0.25">
      <c r="A357" s="47" t="s">
        <v>1212</v>
      </c>
      <c r="B357" s="47" t="s">
        <v>123</v>
      </c>
      <c r="C357" s="47" t="s">
        <v>2594</v>
      </c>
      <c r="D357" s="47">
        <v>0.1615</v>
      </c>
      <c r="E357" s="48">
        <f>SUMIF(Data!$E:$E,$C357,Data!$AI:$AI)</f>
        <v>0</v>
      </c>
      <c r="I357" s="14" t="s">
        <v>2595</v>
      </c>
      <c r="J357" s="14" t="s">
        <v>2596</v>
      </c>
      <c r="K357" s="14" t="s">
        <v>140</v>
      </c>
      <c r="L357" s="14" t="s">
        <v>2531</v>
      </c>
      <c r="M357" s="14" t="s">
        <v>2597</v>
      </c>
      <c r="N357" s="14" t="s">
        <v>2598</v>
      </c>
      <c r="O357" s="14" t="s">
        <v>2599</v>
      </c>
      <c r="P357" s="14" t="s">
        <v>2600</v>
      </c>
      <c r="Q357" s="14" t="s">
        <v>419</v>
      </c>
      <c r="R357" s="14" t="s">
        <v>2601</v>
      </c>
      <c r="S357" s="14" t="s">
        <v>850</v>
      </c>
      <c r="T357" s="14" t="s">
        <v>851</v>
      </c>
      <c r="U357" s="14" t="s">
        <v>852</v>
      </c>
      <c r="V357" s="48">
        <f>SUMIF(Data!$E:$E,$I357,Data!$AI:$AI)</f>
        <v>0</v>
      </c>
    </row>
    <row r="358" spans="1:22" x14ac:dyDescent="0.25">
      <c r="A358" s="47" t="s">
        <v>1212</v>
      </c>
      <c r="B358" s="47" t="s">
        <v>123</v>
      </c>
      <c r="C358" s="47" t="s">
        <v>2602</v>
      </c>
      <c r="D358" s="47">
        <v>7.4300000000000005E-2</v>
      </c>
      <c r="E358" s="48">
        <f>SUMIF(Data!$E:$E,$C358,Data!$AI:$AI)</f>
        <v>0</v>
      </c>
      <c r="I358" s="14" t="s">
        <v>2603</v>
      </c>
      <c r="J358" s="14" t="s">
        <v>2604</v>
      </c>
      <c r="K358" s="14" t="s">
        <v>140</v>
      </c>
      <c r="L358" s="14" t="s">
        <v>2531</v>
      </c>
      <c r="M358" s="14" t="s">
        <v>2605</v>
      </c>
      <c r="N358" s="14">
        <v>73.328000000000003</v>
      </c>
      <c r="O358" s="14" t="s">
        <v>2606</v>
      </c>
      <c r="P358" s="14" t="s">
        <v>2607</v>
      </c>
      <c r="Q358" s="14" t="s">
        <v>809</v>
      </c>
      <c r="R358" s="14" t="s">
        <v>2608</v>
      </c>
      <c r="S358" s="14" t="s">
        <v>195</v>
      </c>
      <c r="T358" s="14" t="s">
        <v>149</v>
      </c>
      <c r="U358" s="14" t="s">
        <v>113</v>
      </c>
      <c r="V358" s="48">
        <f>SUMIF(Data!$E:$E,$I358,Data!$AI:$AI)</f>
        <v>0</v>
      </c>
    </row>
    <row r="359" spans="1:22" x14ac:dyDescent="0.25">
      <c r="A359" s="47" t="s">
        <v>1212</v>
      </c>
      <c r="B359" s="47" t="s">
        <v>123</v>
      </c>
      <c r="C359" s="47" t="s">
        <v>2609</v>
      </c>
      <c r="D359" s="47">
        <v>0.188</v>
      </c>
      <c r="E359" s="48">
        <f>SUMIF(Data!$E:$E,$C359,Data!$AI:$AI)</f>
        <v>0</v>
      </c>
      <c r="I359" s="14">
        <v>6503</v>
      </c>
      <c r="J359" s="14" t="s">
        <v>2610</v>
      </c>
      <c r="K359" s="14" t="s">
        <v>140</v>
      </c>
      <c r="L359" s="14" t="s">
        <v>2531</v>
      </c>
      <c r="M359" s="14" t="s">
        <v>2611</v>
      </c>
      <c r="N359" s="14" t="s">
        <v>2612</v>
      </c>
      <c r="O359" s="14" t="s">
        <v>2613</v>
      </c>
      <c r="P359" s="14" t="s">
        <v>2614</v>
      </c>
      <c r="Q359" s="14" t="s">
        <v>419</v>
      </c>
      <c r="R359" s="14" t="s">
        <v>2615</v>
      </c>
      <c r="S359" s="14" t="s">
        <v>444</v>
      </c>
      <c r="T359" s="14" t="s">
        <v>445</v>
      </c>
      <c r="U359" s="14" t="s">
        <v>446</v>
      </c>
      <c r="V359" s="48">
        <f>SUMIF(Data!$E:$E,$I359,Data!$AI:$AI)</f>
        <v>0</v>
      </c>
    </row>
    <row r="360" spans="1:22" x14ac:dyDescent="0.25">
      <c r="A360" s="47" t="s">
        <v>1212</v>
      </c>
      <c r="B360" s="47" t="s">
        <v>123</v>
      </c>
      <c r="C360" s="47" t="s">
        <v>2616</v>
      </c>
      <c r="D360" s="47">
        <v>0.46329999999999999</v>
      </c>
      <c r="E360" s="48">
        <f>SUMIF(Data!$E:$E,$C360,Data!$AI:$AI)</f>
        <v>0</v>
      </c>
      <c r="I360" s="14" t="s">
        <v>2617</v>
      </c>
      <c r="J360" s="14" t="s">
        <v>2618</v>
      </c>
      <c r="K360" s="14" t="s">
        <v>140</v>
      </c>
      <c r="L360" s="14" t="s">
        <v>2531</v>
      </c>
      <c r="M360" s="14" t="s">
        <v>2619</v>
      </c>
      <c r="N360" s="14">
        <v>137.63</v>
      </c>
      <c r="O360" s="14" t="s">
        <v>2620</v>
      </c>
      <c r="P360" s="14" t="s">
        <v>2621</v>
      </c>
      <c r="Q360" s="14" t="s">
        <v>146</v>
      </c>
      <c r="R360" s="14" t="s">
        <v>2622</v>
      </c>
      <c r="S360" s="14" t="s">
        <v>148</v>
      </c>
      <c r="T360" s="14" t="s">
        <v>149</v>
      </c>
      <c r="U360" s="14" t="s">
        <v>113</v>
      </c>
      <c r="V360" s="48">
        <f>SUMIF(Data!$E:$E,$I360,Data!$AI:$AI)</f>
        <v>0</v>
      </c>
    </row>
    <row r="361" spans="1:22" x14ac:dyDescent="0.25">
      <c r="A361" s="47" t="s">
        <v>1212</v>
      </c>
      <c r="B361" s="47" t="s">
        <v>123</v>
      </c>
      <c r="C361" s="47" t="s">
        <v>2623</v>
      </c>
      <c r="D361" s="47">
        <v>0.2676</v>
      </c>
      <c r="E361" s="48">
        <f>SUMIF(Data!$E:$E,$C361,Data!$AI:$AI)</f>
        <v>0</v>
      </c>
      <c r="I361" s="14" t="s">
        <v>2624</v>
      </c>
      <c r="J361" s="14" t="s">
        <v>2625</v>
      </c>
      <c r="K361" s="14" t="s">
        <v>140</v>
      </c>
      <c r="L361" s="14" t="s">
        <v>2531</v>
      </c>
      <c r="M361" s="14" t="s">
        <v>2626</v>
      </c>
      <c r="N361" s="14" t="s">
        <v>2627</v>
      </c>
      <c r="O361" s="14" t="s">
        <v>2628</v>
      </c>
      <c r="P361" s="14" t="s">
        <v>2629</v>
      </c>
      <c r="Q361" s="14" t="s">
        <v>193</v>
      </c>
      <c r="R361" s="14" t="s">
        <v>2630</v>
      </c>
      <c r="S361" s="14" t="s">
        <v>479</v>
      </c>
      <c r="T361" s="14" t="s">
        <v>480</v>
      </c>
      <c r="U361" s="14" t="s">
        <v>481</v>
      </c>
      <c r="V361" s="48">
        <f>SUMIF(Data!$E:$E,$I361,Data!$AI:$AI)</f>
        <v>0</v>
      </c>
    </row>
    <row r="362" spans="1:22" x14ac:dyDescent="0.25">
      <c r="A362" s="47" t="s">
        <v>1212</v>
      </c>
      <c r="B362" s="47" t="s">
        <v>123</v>
      </c>
      <c r="C362" s="47" t="s">
        <v>2631</v>
      </c>
      <c r="D362" s="47">
        <v>0.3251</v>
      </c>
      <c r="E362" s="48">
        <f>SUMIF(Data!$E:$E,$C362,Data!$AI:$AI)</f>
        <v>0</v>
      </c>
      <c r="I362" s="14" t="s">
        <v>2632</v>
      </c>
      <c r="J362" s="14" t="s">
        <v>2633</v>
      </c>
      <c r="K362" s="14" t="s">
        <v>140</v>
      </c>
      <c r="L362" s="14" t="s">
        <v>2531</v>
      </c>
      <c r="M362" s="14" t="s">
        <v>2634</v>
      </c>
      <c r="N362" s="14">
        <v>13.396000000000001</v>
      </c>
      <c r="O362" s="14" t="s">
        <v>2635</v>
      </c>
      <c r="P362" s="14" t="s">
        <v>2636</v>
      </c>
      <c r="Q362" s="14" t="s">
        <v>165</v>
      </c>
      <c r="R362" s="14" t="s">
        <v>2637</v>
      </c>
      <c r="S362" s="14" t="s">
        <v>195</v>
      </c>
      <c r="T362" s="14" t="s">
        <v>149</v>
      </c>
      <c r="U362" s="14" t="s">
        <v>113</v>
      </c>
      <c r="V362" s="48">
        <f>SUMIF(Data!$E:$E,$I362,Data!$AI:$AI)</f>
        <v>0</v>
      </c>
    </row>
    <row r="363" spans="1:22" x14ac:dyDescent="0.25">
      <c r="A363" s="47" t="s">
        <v>1212</v>
      </c>
      <c r="B363" s="47" t="s">
        <v>123</v>
      </c>
      <c r="C363" s="47" t="s">
        <v>2638</v>
      </c>
      <c r="D363" s="47">
        <v>0.1547</v>
      </c>
      <c r="E363" s="48">
        <f>SUMIF(Data!$E:$E,$C363,Data!$AI:$AI)</f>
        <v>0</v>
      </c>
      <c r="I363" s="14" t="s">
        <v>2639</v>
      </c>
      <c r="J363" s="14" t="s">
        <v>2640</v>
      </c>
      <c r="K363" s="14" t="s">
        <v>140</v>
      </c>
      <c r="L363" s="14" t="s">
        <v>2531</v>
      </c>
      <c r="M363" s="14" t="s">
        <v>2641</v>
      </c>
      <c r="N363" s="14">
        <v>171.67699999999999</v>
      </c>
      <c r="O363" s="14" t="s">
        <v>2642</v>
      </c>
      <c r="P363" s="14" t="s">
        <v>2643</v>
      </c>
      <c r="Q363" s="14" t="s">
        <v>697</v>
      </c>
      <c r="R363" s="14" t="s">
        <v>2644</v>
      </c>
      <c r="S363" s="14" t="s">
        <v>195</v>
      </c>
      <c r="T363" s="14" t="s">
        <v>149</v>
      </c>
      <c r="U363" s="14" t="s">
        <v>113</v>
      </c>
      <c r="V363" s="48">
        <f>SUMIF(Data!$E:$E,$I363,Data!$AI:$AI)</f>
        <v>0</v>
      </c>
    </row>
    <row r="364" spans="1:22" x14ac:dyDescent="0.25">
      <c r="A364" s="47" t="s">
        <v>1212</v>
      </c>
      <c r="B364" s="47" t="s">
        <v>123</v>
      </c>
      <c r="C364" s="47" t="s">
        <v>2645</v>
      </c>
      <c r="D364" s="47">
        <v>7.0599999999999996E-2</v>
      </c>
      <c r="E364" s="48">
        <f>SUMIF(Data!$E:$E,$C364,Data!$AI:$AI)</f>
        <v>0</v>
      </c>
      <c r="I364" s="14" t="s">
        <v>2646</v>
      </c>
      <c r="J364" s="14" t="s">
        <v>2647</v>
      </c>
      <c r="K364" s="14" t="s">
        <v>140</v>
      </c>
      <c r="L364" s="14" t="s">
        <v>2531</v>
      </c>
      <c r="M364" s="14" t="s">
        <v>2648</v>
      </c>
      <c r="N364" s="14">
        <v>841.16200000000003</v>
      </c>
      <c r="O364" s="14" t="s">
        <v>2649</v>
      </c>
      <c r="P364" s="14" t="s">
        <v>2650</v>
      </c>
      <c r="Q364" s="14" t="s">
        <v>737</v>
      </c>
      <c r="R364" s="14" t="s">
        <v>2651</v>
      </c>
      <c r="S364" s="14" t="s">
        <v>728</v>
      </c>
      <c r="T364" s="14" t="s">
        <v>729</v>
      </c>
      <c r="U364" s="14" t="s">
        <v>730</v>
      </c>
      <c r="V364" s="48">
        <f>SUMIF(Data!$E:$E,$I364,Data!$AI:$AI)</f>
        <v>0</v>
      </c>
    </row>
    <row r="365" spans="1:22" x14ac:dyDescent="0.25">
      <c r="A365" s="47" t="s">
        <v>1212</v>
      </c>
      <c r="B365" s="47" t="s">
        <v>123</v>
      </c>
      <c r="C365" s="47" t="s">
        <v>2652</v>
      </c>
      <c r="D365" s="47">
        <v>0.32279999999999998</v>
      </c>
      <c r="E365" s="48">
        <f>SUMIF(Data!$E:$E,$C365,Data!$AI:$AI)</f>
        <v>0</v>
      </c>
      <c r="I365" s="14" t="s">
        <v>2653</v>
      </c>
      <c r="J365" s="14" t="s">
        <v>2654</v>
      </c>
      <c r="K365" s="14" t="s">
        <v>140</v>
      </c>
      <c r="L365" s="14" t="s">
        <v>2531</v>
      </c>
      <c r="M365" s="14" t="s">
        <v>2259</v>
      </c>
      <c r="N365" s="14">
        <v>637.46600000000001</v>
      </c>
      <c r="O365" s="14" t="s">
        <v>2655</v>
      </c>
      <c r="P365" s="14" t="s">
        <v>2656</v>
      </c>
      <c r="Q365" s="14" t="s">
        <v>263</v>
      </c>
      <c r="R365" s="14" t="s">
        <v>2657</v>
      </c>
      <c r="S365" s="14" t="s">
        <v>195</v>
      </c>
      <c r="T365" s="14" t="s">
        <v>149</v>
      </c>
      <c r="U365" s="14" t="s">
        <v>113</v>
      </c>
      <c r="V365" s="48">
        <f>SUMIF(Data!$E:$E,$I365,Data!$AI:$AI)</f>
        <v>0</v>
      </c>
    </row>
    <row r="366" spans="1:22" x14ac:dyDescent="0.25">
      <c r="A366" s="47" t="s">
        <v>1212</v>
      </c>
      <c r="B366" s="47" t="s">
        <v>123</v>
      </c>
      <c r="C366" s="47" t="s">
        <v>2658</v>
      </c>
      <c r="D366" s="47">
        <v>0.90410000000000001</v>
      </c>
      <c r="E366" s="48">
        <f>SUMIF(Data!$E:$E,$C366,Data!$AI:$AI)</f>
        <v>0</v>
      </c>
      <c r="I366" s="14" t="s">
        <v>2659</v>
      </c>
      <c r="J366" s="14" t="s">
        <v>2660</v>
      </c>
      <c r="K366" s="14" t="s">
        <v>140</v>
      </c>
      <c r="L366" s="14" t="s">
        <v>2531</v>
      </c>
      <c r="M366" s="14" t="s">
        <v>2661</v>
      </c>
      <c r="N366" s="14">
        <v>161.71700000000001</v>
      </c>
      <c r="O366" s="14" t="s">
        <v>2662</v>
      </c>
      <c r="P366" s="14" t="s">
        <v>2663</v>
      </c>
      <c r="Q366" s="14" t="s">
        <v>697</v>
      </c>
      <c r="R366" s="14" t="s">
        <v>2664</v>
      </c>
      <c r="S366" s="14" t="s">
        <v>195</v>
      </c>
      <c r="T366" s="14" t="s">
        <v>149</v>
      </c>
      <c r="U366" s="14" t="s">
        <v>113</v>
      </c>
      <c r="V366" s="48">
        <f>SUMIF(Data!$E:$E,$I366,Data!$AI:$AI)</f>
        <v>0</v>
      </c>
    </row>
    <row r="367" spans="1:22" x14ac:dyDescent="0.25">
      <c r="A367" s="47" t="s">
        <v>1212</v>
      </c>
      <c r="B367" s="47" t="s">
        <v>123</v>
      </c>
      <c r="C367" s="47" t="s">
        <v>2665</v>
      </c>
      <c r="D367" s="47">
        <v>0.25330000000000003</v>
      </c>
      <c r="E367" s="48">
        <f>SUMIF(Data!$E:$E,$C367,Data!$AI:$AI)</f>
        <v>0</v>
      </c>
      <c r="I367" s="14" t="s">
        <v>2666</v>
      </c>
      <c r="J367" s="14" t="s">
        <v>2667</v>
      </c>
      <c r="K367" s="14" t="s">
        <v>140</v>
      </c>
      <c r="L367" s="14" t="s">
        <v>2531</v>
      </c>
      <c r="M367" s="14" t="s">
        <v>2668</v>
      </c>
      <c r="N367" s="14">
        <v>25.010999999999999</v>
      </c>
      <c r="O367" s="14" t="s">
        <v>2669</v>
      </c>
      <c r="P367" s="14" t="s">
        <v>2670</v>
      </c>
      <c r="Q367" s="14" t="s">
        <v>419</v>
      </c>
      <c r="R367" s="14" t="s">
        <v>2671</v>
      </c>
      <c r="S367" s="14" t="s">
        <v>195</v>
      </c>
      <c r="T367" s="14" t="s">
        <v>149</v>
      </c>
      <c r="U367" s="14" t="s">
        <v>113</v>
      </c>
      <c r="V367" s="48">
        <f>SUMIF(Data!$E:$E,$I367,Data!$AI:$AI)</f>
        <v>0</v>
      </c>
    </row>
    <row r="368" spans="1:22" x14ac:dyDescent="0.25">
      <c r="A368" s="47" t="s">
        <v>1212</v>
      </c>
      <c r="B368" s="47" t="s">
        <v>123</v>
      </c>
      <c r="C368" s="47" t="s">
        <v>2672</v>
      </c>
      <c r="D368" s="47">
        <v>0.32979999999999998</v>
      </c>
      <c r="E368" s="48">
        <f>SUMIF(Data!$E:$E,$C368,Data!$AI:$AI)</f>
        <v>0</v>
      </c>
      <c r="I368" s="14" t="s">
        <v>2673</v>
      </c>
      <c r="J368" s="14" t="s">
        <v>2674</v>
      </c>
      <c r="K368" s="14" t="s">
        <v>140</v>
      </c>
      <c r="L368" s="14" t="s">
        <v>2531</v>
      </c>
      <c r="M368" s="14" t="s">
        <v>2675</v>
      </c>
      <c r="N368" s="14">
        <v>196.69800000000001</v>
      </c>
      <c r="O368" s="14" t="s">
        <v>2676</v>
      </c>
      <c r="P368" s="14" t="s">
        <v>2677</v>
      </c>
      <c r="Q368" s="14" t="s">
        <v>263</v>
      </c>
      <c r="R368" s="14" t="s">
        <v>2678</v>
      </c>
      <c r="S368" s="14" t="s">
        <v>195</v>
      </c>
      <c r="T368" s="14" t="s">
        <v>149</v>
      </c>
      <c r="U368" s="14" t="s">
        <v>113</v>
      </c>
      <c r="V368" s="48">
        <f>SUMIF(Data!$E:$E,$I368,Data!$AI:$AI)</f>
        <v>0</v>
      </c>
    </row>
    <row r="369" spans="1:22" x14ac:dyDescent="0.25">
      <c r="A369" s="47" t="s">
        <v>1212</v>
      </c>
      <c r="B369" s="47" t="s">
        <v>123</v>
      </c>
      <c r="C369" s="47" t="s">
        <v>2679</v>
      </c>
      <c r="D369" s="47">
        <v>0.31209999999999999</v>
      </c>
      <c r="E369" s="48">
        <f>SUMIF(Data!$E:$E,$C369,Data!$AI:$AI)</f>
        <v>0</v>
      </c>
      <c r="I369" s="14" t="s">
        <v>2680</v>
      </c>
      <c r="J369" s="14" t="s">
        <v>2681</v>
      </c>
      <c r="K369" s="14" t="s">
        <v>140</v>
      </c>
      <c r="L369" s="14" t="s">
        <v>2531</v>
      </c>
      <c r="M369" s="14" t="s">
        <v>2682</v>
      </c>
      <c r="N369" s="14">
        <v>169.471</v>
      </c>
      <c r="O369" s="14" t="s">
        <v>2683</v>
      </c>
      <c r="P369" s="14" t="s">
        <v>2684</v>
      </c>
      <c r="Q369" s="14" t="s">
        <v>211</v>
      </c>
      <c r="R369" s="14" t="s">
        <v>2685</v>
      </c>
      <c r="S369" s="14" t="s">
        <v>195</v>
      </c>
      <c r="T369" s="14" t="s">
        <v>149</v>
      </c>
      <c r="U369" s="14" t="s">
        <v>113</v>
      </c>
      <c r="V369" s="48">
        <f>SUMIF(Data!$E:$E,$I369,Data!$AI:$AI)</f>
        <v>0</v>
      </c>
    </row>
    <row r="370" spans="1:22" x14ac:dyDescent="0.25">
      <c r="A370" s="47" t="s">
        <v>1212</v>
      </c>
      <c r="B370" s="47" t="s">
        <v>123</v>
      </c>
      <c r="C370" s="47">
        <v>6813116</v>
      </c>
      <c r="D370" s="47">
        <v>0.16750000000000001</v>
      </c>
      <c r="E370" s="48">
        <f>SUMIF(Data!$E:$E,$C370,Data!$AI:$AI)</f>
        <v>0</v>
      </c>
      <c r="I370" s="14" t="s">
        <v>2686</v>
      </c>
      <c r="J370" s="14" t="s">
        <v>2687</v>
      </c>
      <c r="K370" s="14" t="s">
        <v>140</v>
      </c>
      <c r="L370" s="14" t="s">
        <v>2531</v>
      </c>
      <c r="M370" s="14" t="s">
        <v>2688</v>
      </c>
      <c r="N370" s="14" t="s">
        <v>2689</v>
      </c>
      <c r="O370" s="14" t="s">
        <v>2690</v>
      </c>
      <c r="P370" s="14" t="s">
        <v>2691</v>
      </c>
      <c r="Q370" s="14" t="s">
        <v>175</v>
      </c>
      <c r="R370" s="14" t="s">
        <v>2692</v>
      </c>
      <c r="S370" s="14" t="s">
        <v>563</v>
      </c>
      <c r="T370" s="14" t="s">
        <v>564</v>
      </c>
      <c r="U370" s="14" t="s">
        <v>528</v>
      </c>
      <c r="V370" s="48">
        <f>SUMIF(Data!$E:$E,$I370,Data!$AI:$AI)</f>
        <v>0</v>
      </c>
    </row>
    <row r="371" spans="1:22" x14ac:dyDescent="0.25">
      <c r="A371" s="47" t="s">
        <v>1212</v>
      </c>
      <c r="B371" s="47" t="s">
        <v>123</v>
      </c>
      <c r="C371" s="47" t="s">
        <v>2693</v>
      </c>
      <c r="D371" s="47">
        <v>8.9200000000000002E-2</v>
      </c>
      <c r="E371" s="48">
        <f>SUMIF(Data!$E:$E,$C371,Data!$AI:$AI)</f>
        <v>0</v>
      </c>
      <c r="I371" s="14" t="s">
        <v>2694</v>
      </c>
      <c r="J371" s="14" t="s">
        <v>2695</v>
      </c>
      <c r="K371" s="14" t="s">
        <v>140</v>
      </c>
      <c r="L371" s="14" t="s">
        <v>2531</v>
      </c>
      <c r="M371" s="14" t="s">
        <v>2696</v>
      </c>
      <c r="N371" s="14">
        <v>335.92099999999999</v>
      </c>
      <c r="O371" s="14" t="s">
        <v>2697</v>
      </c>
      <c r="P371" s="14" t="s">
        <v>2698</v>
      </c>
      <c r="Q371" s="14" t="s">
        <v>227</v>
      </c>
      <c r="R371" s="14" t="s">
        <v>2699</v>
      </c>
      <c r="S371" s="14" t="s">
        <v>195</v>
      </c>
      <c r="T371" s="14" t="s">
        <v>149</v>
      </c>
      <c r="U371" s="14" t="s">
        <v>113</v>
      </c>
      <c r="V371" s="48">
        <f>SUMIF(Data!$E:$E,$I371,Data!$AI:$AI)</f>
        <v>0</v>
      </c>
    </row>
    <row r="372" spans="1:22" x14ac:dyDescent="0.25">
      <c r="A372" s="47" t="s">
        <v>1212</v>
      </c>
      <c r="B372" s="47" t="s">
        <v>123</v>
      </c>
      <c r="C372" s="47" t="s">
        <v>2700</v>
      </c>
      <c r="D372" s="47">
        <v>0.14030000000000001</v>
      </c>
      <c r="E372" s="48">
        <f>SUMIF(Data!$E:$E,$C372,Data!$AI:$AI)</f>
        <v>0</v>
      </c>
      <c r="I372" s="14" t="s">
        <v>2701</v>
      </c>
      <c r="J372" s="14" t="s">
        <v>2702</v>
      </c>
      <c r="K372" s="14" t="s">
        <v>140</v>
      </c>
      <c r="L372" s="14" t="s">
        <v>2531</v>
      </c>
      <c r="M372" s="14" t="s">
        <v>2703</v>
      </c>
      <c r="N372" s="14">
        <v>72.006</v>
      </c>
      <c r="O372" s="14" t="s">
        <v>2704</v>
      </c>
      <c r="P372" s="14" t="s">
        <v>2705</v>
      </c>
      <c r="Q372" s="14" t="s">
        <v>193</v>
      </c>
      <c r="R372" s="14" t="s">
        <v>2706</v>
      </c>
      <c r="S372" s="14" t="s">
        <v>148</v>
      </c>
      <c r="T372" s="14" t="s">
        <v>149</v>
      </c>
      <c r="U372" s="14" t="s">
        <v>113</v>
      </c>
      <c r="V372" s="48">
        <f>SUMIF(Data!$E:$E,$I372,Data!$AI:$AI)</f>
        <v>0</v>
      </c>
    </row>
    <row r="373" spans="1:22" x14ac:dyDescent="0.25">
      <c r="A373" s="47" t="s">
        <v>1212</v>
      </c>
      <c r="B373" s="47" t="s">
        <v>123</v>
      </c>
      <c r="C373" s="47" t="s">
        <v>2707</v>
      </c>
      <c r="D373" s="47">
        <v>0.21579999999999999</v>
      </c>
      <c r="E373" s="48">
        <f>SUMIF(Data!$E:$E,$C373,Data!$AI:$AI)</f>
        <v>0</v>
      </c>
      <c r="I373" s="14" t="s">
        <v>2708</v>
      </c>
      <c r="J373" s="14" t="s">
        <v>2709</v>
      </c>
      <c r="K373" s="14" t="s">
        <v>140</v>
      </c>
      <c r="L373" s="14" t="s">
        <v>2531</v>
      </c>
      <c r="M373" s="14" t="s">
        <v>2710</v>
      </c>
      <c r="N373" s="14">
        <v>177.89</v>
      </c>
      <c r="O373" s="14" t="s">
        <v>2711</v>
      </c>
      <c r="P373" s="14" t="s">
        <v>2712</v>
      </c>
      <c r="Q373" s="14" t="s">
        <v>165</v>
      </c>
      <c r="R373" s="14" t="s">
        <v>2713</v>
      </c>
      <c r="S373" s="14" t="s">
        <v>526</v>
      </c>
      <c r="T373" s="14" t="s">
        <v>527</v>
      </c>
      <c r="U373" s="14" t="s">
        <v>528</v>
      </c>
      <c r="V373" s="48">
        <f>SUMIF(Data!$E:$E,$I373,Data!$AI:$AI)</f>
        <v>0</v>
      </c>
    </row>
    <row r="374" spans="1:22" x14ac:dyDescent="0.25">
      <c r="A374" s="47" t="s">
        <v>1212</v>
      </c>
      <c r="B374" s="47" t="s">
        <v>123</v>
      </c>
      <c r="C374" s="47" t="s">
        <v>2714</v>
      </c>
      <c r="D374" s="47">
        <v>0.31380000000000002</v>
      </c>
      <c r="E374" s="48">
        <f>SUMIF(Data!$E:$E,$C374,Data!$AI:$AI)</f>
        <v>0</v>
      </c>
      <c r="I374" s="14" t="s">
        <v>2715</v>
      </c>
      <c r="J374" s="14" t="s">
        <v>2716</v>
      </c>
      <c r="K374" s="14" t="s">
        <v>140</v>
      </c>
      <c r="L374" s="14" t="s">
        <v>2531</v>
      </c>
      <c r="M374" s="14" t="s">
        <v>2717</v>
      </c>
      <c r="N374" s="14">
        <v>21.972999999999999</v>
      </c>
      <c r="O374" s="14" t="s">
        <v>2718</v>
      </c>
      <c r="P374" s="14" t="s">
        <v>2719</v>
      </c>
      <c r="Q374" s="14" t="s">
        <v>165</v>
      </c>
      <c r="R374" s="14" t="s">
        <v>2720</v>
      </c>
      <c r="S374" s="14" t="s">
        <v>148</v>
      </c>
      <c r="T374" s="14" t="s">
        <v>149</v>
      </c>
      <c r="U374" s="14" t="s">
        <v>113</v>
      </c>
      <c r="V374" s="48">
        <f>SUMIF(Data!$E:$E,$I374,Data!$AI:$AI)</f>
        <v>0</v>
      </c>
    </row>
    <row r="375" spans="1:22" x14ac:dyDescent="0.25">
      <c r="A375" s="47" t="s">
        <v>1212</v>
      </c>
      <c r="B375" s="47" t="s">
        <v>123</v>
      </c>
      <c r="C375" s="47" t="s">
        <v>2721</v>
      </c>
      <c r="D375" s="47">
        <v>0.4017</v>
      </c>
      <c r="E375" s="48">
        <f>SUMIF(Data!$E:$E,$C375,Data!$AI:$AI)</f>
        <v>0</v>
      </c>
      <c r="I375" s="14" t="s">
        <v>2722</v>
      </c>
      <c r="J375" s="14" t="s">
        <v>2723</v>
      </c>
      <c r="K375" s="14" t="s">
        <v>140</v>
      </c>
      <c r="L375" s="14" t="s">
        <v>2531</v>
      </c>
      <c r="M375" s="14" t="s">
        <v>2724</v>
      </c>
      <c r="N375" s="14">
        <v>985.35599999999999</v>
      </c>
      <c r="O375" s="14" t="s">
        <v>2725</v>
      </c>
      <c r="P375" s="14" t="s">
        <v>2726</v>
      </c>
      <c r="Q375" s="14" t="s">
        <v>193</v>
      </c>
      <c r="R375" s="14" t="s">
        <v>2727</v>
      </c>
      <c r="S375" s="14" t="s">
        <v>1130</v>
      </c>
      <c r="T375" s="14" t="s">
        <v>1131</v>
      </c>
      <c r="U375" s="14" t="s">
        <v>528</v>
      </c>
      <c r="V375" s="48">
        <f>SUMIF(Data!$E:$E,$I375,Data!$AI:$AI)</f>
        <v>0</v>
      </c>
    </row>
    <row r="376" spans="1:22" x14ac:dyDescent="0.25">
      <c r="A376" s="47" t="s">
        <v>1212</v>
      </c>
      <c r="B376" s="47" t="s">
        <v>123</v>
      </c>
      <c r="C376" s="47" t="s">
        <v>2728</v>
      </c>
      <c r="D376" s="47">
        <v>4.5199999999999997E-2</v>
      </c>
      <c r="E376" s="48">
        <f>SUMIF(Data!$E:$E,$C376,Data!$AI:$AI)</f>
        <v>0</v>
      </c>
      <c r="I376" s="14" t="s">
        <v>2729</v>
      </c>
      <c r="J376" s="14" t="s">
        <v>2730</v>
      </c>
      <c r="K376" s="14" t="s">
        <v>140</v>
      </c>
      <c r="L376" s="14" t="s">
        <v>2531</v>
      </c>
      <c r="M376" s="14" t="s">
        <v>2731</v>
      </c>
      <c r="N376" s="14">
        <v>206.87700000000001</v>
      </c>
      <c r="O376" s="14" t="s">
        <v>2732</v>
      </c>
      <c r="P376" s="14" t="s">
        <v>2733</v>
      </c>
      <c r="Q376" s="14" t="s">
        <v>165</v>
      </c>
      <c r="R376" s="14" t="s">
        <v>2734</v>
      </c>
      <c r="S376" s="14" t="s">
        <v>195</v>
      </c>
      <c r="T376" s="14" t="s">
        <v>149</v>
      </c>
      <c r="U376" s="14" t="s">
        <v>113</v>
      </c>
      <c r="V376" s="48">
        <f>SUMIF(Data!$E:$E,$I376,Data!$AI:$AI)</f>
        <v>0</v>
      </c>
    </row>
    <row r="377" spans="1:22" x14ac:dyDescent="0.25">
      <c r="A377" s="47" t="s">
        <v>1212</v>
      </c>
      <c r="B377" s="47" t="s">
        <v>123</v>
      </c>
      <c r="C377" s="47" t="s">
        <v>2735</v>
      </c>
      <c r="D377" s="47">
        <v>0.1908</v>
      </c>
      <c r="E377" s="48">
        <f>SUMIF(Data!$E:$E,$C377,Data!$AI:$AI)</f>
        <v>0</v>
      </c>
      <c r="I377" s="14">
        <v>6273</v>
      </c>
      <c r="J377" s="14" t="s">
        <v>2736</v>
      </c>
      <c r="K377" s="14" t="s">
        <v>140</v>
      </c>
      <c r="L377" s="14" t="s">
        <v>2531</v>
      </c>
      <c r="M377" s="14" t="s">
        <v>2737</v>
      </c>
      <c r="N377" s="14">
        <v>30.245000000000001</v>
      </c>
      <c r="O377" s="14" t="s">
        <v>2738</v>
      </c>
      <c r="P377" s="14" t="s">
        <v>2739</v>
      </c>
      <c r="Q377" s="14" t="s">
        <v>419</v>
      </c>
      <c r="R377" s="14" t="s">
        <v>2740</v>
      </c>
      <c r="S377" s="14" t="s">
        <v>444</v>
      </c>
      <c r="T377" s="14" t="s">
        <v>445</v>
      </c>
      <c r="U377" s="14" t="s">
        <v>446</v>
      </c>
      <c r="V377" s="48">
        <f>SUMIF(Data!$E:$E,$I377,Data!$AI:$AI)</f>
        <v>0</v>
      </c>
    </row>
    <row r="378" spans="1:22" x14ac:dyDescent="0.25">
      <c r="A378" s="47" t="s">
        <v>1212</v>
      </c>
      <c r="B378" s="47" t="s">
        <v>123</v>
      </c>
      <c r="C378" s="47" t="s">
        <v>2741</v>
      </c>
      <c r="D378" s="47">
        <v>0.14960000000000001</v>
      </c>
      <c r="E378" s="48">
        <f>SUMIF(Data!$E:$E,$C378,Data!$AI:$AI)</f>
        <v>0</v>
      </c>
      <c r="I378" s="14">
        <v>4661</v>
      </c>
      <c r="J378" s="14" t="s">
        <v>2742</v>
      </c>
      <c r="K378" s="14" t="s">
        <v>140</v>
      </c>
      <c r="L378" s="14" t="s">
        <v>2531</v>
      </c>
      <c r="M378" s="14" t="s">
        <v>2743</v>
      </c>
      <c r="N378" s="14">
        <v>100.6</v>
      </c>
      <c r="O378" s="14" t="s">
        <v>2744</v>
      </c>
      <c r="P378" s="14" t="s">
        <v>2745</v>
      </c>
      <c r="Q378" s="14" t="s">
        <v>165</v>
      </c>
      <c r="R378" s="14" t="s">
        <v>2746</v>
      </c>
      <c r="S378" s="14" t="s">
        <v>444</v>
      </c>
      <c r="T378" s="14" t="s">
        <v>445</v>
      </c>
      <c r="U378" s="14" t="s">
        <v>446</v>
      </c>
      <c r="V378" s="48">
        <f>SUMIF(Data!$E:$E,$I378,Data!$AI:$AI)</f>
        <v>0</v>
      </c>
    </row>
    <row r="379" spans="1:22" x14ac:dyDescent="0.25">
      <c r="A379" s="47" t="s">
        <v>1212</v>
      </c>
      <c r="B379" s="47" t="s">
        <v>123</v>
      </c>
      <c r="C379" s="47">
        <v>6802943</v>
      </c>
      <c r="D379" s="47">
        <v>0.25440000000000002</v>
      </c>
      <c r="E379" s="48">
        <f>SUMIF(Data!$E:$E,$C379,Data!$AI:$AI)</f>
        <v>0</v>
      </c>
      <c r="I379" s="14" t="s">
        <v>2747</v>
      </c>
      <c r="J379" s="14" t="s">
        <v>2748</v>
      </c>
      <c r="K379" s="14" t="s">
        <v>140</v>
      </c>
      <c r="L379" s="14" t="s">
        <v>2531</v>
      </c>
      <c r="M379" s="14" t="s">
        <v>2749</v>
      </c>
      <c r="N379" s="14">
        <v>100.76</v>
      </c>
      <c r="O379" s="14" t="s">
        <v>2750</v>
      </c>
      <c r="P379" s="14" t="s">
        <v>2751</v>
      </c>
      <c r="Q379" s="14" t="s">
        <v>211</v>
      </c>
      <c r="R379" s="14" t="s">
        <v>2752</v>
      </c>
      <c r="S379" s="14" t="s">
        <v>195</v>
      </c>
      <c r="T379" s="14" t="s">
        <v>149</v>
      </c>
      <c r="U379" s="14" t="s">
        <v>113</v>
      </c>
      <c r="V379" s="48">
        <f>SUMIF(Data!$E:$E,$I379,Data!$AI:$AI)</f>
        <v>0</v>
      </c>
    </row>
    <row r="380" spans="1:22" x14ac:dyDescent="0.25">
      <c r="A380" s="47" t="s">
        <v>1212</v>
      </c>
      <c r="B380" s="47" t="s">
        <v>123</v>
      </c>
      <c r="C380" s="47" t="s">
        <v>2753</v>
      </c>
      <c r="D380" s="47">
        <v>0.1595</v>
      </c>
      <c r="E380" s="48">
        <f>SUMIF(Data!$E:$E,$C380,Data!$AI:$AI)</f>
        <v>0</v>
      </c>
      <c r="I380" s="14" t="s">
        <v>2754</v>
      </c>
      <c r="J380" s="14" t="s">
        <v>2755</v>
      </c>
      <c r="K380" s="14" t="s">
        <v>140</v>
      </c>
      <c r="L380" s="14" t="s">
        <v>2531</v>
      </c>
      <c r="M380" s="14" t="s">
        <v>2756</v>
      </c>
      <c r="N380" s="14">
        <v>132.86600000000001</v>
      </c>
      <c r="O380" s="14" t="s">
        <v>2757</v>
      </c>
      <c r="P380" s="14" t="s">
        <v>2758</v>
      </c>
      <c r="Q380" s="14" t="s">
        <v>227</v>
      </c>
      <c r="R380" s="14" t="s">
        <v>2759</v>
      </c>
      <c r="S380" s="14" t="s">
        <v>645</v>
      </c>
      <c r="T380" s="14" t="s">
        <v>646</v>
      </c>
      <c r="U380" s="14" t="s">
        <v>528</v>
      </c>
      <c r="V380" s="48">
        <f>SUMIF(Data!$E:$E,$I380,Data!$AI:$AI)</f>
        <v>0</v>
      </c>
    </row>
    <row r="381" spans="1:22" x14ac:dyDescent="0.25">
      <c r="A381" s="47" t="s">
        <v>1212</v>
      </c>
      <c r="B381" s="47" t="s">
        <v>123</v>
      </c>
      <c r="C381" s="47">
        <v>6727079</v>
      </c>
      <c r="D381" s="47">
        <v>9.2200000000000004E-2</v>
      </c>
      <c r="E381" s="48">
        <f>SUMIF(Data!$E:$E,$C381,Data!$AI:$AI)</f>
        <v>0</v>
      </c>
      <c r="I381" s="14" t="s">
        <v>2760</v>
      </c>
      <c r="J381" s="14" t="s">
        <v>2761</v>
      </c>
      <c r="K381" s="14" t="s">
        <v>140</v>
      </c>
      <c r="L381" s="14" t="s">
        <v>2531</v>
      </c>
      <c r="M381" s="14" t="s">
        <v>2762</v>
      </c>
      <c r="N381" s="14">
        <v>96.78</v>
      </c>
      <c r="O381" s="14" t="s">
        <v>2763</v>
      </c>
      <c r="P381" s="14" t="s">
        <v>2764</v>
      </c>
      <c r="Q381" s="14" t="s">
        <v>263</v>
      </c>
      <c r="R381" s="14" t="s">
        <v>2765</v>
      </c>
      <c r="S381" s="14" t="s">
        <v>195</v>
      </c>
      <c r="T381" s="14" t="s">
        <v>149</v>
      </c>
      <c r="U381" s="14" t="s">
        <v>113</v>
      </c>
      <c r="V381" s="48">
        <f>SUMIF(Data!$E:$E,$I381,Data!$AI:$AI)</f>
        <v>0</v>
      </c>
    </row>
    <row r="382" spans="1:22" x14ac:dyDescent="0.25">
      <c r="A382" s="47" t="s">
        <v>1212</v>
      </c>
      <c r="B382" s="47" t="s">
        <v>123</v>
      </c>
      <c r="C382" s="47" t="s">
        <v>2766</v>
      </c>
      <c r="D382" s="47">
        <v>0.22650000000000001</v>
      </c>
      <c r="E382" s="48">
        <f>SUMIF(Data!$E:$E,$C382,Data!$AI:$AI)</f>
        <v>0</v>
      </c>
      <c r="I382" s="14" t="s">
        <v>2767</v>
      </c>
      <c r="J382" s="14" t="s">
        <v>2768</v>
      </c>
      <c r="K382" s="14" t="s">
        <v>140</v>
      </c>
      <c r="L382" s="14" t="s">
        <v>2531</v>
      </c>
      <c r="M382" s="14" t="s">
        <v>2769</v>
      </c>
      <c r="N382" s="14">
        <v>185.44200000000001</v>
      </c>
      <c r="O382" s="14" t="s">
        <v>2770</v>
      </c>
      <c r="P382" s="14" t="s">
        <v>2771</v>
      </c>
      <c r="Q382" s="14" t="s">
        <v>419</v>
      </c>
      <c r="R382" s="14" t="s">
        <v>2772</v>
      </c>
      <c r="S382" s="14" t="s">
        <v>148</v>
      </c>
      <c r="T382" s="14" t="s">
        <v>149</v>
      </c>
      <c r="U382" s="14" t="s">
        <v>113</v>
      </c>
      <c r="V382" s="48">
        <f>SUMIF(Data!$E:$E,$I382,Data!$AI:$AI)</f>
        <v>0</v>
      </c>
    </row>
    <row r="383" spans="1:22" x14ac:dyDescent="0.25">
      <c r="A383" s="47" t="s">
        <v>1212</v>
      </c>
      <c r="B383" s="47" t="s">
        <v>123</v>
      </c>
      <c r="C383" s="47" t="s">
        <v>2773</v>
      </c>
      <c r="D383" s="47">
        <v>9.7600000000000006E-2</v>
      </c>
      <c r="E383" s="48">
        <f>SUMIF(Data!$E:$E,$C383,Data!$AI:$AI)</f>
        <v>0</v>
      </c>
      <c r="I383" s="14" t="s">
        <v>2774</v>
      </c>
      <c r="J383" s="14" t="s">
        <v>2775</v>
      </c>
      <c r="K383" s="14" t="s">
        <v>140</v>
      </c>
      <c r="L383" s="14" t="s">
        <v>2531</v>
      </c>
      <c r="M383" s="14" t="s">
        <v>2776</v>
      </c>
      <c r="N383" s="14" t="s">
        <v>2777</v>
      </c>
      <c r="O383" s="14" t="s">
        <v>2778</v>
      </c>
      <c r="P383" s="14" t="s">
        <v>2779</v>
      </c>
      <c r="Q383" s="14" t="s">
        <v>419</v>
      </c>
      <c r="R383" s="14" t="s">
        <v>2780</v>
      </c>
      <c r="S383" s="14" t="s">
        <v>479</v>
      </c>
      <c r="T383" s="14" t="s">
        <v>480</v>
      </c>
      <c r="U383" s="14" t="s">
        <v>481</v>
      </c>
      <c r="V383" s="48">
        <f>SUMIF(Data!$E:$E,$I383,Data!$AI:$AI)</f>
        <v>0</v>
      </c>
    </row>
    <row r="384" spans="1:22" x14ac:dyDescent="0.25">
      <c r="A384" s="47" t="s">
        <v>1212</v>
      </c>
      <c r="B384" s="47" t="s">
        <v>123</v>
      </c>
      <c r="C384" s="47">
        <v>6241483</v>
      </c>
      <c r="D384" s="47">
        <v>6.93E-2</v>
      </c>
      <c r="E384" s="48">
        <f>SUMIF(Data!$E:$E,$C384,Data!$AI:$AI)</f>
        <v>0</v>
      </c>
      <c r="I384" s="14">
        <v>16</v>
      </c>
      <c r="J384" s="14" t="s">
        <v>2781</v>
      </c>
      <c r="K384" s="14" t="s">
        <v>140</v>
      </c>
      <c r="L384" s="14" t="s">
        <v>2531</v>
      </c>
      <c r="M384" s="14" t="s">
        <v>2782</v>
      </c>
      <c r="N384" s="14">
        <v>939.51599999999996</v>
      </c>
      <c r="O384" s="14" t="s">
        <v>2783</v>
      </c>
      <c r="P384" s="14" t="s">
        <v>2784</v>
      </c>
      <c r="Q384" s="14" t="s">
        <v>809</v>
      </c>
      <c r="R384" s="14" t="s">
        <v>2785</v>
      </c>
      <c r="S384" s="14" t="s">
        <v>552</v>
      </c>
      <c r="T384" s="14" t="s">
        <v>553</v>
      </c>
      <c r="U384" s="14" t="s">
        <v>554</v>
      </c>
      <c r="V384" s="48">
        <f>SUMIF(Data!$E:$E,$I384,Data!$AI:$AI)</f>
        <v>0</v>
      </c>
    </row>
    <row r="385" spans="1:22" x14ac:dyDescent="0.25">
      <c r="A385" s="47" t="s">
        <v>1212</v>
      </c>
      <c r="B385" s="47" t="s">
        <v>123</v>
      </c>
      <c r="C385" s="47">
        <v>6293558</v>
      </c>
      <c r="D385" s="47">
        <v>0.1676</v>
      </c>
      <c r="E385" s="48">
        <f>SUMIF(Data!$E:$E,$C385,Data!$AI:$AI)</f>
        <v>0</v>
      </c>
      <c r="I385" s="14" t="s">
        <v>2786</v>
      </c>
      <c r="J385" s="14" t="s">
        <v>2787</v>
      </c>
      <c r="K385" s="14" t="s">
        <v>140</v>
      </c>
      <c r="L385" s="14" t="s">
        <v>2531</v>
      </c>
      <c r="M385" s="14" t="s">
        <v>2788</v>
      </c>
      <c r="N385" s="14">
        <v>190.54900000000001</v>
      </c>
      <c r="O385" s="14" t="s">
        <v>2789</v>
      </c>
      <c r="P385" s="14" t="s">
        <v>2790</v>
      </c>
      <c r="Q385" s="14" t="s">
        <v>697</v>
      </c>
      <c r="R385" s="14" t="s">
        <v>2791</v>
      </c>
      <c r="S385" s="14" t="s">
        <v>195</v>
      </c>
      <c r="T385" s="14" t="s">
        <v>149</v>
      </c>
      <c r="U385" s="14" t="s">
        <v>113</v>
      </c>
      <c r="V385" s="48">
        <f>SUMIF(Data!$E:$E,$I385,Data!$AI:$AI)</f>
        <v>0</v>
      </c>
    </row>
    <row r="386" spans="1:22" x14ac:dyDescent="0.25">
      <c r="A386" s="47" t="s">
        <v>1212</v>
      </c>
      <c r="B386" s="47" t="s">
        <v>123</v>
      </c>
      <c r="C386" s="47" t="s">
        <v>2792</v>
      </c>
      <c r="D386" s="47">
        <v>3.6999999999999998E-2</v>
      </c>
      <c r="E386" s="48">
        <f>SUMIF(Data!$E:$E,$C386,Data!$AI:$AI)</f>
        <v>0</v>
      </c>
      <c r="I386" s="14" t="s">
        <v>2793</v>
      </c>
      <c r="J386" s="14" t="s">
        <v>2794</v>
      </c>
      <c r="K386" s="14" t="s">
        <v>140</v>
      </c>
      <c r="L386" s="14" t="s">
        <v>2531</v>
      </c>
      <c r="M386" s="14" t="s">
        <v>2795</v>
      </c>
      <c r="N386" s="14">
        <v>262.60599999999999</v>
      </c>
      <c r="O386" s="14" t="s">
        <v>2796</v>
      </c>
      <c r="P386" s="14" t="s">
        <v>2797</v>
      </c>
      <c r="Q386" s="14" t="s">
        <v>809</v>
      </c>
      <c r="R386" s="14" t="s">
        <v>2798</v>
      </c>
      <c r="S386" s="14" t="s">
        <v>526</v>
      </c>
      <c r="T386" s="14" t="s">
        <v>527</v>
      </c>
      <c r="U386" s="14" t="s">
        <v>528</v>
      </c>
      <c r="V386" s="48">
        <f>SUMIF(Data!$E:$E,$I386,Data!$AI:$AI)</f>
        <v>0</v>
      </c>
    </row>
    <row r="387" spans="1:22" x14ac:dyDescent="0.25">
      <c r="A387" s="47" t="s">
        <v>1212</v>
      </c>
      <c r="B387" s="47" t="s">
        <v>123</v>
      </c>
      <c r="C387" s="47" t="s">
        <v>2799</v>
      </c>
      <c r="D387" s="47">
        <v>0.1245</v>
      </c>
      <c r="E387" s="48">
        <f>SUMIF(Data!$E:$E,$C387,Data!$AI:$AI)</f>
        <v>0</v>
      </c>
      <c r="I387" s="14" t="s">
        <v>2800</v>
      </c>
      <c r="J387" s="14" t="s">
        <v>2801</v>
      </c>
      <c r="K387" s="14" t="s">
        <v>140</v>
      </c>
      <c r="L387" s="14" t="s">
        <v>2531</v>
      </c>
      <c r="M387" s="14" t="s">
        <v>2802</v>
      </c>
      <c r="N387" s="14">
        <v>408.55700000000002</v>
      </c>
      <c r="O387" s="14" t="s">
        <v>2803</v>
      </c>
      <c r="P387" s="14" t="s">
        <v>2804</v>
      </c>
      <c r="Q387" s="14" t="s">
        <v>193</v>
      </c>
      <c r="R387" s="14" t="s">
        <v>2805</v>
      </c>
      <c r="S387" s="14" t="s">
        <v>563</v>
      </c>
      <c r="T387" s="14" t="s">
        <v>564</v>
      </c>
      <c r="U387" s="14" t="s">
        <v>528</v>
      </c>
      <c r="V387" s="48">
        <f>SUMIF(Data!$E:$E,$I387,Data!$AI:$AI)</f>
        <v>0</v>
      </c>
    </row>
    <row r="388" spans="1:22" x14ac:dyDescent="0.25">
      <c r="A388" s="47" t="s">
        <v>1212</v>
      </c>
      <c r="B388" s="47" t="s">
        <v>123</v>
      </c>
      <c r="C388" s="47">
        <v>6172561</v>
      </c>
      <c r="D388" s="47">
        <v>8.3099999999999993E-2</v>
      </c>
      <c r="E388" s="48">
        <f>SUMIF(Data!$E:$E,$C388,Data!$AI:$AI)</f>
        <v>0</v>
      </c>
      <c r="I388" s="14" t="s">
        <v>2806</v>
      </c>
      <c r="J388" s="14" t="s">
        <v>2807</v>
      </c>
      <c r="K388" s="14" t="s">
        <v>140</v>
      </c>
      <c r="L388" s="14" t="s">
        <v>2531</v>
      </c>
      <c r="M388" s="14" t="s">
        <v>2808</v>
      </c>
      <c r="N388" s="14">
        <v>4.609</v>
      </c>
      <c r="O388" s="14" t="s">
        <v>2809</v>
      </c>
      <c r="P388" s="14" t="s">
        <v>2810</v>
      </c>
      <c r="Q388" s="14" t="s">
        <v>737</v>
      </c>
      <c r="R388" s="14" t="s">
        <v>2811</v>
      </c>
      <c r="S388" s="14" t="s">
        <v>229</v>
      </c>
      <c r="T388" s="14" t="s">
        <v>230</v>
      </c>
      <c r="U388" s="14" t="s">
        <v>231</v>
      </c>
      <c r="V388" s="48">
        <f>SUMIF(Data!$E:$E,$I388,Data!$AI:$AI)</f>
        <v>0</v>
      </c>
    </row>
    <row r="389" spans="1:22" x14ac:dyDescent="0.25">
      <c r="A389" s="47" t="s">
        <v>1212</v>
      </c>
      <c r="B389" s="47" t="s">
        <v>123</v>
      </c>
      <c r="C389" s="47" t="s">
        <v>2812</v>
      </c>
      <c r="D389" s="47">
        <v>7.8700000000000006E-2</v>
      </c>
      <c r="E389" s="48">
        <f>SUMIF(Data!$E:$E,$C389,Data!$AI:$AI)</f>
        <v>0</v>
      </c>
      <c r="I389" s="14" t="s">
        <v>2813</v>
      </c>
      <c r="J389" s="14" t="s">
        <v>2814</v>
      </c>
      <c r="K389" s="14" t="s">
        <v>140</v>
      </c>
      <c r="L389" s="14" t="s">
        <v>2531</v>
      </c>
      <c r="M389" s="14" t="s">
        <v>2815</v>
      </c>
      <c r="N389" s="14">
        <v>38.915999999999997</v>
      </c>
      <c r="O389" s="14" t="s">
        <v>2816</v>
      </c>
      <c r="P389" s="14" t="s">
        <v>2817</v>
      </c>
      <c r="Q389" s="14" t="s">
        <v>211</v>
      </c>
      <c r="R389" s="14" t="s">
        <v>2818</v>
      </c>
      <c r="S389" s="14" t="s">
        <v>229</v>
      </c>
      <c r="T389" s="14" t="s">
        <v>230</v>
      </c>
      <c r="U389" s="14" t="s">
        <v>231</v>
      </c>
      <c r="V389" s="48">
        <f>SUMIF(Data!$E:$E,$I389,Data!$AI:$AI)</f>
        <v>0</v>
      </c>
    </row>
    <row r="390" spans="1:22" x14ac:dyDescent="0.25">
      <c r="A390" s="47" t="s">
        <v>1212</v>
      </c>
      <c r="B390" s="47" t="s">
        <v>123</v>
      </c>
      <c r="C390" s="47" t="s">
        <v>2819</v>
      </c>
      <c r="D390" s="47">
        <v>0.11559999999999999</v>
      </c>
      <c r="E390" s="48">
        <f>SUMIF(Data!$E:$E,$C390,Data!$AI:$AI)</f>
        <v>0</v>
      </c>
      <c r="I390" s="14" t="s">
        <v>2820</v>
      </c>
      <c r="J390" s="14" t="s">
        <v>2821</v>
      </c>
      <c r="K390" s="14" t="s">
        <v>140</v>
      </c>
      <c r="L390" s="14" t="s">
        <v>2531</v>
      </c>
      <c r="M390" s="14" t="s">
        <v>2822</v>
      </c>
      <c r="N390" s="14">
        <v>179.828</v>
      </c>
      <c r="O390" s="14" t="s">
        <v>2823</v>
      </c>
      <c r="P390" s="14" t="s">
        <v>2824</v>
      </c>
      <c r="Q390" s="14" t="s">
        <v>175</v>
      </c>
      <c r="R390" s="14" t="s">
        <v>2825</v>
      </c>
      <c r="S390" s="14" t="s">
        <v>148</v>
      </c>
      <c r="T390" s="14" t="s">
        <v>149</v>
      </c>
      <c r="U390" s="14" t="s">
        <v>113</v>
      </c>
      <c r="V390" s="48">
        <f>SUMIF(Data!$E:$E,$I390,Data!$AI:$AI)</f>
        <v>0</v>
      </c>
    </row>
    <row r="391" spans="1:22" x14ac:dyDescent="0.25">
      <c r="A391" s="47" t="s">
        <v>1212</v>
      </c>
      <c r="B391" s="47" t="s">
        <v>123</v>
      </c>
      <c r="C391" s="47" t="s">
        <v>2826</v>
      </c>
      <c r="D391" s="47">
        <v>0.13020000000000001</v>
      </c>
      <c r="E391" s="48">
        <f>SUMIF(Data!$E:$E,$C391,Data!$AI:$AI)</f>
        <v>0</v>
      </c>
      <c r="I391" s="14" t="s">
        <v>2827</v>
      </c>
      <c r="J391" s="14" t="s">
        <v>2828</v>
      </c>
      <c r="K391" s="14" t="s">
        <v>140</v>
      </c>
      <c r="L391" s="14" t="s">
        <v>2531</v>
      </c>
      <c r="M391" s="14" t="s">
        <v>2829</v>
      </c>
      <c r="N391" s="14">
        <v>171.01300000000001</v>
      </c>
      <c r="O391" s="14" t="s">
        <v>2830</v>
      </c>
      <c r="P391" s="14" t="s">
        <v>2831</v>
      </c>
      <c r="Q391" s="14" t="s">
        <v>193</v>
      </c>
      <c r="R391" s="14" t="s">
        <v>2832</v>
      </c>
      <c r="S391" s="14" t="s">
        <v>195</v>
      </c>
      <c r="T391" s="14" t="s">
        <v>149</v>
      </c>
      <c r="U391" s="14" t="s">
        <v>113</v>
      </c>
      <c r="V391" s="48">
        <f>SUMIF(Data!$E:$E,$I391,Data!$AI:$AI)</f>
        <v>0</v>
      </c>
    </row>
    <row r="392" spans="1:22" x14ac:dyDescent="0.25">
      <c r="A392" s="47" t="s">
        <v>1212</v>
      </c>
      <c r="B392" s="47" t="s">
        <v>123</v>
      </c>
      <c r="C392" s="47" t="s">
        <v>2833</v>
      </c>
      <c r="D392" s="47">
        <v>0.1123</v>
      </c>
      <c r="E392" s="48">
        <f>SUMIF(Data!$E:$E,$C392,Data!$AI:$AI)</f>
        <v>0</v>
      </c>
      <c r="I392" s="14" t="s">
        <v>2834</v>
      </c>
      <c r="J392" s="14" t="s">
        <v>2835</v>
      </c>
      <c r="K392" s="14" t="s">
        <v>140</v>
      </c>
      <c r="L392" s="14" t="s">
        <v>2531</v>
      </c>
      <c r="M392" s="14" t="s">
        <v>2836</v>
      </c>
      <c r="N392" s="14">
        <v>81.66</v>
      </c>
      <c r="O392" s="14" t="s">
        <v>2837</v>
      </c>
      <c r="P392" s="14" t="s">
        <v>2838</v>
      </c>
      <c r="Q392" s="14" t="s">
        <v>419</v>
      </c>
      <c r="R392" s="14" t="s">
        <v>2839</v>
      </c>
      <c r="S392" s="14" t="s">
        <v>195</v>
      </c>
      <c r="T392" s="14" t="s">
        <v>149</v>
      </c>
      <c r="U392" s="14" t="s">
        <v>113</v>
      </c>
      <c r="V392" s="48">
        <f>SUMIF(Data!$E:$E,$I392,Data!$AI:$AI)</f>
        <v>0</v>
      </c>
    </row>
    <row r="393" spans="1:22" x14ac:dyDescent="0.25">
      <c r="A393" s="47" t="s">
        <v>1212</v>
      </c>
      <c r="B393" s="47" t="s">
        <v>123</v>
      </c>
      <c r="C393" s="47" t="s">
        <v>2840</v>
      </c>
      <c r="D393" s="47">
        <v>9.35E-2</v>
      </c>
      <c r="E393" s="48">
        <f>SUMIF(Data!$E:$E,$C393,Data!$AI:$AI)</f>
        <v>0</v>
      </c>
      <c r="I393" s="14" t="s">
        <v>2841</v>
      </c>
      <c r="J393" s="14" t="s">
        <v>2842</v>
      </c>
      <c r="K393" s="14" t="s">
        <v>140</v>
      </c>
      <c r="L393" s="14" t="s">
        <v>2531</v>
      </c>
      <c r="M393" s="14" t="s">
        <v>2843</v>
      </c>
      <c r="N393" s="14">
        <v>68.182000000000002</v>
      </c>
      <c r="O393" s="14" t="s">
        <v>2844</v>
      </c>
      <c r="P393" s="14" t="s">
        <v>2845</v>
      </c>
      <c r="Q393" s="14" t="s">
        <v>419</v>
      </c>
      <c r="R393" s="14" t="s">
        <v>2846</v>
      </c>
      <c r="S393" s="14" t="s">
        <v>195</v>
      </c>
      <c r="T393" s="14" t="s">
        <v>149</v>
      </c>
      <c r="U393" s="14" t="s">
        <v>113</v>
      </c>
      <c r="V393" s="48">
        <f>SUMIF(Data!$E:$E,$I393,Data!$AI:$AI)</f>
        <v>0</v>
      </c>
    </row>
    <row r="394" spans="1:22" x14ac:dyDescent="0.25">
      <c r="A394" s="47" t="s">
        <v>1212</v>
      </c>
      <c r="B394" s="47" t="s">
        <v>123</v>
      </c>
      <c r="C394" s="47" t="s">
        <v>2847</v>
      </c>
      <c r="D394" s="47">
        <v>0.126</v>
      </c>
      <c r="E394" s="48">
        <f>SUMIF(Data!$E:$E,$C394,Data!$AI:$AI)</f>
        <v>0</v>
      </c>
      <c r="I394" s="14">
        <v>2914</v>
      </c>
      <c r="J394" s="14" t="s">
        <v>2848</v>
      </c>
      <c r="K394" s="14" t="s">
        <v>140</v>
      </c>
      <c r="L394" s="14" t="s">
        <v>2531</v>
      </c>
      <c r="M394" s="14" t="s">
        <v>2849</v>
      </c>
      <c r="N394" s="14">
        <v>634.89800000000002</v>
      </c>
      <c r="O394" s="14" t="s">
        <v>2850</v>
      </c>
      <c r="P394" s="14" t="s">
        <v>2851</v>
      </c>
      <c r="Q394" s="14" t="s">
        <v>227</v>
      </c>
      <c r="R394" s="14" t="s">
        <v>2852</v>
      </c>
      <c r="S394" s="14" t="s">
        <v>444</v>
      </c>
      <c r="T394" s="14" t="s">
        <v>445</v>
      </c>
      <c r="U394" s="14" t="s">
        <v>446</v>
      </c>
      <c r="V394" s="48">
        <f>SUMIF(Data!$E:$E,$I394,Data!$AI:$AI)</f>
        <v>0</v>
      </c>
    </row>
    <row r="395" spans="1:22" x14ac:dyDescent="0.25">
      <c r="A395" s="47" t="s">
        <v>1212</v>
      </c>
      <c r="B395" s="47" t="s">
        <v>123</v>
      </c>
      <c r="C395" s="47" t="s">
        <v>2853</v>
      </c>
      <c r="D395" s="47">
        <v>8.6099999999999996E-2</v>
      </c>
      <c r="E395" s="48">
        <f>SUMIF(Data!$E:$E,$C395,Data!$AI:$AI)</f>
        <v>0</v>
      </c>
      <c r="I395" s="14" t="s">
        <v>2854</v>
      </c>
      <c r="J395" s="14" t="s">
        <v>2855</v>
      </c>
      <c r="K395" s="14" t="s">
        <v>140</v>
      </c>
      <c r="L395" s="14" t="s">
        <v>2531</v>
      </c>
      <c r="M395" s="14" t="s">
        <v>2856</v>
      </c>
      <c r="N395" s="14">
        <v>388.99400000000003</v>
      </c>
      <c r="O395" s="14" t="s">
        <v>2857</v>
      </c>
      <c r="P395" s="14" t="s">
        <v>2858</v>
      </c>
      <c r="Q395" s="14" t="s">
        <v>697</v>
      </c>
      <c r="R395" s="14" t="s">
        <v>2859</v>
      </c>
      <c r="S395" s="14" t="s">
        <v>195</v>
      </c>
      <c r="T395" s="14" t="s">
        <v>149</v>
      </c>
      <c r="U395" s="14" t="s">
        <v>113</v>
      </c>
      <c r="V395" s="48">
        <f>SUMIF(Data!$E:$E,$I395,Data!$AI:$AI)</f>
        <v>0</v>
      </c>
    </row>
    <row r="396" spans="1:22" x14ac:dyDescent="0.25">
      <c r="A396" s="47" t="s">
        <v>1212</v>
      </c>
      <c r="B396" s="47" t="s">
        <v>123</v>
      </c>
      <c r="C396" s="47" t="s">
        <v>2860</v>
      </c>
      <c r="D396" s="47">
        <v>0.14549999999999999</v>
      </c>
      <c r="E396" s="48">
        <f>SUMIF(Data!$E:$E,$C396,Data!$AI:$AI)</f>
        <v>0</v>
      </c>
      <c r="I396" s="14" t="s">
        <v>2861</v>
      </c>
      <c r="J396" s="14" t="s">
        <v>2862</v>
      </c>
      <c r="K396" s="14" t="s">
        <v>140</v>
      </c>
      <c r="L396" s="14" t="s">
        <v>2531</v>
      </c>
      <c r="M396" s="14" t="s">
        <v>2863</v>
      </c>
      <c r="N396" s="14">
        <v>213.63200000000001</v>
      </c>
      <c r="O396" s="14" t="s">
        <v>2864</v>
      </c>
      <c r="P396" s="14" t="s">
        <v>2865</v>
      </c>
      <c r="Q396" s="14" t="s">
        <v>211</v>
      </c>
      <c r="R396" s="14" t="s">
        <v>2866</v>
      </c>
      <c r="S396" s="14" t="s">
        <v>195</v>
      </c>
      <c r="T396" s="14" t="s">
        <v>149</v>
      </c>
      <c r="U396" s="14" t="s">
        <v>113</v>
      </c>
      <c r="V396" s="48">
        <f>SUMIF(Data!$E:$E,$I396,Data!$AI:$AI)</f>
        <v>0</v>
      </c>
    </row>
    <row r="397" spans="1:22" x14ac:dyDescent="0.25">
      <c r="A397" s="47" t="s">
        <v>1212</v>
      </c>
      <c r="B397" s="47" t="s">
        <v>123</v>
      </c>
      <c r="C397" s="47" t="s">
        <v>2867</v>
      </c>
      <c r="D397" s="47">
        <v>8.8999999999999996E-2</v>
      </c>
      <c r="E397" s="48">
        <f>SUMIF(Data!$E:$E,$C397,Data!$AI:$AI)</f>
        <v>0</v>
      </c>
      <c r="I397" s="14" t="s">
        <v>2868</v>
      </c>
      <c r="J397" s="14" t="s">
        <v>2869</v>
      </c>
      <c r="K397" s="14" t="s">
        <v>140</v>
      </c>
      <c r="L397" s="14" t="s">
        <v>2531</v>
      </c>
      <c r="M397" s="14" t="s">
        <v>2870</v>
      </c>
      <c r="N397" s="14">
        <v>163.072</v>
      </c>
      <c r="O397" s="14" t="s">
        <v>2871</v>
      </c>
      <c r="P397" s="14" t="s">
        <v>2872</v>
      </c>
      <c r="Q397" s="14" t="s">
        <v>697</v>
      </c>
      <c r="R397" s="14" t="s">
        <v>2873</v>
      </c>
      <c r="S397" s="14" t="s">
        <v>195</v>
      </c>
      <c r="T397" s="14" t="s">
        <v>149</v>
      </c>
      <c r="U397" s="14" t="s">
        <v>113</v>
      </c>
      <c r="V397" s="48">
        <f>SUMIF(Data!$E:$E,$I397,Data!$AI:$AI)</f>
        <v>0</v>
      </c>
    </row>
    <row r="398" spans="1:22" x14ac:dyDescent="0.25">
      <c r="A398" s="47" t="s">
        <v>1212</v>
      </c>
      <c r="B398" s="47" t="s">
        <v>123</v>
      </c>
      <c r="C398" s="47" t="s">
        <v>2874</v>
      </c>
      <c r="D398" s="47">
        <v>0.13420000000000001</v>
      </c>
      <c r="E398" s="48">
        <f>SUMIF(Data!$E:$E,$C398,Data!$AI:$AI)</f>
        <v>0</v>
      </c>
      <c r="I398" s="14" t="s">
        <v>2875</v>
      </c>
      <c r="J398" s="14" t="s">
        <v>2876</v>
      </c>
      <c r="K398" s="14" t="s">
        <v>140</v>
      </c>
      <c r="L398" s="14" t="s">
        <v>2531</v>
      </c>
      <c r="M398" s="14" t="s">
        <v>2877</v>
      </c>
      <c r="N398" s="14">
        <v>86.210999999999999</v>
      </c>
      <c r="O398" s="14" t="s">
        <v>2878</v>
      </c>
      <c r="P398" s="14" t="s">
        <v>2879</v>
      </c>
      <c r="Q398" s="14" t="s">
        <v>211</v>
      </c>
      <c r="R398" s="14" t="s">
        <v>2880</v>
      </c>
      <c r="S398" s="14" t="s">
        <v>195</v>
      </c>
      <c r="T398" s="14" t="s">
        <v>149</v>
      </c>
      <c r="U398" s="14" t="s">
        <v>113</v>
      </c>
      <c r="V398" s="48">
        <f>SUMIF(Data!$E:$E,$I398,Data!$AI:$AI)</f>
        <v>0</v>
      </c>
    </row>
    <row r="399" spans="1:22" x14ac:dyDescent="0.25">
      <c r="A399" s="47" t="s">
        <v>1212</v>
      </c>
      <c r="B399" s="47" t="s">
        <v>123</v>
      </c>
      <c r="C399" s="47" t="s">
        <v>2881</v>
      </c>
      <c r="D399" s="47">
        <v>9.4E-2</v>
      </c>
      <c r="E399" s="48">
        <f>SUMIF(Data!$E:$E,$C399,Data!$AI:$AI)</f>
        <v>0</v>
      </c>
      <c r="I399" s="14" t="s">
        <v>2882</v>
      </c>
      <c r="J399" s="14" t="s">
        <v>2883</v>
      </c>
      <c r="K399" s="14" t="s">
        <v>140</v>
      </c>
      <c r="L399" s="14" t="s">
        <v>2531</v>
      </c>
      <c r="M399" s="14" t="s">
        <v>2884</v>
      </c>
      <c r="N399" s="14">
        <v>253.364</v>
      </c>
      <c r="O399" s="14" t="s">
        <v>2885</v>
      </c>
      <c r="P399" s="14" t="s">
        <v>2886</v>
      </c>
      <c r="Q399" s="14" t="s">
        <v>737</v>
      </c>
      <c r="R399" s="14" t="s">
        <v>2887</v>
      </c>
      <c r="S399" s="14" t="s">
        <v>229</v>
      </c>
      <c r="T399" s="14" t="s">
        <v>230</v>
      </c>
      <c r="U399" s="14" t="s">
        <v>231</v>
      </c>
      <c r="V399" s="48">
        <f>SUMIF(Data!$E:$E,$I399,Data!$AI:$AI)</f>
        <v>0</v>
      </c>
    </row>
    <row r="400" spans="1:22" x14ac:dyDescent="0.25">
      <c r="A400" s="47" t="s">
        <v>1212</v>
      </c>
      <c r="B400" s="47" t="s">
        <v>123</v>
      </c>
      <c r="C400" s="47" t="s">
        <v>2888</v>
      </c>
      <c r="D400" s="47">
        <v>4.4200000000000003E-2</v>
      </c>
      <c r="E400" s="48">
        <f>SUMIF(Data!$E:$E,$C400,Data!$AI:$AI)</f>
        <v>0</v>
      </c>
      <c r="I400" s="14" t="s">
        <v>2889</v>
      </c>
      <c r="J400" s="14" t="s">
        <v>2890</v>
      </c>
      <c r="K400" s="14" t="s">
        <v>140</v>
      </c>
      <c r="L400" s="14" t="s">
        <v>2531</v>
      </c>
      <c r="M400" s="14" t="s">
        <v>2891</v>
      </c>
      <c r="N400" s="14">
        <v>160.59899999999999</v>
      </c>
      <c r="O400" s="14" t="s">
        <v>2892</v>
      </c>
      <c r="P400" s="14" t="s">
        <v>2893</v>
      </c>
      <c r="Q400" s="14" t="s">
        <v>146</v>
      </c>
      <c r="R400" s="14" t="s">
        <v>2894</v>
      </c>
      <c r="S400" s="14" t="s">
        <v>148</v>
      </c>
      <c r="T400" s="14" t="s">
        <v>149</v>
      </c>
      <c r="U400" s="14" t="s">
        <v>113</v>
      </c>
      <c r="V400" s="48">
        <f>SUMIF(Data!$E:$E,$I400,Data!$AI:$AI)</f>
        <v>0</v>
      </c>
    </row>
    <row r="401" spans="1:22" x14ac:dyDescent="0.25">
      <c r="A401" s="47" t="s">
        <v>1212</v>
      </c>
      <c r="B401" s="47" t="s">
        <v>123</v>
      </c>
      <c r="C401" s="47" t="s">
        <v>2895</v>
      </c>
      <c r="D401" s="47">
        <v>7.7200000000000005E-2</v>
      </c>
      <c r="E401" s="48">
        <f>SUMIF(Data!$E:$E,$C401,Data!$AI:$AI)</f>
        <v>0</v>
      </c>
      <c r="I401" s="14" t="s">
        <v>2896</v>
      </c>
      <c r="J401" s="14" t="s">
        <v>2897</v>
      </c>
      <c r="K401" s="14" t="s">
        <v>140</v>
      </c>
      <c r="L401" s="14" t="s">
        <v>2531</v>
      </c>
      <c r="M401" s="14" t="s">
        <v>2898</v>
      </c>
      <c r="N401" s="14">
        <v>57.470999999999997</v>
      </c>
      <c r="O401" s="14" t="s">
        <v>2899</v>
      </c>
      <c r="P401" s="14" t="s">
        <v>2900</v>
      </c>
      <c r="Q401" s="14" t="s">
        <v>146</v>
      </c>
      <c r="R401" s="14" t="s">
        <v>2901</v>
      </c>
      <c r="S401" s="14" t="s">
        <v>195</v>
      </c>
      <c r="T401" s="14" t="s">
        <v>149</v>
      </c>
      <c r="U401" s="14" t="s">
        <v>113</v>
      </c>
      <c r="V401" s="48">
        <f>SUMIF(Data!$E:$E,$I401,Data!$AI:$AI)</f>
        <v>0</v>
      </c>
    </row>
    <row r="402" spans="1:22" x14ac:dyDescent="0.25">
      <c r="A402" s="47" t="s">
        <v>1212</v>
      </c>
      <c r="B402" s="47" t="s">
        <v>123</v>
      </c>
      <c r="C402" s="47" t="s">
        <v>2902</v>
      </c>
      <c r="D402" s="47">
        <v>0.1421</v>
      </c>
      <c r="E402" s="48">
        <f>SUMIF(Data!$E:$E,$C402,Data!$AI:$AI)</f>
        <v>0</v>
      </c>
      <c r="I402" s="14" t="s">
        <v>2903</v>
      </c>
      <c r="J402" s="14" t="s">
        <v>2904</v>
      </c>
      <c r="K402" s="14" t="s">
        <v>140</v>
      </c>
      <c r="L402" s="14" t="s">
        <v>2531</v>
      </c>
      <c r="M402" s="14" t="s">
        <v>2905</v>
      </c>
      <c r="N402" s="14">
        <v>48.933999999999997</v>
      </c>
      <c r="O402" s="14" t="s">
        <v>2906</v>
      </c>
      <c r="P402" s="14" t="s">
        <v>2907</v>
      </c>
      <c r="Q402" s="14" t="s">
        <v>419</v>
      </c>
      <c r="R402" s="14" t="s">
        <v>2908</v>
      </c>
      <c r="S402" s="14" t="s">
        <v>148</v>
      </c>
      <c r="T402" s="14" t="s">
        <v>149</v>
      </c>
      <c r="U402" s="14" t="s">
        <v>113</v>
      </c>
      <c r="V402" s="48">
        <f>SUMIF(Data!$E:$E,$I402,Data!$AI:$AI)</f>
        <v>0</v>
      </c>
    </row>
    <row r="403" spans="1:22" x14ac:dyDescent="0.25">
      <c r="A403" s="47" t="s">
        <v>1212</v>
      </c>
      <c r="B403" s="47" t="s">
        <v>123</v>
      </c>
      <c r="C403" s="47" t="s">
        <v>2909</v>
      </c>
      <c r="D403" s="47">
        <v>4.7100000000000003E-2</v>
      </c>
      <c r="E403" s="48">
        <f>SUMIF(Data!$E:$E,$C403,Data!$AI:$AI)</f>
        <v>0</v>
      </c>
      <c r="I403" s="14" t="s">
        <v>2910</v>
      </c>
      <c r="J403" s="14" t="s">
        <v>2911</v>
      </c>
      <c r="K403" s="14" t="s">
        <v>140</v>
      </c>
      <c r="L403" s="14" t="s">
        <v>2531</v>
      </c>
      <c r="M403" s="14" t="s">
        <v>2912</v>
      </c>
      <c r="N403" s="14">
        <v>74.957999999999998</v>
      </c>
      <c r="O403" s="14" t="s">
        <v>2913</v>
      </c>
      <c r="P403" s="14" t="s">
        <v>2914</v>
      </c>
      <c r="Q403" s="14" t="s">
        <v>737</v>
      </c>
      <c r="R403" s="14" t="s">
        <v>2915</v>
      </c>
      <c r="S403" s="14" t="s">
        <v>229</v>
      </c>
      <c r="T403" s="14" t="s">
        <v>230</v>
      </c>
      <c r="U403" s="14" t="s">
        <v>231</v>
      </c>
      <c r="V403" s="48">
        <f>SUMIF(Data!$E:$E,$I403,Data!$AI:$AI)</f>
        <v>0</v>
      </c>
    </row>
    <row r="404" spans="1:22" x14ac:dyDescent="0.25">
      <c r="A404" s="47" t="s">
        <v>1212</v>
      </c>
      <c r="B404" s="47" t="s">
        <v>123</v>
      </c>
      <c r="C404" s="47" t="s">
        <v>2916</v>
      </c>
      <c r="D404" s="47">
        <v>4.3299999999999998E-2</v>
      </c>
      <c r="E404" s="48">
        <f>SUMIF(Data!$E:$E,$C404,Data!$AI:$AI)</f>
        <v>0</v>
      </c>
      <c r="I404" s="14" t="s">
        <v>2917</v>
      </c>
      <c r="J404" s="14" t="s">
        <v>2918</v>
      </c>
      <c r="K404" s="14" t="s">
        <v>140</v>
      </c>
      <c r="L404" s="14" t="s">
        <v>2531</v>
      </c>
      <c r="M404" s="14" t="s">
        <v>2919</v>
      </c>
      <c r="N404" s="14">
        <v>207.17500000000001</v>
      </c>
      <c r="O404" s="14" t="s">
        <v>2920</v>
      </c>
      <c r="P404" s="14" t="s">
        <v>2921</v>
      </c>
      <c r="Q404" s="14" t="s">
        <v>227</v>
      </c>
      <c r="R404" s="14" t="s">
        <v>2922</v>
      </c>
      <c r="S404" s="14" t="s">
        <v>148</v>
      </c>
      <c r="T404" s="14" t="s">
        <v>149</v>
      </c>
      <c r="U404" s="14" t="s">
        <v>113</v>
      </c>
      <c r="V404" s="48">
        <f>SUMIF(Data!$E:$E,$I404,Data!$AI:$AI)</f>
        <v>0</v>
      </c>
    </row>
    <row r="405" spans="1:22" x14ac:dyDescent="0.25">
      <c r="A405" s="47" t="s">
        <v>1212</v>
      </c>
      <c r="B405" s="47" t="s">
        <v>123</v>
      </c>
      <c r="C405" s="47" t="s">
        <v>2923</v>
      </c>
      <c r="D405" s="47">
        <v>5.1999999999999998E-2</v>
      </c>
      <c r="E405" s="48">
        <f>SUMIF(Data!$E:$E,$C405,Data!$AI:$AI)</f>
        <v>0</v>
      </c>
      <c r="I405" s="14" t="s">
        <v>2924</v>
      </c>
      <c r="J405" s="14" t="s">
        <v>2925</v>
      </c>
      <c r="K405" s="14" t="s">
        <v>140</v>
      </c>
      <c r="L405" s="14" t="s">
        <v>2531</v>
      </c>
      <c r="M405" s="14" t="s">
        <v>2926</v>
      </c>
      <c r="N405" s="14" t="s">
        <v>2927</v>
      </c>
      <c r="O405" s="14" t="s">
        <v>2928</v>
      </c>
      <c r="P405" s="14" t="s">
        <v>2929</v>
      </c>
      <c r="Q405" s="14" t="s">
        <v>146</v>
      </c>
      <c r="R405" s="14" t="s">
        <v>2930</v>
      </c>
      <c r="S405" s="14" t="s">
        <v>2931</v>
      </c>
      <c r="T405" s="14" t="s">
        <v>2932</v>
      </c>
      <c r="U405" s="14" t="s">
        <v>2933</v>
      </c>
      <c r="V405" s="48">
        <f>SUMIF(Data!$E:$E,$I405,Data!$AI:$AI)</f>
        <v>0</v>
      </c>
    </row>
    <row r="406" spans="1:22" x14ac:dyDescent="0.25">
      <c r="A406" s="47" t="s">
        <v>1212</v>
      </c>
      <c r="B406" s="47" t="s">
        <v>123</v>
      </c>
      <c r="C406" s="47" t="s">
        <v>2934</v>
      </c>
      <c r="D406" s="47">
        <v>6.8599999999999994E-2</v>
      </c>
      <c r="E406" s="48">
        <f>SUMIF(Data!$E:$E,$C406,Data!$AI:$AI)</f>
        <v>0</v>
      </c>
      <c r="I406" s="14" t="s">
        <v>2935</v>
      </c>
      <c r="J406" s="14" t="s">
        <v>2936</v>
      </c>
      <c r="K406" s="14" t="s">
        <v>140</v>
      </c>
      <c r="L406" s="14" t="s">
        <v>2531</v>
      </c>
      <c r="M406" s="14" t="s">
        <v>1052</v>
      </c>
      <c r="N406" s="14">
        <v>65.656999999999996</v>
      </c>
      <c r="O406" s="14" t="s">
        <v>2937</v>
      </c>
      <c r="P406" s="14" t="s">
        <v>2938</v>
      </c>
      <c r="Q406" s="14" t="s">
        <v>419</v>
      </c>
      <c r="R406" s="14" t="s">
        <v>2939</v>
      </c>
      <c r="S406" s="14" t="s">
        <v>195</v>
      </c>
      <c r="T406" s="14" t="s">
        <v>149</v>
      </c>
      <c r="U406" s="14" t="s">
        <v>113</v>
      </c>
      <c r="V406" s="48">
        <f>SUMIF(Data!$E:$E,$I406,Data!$AI:$AI)</f>
        <v>0</v>
      </c>
    </row>
    <row r="407" spans="1:22" x14ac:dyDescent="0.25">
      <c r="A407" s="47" t="s">
        <v>1212</v>
      </c>
      <c r="B407" s="47" t="s">
        <v>123</v>
      </c>
      <c r="C407" s="47">
        <v>6478957</v>
      </c>
      <c r="D407" s="47">
        <v>0.14099999999999999</v>
      </c>
      <c r="E407" s="48">
        <f>SUMIF(Data!$E:$E,$C407,Data!$AI:$AI)</f>
        <v>0</v>
      </c>
      <c r="I407" s="14" t="s">
        <v>2940</v>
      </c>
      <c r="J407" s="14" t="s">
        <v>2941</v>
      </c>
      <c r="K407" s="14" t="s">
        <v>140</v>
      </c>
      <c r="L407" s="14" t="s">
        <v>2942</v>
      </c>
      <c r="M407" s="14" t="s">
        <v>2943</v>
      </c>
      <c r="N407" s="14">
        <v>77.268000000000001</v>
      </c>
      <c r="O407" s="14" t="s">
        <v>2944</v>
      </c>
      <c r="P407" s="14" t="s">
        <v>2945</v>
      </c>
      <c r="Q407" s="14" t="s">
        <v>146</v>
      </c>
      <c r="R407" s="14" t="s">
        <v>2946</v>
      </c>
      <c r="S407" s="14" t="s">
        <v>148</v>
      </c>
      <c r="T407" s="14" t="s">
        <v>149</v>
      </c>
      <c r="U407" s="14" t="s">
        <v>113</v>
      </c>
      <c r="V407" s="48">
        <f>SUMIF(Data!$E:$E,$I407,Data!$AI:$AI)</f>
        <v>0</v>
      </c>
    </row>
    <row r="408" spans="1:22" x14ac:dyDescent="0.25">
      <c r="A408" s="47" t="s">
        <v>1212</v>
      </c>
      <c r="B408" s="47" t="s">
        <v>123</v>
      </c>
      <c r="C408" s="47" t="s">
        <v>2947</v>
      </c>
      <c r="D408" s="47">
        <v>3.0800000000000001E-2</v>
      </c>
      <c r="E408" s="48">
        <f>SUMIF(Data!$E:$E,$C408,Data!$AI:$AI)</f>
        <v>0</v>
      </c>
      <c r="I408" s="14">
        <v>1</v>
      </c>
      <c r="J408" s="14" t="s">
        <v>2948</v>
      </c>
      <c r="K408" s="14" t="s">
        <v>140</v>
      </c>
      <c r="L408" s="14" t="s">
        <v>2942</v>
      </c>
      <c r="M408" s="14" t="s">
        <v>2949</v>
      </c>
      <c r="N408" s="14" t="s">
        <v>2950</v>
      </c>
      <c r="O408" s="14" t="s">
        <v>2951</v>
      </c>
      <c r="P408" s="14" t="s">
        <v>2952</v>
      </c>
      <c r="Q408" s="14" t="s">
        <v>419</v>
      </c>
      <c r="R408" s="14" t="s">
        <v>2953</v>
      </c>
      <c r="S408" s="14" t="s">
        <v>552</v>
      </c>
      <c r="T408" s="14" t="s">
        <v>553</v>
      </c>
      <c r="U408" s="14" t="s">
        <v>554</v>
      </c>
      <c r="V408" s="48">
        <f>SUMIF(Data!$E:$E,$I408,Data!$AI:$AI)</f>
        <v>0</v>
      </c>
    </row>
    <row r="409" spans="1:22" x14ac:dyDescent="0.25">
      <c r="A409" s="47" t="s">
        <v>1212</v>
      </c>
      <c r="B409" s="47" t="s">
        <v>123</v>
      </c>
      <c r="C409" s="47" t="s">
        <v>2954</v>
      </c>
      <c r="D409" s="47">
        <v>2.6100000000000002E-2</v>
      </c>
      <c r="E409" s="48">
        <f>SUMIF(Data!$E:$E,$C409,Data!$AI:$AI)</f>
        <v>0</v>
      </c>
      <c r="I409" s="14" t="s">
        <v>2955</v>
      </c>
      <c r="J409" s="14" t="s">
        <v>2956</v>
      </c>
      <c r="K409" s="14" t="s">
        <v>140</v>
      </c>
      <c r="L409" s="14" t="s">
        <v>2942</v>
      </c>
      <c r="M409" s="14" t="s">
        <v>2957</v>
      </c>
      <c r="N409" s="14">
        <v>233.24600000000001</v>
      </c>
      <c r="O409" s="14" t="s">
        <v>2958</v>
      </c>
      <c r="P409" s="14" t="s">
        <v>2959</v>
      </c>
      <c r="Q409" s="14" t="s">
        <v>211</v>
      </c>
      <c r="R409" s="14" t="s">
        <v>2960</v>
      </c>
      <c r="S409" s="14" t="s">
        <v>229</v>
      </c>
      <c r="T409" s="14" t="s">
        <v>230</v>
      </c>
      <c r="U409" s="14" t="s">
        <v>231</v>
      </c>
      <c r="V409" s="48">
        <f>SUMIF(Data!$E:$E,$I409,Data!$AI:$AI)</f>
        <v>0</v>
      </c>
    </row>
    <row r="410" spans="1:22" x14ac:dyDescent="0.25">
      <c r="A410" s="47" t="s">
        <v>1212</v>
      </c>
      <c r="B410" s="47" t="s">
        <v>123</v>
      </c>
      <c r="C410" s="47" t="s">
        <v>2961</v>
      </c>
      <c r="D410" s="47">
        <v>9.3399999999999997E-2</v>
      </c>
      <c r="E410" s="48">
        <f>SUMIF(Data!$E:$E,$C410,Data!$AI:$AI)</f>
        <v>0</v>
      </c>
      <c r="I410" s="14" t="s">
        <v>2962</v>
      </c>
      <c r="J410" s="14" t="s">
        <v>2963</v>
      </c>
      <c r="K410" s="14" t="s">
        <v>140</v>
      </c>
      <c r="L410" s="14" t="s">
        <v>2942</v>
      </c>
      <c r="M410" s="14" t="s">
        <v>2964</v>
      </c>
      <c r="N410" s="14">
        <v>124.16</v>
      </c>
      <c r="O410" s="14" t="s">
        <v>2965</v>
      </c>
      <c r="P410" s="14" t="s">
        <v>2966</v>
      </c>
      <c r="Q410" s="14" t="s">
        <v>193</v>
      </c>
      <c r="R410" s="14" t="s">
        <v>2967</v>
      </c>
      <c r="S410" s="14" t="s">
        <v>148</v>
      </c>
      <c r="T410" s="14" t="s">
        <v>149</v>
      </c>
      <c r="U410" s="14" t="s">
        <v>113</v>
      </c>
      <c r="V410" s="48">
        <f>SUMIF(Data!$E:$E,$I410,Data!$AI:$AI)</f>
        <v>0</v>
      </c>
    </row>
    <row r="411" spans="1:22" x14ac:dyDescent="0.25">
      <c r="A411" s="47" t="s">
        <v>1212</v>
      </c>
      <c r="B411" s="47" t="s">
        <v>123</v>
      </c>
      <c r="C411" s="47" t="s">
        <v>2968</v>
      </c>
      <c r="D411" s="47">
        <v>0.10680000000000001</v>
      </c>
      <c r="E411" s="48">
        <f>SUMIF(Data!$E:$E,$C411,Data!$AI:$AI)</f>
        <v>0</v>
      </c>
      <c r="I411" s="14" t="s">
        <v>2969</v>
      </c>
      <c r="J411" s="14" t="s">
        <v>2970</v>
      </c>
      <c r="K411" s="14" t="s">
        <v>140</v>
      </c>
      <c r="L411" s="14" t="s">
        <v>2942</v>
      </c>
      <c r="M411" s="14" t="s">
        <v>2971</v>
      </c>
      <c r="N411" s="14">
        <v>567.88599999999997</v>
      </c>
      <c r="O411" s="14" t="s">
        <v>2972</v>
      </c>
      <c r="P411" s="14" t="s">
        <v>2973</v>
      </c>
      <c r="Q411" s="14" t="s">
        <v>419</v>
      </c>
      <c r="R411" s="14" t="s">
        <v>2974</v>
      </c>
      <c r="S411" s="14" t="s">
        <v>2931</v>
      </c>
      <c r="T411" s="14" t="s">
        <v>2932</v>
      </c>
      <c r="U411" s="14" t="s">
        <v>2933</v>
      </c>
      <c r="V411" s="48">
        <f>SUMIF(Data!$E:$E,$I411,Data!$AI:$AI)</f>
        <v>0</v>
      </c>
    </row>
    <row r="412" spans="1:22" x14ac:dyDescent="0.25">
      <c r="A412" s="47" t="s">
        <v>1212</v>
      </c>
      <c r="B412" s="47" t="s">
        <v>123</v>
      </c>
      <c r="C412" s="47">
        <v>6317328</v>
      </c>
      <c r="D412" s="47">
        <v>9.5200000000000007E-2</v>
      </c>
      <c r="E412" s="48">
        <f>SUMIF(Data!$E:$E,$C412,Data!$AI:$AI)</f>
        <v>0</v>
      </c>
      <c r="I412" s="14" t="s">
        <v>2975</v>
      </c>
      <c r="J412" s="14" t="s">
        <v>2976</v>
      </c>
      <c r="K412" s="14" t="s">
        <v>140</v>
      </c>
      <c r="L412" s="14" t="s">
        <v>2942</v>
      </c>
      <c r="M412" s="14" t="s">
        <v>2977</v>
      </c>
      <c r="N412" s="14">
        <v>78.11</v>
      </c>
      <c r="O412" s="14" t="s">
        <v>2978</v>
      </c>
      <c r="P412" s="14" t="s">
        <v>2979</v>
      </c>
      <c r="Q412" s="14" t="s">
        <v>193</v>
      </c>
      <c r="R412" s="14" t="s">
        <v>2980</v>
      </c>
      <c r="S412" s="14" t="s">
        <v>195</v>
      </c>
      <c r="T412" s="14" t="s">
        <v>149</v>
      </c>
      <c r="U412" s="14" t="s">
        <v>113</v>
      </c>
      <c r="V412" s="48">
        <f>SUMIF(Data!$E:$E,$I412,Data!$AI:$AI)</f>
        <v>0</v>
      </c>
    </row>
    <row r="413" spans="1:22" x14ac:dyDescent="0.25">
      <c r="A413" s="47" t="s">
        <v>1212</v>
      </c>
      <c r="B413" s="47" t="s">
        <v>123</v>
      </c>
      <c r="C413" s="47" t="s">
        <v>2981</v>
      </c>
      <c r="D413" s="47">
        <v>0.23319999999999999</v>
      </c>
      <c r="E413" s="48">
        <f>SUMIF(Data!$E:$E,$C413,Data!$AI:$AI)</f>
        <v>0</v>
      </c>
      <c r="I413" s="14" t="s">
        <v>2982</v>
      </c>
      <c r="J413" s="14" t="s">
        <v>2983</v>
      </c>
      <c r="K413" s="14" t="s">
        <v>140</v>
      </c>
      <c r="L413" s="14" t="s">
        <v>2942</v>
      </c>
      <c r="M413" s="14" t="s">
        <v>2984</v>
      </c>
      <c r="N413" s="14">
        <v>140.70599999999999</v>
      </c>
      <c r="O413" s="14" t="s">
        <v>2985</v>
      </c>
      <c r="P413" s="14" t="s">
        <v>2986</v>
      </c>
      <c r="Q413" s="14" t="s">
        <v>419</v>
      </c>
      <c r="R413" s="14" t="s">
        <v>2987</v>
      </c>
      <c r="S413" s="14" t="s">
        <v>195</v>
      </c>
      <c r="T413" s="14" t="s">
        <v>149</v>
      </c>
      <c r="U413" s="14" t="s">
        <v>113</v>
      </c>
      <c r="V413" s="48">
        <f>SUMIF(Data!$E:$E,$I413,Data!$AI:$AI)</f>
        <v>0</v>
      </c>
    </row>
    <row r="414" spans="1:22" x14ac:dyDescent="0.25">
      <c r="A414" s="47" t="s">
        <v>1212</v>
      </c>
      <c r="B414" s="47" t="s">
        <v>123</v>
      </c>
      <c r="C414" s="47" t="s">
        <v>2988</v>
      </c>
      <c r="D414" s="47">
        <v>0.24379999999999999</v>
      </c>
      <c r="E414" s="48">
        <f>SUMIF(Data!$E:$E,$C414,Data!$AI:$AI)</f>
        <v>0</v>
      </c>
      <c r="I414" s="14">
        <v>8801</v>
      </c>
      <c r="J414" s="14" t="s">
        <v>2989</v>
      </c>
      <c r="K414" s="14" t="s">
        <v>140</v>
      </c>
      <c r="L414" s="14" t="s">
        <v>2942</v>
      </c>
      <c r="M414" s="14" t="s">
        <v>2990</v>
      </c>
      <c r="N414" s="14">
        <v>527.18600000000004</v>
      </c>
      <c r="O414" s="14" t="s">
        <v>2991</v>
      </c>
      <c r="P414" s="14" t="s">
        <v>2992</v>
      </c>
      <c r="Q414" s="14" t="s">
        <v>809</v>
      </c>
      <c r="R414" s="14" t="s">
        <v>2993</v>
      </c>
      <c r="S414" s="14" t="s">
        <v>444</v>
      </c>
      <c r="T414" s="14" t="s">
        <v>445</v>
      </c>
      <c r="U414" s="14" t="s">
        <v>446</v>
      </c>
      <c r="V414" s="48">
        <f>SUMIF(Data!$E:$E,$I414,Data!$AI:$AI)</f>
        <v>0</v>
      </c>
    </row>
    <row r="415" spans="1:22" x14ac:dyDescent="0.25">
      <c r="A415" s="47" t="s">
        <v>1212</v>
      </c>
      <c r="B415" s="47" t="s">
        <v>123</v>
      </c>
      <c r="C415" s="47" t="s">
        <v>2994</v>
      </c>
      <c r="D415" s="47">
        <v>0.20849999999999999</v>
      </c>
      <c r="E415" s="48">
        <f>SUMIF(Data!$E:$E,$C415,Data!$AI:$AI)</f>
        <v>0</v>
      </c>
      <c r="I415" s="14" t="s">
        <v>2995</v>
      </c>
      <c r="J415" s="14" t="s">
        <v>2996</v>
      </c>
      <c r="K415" s="14" t="s">
        <v>140</v>
      </c>
      <c r="L415" s="14" t="s">
        <v>2942</v>
      </c>
      <c r="M415" s="14" t="s">
        <v>2997</v>
      </c>
      <c r="N415" s="14">
        <v>147.26</v>
      </c>
      <c r="O415" s="14" t="s">
        <v>2998</v>
      </c>
      <c r="P415" s="14" t="s">
        <v>2999</v>
      </c>
      <c r="Q415" s="14" t="s">
        <v>165</v>
      </c>
      <c r="R415" s="14" t="s">
        <v>3000</v>
      </c>
      <c r="S415" s="14" t="s">
        <v>195</v>
      </c>
      <c r="T415" s="14" t="s">
        <v>149</v>
      </c>
      <c r="U415" s="14" t="s">
        <v>113</v>
      </c>
      <c r="V415" s="48">
        <f>SUMIF(Data!$E:$E,$I415,Data!$AI:$AI)</f>
        <v>0</v>
      </c>
    </row>
    <row r="416" spans="1:22" x14ac:dyDescent="0.25">
      <c r="A416" s="47" t="s">
        <v>1212</v>
      </c>
      <c r="B416" s="47" t="s">
        <v>123</v>
      </c>
      <c r="C416" s="47">
        <v>6003542</v>
      </c>
      <c r="D416" s="47">
        <v>0.16470000000000001</v>
      </c>
      <c r="E416" s="48">
        <f>SUMIF(Data!$E:$E,$C416,Data!$AI:$AI)</f>
        <v>0</v>
      </c>
      <c r="I416" s="14" t="s">
        <v>3001</v>
      </c>
      <c r="J416" s="14" t="s">
        <v>3002</v>
      </c>
      <c r="K416" s="14" t="s">
        <v>140</v>
      </c>
      <c r="L416" s="14" t="s">
        <v>2942</v>
      </c>
      <c r="M416" s="14" t="s">
        <v>3003</v>
      </c>
      <c r="N416" s="14">
        <v>401.93400000000003</v>
      </c>
      <c r="O416" s="14" t="s">
        <v>3004</v>
      </c>
      <c r="P416" s="14" t="s">
        <v>3005</v>
      </c>
      <c r="Q416" s="14" t="s">
        <v>175</v>
      </c>
      <c r="R416" s="14" t="s">
        <v>3006</v>
      </c>
      <c r="S416" s="14" t="s">
        <v>195</v>
      </c>
      <c r="T416" s="14" t="s">
        <v>149</v>
      </c>
      <c r="U416" s="14" t="s">
        <v>113</v>
      </c>
      <c r="V416" s="48">
        <f>SUMIF(Data!$E:$E,$I416,Data!$AI:$AI)</f>
        <v>0</v>
      </c>
    </row>
    <row r="417" spans="1:22" x14ac:dyDescent="0.25">
      <c r="A417" s="47" t="s">
        <v>1212</v>
      </c>
      <c r="B417" s="47" t="s">
        <v>123</v>
      </c>
      <c r="C417" s="47">
        <v>6004017</v>
      </c>
      <c r="D417" s="47">
        <v>0.2467</v>
      </c>
      <c r="E417" s="48">
        <f>SUMIF(Data!$E:$E,$C417,Data!$AI:$AI)</f>
        <v>0</v>
      </c>
      <c r="I417" s="14" t="s">
        <v>3007</v>
      </c>
      <c r="J417" s="14" t="s">
        <v>3008</v>
      </c>
      <c r="K417" s="14" t="s">
        <v>140</v>
      </c>
      <c r="L417" s="14" t="s">
        <v>2942</v>
      </c>
      <c r="M417" s="14" t="s">
        <v>3009</v>
      </c>
      <c r="N417" s="14" t="s">
        <v>3010</v>
      </c>
      <c r="O417" s="14" t="s">
        <v>3011</v>
      </c>
      <c r="P417" s="14" t="s">
        <v>3012</v>
      </c>
      <c r="Q417" s="14" t="s">
        <v>193</v>
      </c>
      <c r="R417" s="14" t="s">
        <v>3013</v>
      </c>
      <c r="S417" s="14" t="s">
        <v>479</v>
      </c>
      <c r="T417" s="14" t="s">
        <v>480</v>
      </c>
      <c r="U417" s="14" t="s">
        <v>481</v>
      </c>
      <c r="V417" s="48">
        <f>SUMIF(Data!$E:$E,$I417,Data!$AI:$AI)</f>
        <v>0</v>
      </c>
    </row>
    <row r="418" spans="1:22" x14ac:dyDescent="0.25">
      <c r="A418" s="47" t="s">
        <v>1212</v>
      </c>
      <c r="B418" s="47" t="s">
        <v>123</v>
      </c>
      <c r="C418" s="47">
        <v>6018858</v>
      </c>
      <c r="D418" s="47">
        <v>0.15429999999999999</v>
      </c>
      <c r="E418" s="48">
        <f>SUMIF(Data!$E:$E,$C418,Data!$AI:$AI)</f>
        <v>0</v>
      </c>
      <c r="I418" s="14" t="s">
        <v>3014</v>
      </c>
      <c r="J418" s="14" t="s">
        <v>3015</v>
      </c>
      <c r="K418" s="14" t="s">
        <v>140</v>
      </c>
      <c r="L418" s="14" t="s">
        <v>2942</v>
      </c>
      <c r="M418" s="14" t="s">
        <v>3016</v>
      </c>
      <c r="N418" s="14">
        <v>83.757000000000005</v>
      </c>
      <c r="O418" s="14" t="s">
        <v>3017</v>
      </c>
      <c r="P418" s="14" t="s">
        <v>3018</v>
      </c>
      <c r="Q418" s="14" t="s">
        <v>211</v>
      </c>
      <c r="R418" s="14" t="s">
        <v>3019</v>
      </c>
      <c r="S418" s="14" t="s">
        <v>195</v>
      </c>
      <c r="T418" s="14" t="s">
        <v>149</v>
      </c>
      <c r="U418" s="14" t="s">
        <v>113</v>
      </c>
      <c r="V418" s="48">
        <f>SUMIF(Data!$E:$E,$I418,Data!$AI:$AI)</f>
        <v>0</v>
      </c>
    </row>
    <row r="419" spans="1:22" x14ac:dyDescent="0.25">
      <c r="A419" s="47" t="s">
        <v>1212</v>
      </c>
      <c r="B419" s="47" t="s">
        <v>123</v>
      </c>
      <c r="C419" s="47">
        <v>6086286</v>
      </c>
      <c r="D419" s="47">
        <v>0.2848</v>
      </c>
      <c r="E419" s="48">
        <f>SUMIF(Data!$E:$E,$C419,Data!$AI:$AI)</f>
        <v>0</v>
      </c>
      <c r="I419" s="14">
        <v>6971</v>
      </c>
      <c r="J419" s="14" t="s">
        <v>3020</v>
      </c>
      <c r="K419" s="14" t="s">
        <v>140</v>
      </c>
      <c r="L419" s="14" t="s">
        <v>2942</v>
      </c>
      <c r="M419" s="14" t="s">
        <v>3021</v>
      </c>
      <c r="N419" s="14">
        <v>187.714</v>
      </c>
      <c r="O419" s="14" t="s">
        <v>3022</v>
      </c>
      <c r="P419" s="14" t="s">
        <v>3023</v>
      </c>
      <c r="Q419" s="14" t="s">
        <v>146</v>
      </c>
      <c r="R419" s="14" t="s">
        <v>3024</v>
      </c>
      <c r="S419" s="14" t="s">
        <v>444</v>
      </c>
      <c r="T419" s="14" t="s">
        <v>445</v>
      </c>
      <c r="U419" s="14" t="s">
        <v>446</v>
      </c>
      <c r="V419" s="48">
        <f>SUMIF(Data!$E:$E,$I419,Data!$AI:$AI)</f>
        <v>0</v>
      </c>
    </row>
    <row r="420" spans="1:22" x14ac:dyDescent="0.25">
      <c r="A420" s="47" t="s">
        <v>1212</v>
      </c>
      <c r="B420" s="47" t="s">
        <v>123</v>
      </c>
      <c r="C420" s="47">
        <v>6201595</v>
      </c>
      <c r="D420" s="47">
        <v>6.4500000000000002E-2</v>
      </c>
      <c r="E420" s="48">
        <f>SUMIF(Data!$E:$E,$C420,Data!$AI:$AI)</f>
        <v>0</v>
      </c>
      <c r="I420" s="14" t="s">
        <v>3025</v>
      </c>
      <c r="J420" s="14" t="s">
        <v>3026</v>
      </c>
      <c r="K420" s="14" t="s">
        <v>140</v>
      </c>
      <c r="L420" s="14" t="s">
        <v>2942</v>
      </c>
      <c r="M420" s="14" t="s">
        <v>3027</v>
      </c>
      <c r="N420" s="14">
        <v>275.404</v>
      </c>
      <c r="O420" s="14" t="s">
        <v>3028</v>
      </c>
      <c r="P420" s="14" t="s">
        <v>3029</v>
      </c>
      <c r="Q420" s="14" t="s">
        <v>697</v>
      </c>
      <c r="R420" s="14" t="s">
        <v>3030</v>
      </c>
      <c r="S420" s="14" t="s">
        <v>195</v>
      </c>
      <c r="T420" s="14" t="s">
        <v>149</v>
      </c>
      <c r="U420" s="14" t="s">
        <v>113</v>
      </c>
      <c r="V420" s="48">
        <f>SUMIF(Data!$E:$E,$I420,Data!$AI:$AI)</f>
        <v>0</v>
      </c>
    </row>
    <row r="421" spans="1:22" x14ac:dyDescent="0.25">
      <c r="A421" s="47" t="s">
        <v>1212</v>
      </c>
      <c r="B421" s="47" t="s">
        <v>123</v>
      </c>
      <c r="C421" s="47">
        <v>6371896</v>
      </c>
      <c r="D421" s="47">
        <v>7.9399999999999998E-2</v>
      </c>
      <c r="E421" s="48">
        <f>SUMIF(Data!$E:$E,$C421,Data!$AI:$AI)</f>
        <v>0</v>
      </c>
      <c r="I421" s="14" t="s">
        <v>3031</v>
      </c>
      <c r="J421" s="14" t="s">
        <v>3032</v>
      </c>
      <c r="K421" s="14" t="s">
        <v>140</v>
      </c>
      <c r="L421" s="14" t="s">
        <v>2942</v>
      </c>
      <c r="M421" s="14" t="s">
        <v>3033</v>
      </c>
      <c r="N421" s="14">
        <v>15.294</v>
      </c>
      <c r="O421" s="14" t="s">
        <v>3034</v>
      </c>
      <c r="P421" s="14" t="s">
        <v>3035</v>
      </c>
      <c r="Q421" s="14" t="s">
        <v>165</v>
      </c>
      <c r="R421" s="14" t="s">
        <v>3036</v>
      </c>
      <c r="S421" s="14" t="s">
        <v>195</v>
      </c>
      <c r="T421" s="14" t="s">
        <v>149</v>
      </c>
      <c r="U421" s="14" t="s">
        <v>113</v>
      </c>
      <c r="V421" s="48">
        <f>SUMIF(Data!$E:$E,$I421,Data!$AI:$AI)</f>
        <v>0</v>
      </c>
    </row>
    <row r="422" spans="1:22" x14ac:dyDescent="0.25">
      <c r="A422" s="47" t="s">
        <v>1212</v>
      </c>
      <c r="B422" s="47" t="s">
        <v>123</v>
      </c>
      <c r="C422" s="47">
        <v>6393243</v>
      </c>
      <c r="D422" s="47">
        <v>8.1100000000000005E-2</v>
      </c>
      <c r="E422" s="48">
        <f>SUMIF(Data!$E:$E,$C422,Data!$AI:$AI)</f>
        <v>0</v>
      </c>
      <c r="I422" s="14" t="s">
        <v>3037</v>
      </c>
      <c r="J422" s="14" t="s">
        <v>3038</v>
      </c>
      <c r="K422" s="14" t="s">
        <v>140</v>
      </c>
      <c r="L422" s="14" t="s">
        <v>2942</v>
      </c>
      <c r="M422" s="14" t="s">
        <v>3039</v>
      </c>
      <c r="N422" s="14">
        <v>218.773</v>
      </c>
      <c r="O422" s="14" t="s">
        <v>3040</v>
      </c>
      <c r="P422" s="14" t="s">
        <v>3041</v>
      </c>
      <c r="Q422" s="14" t="s">
        <v>193</v>
      </c>
      <c r="R422" s="14" t="s">
        <v>3042</v>
      </c>
      <c r="S422" s="14" t="s">
        <v>195</v>
      </c>
      <c r="T422" s="14" t="s">
        <v>149</v>
      </c>
      <c r="U422" s="14" t="s">
        <v>113</v>
      </c>
      <c r="V422" s="48">
        <f>SUMIF(Data!$E:$E,$I422,Data!$AI:$AI)</f>
        <v>0</v>
      </c>
    </row>
    <row r="423" spans="1:22" x14ac:dyDescent="0.25">
      <c r="A423" s="47" t="s">
        <v>1212</v>
      </c>
      <c r="B423" s="47" t="s">
        <v>123</v>
      </c>
      <c r="C423" s="47">
        <v>6397858</v>
      </c>
      <c r="D423" s="47">
        <v>4.48E-2</v>
      </c>
      <c r="E423" s="48">
        <f>SUMIF(Data!$E:$E,$C423,Data!$AI:$AI)</f>
        <v>0</v>
      </c>
      <c r="I423" s="14" t="s">
        <v>3043</v>
      </c>
      <c r="J423" s="14" t="s">
        <v>3044</v>
      </c>
      <c r="K423" s="14" t="s">
        <v>140</v>
      </c>
      <c r="L423" s="14" t="s">
        <v>2942</v>
      </c>
      <c r="M423" s="14" t="s">
        <v>3045</v>
      </c>
      <c r="N423" s="14">
        <v>658.05100000000004</v>
      </c>
      <c r="O423" s="14" t="s">
        <v>3046</v>
      </c>
      <c r="P423" s="14" t="s">
        <v>3047</v>
      </c>
      <c r="Q423" s="14" t="s">
        <v>193</v>
      </c>
      <c r="R423" s="14" t="s">
        <v>3048</v>
      </c>
      <c r="S423" s="14" t="s">
        <v>2368</v>
      </c>
      <c r="T423" s="14" t="s">
        <v>2369</v>
      </c>
      <c r="U423" s="14" t="s">
        <v>2370</v>
      </c>
      <c r="V423" s="48">
        <f>SUMIF(Data!$E:$E,$I423,Data!$AI:$AI)</f>
        <v>0</v>
      </c>
    </row>
    <row r="424" spans="1:22" x14ac:dyDescent="0.25">
      <c r="A424" s="47" t="s">
        <v>1212</v>
      </c>
      <c r="B424" s="47" t="s">
        <v>123</v>
      </c>
      <c r="C424" s="47">
        <v>6621591</v>
      </c>
      <c r="D424" s="47">
        <v>0.15740000000000001</v>
      </c>
      <c r="E424" s="48">
        <f>SUMIF(Data!$E:$E,$C424,Data!$AI:$AI)</f>
        <v>0</v>
      </c>
      <c r="I424" s="14" t="s">
        <v>3049</v>
      </c>
      <c r="J424" s="14" t="s">
        <v>3050</v>
      </c>
      <c r="K424" s="14" t="s">
        <v>140</v>
      </c>
      <c r="L424" s="14" t="s">
        <v>2942</v>
      </c>
      <c r="M424" s="14" t="s">
        <v>3051</v>
      </c>
      <c r="N424" s="14">
        <v>117.654</v>
      </c>
      <c r="O424" s="14" t="s">
        <v>3052</v>
      </c>
      <c r="P424" s="14" t="s">
        <v>3053</v>
      </c>
      <c r="Q424" s="14" t="s">
        <v>419</v>
      </c>
      <c r="R424" s="14" t="s">
        <v>3054</v>
      </c>
      <c r="S424" s="14" t="s">
        <v>771</v>
      </c>
      <c r="T424" s="14" t="s">
        <v>772</v>
      </c>
      <c r="U424" s="14" t="s">
        <v>773</v>
      </c>
      <c r="V424" s="48">
        <f>SUMIF(Data!$E:$E,$I424,Data!$AI:$AI)</f>
        <v>0</v>
      </c>
    </row>
    <row r="425" spans="1:22" x14ac:dyDescent="0.25">
      <c r="A425" s="47" t="s">
        <v>1212</v>
      </c>
      <c r="B425" s="47" t="s">
        <v>123</v>
      </c>
      <c r="C425" s="47">
        <v>6984249</v>
      </c>
      <c r="D425" s="47">
        <v>0.1434</v>
      </c>
      <c r="E425" s="48">
        <f>SUMIF(Data!$E:$E,$C425,Data!$AI:$AI)</f>
        <v>0</v>
      </c>
      <c r="I425" s="14" t="s">
        <v>1140</v>
      </c>
      <c r="J425" s="14" t="s">
        <v>3055</v>
      </c>
      <c r="K425" s="14" t="s">
        <v>140</v>
      </c>
      <c r="L425" s="14" t="s">
        <v>2942</v>
      </c>
      <c r="M425" s="14" t="s">
        <v>3056</v>
      </c>
      <c r="N425" s="14">
        <v>183.94200000000001</v>
      </c>
      <c r="O425" s="14" t="s">
        <v>3057</v>
      </c>
      <c r="P425" s="14" t="s">
        <v>3058</v>
      </c>
      <c r="Q425" s="14" t="s">
        <v>737</v>
      </c>
      <c r="R425" s="14" t="s">
        <v>3059</v>
      </c>
      <c r="S425" s="14" t="s">
        <v>850</v>
      </c>
      <c r="T425" s="14" t="s">
        <v>851</v>
      </c>
      <c r="U425" s="14" t="s">
        <v>852</v>
      </c>
      <c r="V425" s="48">
        <f>SUMIF(Data!$E:$E,$I425,Data!$AI:$AI)</f>
        <v>0</v>
      </c>
    </row>
    <row r="426" spans="1:22" x14ac:dyDescent="0.25">
      <c r="A426" s="47" t="s">
        <v>1212</v>
      </c>
      <c r="B426" s="47" t="s">
        <v>123</v>
      </c>
      <c r="C426" s="47">
        <v>6986740</v>
      </c>
      <c r="D426" s="47">
        <v>5.2699999999999997E-2</v>
      </c>
      <c r="E426" s="48">
        <f>SUMIF(Data!$E:$E,$C426,Data!$AI:$AI)</f>
        <v>0</v>
      </c>
      <c r="I426" s="14" t="s">
        <v>3060</v>
      </c>
      <c r="J426" s="14" t="s">
        <v>3061</v>
      </c>
      <c r="K426" s="14" t="s">
        <v>140</v>
      </c>
      <c r="L426" s="14" t="s">
        <v>2942</v>
      </c>
      <c r="M426" s="14" t="s">
        <v>3062</v>
      </c>
      <c r="N426" s="14">
        <v>44.469000000000001</v>
      </c>
      <c r="O426" s="14" t="s">
        <v>3063</v>
      </c>
      <c r="P426" s="14" t="s">
        <v>3064</v>
      </c>
      <c r="Q426" s="14" t="s">
        <v>146</v>
      </c>
      <c r="R426" s="14" t="s">
        <v>3065</v>
      </c>
      <c r="S426" s="14" t="s">
        <v>195</v>
      </c>
      <c r="T426" s="14" t="s">
        <v>149</v>
      </c>
      <c r="U426" s="14" t="s">
        <v>113</v>
      </c>
      <c r="V426" s="48">
        <f>SUMIF(Data!$E:$E,$I426,Data!$AI:$AI)</f>
        <v>0</v>
      </c>
    </row>
    <row r="427" spans="1:22" x14ac:dyDescent="0.25">
      <c r="A427" s="47" t="s">
        <v>1212</v>
      </c>
      <c r="B427" s="47" t="s">
        <v>123</v>
      </c>
      <c r="C427" s="47" t="s">
        <v>3066</v>
      </c>
      <c r="D427" s="47">
        <v>8.0699999999999994E-2</v>
      </c>
      <c r="E427" s="48">
        <f>SUMIF(Data!$E:$E,$C427,Data!$AI:$AI)</f>
        <v>0</v>
      </c>
      <c r="I427" s="14" t="s">
        <v>3067</v>
      </c>
      <c r="J427" s="14" t="s">
        <v>3068</v>
      </c>
      <c r="K427" s="14" t="s">
        <v>140</v>
      </c>
      <c r="L427" s="14" t="s">
        <v>2942</v>
      </c>
      <c r="M427" s="14" t="s">
        <v>3069</v>
      </c>
      <c r="N427" s="14">
        <v>130.49700000000001</v>
      </c>
      <c r="O427" s="14" t="s">
        <v>3070</v>
      </c>
      <c r="P427" s="14" t="s">
        <v>3071</v>
      </c>
      <c r="Q427" s="14" t="s">
        <v>146</v>
      </c>
      <c r="R427" s="14" t="s">
        <v>3072</v>
      </c>
      <c r="S427" s="14" t="s">
        <v>148</v>
      </c>
      <c r="T427" s="14" t="s">
        <v>149</v>
      </c>
      <c r="U427" s="14" t="s">
        <v>113</v>
      </c>
      <c r="V427" s="48">
        <f>SUMIF(Data!$E:$E,$I427,Data!$AI:$AI)</f>
        <v>0</v>
      </c>
    </row>
    <row r="428" spans="1:22" x14ac:dyDescent="0.25">
      <c r="A428" s="47" t="s">
        <v>1212</v>
      </c>
      <c r="B428" s="47" t="s">
        <v>123</v>
      </c>
      <c r="C428" s="47" t="s">
        <v>3073</v>
      </c>
      <c r="D428" s="47">
        <v>7.6899999999999996E-2</v>
      </c>
      <c r="E428" s="48">
        <f>SUMIF(Data!$E:$E,$C428,Data!$AI:$AI)</f>
        <v>0</v>
      </c>
      <c r="I428" s="14" t="s">
        <v>3074</v>
      </c>
      <c r="J428" s="14" t="s">
        <v>3075</v>
      </c>
      <c r="K428" s="14" t="s">
        <v>140</v>
      </c>
      <c r="L428" s="14" t="s">
        <v>2942</v>
      </c>
      <c r="M428" s="14" t="s">
        <v>3076</v>
      </c>
      <c r="N428" s="14">
        <v>195.69900000000001</v>
      </c>
      <c r="O428" s="14" t="s">
        <v>3077</v>
      </c>
      <c r="P428" s="14" t="s">
        <v>3078</v>
      </c>
      <c r="Q428" s="14" t="s">
        <v>737</v>
      </c>
      <c r="R428" s="14" t="s">
        <v>3079</v>
      </c>
      <c r="S428" s="14" t="s">
        <v>195</v>
      </c>
      <c r="T428" s="14" t="s">
        <v>149</v>
      </c>
      <c r="U428" s="14" t="s">
        <v>113</v>
      </c>
      <c r="V428" s="48">
        <f>SUMIF(Data!$E:$E,$I428,Data!$AI:$AI)</f>
        <v>0</v>
      </c>
    </row>
    <row r="429" spans="1:22" x14ac:dyDescent="0.25">
      <c r="A429" s="47" t="s">
        <v>1212</v>
      </c>
      <c r="B429" s="47" t="s">
        <v>123</v>
      </c>
      <c r="C429" s="47" t="s">
        <v>3080</v>
      </c>
      <c r="D429" s="47">
        <v>0.28760000000000002</v>
      </c>
      <c r="E429" s="48">
        <f>SUMIF(Data!$E:$E,$C429,Data!$AI:$AI)</f>
        <v>0</v>
      </c>
      <c r="I429" s="14" t="s">
        <v>3081</v>
      </c>
      <c r="J429" s="14" t="s">
        <v>3082</v>
      </c>
      <c r="K429" s="14" t="s">
        <v>140</v>
      </c>
      <c r="L429" s="14" t="s">
        <v>2942</v>
      </c>
      <c r="M429" s="14" t="s">
        <v>3083</v>
      </c>
      <c r="N429" s="14">
        <v>324.48099999999999</v>
      </c>
      <c r="O429" s="14" t="s">
        <v>3084</v>
      </c>
      <c r="P429" s="14" t="s">
        <v>3085</v>
      </c>
      <c r="Q429" s="14" t="s">
        <v>419</v>
      </c>
      <c r="R429" s="14" t="s">
        <v>3086</v>
      </c>
      <c r="S429" s="14" t="s">
        <v>2931</v>
      </c>
      <c r="T429" s="14" t="s">
        <v>2932</v>
      </c>
      <c r="U429" s="14" t="s">
        <v>2933</v>
      </c>
      <c r="V429" s="48">
        <f>SUMIF(Data!$E:$E,$I429,Data!$AI:$AI)</f>
        <v>0</v>
      </c>
    </row>
    <row r="430" spans="1:22" x14ac:dyDescent="0.25">
      <c r="A430" s="47" t="s">
        <v>1212</v>
      </c>
      <c r="B430" s="47" t="s">
        <v>123</v>
      </c>
      <c r="C430" s="47" t="s">
        <v>3087</v>
      </c>
      <c r="D430" s="47">
        <v>9.1800000000000007E-2</v>
      </c>
      <c r="E430" s="48">
        <f>SUMIF(Data!$E:$E,$C430,Data!$AI:$AI)</f>
        <v>0</v>
      </c>
      <c r="I430" s="14">
        <v>4543</v>
      </c>
      <c r="J430" s="14" t="s">
        <v>3088</v>
      </c>
      <c r="K430" s="14" t="s">
        <v>140</v>
      </c>
      <c r="L430" s="14" t="s">
        <v>2942</v>
      </c>
      <c r="M430" s="14" t="s">
        <v>3089</v>
      </c>
      <c r="N430" s="14">
        <v>361.7</v>
      </c>
      <c r="O430" s="14" t="s">
        <v>3090</v>
      </c>
      <c r="P430" s="14" t="s">
        <v>3091</v>
      </c>
      <c r="Q430" s="14" t="s">
        <v>211</v>
      </c>
      <c r="R430" s="14" t="s">
        <v>3092</v>
      </c>
      <c r="S430" s="14" t="s">
        <v>444</v>
      </c>
      <c r="T430" s="14" t="s">
        <v>445</v>
      </c>
      <c r="U430" s="14" t="s">
        <v>446</v>
      </c>
      <c r="V430" s="48">
        <f>SUMIF(Data!$E:$E,$I430,Data!$AI:$AI)</f>
        <v>0</v>
      </c>
    </row>
    <row r="431" spans="1:22" x14ac:dyDescent="0.25">
      <c r="A431" s="47" t="s">
        <v>1212</v>
      </c>
      <c r="B431" s="47" t="s">
        <v>123</v>
      </c>
      <c r="C431" s="47" t="s">
        <v>3093</v>
      </c>
      <c r="D431" s="47">
        <v>0.11459999999999999</v>
      </c>
      <c r="E431" s="48">
        <f>SUMIF(Data!$E:$E,$C431,Data!$AI:$AI)</f>
        <v>0</v>
      </c>
      <c r="I431" s="14" t="s">
        <v>3094</v>
      </c>
      <c r="J431" s="14" t="s">
        <v>3095</v>
      </c>
      <c r="K431" s="14" t="s">
        <v>140</v>
      </c>
      <c r="L431" s="14" t="s">
        <v>2942</v>
      </c>
      <c r="M431" s="14" t="s">
        <v>3096</v>
      </c>
      <c r="N431" s="14">
        <v>429.78800000000001</v>
      </c>
      <c r="O431" s="14" t="s">
        <v>3097</v>
      </c>
      <c r="P431" s="14" t="s">
        <v>3098</v>
      </c>
      <c r="Q431" s="14" t="s">
        <v>146</v>
      </c>
      <c r="R431" s="14" t="s">
        <v>3099</v>
      </c>
      <c r="S431" s="14" t="s">
        <v>195</v>
      </c>
      <c r="T431" s="14" t="s">
        <v>149</v>
      </c>
      <c r="U431" s="14" t="s">
        <v>113</v>
      </c>
      <c r="V431" s="48">
        <f>SUMIF(Data!$E:$E,$I431,Data!$AI:$AI)</f>
        <v>0</v>
      </c>
    </row>
    <row r="432" spans="1:22" x14ac:dyDescent="0.25">
      <c r="A432" s="47" t="s">
        <v>1212</v>
      </c>
      <c r="B432" s="47" t="s">
        <v>123</v>
      </c>
      <c r="C432" s="47" t="s">
        <v>3100</v>
      </c>
      <c r="D432" s="47">
        <v>0.34010000000000001</v>
      </c>
      <c r="E432" s="48">
        <f>SUMIF(Data!$E:$E,$C432,Data!$AI:$AI)</f>
        <v>0</v>
      </c>
      <c r="I432" s="14" t="s">
        <v>3101</v>
      </c>
      <c r="J432" s="14" t="s">
        <v>3102</v>
      </c>
      <c r="K432" s="14" t="s">
        <v>140</v>
      </c>
      <c r="L432" s="14" t="s">
        <v>2942</v>
      </c>
      <c r="M432" s="14" t="s">
        <v>3103</v>
      </c>
      <c r="N432" s="14">
        <v>787.26499999999999</v>
      </c>
      <c r="O432" s="14" t="s">
        <v>3104</v>
      </c>
      <c r="P432" s="14" t="s">
        <v>3105</v>
      </c>
      <c r="Q432" s="14" t="s">
        <v>419</v>
      </c>
      <c r="R432" s="14" t="s">
        <v>3106</v>
      </c>
      <c r="S432" s="14" t="s">
        <v>2931</v>
      </c>
      <c r="T432" s="14" t="s">
        <v>2932</v>
      </c>
      <c r="U432" s="14" t="s">
        <v>2933</v>
      </c>
      <c r="V432" s="48">
        <f>SUMIF(Data!$E:$E,$I432,Data!$AI:$AI)</f>
        <v>0</v>
      </c>
    </row>
    <row r="433" spans="1:22" x14ac:dyDescent="0.25">
      <c r="A433" s="47" t="s">
        <v>1212</v>
      </c>
      <c r="B433" s="47" t="s">
        <v>123</v>
      </c>
      <c r="C433" s="47" t="s">
        <v>3107</v>
      </c>
      <c r="D433" s="47">
        <v>9.3700000000000006E-2</v>
      </c>
      <c r="E433" s="48">
        <f>SUMIF(Data!$E:$E,$C433,Data!$AI:$AI)</f>
        <v>0</v>
      </c>
      <c r="I433" s="14" t="s">
        <v>3108</v>
      </c>
      <c r="J433" s="14" t="s">
        <v>3109</v>
      </c>
      <c r="K433" s="14" t="s">
        <v>140</v>
      </c>
      <c r="L433" s="14" t="s">
        <v>2942</v>
      </c>
      <c r="M433" s="14" t="s">
        <v>3110</v>
      </c>
      <c r="N433" s="14">
        <v>504.90499999999997</v>
      </c>
      <c r="O433" s="14" t="s">
        <v>3111</v>
      </c>
      <c r="P433" s="14" t="s">
        <v>3112</v>
      </c>
      <c r="Q433" s="14" t="s">
        <v>227</v>
      </c>
      <c r="R433" s="14" t="s">
        <v>3113</v>
      </c>
      <c r="S433" s="14" t="s">
        <v>479</v>
      </c>
      <c r="T433" s="14" t="s">
        <v>480</v>
      </c>
      <c r="U433" s="14" t="s">
        <v>481</v>
      </c>
      <c r="V433" s="48">
        <f>SUMIF(Data!$E:$E,$I433,Data!$AI:$AI)</f>
        <v>0</v>
      </c>
    </row>
    <row r="434" spans="1:22" x14ac:dyDescent="0.25">
      <c r="A434" s="47" t="s">
        <v>1212</v>
      </c>
      <c r="B434" s="47" t="s">
        <v>123</v>
      </c>
      <c r="C434" s="47" t="s">
        <v>3114</v>
      </c>
      <c r="D434" s="47">
        <v>5.3999999999999999E-2</v>
      </c>
      <c r="E434" s="48">
        <f>SUMIF(Data!$E:$E,$C434,Data!$AI:$AI)</f>
        <v>0</v>
      </c>
      <c r="I434" s="14" t="s">
        <v>3115</v>
      </c>
      <c r="J434" s="14" t="s">
        <v>3116</v>
      </c>
      <c r="K434" s="14" t="s">
        <v>140</v>
      </c>
      <c r="L434" s="14" t="s">
        <v>2942</v>
      </c>
      <c r="M434" s="14" t="s">
        <v>3117</v>
      </c>
      <c r="N434" s="14">
        <v>105.367</v>
      </c>
      <c r="O434" s="14" t="s">
        <v>3118</v>
      </c>
      <c r="P434" s="14" t="s">
        <v>3119</v>
      </c>
      <c r="Q434" s="14" t="s">
        <v>697</v>
      </c>
      <c r="R434" s="14" t="s">
        <v>3120</v>
      </c>
      <c r="S434" s="14" t="s">
        <v>195</v>
      </c>
      <c r="T434" s="14" t="s">
        <v>149</v>
      </c>
      <c r="U434" s="14" t="s">
        <v>113</v>
      </c>
      <c r="V434" s="48">
        <f>SUMIF(Data!$E:$E,$I434,Data!$AI:$AI)</f>
        <v>0</v>
      </c>
    </row>
    <row r="435" spans="1:22" x14ac:dyDescent="0.25">
      <c r="A435" s="47" t="s">
        <v>1212</v>
      </c>
      <c r="B435" s="47" t="s">
        <v>123</v>
      </c>
      <c r="C435" s="47" t="s">
        <v>3121</v>
      </c>
      <c r="D435" s="47">
        <v>2.4799999999999999E-2</v>
      </c>
      <c r="E435" s="48">
        <f>SUMIF(Data!$E:$E,$C435,Data!$AI:$AI)</f>
        <v>0</v>
      </c>
      <c r="I435" s="14" t="s">
        <v>3122</v>
      </c>
      <c r="J435" s="14" t="s">
        <v>3123</v>
      </c>
      <c r="K435" s="14" t="s">
        <v>140</v>
      </c>
      <c r="L435" s="14" t="s">
        <v>2942</v>
      </c>
      <c r="M435" s="14" t="s">
        <v>3124</v>
      </c>
      <c r="N435" s="14">
        <v>82.03</v>
      </c>
      <c r="O435" s="14" t="s">
        <v>3125</v>
      </c>
      <c r="P435" s="14" t="s">
        <v>3126</v>
      </c>
      <c r="Q435" s="14" t="s">
        <v>419</v>
      </c>
      <c r="R435" s="14" t="s">
        <v>3127</v>
      </c>
      <c r="S435" s="14" t="s">
        <v>148</v>
      </c>
      <c r="T435" s="14" t="s">
        <v>149</v>
      </c>
      <c r="U435" s="14" t="s">
        <v>113</v>
      </c>
      <c r="V435" s="48">
        <f>SUMIF(Data!$E:$E,$I435,Data!$AI:$AI)</f>
        <v>0</v>
      </c>
    </row>
    <row r="436" spans="1:22" x14ac:dyDescent="0.25">
      <c r="A436" s="47" t="s">
        <v>1212</v>
      </c>
      <c r="B436" s="47" t="s">
        <v>123</v>
      </c>
      <c r="C436" s="47" t="s">
        <v>3128</v>
      </c>
      <c r="D436" s="47">
        <v>5.8000000000000003E-2</v>
      </c>
      <c r="E436" s="48">
        <f>SUMIF(Data!$E:$E,$C436,Data!$AI:$AI)</f>
        <v>0</v>
      </c>
      <c r="I436" s="14" t="s">
        <v>3129</v>
      </c>
      <c r="J436" s="14" t="s">
        <v>3130</v>
      </c>
      <c r="K436" s="14" t="s">
        <v>140</v>
      </c>
      <c r="L436" s="14" t="s">
        <v>2942</v>
      </c>
      <c r="M436" s="14" t="s">
        <v>3131</v>
      </c>
      <c r="N436" s="14">
        <v>77.635000000000005</v>
      </c>
      <c r="O436" s="14" t="s">
        <v>3132</v>
      </c>
      <c r="P436" s="14" t="s">
        <v>3133</v>
      </c>
      <c r="Q436" s="14" t="s">
        <v>419</v>
      </c>
      <c r="R436" s="14" t="s">
        <v>3134</v>
      </c>
      <c r="S436" s="14" t="s">
        <v>195</v>
      </c>
      <c r="T436" s="14" t="s">
        <v>149</v>
      </c>
      <c r="U436" s="14" t="s">
        <v>113</v>
      </c>
      <c r="V436" s="48">
        <f>SUMIF(Data!$E:$E,$I436,Data!$AI:$AI)</f>
        <v>0</v>
      </c>
    </row>
    <row r="437" spans="1:22" x14ac:dyDescent="0.25">
      <c r="A437" s="47" t="s">
        <v>1212</v>
      </c>
      <c r="B437" s="47" t="s">
        <v>123</v>
      </c>
      <c r="C437" s="47" t="s">
        <v>3135</v>
      </c>
      <c r="D437" s="47">
        <v>8.9599999999999999E-2</v>
      </c>
      <c r="E437" s="48">
        <f>SUMIF(Data!$E:$E,$C437,Data!$AI:$AI)</f>
        <v>0</v>
      </c>
      <c r="I437" s="14" t="s">
        <v>3136</v>
      </c>
      <c r="J437" s="14" t="s">
        <v>3136</v>
      </c>
      <c r="K437" s="14" t="s">
        <v>140</v>
      </c>
      <c r="L437" s="14" t="s">
        <v>2942</v>
      </c>
      <c r="M437" s="14" t="s">
        <v>3137</v>
      </c>
      <c r="N437" s="14" t="s">
        <v>3138</v>
      </c>
      <c r="O437" s="14" t="s">
        <v>3139</v>
      </c>
      <c r="P437" s="14" t="s">
        <v>3140</v>
      </c>
      <c r="Q437" s="14" t="s">
        <v>146</v>
      </c>
      <c r="R437" s="14" t="s">
        <v>3141</v>
      </c>
      <c r="S437" s="14" t="s">
        <v>3142</v>
      </c>
      <c r="T437" s="14" t="s">
        <v>3143</v>
      </c>
      <c r="U437" s="14" t="s">
        <v>528</v>
      </c>
      <c r="V437" s="48">
        <f>SUMIF(Data!$E:$E,$I437,Data!$AI:$AI)</f>
        <v>0</v>
      </c>
    </row>
    <row r="438" spans="1:22" x14ac:dyDescent="0.25">
      <c r="A438" s="47" t="s">
        <v>3144</v>
      </c>
      <c r="B438" s="47" t="s">
        <v>123</v>
      </c>
      <c r="C438" s="47" t="s">
        <v>3145</v>
      </c>
      <c r="D438" s="47">
        <v>0.41980000000000001</v>
      </c>
      <c r="E438" s="48">
        <f>SUMIF(Data!$E:$E,$C438,Data!$AI:$AI)</f>
        <v>0</v>
      </c>
      <c r="I438" s="14" t="s">
        <v>3146</v>
      </c>
      <c r="J438" s="14" t="s">
        <v>3147</v>
      </c>
      <c r="K438" s="14" t="s">
        <v>140</v>
      </c>
      <c r="L438" s="14" t="s">
        <v>2942</v>
      </c>
      <c r="M438" s="14" t="s">
        <v>3148</v>
      </c>
      <c r="N438" s="14">
        <v>106.765</v>
      </c>
      <c r="O438" s="14" t="s">
        <v>3149</v>
      </c>
      <c r="P438" s="14" t="s">
        <v>3150</v>
      </c>
      <c r="Q438" s="14" t="s">
        <v>809</v>
      </c>
      <c r="R438" s="14" t="s">
        <v>3151</v>
      </c>
      <c r="S438" s="14" t="s">
        <v>195</v>
      </c>
      <c r="T438" s="14" t="s">
        <v>149</v>
      </c>
      <c r="U438" s="14" t="s">
        <v>113</v>
      </c>
      <c r="V438" s="48">
        <f>SUMIF(Data!$E:$E,$I438,Data!$AI:$AI)</f>
        <v>0</v>
      </c>
    </row>
    <row r="439" spans="1:22" x14ac:dyDescent="0.25">
      <c r="A439" s="47" t="s">
        <v>3144</v>
      </c>
      <c r="B439" s="47" t="s">
        <v>123</v>
      </c>
      <c r="C439" s="47" t="s">
        <v>3152</v>
      </c>
      <c r="D439" s="47">
        <v>0.15840000000000001</v>
      </c>
      <c r="E439" s="48">
        <f>SUMIF(Data!$E:$E,$C439,Data!$AI:$AI)</f>
        <v>0.13519946439795033</v>
      </c>
      <c r="I439" s="14" t="s">
        <v>3153</v>
      </c>
      <c r="J439" s="14" t="s">
        <v>3154</v>
      </c>
      <c r="K439" s="14" t="s">
        <v>140</v>
      </c>
      <c r="L439" s="14" t="s">
        <v>2942</v>
      </c>
      <c r="M439" s="14" t="s">
        <v>3155</v>
      </c>
      <c r="N439" s="14" t="s">
        <v>3156</v>
      </c>
      <c r="O439" s="14" t="s">
        <v>3157</v>
      </c>
      <c r="P439" s="14" t="s">
        <v>3158</v>
      </c>
      <c r="Q439" s="14" t="s">
        <v>193</v>
      </c>
      <c r="R439" s="14" t="s">
        <v>3159</v>
      </c>
      <c r="S439" s="14" t="s">
        <v>2368</v>
      </c>
      <c r="T439" s="14" t="s">
        <v>2369</v>
      </c>
      <c r="U439" s="14" t="s">
        <v>2370</v>
      </c>
      <c r="V439" s="48">
        <f>SUMIF(Data!$E:$E,$I439,Data!$AI:$AI)</f>
        <v>0</v>
      </c>
    </row>
    <row r="440" spans="1:22" x14ac:dyDescent="0.25">
      <c r="A440" s="47" t="s">
        <v>3144</v>
      </c>
      <c r="B440" s="47" t="s">
        <v>123</v>
      </c>
      <c r="C440" s="47" t="s">
        <v>3160</v>
      </c>
      <c r="D440" s="47">
        <v>0.35489999999999999</v>
      </c>
      <c r="E440" s="48">
        <f>SUMIF(Data!$E:$E,$C440,Data!$AI:$AI)</f>
        <v>0.48939641738655321</v>
      </c>
      <c r="I440" s="14" t="s">
        <v>3161</v>
      </c>
      <c r="J440" s="14" t="s">
        <v>3162</v>
      </c>
      <c r="K440" s="14" t="s">
        <v>140</v>
      </c>
      <c r="L440" s="14" t="s">
        <v>2942</v>
      </c>
      <c r="M440" s="14" t="s">
        <v>3163</v>
      </c>
      <c r="N440" s="14">
        <v>173.37700000000001</v>
      </c>
      <c r="O440" s="14" t="s">
        <v>3164</v>
      </c>
      <c r="P440" s="14" t="s">
        <v>3165</v>
      </c>
      <c r="Q440" s="14" t="s">
        <v>809</v>
      </c>
      <c r="R440" s="14" t="s">
        <v>3166</v>
      </c>
      <c r="S440" s="14" t="s">
        <v>195</v>
      </c>
      <c r="T440" s="14" t="s">
        <v>149</v>
      </c>
      <c r="U440" s="14" t="s">
        <v>113</v>
      </c>
      <c r="V440" s="48">
        <f>SUMIF(Data!$E:$E,$I440,Data!$AI:$AI)</f>
        <v>0</v>
      </c>
    </row>
    <row r="441" spans="1:22" x14ac:dyDescent="0.25">
      <c r="A441" s="47" t="s">
        <v>3144</v>
      </c>
      <c r="B441" s="47" t="s">
        <v>123</v>
      </c>
      <c r="C441" s="47" t="s">
        <v>3167</v>
      </c>
      <c r="D441" s="47">
        <v>0.25940000000000002</v>
      </c>
      <c r="E441" s="48">
        <f>SUMIF(Data!$E:$E,$C441,Data!$AI:$AI)</f>
        <v>0.45612845361825383</v>
      </c>
      <c r="I441" s="14" t="s">
        <v>3168</v>
      </c>
      <c r="J441" s="14" t="s">
        <v>3169</v>
      </c>
      <c r="K441" s="14" t="s">
        <v>140</v>
      </c>
      <c r="L441" s="14" t="s">
        <v>2942</v>
      </c>
      <c r="M441" s="14" t="s">
        <v>3170</v>
      </c>
      <c r="N441" s="14">
        <v>232.39400000000001</v>
      </c>
      <c r="O441" s="14" t="s">
        <v>3171</v>
      </c>
      <c r="P441" s="14" t="s">
        <v>3172</v>
      </c>
      <c r="Q441" s="14" t="s">
        <v>193</v>
      </c>
      <c r="R441" s="14" t="s">
        <v>3173</v>
      </c>
      <c r="S441" s="14" t="s">
        <v>2931</v>
      </c>
      <c r="T441" s="14" t="s">
        <v>2932</v>
      </c>
      <c r="U441" s="14" t="s">
        <v>2933</v>
      </c>
      <c r="V441" s="48">
        <f>SUMIF(Data!$E:$E,$I441,Data!$AI:$AI)</f>
        <v>0</v>
      </c>
    </row>
    <row r="442" spans="1:22" x14ac:dyDescent="0.25">
      <c r="A442" s="47" t="s">
        <v>3144</v>
      </c>
      <c r="B442" s="47" t="s">
        <v>123</v>
      </c>
      <c r="C442" s="47" t="s">
        <v>3174</v>
      </c>
      <c r="D442" s="47">
        <v>0.22289999999999999</v>
      </c>
      <c r="E442" s="48">
        <f>SUMIF(Data!$E:$E,$C442,Data!$AI:$AI)</f>
        <v>0</v>
      </c>
      <c r="I442" s="14" t="s">
        <v>3175</v>
      </c>
      <c r="J442" s="14" t="s">
        <v>3176</v>
      </c>
      <c r="K442" s="14" t="s">
        <v>140</v>
      </c>
      <c r="L442" s="14" t="s">
        <v>2942</v>
      </c>
      <c r="M442" s="14" t="s">
        <v>3177</v>
      </c>
      <c r="N442" s="14">
        <v>315.44099999999997</v>
      </c>
      <c r="O442" s="14" t="s">
        <v>3178</v>
      </c>
      <c r="P442" s="14" t="s">
        <v>3179</v>
      </c>
      <c r="Q442" s="14" t="s">
        <v>175</v>
      </c>
      <c r="R442" s="14" t="s">
        <v>3180</v>
      </c>
      <c r="S442" s="14" t="s">
        <v>148</v>
      </c>
      <c r="T442" s="14" t="s">
        <v>149</v>
      </c>
      <c r="U442" s="14" t="s">
        <v>113</v>
      </c>
      <c r="V442" s="48">
        <f>SUMIF(Data!$E:$E,$I442,Data!$AI:$AI)</f>
        <v>0</v>
      </c>
    </row>
    <row r="443" spans="1:22" x14ac:dyDescent="0.25">
      <c r="A443" s="47" t="s">
        <v>3144</v>
      </c>
      <c r="B443" s="47" t="s">
        <v>123</v>
      </c>
      <c r="C443" s="47">
        <v>136701</v>
      </c>
      <c r="D443" s="47">
        <v>0.76019999999999999</v>
      </c>
      <c r="E443" s="48">
        <f>SUMIF(Data!$E:$E,$C443,Data!$AI:$AI)</f>
        <v>0</v>
      </c>
      <c r="I443" s="14" t="s">
        <v>3181</v>
      </c>
      <c r="J443" s="14" t="s">
        <v>3182</v>
      </c>
      <c r="K443" s="14" t="s">
        <v>140</v>
      </c>
      <c r="L443" s="14" t="s">
        <v>2942</v>
      </c>
      <c r="M443" s="14" t="s">
        <v>3183</v>
      </c>
      <c r="N443" s="14">
        <v>54.131</v>
      </c>
      <c r="O443" s="14" t="s">
        <v>3184</v>
      </c>
      <c r="P443" s="14" t="s">
        <v>3185</v>
      </c>
      <c r="Q443" s="14" t="s">
        <v>165</v>
      </c>
      <c r="R443" s="14" t="s">
        <v>3186</v>
      </c>
      <c r="S443" s="14" t="s">
        <v>148</v>
      </c>
      <c r="T443" s="14" t="s">
        <v>149</v>
      </c>
      <c r="U443" s="14" t="s">
        <v>113</v>
      </c>
      <c r="V443" s="48">
        <f>SUMIF(Data!$E:$E,$I443,Data!$AI:$AI)</f>
        <v>0</v>
      </c>
    </row>
    <row r="444" spans="1:22" x14ac:dyDescent="0.25">
      <c r="A444" s="47" t="s">
        <v>3144</v>
      </c>
      <c r="B444" s="47" t="s">
        <v>123</v>
      </c>
      <c r="C444" s="47">
        <v>2019479</v>
      </c>
      <c r="D444" s="47">
        <v>1.7544999999999999</v>
      </c>
      <c r="E444" s="48">
        <f>SUMIF(Data!$E:$E,$C444,Data!$AI:$AI)</f>
        <v>0</v>
      </c>
      <c r="I444" s="14" t="s">
        <v>3187</v>
      </c>
      <c r="J444" s="14" t="s">
        <v>3188</v>
      </c>
      <c r="K444" s="14" t="s">
        <v>140</v>
      </c>
      <c r="L444" s="14" t="s">
        <v>2942</v>
      </c>
      <c r="M444" s="14" t="s">
        <v>3189</v>
      </c>
      <c r="N444" s="14">
        <v>45.142000000000003</v>
      </c>
      <c r="O444" s="14" t="s">
        <v>3190</v>
      </c>
      <c r="P444" s="14" t="s">
        <v>3191</v>
      </c>
      <c r="Q444" s="14" t="s">
        <v>211</v>
      </c>
      <c r="R444" s="14" t="s">
        <v>3192</v>
      </c>
      <c r="S444" s="14" t="s">
        <v>148</v>
      </c>
      <c r="T444" s="14" t="s">
        <v>149</v>
      </c>
      <c r="U444" s="14" t="s">
        <v>113</v>
      </c>
      <c r="V444" s="48">
        <f>SUMIF(Data!$E:$E,$I444,Data!$AI:$AI)</f>
        <v>0</v>
      </c>
    </row>
    <row r="445" spans="1:22" x14ac:dyDescent="0.25">
      <c r="A445" s="47" t="s">
        <v>3144</v>
      </c>
      <c r="B445" s="47" t="s">
        <v>123</v>
      </c>
      <c r="C445" s="47">
        <v>2131179</v>
      </c>
      <c r="D445" s="47">
        <v>2.2972999999999999</v>
      </c>
      <c r="E445" s="48">
        <f>SUMIF(Data!$E:$E,$C445,Data!$AI:$AI)</f>
        <v>0</v>
      </c>
      <c r="I445" s="14" t="s">
        <v>3193</v>
      </c>
      <c r="J445" s="14" t="s">
        <v>3194</v>
      </c>
      <c r="K445" s="14" t="s">
        <v>140</v>
      </c>
      <c r="L445" s="14" t="s">
        <v>2942</v>
      </c>
      <c r="M445" s="14" t="s">
        <v>3195</v>
      </c>
      <c r="N445" s="14">
        <v>426.67</v>
      </c>
      <c r="O445" s="14" t="s">
        <v>3196</v>
      </c>
      <c r="P445" s="14" t="s">
        <v>3197</v>
      </c>
      <c r="Q445" s="14" t="s">
        <v>193</v>
      </c>
      <c r="R445" s="14" t="s">
        <v>3198</v>
      </c>
      <c r="S445" s="14" t="s">
        <v>148</v>
      </c>
      <c r="T445" s="14" t="s">
        <v>149</v>
      </c>
      <c r="U445" s="14" t="s">
        <v>113</v>
      </c>
      <c r="V445" s="48">
        <f>SUMIF(Data!$E:$E,$I445,Data!$AI:$AI)</f>
        <v>0</v>
      </c>
    </row>
    <row r="446" spans="1:22" x14ac:dyDescent="0.25">
      <c r="A446" s="47" t="s">
        <v>3144</v>
      </c>
      <c r="B446" s="47" t="s">
        <v>123</v>
      </c>
      <c r="C446" s="47">
        <v>2229610</v>
      </c>
      <c r="D446" s="47">
        <v>0.59619999999999995</v>
      </c>
      <c r="E446" s="48">
        <f>SUMIF(Data!$E:$E,$C446,Data!$AI:$AI)</f>
        <v>0</v>
      </c>
      <c r="I446" s="14" t="s">
        <v>3199</v>
      </c>
      <c r="J446" s="14" t="s">
        <v>3200</v>
      </c>
      <c r="K446" s="14" t="s">
        <v>140</v>
      </c>
      <c r="L446" s="14" t="s">
        <v>2942</v>
      </c>
      <c r="M446" s="14" t="s">
        <v>3201</v>
      </c>
      <c r="N446" s="14">
        <v>141.63200000000001</v>
      </c>
      <c r="O446" s="14" t="s">
        <v>3202</v>
      </c>
      <c r="P446" s="14" t="s">
        <v>3203</v>
      </c>
      <c r="Q446" s="14" t="s">
        <v>737</v>
      </c>
      <c r="R446" s="14" t="s">
        <v>3204</v>
      </c>
      <c r="S446" s="14" t="s">
        <v>195</v>
      </c>
      <c r="T446" s="14" t="s">
        <v>149</v>
      </c>
      <c r="U446" s="14" t="s">
        <v>113</v>
      </c>
      <c r="V446" s="48">
        <f>SUMIF(Data!$E:$E,$I446,Data!$AI:$AI)</f>
        <v>0</v>
      </c>
    </row>
    <row r="447" spans="1:22" x14ac:dyDescent="0.25">
      <c r="A447" s="47" t="s">
        <v>3144</v>
      </c>
      <c r="B447" s="47" t="s">
        <v>123</v>
      </c>
      <c r="C447" s="47">
        <v>2319157</v>
      </c>
      <c r="D447" s="47">
        <v>2.2136</v>
      </c>
      <c r="E447" s="48">
        <f>SUMIF(Data!$E:$E,$C447,Data!$AI:$AI)</f>
        <v>0</v>
      </c>
      <c r="I447" s="14" t="s">
        <v>3205</v>
      </c>
      <c r="J447" s="14" t="s">
        <v>3206</v>
      </c>
      <c r="K447" s="14" t="s">
        <v>140</v>
      </c>
      <c r="L447" s="14" t="s">
        <v>2942</v>
      </c>
      <c r="M447" s="14" t="s">
        <v>3207</v>
      </c>
      <c r="N447" s="14">
        <v>73.555999999999997</v>
      </c>
      <c r="O447" s="14" t="s">
        <v>3208</v>
      </c>
      <c r="P447" s="14" t="s">
        <v>3209</v>
      </c>
      <c r="Q447" s="14" t="s">
        <v>146</v>
      </c>
      <c r="R447" s="14" t="s">
        <v>3210</v>
      </c>
      <c r="S447" s="14" t="s">
        <v>563</v>
      </c>
      <c r="T447" s="14" t="s">
        <v>564</v>
      </c>
      <c r="U447" s="14" t="s">
        <v>528</v>
      </c>
      <c r="V447" s="48">
        <f>SUMIF(Data!$E:$E,$I447,Data!$AI:$AI)</f>
        <v>0</v>
      </c>
    </row>
    <row r="448" spans="1:22" x14ac:dyDescent="0.25">
      <c r="A448" s="47" t="s">
        <v>3144</v>
      </c>
      <c r="B448" s="47" t="s">
        <v>123</v>
      </c>
      <c r="C448" s="47">
        <v>2333931</v>
      </c>
      <c r="D448" s="47">
        <v>0.84689999999999999</v>
      </c>
      <c r="E448" s="48">
        <f>SUMIF(Data!$E:$E,$C448,Data!$AI:$AI)</f>
        <v>0</v>
      </c>
      <c r="I448" s="14" t="s">
        <v>3211</v>
      </c>
      <c r="J448" s="14" t="s">
        <v>3212</v>
      </c>
      <c r="K448" s="14" t="s">
        <v>140</v>
      </c>
      <c r="L448" s="14" t="s">
        <v>2942</v>
      </c>
      <c r="M448" s="14" t="s">
        <v>3213</v>
      </c>
      <c r="N448" s="14">
        <v>16.425999999999998</v>
      </c>
      <c r="O448" s="14" t="s">
        <v>3214</v>
      </c>
      <c r="P448" s="14" t="s">
        <v>3215</v>
      </c>
      <c r="Q448" s="14" t="s">
        <v>165</v>
      </c>
      <c r="R448" s="14" t="s">
        <v>3216</v>
      </c>
      <c r="S448" s="14" t="s">
        <v>563</v>
      </c>
      <c r="T448" s="14" t="s">
        <v>564</v>
      </c>
      <c r="U448" s="14" t="s">
        <v>528</v>
      </c>
      <c r="V448" s="48">
        <f>SUMIF(Data!$E:$E,$I448,Data!$AI:$AI)</f>
        <v>0</v>
      </c>
    </row>
    <row r="449" spans="1:22" x14ac:dyDescent="0.25">
      <c r="A449" s="47" t="s">
        <v>3144</v>
      </c>
      <c r="B449" s="47" t="s">
        <v>123</v>
      </c>
      <c r="C449" s="47">
        <v>2812452</v>
      </c>
      <c r="D449" s="47">
        <v>4.7233000000000001</v>
      </c>
      <c r="E449" s="48">
        <f>SUMIF(Data!$E:$E,$C449,Data!$AI:$AI)</f>
        <v>0</v>
      </c>
      <c r="I449" s="14" t="s">
        <v>3217</v>
      </c>
      <c r="J449" s="14" t="s">
        <v>3218</v>
      </c>
      <c r="K449" s="14" t="s">
        <v>140</v>
      </c>
      <c r="L449" s="14" t="s">
        <v>2942</v>
      </c>
      <c r="M449" s="14" t="s">
        <v>3219</v>
      </c>
      <c r="N449" s="14">
        <v>114.289</v>
      </c>
      <c r="O449" s="14" t="s">
        <v>3220</v>
      </c>
      <c r="P449" s="14" t="s">
        <v>3221</v>
      </c>
      <c r="Q449" s="14" t="s">
        <v>211</v>
      </c>
      <c r="R449" s="14" t="s">
        <v>3222</v>
      </c>
      <c r="S449" s="14" t="s">
        <v>148</v>
      </c>
      <c r="T449" s="14" t="s">
        <v>149</v>
      </c>
      <c r="U449" s="14" t="s">
        <v>113</v>
      </c>
      <c r="V449" s="48">
        <f>SUMIF(Data!$E:$E,$I449,Data!$AI:$AI)</f>
        <v>0</v>
      </c>
    </row>
    <row r="450" spans="1:22" x14ac:dyDescent="0.25">
      <c r="A450" s="47" t="s">
        <v>3144</v>
      </c>
      <c r="B450" s="47" t="s">
        <v>123</v>
      </c>
      <c r="C450" s="47">
        <v>2852533</v>
      </c>
      <c r="D450" s="47">
        <v>3.0015999999999998</v>
      </c>
      <c r="E450" s="48">
        <f>SUMIF(Data!$E:$E,$C450,Data!$AI:$AI)</f>
        <v>0</v>
      </c>
      <c r="I450" s="14" t="s">
        <v>3223</v>
      </c>
      <c r="J450" s="14" t="s">
        <v>3224</v>
      </c>
      <c r="K450" s="14" t="s">
        <v>140</v>
      </c>
      <c r="L450" s="14" t="s">
        <v>2942</v>
      </c>
      <c r="M450" s="14" t="s">
        <v>3225</v>
      </c>
      <c r="N450" s="14">
        <v>121.706</v>
      </c>
      <c r="O450" s="14" t="s">
        <v>3226</v>
      </c>
      <c r="P450" s="14" t="s">
        <v>3227</v>
      </c>
      <c r="Q450" s="14" t="s">
        <v>737</v>
      </c>
      <c r="R450" s="14" t="s">
        <v>3228</v>
      </c>
      <c r="S450" s="14" t="s">
        <v>728</v>
      </c>
      <c r="T450" s="14" t="s">
        <v>729</v>
      </c>
      <c r="U450" s="14" t="s">
        <v>730</v>
      </c>
      <c r="V450" s="48">
        <f>SUMIF(Data!$E:$E,$I450,Data!$AI:$AI)</f>
        <v>0</v>
      </c>
    </row>
    <row r="451" spans="1:22" x14ac:dyDescent="0.25">
      <c r="A451" s="47" t="s">
        <v>3144</v>
      </c>
      <c r="B451" s="47" t="s">
        <v>123</v>
      </c>
      <c r="C451" s="47">
        <v>4554406</v>
      </c>
      <c r="D451" s="47">
        <v>0.25740000000000002</v>
      </c>
      <c r="E451" s="48">
        <f>SUMIF(Data!$E:$E,$C451,Data!$AI:$AI)</f>
        <v>0</v>
      </c>
      <c r="I451" s="14" t="s">
        <v>3229</v>
      </c>
      <c r="J451" s="14" t="s">
        <v>3230</v>
      </c>
      <c r="K451" s="14" t="s">
        <v>140</v>
      </c>
      <c r="L451" s="14" t="s">
        <v>2942</v>
      </c>
      <c r="M451" s="14" t="s">
        <v>3231</v>
      </c>
      <c r="N451" s="14">
        <v>47.012999999999998</v>
      </c>
      <c r="O451" s="14" t="s">
        <v>3232</v>
      </c>
      <c r="P451" s="14" t="s">
        <v>3233</v>
      </c>
      <c r="Q451" s="14" t="s">
        <v>175</v>
      </c>
      <c r="R451" s="14" t="s">
        <v>3234</v>
      </c>
      <c r="S451" s="14" t="s">
        <v>148</v>
      </c>
      <c r="T451" s="14" t="s">
        <v>149</v>
      </c>
      <c r="U451" s="14" t="s">
        <v>113</v>
      </c>
      <c r="V451" s="48">
        <f>SUMIF(Data!$E:$E,$I451,Data!$AI:$AI)</f>
        <v>0</v>
      </c>
    </row>
    <row r="452" spans="1:22" x14ac:dyDescent="0.25">
      <c r="A452" s="47" t="s">
        <v>3144</v>
      </c>
      <c r="B452" s="47" t="s">
        <v>123</v>
      </c>
      <c r="C452" s="47">
        <v>6365866</v>
      </c>
      <c r="D452" s="47">
        <v>0.66269999999999996</v>
      </c>
      <c r="E452" s="48">
        <f>SUMIF(Data!$E:$E,$C452,Data!$AI:$AI)</f>
        <v>0</v>
      </c>
      <c r="I452" s="14" t="s">
        <v>3235</v>
      </c>
      <c r="J452" s="14" t="s">
        <v>3236</v>
      </c>
      <c r="K452" s="14" t="s">
        <v>140</v>
      </c>
      <c r="L452" s="14" t="s">
        <v>2942</v>
      </c>
      <c r="M452" s="14" t="s">
        <v>3237</v>
      </c>
      <c r="N452" s="14">
        <v>46.752000000000002</v>
      </c>
      <c r="O452" s="14" t="s">
        <v>3238</v>
      </c>
      <c r="P452" s="14" t="s">
        <v>3239</v>
      </c>
      <c r="Q452" s="14" t="s">
        <v>193</v>
      </c>
      <c r="R452" s="14" t="s">
        <v>3240</v>
      </c>
      <c r="S452" s="14" t="s">
        <v>195</v>
      </c>
      <c r="T452" s="14" t="s">
        <v>149</v>
      </c>
      <c r="U452" s="14" t="s">
        <v>113</v>
      </c>
      <c r="V452" s="48">
        <f>SUMIF(Data!$E:$E,$I452,Data!$AI:$AI)</f>
        <v>0</v>
      </c>
    </row>
    <row r="453" spans="1:22" x14ac:dyDescent="0.25">
      <c r="A453" s="47" t="s">
        <v>3144</v>
      </c>
      <c r="B453" s="47" t="s">
        <v>123</v>
      </c>
      <c r="C453" s="47">
        <v>6850856</v>
      </c>
      <c r="D453" s="47">
        <v>0.72989999999999999</v>
      </c>
      <c r="E453" s="48">
        <f>SUMIF(Data!$E:$E,$C453,Data!$AI:$AI)</f>
        <v>0</v>
      </c>
      <c r="I453" s="14" t="s">
        <v>3241</v>
      </c>
      <c r="J453" s="14" t="s">
        <v>3242</v>
      </c>
      <c r="K453" s="14" t="s">
        <v>140</v>
      </c>
      <c r="L453" s="14" t="s">
        <v>2942</v>
      </c>
      <c r="M453" s="14" t="s">
        <v>3243</v>
      </c>
      <c r="N453" s="14">
        <v>779.529</v>
      </c>
      <c r="O453" s="14" t="s">
        <v>3244</v>
      </c>
      <c r="P453" s="14" t="s">
        <v>3245</v>
      </c>
      <c r="Q453" s="14" t="s">
        <v>263</v>
      </c>
      <c r="R453" s="14" t="s">
        <v>3246</v>
      </c>
      <c r="S453" s="14" t="s">
        <v>1167</v>
      </c>
      <c r="T453" s="14" t="s">
        <v>1168</v>
      </c>
      <c r="U453" s="14" t="s">
        <v>528</v>
      </c>
      <c r="V453" s="48">
        <f>SUMIF(Data!$E:$E,$I453,Data!$AI:$AI)</f>
        <v>0</v>
      </c>
    </row>
    <row r="454" spans="1:22" x14ac:dyDescent="0.25">
      <c r="A454" s="47" t="s">
        <v>3144</v>
      </c>
      <c r="B454" s="47" t="s">
        <v>123</v>
      </c>
      <c r="C454" s="47">
        <v>7742468</v>
      </c>
      <c r="D454" s="47">
        <v>0.57130000000000003</v>
      </c>
      <c r="E454" s="48">
        <f>SUMIF(Data!$E:$E,$C454,Data!$AI:$AI)</f>
        <v>0</v>
      </c>
      <c r="I454" s="14" t="s">
        <v>3247</v>
      </c>
      <c r="J454" s="14" t="s">
        <v>3248</v>
      </c>
      <c r="K454" s="14" t="s">
        <v>140</v>
      </c>
      <c r="L454" s="14" t="s">
        <v>2942</v>
      </c>
      <c r="M454" s="14" t="s">
        <v>3249</v>
      </c>
      <c r="N454" s="14">
        <v>123.026</v>
      </c>
      <c r="O454" s="14" t="s">
        <v>3250</v>
      </c>
      <c r="P454" s="14" t="s">
        <v>3251</v>
      </c>
      <c r="Q454" s="14" t="s">
        <v>419</v>
      </c>
      <c r="R454" s="14" t="s">
        <v>3252</v>
      </c>
      <c r="S454" s="14" t="s">
        <v>195</v>
      </c>
      <c r="T454" s="14" t="s">
        <v>149</v>
      </c>
      <c r="U454" s="14" t="s">
        <v>113</v>
      </c>
      <c r="V454" s="48">
        <f>SUMIF(Data!$E:$E,$I454,Data!$AI:$AI)</f>
        <v>0</v>
      </c>
    </row>
    <row r="455" spans="1:22" x14ac:dyDescent="0.25">
      <c r="A455" s="47" t="s">
        <v>3144</v>
      </c>
      <c r="B455" s="47" t="s">
        <v>123</v>
      </c>
      <c r="C455" s="47" t="s">
        <v>3253</v>
      </c>
      <c r="D455" s="47">
        <v>0.71650000000000003</v>
      </c>
      <c r="E455" s="48">
        <f>SUMIF(Data!$E:$E,$C455,Data!$AI:$AI)</f>
        <v>0</v>
      </c>
      <c r="I455" s="14" t="s">
        <v>3254</v>
      </c>
      <c r="J455" s="14" t="s">
        <v>3255</v>
      </c>
      <c r="K455" s="14" t="s">
        <v>140</v>
      </c>
      <c r="L455" s="14" t="s">
        <v>2942</v>
      </c>
      <c r="M455" s="14" t="s">
        <v>3256</v>
      </c>
      <c r="N455" s="14">
        <v>348.517</v>
      </c>
      <c r="O455" s="14" t="s">
        <v>3257</v>
      </c>
      <c r="P455" s="14" t="s">
        <v>3258</v>
      </c>
      <c r="Q455" s="14" t="s">
        <v>193</v>
      </c>
      <c r="R455" s="14" t="s">
        <v>3259</v>
      </c>
      <c r="S455" s="14" t="s">
        <v>195</v>
      </c>
      <c r="T455" s="14" t="s">
        <v>149</v>
      </c>
      <c r="U455" s="14" t="s">
        <v>113</v>
      </c>
      <c r="V455" s="48">
        <f>SUMIF(Data!$E:$E,$I455,Data!$AI:$AI)</f>
        <v>0</v>
      </c>
    </row>
    <row r="456" spans="1:22" x14ac:dyDescent="0.25">
      <c r="A456" s="47" t="s">
        <v>3144</v>
      </c>
      <c r="B456" s="47" t="s">
        <v>123</v>
      </c>
      <c r="C456" s="47" t="s">
        <v>3260</v>
      </c>
      <c r="D456" s="47">
        <v>1.1032</v>
      </c>
      <c r="E456" s="48">
        <f>SUMIF(Data!$E:$E,$C456,Data!$AI:$AI)</f>
        <v>0</v>
      </c>
      <c r="I456" s="14" t="s">
        <v>3261</v>
      </c>
      <c r="J456" s="14" t="s">
        <v>3262</v>
      </c>
      <c r="K456" s="14" t="s">
        <v>140</v>
      </c>
      <c r="L456" s="14" t="s">
        <v>2942</v>
      </c>
      <c r="M456" s="14" t="s">
        <v>3263</v>
      </c>
      <c r="N456" s="14">
        <v>58.673999999999999</v>
      </c>
      <c r="O456" s="14" t="s">
        <v>3264</v>
      </c>
      <c r="P456" s="14" t="s">
        <v>3265</v>
      </c>
      <c r="Q456" s="14" t="s">
        <v>146</v>
      </c>
      <c r="R456" s="14" t="s">
        <v>3266</v>
      </c>
      <c r="S456" s="14" t="s">
        <v>148</v>
      </c>
      <c r="T456" s="14" t="s">
        <v>149</v>
      </c>
      <c r="U456" s="14" t="s">
        <v>113</v>
      </c>
      <c r="V456" s="48">
        <f>SUMIF(Data!$E:$E,$I456,Data!$AI:$AI)</f>
        <v>0</v>
      </c>
    </row>
    <row r="457" spans="1:22" x14ac:dyDescent="0.25">
      <c r="A457" s="47" t="s">
        <v>3144</v>
      </c>
      <c r="B457" s="47" t="s">
        <v>123</v>
      </c>
      <c r="C457" s="47" t="s">
        <v>3267</v>
      </c>
      <c r="D457" s="47">
        <v>2.3658999999999999</v>
      </c>
      <c r="E457" s="48">
        <f>SUMIF(Data!$E:$E,$C457,Data!$AI:$AI)</f>
        <v>0</v>
      </c>
      <c r="I457" s="14" t="s">
        <v>3268</v>
      </c>
      <c r="J457" s="14" t="s">
        <v>3269</v>
      </c>
      <c r="K457" s="14" t="s">
        <v>140</v>
      </c>
      <c r="L457" s="14" t="s">
        <v>2942</v>
      </c>
      <c r="M457" s="14" t="s">
        <v>3270</v>
      </c>
      <c r="N457" s="14">
        <v>432.49299999999999</v>
      </c>
      <c r="O457" s="14" t="s">
        <v>3271</v>
      </c>
      <c r="P457" s="14" t="s">
        <v>3272</v>
      </c>
      <c r="Q457" s="14" t="s">
        <v>227</v>
      </c>
      <c r="R457" s="14" t="s">
        <v>3273</v>
      </c>
      <c r="S457" s="14" t="s">
        <v>195</v>
      </c>
      <c r="T457" s="14" t="s">
        <v>149</v>
      </c>
      <c r="U457" s="14" t="s">
        <v>113</v>
      </c>
      <c r="V457" s="48">
        <f>SUMIF(Data!$E:$E,$I457,Data!$AI:$AI)</f>
        <v>0</v>
      </c>
    </row>
    <row r="458" spans="1:22" x14ac:dyDescent="0.25">
      <c r="A458" s="47" t="s">
        <v>3144</v>
      </c>
      <c r="B458" s="47" t="s">
        <v>123</v>
      </c>
      <c r="C458" s="47" t="s">
        <v>3274</v>
      </c>
      <c r="D458" s="47">
        <v>3.1349999999999998</v>
      </c>
      <c r="E458" s="48">
        <f>SUMIF(Data!$E:$E,$C458,Data!$AI:$AI)</f>
        <v>0</v>
      </c>
      <c r="I458" s="14" t="s">
        <v>3275</v>
      </c>
      <c r="J458" s="14" t="s">
        <v>3276</v>
      </c>
      <c r="K458" s="14" t="s">
        <v>140</v>
      </c>
      <c r="L458" s="14" t="s">
        <v>2942</v>
      </c>
      <c r="M458" s="14" t="s">
        <v>3277</v>
      </c>
      <c r="N458" s="14">
        <v>70.302999999999997</v>
      </c>
      <c r="O458" s="14" t="s">
        <v>3278</v>
      </c>
      <c r="P458" s="14" t="s">
        <v>3279</v>
      </c>
      <c r="Q458" s="14" t="s">
        <v>165</v>
      </c>
      <c r="R458" s="14" t="s">
        <v>3280</v>
      </c>
      <c r="S458" s="14" t="s">
        <v>1130</v>
      </c>
      <c r="T458" s="14" t="s">
        <v>1131</v>
      </c>
      <c r="U458" s="14" t="s">
        <v>528</v>
      </c>
      <c r="V458" s="48">
        <f>SUMIF(Data!$E:$E,$I458,Data!$AI:$AI)</f>
        <v>0</v>
      </c>
    </row>
    <row r="459" spans="1:22" x14ac:dyDescent="0.25">
      <c r="A459" s="47" t="s">
        <v>3144</v>
      </c>
      <c r="B459" s="47" t="s">
        <v>123</v>
      </c>
      <c r="C459" s="47">
        <v>2096847</v>
      </c>
      <c r="D459" s="47">
        <v>0.90769999999999995</v>
      </c>
      <c r="E459" s="48">
        <f>SUMIF(Data!$E:$E,$C459,Data!$AI:$AI)</f>
        <v>0</v>
      </c>
      <c r="I459" s="14" t="s">
        <v>3281</v>
      </c>
      <c r="J459" s="14" t="s">
        <v>3282</v>
      </c>
      <c r="K459" s="14" t="s">
        <v>140</v>
      </c>
      <c r="L459" s="14" t="s">
        <v>2942</v>
      </c>
      <c r="M459" s="14" t="s">
        <v>3283</v>
      </c>
      <c r="N459" s="14" t="s">
        <v>3284</v>
      </c>
      <c r="O459" s="14" t="s">
        <v>3285</v>
      </c>
      <c r="P459" s="14" t="s">
        <v>3286</v>
      </c>
      <c r="Q459" s="14" t="s">
        <v>193</v>
      </c>
      <c r="R459" s="14" t="s">
        <v>3287</v>
      </c>
      <c r="S459" s="14" t="s">
        <v>2931</v>
      </c>
      <c r="T459" s="14" t="s">
        <v>2932</v>
      </c>
      <c r="U459" s="14" t="s">
        <v>2933</v>
      </c>
      <c r="V459" s="48">
        <f>SUMIF(Data!$E:$E,$I459,Data!$AI:$AI)</f>
        <v>0</v>
      </c>
    </row>
    <row r="460" spans="1:22" x14ac:dyDescent="0.25">
      <c r="A460" s="47" t="s">
        <v>3144</v>
      </c>
      <c r="B460" s="47" t="s">
        <v>123</v>
      </c>
      <c r="C460" s="47">
        <v>2284084</v>
      </c>
      <c r="D460" s="47">
        <v>0.95509999999999995</v>
      </c>
      <c r="E460" s="48">
        <f>SUMIF(Data!$E:$E,$C460,Data!$AI:$AI)</f>
        <v>0</v>
      </c>
      <c r="I460" s="14" t="s">
        <v>3288</v>
      </c>
      <c r="J460" s="14" t="s">
        <v>3289</v>
      </c>
      <c r="K460" s="14" t="s">
        <v>140</v>
      </c>
      <c r="L460" s="14" t="s">
        <v>2942</v>
      </c>
      <c r="M460" s="14" t="s">
        <v>3290</v>
      </c>
      <c r="N460" s="14">
        <v>178.08699999999999</v>
      </c>
      <c r="O460" s="14" t="s">
        <v>3291</v>
      </c>
      <c r="P460" s="14" t="s">
        <v>3292</v>
      </c>
      <c r="Q460" s="14" t="s">
        <v>146</v>
      </c>
      <c r="R460" s="14" t="s">
        <v>3293</v>
      </c>
      <c r="S460" s="14" t="s">
        <v>195</v>
      </c>
      <c r="T460" s="14" t="s">
        <v>149</v>
      </c>
      <c r="U460" s="14" t="s">
        <v>113</v>
      </c>
      <c r="V460" s="48">
        <f>SUMIF(Data!$E:$E,$I460,Data!$AI:$AI)</f>
        <v>0</v>
      </c>
    </row>
    <row r="461" spans="1:22" x14ac:dyDescent="0.25">
      <c r="A461" s="47" t="s">
        <v>3144</v>
      </c>
      <c r="B461" s="47" t="s">
        <v>123</v>
      </c>
      <c r="C461" s="47">
        <v>2727910</v>
      </c>
      <c r="D461" s="47">
        <v>0.94259999999999999</v>
      </c>
      <c r="E461" s="48">
        <f>SUMIF(Data!$E:$E,$C461,Data!$AI:$AI)</f>
        <v>0</v>
      </c>
      <c r="I461" s="14" t="s">
        <v>3294</v>
      </c>
      <c r="J461" s="14" t="s">
        <v>3295</v>
      </c>
      <c r="K461" s="14" t="s">
        <v>140</v>
      </c>
      <c r="L461" s="14" t="s">
        <v>2942</v>
      </c>
      <c r="M461" s="14" t="s">
        <v>3296</v>
      </c>
      <c r="N461" s="14">
        <v>41.228999999999999</v>
      </c>
      <c r="O461" s="14" t="s">
        <v>3297</v>
      </c>
      <c r="P461" s="14" t="s">
        <v>3298</v>
      </c>
      <c r="Q461" s="14" t="s">
        <v>211</v>
      </c>
      <c r="R461" s="14" t="s">
        <v>3299</v>
      </c>
      <c r="S461" s="14" t="s">
        <v>148</v>
      </c>
      <c r="T461" s="14" t="s">
        <v>149</v>
      </c>
      <c r="U461" s="14" t="s">
        <v>113</v>
      </c>
      <c r="V461" s="48">
        <f>SUMIF(Data!$E:$E,$I461,Data!$AI:$AI)</f>
        <v>0</v>
      </c>
    </row>
    <row r="462" spans="1:22" x14ac:dyDescent="0.25">
      <c r="A462" s="47" t="s">
        <v>3144</v>
      </c>
      <c r="B462" s="47" t="s">
        <v>123</v>
      </c>
      <c r="C462" s="47" t="s">
        <v>3300</v>
      </c>
      <c r="D462" s="47">
        <v>0.26440000000000002</v>
      </c>
      <c r="E462" s="48">
        <f>SUMIF(Data!$E:$E,$C462,Data!$AI:$AI)</f>
        <v>0</v>
      </c>
      <c r="I462" s="14">
        <v>7733</v>
      </c>
      <c r="J462" s="14" t="s">
        <v>3301</v>
      </c>
      <c r="K462" s="14" t="s">
        <v>140</v>
      </c>
      <c r="L462" s="14" t="s">
        <v>2942</v>
      </c>
      <c r="M462" s="14" t="s">
        <v>3302</v>
      </c>
      <c r="N462" s="14">
        <v>760.9</v>
      </c>
      <c r="O462" s="14" t="s">
        <v>3303</v>
      </c>
      <c r="P462" s="14" t="s">
        <v>3304</v>
      </c>
      <c r="Q462" s="14" t="s">
        <v>211</v>
      </c>
      <c r="R462" s="14" t="s">
        <v>3305</v>
      </c>
      <c r="S462" s="14" t="s">
        <v>444</v>
      </c>
      <c r="T462" s="14" t="s">
        <v>445</v>
      </c>
      <c r="U462" s="14" t="s">
        <v>446</v>
      </c>
      <c r="V462" s="48">
        <f>SUMIF(Data!$E:$E,$I462,Data!$AI:$AI)</f>
        <v>0</v>
      </c>
    </row>
    <row r="463" spans="1:22" x14ac:dyDescent="0.25">
      <c r="A463" s="47" t="s">
        <v>3144</v>
      </c>
      <c r="B463" s="47" t="s">
        <v>123</v>
      </c>
      <c r="C463" s="47">
        <v>2166320</v>
      </c>
      <c r="D463" s="47">
        <v>0.78239999999999998</v>
      </c>
      <c r="E463" s="48">
        <f>SUMIF(Data!$E:$E,$C463,Data!$AI:$AI)</f>
        <v>0</v>
      </c>
      <c r="I463" s="14" t="s">
        <v>3306</v>
      </c>
      <c r="J463" s="14" t="s">
        <v>3307</v>
      </c>
      <c r="K463" s="14" t="s">
        <v>140</v>
      </c>
      <c r="L463" s="14" t="s">
        <v>2942</v>
      </c>
      <c r="M463" s="14" t="s">
        <v>3308</v>
      </c>
      <c r="N463" s="14">
        <v>586.07000000000005</v>
      </c>
      <c r="O463" s="14" t="s">
        <v>3309</v>
      </c>
      <c r="P463" s="14" t="s">
        <v>3310</v>
      </c>
      <c r="Q463" s="14" t="s">
        <v>193</v>
      </c>
      <c r="R463" s="14" t="s">
        <v>3311</v>
      </c>
      <c r="S463" s="14" t="s">
        <v>1130</v>
      </c>
      <c r="T463" s="14" t="s">
        <v>1131</v>
      </c>
      <c r="U463" s="14" t="s">
        <v>528</v>
      </c>
      <c r="V463" s="48">
        <f>SUMIF(Data!$E:$E,$I463,Data!$AI:$AI)</f>
        <v>0</v>
      </c>
    </row>
    <row r="464" spans="1:22" x14ac:dyDescent="0.25">
      <c r="A464" s="47" t="s">
        <v>3144</v>
      </c>
      <c r="B464" s="47" t="s">
        <v>123</v>
      </c>
      <c r="C464" s="47">
        <v>2491594</v>
      </c>
      <c r="D464" s="47">
        <v>0.73370000000000002</v>
      </c>
      <c r="E464" s="48">
        <f>SUMIF(Data!$E:$E,$C464,Data!$AI:$AI)</f>
        <v>0</v>
      </c>
      <c r="I464" s="14" t="s">
        <v>3312</v>
      </c>
      <c r="J464" s="14" t="s">
        <v>3313</v>
      </c>
      <c r="K464" s="14" t="s">
        <v>140</v>
      </c>
      <c r="L464" s="14" t="s">
        <v>2942</v>
      </c>
      <c r="M464" s="14" t="s">
        <v>3314</v>
      </c>
      <c r="N464" s="14">
        <v>18.666</v>
      </c>
      <c r="O464" s="14" t="s">
        <v>3315</v>
      </c>
      <c r="P464" s="14" t="s">
        <v>3316</v>
      </c>
      <c r="Q464" s="14" t="s">
        <v>419</v>
      </c>
      <c r="R464" s="14" t="s">
        <v>3317</v>
      </c>
      <c r="S464" s="14" t="s">
        <v>148</v>
      </c>
      <c r="T464" s="14" t="s">
        <v>149</v>
      </c>
      <c r="U464" s="14" t="s">
        <v>113</v>
      </c>
      <c r="V464" s="48">
        <f>SUMIF(Data!$E:$E,$I464,Data!$AI:$AI)</f>
        <v>0</v>
      </c>
    </row>
    <row r="465" spans="1:22" x14ac:dyDescent="0.25">
      <c r="A465" s="47" t="s">
        <v>3144</v>
      </c>
      <c r="B465" s="47" t="s">
        <v>123</v>
      </c>
      <c r="C465" s="47">
        <v>2543967</v>
      </c>
      <c r="D465" s="47">
        <v>0.62339999999999995</v>
      </c>
      <c r="E465" s="48">
        <f>SUMIF(Data!$E:$E,$C465,Data!$AI:$AI)</f>
        <v>0</v>
      </c>
      <c r="I465" s="14">
        <v>8591</v>
      </c>
      <c r="J465" s="14" t="s">
        <v>3318</v>
      </c>
      <c r="K465" s="14" t="s">
        <v>140</v>
      </c>
      <c r="L465" s="14" t="s">
        <v>2942</v>
      </c>
      <c r="M465" s="14" t="s">
        <v>3319</v>
      </c>
      <c r="N465" s="14">
        <v>709.09</v>
      </c>
      <c r="O465" s="14" t="s">
        <v>3320</v>
      </c>
      <c r="P465" s="14" t="s">
        <v>3321</v>
      </c>
      <c r="Q465" s="14" t="s">
        <v>193</v>
      </c>
      <c r="R465" s="14" t="s">
        <v>3322</v>
      </c>
      <c r="S465" s="14" t="s">
        <v>444</v>
      </c>
      <c r="T465" s="14" t="s">
        <v>445</v>
      </c>
      <c r="U465" s="14" t="s">
        <v>446</v>
      </c>
      <c r="V465" s="48">
        <f>SUMIF(Data!$E:$E,$I465,Data!$AI:$AI)</f>
        <v>0</v>
      </c>
    </row>
    <row r="466" spans="1:22" x14ac:dyDescent="0.25">
      <c r="A466" s="47" t="s">
        <v>3144</v>
      </c>
      <c r="B466" s="47" t="s">
        <v>123</v>
      </c>
      <c r="C466" s="47">
        <v>2724193</v>
      </c>
      <c r="D466" s="47">
        <v>1.4236</v>
      </c>
      <c r="E466" s="48">
        <f>SUMIF(Data!$E:$E,$C466,Data!$AI:$AI)</f>
        <v>0</v>
      </c>
      <c r="I466" s="14" t="s">
        <v>3323</v>
      </c>
      <c r="J466" s="14" t="s">
        <v>3324</v>
      </c>
      <c r="K466" s="14" t="s">
        <v>140</v>
      </c>
      <c r="L466" s="14" t="s">
        <v>2942</v>
      </c>
      <c r="M466" s="14" t="s">
        <v>3325</v>
      </c>
      <c r="N466" s="14" t="s">
        <v>3326</v>
      </c>
      <c r="O466" s="14" t="s">
        <v>3327</v>
      </c>
      <c r="P466" s="14" t="s">
        <v>3328</v>
      </c>
      <c r="Q466" s="14" t="s">
        <v>697</v>
      </c>
      <c r="R466" s="14" t="s">
        <v>3329</v>
      </c>
      <c r="S466" s="14" t="s">
        <v>526</v>
      </c>
      <c r="T466" s="14" t="s">
        <v>527</v>
      </c>
      <c r="U466" s="14" t="s">
        <v>528</v>
      </c>
      <c r="V466" s="48">
        <f>SUMIF(Data!$E:$E,$I466,Data!$AI:$AI)</f>
        <v>0</v>
      </c>
    </row>
    <row r="467" spans="1:22" x14ac:dyDescent="0.25">
      <c r="A467" s="47" t="s">
        <v>3144</v>
      </c>
      <c r="B467" s="47" t="s">
        <v>123</v>
      </c>
      <c r="C467" s="47">
        <v>2726177</v>
      </c>
      <c r="D467" s="47">
        <v>0.90110000000000001</v>
      </c>
      <c r="E467" s="48">
        <f>SUMIF(Data!$E:$E,$C467,Data!$AI:$AI)</f>
        <v>0</v>
      </c>
      <c r="I467" s="14" t="s">
        <v>3330</v>
      </c>
      <c r="J467" s="14" t="s">
        <v>3331</v>
      </c>
      <c r="K467" s="14" t="s">
        <v>140</v>
      </c>
      <c r="L467" s="14" t="s">
        <v>2942</v>
      </c>
      <c r="M467" s="14" t="s">
        <v>3332</v>
      </c>
      <c r="N467" s="14">
        <v>132.285</v>
      </c>
      <c r="O467" s="14" t="s">
        <v>3333</v>
      </c>
      <c r="P467" s="14" t="s">
        <v>3334</v>
      </c>
      <c r="Q467" s="14" t="s">
        <v>165</v>
      </c>
      <c r="R467" s="14" t="s">
        <v>3335</v>
      </c>
      <c r="S467" s="14" t="s">
        <v>195</v>
      </c>
      <c r="T467" s="14" t="s">
        <v>149</v>
      </c>
      <c r="U467" s="14" t="s">
        <v>113</v>
      </c>
      <c r="V467" s="48">
        <f>SUMIF(Data!$E:$E,$I467,Data!$AI:$AI)</f>
        <v>0</v>
      </c>
    </row>
    <row r="468" spans="1:22" x14ac:dyDescent="0.25">
      <c r="A468" s="47" t="s">
        <v>3144</v>
      </c>
      <c r="B468" s="47" t="s">
        <v>123</v>
      </c>
      <c r="C468" s="47">
        <v>6528175</v>
      </c>
      <c r="D468" s="47">
        <v>0.29049999999999998</v>
      </c>
      <c r="E468" s="48">
        <f>SUMIF(Data!$E:$E,$C468,Data!$AI:$AI)</f>
        <v>0</v>
      </c>
      <c r="I468" s="14" t="s">
        <v>3336</v>
      </c>
      <c r="J468" s="14" t="s">
        <v>3337</v>
      </c>
      <c r="K468" s="14" t="s">
        <v>140</v>
      </c>
      <c r="L468" s="14" t="s">
        <v>2942</v>
      </c>
      <c r="M468" s="14" t="s">
        <v>3338</v>
      </c>
      <c r="N468" s="14">
        <v>72.042000000000002</v>
      </c>
      <c r="O468" s="14" t="s">
        <v>3339</v>
      </c>
      <c r="P468" s="14" t="s">
        <v>3340</v>
      </c>
      <c r="Q468" s="14" t="s">
        <v>193</v>
      </c>
      <c r="R468" s="14" t="s">
        <v>3341</v>
      </c>
      <c r="S468" s="14" t="s">
        <v>195</v>
      </c>
      <c r="T468" s="14" t="s">
        <v>149</v>
      </c>
      <c r="U468" s="14" t="s">
        <v>113</v>
      </c>
      <c r="V468" s="48">
        <f>SUMIF(Data!$E:$E,$I468,Data!$AI:$AI)</f>
        <v>0</v>
      </c>
    </row>
    <row r="469" spans="1:22" x14ac:dyDescent="0.25">
      <c r="A469" s="47" t="s">
        <v>3144</v>
      </c>
      <c r="B469" s="47" t="s">
        <v>123</v>
      </c>
      <c r="C469" s="47">
        <v>7582556</v>
      </c>
      <c r="D469" s="47">
        <v>0.74680000000000002</v>
      </c>
      <c r="E469" s="48">
        <f>SUMIF(Data!$E:$E,$C469,Data!$AI:$AI)</f>
        <v>0</v>
      </c>
      <c r="I469" s="14" t="s">
        <v>3342</v>
      </c>
      <c r="J469" s="14" t="s">
        <v>3343</v>
      </c>
      <c r="K469" s="14" t="s">
        <v>140</v>
      </c>
      <c r="L469" s="14" t="s">
        <v>2942</v>
      </c>
      <c r="M469" s="14" t="s">
        <v>3344</v>
      </c>
      <c r="N469" s="14">
        <v>619.75400000000002</v>
      </c>
      <c r="O469" s="14" t="s">
        <v>3345</v>
      </c>
      <c r="P469" s="14" t="s">
        <v>3346</v>
      </c>
      <c r="Q469" s="14" t="s">
        <v>419</v>
      </c>
      <c r="R469" s="14" t="s">
        <v>3347</v>
      </c>
      <c r="S469" s="14" t="s">
        <v>2931</v>
      </c>
      <c r="T469" s="14" t="s">
        <v>2932</v>
      </c>
      <c r="U469" s="14" t="s">
        <v>2933</v>
      </c>
      <c r="V469" s="48">
        <f>SUMIF(Data!$E:$E,$I469,Data!$AI:$AI)</f>
        <v>0</v>
      </c>
    </row>
    <row r="470" spans="1:22" x14ac:dyDescent="0.25">
      <c r="A470" s="47" t="s">
        <v>3144</v>
      </c>
      <c r="B470" s="47" t="s">
        <v>123</v>
      </c>
      <c r="C470" s="47">
        <v>7745638</v>
      </c>
      <c r="D470" s="47">
        <v>0.31090000000000001</v>
      </c>
      <c r="E470" s="48">
        <f>SUMIF(Data!$E:$E,$C470,Data!$AI:$AI)</f>
        <v>0</v>
      </c>
      <c r="I470" s="14">
        <v>4523</v>
      </c>
      <c r="J470" s="14" t="s">
        <v>3348</v>
      </c>
      <c r="K470" s="14" t="s">
        <v>140</v>
      </c>
      <c r="L470" s="14" t="s">
        <v>2942</v>
      </c>
      <c r="M470" s="14" t="s">
        <v>3349</v>
      </c>
      <c r="N470" s="14">
        <v>157.94</v>
      </c>
      <c r="O470" s="14" t="s">
        <v>3350</v>
      </c>
      <c r="P470" s="14" t="s">
        <v>3351</v>
      </c>
      <c r="Q470" s="14" t="s">
        <v>211</v>
      </c>
      <c r="R470" s="14" t="s">
        <v>3352</v>
      </c>
      <c r="S470" s="14" t="s">
        <v>444</v>
      </c>
      <c r="T470" s="14" t="s">
        <v>445</v>
      </c>
      <c r="U470" s="14" t="s">
        <v>446</v>
      </c>
      <c r="V470" s="48">
        <f>SUMIF(Data!$E:$E,$I470,Data!$AI:$AI)</f>
        <v>0</v>
      </c>
    </row>
    <row r="471" spans="1:22" x14ac:dyDescent="0.25">
      <c r="A471" s="47" t="s">
        <v>3144</v>
      </c>
      <c r="B471" s="47" t="s">
        <v>123</v>
      </c>
      <c r="C471" s="47" t="s">
        <v>3353</v>
      </c>
      <c r="D471" s="47">
        <v>0.6048</v>
      </c>
      <c r="E471" s="48">
        <f>SUMIF(Data!$E:$E,$C471,Data!$AI:$AI)</f>
        <v>0</v>
      </c>
      <c r="I471" s="14" t="s">
        <v>3354</v>
      </c>
      <c r="J471" s="14" t="s">
        <v>3355</v>
      </c>
      <c r="K471" s="14" t="s">
        <v>140</v>
      </c>
      <c r="L471" s="14" t="s">
        <v>2942</v>
      </c>
      <c r="M471" s="14" t="s">
        <v>3356</v>
      </c>
      <c r="N471" s="14">
        <v>152.643</v>
      </c>
      <c r="O471" s="14" t="s">
        <v>3357</v>
      </c>
      <c r="P471" s="14" t="s">
        <v>3358</v>
      </c>
      <c r="Q471" s="14" t="s">
        <v>419</v>
      </c>
      <c r="R471" s="14" t="s">
        <v>3359</v>
      </c>
      <c r="S471" s="14" t="s">
        <v>195</v>
      </c>
      <c r="T471" s="14" t="s">
        <v>149</v>
      </c>
      <c r="U471" s="14" t="s">
        <v>113</v>
      </c>
      <c r="V471" s="48">
        <f>SUMIF(Data!$E:$E,$I471,Data!$AI:$AI)</f>
        <v>0</v>
      </c>
    </row>
    <row r="472" spans="1:22" x14ac:dyDescent="0.25">
      <c r="A472" s="47" t="s">
        <v>3144</v>
      </c>
      <c r="B472" s="47" t="s">
        <v>123</v>
      </c>
      <c r="C472" s="47" t="s">
        <v>3360</v>
      </c>
      <c r="D472" s="47">
        <v>1.6923999999999999</v>
      </c>
      <c r="E472" s="48">
        <f>SUMIF(Data!$E:$E,$C472,Data!$AI:$AI)</f>
        <v>0</v>
      </c>
      <c r="I472" s="14" t="s">
        <v>3361</v>
      </c>
      <c r="J472" s="14" t="s">
        <v>3362</v>
      </c>
      <c r="K472" s="14" t="s">
        <v>140</v>
      </c>
      <c r="L472" s="14" t="s">
        <v>2942</v>
      </c>
      <c r="M472" s="14" t="s">
        <v>3363</v>
      </c>
      <c r="N472" s="14">
        <v>213.60300000000001</v>
      </c>
      <c r="O472" s="14" t="s">
        <v>3364</v>
      </c>
      <c r="P472" s="14" t="s">
        <v>3365</v>
      </c>
      <c r="Q472" s="14" t="s">
        <v>211</v>
      </c>
      <c r="R472" s="14" t="s">
        <v>3366</v>
      </c>
      <c r="S472" s="14" t="s">
        <v>526</v>
      </c>
      <c r="T472" s="14" t="s">
        <v>527</v>
      </c>
      <c r="U472" s="14" t="s">
        <v>528</v>
      </c>
      <c r="V472" s="48">
        <f>SUMIF(Data!$E:$E,$I472,Data!$AI:$AI)</f>
        <v>0</v>
      </c>
    </row>
    <row r="473" spans="1:22" x14ac:dyDescent="0.25">
      <c r="A473" s="47" t="s">
        <v>3144</v>
      </c>
      <c r="B473" s="47" t="s">
        <v>123</v>
      </c>
      <c r="C473" s="47">
        <v>2417578</v>
      </c>
      <c r="D473" s="47">
        <v>1.1492</v>
      </c>
      <c r="E473" s="48">
        <f>SUMIF(Data!$E:$E,$C473,Data!$AI:$AI)</f>
        <v>0</v>
      </c>
      <c r="I473" s="14" t="s">
        <v>3367</v>
      </c>
      <c r="J473" s="14" t="s">
        <v>3368</v>
      </c>
      <c r="K473" s="14" t="s">
        <v>140</v>
      </c>
      <c r="L473" s="14" t="s">
        <v>2942</v>
      </c>
      <c r="M473" s="14" t="s">
        <v>3369</v>
      </c>
      <c r="N473" s="14">
        <v>95.394999999999996</v>
      </c>
      <c r="O473" s="14" t="s">
        <v>3370</v>
      </c>
      <c r="P473" s="14" t="s">
        <v>3371</v>
      </c>
      <c r="Q473" s="14" t="s">
        <v>737</v>
      </c>
      <c r="R473" s="14" t="s">
        <v>3372</v>
      </c>
      <c r="S473" s="14" t="s">
        <v>645</v>
      </c>
      <c r="T473" s="14" t="s">
        <v>646</v>
      </c>
      <c r="U473" s="14" t="s">
        <v>528</v>
      </c>
      <c r="V473" s="48">
        <f>SUMIF(Data!$E:$E,$I473,Data!$AI:$AI)</f>
        <v>0</v>
      </c>
    </row>
    <row r="474" spans="1:22" x14ac:dyDescent="0.25">
      <c r="A474" s="47" t="s">
        <v>3144</v>
      </c>
      <c r="B474" s="47" t="s">
        <v>123</v>
      </c>
      <c r="C474" s="47">
        <v>2927925</v>
      </c>
      <c r="D474" s="47">
        <v>2.0865999999999998</v>
      </c>
      <c r="E474" s="48">
        <f>SUMIF(Data!$E:$E,$C474,Data!$AI:$AI)</f>
        <v>0</v>
      </c>
      <c r="I474" s="14" t="s">
        <v>3373</v>
      </c>
      <c r="J474" s="14" t="s">
        <v>3374</v>
      </c>
      <c r="K474" s="14" t="s">
        <v>140</v>
      </c>
      <c r="L474" s="14" t="s">
        <v>2942</v>
      </c>
      <c r="M474" s="14" t="s">
        <v>3375</v>
      </c>
      <c r="N474" s="14">
        <v>11.417999999999999</v>
      </c>
      <c r="O474" s="14" t="s">
        <v>3376</v>
      </c>
      <c r="P474" s="14" t="s">
        <v>3377</v>
      </c>
      <c r="Q474" s="14" t="s">
        <v>146</v>
      </c>
      <c r="R474" s="14" t="s">
        <v>3378</v>
      </c>
      <c r="S474" s="14" t="s">
        <v>728</v>
      </c>
      <c r="T474" s="14" t="s">
        <v>729</v>
      </c>
      <c r="U474" s="14" t="s">
        <v>730</v>
      </c>
      <c r="V474" s="48">
        <f>SUMIF(Data!$E:$E,$I474,Data!$AI:$AI)</f>
        <v>0</v>
      </c>
    </row>
    <row r="475" spans="1:22" x14ac:dyDescent="0.25">
      <c r="A475" s="47" t="s">
        <v>3144</v>
      </c>
      <c r="B475" s="47" t="s">
        <v>123</v>
      </c>
      <c r="C475" s="47">
        <v>2933632</v>
      </c>
      <c r="D475" s="47">
        <v>1.2108000000000001</v>
      </c>
      <c r="E475" s="48">
        <f>SUMIF(Data!$E:$E,$C475,Data!$AI:$AI)</f>
        <v>0</v>
      </c>
      <c r="I475" s="14" t="s">
        <v>3379</v>
      </c>
      <c r="J475" s="14" t="s">
        <v>3380</v>
      </c>
      <c r="K475" s="14" t="s">
        <v>140</v>
      </c>
      <c r="L475" s="14" t="s">
        <v>2942</v>
      </c>
      <c r="M475" s="14" t="s">
        <v>3381</v>
      </c>
      <c r="N475" s="14">
        <v>756.851</v>
      </c>
      <c r="O475" s="14" t="s">
        <v>3382</v>
      </c>
      <c r="P475" s="14" t="s">
        <v>3383</v>
      </c>
      <c r="Q475" s="14" t="s">
        <v>146</v>
      </c>
      <c r="R475" s="14" t="s">
        <v>3384</v>
      </c>
      <c r="S475" s="14" t="s">
        <v>195</v>
      </c>
      <c r="T475" s="14" t="s">
        <v>149</v>
      </c>
      <c r="U475" s="14" t="s">
        <v>113</v>
      </c>
      <c r="V475" s="48">
        <f>SUMIF(Data!$E:$E,$I475,Data!$AI:$AI)</f>
        <v>0</v>
      </c>
    </row>
    <row r="476" spans="1:22" x14ac:dyDescent="0.25">
      <c r="A476" s="47" t="s">
        <v>3144</v>
      </c>
      <c r="B476" s="47" t="s">
        <v>123</v>
      </c>
      <c r="C476" s="47">
        <v>2946618</v>
      </c>
      <c r="D476" s="47">
        <v>0.3543</v>
      </c>
      <c r="E476" s="48">
        <f>SUMIF(Data!$E:$E,$C476,Data!$AI:$AI)</f>
        <v>0</v>
      </c>
      <c r="I476" s="14" t="s">
        <v>3385</v>
      </c>
      <c r="J476" s="14" t="s">
        <v>3386</v>
      </c>
      <c r="K476" s="14" t="s">
        <v>140</v>
      </c>
      <c r="L476" s="14" t="s">
        <v>2942</v>
      </c>
      <c r="M476" s="14" t="s">
        <v>3387</v>
      </c>
      <c r="N476" s="14">
        <v>44.808</v>
      </c>
      <c r="O476" s="14" t="s">
        <v>3388</v>
      </c>
      <c r="P476" s="14" t="s">
        <v>3389</v>
      </c>
      <c r="Q476" s="14" t="s">
        <v>146</v>
      </c>
      <c r="R476" s="14" t="s">
        <v>3390</v>
      </c>
      <c r="S476" s="14" t="s">
        <v>148</v>
      </c>
      <c r="T476" s="14" t="s">
        <v>149</v>
      </c>
      <c r="U476" s="14" t="s">
        <v>113</v>
      </c>
      <c r="V476" s="48">
        <f>SUMIF(Data!$E:$E,$I476,Data!$AI:$AI)</f>
        <v>0</v>
      </c>
    </row>
    <row r="477" spans="1:22" x14ac:dyDescent="0.25">
      <c r="A477" s="47" t="s">
        <v>3144</v>
      </c>
      <c r="B477" s="47" t="s">
        <v>123</v>
      </c>
      <c r="C477" s="47">
        <v>4948623</v>
      </c>
      <c r="D477" s="47">
        <v>0.17280000000000001</v>
      </c>
      <c r="E477" s="48">
        <f>SUMIF(Data!$E:$E,$C477,Data!$AI:$AI)</f>
        <v>0</v>
      </c>
      <c r="I477" s="14" t="s">
        <v>3391</v>
      </c>
      <c r="J477" s="14" t="s">
        <v>3392</v>
      </c>
      <c r="K477" s="14" t="s">
        <v>140</v>
      </c>
      <c r="L477" s="14" t="s">
        <v>2942</v>
      </c>
      <c r="M477" s="14" t="s">
        <v>3393</v>
      </c>
      <c r="N477" s="14">
        <v>394.81599999999997</v>
      </c>
      <c r="O477" s="14" t="s">
        <v>3394</v>
      </c>
      <c r="P477" s="14" t="s">
        <v>3395</v>
      </c>
      <c r="Q477" s="14" t="s">
        <v>809</v>
      </c>
      <c r="R477" s="14" t="s">
        <v>3396</v>
      </c>
      <c r="S477" s="14" t="s">
        <v>195</v>
      </c>
      <c r="T477" s="14" t="s">
        <v>149</v>
      </c>
      <c r="U477" s="14" t="s">
        <v>113</v>
      </c>
      <c r="V477" s="48">
        <f>SUMIF(Data!$E:$E,$I477,Data!$AI:$AI)</f>
        <v>0</v>
      </c>
    </row>
    <row r="478" spans="1:22" x14ac:dyDescent="0.25">
      <c r="A478" s="47" t="s">
        <v>3144</v>
      </c>
      <c r="B478" s="47" t="s">
        <v>123</v>
      </c>
      <c r="C478" s="47">
        <v>6161978</v>
      </c>
      <c r="D478" s="47">
        <v>0.63360000000000005</v>
      </c>
      <c r="E478" s="48">
        <f>SUMIF(Data!$E:$E,$C478,Data!$AI:$AI)</f>
        <v>0</v>
      </c>
      <c r="I478" s="14" t="s">
        <v>1390</v>
      </c>
      <c r="J478" s="14" t="s">
        <v>3397</v>
      </c>
      <c r="K478" s="14" t="s">
        <v>140</v>
      </c>
      <c r="L478" s="14" t="s">
        <v>2942</v>
      </c>
      <c r="M478" s="14" t="s">
        <v>3398</v>
      </c>
      <c r="N478" s="14">
        <v>90.349000000000004</v>
      </c>
      <c r="O478" s="14" t="s">
        <v>3399</v>
      </c>
      <c r="P478" s="14" t="s">
        <v>3400</v>
      </c>
      <c r="Q478" s="14" t="s">
        <v>697</v>
      </c>
      <c r="R478" s="14" t="s">
        <v>3401</v>
      </c>
      <c r="S478" s="14" t="s">
        <v>195</v>
      </c>
      <c r="T478" s="14" t="s">
        <v>149</v>
      </c>
      <c r="U478" s="14" t="s">
        <v>113</v>
      </c>
      <c r="V478" s="48">
        <f>SUMIF(Data!$E:$E,$I478,Data!$AI:$AI)</f>
        <v>0</v>
      </c>
    </row>
    <row r="479" spans="1:22" x14ac:dyDescent="0.25">
      <c r="A479" s="47" t="s">
        <v>3144</v>
      </c>
      <c r="B479" s="47" t="s">
        <v>123</v>
      </c>
      <c r="C479" s="47" t="s">
        <v>3402</v>
      </c>
      <c r="D479" s="47">
        <v>0.27939999999999998</v>
      </c>
      <c r="E479" s="48">
        <f>SUMIF(Data!$E:$E,$C479,Data!$AI:$AI)</f>
        <v>0</v>
      </c>
      <c r="I479" s="14">
        <v>9434</v>
      </c>
      <c r="J479" s="14" t="s">
        <v>3403</v>
      </c>
      <c r="K479" s="14" t="s">
        <v>140</v>
      </c>
      <c r="L479" s="14" t="s">
        <v>2942</v>
      </c>
      <c r="M479" s="14" t="s">
        <v>3404</v>
      </c>
      <c r="N479" s="14">
        <v>862</v>
      </c>
      <c r="O479" s="14" t="s">
        <v>3405</v>
      </c>
      <c r="P479" s="14" t="s">
        <v>3406</v>
      </c>
      <c r="Q479" s="14" t="s">
        <v>175</v>
      </c>
      <c r="R479" s="14" t="s">
        <v>3407</v>
      </c>
      <c r="S479" s="14" t="s">
        <v>444</v>
      </c>
      <c r="T479" s="14" t="s">
        <v>445</v>
      </c>
      <c r="U479" s="14" t="s">
        <v>446</v>
      </c>
      <c r="V479" s="48">
        <f>SUMIF(Data!$E:$E,$I479,Data!$AI:$AI)</f>
        <v>0</v>
      </c>
    </row>
    <row r="480" spans="1:22" x14ac:dyDescent="0.25">
      <c r="A480" s="47" t="s">
        <v>3144</v>
      </c>
      <c r="B480" s="47" t="s">
        <v>123</v>
      </c>
      <c r="C480" s="47" t="s">
        <v>3408</v>
      </c>
      <c r="D480" s="47">
        <v>0.18329999999999999</v>
      </c>
      <c r="E480" s="48">
        <f>SUMIF(Data!$E:$E,$C480,Data!$AI:$AI)</f>
        <v>0</v>
      </c>
      <c r="I480" s="14" t="s">
        <v>3409</v>
      </c>
      <c r="J480" s="14" t="s">
        <v>3410</v>
      </c>
      <c r="K480" s="14" t="s">
        <v>140</v>
      </c>
      <c r="L480" s="14" t="s">
        <v>2942</v>
      </c>
      <c r="M480" s="14" t="s">
        <v>3411</v>
      </c>
      <c r="N480" s="14">
        <v>96.317999999999998</v>
      </c>
      <c r="O480" s="14" t="s">
        <v>3412</v>
      </c>
      <c r="P480" s="14" t="s">
        <v>3413</v>
      </c>
      <c r="Q480" s="14" t="s">
        <v>697</v>
      </c>
      <c r="R480" s="14" t="s">
        <v>3414</v>
      </c>
      <c r="S480" s="14" t="s">
        <v>195</v>
      </c>
      <c r="T480" s="14" t="s">
        <v>149</v>
      </c>
      <c r="U480" s="14" t="s">
        <v>113</v>
      </c>
      <c r="V480" s="48">
        <f>SUMIF(Data!$E:$E,$I480,Data!$AI:$AI)</f>
        <v>0</v>
      </c>
    </row>
    <row r="481" spans="1:22" x14ac:dyDescent="0.25">
      <c r="A481" s="47" t="s">
        <v>3144</v>
      </c>
      <c r="B481" s="47" t="s">
        <v>123</v>
      </c>
      <c r="C481" s="47" t="s">
        <v>3415</v>
      </c>
      <c r="D481" s="47">
        <v>0.12740000000000001</v>
      </c>
      <c r="E481" s="48">
        <f>SUMIF(Data!$E:$E,$C481,Data!$AI:$AI)</f>
        <v>0</v>
      </c>
      <c r="I481" s="14" t="s">
        <v>3416</v>
      </c>
      <c r="J481" s="14" t="s">
        <v>3417</v>
      </c>
      <c r="K481" s="14" t="s">
        <v>140</v>
      </c>
      <c r="L481" s="14" t="s">
        <v>2942</v>
      </c>
      <c r="M481" s="14" t="s">
        <v>3418</v>
      </c>
      <c r="N481" s="14">
        <v>78.19</v>
      </c>
      <c r="O481" s="14" t="s">
        <v>3419</v>
      </c>
      <c r="P481" s="14" t="s">
        <v>3420</v>
      </c>
      <c r="Q481" s="14" t="s">
        <v>227</v>
      </c>
      <c r="R481" s="14" t="s">
        <v>3421</v>
      </c>
      <c r="S481" s="14" t="s">
        <v>195</v>
      </c>
      <c r="T481" s="14" t="s">
        <v>149</v>
      </c>
      <c r="U481" s="14" t="s">
        <v>113</v>
      </c>
      <c r="V481" s="48">
        <f>SUMIF(Data!$E:$E,$I481,Data!$AI:$AI)</f>
        <v>0</v>
      </c>
    </row>
    <row r="482" spans="1:22" x14ac:dyDescent="0.25">
      <c r="A482" s="47" t="s">
        <v>3144</v>
      </c>
      <c r="B482" s="47" t="s">
        <v>123</v>
      </c>
      <c r="C482" s="47" t="s">
        <v>3422</v>
      </c>
      <c r="D482" s="47">
        <v>2.0888</v>
      </c>
      <c r="E482" s="48">
        <f>SUMIF(Data!$E:$E,$C482,Data!$AI:$AI)</f>
        <v>0</v>
      </c>
      <c r="I482" s="14" t="s">
        <v>3423</v>
      </c>
      <c r="J482" s="14" t="s">
        <v>3424</v>
      </c>
      <c r="K482" s="14" t="s">
        <v>140</v>
      </c>
      <c r="L482" s="14" t="s">
        <v>2942</v>
      </c>
      <c r="M482" s="14" t="s">
        <v>3425</v>
      </c>
      <c r="N482" s="14">
        <v>157.35300000000001</v>
      </c>
      <c r="O482" s="14" t="s">
        <v>3426</v>
      </c>
      <c r="P482" s="14" t="s">
        <v>3427</v>
      </c>
      <c r="Q482" s="14" t="s">
        <v>211</v>
      </c>
      <c r="R482" s="14" t="s">
        <v>3428</v>
      </c>
      <c r="S482" s="14" t="s">
        <v>148</v>
      </c>
      <c r="T482" s="14" t="s">
        <v>149</v>
      </c>
      <c r="U482" s="14" t="s">
        <v>113</v>
      </c>
      <c r="V482" s="48">
        <f>SUMIF(Data!$E:$E,$I482,Data!$AI:$AI)</f>
        <v>0</v>
      </c>
    </row>
    <row r="483" spans="1:22" x14ac:dyDescent="0.25">
      <c r="A483" s="47" t="s">
        <v>3144</v>
      </c>
      <c r="B483" s="47" t="s">
        <v>123</v>
      </c>
      <c r="C483" s="47">
        <v>406501</v>
      </c>
      <c r="D483" s="47">
        <v>0.4541</v>
      </c>
      <c r="E483" s="48">
        <f>SUMIF(Data!$E:$E,$C483,Data!$AI:$AI)</f>
        <v>0</v>
      </c>
      <c r="I483" s="14" t="s">
        <v>3429</v>
      </c>
      <c r="J483" s="14" t="s">
        <v>3430</v>
      </c>
      <c r="K483" s="14" t="s">
        <v>140</v>
      </c>
      <c r="L483" s="14" t="s">
        <v>2942</v>
      </c>
      <c r="M483" s="14" t="s">
        <v>3431</v>
      </c>
      <c r="N483" s="14">
        <v>406.29899999999998</v>
      </c>
      <c r="O483" s="14" t="s">
        <v>3432</v>
      </c>
      <c r="P483" s="14" t="s">
        <v>3433</v>
      </c>
      <c r="Q483" s="14" t="s">
        <v>737</v>
      </c>
      <c r="R483" s="14" t="s">
        <v>3434</v>
      </c>
      <c r="S483" s="14" t="s">
        <v>195</v>
      </c>
      <c r="T483" s="14" t="s">
        <v>149</v>
      </c>
      <c r="U483" s="14" t="s">
        <v>113</v>
      </c>
      <c r="V483" s="48">
        <f>SUMIF(Data!$E:$E,$I483,Data!$AI:$AI)</f>
        <v>0</v>
      </c>
    </row>
    <row r="484" spans="1:22" x14ac:dyDescent="0.25">
      <c r="A484" s="47" t="s">
        <v>3144</v>
      </c>
      <c r="B484" s="47" t="s">
        <v>123</v>
      </c>
      <c r="C484" s="47">
        <v>6396800</v>
      </c>
      <c r="D484" s="47">
        <v>0.61760000000000004</v>
      </c>
      <c r="E484" s="48">
        <f>SUMIF(Data!$E:$E,$C484,Data!$AI:$AI)</f>
        <v>0</v>
      </c>
      <c r="I484" s="14" t="s">
        <v>3435</v>
      </c>
      <c r="J484" s="14" t="s">
        <v>3436</v>
      </c>
      <c r="K484" s="14" t="s">
        <v>140</v>
      </c>
      <c r="L484" s="14" t="s">
        <v>2942</v>
      </c>
      <c r="M484" s="14" t="s">
        <v>3437</v>
      </c>
      <c r="N484" s="14">
        <v>352.846</v>
      </c>
      <c r="O484" s="14" t="s">
        <v>3438</v>
      </c>
      <c r="P484" s="14" t="s">
        <v>3439</v>
      </c>
      <c r="Q484" s="14" t="s">
        <v>697</v>
      </c>
      <c r="R484" s="14" t="s">
        <v>3440</v>
      </c>
      <c r="S484" s="14" t="s">
        <v>526</v>
      </c>
      <c r="T484" s="14" t="s">
        <v>527</v>
      </c>
      <c r="U484" s="14" t="s">
        <v>528</v>
      </c>
      <c r="V484" s="48">
        <f>SUMIF(Data!$E:$E,$I484,Data!$AI:$AI)</f>
        <v>0</v>
      </c>
    </row>
    <row r="485" spans="1:22" x14ac:dyDescent="0.25">
      <c r="A485" s="47" t="s">
        <v>3144</v>
      </c>
      <c r="B485" s="47" t="s">
        <v>123</v>
      </c>
      <c r="C485" s="47">
        <v>6397580</v>
      </c>
      <c r="D485" s="47">
        <v>0.55479999999999996</v>
      </c>
      <c r="E485" s="48">
        <f>SUMIF(Data!$E:$E,$C485,Data!$AI:$AI)</f>
        <v>0</v>
      </c>
      <c r="I485" s="14">
        <v>4901</v>
      </c>
      <c r="J485" s="14" t="s">
        <v>3441</v>
      </c>
      <c r="K485" s="14" t="s">
        <v>140</v>
      </c>
      <c r="L485" s="14" t="s">
        <v>2942</v>
      </c>
      <c r="M485" s="14" t="s">
        <v>3442</v>
      </c>
      <c r="N485" s="14">
        <v>214.46100000000001</v>
      </c>
      <c r="O485" s="14" t="s">
        <v>3443</v>
      </c>
      <c r="P485" s="14" t="s">
        <v>3444</v>
      </c>
      <c r="Q485" s="14" t="s">
        <v>146</v>
      </c>
      <c r="R485" s="14" t="s">
        <v>3445</v>
      </c>
      <c r="S485" s="14" t="s">
        <v>444</v>
      </c>
      <c r="T485" s="14" t="s">
        <v>445</v>
      </c>
      <c r="U485" s="14" t="s">
        <v>446</v>
      </c>
      <c r="V485" s="48">
        <f>SUMIF(Data!$E:$E,$I485,Data!$AI:$AI)</f>
        <v>0</v>
      </c>
    </row>
    <row r="486" spans="1:22" x14ac:dyDescent="0.25">
      <c r="A486" s="47" t="s">
        <v>3144</v>
      </c>
      <c r="B486" s="47" t="s">
        <v>123</v>
      </c>
      <c r="C486" s="47">
        <v>6513342</v>
      </c>
      <c r="D486" s="47">
        <v>0.45600000000000002</v>
      </c>
      <c r="E486" s="48">
        <f>SUMIF(Data!$E:$E,$C486,Data!$AI:$AI)</f>
        <v>0</v>
      </c>
      <c r="I486" s="14" t="s">
        <v>3446</v>
      </c>
      <c r="J486" s="14" t="s">
        <v>3447</v>
      </c>
      <c r="K486" s="14" t="s">
        <v>140</v>
      </c>
      <c r="L486" s="14" t="s">
        <v>2942</v>
      </c>
      <c r="M486" s="14" t="s">
        <v>3448</v>
      </c>
      <c r="N486" s="14">
        <v>114.54</v>
      </c>
      <c r="O486" s="14" t="s">
        <v>3449</v>
      </c>
      <c r="P486" s="14" t="s">
        <v>3450</v>
      </c>
      <c r="Q486" s="14" t="s">
        <v>737</v>
      </c>
      <c r="R486" s="14" t="s">
        <v>3451</v>
      </c>
      <c r="S486" s="14" t="s">
        <v>645</v>
      </c>
      <c r="T486" s="14" t="s">
        <v>646</v>
      </c>
      <c r="U486" s="14" t="s">
        <v>528</v>
      </c>
      <c r="V486" s="48">
        <f>SUMIF(Data!$E:$E,$I486,Data!$AI:$AI)</f>
        <v>0</v>
      </c>
    </row>
    <row r="487" spans="1:22" x14ac:dyDescent="0.25">
      <c r="A487" s="47" t="s">
        <v>3144</v>
      </c>
      <c r="B487" s="47" t="s">
        <v>123</v>
      </c>
      <c r="C487" s="47">
        <v>6723839</v>
      </c>
      <c r="D487" s="47">
        <v>0.41399999999999998</v>
      </c>
      <c r="E487" s="48">
        <f>SUMIF(Data!$E:$E,$C487,Data!$AI:$AI)</f>
        <v>0</v>
      </c>
      <c r="I487" s="14" t="s">
        <v>3452</v>
      </c>
      <c r="J487" s="14" t="s">
        <v>3453</v>
      </c>
      <c r="K487" s="14" t="s">
        <v>140</v>
      </c>
      <c r="L487" s="14" t="s">
        <v>2942</v>
      </c>
      <c r="M487" s="14" t="s">
        <v>3454</v>
      </c>
      <c r="N487" s="14">
        <v>460.37</v>
      </c>
      <c r="O487" s="14" t="s">
        <v>3455</v>
      </c>
      <c r="P487" s="14" t="s">
        <v>3456</v>
      </c>
      <c r="Q487" s="14" t="s">
        <v>263</v>
      </c>
      <c r="R487" s="14" t="s">
        <v>3457</v>
      </c>
      <c r="S487" s="14" t="s">
        <v>850</v>
      </c>
      <c r="T487" s="14" t="s">
        <v>851</v>
      </c>
      <c r="U487" s="14" t="s">
        <v>852</v>
      </c>
      <c r="V487" s="48">
        <f>SUMIF(Data!$E:$E,$I487,Data!$AI:$AI)</f>
        <v>0</v>
      </c>
    </row>
    <row r="488" spans="1:22" x14ac:dyDescent="0.25">
      <c r="A488" s="47" t="s">
        <v>3144</v>
      </c>
      <c r="B488" s="47" t="s">
        <v>123</v>
      </c>
      <c r="C488" s="47" t="s">
        <v>3458</v>
      </c>
      <c r="D488" s="47">
        <v>0.45889999999999997</v>
      </c>
      <c r="E488" s="48">
        <f>SUMIF(Data!$E:$E,$C488,Data!$AI:$AI)</f>
        <v>0</v>
      </c>
      <c r="I488" s="14" t="s">
        <v>3459</v>
      </c>
      <c r="J488" s="14" t="s">
        <v>3460</v>
      </c>
      <c r="K488" s="14" t="s">
        <v>140</v>
      </c>
      <c r="L488" s="14" t="s">
        <v>2942</v>
      </c>
      <c r="M488" s="14" t="s">
        <v>3461</v>
      </c>
      <c r="N488" s="14">
        <v>92.356999999999999</v>
      </c>
      <c r="O488" s="14" t="s">
        <v>3462</v>
      </c>
      <c r="P488" s="14" t="s">
        <v>3463</v>
      </c>
      <c r="Q488" s="14" t="s">
        <v>165</v>
      </c>
      <c r="R488" s="14" t="s">
        <v>3464</v>
      </c>
      <c r="S488" s="14" t="s">
        <v>563</v>
      </c>
      <c r="T488" s="14" t="s">
        <v>564</v>
      </c>
      <c r="U488" s="14" t="s">
        <v>528</v>
      </c>
      <c r="V488" s="48">
        <f>SUMIF(Data!$E:$E,$I488,Data!$AI:$AI)</f>
        <v>0</v>
      </c>
    </row>
    <row r="489" spans="1:22" x14ac:dyDescent="0.25">
      <c r="A489" s="47" t="s">
        <v>3144</v>
      </c>
      <c r="B489" s="47" t="s">
        <v>123</v>
      </c>
      <c r="C489" s="47" t="s">
        <v>3465</v>
      </c>
      <c r="D489" s="47">
        <v>0.3513</v>
      </c>
      <c r="E489" s="48">
        <f>SUMIF(Data!$E:$E,$C489,Data!$AI:$AI)</f>
        <v>0</v>
      </c>
      <c r="I489" s="14">
        <v>8802</v>
      </c>
      <c r="J489" s="14" t="s">
        <v>3466</v>
      </c>
      <c r="K489" s="14" t="s">
        <v>140</v>
      </c>
      <c r="L489" s="14" t="s">
        <v>2942</v>
      </c>
      <c r="M489" s="14" t="s">
        <v>3467</v>
      </c>
      <c r="N489" s="14">
        <v>598.83100000000002</v>
      </c>
      <c r="O489" s="14" t="s">
        <v>3468</v>
      </c>
      <c r="P489" s="14" t="s">
        <v>3469</v>
      </c>
      <c r="Q489" s="14" t="s">
        <v>809</v>
      </c>
      <c r="R489" s="14" t="s">
        <v>3470</v>
      </c>
      <c r="S489" s="14" t="s">
        <v>444</v>
      </c>
      <c r="T489" s="14" t="s">
        <v>445</v>
      </c>
      <c r="U489" s="14" t="s">
        <v>446</v>
      </c>
      <c r="V489" s="48">
        <f>SUMIF(Data!$E:$E,$I489,Data!$AI:$AI)</f>
        <v>0</v>
      </c>
    </row>
    <row r="490" spans="1:22" x14ac:dyDescent="0.25">
      <c r="A490" s="47" t="s">
        <v>3144</v>
      </c>
      <c r="B490" s="47" t="s">
        <v>123</v>
      </c>
      <c r="C490" s="47">
        <v>2316619</v>
      </c>
      <c r="D490" s="47">
        <v>1.5827</v>
      </c>
      <c r="E490" s="48">
        <f>SUMIF(Data!$E:$E,$C490,Data!$AI:$AI)</f>
        <v>0</v>
      </c>
      <c r="I490" s="14" t="s">
        <v>3471</v>
      </c>
      <c r="J490" s="14" t="s">
        <v>3472</v>
      </c>
      <c r="K490" s="14" t="s">
        <v>140</v>
      </c>
      <c r="L490" s="14" t="s">
        <v>2942</v>
      </c>
      <c r="M490" s="14" t="s">
        <v>3473</v>
      </c>
      <c r="N490" s="14">
        <v>76.620999999999995</v>
      </c>
      <c r="O490" s="14" t="s">
        <v>3474</v>
      </c>
      <c r="P490" s="14" t="s">
        <v>3475</v>
      </c>
      <c r="Q490" s="14" t="s">
        <v>146</v>
      </c>
      <c r="R490" s="14" t="s">
        <v>3476</v>
      </c>
      <c r="S490" s="14" t="s">
        <v>148</v>
      </c>
      <c r="T490" s="14" t="s">
        <v>149</v>
      </c>
      <c r="U490" s="14" t="s">
        <v>113</v>
      </c>
      <c r="V490" s="48">
        <f>SUMIF(Data!$E:$E,$I490,Data!$AI:$AI)</f>
        <v>0</v>
      </c>
    </row>
    <row r="491" spans="1:22" x14ac:dyDescent="0.25">
      <c r="A491" s="47" t="s">
        <v>3144</v>
      </c>
      <c r="B491" s="47" t="s">
        <v>123</v>
      </c>
      <c r="C491" s="47" t="s">
        <v>3477</v>
      </c>
      <c r="D491" s="47">
        <v>1.5763</v>
      </c>
      <c r="E491" s="48">
        <f>SUMIF(Data!$E:$E,$C491,Data!$AI:$AI)</f>
        <v>0</v>
      </c>
      <c r="I491" s="14" t="s">
        <v>3478</v>
      </c>
      <c r="J491" s="14" t="s">
        <v>3479</v>
      </c>
      <c r="K491" s="14" t="s">
        <v>140</v>
      </c>
      <c r="L491" s="14" t="s">
        <v>2942</v>
      </c>
      <c r="M491" s="14" t="s">
        <v>3480</v>
      </c>
      <c r="N491" s="14">
        <v>122.964</v>
      </c>
      <c r="O491" s="14" t="s">
        <v>3481</v>
      </c>
      <c r="P491" s="14" t="s">
        <v>3482</v>
      </c>
      <c r="Q491" s="14" t="s">
        <v>419</v>
      </c>
      <c r="R491" s="14" t="s">
        <v>3483</v>
      </c>
      <c r="S491" s="14" t="s">
        <v>479</v>
      </c>
      <c r="T491" s="14" t="s">
        <v>480</v>
      </c>
      <c r="U491" s="14" t="s">
        <v>481</v>
      </c>
      <c r="V491" s="48">
        <f>SUMIF(Data!$E:$E,$I491,Data!$AI:$AI)</f>
        <v>0</v>
      </c>
    </row>
    <row r="492" spans="1:22" x14ac:dyDescent="0.25">
      <c r="A492" s="47" t="s">
        <v>3144</v>
      </c>
      <c r="B492" s="47" t="s">
        <v>123</v>
      </c>
      <c r="C492" s="47" t="s">
        <v>3484</v>
      </c>
      <c r="D492" s="47">
        <v>1.0846</v>
      </c>
      <c r="E492" s="48">
        <f>SUMIF(Data!$E:$E,$C492,Data!$AI:$AI)</f>
        <v>0</v>
      </c>
      <c r="I492" s="14" t="s">
        <v>3485</v>
      </c>
      <c r="J492" s="14" t="s">
        <v>3486</v>
      </c>
      <c r="K492" s="14" t="s">
        <v>140</v>
      </c>
      <c r="L492" s="14" t="s">
        <v>2942</v>
      </c>
      <c r="M492" s="14" t="s">
        <v>3487</v>
      </c>
      <c r="N492" s="14">
        <v>132.39400000000001</v>
      </c>
      <c r="O492" s="14" t="s">
        <v>3488</v>
      </c>
      <c r="P492" s="14" t="s">
        <v>3489</v>
      </c>
      <c r="Q492" s="14" t="s">
        <v>146</v>
      </c>
      <c r="R492" s="14" t="s">
        <v>3490</v>
      </c>
      <c r="S492" s="14" t="s">
        <v>728</v>
      </c>
      <c r="T492" s="14" t="s">
        <v>729</v>
      </c>
      <c r="U492" s="14" t="s">
        <v>730</v>
      </c>
      <c r="V492" s="48">
        <f>SUMIF(Data!$E:$E,$I492,Data!$AI:$AI)</f>
        <v>0</v>
      </c>
    </row>
    <row r="493" spans="1:22" x14ac:dyDescent="0.25">
      <c r="A493" s="47" t="s">
        <v>3144</v>
      </c>
      <c r="B493" s="47" t="s">
        <v>123</v>
      </c>
      <c r="C493" s="47" t="s">
        <v>3491</v>
      </c>
      <c r="D493" s="47">
        <v>0.43120000000000003</v>
      </c>
      <c r="E493" s="48">
        <f>SUMIF(Data!$E:$E,$C493,Data!$AI:$AI)</f>
        <v>0</v>
      </c>
      <c r="I493" s="14" t="s">
        <v>3492</v>
      </c>
      <c r="J493" s="14" t="s">
        <v>3493</v>
      </c>
      <c r="K493" s="14" t="s">
        <v>140</v>
      </c>
      <c r="L493" s="14" t="s">
        <v>2942</v>
      </c>
      <c r="M493" s="14" t="s">
        <v>3494</v>
      </c>
      <c r="N493" s="14">
        <v>155.136</v>
      </c>
      <c r="O493" s="14" t="s">
        <v>3495</v>
      </c>
      <c r="P493" s="14" t="s">
        <v>3496</v>
      </c>
      <c r="Q493" s="14" t="s">
        <v>146</v>
      </c>
      <c r="R493" s="14" t="s">
        <v>3497</v>
      </c>
      <c r="S493" s="14" t="s">
        <v>148</v>
      </c>
      <c r="T493" s="14" t="s">
        <v>149</v>
      </c>
      <c r="U493" s="14" t="s">
        <v>113</v>
      </c>
      <c r="V493" s="48">
        <f>SUMIF(Data!$E:$E,$I493,Data!$AI:$AI)</f>
        <v>0</v>
      </c>
    </row>
    <row r="494" spans="1:22" x14ac:dyDescent="0.25">
      <c r="A494" s="47" t="s">
        <v>3144</v>
      </c>
      <c r="B494" s="47" t="s">
        <v>123</v>
      </c>
      <c r="C494" s="47" t="s">
        <v>3498</v>
      </c>
      <c r="D494" s="47">
        <v>0.31219999999999998</v>
      </c>
      <c r="E494" s="48">
        <f>SUMIF(Data!$E:$E,$C494,Data!$AI:$AI)</f>
        <v>0</v>
      </c>
      <c r="I494" s="14" t="s">
        <v>3499</v>
      </c>
      <c r="J494" s="14" t="s">
        <v>3500</v>
      </c>
      <c r="K494" s="14" t="s">
        <v>140</v>
      </c>
      <c r="L494" s="14" t="s">
        <v>2942</v>
      </c>
      <c r="M494" s="14" t="s">
        <v>3501</v>
      </c>
      <c r="N494" s="14">
        <v>68.805999999999997</v>
      </c>
      <c r="O494" s="14" t="s">
        <v>3502</v>
      </c>
      <c r="P494" s="14" t="s">
        <v>3503</v>
      </c>
      <c r="Q494" s="14" t="s">
        <v>227</v>
      </c>
      <c r="R494" s="14" t="s">
        <v>3504</v>
      </c>
      <c r="S494" s="14" t="s">
        <v>195</v>
      </c>
      <c r="T494" s="14" t="s">
        <v>149</v>
      </c>
      <c r="U494" s="14" t="s">
        <v>113</v>
      </c>
      <c r="V494" s="48">
        <f>SUMIF(Data!$E:$E,$I494,Data!$AI:$AI)</f>
        <v>0</v>
      </c>
    </row>
    <row r="495" spans="1:22" x14ac:dyDescent="0.25">
      <c r="A495" s="47" t="s">
        <v>3144</v>
      </c>
      <c r="B495" s="47" t="s">
        <v>123</v>
      </c>
      <c r="C495" s="47">
        <v>683434</v>
      </c>
      <c r="D495" s="47">
        <v>0.16789999999999999</v>
      </c>
      <c r="E495" s="48">
        <f>SUMIF(Data!$E:$E,$C495,Data!$AI:$AI)</f>
        <v>0</v>
      </c>
      <c r="I495" s="14">
        <v>5108</v>
      </c>
      <c r="J495" s="14" t="s">
        <v>3505</v>
      </c>
      <c r="K495" s="14" t="s">
        <v>140</v>
      </c>
      <c r="L495" s="14" t="s">
        <v>2942</v>
      </c>
      <c r="M495" s="14" t="s">
        <v>3506</v>
      </c>
      <c r="N495" s="14">
        <v>308.851</v>
      </c>
      <c r="O495" s="14" t="s">
        <v>3507</v>
      </c>
      <c r="P495" s="14" t="s">
        <v>3508</v>
      </c>
      <c r="Q495" s="14" t="s">
        <v>165</v>
      </c>
      <c r="R495" s="14" t="s">
        <v>3509</v>
      </c>
      <c r="S495" s="14" t="s">
        <v>444</v>
      </c>
      <c r="T495" s="14" t="s">
        <v>445</v>
      </c>
      <c r="U495" s="14" t="s">
        <v>446</v>
      </c>
      <c r="V495" s="48">
        <f>SUMIF(Data!$E:$E,$I495,Data!$AI:$AI)</f>
        <v>0</v>
      </c>
    </row>
    <row r="496" spans="1:22" x14ac:dyDescent="0.25">
      <c r="A496" s="47" t="s">
        <v>3144</v>
      </c>
      <c r="B496" s="47" t="s">
        <v>123</v>
      </c>
      <c r="C496" s="47">
        <v>2009210</v>
      </c>
      <c r="D496" s="47">
        <v>1.0575000000000001</v>
      </c>
      <c r="E496" s="48">
        <f>SUMIF(Data!$E:$E,$C496,Data!$AI:$AI)</f>
        <v>0</v>
      </c>
      <c r="I496" s="14">
        <v>823</v>
      </c>
      <c r="J496" s="14" t="s">
        <v>3510</v>
      </c>
      <c r="K496" s="14" t="s">
        <v>140</v>
      </c>
      <c r="L496" s="14" t="s">
        <v>2942</v>
      </c>
      <c r="M496" s="14" t="s">
        <v>3511</v>
      </c>
      <c r="N496" s="14" t="s">
        <v>3512</v>
      </c>
      <c r="O496" s="14" t="s">
        <v>3513</v>
      </c>
      <c r="P496" s="14" t="s">
        <v>3514</v>
      </c>
      <c r="Q496" s="14" t="s">
        <v>809</v>
      </c>
      <c r="R496" s="14" t="s">
        <v>3515</v>
      </c>
      <c r="S496" s="14" t="s">
        <v>552</v>
      </c>
      <c r="T496" s="14" t="s">
        <v>553</v>
      </c>
      <c r="U496" s="14" t="s">
        <v>554</v>
      </c>
      <c r="V496" s="48">
        <f>SUMIF(Data!$E:$E,$I496,Data!$AI:$AI)</f>
        <v>0</v>
      </c>
    </row>
    <row r="497" spans="1:22" x14ac:dyDescent="0.25">
      <c r="A497" s="47" t="s">
        <v>3144</v>
      </c>
      <c r="B497" s="47" t="s">
        <v>123</v>
      </c>
      <c r="C497" s="47">
        <v>2043274</v>
      </c>
      <c r="D497" s="47">
        <v>0.58079999999999998</v>
      </c>
      <c r="E497" s="48">
        <f>SUMIF(Data!$E:$E,$C497,Data!$AI:$AI)</f>
        <v>0</v>
      </c>
      <c r="I497" s="14" t="s">
        <v>3516</v>
      </c>
      <c r="J497" s="14" t="s">
        <v>3517</v>
      </c>
      <c r="K497" s="14" t="s">
        <v>140</v>
      </c>
      <c r="L497" s="14" t="s">
        <v>2942</v>
      </c>
      <c r="M497" s="14" t="s">
        <v>3518</v>
      </c>
      <c r="N497" s="14" t="s">
        <v>3519</v>
      </c>
      <c r="O497" s="14" t="s">
        <v>3520</v>
      </c>
      <c r="P497" s="14" t="s">
        <v>3521</v>
      </c>
      <c r="Q497" s="14" t="s">
        <v>175</v>
      </c>
      <c r="R497" s="14" t="s">
        <v>3522</v>
      </c>
      <c r="S497" s="14" t="s">
        <v>2368</v>
      </c>
      <c r="T497" s="14" t="s">
        <v>2369</v>
      </c>
      <c r="U497" s="14" t="s">
        <v>2370</v>
      </c>
      <c r="V497" s="48">
        <f>SUMIF(Data!$E:$E,$I497,Data!$AI:$AI)</f>
        <v>0</v>
      </c>
    </row>
    <row r="498" spans="1:22" x14ac:dyDescent="0.25">
      <c r="A498" s="47" t="s">
        <v>3144</v>
      </c>
      <c r="B498" s="47" t="s">
        <v>123</v>
      </c>
      <c r="C498" s="47">
        <v>2057059</v>
      </c>
      <c r="D498" s="47">
        <v>0.63800000000000001</v>
      </c>
      <c r="E498" s="48">
        <f>SUMIF(Data!$E:$E,$C498,Data!$AI:$AI)</f>
        <v>0</v>
      </c>
      <c r="I498" s="14">
        <v>6502</v>
      </c>
      <c r="J498" s="14" t="s">
        <v>3523</v>
      </c>
      <c r="K498" s="14" t="s">
        <v>140</v>
      </c>
      <c r="L498" s="14" t="s">
        <v>2942</v>
      </c>
      <c r="M498" s="14" t="s">
        <v>3524</v>
      </c>
      <c r="N498" s="14">
        <v>322.92700000000002</v>
      </c>
      <c r="O498" s="14" t="s">
        <v>3525</v>
      </c>
      <c r="P498" s="14" t="s">
        <v>3526</v>
      </c>
      <c r="Q498" s="14" t="s">
        <v>419</v>
      </c>
      <c r="R498" s="14" t="s">
        <v>3527</v>
      </c>
      <c r="S498" s="14" t="s">
        <v>444</v>
      </c>
      <c r="T498" s="14" t="s">
        <v>445</v>
      </c>
      <c r="U498" s="14" t="s">
        <v>446</v>
      </c>
      <c r="V498" s="48">
        <f>SUMIF(Data!$E:$E,$I498,Data!$AI:$AI)</f>
        <v>0</v>
      </c>
    </row>
    <row r="499" spans="1:22" x14ac:dyDescent="0.25">
      <c r="A499" s="47" t="s">
        <v>3144</v>
      </c>
      <c r="B499" s="47" t="s">
        <v>123</v>
      </c>
      <c r="C499" s="47">
        <v>2062161</v>
      </c>
      <c r="D499" s="47">
        <v>0.13009999999999999</v>
      </c>
      <c r="E499" s="48">
        <f>SUMIF(Data!$E:$E,$C499,Data!$AI:$AI)</f>
        <v>0</v>
      </c>
      <c r="I499" s="14" t="s">
        <v>3528</v>
      </c>
      <c r="J499" s="14" t="s">
        <v>3529</v>
      </c>
      <c r="K499" s="14" t="s">
        <v>140</v>
      </c>
      <c r="L499" s="14" t="s">
        <v>2942</v>
      </c>
      <c r="M499" s="14" t="s">
        <v>3530</v>
      </c>
      <c r="N499" s="14">
        <v>76.786000000000001</v>
      </c>
      <c r="O499" s="14" t="s">
        <v>3531</v>
      </c>
      <c r="P499" s="14" t="s">
        <v>3532</v>
      </c>
      <c r="Q499" s="14" t="s">
        <v>809</v>
      </c>
      <c r="R499" s="14" t="s">
        <v>3533</v>
      </c>
      <c r="S499" s="14" t="s">
        <v>645</v>
      </c>
      <c r="T499" s="14" t="s">
        <v>564</v>
      </c>
      <c r="U499" s="14" t="s">
        <v>528</v>
      </c>
      <c r="V499" s="48">
        <f>SUMIF(Data!$E:$E,$I499,Data!$AI:$AI)</f>
        <v>0</v>
      </c>
    </row>
    <row r="500" spans="1:22" x14ac:dyDescent="0.25">
      <c r="A500" s="47" t="s">
        <v>3144</v>
      </c>
      <c r="B500" s="47" t="s">
        <v>123</v>
      </c>
      <c r="C500" s="47">
        <v>2139151</v>
      </c>
      <c r="D500" s="47">
        <v>0.21260000000000001</v>
      </c>
      <c r="E500" s="48">
        <f>SUMIF(Data!$E:$E,$C500,Data!$AI:$AI)</f>
        <v>0</v>
      </c>
      <c r="I500" s="14">
        <v>6301</v>
      </c>
      <c r="J500" s="14" t="s">
        <v>3534</v>
      </c>
      <c r="K500" s="14" t="s">
        <v>140</v>
      </c>
      <c r="L500" s="14" t="s">
        <v>2942</v>
      </c>
      <c r="M500" s="14" t="s">
        <v>3535</v>
      </c>
      <c r="N500" s="14">
        <v>470.03800000000001</v>
      </c>
      <c r="O500" s="14" t="s">
        <v>3536</v>
      </c>
      <c r="P500" s="14" t="s">
        <v>3537</v>
      </c>
      <c r="Q500" s="14" t="s">
        <v>419</v>
      </c>
      <c r="R500" s="14" t="s">
        <v>3538</v>
      </c>
      <c r="S500" s="14" t="s">
        <v>444</v>
      </c>
      <c r="T500" s="14" t="s">
        <v>445</v>
      </c>
      <c r="U500" s="14" t="s">
        <v>446</v>
      </c>
      <c r="V500" s="48">
        <f>SUMIF(Data!$E:$E,$I500,Data!$AI:$AI)</f>
        <v>0</v>
      </c>
    </row>
    <row r="501" spans="1:22" x14ac:dyDescent="0.25">
      <c r="A501" s="47" t="s">
        <v>3144</v>
      </c>
      <c r="B501" s="47" t="s">
        <v>123</v>
      </c>
      <c r="C501" s="47">
        <v>2167475</v>
      </c>
      <c r="D501" s="47">
        <v>0.12139999999999999</v>
      </c>
      <c r="E501" s="48">
        <f>SUMIF(Data!$E:$E,$C501,Data!$AI:$AI)</f>
        <v>0</v>
      </c>
      <c r="I501" s="14" t="s">
        <v>3539</v>
      </c>
      <c r="J501" s="14" t="s">
        <v>3540</v>
      </c>
      <c r="K501" s="14" t="s">
        <v>140</v>
      </c>
      <c r="L501" s="14" t="s">
        <v>2942</v>
      </c>
      <c r="M501" s="14" t="s">
        <v>3541</v>
      </c>
      <c r="N501" s="14">
        <v>71.784999999999997</v>
      </c>
      <c r="O501" s="14" t="s">
        <v>3542</v>
      </c>
      <c r="P501" s="14" t="s">
        <v>3543</v>
      </c>
      <c r="Q501" s="14" t="s">
        <v>146</v>
      </c>
      <c r="R501" s="14" t="s">
        <v>3544</v>
      </c>
      <c r="S501" s="14" t="s">
        <v>148</v>
      </c>
      <c r="T501" s="14" t="s">
        <v>149</v>
      </c>
      <c r="U501" s="14" t="s">
        <v>113</v>
      </c>
      <c r="V501" s="48">
        <f>SUMIF(Data!$E:$E,$I501,Data!$AI:$AI)</f>
        <v>0</v>
      </c>
    </row>
    <row r="502" spans="1:22" x14ac:dyDescent="0.25">
      <c r="A502" s="47" t="s">
        <v>3144</v>
      </c>
      <c r="B502" s="47" t="s">
        <v>123</v>
      </c>
      <c r="C502" s="47">
        <v>2192314</v>
      </c>
      <c r="D502" s="47">
        <v>0.1895</v>
      </c>
      <c r="E502" s="48">
        <f>SUMIF(Data!$E:$E,$C502,Data!$AI:$AI)</f>
        <v>0</v>
      </c>
      <c r="I502" s="14" t="s">
        <v>528</v>
      </c>
      <c r="J502" s="14" t="s">
        <v>3545</v>
      </c>
      <c r="K502" s="14" t="s">
        <v>758</v>
      </c>
      <c r="L502" s="14" t="s">
        <v>2942</v>
      </c>
      <c r="M502" s="14" t="s">
        <v>3546</v>
      </c>
      <c r="N502" s="14" t="s">
        <v>3547</v>
      </c>
      <c r="O502" s="14" t="s">
        <v>3548</v>
      </c>
      <c r="P502" s="14" t="s">
        <v>3549</v>
      </c>
      <c r="Q502" s="14" t="s">
        <v>762</v>
      </c>
      <c r="R502" s="14" t="s">
        <v>763</v>
      </c>
      <c r="S502" s="14" t="s">
        <v>763</v>
      </c>
      <c r="T502" s="14" t="s">
        <v>3550</v>
      </c>
      <c r="U502" s="14" t="s">
        <v>528</v>
      </c>
      <c r="V502" s="48">
        <f>SUMIF(Data!$E:$E,$I502,Data!$AI:$AI)</f>
        <v>0</v>
      </c>
    </row>
    <row r="503" spans="1:22" x14ac:dyDescent="0.25">
      <c r="A503" s="47" t="s">
        <v>3144</v>
      </c>
      <c r="B503" s="47" t="s">
        <v>123</v>
      </c>
      <c r="C503" s="47">
        <v>2211811</v>
      </c>
      <c r="D503" s="47">
        <v>0.57950000000000002</v>
      </c>
      <c r="E503" s="48">
        <f>SUMIF(Data!$E:$E,$C503,Data!$AI:$AI)</f>
        <v>0</v>
      </c>
      <c r="I503" s="14" t="s">
        <v>3551</v>
      </c>
      <c r="J503" s="14" t="s">
        <v>3552</v>
      </c>
      <c r="K503" s="14" t="s">
        <v>140</v>
      </c>
      <c r="L503" s="14" t="s">
        <v>2942</v>
      </c>
      <c r="M503" s="14" t="s">
        <v>3553</v>
      </c>
      <c r="N503" s="14">
        <v>573.74699999999996</v>
      </c>
      <c r="O503" s="14" t="s">
        <v>3554</v>
      </c>
      <c r="P503" s="14" t="s">
        <v>3555</v>
      </c>
      <c r="Q503" s="14" t="s">
        <v>193</v>
      </c>
      <c r="R503" s="14" t="s">
        <v>3556</v>
      </c>
      <c r="S503" s="14" t="s">
        <v>195</v>
      </c>
      <c r="T503" s="14" t="s">
        <v>149</v>
      </c>
      <c r="U503" s="14" t="s">
        <v>113</v>
      </c>
      <c r="V503" s="48">
        <f>SUMIF(Data!$E:$E,$I503,Data!$AI:$AI)</f>
        <v>0</v>
      </c>
    </row>
    <row r="504" spans="1:22" x14ac:dyDescent="0.25">
      <c r="A504" s="47" t="s">
        <v>3144</v>
      </c>
      <c r="B504" s="47" t="s">
        <v>123</v>
      </c>
      <c r="C504" s="47">
        <v>2229922</v>
      </c>
      <c r="D504" s="47">
        <v>0.3553</v>
      </c>
      <c r="E504" s="48">
        <f>SUMIF(Data!$E:$E,$C504,Data!$AI:$AI)</f>
        <v>0</v>
      </c>
      <c r="I504" s="14" t="s">
        <v>3557</v>
      </c>
      <c r="J504" s="14" t="s">
        <v>3558</v>
      </c>
      <c r="K504" s="14" t="s">
        <v>140</v>
      </c>
      <c r="L504" s="14" t="s">
        <v>2942</v>
      </c>
      <c r="M504" s="14" t="s">
        <v>3559</v>
      </c>
      <c r="N504" s="14">
        <v>460.22800000000001</v>
      </c>
      <c r="O504" s="14" t="s">
        <v>3560</v>
      </c>
      <c r="P504" s="14" t="s">
        <v>3561</v>
      </c>
      <c r="Q504" s="14" t="s">
        <v>263</v>
      </c>
      <c r="R504" s="14" t="s">
        <v>3562</v>
      </c>
      <c r="S504" s="14" t="s">
        <v>195</v>
      </c>
      <c r="T504" s="14" t="s">
        <v>149</v>
      </c>
      <c r="U504" s="14" t="s">
        <v>113</v>
      </c>
      <c r="V504" s="48">
        <f>SUMIF(Data!$E:$E,$I504,Data!$AI:$AI)</f>
        <v>0</v>
      </c>
    </row>
    <row r="505" spans="1:22" x14ac:dyDescent="0.25">
      <c r="A505" s="47" t="s">
        <v>3144</v>
      </c>
      <c r="B505" s="47" t="s">
        <v>123</v>
      </c>
      <c r="C505" s="47">
        <v>2310116</v>
      </c>
      <c r="D505" s="47">
        <v>5.2200000000000003E-2</v>
      </c>
      <c r="E505" s="48">
        <f>SUMIF(Data!$E:$E,$C505,Data!$AI:$AI)</f>
        <v>0</v>
      </c>
      <c r="I505" s="14" t="s">
        <v>3563</v>
      </c>
      <c r="J505" s="14" t="s">
        <v>3564</v>
      </c>
      <c r="K505" s="14" t="s">
        <v>140</v>
      </c>
      <c r="L505" s="14" t="s">
        <v>2942</v>
      </c>
      <c r="M505" s="14" t="s">
        <v>3565</v>
      </c>
      <c r="N505" s="14">
        <v>333.39800000000002</v>
      </c>
      <c r="O505" s="14" t="s">
        <v>3566</v>
      </c>
      <c r="P505" s="14" t="s">
        <v>3567</v>
      </c>
      <c r="Q505" s="14" t="s">
        <v>737</v>
      </c>
      <c r="R505" s="14" t="s">
        <v>3568</v>
      </c>
      <c r="S505" s="14" t="s">
        <v>3142</v>
      </c>
      <c r="T505" s="14" t="s">
        <v>3143</v>
      </c>
      <c r="U505" s="14" t="s">
        <v>528</v>
      </c>
      <c r="V505" s="48">
        <f>SUMIF(Data!$E:$E,$I505,Data!$AI:$AI)</f>
        <v>0</v>
      </c>
    </row>
    <row r="506" spans="1:22" x14ac:dyDescent="0.25">
      <c r="A506" s="47" t="s">
        <v>3144</v>
      </c>
      <c r="B506" s="47" t="s">
        <v>123</v>
      </c>
      <c r="C506" s="47">
        <v>2360757</v>
      </c>
      <c r="D506" s="47">
        <v>0.33939999999999998</v>
      </c>
      <c r="E506" s="48">
        <f>SUMIF(Data!$E:$E,$C506,Data!$AI:$AI)</f>
        <v>0</v>
      </c>
      <c r="I506" s="14" t="s">
        <v>3569</v>
      </c>
      <c r="J506" s="14" t="s">
        <v>3570</v>
      </c>
      <c r="K506" s="14" t="s">
        <v>140</v>
      </c>
      <c r="L506" s="14" t="s">
        <v>2942</v>
      </c>
      <c r="M506" s="14" t="s">
        <v>3571</v>
      </c>
      <c r="N506" s="14">
        <v>121.58499999999999</v>
      </c>
      <c r="O506" s="14" t="s">
        <v>3572</v>
      </c>
      <c r="P506" s="14" t="s">
        <v>3573</v>
      </c>
      <c r="Q506" s="14" t="s">
        <v>419</v>
      </c>
      <c r="R506" s="14" t="s">
        <v>3574</v>
      </c>
      <c r="S506" s="14" t="s">
        <v>195</v>
      </c>
      <c r="T506" s="14" t="s">
        <v>149</v>
      </c>
      <c r="U506" s="14" t="s">
        <v>113</v>
      </c>
      <c r="V506" s="48">
        <f>SUMIF(Data!$E:$E,$I506,Data!$AI:$AI)</f>
        <v>0</v>
      </c>
    </row>
    <row r="507" spans="1:22" x14ac:dyDescent="0.25">
      <c r="A507" s="47" t="s">
        <v>3144</v>
      </c>
      <c r="B507" s="47" t="s">
        <v>123</v>
      </c>
      <c r="C507" s="47">
        <v>2417921</v>
      </c>
      <c r="D507" s="47">
        <v>0.36630000000000001</v>
      </c>
      <c r="E507" s="48">
        <f>SUMIF(Data!$E:$E,$C507,Data!$AI:$AI)</f>
        <v>0</v>
      </c>
      <c r="I507" s="14" t="s">
        <v>3575</v>
      </c>
      <c r="J507" s="14" t="s">
        <v>3576</v>
      </c>
      <c r="K507" s="14" t="s">
        <v>140</v>
      </c>
      <c r="L507" s="14" t="s">
        <v>2942</v>
      </c>
      <c r="M507" s="14" t="s">
        <v>3577</v>
      </c>
      <c r="N507" s="14">
        <v>303.37299999999999</v>
      </c>
      <c r="O507" s="14" t="s">
        <v>3578</v>
      </c>
      <c r="P507" s="14" t="s">
        <v>3579</v>
      </c>
      <c r="Q507" s="14" t="s">
        <v>419</v>
      </c>
      <c r="R507" s="14" t="s">
        <v>3580</v>
      </c>
      <c r="S507" s="14" t="s">
        <v>148</v>
      </c>
      <c r="T507" s="14" t="s">
        <v>149</v>
      </c>
      <c r="U507" s="14" t="s">
        <v>113</v>
      </c>
      <c r="V507" s="48">
        <f>SUMIF(Data!$E:$E,$I507,Data!$AI:$AI)</f>
        <v>0</v>
      </c>
    </row>
    <row r="508" spans="1:22" x14ac:dyDescent="0.25">
      <c r="A508" s="47" t="s">
        <v>3144</v>
      </c>
      <c r="B508" s="47" t="s">
        <v>123</v>
      </c>
      <c r="C508" s="47">
        <v>2420640</v>
      </c>
      <c r="D508" s="47">
        <v>0.48849999999999999</v>
      </c>
      <c r="E508" s="48">
        <f>SUMIF(Data!$E:$E,$C508,Data!$AI:$AI)</f>
        <v>0</v>
      </c>
      <c r="I508" s="14" t="s">
        <v>3581</v>
      </c>
      <c r="J508" s="14" t="s">
        <v>3582</v>
      </c>
      <c r="K508" s="14" t="s">
        <v>140</v>
      </c>
      <c r="L508" s="14" t="s">
        <v>2942</v>
      </c>
      <c r="M508" s="14" t="s">
        <v>3583</v>
      </c>
      <c r="N508" s="14">
        <v>82.680999999999997</v>
      </c>
      <c r="O508" s="14" t="s">
        <v>3584</v>
      </c>
      <c r="P508" s="14" t="s">
        <v>3585</v>
      </c>
      <c r="Q508" s="14" t="s">
        <v>165</v>
      </c>
      <c r="R508" s="14" t="s">
        <v>3586</v>
      </c>
      <c r="S508" s="14" t="s">
        <v>195</v>
      </c>
      <c r="T508" s="14" t="s">
        <v>149</v>
      </c>
      <c r="U508" s="14" t="s">
        <v>113</v>
      </c>
      <c r="V508" s="48">
        <f>SUMIF(Data!$E:$E,$I508,Data!$AI:$AI)</f>
        <v>0</v>
      </c>
    </row>
    <row r="509" spans="1:22" x14ac:dyDescent="0.25">
      <c r="A509" s="47" t="s">
        <v>3144</v>
      </c>
      <c r="B509" s="47" t="s">
        <v>123</v>
      </c>
      <c r="C509" s="47">
        <v>2455761</v>
      </c>
      <c r="D509" s="47">
        <v>0.2843</v>
      </c>
      <c r="E509" s="48">
        <f>SUMIF(Data!$E:$E,$C509,Data!$AI:$AI)</f>
        <v>0</v>
      </c>
      <c r="I509" s="14">
        <v>4519</v>
      </c>
      <c r="J509" s="14" t="s">
        <v>3587</v>
      </c>
      <c r="K509" s="14" t="s">
        <v>140</v>
      </c>
      <c r="L509" s="14" t="s">
        <v>2942</v>
      </c>
      <c r="M509" s="14" t="s">
        <v>3588</v>
      </c>
      <c r="N509" s="14">
        <v>115.4</v>
      </c>
      <c r="O509" s="14" t="s">
        <v>3589</v>
      </c>
      <c r="P509" s="14" t="s">
        <v>3590</v>
      </c>
      <c r="Q509" s="14" t="s">
        <v>211</v>
      </c>
      <c r="R509" s="14" t="s">
        <v>3591</v>
      </c>
      <c r="S509" s="14" t="s">
        <v>444</v>
      </c>
      <c r="T509" s="14" t="s">
        <v>445</v>
      </c>
      <c r="U509" s="14" t="s">
        <v>446</v>
      </c>
      <c r="V509" s="48">
        <f>SUMIF(Data!$E:$E,$I509,Data!$AI:$AI)</f>
        <v>0</v>
      </c>
    </row>
    <row r="510" spans="1:22" x14ac:dyDescent="0.25">
      <c r="A510" s="47" t="s">
        <v>3144</v>
      </c>
      <c r="B510" s="47" t="s">
        <v>123</v>
      </c>
      <c r="C510" s="47">
        <v>2495529</v>
      </c>
      <c r="D510" s="47">
        <v>0.66110000000000002</v>
      </c>
      <c r="E510" s="48">
        <f>SUMIF(Data!$E:$E,$C510,Data!$AI:$AI)</f>
        <v>0</v>
      </c>
      <c r="I510" s="14" t="s">
        <v>3592</v>
      </c>
      <c r="J510" s="14" t="s">
        <v>3593</v>
      </c>
      <c r="K510" s="14" t="s">
        <v>140</v>
      </c>
      <c r="L510" s="14" t="s">
        <v>2942</v>
      </c>
      <c r="M510" s="14" t="s">
        <v>3594</v>
      </c>
      <c r="N510" s="14">
        <v>105.518</v>
      </c>
      <c r="O510" s="14" t="s">
        <v>3595</v>
      </c>
      <c r="P510" s="14" t="s">
        <v>3596</v>
      </c>
      <c r="Q510" s="14" t="s">
        <v>227</v>
      </c>
      <c r="R510" s="14" t="s">
        <v>3597</v>
      </c>
      <c r="S510" s="14" t="s">
        <v>526</v>
      </c>
      <c r="T510" s="14" t="s">
        <v>527</v>
      </c>
      <c r="U510" s="14" t="s">
        <v>528</v>
      </c>
      <c r="V510" s="48">
        <f>SUMIF(Data!$E:$E,$I510,Data!$AI:$AI)</f>
        <v>0</v>
      </c>
    </row>
    <row r="511" spans="1:22" x14ac:dyDescent="0.25">
      <c r="A511" s="47" t="s">
        <v>3144</v>
      </c>
      <c r="B511" s="47" t="s">
        <v>123</v>
      </c>
      <c r="C511" s="47">
        <v>2498788</v>
      </c>
      <c r="D511" s="47">
        <v>0.17150000000000001</v>
      </c>
      <c r="E511" s="48">
        <f>SUMIF(Data!$E:$E,$C511,Data!$AI:$AI)</f>
        <v>0</v>
      </c>
      <c r="I511" s="14" t="s">
        <v>3598</v>
      </c>
      <c r="J511" s="14" t="s">
        <v>3599</v>
      </c>
      <c r="K511" s="14" t="s">
        <v>140</v>
      </c>
      <c r="L511" s="14" t="s">
        <v>2942</v>
      </c>
      <c r="M511" s="14" t="s">
        <v>3600</v>
      </c>
      <c r="N511" s="14">
        <v>449.48500000000001</v>
      </c>
      <c r="O511" s="14" t="s">
        <v>3601</v>
      </c>
      <c r="P511" s="14" t="s">
        <v>3602</v>
      </c>
      <c r="Q511" s="14" t="s">
        <v>211</v>
      </c>
      <c r="R511" s="14" t="s">
        <v>3603</v>
      </c>
      <c r="S511" s="14" t="s">
        <v>479</v>
      </c>
      <c r="T511" s="14" t="s">
        <v>480</v>
      </c>
      <c r="U511" s="14" t="s">
        <v>481</v>
      </c>
      <c r="V511" s="48">
        <f>SUMIF(Data!$E:$E,$I511,Data!$AI:$AI)</f>
        <v>0</v>
      </c>
    </row>
    <row r="512" spans="1:22" x14ac:dyDescent="0.25">
      <c r="A512" s="47" t="s">
        <v>3144</v>
      </c>
      <c r="B512" s="47" t="s">
        <v>123</v>
      </c>
      <c r="C512" s="47">
        <v>2501631</v>
      </c>
      <c r="D512" s="47">
        <v>0.4264</v>
      </c>
      <c r="E512" s="48">
        <f>SUMIF(Data!$E:$E,$C512,Data!$AI:$AI)</f>
        <v>0</v>
      </c>
      <c r="I512" s="14" t="s">
        <v>3604</v>
      </c>
      <c r="J512" s="14" t="s">
        <v>3605</v>
      </c>
      <c r="K512" s="14" t="s">
        <v>140</v>
      </c>
      <c r="L512" s="14" t="s">
        <v>3606</v>
      </c>
      <c r="M512" s="14" t="s">
        <v>3607</v>
      </c>
      <c r="N512" s="14">
        <v>46.131999999999998</v>
      </c>
      <c r="O512" s="14" t="s">
        <v>3608</v>
      </c>
      <c r="P512" s="14" t="s">
        <v>3609</v>
      </c>
      <c r="Q512" s="14" t="s">
        <v>211</v>
      </c>
      <c r="R512" s="14" t="s">
        <v>3610</v>
      </c>
      <c r="S512" s="14" t="s">
        <v>148</v>
      </c>
      <c r="T512" s="14" t="s">
        <v>149</v>
      </c>
      <c r="U512" s="14" t="s">
        <v>113</v>
      </c>
      <c r="V512" s="48">
        <f>SUMIF(Data!$E:$E,$I512,Data!$AI:$AI)</f>
        <v>0</v>
      </c>
    </row>
    <row r="513" spans="1:22" x14ac:dyDescent="0.25">
      <c r="A513" s="47" t="s">
        <v>3144</v>
      </c>
      <c r="B513" s="47" t="s">
        <v>123</v>
      </c>
      <c r="C513" s="47">
        <v>2504072</v>
      </c>
      <c r="D513" s="47">
        <v>0.1103</v>
      </c>
      <c r="E513" s="48">
        <f>SUMIF(Data!$E:$E,$C513,Data!$AI:$AI)</f>
        <v>0</v>
      </c>
      <c r="I513" s="14" t="s">
        <v>3611</v>
      </c>
      <c r="J513" s="14" t="s">
        <v>3612</v>
      </c>
      <c r="K513" s="14" t="s">
        <v>140</v>
      </c>
      <c r="L513" s="14" t="s">
        <v>3606</v>
      </c>
      <c r="M513" s="14" t="s">
        <v>3613</v>
      </c>
      <c r="N513" s="14">
        <v>13.316000000000001</v>
      </c>
      <c r="O513" s="14" t="s">
        <v>3614</v>
      </c>
      <c r="P513" s="14" t="s">
        <v>3615</v>
      </c>
      <c r="Q513" s="14" t="s">
        <v>211</v>
      </c>
      <c r="R513" s="14" t="s">
        <v>3616</v>
      </c>
      <c r="S513" s="14" t="s">
        <v>195</v>
      </c>
      <c r="T513" s="14" t="s">
        <v>149</v>
      </c>
      <c r="U513" s="14" t="s">
        <v>113</v>
      </c>
      <c r="V513" s="48">
        <f>SUMIF(Data!$E:$E,$I513,Data!$AI:$AI)</f>
        <v>0</v>
      </c>
    </row>
    <row r="514" spans="1:22" x14ac:dyDescent="0.25">
      <c r="A514" s="47" t="s">
        <v>3144</v>
      </c>
      <c r="B514" s="47" t="s">
        <v>123</v>
      </c>
      <c r="C514" s="47">
        <v>2518954</v>
      </c>
      <c r="D514" s="47">
        <v>0.28310000000000002</v>
      </c>
      <c r="E514" s="48">
        <f>SUMIF(Data!$E:$E,$C514,Data!$AI:$AI)</f>
        <v>0</v>
      </c>
      <c r="I514" s="14" t="s">
        <v>3617</v>
      </c>
      <c r="J514" s="14" t="s">
        <v>3618</v>
      </c>
      <c r="K514" s="14" t="s">
        <v>140</v>
      </c>
      <c r="L514" s="14" t="s">
        <v>3606</v>
      </c>
      <c r="M514" s="14" t="s">
        <v>3619</v>
      </c>
      <c r="N514" s="14">
        <v>147.536</v>
      </c>
      <c r="O514" s="14" t="s">
        <v>3620</v>
      </c>
      <c r="P514" s="14" t="s">
        <v>3621</v>
      </c>
      <c r="Q514" s="14" t="s">
        <v>419</v>
      </c>
      <c r="R514" s="14" t="s">
        <v>3622</v>
      </c>
      <c r="S514" s="14" t="s">
        <v>645</v>
      </c>
      <c r="T514" s="14" t="s">
        <v>646</v>
      </c>
      <c r="U514" s="14" t="s">
        <v>528</v>
      </c>
      <c r="V514" s="48">
        <f>SUMIF(Data!$E:$E,$I514,Data!$AI:$AI)</f>
        <v>0</v>
      </c>
    </row>
    <row r="515" spans="1:22" x14ac:dyDescent="0.25">
      <c r="A515" s="47" t="s">
        <v>3144</v>
      </c>
      <c r="B515" s="47" t="s">
        <v>123</v>
      </c>
      <c r="C515" s="47">
        <v>2563125</v>
      </c>
      <c r="D515" s="47">
        <v>0.67379999999999995</v>
      </c>
      <c r="E515" s="48">
        <f>SUMIF(Data!$E:$E,$C515,Data!$AI:$AI)</f>
        <v>0</v>
      </c>
      <c r="I515" s="14" t="s">
        <v>3623</v>
      </c>
      <c r="J515" s="14" t="s">
        <v>3624</v>
      </c>
      <c r="K515" s="14" t="s">
        <v>140</v>
      </c>
      <c r="L515" s="14" t="s">
        <v>3606</v>
      </c>
      <c r="M515" s="14" t="s">
        <v>3625</v>
      </c>
      <c r="N515" s="14" t="s">
        <v>3626</v>
      </c>
      <c r="O515" s="14" t="s">
        <v>3627</v>
      </c>
      <c r="P515" s="14" t="s">
        <v>3628</v>
      </c>
      <c r="Q515" s="14" t="s">
        <v>175</v>
      </c>
      <c r="R515" s="14" t="s">
        <v>3629</v>
      </c>
      <c r="S515" s="14" t="s">
        <v>479</v>
      </c>
      <c r="T515" s="14" t="s">
        <v>480</v>
      </c>
      <c r="U515" s="14" t="s">
        <v>481</v>
      </c>
      <c r="V515" s="48">
        <f>SUMIF(Data!$E:$E,$I515,Data!$AI:$AI)</f>
        <v>0</v>
      </c>
    </row>
    <row r="516" spans="1:22" x14ac:dyDescent="0.25">
      <c r="A516" s="47" t="s">
        <v>3144</v>
      </c>
      <c r="B516" s="47" t="s">
        <v>123</v>
      </c>
      <c r="C516" s="47">
        <v>2566522</v>
      </c>
      <c r="D516" s="47">
        <v>0.23230000000000001</v>
      </c>
      <c r="E516" s="48">
        <f>SUMIF(Data!$E:$E,$C516,Data!$AI:$AI)</f>
        <v>0</v>
      </c>
      <c r="I516" s="14" t="s">
        <v>3630</v>
      </c>
      <c r="J516" s="14" t="s">
        <v>3631</v>
      </c>
      <c r="K516" s="14" t="s">
        <v>140</v>
      </c>
      <c r="L516" s="14" t="s">
        <v>3606</v>
      </c>
      <c r="M516" s="14" t="s">
        <v>3632</v>
      </c>
      <c r="N516" s="14">
        <v>89.224999999999994</v>
      </c>
      <c r="O516" s="14" t="s">
        <v>3633</v>
      </c>
      <c r="P516" s="14" t="s">
        <v>3634</v>
      </c>
      <c r="Q516" s="14" t="s">
        <v>146</v>
      </c>
      <c r="R516" s="14" t="s">
        <v>3635</v>
      </c>
      <c r="S516" s="14" t="s">
        <v>148</v>
      </c>
      <c r="T516" s="14" t="s">
        <v>149</v>
      </c>
      <c r="U516" s="14" t="s">
        <v>113</v>
      </c>
      <c r="V516" s="48">
        <f>SUMIF(Data!$E:$E,$I516,Data!$AI:$AI)</f>
        <v>0</v>
      </c>
    </row>
    <row r="517" spans="1:22" x14ac:dyDescent="0.25">
      <c r="A517" s="47" t="s">
        <v>3144</v>
      </c>
      <c r="B517" s="47" t="s">
        <v>123</v>
      </c>
      <c r="C517" s="47">
        <v>2589132</v>
      </c>
      <c r="D517" s="47">
        <v>1.1099000000000001</v>
      </c>
      <c r="E517" s="48">
        <f>SUMIF(Data!$E:$E,$C517,Data!$AI:$AI)</f>
        <v>0</v>
      </c>
      <c r="I517" s="14" t="s">
        <v>3636</v>
      </c>
      <c r="J517" s="14" t="s">
        <v>3637</v>
      </c>
      <c r="K517" s="14" t="s">
        <v>140</v>
      </c>
      <c r="L517" s="14" t="s">
        <v>3606</v>
      </c>
      <c r="M517" s="14" t="s">
        <v>3638</v>
      </c>
      <c r="N517" s="14">
        <v>404.30500000000001</v>
      </c>
      <c r="O517" s="14" t="s">
        <v>3639</v>
      </c>
      <c r="P517" s="14" t="s">
        <v>3640</v>
      </c>
      <c r="Q517" s="14" t="s">
        <v>146</v>
      </c>
      <c r="R517" s="14" t="s">
        <v>3641</v>
      </c>
      <c r="S517" s="14" t="s">
        <v>148</v>
      </c>
      <c r="T517" s="14" t="s">
        <v>149</v>
      </c>
      <c r="U517" s="14" t="s">
        <v>113</v>
      </c>
      <c r="V517" s="48">
        <f>SUMIF(Data!$E:$E,$I517,Data!$AI:$AI)</f>
        <v>0</v>
      </c>
    </row>
    <row r="518" spans="1:22" x14ac:dyDescent="0.25">
      <c r="A518" s="47" t="s">
        <v>3144</v>
      </c>
      <c r="B518" s="47" t="s">
        <v>123</v>
      </c>
      <c r="C518" s="47">
        <v>2626125</v>
      </c>
      <c r="D518" s="47">
        <v>0.28389999999999999</v>
      </c>
      <c r="E518" s="48">
        <f>SUMIF(Data!$E:$E,$C518,Data!$AI:$AI)</f>
        <v>0</v>
      </c>
      <c r="I518" s="14" t="s">
        <v>3642</v>
      </c>
      <c r="J518" s="14" t="s">
        <v>3643</v>
      </c>
      <c r="K518" s="14" t="s">
        <v>140</v>
      </c>
      <c r="L518" s="14" t="s">
        <v>3606</v>
      </c>
      <c r="M518" s="14" t="s">
        <v>3644</v>
      </c>
      <c r="N518" s="14" t="s">
        <v>3645</v>
      </c>
      <c r="O518" s="14" t="s">
        <v>3646</v>
      </c>
      <c r="P518" s="14" t="s">
        <v>3647</v>
      </c>
      <c r="Q518" s="14" t="s">
        <v>193</v>
      </c>
      <c r="R518" s="14" t="s">
        <v>3648</v>
      </c>
      <c r="S518" s="14" t="s">
        <v>479</v>
      </c>
      <c r="T518" s="14" t="s">
        <v>480</v>
      </c>
      <c r="U518" s="14" t="s">
        <v>481</v>
      </c>
      <c r="V518" s="48">
        <f>SUMIF(Data!$E:$E,$I518,Data!$AI:$AI)</f>
        <v>0</v>
      </c>
    </row>
    <row r="519" spans="1:22" x14ac:dyDescent="0.25">
      <c r="A519" s="47" t="s">
        <v>3144</v>
      </c>
      <c r="B519" s="47" t="s">
        <v>123</v>
      </c>
      <c r="C519" s="47">
        <v>2652603</v>
      </c>
      <c r="D519" s="47">
        <v>5.7700000000000001E-2</v>
      </c>
      <c r="E519" s="48">
        <f>SUMIF(Data!$E:$E,$C519,Data!$AI:$AI)</f>
        <v>0</v>
      </c>
      <c r="I519" s="14">
        <v>6752</v>
      </c>
      <c r="J519" s="14" t="s">
        <v>3649</v>
      </c>
      <c r="K519" s="14" t="s">
        <v>140</v>
      </c>
      <c r="L519" s="14" t="s">
        <v>3606</v>
      </c>
      <c r="M519" s="14" t="s">
        <v>3650</v>
      </c>
      <c r="N519" s="14" t="s">
        <v>3651</v>
      </c>
      <c r="O519" s="14" t="s">
        <v>3652</v>
      </c>
      <c r="P519" s="14" t="s">
        <v>3653</v>
      </c>
      <c r="Q519" s="14" t="s">
        <v>165</v>
      </c>
      <c r="R519" s="14" t="s">
        <v>3654</v>
      </c>
      <c r="S519" s="14" t="s">
        <v>444</v>
      </c>
      <c r="T519" s="14" t="s">
        <v>445</v>
      </c>
      <c r="U519" s="14" t="s">
        <v>446</v>
      </c>
      <c r="V519" s="48">
        <f>SUMIF(Data!$E:$E,$I519,Data!$AI:$AI)</f>
        <v>0</v>
      </c>
    </row>
    <row r="520" spans="1:22" x14ac:dyDescent="0.25">
      <c r="A520" s="47" t="s">
        <v>3144</v>
      </c>
      <c r="B520" s="47" t="s">
        <v>123</v>
      </c>
      <c r="C520" s="47">
        <v>2680767</v>
      </c>
      <c r="D520" s="47">
        <v>6.6100000000000006E-2</v>
      </c>
      <c r="E520" s="48">
        <f>SUMIF(Data!$E:$E,$C520,Data!$AI:$AI)</f>
        <v>0</v>
      </c>
      <c r="I520" s="14">
        <v>6902</v>
      </c>
      <c r="J520" s="14" t="s">
        <v>3655</v>
      </c>
      <c r="K520" s="14" t="s">
        <v>140</v>
      </c>
      <c r="L520" s="14" t="s">
        <v>3606</v>
      </c>
      <c r="M520" s="14" t="s">
        <v>3656</v>
      </c>
      <c r="N520" s="14">
        <v>240.143</v>
      </c>
      <c r="O520" s="14" t="s">
        <v>3657</v>
      </c>
      <c r="P520" s="14" t="s">
        <v>3658</v>
      </c>
      <c r="Q520" s="14" t="s">
        <v>165</v>
      </c>
      <c r="R520" s="14" t="s">
        <v>3659</v>
      </c>
      <c r="S520" s="14" t="s">
        <v>444</v>
      </c>
      <c r="T520" s="14" t="s">
        <v>445</v>
      </c>
      <c r="U520" s="14" t="s">
        <v>446</v>
      </c>
      <c r="V520" s="48">
        <f>SUMIF(Data!$E:$E,$I520,Data!$AI:$AI)</f>
        <v>0</v>
      </c>
    </row>
    <row r="521" spans="1:22" x14ac:dyDescent="0.25">
      <c r="A521" s="47" t="s">
        <v>3144</v>
      </c>
      <c r="B521" s="47" t="s">
        <v>123</v>
      </c>
      <c r="C521" s="47">
        <v>2698146</v>
      </c>
      <c r="D521" s="47">
        <v>8.4599999999999995E-2</v>
      </c>
      <c r="E521" s="48">
        <f>SUMIF(Data!$E:$E,$C521,Data!$AI:$AI)</f>
        <v>0</v>
      </c>
      <c r="I521" s="14">
        <v>3</v>
      </c>
      <c r="J521" s="14" t="s">
        <v>3660</v>
      </c>
      <c r="K521" s="14" t="s">
        <v>140</v>
      </c>
      <c r="L521" s="14" t="s">
        <v>3606</v>
      </c>
      <c r="M521" s="14" t="s">
        <v>3661</v>
      </c>
      <c r="N521" s="14" t="s">
        <v>3662</v>
      </c>
      <c r="O521" s="14" t="s">
        <v>3663</v>
      </c>
      <c r="P521" s="14" t="s">
        <v>3664</v>
      </c>
      <c r="Q521" s="14" t="s">
        <v>697</v>
      </c>
      <c r="R521" s="14" t="s">
        <v>3665</v>
      </c>
      <c r="S521" s="14" t="s">
        <v>552</v>
      </c>
      <c r="T521" s="14" t="s">
        <v>553</v>
      </c>
      <c r="U521" s="14" t="s">
        <v>554</v>
      </c>
      <c r="V521" s="48">
        <f>SUMIF(Data!$E:$E,$I521,Data!$AI:$AI)</f>
        <v>0</v>
      </c>
    </row>
    <row r="522" spans="1:22" x14ac:dyDescent="0.25">
      <c r="A522" s="47" t="s">
        <v>3144</v>
      </c>
      <c r="B522" s="47" t="s">
        <v>123</v>
      </c>
      <c r="C522" s="47">
        <v>2707956</v>
      </c>
      <c r="D522" s="47">
        <v>0.2465</v>
      </c>
      <c r="E522" s="48">
        <f>SUMIF(Data!$E:$E,$C522,Data!$AI:$AI)</f>
        <v>0</v>
      </c>
      <c r="I522" s="14" t="s">
        <v>3666</v>
      </c>
      <c r="J522" s="14" t="s">
        <v>3667</v>
      </c>
      <c r="K522" s="14" t="s">
        <v>140</v>
      </c>
      <c r="L522" s="14" t="s">
        <v>3606</v>
      </c>
      <c r="M522" s="14" t="s">
        <v>3668</v>
      </c>
      <c r="N522" s="14">
        <v>111.199</v>
      </c>
      <c r="O522" s="14" t="s">
        <v>3669</v>
      </c>
      <c r="P522" s="14" t="s">
        <v>3670</v>
      </c>
      <c r="Q522" s="14" t="s">
        <v>419</v>
      </c>
      <c r="R522" s="14" t="s">
        <v>3671</v>
      </c>
      <c r="S522" s="14" t="s">
        <v>148</v>
      </c>
      <c r="T522" s="14" t="s">
        <v>149</v>
      </c>
      <c r="U522" s="14" t="s">
        <v>113</v>
      </c>
      <c r="V522" s="48">
        <f>SUMIF(Data!$E:$E,$I522,Data!$AI:$AI)</f>
        <v>0</v>
      </c>
    </row>
    <row r="523" spans="1:22" x14ac:dyDescent="0.25">
      <c r="A523" s="47" t="s">
        <v>3144</v>
      </c>
      <c r="B523" s="47" t="s">
        <v>123</v>
      </c>
      <c r="C523" s="47">
        <v>2722777</v>
      </c>
      <c r="D523" s="47">
        <v>9.7199999999999995E-2</v>
      </c>
      <c r="E523" s="48">
        <f>SUMIF(Data!$E:$E,$C523,Data!$AI:$AI)</f>
        <v>0</v>
      </c>
      <c r="I523" s="14" t="s">
        <v>3672</v>
      </c>
      <c r="J523" s="14" t="s">
        <v>3673</v>
      </c>
      <c r="K523" s="14" t="s">
        <v>140</v>
      </c>
      <c r="L523" s="14" t="s">
        <v>3606</v>
      </c>
      <c r="M523" s="14" t="s">
        <v>3674</v>
      </c>
      <c r="N523" s="14">
        <v>115.998</v>
      </c>
      <c r="O523" s="14" t="s">
        <v>3675</v>
      </c>
      <c r="P523" s="14" t="s">
        <v>3676</v>
      </c>
      <c r="Q523" s="14" t="s">
        <v>165</v>
      </c>
      <c r="R523" s="14" t="s">
        <v>3677</v>
      </c>
      <c r="S523" s="14" t="s">
        <v>148</v>
      </c>
      <c r="T523" s="14" t="s">
        <v>149</v>
      </c>
      <c r="U523" s="14" t="s">
        <v>113</v>
      </c>
      <c r="V523" s="48">
        <f>SUMIF(Data!$E:$E,$I523,Data!$AI:$AI)</f>
        <v>0</v>
      </c>
    </row>
    <row r="524" spans="1:22" x14ac:dyDescent="0.25">
      <c r="A524" s="47" t="s">
        <v>3144</v>
      </c>
      <c r="B524" s="47" t="s">
        <v>123</v>
      </c>
      <c r="C524" s="47">
        <v>2756152</v>
      </c>
      <c r="D524" s="47">
        <v>0.29580000000000001</v>
      </c>
      <c r="E524" s="48">
        <f>SUMIF(Data!$E:$E,$C524,Data!$AI:$AI)</f>
        <v>0</v>
      </c>
      <c r="I524" s="14" t="s">
        <v>3678</v>
      </c>
      <c r="J524" s="14" t="s">
        <v>3679</v>
      </c>
      <c r="K524" s="14" t="s">
        <v>140</v>
      </c>
      <c r="L524" s="14" t="s">
        <v>3606</v>
      </c>
      <c r="M524" s="14" t="s">
        <v>3680</v>
      </c>
      <c r="N524" s="14">
        <v>78.331999999999994</v>
      </c>
      <c r="O524" s="14" t="s">
        <v>3681</v>
      </c>
      <c r="P524" s="14" t="s">
        <v>3682</v>
      </c>
      <c r="Q524" s="14" t="s">
        <v>809</v>
      </c>
      <c r="R524" s="14" t="s">
        <v>3683</v>
      </c>
      <c r="S524" s="14" t="s">
        <v>195</v>
      </c>
      <c r="T524" s="14" t="s">
        <v>149</v>
      </c>
      <c r="U524" s="14" t="s">
        <v>113</v>
      </c>
      <c r="V524" s="48">
        <f>SUMIF(Data!$E:$E,$I524,Data!$AI:$AI)</f>
        <v>0</v>
      </c>
    </row>
    <row r="525" spans="1:22" x14ac:dyDescent="0.25">
      <c r="A525" s="47" t="s">
        <v>3144</v>
      </c>
      <c r="B525" s="47" t="s">
        <v>123</v>
      </c>
      <c r="C525" s="47">
        <v>2860257</v>
      </c>
      <c r="D525" s="47">
        <v>0.63529999999999998</v>
      </c>
      <c r="E525" s="48">
        <f>SUMIF(Data!$E:$E,$C525,Data!$AI:$AI)</f>
        <v>0</v>
      </c>
      <c r="I525" s="14" t="s">
        <v>3684</v>
      </c>
      <c r="J525" s="14" t="s">
        <v>3685</v>
      </c>
      <c r="K525" s="14" t="s">
        <v>140</v>
      </c>
      <c r="L525" s="14" t="s">
        <v>3606</v>
      </c>
      <c r="M525" s="14" t="s">
        <v>3686</v>
      </c>
      <c r="N525" s="14">
        <v>240.465</v>
      </c>
      <c r="O525" s="14" t="s">
        <v>3687</v>
      </c>
      <c r="P525" s="14" t="s">
        <v>3688</v>
      </c>
      <c r="Q525" s="14" t="s">
        <v>737</v>
      </c>
      <c r="R525" s="14" t="s">
        <v>3689</v>
      </c>
      <c r="S525" s="14" t="s">
        <v>195</v>
      </c>
      <c r="T525" s="14" t="s">
        <v>149</v>
      </c>
      <c r="U525" s="14" t="s">
        <v>113</v>
      </c>
      <c r="V525" s="48">
        <f>SUMIF(Data!$E:$E,$I525,Data!$AI:$AI)</f>
        <v>0</v>
      </c>
    </row>
    <row r="526" spans="1:22" x14ac:dyDescent="0.25">
      <c r="A526" s="47" t="s">
        <v>3144</v>
      </c>
      <c r="B526" s="47" t="s">
        <v>123</v>
      </c>
      <c r="C526" s="47">
        <v>2872252</v>
      </c>
      <c r="D526" s="47">
        <v>0.24679999999999999</v>
      </c>
      <c r="E526" s="48">
        <f>SUMIF(Data!$E:$E,$C526,Data!$AI:$AI)</f>
        <v>0</v>
      </c>
      <c r="I526" s="14">
        <v>4507</v>
      </c>
      <c r="J526" s="14" t="s">
        <v>3690</v>
      </c>
      <c r="K526" s="14" t="s">
        <v>140</v>
      </c>
      <c r="L526" s="14" t="s">
        <v>3606</v>
      </c>
      <c r="M526" s="14" t="s">
        <v>3691</v>
      </c>
      <c r="N526" s="14">
        <v>166.96</v>
      </c>
      <c r="O526" s="14" t="s">
        <v>3692</v>
      </c>
      <c r="P526" s="14" t="s">
        <v>3693</v>
      </c>
      <c r="Q526" s="14" t="s">
        <v>211</v>
      </c>
      <c r="R526" s="14" t="s">
        <v>3694</v>
      </c>
      <c r="S526" s="14" t="s">
        <v>444</v>
      </c>
      <c r="T526" s="14" t="s">
        <v>445</v>
      </c>
      <c r="U526" s="14" t="s">
        <v>446</v>
      </c>
      <c r="V526" s="48">
        <f>SUMIF(Data!$E:$E,$I526,Data!$AI:$AI)</f>
        <v>0</v>
      </c>
    </row>
    <row r="527" spans="1:22" x14ac:dyDescent="0.25">
      <c r="A527" s="47" t="s">
        <v>3144</v>
      </c>
      <c r="B527" s="47" t="s">
        <v>123</v>
      </c>
      <c r="C527" s="47">
        <v>2874582</v>
      </c>
      <c r="D527" s="47">
        <v>0.22009999999999999</v>
      </c>
      <c r="E527" s="48">
        <f>SUMIF(Data!$E:$E,$C527,Data!$AI:$AI)</f>
        <v>0</v>
      </c>
      <c r="I527" s="14" t="s">
        <v>3695</v>
      </c>
      <c r="J527" s="14" t="s">
        <v>3696</v>
      </c>
      <c r="K527" s="14" t="s">
        <v>140</v>
      </c>
      <c r="L527" s="14" t="s">
        <v>3606</v>
      </c>
      <c r="M527" s="14" t="s">
        <v>3697</v>
      </c>
      <c r="N527" s="14">
        <v>18.809999999999999</v>
      </c>
      <c r="O527" s="14" t="s">
        <v>3698</v>
      </c>
      <c r="P527" s="14" t="s">
        <v>3699</v>
      </c>
      <c r="Q527" s="14" t="s">
        <v>419</v>
      </c>
      <c r="R527" s="14" t="s">
        <v>3700</v>
      </c>
      <c r="S527" s="14" t="s">
        <v>229</v>
      </c>
      <c r="T527" s="14" t="s">
        <v>230</v>
      </c>
      <c r="U527" s="14" t="s">
        <v>231</v>
      </c>
      <c r="V527" s="48">
        <f>SUMIF(Data!$E:$E,$I527,Data!$AI:$AI)</f>
        <v>0</v>
      </c>
    </row>
    <row r="528" spans="1:22" x14ac:dyDescent="0.25">
      <c r="A528" s="47" t="s">
        <v>3144</v>
      </c>
      <c r="B528" s="47" t="s">
        <v>123</v>
      </c>
      <c r="C528" s="47">
        <v>2942304</v>
      </c>
      <c r="D528" s="47">
        <v>0.23519999999999999</v>
      </c>
      <c r="E528" s="48">
        <f>SUMIF(Data!$E:$E,$C528,Data!$AI:$AI)</f>
        <v>0</v>
      </c>
      <c r="I528" s="14" t="s">
        <v>3701</v>
      </c>
      <c r="J528" s="14" t="s">
        <v>3702</v>
      </c>
      <c r="K528" s="14" t="s">
        <v>140</v>
      </c>
      <c r="L528" s="14" t="s">
        <v>3606</v>
      </c>
      <c r="M528" s="14" t="s">
        <v>3703</v>
      </c>
      <c r="N528" s="14">
        <v>68.423000000000002</v>
      </c>
      <c r="O528" s="14" t="s">
        <v>3704</v>
      </c>
      <c r="P528" s="14" t="s">
        <v>3705</v>
      </c>
      <c r="Q528" s="14" t="s">
        <v>227</v>
      </c>
      <c r="R528" s="14" t="s">
        <v>3706</v>
      </c>
      <c r="S528" s="14" t="s">
        <v>195</v>
      </c>
      <c r="T528" s="14" t="s">
        <v>149</v>
      </c>
      <c r="U528" s="14" t="s">
        <v>113</v>
      </c>
      <c r="V528" s="48">
        <f>SUMIF(Data!$E:$E,$I528,Data!$AI:$AI)</f>
        <v>0</v>
      </c>
    </row>
    <row r="529" spans="1:22" x14ac:dyDescent="0.25">
      <c r="A529" s="47" t="s">
        <v>3144</v>
      </c>
      <c r="B529" s="47" t="s">
        <v>123</v>
      </c>
      <c r="C529" s="47" t="s">
        <v>3707</v>
      </c>
      <c r="D529" s="47">
        <v>0.55510000000000004</v>
      </c>
      <c r="E529" s="48">
        <f>SUMIF(Data!$E:$E,$C529,Data!$AI:$AI)</f>
        <v>0</v>
      </c>
      <c r="I529" s="14" t="s">
        <v>3708</v>
      </c>
      <c r="J529" s="14" t="s">
        <v>3709</v>
      </c>
      <c r="K529" s="14" t="s">
        <v>140</v>
      </c>
      <c r="L529" s="14" t="s">
        <v>3606</v>
      </c>
      <c r="M529" s="14" t="s">
        <v>3710</v>
      </c>
      <c r="N529" s="14">
        <v>512.66</v>
      </c>
      <c r="O529" s="14" t="s">
        <v>3711</v>
      </c>
      <c r="P529" s="14" t="s">
        <v>3712</v>
      </c>
      <c r="Q529" s="14" t="s">
        <v>263</v>
      </c>
      <c r="R529" s="14" t="s">
        <v>3713</v>
      </c>
      <c r="S529" s="14" t="s">
        <v>3714</v>
      </c>
      <c r="T529" s="14" t="s">
        <v>3715</v>
      </c>
      <c r="U529" s="14" t="s">
        <v>3716</v>
      </c>
      <c r="V529" s="48">
        <f>SUMIF(Data!$E:$E,$I529,Data!$AI:$AI)</f>
        <v>0</v>
      </c>
    </row>
    <row r="530" spans="1:22" x14ac:dyDescent="0.25">
      <c r="A530" s="47" t="s">
        <v>3144</v>
      </c>
      <c r="B530" s="47" t="s">
        <v>123</v>
      </c>
      <c r="C530" s="47" t="s">
        <v>3717</v>
      </c>
      <c r="D530" s="47">
        <v>0.91759999999999997</v>
      </c>
      <c r="E530" s="48">
        <f>SUMIF(Data!$E:$E,$C530,Data!$AI:$AI)</f>
        <v>0</v>
      </c>
      <c r="I530" s="14" t="s">
        <v>3718</v>
      </c>
      <c r="J530" s="14" t="s">
        <v>3719</v>
      </c>
      <c r="K530" s="14" t="s">
        <v>140</v>
      </c>
      <c r="L530" s="14" t="s">
        <v>3606</v>
      </c>
      <c r="M530" s="14" t="s">
        <v>3720</v>
      </c>
      <c r="N530" s="14">
        <v>31.126999999999999</v>
      </c>
      <c r="O530" s="14" t="s">
        <v>3721</v>
      </c>
      <c r="P530" s="14" t="s">
        <v>3722</v>
      </c>
      <c r="Q530" s="14" t="s">
        <v>211</v>
      </c>
      <c r="R530" s="14" t="s">
        <v>3723</v>
      </c>
      <c r="S530" s="14" t="s">
        <v>195</v>
      </c>
      <c r="T530" s="14" t="s">
        <v>149</v>
      </c>
      <c r="U530" s="14" t="s">
        <v>113</v>
      </c>
      <c r="V530" s="48">
        <f>SUMIF(Data!$E:$E,$I530,Data!$AI:$AI)</f>
        <v>0</v>
      </c>
    </row>
    <row r="531" spans="1:22" x14ac:dyDescent="0.25">
      <c r="A531" s="47" t="s">
        <v>3144</v>
      </c>
      <c r="B531" s="47" t="s">
        <v>123</v>
      </c>
      <c r="C531" s="47" t="s">
        <v>3724</v>
      </c>
      <c r="D531" s="47">
        <v>9.7000000000000003E-2</v>
      </c>
      <c r="E531" s="48">
        <f>SUMIF(Data!$E:$E,$C531,Data!$AI:$AI)</f>
        <v>0</v>
      </c>
      <c r="I531" s="14" t="s">
        <v>3725</v>
      </c>
      <c r="J531" s="14" t="s">
        <v>3726</v>
      </c>
      <c r="K531" s="14" t="s">
        <v>140</v>
      </c>
      <c r="L531" s="14" t="s">
        <v>3606</v>
      </c>
      <c r="M531" s="14" t="s">
        <v>3727</v>
      </c>
      <c r="N531" s="14">
        <v>71.876999999999995</v>
      </c>
      <c r="O531" s="14" t="s">
        <v>3728</v>
      </c>
      <c r="P531" s="14" t="s">
        <v>3729</v>
      </c>
      <c r="Q531" s="14" t="s">
        <v>211</v>
      </c>
      <c r="R531" s="14" t="s">
        <v>3730</v>
      </c>
      <c r="S531" s="14" t="s">
        <v>195</v>
      </c>
      <c r="T531" s="14" t="s">
        <v>149</v>
      </c>
      <c r="U531" s="14" t="s">
        <v>113</v>
      </c>
      <c r="V531" s="48">
        <f>SUMIF(Data!$E:$E,$I531,Data!$AI:$AI)</f>
        <v>0</v>
      </c>
    </row>
    <row r="532" spans="1:22" x14ac:dyDescent="0.25">
      <c r="A532" s="47" t="s">
        <v>3144</v>
      </c>
      <c r="B532" s="47" t="s">
        <v>123</v>
      </c>
      <c r="C532" s="47" t="s">
        <v>3731</v>
      </c>
      <c r="D532" s="47">
        <v>0.44280000000000003</v>
      </c>
      <c r="E532" s="48">
        <f>SUMIF(Data!$E:$E,$C532,Data!$AI:$AI)</f>
        <v>0</v>
      </c>
      <c r="I532" s="14" t="s">
        <v>3732</v>
      </c>
      <c r="J532" s="14" t="s">
        <v>3733</v>
      </c>
      <c r="K532" s="14" t="s">
        <v>140</v>
      </c>
      <c r="L532" s="14" t="s">
        <v>3606</v>
      </c>
      <c r="M532" s="14" t="s">
        <v>3734</v>
      </c>
      <c r="N532" s="14">
        <v>636.78399999999999</v>
      </c>
      <c r="O532" s="14" t="s">
        <v>3735</v>
      </c>
      <c r="P532" s="14" t="s">
        <v>3736</v>
      </c>
      <c r="Q532" s="14" t="s">
        <v>193</v>
      </c>
      <c r="R532" s="14" t="s">
        <v>3737</v>
      </c>
      <c r="S532" s="14" t="s">
        <v>195</v>
      </c>
      <c r="T532" s="14" t="s">
        <v>149</v>
      </c>
      <c r="U532" s="14" t="s">
        <v>113</v>
      </c>
      <c r="V532" s="48">
        <f>SUMIF(Data!$E:$E,$I532,Data!$AI:$AI)</f>
        <v>0</v>
      </c>
    </row>
    <row r="533" spans="1:22" x14ac:dyDescent="0.25">
      <c r="A533" s="47" t="s">
        <v>3144</v>
      </c>
      <c r="B533" s="47" t="s">
        <v>123</v>
      </c>
      <c r="C533" s="47" t="s">
        <v>3738</v>
      </c>
      <c r="D533" s="47">
        <v>0.57769999999999999</v>
      </c>
      <c r="E533" s="48">
        <f>SUMIF(Data!$E:$E,$C533,Data!$AI:$AI)</f>
        <v>0</v>
      </c>
      <c r="I533" s="14" t="s">
        <v>481</v>
      </c>
      <c r="J533" s="14" t="s">
        <v>3739</v>
      </c>
      <c r="K533" s="14" t="s">
        <v>758</v>
      </c>
      <c r="L533" s="14" t="s">
        <v>3606</v>
      </c>
      <c r="M533" s="14" t="s">
        <v>3740</v>
      </c>
      <c r="N533" s="14" t="s">
        <v>3741</v>
      </c>
      <c r="O533" s="14" t="s">
        <v>3742</v>
      </c>
      <c r="P533" s="14" t="s">
        <v>3743</v>
      </c>
      <c r="Q533" s="14" t="s">
        <v>762</v>
      </c>
      <c r="R533" s="14" t="s">
        <v>763</v>
      </c>
      <c r="S533" s="14" t="s">
        <v>763</v>
      </c>
      <c r="T533" s="14" t="s">
        <v>480</v>
      </c>
      <c r="U533" s="14" t="s">
        <v>481</v>
      </c>
      <c r="V533" s="48">
        <f>SUMIF(Data!$E:$E,$I533,Data!$AI:$AI)</f>
        <v>0</v>
      </c>
    </row>
    <row r="534" spans="1:22" x14ac:dyDescent="0.25">
      <c r="A534" s="47" t="s">
        <v>3144</v>
      </c>
      <c r="B534" s="47" t="s">
        <v>123</v>
      </c>
      <c r="C534" s="47" t="s">
        <v>3744</v>
      </c>
      <c r="D534" s="47">
        <v>0.1915</v>
      </c>
      <c r="E534" s="48">
        <f>SUMIF(Data!$E:$E,$C534,Data!$AI:$AI)</f>
        <v>0</v>
      </c>
      <c r="I534" s="14" t="s">
        <v>3745</v>
      </c>
      <c r="J534" s="14" t="s">
        <v>3746</v>
      </c>
      <c r="K534" s="14" t="s">
        <v>140</v>
      </c>
      <c r="L534" s="14" t="s">
        <v>3606</v>
      </c>
      <c r="M534" s="14" t="s">
        <v>3747</v>
      </c>
      <c r="N534" s="14">
        <v>247.09100000000001</v>
      </c>
      <c r="O534" s="14" t="s">
        <v>3748</v>
      </c>
      <c r="P534" s="14" t="s">
        <v>3749</v>
      </c>
      <c r="Q534" s="14" t="s">
        <v>697</v>
      </c>
      <c r="R534" s="14" t="s">
        <v>3750</v>
      </c>
      <c r="S534" s="14" t="s">
        <v>728</v>
      </c>
      <c r="T534" s="14" t="s">
        <v>729</v>
      </c>
      <c r="U534" s="14" t="s">
        <v>730</v>
      </c>
      <c r="V534" s="48">
        <f>SUMIF(Data!$E:$E,$I534,Data!$AI:$AI)</f>
        <v>0</v>
      </c>
    </row>
    <row r="535" spans="1:22" x14ac:dyDescent="0.25">
      <c r="A535" s="47" t="s">
        <v>3144</v>
      </c>
      <c r="B535" s="47" t="s">
        <v>123</v>
      </c>
      <c r="C535" s="47" t="s">
        <v>3751</v>
      </c>
      <c r="D535" s="47">
        <v>0.1578</v>
      </c>
      <c r="E535" s="48">
        <f>SUMIF(Data!$E:$E,$C535,Data!$AI:$AI)</f>
        <v>0</v>
      </c>
      <c r="I535" s="14" t="s">
        <v>3752</v>
      </c>
      <c r="J535" s="14" t="s">
        <v>3753</v>
      </c>
      <c r="K535" s="14" t="s">
        <v>140</v>
      </c>
      <c r="L535" s="14" t="s">
        <v>3606</v>
      </c>
      <c r="M535" s="14" t="s">
        <v>3754</v>
      </c>
      <c r="N535" s="14">
        <v>69.884</v>
      </c>
      <c r="O535" s="14" t="s">
        <v>3755</v>
      </c>
      <c r="P535" s="14" t="s">
        <v>3756</v>
      </c>
      <c r="Q535" s="14" t="s">
        <v>227</v>
      </c>
      <c r="R535" s="14" t="s">
        <v>3757</v>
      </c>
      <c r="S535" s="14" t="s">
        <v>771</v>
      </c>
      <c r="T535" s="14" t="s">
        <v>772</v>
      </c>
      <c r="U535" s="14" t="s">
        <v>773</v>
      </c>
      <c r="V535" s="48">
        <f>SUMIF(Data!$E:$E,$I535,Data!$AI:$AI)</f>
        <v>0</v>
      </c>
    </row>
    <row r="536" spans="1:22" x14ac:dyDescent="0.25">
      <c r="A536" s="47" t="s">
        <v>3144</v>
      </c>
      <c r="B536" s="47" t="s">
        <v>123</v>
      </c>
      <c r="C536" s="47" t="s">
        <v>3758</v>
      </c>
      <c r="D536" s="47">
        <v>0.17330000000000001</v>
      </c>
      <c r="E536" s="48">
        <f>SUMIF(Data!$E:$E,$C536,Data!$AI:$AI)</f>
        <v>0</v>
      </c>
      <c r="I536" s="14" t="s">
        <v>3759</v>
      </c>
      <c r="J536" s="14" t="s">
        <v>3760</v>
      </c>
      <c r="K536" s="14" t="s">
        <v>140</v>
      </c>
      <c r="L536" s="14" t="s">
        <v>3606</v>
      </c>
      <c r="M536" s="14" t="s">
        <v>3761</v>
      </c>
      <c r="N536" s="14">
        <v>72.647999999999996</v>
      </c>
      <c r="O536" s="14" t="s">
        <v>3762</v>
      </c>
      <c r="P536" s="14" t="s">
        <v>3763</v>
      </c>
      <c r="Q536" s="14" t="s">
        <v>146</v>
      </c>
      <c r="R536" s="14" t="s">
        <v>3764</v>
      </c>
      <c r="S536" s="14" t="s">
        <v>148</v>
      </c>
      <c r="T536" s="14" t="s">
        <v>149</v>
      </c>
      <c r="U536" s="14" t="s">
        <v>113</v>
      </c>
      <c r="V536" s="48">
        <f>SUMIF(Data!$E:$E,$I536,Data!$AI:$AI)</f>
        <v>0</v>
      </c>
    </row>
    <row r="537" spans="1:22" x14ac:dyDescent="0.25">
      <c r="A537" s="47" t="s">
        <v>3144</v>
      </c>
      <c r="B537" s="47" t="s">
        <v>123</v>
      </c>
      <c r="C537" s="47" t="s">
        <v>3765</v>
      </c>
      <c r="D537" s="47">
        <v>0.1376</v>
      </c>
      <c r="E537" s="48">
        <f>SUMIF(Data!$E:$E,$C537,Data!$AI:$AI)</f>
        <v>0</v>
      </c>
      <c r="I537" s="14" t="s">
        <v>3766</v>
      </c>
      <c r="J537" s="14" t="s">
        <v>3767</v>
      </c>
      <c r="K537" s="14" t="s">
        <v>140</v>
      </c>
      <c r="L537" s="14" t="s">
        <v>3606</v>
      </c>
      <c r="M537" s="14" t="s">
        <v>3768</v>
      </c>
      <c r="N537" s="14">
        <v>58.243000000000002</v>
      </c>
      <c r="O537" s="14" t="s">
        <v>3769</v>
      </c>
      <c r="P537" s="14" t="s">
        <v>3770</v>
      </c>
      <c r="Q537" s="14" t="s">
        <v>211</v>
      </c>
      <c r="R537" s="14" t="s">
        <v>3771</v>
      </c>
      <c r="S537" s="14" t="s">
        <v>195</v>
      </c>
      <c r="T537" s="14" t="s">
        <v>149</v>
      </c>
      <c r="U537" s="14" t="s">
        <v>113</v>
      </c>
      <c r="V537" s="48">
        <f>SUMIF(Data!$E:$E,$I537,Data!$AI:$AI)</f>
        <v>0</v>
      </c>
    </row>
    <row r="538" spans="1:22" x14ac:dyDescent="0.25">
      <c r="A538" s="47" t="s">
        <v>3144</v>
      </c>
      <c r="B538" s="47" t="s">
        <v>123</v>
      </c>
      <c r="C538" s="47" t="s">
        <v>3772</v>
      </c>
      <c r="D538" s="47">
        <v>0.35920000000000002</v>
      </c>
      <c r="E538" s="48">
        <f>SUMIF(Data!$E:$E,$C538,Data!$AI:$AI)</f>
        <v>0</v>
      </c>
      <c r="I538" s="14" t="s">
        <v>3773</v>
      </c>
      <c r="J538" s="14" t="s">
        <v>3774</v>
      </c>
      <c r="K538" s="14" t="s">
        <v>140</v>
      </c>
      <c r="L538" s="14" t="s">
        <v>3606</v>
      </c>
      <c r="M538" s="14" t="s">
        <v>3775</v>
      </c>
      <c r="N538" s="14">
        <v>171.51400000000001</v>
      </c>
      <c r="O538" s="14" t="s">
        <v>3776</v>
      </c>
      <c r="P538" s="14" t="s">
        <v>3777</v>
      </c>
      <c r="Q538" s="14" t="s">
        <v>809</v>
      </c>
      <c r="R538" s="14" t="s">
        <v>3778</v>
      </c>
      <c r="S538" s="14" t="s">
        <v>195</v>
      </c>
      <c r="T538" s="14" t="s">
        <v>149</v>
      </c>
      <c r="U538" s="14" t="s">
        <v>113</v>
      </c>
      <c r="V538" s="48">
        <f>SUMIF(Data!$E:$E,$I538,Data!$AI:$AI)</f>
        <v>0</v>
      </c>
    </row>
    <row r="539" spans="1:22" x14ac:dyDescent="0.25">
      <c r="A539" s="47" t="s">
        <v>3144</v>
      </c>
      <c r="B539" s="47" t="s">
        <v>123</v>
      </c>
      <c r="C539" s="47" t="s">
        <v>3779</v>
      </c>
      <c r="D539" s="47">
        <v>0.15620000000000001</v>
      </c>
      <c r="E539" s="48">
        <f>SUMIF(Data!$E:$E,$C539,Data!$AI:$AI)</f>
        <v>0</v>
      </c>
      <c r="I539" s="14" t="s">
        <v>3780</v>
      </c>
      <c r="J539" s="14" t="s">
        <v>3781</v>
      </c>
      <c r="K539" s="14" t="s">
        <v>140</v>
      </c>
      <c r="L539" s="14" t="s">
        <v>3606</v>
      </c>
      <c r="M539" s="14" t="s">
        <v>3782</v>
      </c>
      <c r="N539" s="14">
        <v>261.10700000000003</v>
      </c>
      <c r="O539" s="14" t="s">
        <v>3783</v>
      </c>
      <c r="P539" s="14" t="s">
        <v>3784</v>
      </c>
      <c r="Q539" s="14" t="s">
        <v>193</v>
      </c>
      <c r="R539" s="14" t="s">
        <v>3785</v>
      </c>
      <c r="S539" s="14" t="s">
        <v>195</v>
      </c>
      <c r="T539" s="14" t="s">
        <v>149</v>
      </c>
      <c r="U539" s="14" t="s">
        <v>113</v>
      </c>
      <c r="V539" s="48">
        <f>SUMIF(Data!$E:$E,$I539,Data!$AI:$AI)</f>
        <v>0</v>
      </c>
    </row>
    <row r="540" spans="1:22" x14ac:dyDescent="0.25">
      <c r="A540" s="47" t="s">
        <v>3144</v>
      </c>
      <c r="B540" s="47" t="s">
        <v>123</v>
      </c>
      <c r="C540" s="47" t="s">
        <v>3786</v>
      </c>
      <c r="D540" s="47">
        <v>0.16739999999999999</v>
      </c>
      <c r="E540" s="48">
        <f>SUMIF(Data!$E:$E,$C540,Data!$AI:$AI)</f>
        <v>0</v>
      </c>
      <c r="I540" s="14" t="s">
        <v>3787</v>
      </c>
      <c r="J540" s="14" t="s">
        <v>3788</v>
      </c>
      <c r="K540" s="14" t="s">
        <v>140</v>
      </c>
      <c r="L540" s="14" t="s">
        <v>3606</v>
      </c>
      <c r="M540" s="14" t="s">
        <v>3789</v>
      </c>
      <c r="N540" s="14">
        <v>191.74199999999999</v>
      </c>
      <c r="O540" s="14" t="s">
        <v>3790</v>
      </c>
      <c r="P540" s="14" t="s">
        <v>3791</v>
      </c>
      <c r="Q540" s="14" t="s">
        <v>165</v>
      </c>
      <c r="R540" s="14" t="s">
        <v>3792</v>
      </c>
      <c r="S540" s="14" t="s">
        <v>195</v>
      </c>
      <c r="T540" s="14" t="s">
        <v>149</v>
      </c>
      <c r="U540" s="14" t="s">
        <v>113</v>
      </c>
      <c r="V540" s="48">
        <f>SUMIF(Data!$E:$E,$I540,Data!$AI:$AI)</f>
        <v>0</v>
      </c>
    </row>
    <row r="541" spans="1:22" x14ac:dyDescent="0.25">
      <c r="A541" s="47" t="s">
        <v>3144</v>
      </c>
      <c r="B541" s="47" t="s">
        <v>123</v>
      </c>
      <c r="C541" s="47" t="s">
        <v>3793</v>
      </c>
      <c r="D541" s="47">
        <v>7.7799999999999994E-2</v>
      </c>
      <c r="E541" s="48">
        <f>SUMIF(Data!$E:$E,$C541,Data!$AI:$AI)</f>
        <v>0</v>
      </c>
      <c r="I541" s="14" t="s">
        <v>3794</v>
      </c>
      <c r="J541" s="14" t="s">
        <v>3794</v>
      </c>
      <c r="K541" s="14" t="s">
        <v>140</v>
      </c>
      <c r="L541" s="14" t="s">
        <v>3606</v>
      </c>
      <c r="M541" s="14" t="s">
        <v>3795</v>
      </c>
      <c r="N541" s="14">
        <v>234.37100000000001</v>
      </c>
      <c r="O541" s="14" t="s">
        <v>3796</v>
      </c>
      <c r="P541" s="14" t="s">
        <v>3797</v>
      </c>
      <c r="Q541" s="14" t="s">
        <v>193</v>
      </c>
      <c r="R541" s="14" t="s">
        <v>3798</v>
      </c>
      <c r="S541" s="14" t="s">
        <v>3142</v>
      </c>
      <c r="T541" s="14" t="s">
        <v>3143</v>
      </c>
      <c r="U541" s="14" t="s">
        <v>528</v>
      </c>
      <c r="V541" s="48">
        <f>SUMIF(Data!$E:$E,$I541,Data!$AI:$AI)</f>
        <v>0</v>
      </c>
    </row>
    <row r="542" spans="1:22" x14ac:dyDescent="0.25">
      <c r="A542" s="47" t="s">
        <v>3144</v>
      </c>
      <c r="B542" s="47" t="s">
        <v>123</v>
      </c>
      <c r="C542" s="47" t="s">
        <v>3799</v>
      </c>
      <c r="D542" s="47">
        <v>0.33829999999999999</v>
      </c>
      <c r="E542" s="48">
        <f>SUMIF(Data!$E:$E,$C542,Data!$AI:$AI)</f>
        <v>0</v>
      </c>
      <c r="I542" s="14" t="s">
        <v>3800</v>
      </c>
      <c r="J542" s="14" t="s">
        <v>3801</v>
      </c>
      <c r="K542" s="14" t="s">
        <v>140</v>
      </c>
      <c r="L542" s="14" t="s">
        <v>3606</v>
      </c>
      <c r="M542" s="14" t="s">
        <v>3802</v>
      </c>
      <c r="N542" s="14">
        <v>83.900999999999996</v>
      </c>
      <c r="O542" s="14" t="s">
        <v>3803</v>
      </c>
      <c r="P542" s="14" t="s">
        <v>3804</v>
      </c>
      <c r="Q542" s="14" t="s">
        <v>146</v>
      </c>
      <c r="R542" s="14" t="s">
        <v>3805</v>
      </c>
      <c r="S542" s="14" t="s">
        <v>563</v>
      </c>
      <c r="T542" s="14" t="s">
        <v>564</v>
      </c>
      <c r="U542" s="14" t="s">
        <v>528</v>
      </c>
      <c r="V542" s="48">
        <f>SUMIF(Data!$E:$E,$I542,Data!$AI:$AI)</f>
        <v>0</v>
      </c>
    </row>
    <row r="543" spans="1:22" x14ac:dyDescent="0.25">
      <c r="A543" s="47" t="s">
        <v>3144</v>
      </c>
      <c r="B543" s="47" t="s">
        <v>123</v>
      </c>
      <c r="C543" s="47" t="s">
        <v>3806</v>
      </c>
      <c r="D543" s="47">
        <v>0.46439999999999998</v>
      </c>
      <c r="E543" s="48">
        <f>SUMIF(Data!$E:$E,$C543,Data!$AI:$AI)</f>
        <v>0</v>
      </c>
      <c r="I543" s="14" t="s">
        <v>3807</v>
      </c>
      <c r="J543" s="14" t="s">
        <v>3808</v>
      </c>
      <c r="K543" s="14" t="s">
        <v>140</v>
      </c>
      <c r="L543" s="14" t="s">
        <v>3606</v>
      </c>
      <c r="M543" s="14" t="s">
        <v>3809</v>
      </c>
      <c r="N543" s="14">
        <v>127.488</v>
      </c>
      <c r="O543" s="14" t="s">
        <v>3810</v>
      </c>
      <c r="P543" s="14" t="s">
        <v>3811</v>
      </c>
      <c r="Q543" s="14" t="s">
        <v>419</v>
      </c>
      <c r="R543" s="14" t="s">
        <v>3812</v>
      </c>
      <c r="S543" s="14" t="s">
        <v>563</v>
      </c>
      <c r="T543" s="14" t="s">
        <v>564</v>
      </c>
      <c r="U543" s="14" t="s">
        <v>528</v>
      </c>
      <c r="V543" s="48">
        <f>SUMIF(Data!$E:$E,$I543,Data!$AI:$AI)</f>
        <v>0</v>
      </c>
    </row>
    <row r="544" spans="1:22" x14ac:dyDescent="0.25">
      <c r="A544" s="47" t="s">
        <v>3144</v>
      </c>
      <c r="B544" s="47" t="s">
        <v>123</v>
      </c>
      <c r="C544" s="47" t="s">
        <v>3813</v>
      </c>
      <c r="D544" s="47">
        <v>0.23849999999999999</v>
      </c>
      <c r="E544" s="48">
        <f>SUMIF(Data!$E:$E,$C544,Data!$AI:$AI)</f>
        <v>0</v>
      </c>
      <c r="I544" s="14" t="s">
        <v>3814</v>
      </c>
      <c r="J544" s="14" t="s">
        <v>3815</v>
      </c>
      <c r="K544" s="14" t="s">
        <v>140</v>
      </c>
      <c r="L544" s="14" t="s">
        <v>3606</v>
      </c>
      <c r="M544" s="14" t="s">
        <v>3816</v>
      </c>
      <c r="N544" s="14">
        <v>71.102999999999994</v>
      </c>
      <c r="O544" s="14" t="s">
        <v>3817</v>
      </c>
      <c r="P544" s="14" t="s">
        <v>3818</v>
      </c>
      <c r="Q544" s="14" t="s">
        <v>737</v>
      </c>
      <c r="R544" s="14" t="s">
        <v>3819</v>
      </c>
      <c r="S544" s="14" t="s">
        <v>195</v>
      </c>
      <c r="T544" s="14" t="s">
        <v>149</v>
      </c>
      <c r="U544" s="14" t="s">
        <v>113</v>
      </c>
      <c r="V544" s="48">
        <f>SUMIF(Data!$E:$E,$I544,Data!$AI:$AI)</f>
        <v>0</v>
      </c>
    </row>
    <row r="545" spans="1:22" x14ac:dyDescent="0.25">
      <c r="A545" s="47" t="s">
        <v>3144</v>
      </c>
      <c r="B545" s="47" t="s">
        <v>123</v>
      </c>
      <c r="C545" s="47" t="s">
        <v>3820</v>
      </c>
      <c r="D545" s="47">
        <v>0.246</v>
      </c>
      <c r="E545" s="48">
        <f>SUMIF(Data!$E:$E,$C545,Data!$AI:$AI)</f>
        <v>0</v>
      </c>
      <c r="I545" s="14" t="s">
        <v>3821</v>
      </c>
      <c r="J545" s="14" t="s">
        <v>3822</v>
      </c>
      <c r="K545" s="14" t="s">
        <v>140</v>
      </c>
      <c r="L545" s="14" t="s">
        <v>3606</v>
      </c>
      <c r="M545" s="14" t="s">
        <v>846</v>
      </c>
      <c r="N545" s="14">
        <v>178.49799999999999</v>
      </c>
      <c r="O545" s="14" t="s">
        <v>3823</v>
      </c>
      <c r="P545" s="14" t="s">
        <v>3824</v>
      </c>
      <c r="Q545" s="14" t="s">
        <v>809</v>
      </c>
      <c r="R545" s="14" t="s">
        <v>3825</v>
      </c>
      <c r="S545" s="14" t="s">
        <v>195</v>
      </c>
      <c r="T545" s="14" t="s">
        <v>149</v>
      </c>
      <c r="U545" s="14" t="s">
        <v>113</v>
      </c>
      <c r="V545" s="48">
        <f>SUMIF(Data!$E:$E,$I545,Data!$AI:$AI)</f>
        <v>0</v>
      </c>
    </row>
    <row r="546" spans="1:22" x14ac:dyDescent="0.25">
      <c r="A546" s="47" t="s">
        <v>3144</v>
      </c>
      <c r="B546" s="47" t="s">
        <v>123</v>
      </c>
      <c r="C546" s="47" t="s">
        <v>3826</v>
      </c>
      <c r="D546" s="47">
        <v>0.44009999999999999</v>
      </c>
      <c r="E546" s="48">
        <f>SUMIF(Data!$E:$E,$C546,Data!$AI:$AI)</f>
        <v>0</v>
      </c>
      <c r="I546" s="14">
        <v>6702</v>
      </c>
      <c r="J546" s="14" t="s">
        <v>3827</v>
      </c>
      <c r="K546" s="14" t="s">
        <v>140</v>
      </c>
      <c r="L546" s="14" t="s">
        <v>3606</v>
      </c>
      <c r="M546" s="14" t="s">
        <v>3828</v>
      </c>
      <c r="N546" s="14">
        <v>99.959000000000003</v>
      </c>
      <c r="O546" s="14" t="s">
        <v>3829</v>
      </c>
      <c r="P546" s="14" t="s">
        <v>3830</v>
      </c>
      <c r="Q546" s="14" t="s">
        <v>146</v>
      </c>
      <c r="R546" s="14" t="s">
        <v>3831</v>
      </c>
      <c r="S546" s="14" t="s">
        <v>444</v>
      </c>
      <c r="T546" s="14" t="s">
        <v>445</v>
      </c>
      <c r="U546" s="14" t="s">
        <v>446</v>
      </c>
      <c r="V546" s="48">
        <f>SUMIF(Data!$E:$E,$I546,Data!$AI:$AI)</f>
        <v>0</v>
      </c>
    </row>
    <row r="547" spans="1:22" x14ac:dyDescent="0.25">
      <c r="A547" s="47" t="s">
        <v>3144</v>
      </c>
      <c r="B547" s="47" t="s">
        <v>123</v>
      </c>
      <c r="C547" s="47" t="s">
        <v>3832</v>
      </c>
      <c r="D547" s="47">
        <v>0.14280000000000001</v>
      </c>
      <c r="E547" s="48">
        <f>SUMIF(Data!$E:$E,$C547,Data!$AI:$AI)</f>
        <v>0</v>
      </c>
      <c r="I547" s="14" t="s">
        <v>3833</v>
      </c>
      <c r="J547" s="14" t="s">
        <v>3834</v>
      </c>
      <c r="K547" s="14" t="s">
        <v>140</v>
      </c>
      <c r="L547" s="14" t="s">
        <v>3606</v>
      </c>
      <c r="M547" s="14" t="s">
        <v>3835</v>
      </c>
      <c r="N547" s="14">
        <v>258.726</v>
      </c>
      <c r="O547" s="14" t="s">
        <v>3836</v>
      </c>
      <c r="P547" s="14" t="s">
        <v>3837</v>
      </c>
      <c r="Q547" s="14" t="s">
        <v>419</v>
      </c>
      <c r="R547" s="14" t="s">
        <v>3838</v>
      </c>
      <c r="S547" s="14" t="s">
        <v>563</v>
      </c>
      <c r="T547" s="14" t="s">
        <v>564</v>
      </c>
      <c r="U547" s="14" t="s">
        <v>528</v>
      </c>
      <c r="V547" s="48">
        <f>SUMIF(Data!$E:$E,$I547,Data!$AI:$AI)</f>
        <v>0</v>
      </c>
    </row>
    <row r="548" spans="1:22" x14ac:dyDescent="0.25">
      <c r="A548" s="47" t="s">
        <v>3144</v>
      </c>
      <c r="B548" s="47" t="s">
        <v>123</v>
      </c>
      <c r="C548" s="47" t="s">
        <v>3839</v>
      </c>
      <c r="D548" s="47">
        <v>0.27860000000000001</v>
      </c>
      <c r="E548" s="48">
        <f>SUMIF(Data!$E:$E,$C548,Data!$AI:$AI)</f>
        <v>0</v>
      </c>
      <c r="I548" s="14" t="s">
        <v>3840</v>
      </c>
      <c r="J548" s="14" t="s">
        <v>3841</v>
      </c>
      <c r="K548" s="14" t="s">
        <v>140</v>
      </c>
      <c r="L548" s="14" t="s">
        <v>3606</v>
      </c>
      <c r="M548" s="14" t="s">
        <v>407</v>
      </c>
      <c r="N548" s="14">
        <v>127.273</v>
      </c>
      <c r="O548" s="14" t="s">
        <v>3842</v>
      </c>
      <c r="P548" s="14" t="s">
        <v>3843</v>
      </c>
      <c r="Q548" s="14" t="s">
        <v>175</v>
      </c>
      <c r="R548" s="14" t="s">
        <v>3844</v>
      </c>
      <c r="S548" s="14" t="s">
        <v>195</v>
      </c>
      <c r="T548" s="14" t="s">
        <v>149</v>
      </c>
      <c r="U548" s="14" t="s">
        <v>113</v>
      </c>
      <c r="V548" s="48">
        <f>SUMIF(Data!$E:$E,$I548,Data!$AI:$AI)</f>
        <v>0</v>
      </c>
    </row>
    <row r="549" spans="1:22" x14ac:dyDescent="0.25">
      <c r="A549" s="47" t="s">
        <v>3144</v>
      </c>
      <c r="B549" s="47" t="s">
        <v>123</v>
      </c>
      <c r="C549" s="47" t="s">
        <v>3845</v>
      </c>
      <c r="D549" s="47">
        <v>0.51459999999999995</v>
      </c>
      <c r="E549" s="48">
        <f>SUMIF(Data!$E:$E,$C549,Data!$AI:$AI)</f>
        <v>0</v>
      </c>
      <c r="I549" s="14" t="s">
        <v>2854</v>
      </c>
      <c r="J549" s="14" t="s">
        <v>3846</v>
      </c>
      <c r="K549" s="14" t="s">
        <v>140</v>
      </c>
      <c r="L549" s="14" t="s">
        <v>3606</v>
      </c>
      <c r="M549" s="14" t="s">
        <v>3847</v>
      </c>
      <c r="N549" s="14">
        <v>261.86099999999999</v>
      </c>
      <c r="O549" s="14" t="s">
        <v>3848</v>
      </c>
      <c r="P549" s="14" t="s">
        <v>3849</v>
      </c>
      <c r="Q549" s="14" t="s">
        <v>263</v>
      </c>
      <c r="R549" s="14" t="s">
        <v>3850</v>
      </c>
      <c r="S549" s="14" t="s">
        <v>728</v>
      </c>
      <c r="T549" s="14" t="s">
        <v>729</v>
      </c>
      <c r="U549" s="14" t="s">
        <v>730</v>
      </c>
      <c r="V549" s="48">
        <f>SUMIF(Data!$E:$E,$I549,Data!$AI:$AI)</f>
        <v>0</v>
      </c>
    </row>
    <row r="550" spans="1:22" x14ac:dyDescent="0.25">
      <c r="A550" s="47" t="s">
        <v>3144</v>
      </c>
      <c r="B550" s="47" t="s">
        <v>123</v>
      </c>
      <c r="C550" s="47" t="s">
        <v>3851</v>
      </c>
      <c r="D550" s="47">
        <v>0.67879999999999996</v>
      </c>
      <c r="E550" s="48">
        <f>SUMIF(Data!$E:$E,$C550,Data!$AI:$AI)</f>
        <v>0</v>
      </c>
      <c r="I550" s="14" t="s">
        <v>3852</v>
      </c>
      <c r="J550" s="14" t="s">
        <v>3853</v>
      </c>
      <c r="K550" s="14" t="s">
        <v>140</v>
      </c>
      <c r="L550" s="14" t="s">
        <v>3606</v>
      </c>
      <c r="M550" s="14" t="s">
        <v>3854</v>
      </c>
      <c r="N550" s="14">
        <v>29.446000000000002</v>
      </c>
      <c r="O550" s="14" t="s">
        <v>3855</v>
      </c>
      <c r="P550" s="14" t="s">
        <v>3856</v>
      </c>
      <c r="Q550" s="14" t="s">
        <v>419</v>
      </c>
      <c r="R550" s="14" t="s">
        <v>3857</v>
      </c>
      <c r="S550" s="14" t="s">
        <v>195</v>
      </c>
      <c r="T550" s="14" t="s">
        <v>149</v>
      </c>
      <c r="U550" s="14" t="s">
        <v>113</v>
      </c>
      <c r="V550" s="48">
        <f>SUMIF(Data!$E:$E,$I550,Data!$AI:$AI)</f>
        <v>0</v>
      </c>
    </row>
    <row r="551" spans="1:22" x14ac:dyDescent="0.25">
      <c r="A551" s="47" t="s">
        <v>3144</v>
      </c>
      <c r="B551" s="47" t="s">
        <v>123</v>
      </c>
      <c r="C551" s="47" t="s">
        <v>3858</v>
      </c>
      <c r="D551" s="47">
        <v>0.48089999999999999</v>
      </c>
      <c r="E551" s="48">
        <f>SUMIF(Data!$E:$E,$C551,Data!$AI:$AI)</f>
        <v>0</v>
      </c>
      <c r="I551" s="14" t="s">
        <v>3859</v>
      </c>
      <c r="J551" s="14" t="s">
        <v>3860</v>
      </c>
      <c r="K551" s="14" t="s">
        <v>140</v>
      </c>
      <c r="L551" s="14" t="s">
        <v>3606</v>
      </c>
      <c r="M551" s="14" t="s">
        <v>3861</v>
      </c>
      <c r="N551" s="14">
        <v>147.81200000000001</v>
      </c>
      <c r="O551" s="14" t="s">
        <v>3862</v>
      </c>
      <c r="P551" s="14" t="s">
        <v>3863</v>
      </c>
      <c r="Q551" s="14" t="s">
        <v>146</v>
      </c>
      <c r="R551" s="14" t="s">
        <v>3864</v>
      </c>
      <c r="S551" s="14" t="s">
        <v>148</v>
      </c>
      <c r="T551" s="14" t="s">
        <v>149</v>
      </c>
      <c r="U551" s="14" t="s">
        <v>113</v>
      </c>
      <c r="V551" s="48">
        <f>SUMIF(Data!$E:$E,$I551,Data!$AI:$AI)</f>
        <v>0</v>
      </c>
    </row>
    <row r="552" spans="1:22" x14ac:dyDescent="0.25">
      <c r="A552" s="47" t="s">
        <v>3144</v>
      </c>
      <c r="B552" s="47" t="s">
        <v>123</v>
      </c>
      <c r="C552" s="47" t="s">
        <v>3865</v>
      </c>
      <c r="D552" s="47">
        <v>5.8299999999999998E-2</v>
      </c>
      <c r="E552" s="48">
        <f>SUMIF(Data!$E:$E,$C552,Data!$AI:$AI)</f>
        <v>0</v>
      </c>
      <c r="I552" s="14" t="s">
        <v>3866</v>
      </c>
      <c r="J552" s="14" t="s">
        <v>3867</v>
      </c>
      <c r="K552" s="14" t="s">
        <v>140</v>
      </c>
      <c r="L552" s="14" t="s">
        <v>3606</v>
      </c>
      <c r="M552" s="14" t="s">
        <v>3868</v>
      </c>
      <c r="N552" s="14">
        <v>310.96899999999999</v>
      </c>
      <c r="O552" s="14" t="s">
        <v>3869</v>
      </c>
      <c r="P552" s="14" t="s">
        <v>3870</v>
      </c>
      <c r="Q552" s="14" t="s">
        <v>227</v>
      </c>
      <c r="R552" s="14" t="s">
        <v>3871</v>
      </c>
      <c r="S552" s="14" t="s">
        <v>2931</v>
      </c>
      <c r="T552" s="14" t="s">
        <v>2932</v>
      </c>
      <c r="U552" s="14" t="s">
        <v>2933</v>
      </c>
      <c r="V552" s="48">
        <f>SUMIF(Data!$E:$E,$I552,Data!$AI:$AI)</f>
        <v>0</v>
      </c>
    </row>
    <row r="553" spans="1:22" x14ac:dyDescent="0.25">
      <c r="A553" s="47" t="s">
        <v>3144</v>
      </c>
      <c r="B553" s="47" t="s">
        <v>123</v>
      </c>
      <c r="C553" s="47" t="s">
        <v>3872</v>
      </c>
      <c r="D553" s="47">
        <v>0.34799999999999998</v>
      </c>
      <c r="E553" s="48">
        <f>SUMIF(Data!$E:$E,$C553,Data!$AI:$AI)</f>
        <v>0</v>
      </c>
      <c r="I553" s="14" t="s">
        <v>3873</v>
      </c>
      <c r="J553" s="14" t="s">
        <v>3874</v>
      </c>
      <c r="K553" s="14" t="s">
        <v>140</v>
      </c>
      <c r="L553" s="14" t="s">
        <v>3606</v>
      </c>
      <c r="M553" s="14" t="s">
        <v>3875</v>
      </c>
      <c r="N553" s="14">
        <v>99.747</v>
      </c>
      <c r="O553" s="14" t="s">
        <v>3876</v>
      </c>
      <c r="P553" s="14" t="s">
        <v>3877</v>
      </c>
      <c r="Q553" s="14" t="s">
        <v>146</v>
      </c>
      <c r="R553" s="14" t="s">
        <v>3878</v>
      </c>
      <c r="S553" s="14" t="s">
        <v>195</v>
      </c>
      <c r="T553" s="14" t="s">
        <v>149</v>
      </c>
      <c r="U553" s="14" t="s">
        <v>113</v>
      </c>
      <c r="V553" s="48">
        <f>SUMIF(Data!$E:$E,$I553,Data!$AI:$AI)</f>
        <v>0</v>
      </c>
    </row>
    <row r="554" spans="1:22" x14ac:dyDescent="0.25">
      <c r="A554" s="47" t="s">
        <v>3144</v>
      </c>
      <c r="B554" s="47" t="s">
        <v>123</v>
      </c>
      <c r="C554" s="47" t="s">
        <v>3879</v>
      </c>
      <c r="D554" s="47">
        <v>0.29680000000000001</v>
      </c>
      <c r="E554" s="48">
        <f>SUMIF(Data!$E:$E,$C554,Data!$AI:$AI)</f>
        <v>0</v>
      </c>
      <c r="I554" s="14" t="s">
        <v>3880</v>
      </c>
      <c r="J554" s="14" t="s">
        <v>3881</v>
      </c>
      <c r="K554" s="14" t="s">
        <v>140</v>
      </c>
      <c r="L554" s="14" t="s">
        <v>3606</v>
      </c>
      <c r="M554" s="14" t="s">
        <v>3882</v>
      </c>
      <c r="N554" s="14">
        <v>78.534999999999997</v>
      </c>
      <c r="O554" s="14" t="s">
        <v>3883</v>
      </c>
      <c r="P554" s="14" t="s">
        <v>3884</v>
      </c>
      <c r="Q554" s="14" t="s">
        <v>227</v>
      </c>
      <c r="R554" s="14" t="s">
        <v>3885</v>
      </c>
      <c r="S554" s="14" t="s">
        <v>2413</v>
      </c>
      <c r="T554" s="14" t="s">
        <v>1285</v>
      </c>
      <c r="U554" s="14" t="s">
        <v>528</v>
      </c>
      <c r="V554" s="48">
        <f>SUMIF(Data!$E:$E,$I554,Data!$AI:$AI)</f>
        <v>0</v>
      </c>
    </row>
    <row r="555" spans="1:22" x14ac:dyDescent="0.25">
      <c r="A555" s="47" t="s">
        <v>3144</v>
      </c>
      <c r="B555" s="47" t="s">
        <v>123</v>
      </c>
      <c r="C555" s="47" t="s">
        <v>3886</v>
      </c>
      <c r="D555" s="47">
        <v>0.19450000000000001</v>
      </c>
      <c r="E555" s="48">
        <f>SUMIF(Data!$E:$E,$C555,Data!$AI:$AI)</f>
        <v>0</v>
      </c>
      <c r="I555" s="14" t="s">
        <v>3887</v>
      </c>
      <c r="J555" s="14" t="s">
        <v>3888</v>
      </c>
      <c r="K555" s="14" t="s">
        <v>140</v>
      </c>
      <c r="L555" s="14" t="s">
        <v>3606</v>
      </c>
      <c r="M555" s="14" t="s">
        <v>3889</v>
      </c>
      <c r="N555" s="14">
        <v>33.106999999999999</v>
      </c>
      <c r="O555" s="14" t="s">
        <v>3890</v>
      </c>
      <c r="P555" s="14" t="s">
        <v>3891</v>
      </c>
      <c r="Q555" s="14" t="s">
        <v>809</v>
      </c>
      <c r="R555" s="14" t="s">
        <v>3892</v>
      </c>
      <c r="S555" s="14" t="s">
        <v>195</v>
      </c>
      <c r="T555" s="14" t="s">
        <v>149</v>
      </c>
      <c r="U555" s="14" t="s">
        <v>113</v>
      </c>
      <c r="V555" s="48">
        <f>SUMIF(Data!$E:$E,$I555,Data!$AI:$AI)</f>
        <v>0</v>
      </c>
    </row>
    <row r="556" spans="1:22" x14ac:dyDescent="0.25">
      <c r="A556" s="47" t="s">
        <v>3144</v>
      </c>
      <c r="B556" s="47" t="s">
        <v>123</v>
      </c>
      <c r="C556" s="47" t="s">
        <v>3893</v>
      </c>
      <c r="D556" s="47">
        <v>0.50329999999999997</v>
      </c>
      <c r="E556" s="48">
        <f>SUMIF(Data!$E:$E,$C556,Data!$AI:$AI)</f>
        <v>0</v>
      </c>
      <c r="I556" s="14" t="s">
        <v>3894</v>
      </c>
      <c r="J556" s="14" t="s">
        <v>3895</v>
      </c>
      <c r="K556" s="14" t="s">
        <v>140</v>
      </c>
      <c r="L556" s="14" t="s">
        <v>3606</v>
      </c>
      <c r="M556" s="14" t="s">
        <v>3896</v>
      </c>
      <c r="N556" s="14">
        <v>105.438</v>
      </c>
      <c r="O556" s="14" t="s">
        <v>3897</v>
      </c>
      <c r="P556" s="14" t="s">
        <v>3898</v>
      </c>
      <c r="Q556" s="14" t="s">
        <v>419</v>
      </c>
      <c r="R556" s="14" t="s">
        <v>3899</v>
      </c>
      <c r="S556" s="14" t="s">
        <v>771</v>
      </c>
      <c r="T556" s="14" t="s">
        <v>772</v>
      </c>
      <c r="U556" s="14" t="s">
        <v>773</v>
      </c>
      <c r="V556" s="48">
        <f>SUMIF(Data!$E:$E,$I556,Data!$AI:$AI)</f>
        <v>0</v>
      </c>
    </row>
    <row r="557" spans="1:22" x14ac:dyDescent="0.25">
      <c r="A557" s="47" t="s">
        <v>3144</v>
      </c>
      <c r="B557" s="47" t="s">
        <v>123</v>
      </c>
      <c r="C557" s="47" t="s">
        <v>3900</v>
      </c>
      <c r="D557" s="47">
        <v>8.1199999999999994E-2</v>
      </c>
      <c r="E557" s="48">
        <f>SUMIF(Data!$E:$E,$C557,Data!$AI:$AI)</f>
        <v>0</v>
      </c>
      <c r="I557" s="14" t="s">
        <v>3901</v>
      </c>
      <c r="J557" s="14" t="s">
        <v>3902</v>
      </c>
      <c r="K557" s="14" t="s">
        <v>140</v>
      </c>
      <c r="L557" s="14" t="s">
        <v>3606</v>
      </c>
      <c r="M557" s="14" t="s">
        <v>3903</v>
      </c>
      <c r="N557" s="14">
        <v>109.658</v>
      </c>
      <c r="O557" s="14" t="s">
        <v>3904</v>
      </c>
      <c r="P557" s="14" t="s">
        <v>3905</v>
      </c>
      <c r="Q557" s="14" t="s">
        <v>419</v>
      </c>
      <c r="R557" s="14" t="s">
        <v>3906</v>
      </c>
      <c r="S557" s="14" t="s">
        <v>195</v>
      </c>
      <c r="T557" s="14" t="s">
        <v>149</v>
      </c>
      <c r="U557" s="14" t="s">
        <v>113</v>
      </c>
      <c r="V557" s="48">
        <f>SUMIF(Data!$E:$E,$I557,Data!$AI:$AI)</f>
        <v>0.4435083799971119</v>
      </c>
    </row>
    <row r="558" spans="1:22" x14ac:dyDescent="0.25">
      <c r="A558" s="47" t="s">
        <v>3144</v>
      </c>
      <c r="B558" s="47" t="s">
        <v>123</v>
      </c>
      <c r="C558" s="47" t="s">
        <v>3907</v>
      </c>
      <c r="D558" s="47">
        <v>0.25359999999999999</v>
      </c>
      <c r="E558" s="48">
        <f>SUMIF(Data!$E:$E,$C558,Data!$AI:$AI)</f>
        <v>0</v>
      </c>
      <c r="I558" s="14" t="s">
        <v>3908</v>
      </c>
      <c r="J558" s="14" t="s">
        <v>3909</v>
      </c>
      <c r="K558" s="14" t="s">
        <v>140</v>
      </c>
      <c r="L558" s="14" t="s">
        <v>3606</v>
      </c>
      <c r="M558" s="14" t="s">
        <v>3910</v>
      </c>
      <c r="N558" s="14">
        <v>324.65899999999999</v>
      </c>
      <c r="O558" s="14" t="s">
        <v>3911</v>
      </c>
      <c r="P558" s="14" t="s">
        <v>3912</v>
      </c>
      <c r="Q558" s="14" t="s">
        <v>227</v>
      </c>
      <c r="R558" s="14" t="s">
        <v>3913</v>
      </c>
      <c r="S558" s="14" t="s">
        <v>148</v>
      </c>
      <c r="T558" s="14" t="s">
        <v>149</v>
      </c>
      <c r="U558" s="14" t="s">
        <v>113</v>
      </c>
      <c r="V558" s="48">
        <f>SUMIF(Data!$E:$E,$I558,Data!$AI:$AI)</f>
        <v>0</v>
      </c>
    </row>
    <row r="559" spans="1:22" x14ac:dyDescent="0.25">
      <c r="A559" s="47" t="s">
        <v>3144</v>
      </c>
      <c r="B559" s="47" t="s">
        <v>123</v>
      </c>
      <c r="C559" s="47" t="s">
        <v>3914</v>
      </c>
      <c r="D559" s="47">
        <v>0.24310000000000001</v>
      </c>
      <c r="E559" s="48">
        <f>SUMIF(Data!$E:$E,$C559,Data!$AI:$AI)</f>
        <v>0</v>
      </c>
      <c r="I559" s="14" t="s">
        <v>3915</v>
      </c>
      <c r="J559" s="14" t="s">
        <v>3916</v>
      </c>
      <c r="K559" s="14" t="s">
        <v>140</v>
      </c>
      <c r="L559" s="14" t="s">
        <v>3606</v>
      </c>
      <c r="M559" s="14" t="s">
        <v>3917</v>
      </c>
      <c r="N559" s="14">
        <v>186.91399999999999</v>
      </c>
      <c r="O559" s="14" t="s">
        <v>3918</v>
      </c>
      <c r="P559" s="14" t="s">
        <v>3919</v>
      </c>
      <c r="Q559" s="14" t="s">
        <v>165</v>
      </c>
      <c r="R559" s="14" t="s">
        <v>3920</v>
      </c>
      <c r="S559" s="14" t="s">
        <v>728</v>
      </c>
      <c r="T559" s="14" t="s">
        <v>729</v>
      </c>
      <c r="U559" s="14" t="s">
        <v>730</v>
      </c>
      <c r="V559" s="48">
        <f>SUMIF(Data!$E:$E,$I559,Data!$AI:$AI)</f>
        <v>0</v>
      </c>
    </row>
    <row r="560" spans="1:22" x14ac:dyDescent="0.25">
      <c r="A560" s="47" t="s">
        <v>3144</v>
      </c>
      <c r="B560" s="47" t="s">
        <v>123</v>
      </c>
      <c r="C560" s="47" t="s">
        <v>3921</v>
      </c>
      <c r="D560" s="47">
        <v>0.2409</v>
      </c>
      <c r="E560" s="48">
        <f>SUMIF(Data!$E:$E,$C560,Data!$AI:$AI)</f>
        <v>0</v>
      </c>
      <c r="I560" s="14" t="s">
        <v>3922</v>
      </c>
      <c r="J560" s="14" t="s">
        <v>3923</v>
      </c>
      <c r="K560" s="14" t="s">
        <v>140</v>
      </c>
      <c r="L560" s="14" t="s">
        <v>3606</v>
      </c>
      <c r="M560" s="14" t="s">
        <v>3924</v>
      </c>
      <c r="N560" s="14">
        <v>145.21899999999999</v>
      </c>
      <c r="O560" s="14" t="s">
        <v>3925</v>
      </c>
      <c r="P560" s="14" t="s">
        <v>3926</v>
      </c>
      <c r="Q560" s="14" t="s">
        <v>263</v>
      </c>
      <c r="R560" s="14" t="s">
        <v>3927</v>
      </c>
      <c r="S560" s="14" t="s">
        <v>195</v>
      </c>
      <c r="T560" s="14" t="s">
        <v>149</v>
      </c>
      <c r="U560" s="14" t="s">
        <v>113</v>
      </c>
      <c r="V560" s="48">
        <f>SUMIF(Data!$E:$E,$I560,Data!$AI:$AI)</f>
        <v>0</v>
      </c>
    </row>
    <row r="561" spans="1:22" x14ac:dyDescent="0.25">
      <c r="A561" s="47" t="s">
        <v>3144</v>
      </c>
      <c r="B561" s="47" t="s">
        <v>123</v>
      </c>
      <c r="C561" s="47" t="s">
        <v>3928</v>
      </c>
      <c r="D561" s="47">
        <v>0.50090000000000001</v>
      </c>
      <c r="E561" s="48">
        <f>SUMIF(Data!$E:$E,$C561,Data!$AI:$AI)</f>
        <v>0</v>
      </c>
      <c r="I561" s="14">
        <v>2</v>
      </c>
      <c r="J561" s="14" t="s">
        <v>3929</v>
      </c>
      <c r="K561" s="14" t="s">
        <v>140</v>
      </c>
      <c r="L561" s="14" t="s">
        <v>3606</v>
      </c>
      <c r="M561" s="14" t="s">
        <v>3930</v>
      </c>
      <c r="N561" s="14">
        <v>940.68899999999996</v>
      </c>
      <c r="O561" s="14" t="s">
        <v>3931</v>
      </c>
      <c r="P561" s="14" t="s">
        <v>3932</v>
      </c>
      <c r="Q561" s="14" t="s">
        <v>697</v>
      </c>
      <c r="R561" s="14" t="s">
        <v>3933</v>
      </c>
      <c r="S561" s="14" t="s">
        <v>552</v>
      </c>
      <c r="T561" s="14" t="s">
        <v>553</v>
      </c>
      <c r="U561" s="14" t="s">
        <v>554</v>
      </c>
      <c r="V561" s="48">
        <f>SUMIF(Data!$E:$E,$I561,Data!$AI:$AI)</f>
        <v>0</v>
      </c>
    </row>
    <row r="562" spans="1:22" x14ac:dyDescent="0.25">
      <c r="A562" s="47" t="s">
        <v>3144</v>
      </c>
      <c r="B562" s="47" t="s">
        <v>123</v>
      </c>
      <c r="C562" s="47" t="s">
        <v>3934</v>
      </c>
      <c r="D562" s="47">
        <v>0.36799999999999999</v>
      </c>
      <c r="E562" s="48">
        <f>SUMIF(Data!$E:$E,$C562,Data!$AI:$AI)</f>
        <v>0</v>
      </c>
      <c r="I562" s="14">
        <v>2503</v>
      </c>
      <c r="J562" s="14" t="s">
        <v>3935</v>
      </c>
      <c r="K562" s="14" t="s">
        <v>140</v>
      </c>
      <c r="L562" s="14" t="s">
        <v>3606</v>
      </c>
      <c r="M562" s="14" t="s">
        <v>3936</v>
      </c>
      <c r="N562" s="14">
        <v>453.16</v>
      </c>
      <c r="O562" s="14" t="s">
        <v>3937</v>
      </c>
      <c r="P562" s="14" t="s">
        <v>3938</v>
      </c>
      <c r="Q562" s="14" t="s">
        <v>227</v>
      </c>
      <c r="R562" s="14" t="s">
        <v>3939</v>
      </c>
      <c r="S562" s="14" t="s">
        <v>444</v>
      </c>
      <c r="T562" s="14" t="s">
        <v>445</v>
      </c>
      <c r="U562" s="14" t="s">
        <v>446</v>
      </c>
      <c r="V562" s="48">
        <f>SUMIF(Data!$E:$E,$I562,Data!$AI:$AI)</f>
        <v>0</v>
      </c>
    </row>
    <row r="563" spans="1:22" x14ac:dyDescent="0.25">
      <c r="A563" s="47" t="s">
        <v>3144</v>
      </c>
      <c r="B563" s="47" t="s">
        <v>123</v>
      </c>
      <c r="C563" s="47" t="s">
        <v>3940</v>
      </c>
      <c r="D563" s="47">
        <v>0.1203</v>
      </c>
      <c r="E563" s="48">
        <f>SUMIF(Data!$E:$E,$C563,Data!$AI:$AI)</f>
        <v>0</v>
      </c>
      <c r="I563" s="14" t="s">
        <v>3941</v>
      </c>
      <c r="J563" s="14" t="s">
        <v>3942</v>
      </c>
      <c r="K563" s="14" t="s">
        <v>140</v>
      </c>
      <c r="L563" s="14" t="s">
        <v>3606</v>
      </c>
      <c r="M563" s="14" t="s">
        <v>3943</v>
      </c>
      <c r="N563" s="14">
        <v>150.821</v>
      </c>
      <c r="O563" s="14" t="s">
        <v>3944</v>
      </c>
      <c r="P563" s="14" t="s">
        <v>3945</v>
      </c>
      <c r="Q563" s="14" t="s">
        <v>419</v>
      </c>
      <c r="R563" s="14" t="s">
        <v>3946</v>
      </c>
      <c r="S563" s="14" t="s">
        <v>3142</v>
      </c>
      <c r="T563" s="14" t="s">
        <v>3143</v>
      </c>
      <c r="U563" s="14" t="s">
        <v>528</v>
      </c>
      <c r="V563" s="48">
        <f>SUMIF(Data!$E:$E,$I563,Data!$AI:$AI)</f>
        <v>0</v>
      </c>
    </row>
    <row r="564" spans="1:22" x14ac:dyDescent="0.25">
      <c r="A564" s="47" t="s">
        <v>3144</v>
      </c>
      <c r="B564" s="47" t="s">
        <v>123</v>
      </c>
      <c r="C564" s="47" t="s">
        <v>3947</v>
      </c>
      <c r="D564" s="47">
        <v>0.13400000000000001</v>
      </c>
      <c r="E564" s="48">
        <f>SUMIF(Data!$E:$E,$C564,Data!$AI:$AI)</f>
        <v>0</v>
      </c>
      <c r="I564" s="14" t="s">
        <v>3948</v>
      </c>
      <c r="J564" s="14" t="s">
        <v>3949</v>
      </c>
      <c r="K564" s="14" t="s">
        <v>140</v>
      </c>
      <c r="L564" s="14" t="s">
        <v>3606</v>
      </c>
      <c r="M564" s="14" t="s">
        <v>3950</v>
      </c>
      <c r="N564" s="14">
        <v>29.446999999999999</v>
      </c>
      <c r="O564" s="14" t="s">
        <v>3951</v>
      </c>
      <c r="P564" s="14" t="s">
        <v>3952</v>
      </c>
      <c r="Q564" s="14" t="s">
        <v>211</v>
      </c>
      <c r="R564" s="14" t="s">
        <v>3953</v>
      </c>
      <c r="S564" s="14" t="s">
        <v>195</v>
      </c>
      <c r="T564" s="14" t="s">
        <v>149</v>
      </c>
      <c r="U564" s="14" t="s">
        <v>113</v>
      </c>
      <c r="V564" s="48">
        <f>SUMIF(Data!$E:$E,$I564,Data!$AI:$AI)</f>
        <v>0</v>
      </c>
    </row>
    <row r="565" spans="1:22" x14ac:dyDescent="0.25">
      <c r="A565" s="47" t="s">
        <v>3144</v>
      </c>
      <c r="B565" s="47" t="s">
        <v>123</v>
      </c>
      <c r="C565" s="47" t="s">
        <v>3954</v>
      </c>
      <c r="D565" s="47">
        <v>0.1542</v>
      </c>
      <c r="E565" s="48">
        <f>SUMIF(Data!$E:$E,$C565,Data!$AI:$AI)</f>
        <v>0</v>
      </c>
      <c r="I565" s="14" t="s">
        <v>3955</v>
      </c>
      <c r="J565" s="14" t="s">
        <v>3956</v>
      </c>
      <c r="K565" s="14" t="s">
        <v>140</v>
      </c>
      <c r="L565" s="14" t="s">
        <v>3606</v>
      </c>
      <c r="M565" s="14" t="s">
        <v>3957</v>
      </c>
      <c r="N565" s="14">
        <v>139.202</v>
      </c>
      <c r="O565" s="14" t="s">
        <v>3958</v>
      </c>
      <c r="P565" s="14" t="s">
        <v>3959</v>
      </c>
      <c r="Q565" s="14" t="s">
        <v>227</v>
      </c>
      <c r="R565" s="14" t="s">
        <v>3960</v>
      </c>
      <c r="S565" s="14" t="s">
        <v>195</v>
      </c>
      <c r="T565" s="14" t="s">
        <v>149</v>
      </c>
      <c r="U565" s="14" t="s">
        <v>113</v>
      </c>
      <c r="V565" s="48">
        <f>SUMIF(Data!$E:$E,$I565,Data!$AI:$AI)</f>
        <v>0</v>
      </c>
    </row>
    <row r="566" spans="1:22" x14ac:dyDescent="0.25">
      <c r="A566" s="47" t="s">
        <v>3144</v>
      </c>
      <c r="B566" s="47" t="s">
        <v>123</v>
      </c>
      <c r="C566" s="47" t="s">
        <v>3961</v>
      </c>
      <c r="D566" s="47">
        <v>0.34620000000000001</v>
      </c>
      <c r="E566" s="48">
        <f>SUMIF(Data!$E:$E,$C566,Data!$AI:$AI)</f>
        <v>0</v>
      </c>
      <c r="I566" s="14" t="s">
        <v>3962</v>
      </c>
      <c r="J566" s="14" t="s">
        <v>3963</v>
      </c>
      <c r="K566" s="14" t="s">
        <v>140</v>
      </c>
      <c r="L566" s="14" t="s">
        <v>3606</v>
      </c>
      <c r="M566" s="14" t="s">
        <v>3964</v>
      </c>
      <c r="N566" s="14">
        <v>19.484000000000002</v>
      </c>
      <c r="O566" s="14" t="s">
        <v>3965</v>
      </c>
      <c r="P566" s="14" t="s">
        <v>3966</v>
      </c>
      <c r="Q566" s="14" t="s">
        <v>193</v>
      </c>
      <c r="R566" s="14" t="s">
        <v>3967</v>
      </c>
      <c r="S566" s="14" t="s">
        <v>229</v>
      </c>
      <c r="T566" s="14" t="s">
        <v>230</v>
      </c>
      <c r="U566" s="14" t="s">
        <v>231</v>
      </c>
      <c r="V566" s="48">
        <f>SUMIF(Data!$E:$E,$I566,Data!$AI:$AI)</f>
        <v>0</v>
      </c>
    </row>
    <row r="567" spans="1:22" x14ac:dyDescent="0.25">
      <c r="A567" s="47" t="s">
        <v>3144</v>
      </c>
      <c r="B567" s="47" t="s">
        <v>123</v>
      </c>
      <c r="C567" s="47" t="s">
        <v>3968</v>
      </c>
      <c r="D567" s="47">
        <v>0.50800000000000001</v>
      </c>
      <c r="E567" s="48">
        <f>SUMIF(Data!$E:$E,$C567,Data!$AI:$AI)</f>
        <v>0</v>
      </c>
      <c r="I567" s="14" t="s">
        <v>3969</v>
      </c>
      <c r="J567" s="14" t="s">
        <v>3970</v>
      </c>
      <c r="K567" s="14" t="s">
        <v>140</v>
      </c>
      <c r="L567" s="14" t="s">
        <v>3606</v>
      </c>
      <c r="M567" s="14" t="s">
        <v>3971</v>
      </c>
      <c r="N567" s="14">
        <v>92.866</v>
      </c>
      <c r="O567" s="14" t="s">
        <v>3972</v>
      </c>
      <c r="P567" s="14" t="s">
        <v>3973</v>
      </c>
      <c r="Q567" s="14" t="s">
        <v>193</v>
      </c>
      <c r="R567" s="14" t="s">
        <v>3974</v>
      </c>
      <c r="S567" s="14" t="s">
        <v>148</v>
      </c>
      <c r="T567" s="14" t="s">
        <v>149</v>
      </c>
      <c r="U567" s="14" t="s">
        <v>113</v>
      </c>
      <c r="V567" s="48">
        <f>SUMIF(Data!$E:$E,$I567,Data!$AI:$AI)</f>
        <v>0</v>
      </c>
    </row>
    <row r="568" spans="1:22" x14ac:dyDescent="0.25">
      <c r="A568" s="47" t="s">
        <v>3144</v>
      </c>
      <c r="B568" s="47" t="s">
        <v>123</v>
      </c>
      <c r="C568" s="47" t="s">
        <v>3975</v>
      </c>
      <c r="D568" s="47">
        <v>0.40849999999999997</v>
      </c>
      <c r="E568" s="48">
        <f>SUMIF(Data!$E:$E,$C568,Data!$AI:$AI)</f>
        <v>0</v>
      </c>
      <c r="I568" s="14" t="s">
        <v>3976</v>
      </c>
      <c r="J568" s="14" t="s">
        <v>3977</v>
      </c>
      <c r="K568" s="14" t="s">
        <v>140</v>
      </c>
      <c r="L568" s="14" t="s">
        <v>3606</v>
      </c>
      <c r="M568" s="14" t="s">
        <v>3978</v>
      </c>
      <c r="N568" s="14">
        <v>73.385000000000005</v>
      </c>
      <c r="O568" s="14" t="s">
        <v>3979</v>
      </c>
      <c r="P568" s="14" t="s">
        <v>3980</v>
      </c>
      <c r="Q568" s="14" t="s">
        <v>809</v>
      </c>
      <c r="R568" s="14" t="s">
        <v>3981</v>
      </c>
      <c r="S568" s="14" t="s">
        <v>195</v>
      </c>
      <c r="T568" s="14" t="s">
        <v>149</v>
      </c>
      <c r="U568" s="14" t="s">
        <v>113</v>
      </c>
      <c r="V568" s="48">
        <f>SUMIF(Data!$E:$E,$I568,Data!$AI:$AI)</f>
        <v>0</v>
      </c>
    </row>
    <row r="569" spans="1:22" x14ac:dyDescent="0.25">
      <c r="A569" s="47" t="s">
        <v>3144</v>
      </c>
      <c r="B569" s="47" t="s">
        <v>123</v>
      </c>
      <c r="C569" s="47" t="s">
        <v>3982</v>
      </c>
      <c r="D569" s="47">
        <v>0.30740000000000001</v>
      </c>
      <c r="E569" s="48">
        <f>SUMIF(Data!$E:$E,$C569,Data!$AI:$AI)</f>
        <v>0</v>
      </c>
      <c r="I569" s="14" t="s">
        <v>3983</v>
      </c>
      <c r="J569" s="14" t="s">
        <v>3984</v>
      </c>
      <c r="K569" s="14" t="s">
        <v>140</v>
      </c>
      <c r="L569" s="14" t="s">
        <v>3606</v>
      </c>
      <c r="M569" s="14" t="s">
        <v>1072</v>
      </c>
      <c r="N569" s="14">
        <v>61.107999999999997</v>
      </c>
      <c r="O569" s="14" t="s">
        <v>3985</v>
      </c>
      <c r="P569" s="14" t="s">
        <v>3986</v>
      </c>
      <c r="Q569" s="14" t="s">
        <v>809</v>
      </c>
      <c r="R569" s="14" t="s">
        <v>3987</v>
      </c>
      <c r="S569" s="14" t="s">
        <v>195</v>
      </c>
      <c r="T569" s="14" t="s">
        <v>149</v>
      </c>
      <c r="U569" s="14" t="s">
        <v>113</v>
      </c>
      <c r="V569" s="48">
        <f>SUMIF(Data!$E:$E,$I569,Data!$AI:$AI)</f>
        <v>0</v>
      </c>
    </row>
    <row r="570" spans="1:22" x14ac:dyDescent="0.25">
      <c r="A570" s="47" t="s">
        <v>3144</v>
      </c>
      <c r="B570" s="47" t="s">
        <v>123</v>
      </c>
      <c r="C570" s="47" t="s">
        <v>3988</v>
      </c>
      <c r="D570" s="47">
        <v>0.2487</v>
      </c>
      <c r="E570" s="48">
        <f>SUMIF(Data!$E:$E,$C570,Data!$AI:$AI)</f>
        <v>0</v>
      </c>
      <c r="I570" s="14" t="s">
        <v>446</v>
      </c>
      <c r="J570" s="14" t="s">
        <v>3989</v>
      </c>
      <c r="K570" s="14" t="s">
        <v>758</v>
      </c>
      <c r="L570" s="14" t="s">
        <v>3606</v>
      </c>
      <c r="M570" s="14" t="s">
        <v>3990</v>
      </c>
      <c r="N570" s="14" t="s">
        <v>3991</v>
      </c>
      <c r="O570" s="14" t="s">
        <v>3992</v>
      </c>
      <c r="P570" s="14" t="s">
        <v>3993</v>
      </c>
      <c r="Q570" s="14" t="s">
        <v>762</v>
      </c>
      <c r="R570" s="14" t="s">
        <v>763</v>
      </c>
      <c r="S570" s="14" t="s">
        <v>763</v>
      </c>
      <c r="T570" s="14" t="s">
        <v>445</v>
      </c>
      <c r="U570" s="14" t="s">
        <v>446</v>
      </c>
      <c r="V570" s="48">
        <f>SUMIF(Data!$E:$E,$I570,Data!$AI:$AI)</f>
        <v>0</v>
      </c>
    </row>
    <row r="571" spans="1:22" x14ac:dyDescent="0.25">
      <c r="A571" s="47" t="s">
        <v>3144</v>
      </c>
      <c r="B571" s="47" t="s">
        <v>123</v>
      </c>
      <c r="C571" s="47" t="s">
        <v>3994</v>
      </c>
      <c r="D571" s="47">
        <v>0.54520000000000002</v>
      </c>
      <c r="E571" s="48">
        <f>SUMIF(Data!$E:$E,$C571,Data!$AI:$AI)</f>
        <v>0</v>
      </c>
      <c r="I571" s="14" t="s">
        <v>3995</v>
      </c>
      <c r="J571" s="14" t="s">
        <v>3996</v>
      </c>
      <c r="K571" s="14" t="s">
        <v>140</v>
      </c>
      <c r="L571" s="14" t="s">
        <v>3606</v>
      </c>
      <c r="M571" s="14" t="s">
        <v>3997</v>
      </c>
      <c r="N571" s="14">
        <v>83.878</v>
      </c>
      <c r="O571" s="14" t="s">
        <v>3998</v>
      </c>
      <c r="P571" s="14" t="s">
        <v>3999</v>
      </c>
      <c r="Q571" s="14" t="s">
        <v>193</v>
      </c>
      <c r="R571" s="14" t="s">
        <v>4000</v>
      </c>
      <c r="S571" s="14" t="s">
        <v>195</v>
      </c>
      <c r="T571" s="14" t="s">
        <v>149</v>
      </c>
      <c r="U571" s="14" t="s">
        <v>113</v>
      </c>
      <c r="V571" s="48">
        <f>SUMIF(Data!$E:$E,$I571,Data!$AI:$AI)</f>
        <v>0</v>
      </c>
    </row>
    <row r="572" spans="1:22" x14ac:dyDescent="0.25">
      <c r="A572" s="47" t="s">
        <v>3144</v>
      </c>
      <c r="B572" s="47" t="s">
        <v>123</v>
      </c>
      <c r="C572" s="47" t="s">
        <v>4001</v>
      </c>
      <c r="D572" s="47">
        <v>0.221</v>
      </c>
      <c r="E572" s="48">
        <f>SUMIF(Data!$E:$E,$C572,Data!$AI:$AI)</f>
        <v>0</v>
      </c>
      <c r="I572" s="14" t="s">
        <v>4002</v>
      </c>
      <c r="J572" s="14" t="s">
        <v>4003</v>
      </c>
      <c r="K572" s="14" t="s">
        <v>140</v>
      </c>
      <c r="L572" s="14" t="s">
        <v>3606</v>
      </c>
      <c r="M572" s="14" t="s">
        <v>4004</v>
      </c>
      <c r="N572" s="14">
        <v>82.796000000000006</v>
      </c>
      <c r="O572" s="14" t="s">
        <v>4005</v>
      </c>
      <c r="P572" s="14" t="s">
        <v>4006</v>
      </c>
      <c r="Q572" s="14" t="s">
        <v>419</v>
      </c>
      <c r="R572" s="14" t="s">
        <v>4007</v>
      </c>
      <c r="S572" s="14" t="s">
        <v>195</v>
      </c>
      <c r="T572" s="14" t="s">
        <v>149</v>
      </c>
      <c r="U572" s="14" t="s">
        <v>113</v>
      </c>
      <c r="V572" s="48">
        <f>SUMIF(Data!$E:$E,$I572,Data!$AI:$AI)</f>
        <v>0</v>
      </c>
    </row>
    <row r="573" spans="1:22" x14ac:dyDescent="0.25">
      <c r="A573" s="47" t="s">
        <v>3144</v>
      </c>
      <c r="B573" s="47" t="s">
        <v>123</v>
      </c>
      <c r="C573" s="47" t="s">
        <v>4008</v>
      </c>
      <c r="D573" s="47">
        <v>7.46E-2</v>
      </c>
      <c r="E573" s="48">
        <f>SUMIF(Data!$E:$E,$C573,Data!$AI:$AI)</f>
        <v>0</v>
      </c>
      <c r="I573" s="14" t="s">
        <v>4009</v>
      </c>
      <c r="J573" s="14" t="s">
        <v>4010</v>
      </c>
      <c r="K573" s="14" t="s">
        <v>140</v>
      </c>
      <c r="L573" s="14" t="s">
        <v>3606</v>
      </c>
      <c r="M573" s="14" t="s">
        <v>4011</v>
      </c>
      <c r="N573" s="14">
        <v>171.51900000000001</v>
      </c>
      <c r="O573" s="14" t="s">
        <v>4012</v>
      </c>
      <c r="P573" s="14" t="s">
        <v>4013</v>
      </c>
      <c r="Q573" s="14" t="s">
        <v>193</v>
      </c>
      <c r="R573" s="14" t="s">
        <v>4014</v>
      </c>
      <c r="S573" s="14" t="s">
        <v>148</v>
      </c>
      <c r="T573" s="14" t="s">
        <v>149</v>
      </c>
      <c r="U573" s="14" t="s">
        <v>113</v>
      </c>
      <c r="V573" s="48">
        <f>SUMIF(Data!$E:$E,$I573,Data!$AI:$AI)</f>
        <v>0</v>
      </c>
    </row>
    <row r="574" spans="1:22" x14ac:dyDescent="0.25">
      <c r="A574" s="47" t="s">
        <v>3144</v>
      </c>
      <c r="B574" s="47" t="s">
        <v>123</v>
      </c>
      <c r="C574" s="47" t="s">
        <v>4015</v>
      </c>
      <c r="D574" s="47">
        <v>0.1241</v>
      </c>
      <c r="E574" s="48">
        <f>SUMIF(Data!$E:$E,$C574,Data!$AI:$AI)</f>
        <v>0</v>
      </c>
      <c r="I574" s="14" t="s">
        <v>4016</v>
      </c>
      <c r="J574" s="14" t="s">
        <v>4017</v>
      </c>
      <c r="K574" s="14" t="s">
        <v>140</v>
      </c>
      <c r="L574" s="14" t="s">
        <v>3606</v>
      </c>
      <c r="M574" s="14" t="s">
        <v>4018</v>
      </c>
      <c r="N574" s="14">
        <v>100.023</v>
      </c>
      <c r="O574" s="14" t="s">
        <v>4019</v>
      </c>
      <c r="P574" s="14" t="s">
        <v>4020</v>
      </c>
      <c r="Q574" s="14" t="s">
        <v>193</v>
      </c>
      <c r="R574" s="14" t="s">
        <v>4021</v>
      </c>
      <c r="S574" s="14" t="s">
        <v>195</v>
      </c>
      <c r="T574" s="14" t="s">
        <v>149</v>
      </c>
      <c r="U574" s="14" t="s">
        <v>113</v>
      </c>
      <c r="V574" s="48">
        <f>SUMIF(Data!$E:$E,$I574,Data!$AI:$AI)</f>
        <v>0</v>
      </c>
    </row>
    <row r="575" spans="1:22" x14ac:dyDescent="0.25">
      <c r="A575" s="47" t="s">
        <v>3144</v>
      </c>
      <c r="B575" s="47" t="s">
        <v>123</v>
      </c>
      <c r="C575" s="47" t="s">
        <v>4022</v>
      </c>
      <c r="D575" s="47">
        <v>9.4500000000000001E-2</v>
      </c>
      <c r="E575" s="48">
        <f>SUMIF(Data!$E:$E,$C575,Data!$AI:$AI)</f>
        <v>0</v>
      </c>
      <c r="I575" s="14" t="s">
        <v>4023</v>
      </c>
      <c r="J575" s="14" t="s">
        <v>4024</v>
      </c>
      <c r="K575" s="14" t="s">
        <v>140</v>
      </c>
      <c r="L575" s="14" t="s">
        <v>3606</v>
      </c>
      <c r="M575" s="14" t="s">
        <v>4025</v>
      </c>
      <c r="N575" s="14">
        <v>512.40899999999999</v>
      </c>
      <c r="O575" s="14" t="s">
        <v>4026</v>
      </c>
      <c r="P575" s="14" t="s">
        <v>4027</v>
      </c>
      <c r="Q575" s="14" t="s">
        <v>697</v>
      </c>
      <c r="R575" s="14" t="s">
        <v>4028</v>
      </c>
      <c r="S575" s="14" t="s">
        <v>479</v>
      </c>
      <c r="T575" s="14" t="s">
        <v>480</v>
      </c>
      <c r="U575" s="14" t="s">
        <v>481</v>
      </c>
      <c r="V575" s="48">
        <f>SUMIF(Data!$E:$E,$I575,Data!$AI:$AI)</f>
        <v>0</v>
      </c>
    </row>
    <row r="576" spans="1:22" x14ac:dyDescent="0.25">
      <c r="A576" s="47" t="s">
        <v>3144</v>
      </c>
      <c r="B576" s="47" t="s">
        <v>123</v>
      </c>
      <c r="C576" s="47" t="s">
        <v>4029</v>
      </c>
      <c r="D576" s="47">
        <v>0.73450000000000004</v>
      </c>
      <c r="E576" s="48">
        <f>SUMIF(Data!$E:$E,$C576,Data!$AI:$AI)</f>
        <v>0</v>
      </c>
      <c r="I576" s="14" t="s">
        <v>4030</v>
      </c>
      <c r="J576" s="14" t="s">
        <v>4031</v>
      </c>
      <c r="K576" s="14" t="s">
        <v>140</v>
      </c>
      <c r="L576" s="14" t="s">
        <v>3606</v>
      </c>
      <c r="M576" s="14" t="s">
        <v>4032</v>
      </c>
      <c r="N576" s="14">
        <v>287.10300000000001</v>
      </c>
      <c r="O576" s="14" t="s">
        <v>4033</v>
      </c>
      <c r="P576" s="14" t="s">
        <v>4034</v>
      </c>
      <c r="Q576" s="14" t="s">
        <v>165</v>
      </c>
      <c r="R576" s="14" t="s">
        <v>4035</v>
      </c>
      <c r="S576" s="14" t="s">
        <v>195</v>
      </c>
      <c r="T576" s="14" t="s">
        <v>149</v>
      </c>
      <c r="U576" s="14" t="s">
        <v>113</v>
      </c>
      <c r="V576" s="48">
        <f>SUMIF(Data!$E:$E,$I576,Data!$AI:$AI)</f>
        <v>0</v>
      </c>
    </row>
    <row r="577" spans="1:22" x14ac:dyDescent="0.25">
      <c r="A577" s="47" t="s">
        <v>3144</v>
      </c>
      <c r="B577" s="47" t="s">
        <v>123</v>
      </c>
      <c r="C577" s="47">
        <v>2173052</v>
      </c>
      <c r="D577" s="47">
        <v>0.25209999999999999</v>
      </c>
      <c r="E577" s="48">
        <f>SUMIF(Data!$E:$E,$C577,Data!$AI:$AI)</f>
        <v>0</v>
      </c>
      <c r="I577" s="14">
        <v>4578</v>
      </c>
      <c r="J577" s="14" t="s">
        <v>4036</v>
      </c>
      <c r="K577" s="14" t="s">
        <v>140</v>
      </c>
      <c r="L577" s="14" t="s">
        <v>3606</v>
      </c>
      <c r="M577" s="14" t="s">
        <v>4037</v>
      </c>
      <c r="N577" s="14">
        <v>208.48599999999999</v>
      </c>
      <c r="O577" s="14" t="s">
        <v>4038</v>
      </c>
      <c r="P577" s="14" t="s">
        <v>4039</v>
      </c>
      <c r="Q577" s="14" t="s">
        <v>211</v>
      </c>
      <c r="R577" s="14" t="s">
        <v>4040</v>
      </c>
      <c r="S577" s="14" t="s">
        <v>444</v>
      </c>
      <c r="T577" s="14" t="s">
        <v>445</v>
      </c>
      <c r="U577" s="14" t="s">
        <v>446</v>
      </c>
      <c r="V577" s="48">
        <f>SUMIF(Data!$E:$E,$I577,Data!$AI:$AI)</f>
        <v>0</v>
      </c>
    </row>
    <row r="578" spans="1:22" x14ac:dyDescent="0.25">
      <c r="A578" s="47" t="s">
        <v>3144</v>
      </c>
      <c r="B578" s="47" t="s">
        <v>123</v>
      </c>
      <c r="C578" s="47">
        <v>2387701</v>
      </c>
      <c r="D578" s="47">
        <v>0.27800000000000002</v>
      </c>
      <c r="E578" s="48">
        <f>SUMIF(Data!$E:$E,$C578,Data!$AI:$AI)</f>
        <v>0</v>
      </c>
      <c r="I578" s="14" t="s">
        <v>4041</v>
      </c>
      <c r="J578" s="14" t="s">
        <v>4042</v>
      </c>
      <c r="K578" s="14" t="s">
        <v>140</v>
      </c>
      <c r="L578" s="14" t="s">
        <v>3606</v>
      </c>
      <c r="M578" s="14" t="s">
        <v>4043</v>
      </c>
      <c r="N578" s="14">
        <v>735.54700000000003</v>
      </c>
      <c r="O578" s="14" t="s">
        <v>4044</v>
      </c>
      <c r="P578" s="14" t="s">
        <v>4045</v>
      </c>
      <c r="Q578" s="14" t="s">
        <v>737</v>
      </c>
      <c r="R578" s="14" t="s">
        <v>4046</v>
      </c>
      <c r="S578" s="14" t="s">
        <v>195</v>
      </c>
      <c r="T578" s="14" t="s">
        <v>149</v>
      </c>
      <c r="U578" s="14" t="s">
        <v>113</v>
      </c>
      <c r="V578" s="48">
        <f>SUMIF(Data!$E:$E,$I578,Data!$AI:$AI)</f>
        <v>0</v>
      </c>
    </row>
    <row r="579" spans="1:22" x14ac:dyDescent="0.25">
      <c r="A579" s="47" t="s">
        <v>3144</v>
      </c>
      <c r="B579" s="47" t="s">
        <v>123</v>
      </c>
      <c r="C579" s="47" t="s">
        <v>4047</v>
      </c>
      <c r="D579" s="47">
        <v>0.46639999999999998</v>
      </c>
      <c r="E579" s="48">
        <f>SUMIF(Data!$E:$E,$C579,Data!$AI:$AI)</f>
        <v>0</v>
      </c>
      <c r="I579" s="14" t="s">
        <v>4048</v>
      </c>
      <c r="J579" s="14" t="s">
        <v>4049</v>
      </c>
      <c r="K579" s="14" t="s">
        <v>140</v>
      </c>
      <c r="L579" s="14" t="s">
        <v>3606</v>
      </c>
      <c r="M579" s="14" t="s">
        <v>4050</v>
      </c>
      <c r="N579" s="14">
        <v>140.803</v>
      </c>
      <c r="O579" s="14" t="s">
        <v>4051</v>
      </c>
      <c r="P579" s="14" t="s">
        <v>4052</v>
      </c>
      <c r="Q579" s="14" t="s">
        <v>227</v>
      </c>
      <c r="R579" s="14" t="s">
        <v>4053</v>
      </c>
      <c r="S579" s="14" t="s">
        <v>195</v>
      </c>
      <c r="T579" s="14" t="s">
        <v>149</v>
      </c>
      <c r="U579" s="14" t="s">
        <v>113</v>
      </c>
      <c r="V579" s="48">
        <f>SUMIF(Data!$E:$E,$I579,Data!$AI:$AI)</f>
        <v>0</v>
      </c>
    </row>
    <row r="580" spans="1:22" x14ac:dyDescent="0.25">
      <c r="A580" s="47" t="s">
        <v>3144</v>
      </c>
      <c r="B580" s="47" t="s">
        <v>123</v>
      </c>
      <c r="C580" s="47" t="s">
        <v>4054</v>
      </c>
      <c r="D580" s="47">
        <v>0.49419999999999997</v>
      </c>
      <c r="E580" s="48">
        <f>SUMIF(Data!$E:$E,$C580,Data!$AI:$AI)</f>
        <v>0</v>
      </c>
      <c r="I580" s="14" t="s">
        <v>4055</v>
      </c>
      <c r="J580" s="14" t="s">
        <v>4055</v>
      </c>
      <c r="K580" s="14" t="s">
        <v>140</v>
      </c>
      <c r="L580" s="14" t="s">
        <v>3606</v>
      </c>
      <c r="M580" s="14" t="s">
        <v>4056</v>
      </c>
      <c r="N580" s="14">
        <v>97.575999999999993</v>
      </c>
      <c r="O580" s="14" t="s">
        <v>4057</v>
      </c>
      <c r="P580" s="14" t="s">
        <v>4058</v>
      </c>
      <c r="Q580" s="14" t="s">
        <v>697</v>
      </c>
      <c r="R580" s="14" t="s">
        <v>4059</v>
      </c>
      <c r="S580" s="14" t="s">
        <v>771</v>
      </c>
      <c r="T580" s="14" t="s">
        <v>772</v>
      </c>
      <c r="U580" s="14" t="s">
        <v>773</v>
      </c>
      <c r="V580" s="48">
        <f>SUMIF(Data!$E:$E,$I580,Data!$AI:$AI)</f>
        <v>0</v>
      </c>
    </row>
    <row r="581" spans="1:22" x14ac:dyDescent="0.25">
      <c r="A581" s="47" t="s">
        <v>3144</v>
      </c>
      <c r="B581" s="47" t="s">
        <v>123</v>
      </c>
      <c r="C581" s="47" t="s">
        <v>4060</v>
      </c>
      <c r="D581" s="47">
        <v>0.4582</v>
      </c>
      <c r="E581" s="48">
        <f>SUMIF(Data!$E:$E,$C581,Data!$AI:$AI)</f>
        <v>0</v>
      </c>
      <c r="I581" s="14" t="s">
        <v>4061</v>
      </c>
      <c r="J581" s="14" t="s">
        <v>4062</v>
      </c>
      <c r="K581" s="14" t="s">
        <v>140</v>
      </c>
      <c r="L581" s="14" t="s">
        <v>3606</v>
      </c>
      <c r="M581" s="14" t="s">
        <v>4063</v>
      </c>
      <c r="N581" s="14">
        <v>193.65700000000001</v>
      </c>
      <c r="O581" s="14" t="s">
        <v>4064</v>
      </c>
      <c r="P581" s="14" t="s">
        <v>4065</v>
      </c>
      <c r="Q581" s="14" t="s">
        <v>165</v>
      </c>
      <c r="R581" s="14" t="s">
        <v>4066</v>
      </c>
      <c r="S581" s="14" t="s">
        <v>195</v>
      </c>
      <c r="T581" s="14" t="s">
        <v>149</v>
      </c>
      <c r="U581" s="14" t="s">
        <v>113</v>
      </c>
      <c r="V581" s="48">
        <f>SUMIF(Data!$E:$E,$I581,Data!$AI:$AI)</f>
        <v>0</v>
      </c>
    </row>
    <row r="582" spans="1:22" x14ac:dyDescent="0.25">
      <c r="A582" s="47" t="s">
        <v>3144</v>
      </c>
      <c r="B582" s="47" t="s">
        <v>123</v>
      </c>
      <c r="C582" s="47" t="s">
        <v>4067</v>
      </c>
      <c r="D582" s="47">
        <v>0.1123</v>
      </c>
      <c r="E582" s="48">
        <f>SUMIF(Data!$E:$E,$C582,Data!$AI:$AI)</f>
        <v>0</v>
      </c>
      <c r="I582" s="14" t="s">
        <v>4068</v>
      </c>
      <c r="J582" s="14" t="s">
        <v>4069</v>
      </c>
      <c r="K582" s="14" t="s">
        <v>140</v>
      </c>
      <c r="L582" s="14" t="s">
        <v>3606</v>
      </c>
      <c r="M582" s="14" t="s">
        <v>4070</v>
      </c>
      <c r="N582" s="14">
        <v>106.017</v>
      </c>
      <c r="O582" s="14" t="s">
        <v>4071</v>
      </c>
      <c r="P582" s="14" t="s">
        <v>4072</v>
      </c>
      <c r="Q582" s="14" t="s">
        <v>263</v>
      </c>
      <c r="R582" s="14" t="s">
        <v>4073</v>
      </c>
      <c r="S582" s="14" t="s">
        <v>195</v>
      </c>
      <c r="T582" s="14" t="s">
        <v>149</v>
      </c>
      <c r="U582" s="14" t="s">
        <v>113</v>
      </c>
      <c r="V582" s="48">
        <f>SUMIF(Data!$E:$E,$I582,Data!$AI:$AI)</f>
        <v>0</v>
      </c>
    </row>
    <row r="583" spans="1:22" x14ac:dyDescent="0.25">
      <c r="A583" s="47" t="s">
        <v>3144</v>
      </c>
      <c r="B583" s="47" t="s">
        <v>123</v>
      </c>
      <c r="C583" s="47" t="s">
        <v>4074</v>
      </c>
      <c r="D583" s="47">
        <v>2.3380999999999998</v>
      </c>
      <c r="E583" s="48">
        <f>SUMIF(Data!$E:$E,$C583,Data!$AI:$AI)</f>
        <v>0</v>
      </c>
      <c r="I583" s="14" t="s">
        <v>4075</v>
      </c>
      <c r="J583" s="14" t="s">
        <v>4076</v>
      </c>
      <c r="K583" s="14" t="s">
        <v>140</v>
      </c>
      <c r="L583" s="14" t="s">
        <v>3606</v>
      </c>
      <c r="M583" s="14" t="s">
        <v>4077</v>
      </c>
      <c r="N583" s="14">
        <v>10.026</v>
      </c>
      <c r="O583" s="14" t="s">
        <v>4078</v>
      </c>
      <c r="P583" s="14" t="s">
        <v>4079</v>
      </c>
      <c r="Q583" s="14" t="s">
        <v>193</v>
      </c>
      <c r="R583" s="14" t="s">
        <v>4080</v>
      </c>
      <c r="S583" s="14" t="s">
        <v>229</v>
      </c>
      <c r="T583" s="14" t="s">
        <v>230</v>
      </c>
      <c r="U583" s="14" t="s">
        <v>231</v>
      </c>
      <c r="V583" s="48">
        <f>SUMIF(Data!$E:$E,$I583,Data!$AI:$AI)</f>
        <v>0</v>
      </c>
    </row>
    <row r="584" spans="1:22" x14ac:dyDescent="0.25">
      <c r="A584" s="47" t="s">
        <v>3144</v>
      </c>
      <c r="B584" s="47" t="s">
        <v>123</v>
      </c>
      <c r="C584" s="47" t="s">
        <v>4081</v>
      </c>
      <c r="D584" s="47">
        <v>0.26219999999999999</v>
      </c>
      <c r="E584" s="48">
        <f>SUMIF(Data!$E:$E,$C584,Data!$AI:$AI)</f>
        <v>0</v>
      </c>
      <c r="I584" s="14" t="s">
        <v>4082</v>
      </c>
      <c r="J584" s="14" t="s">
        <v>4083</v>
      </c>
      <c r="K584" s="14" t="s">
        <v>140</v>
      </c>
      <c r="L584" s="14" t="s">
        <v>3606</v>
      </c>
      <c r="M584" s="14" t="s">
        <v>4084</v>
      </c>
      <c r="N584" s="14">
        <v>121.652</v>
      </c>
      <c r="O584" s="14" t="s">
        <v>4085</v>
      </c>
      <c r="P584" s="14" t="s">
        <v>4086</v>
      </c>
      <c r="Q584" s="14" t="s">
        <v>697</v>
      </c>
      <c r="R584" s="14" t="s">
        <v>4087</v>
      </c>
      <c r="S584" s="14" t="s">
        <v>195</v>
      </c>
      <c r="T584" s="14" t="s">
        <v>149</v>
      </c>
      <c r="U584" s="14" t="s">
        <v>113</v>
      </c>
      <c r="V584" s="48">
        <f>SUMIF(Data!$E:$E,$I584,Data!$AI:$AI)</f>
        <v>0</v>
      </c>
    </row>
    <row r="585" spans="1:22" x14ac:dyDescent="0.25">
      <c r="A585" s="47" t="s">
        <v>3144</v>
      </c>
      <c r="B585" s="47" t="s">
        <v>123</v>
      </c>
      <c r="C585" s="47">
        <v>4177988</v>
      </c>
      <c r="D585" s="47">
        <v>0.24560000000000001</v>
      </c>
      <c r="E585" s="48">
        <f>SUMIF(Data!$E:$E,$C585,Data!$AI:$AI)</f>
        <v>0</v>
      </c>
      <c r="I585" s="14">
        <v>8604</v>
      </c>
      <c r="J585" s="14" t="s">
        <v>4088</v>
      </c>
      <c r="K585" s="14" t="s">
        <v>140</v>
      </c>
      <c r="L585" s="14" t="s">
        <v>3606</v>
      </c>
      <c r="M585" s="14" t="s">
        <v>1214</v>
      </c>
      <c r="N585" s="14" t="s">
        <v>4089</v>
      </c>
      <c r="O585" s="14" t="s">
        <v>4090</v>
      </c>
      <c r="P585" s="14" t="s">
        <v>4091</v>
      </c>
      <c r="Q585" s="14" t="s">
        <v>193</v>
      </c>
      <c r="R585" s="14" t="s">
        <v>4092</v>
      </c>
      <c r="S585" s="14" t="s">
        <v>444</v>
      </c>
      <c r="T585" s="14" t="s">
        <v>445</v>
      </c>
      <c r="U585" s="14" t="s">
        <v>446</v>
      </c>
      <c r="V585" s="48">
        <f>SUMIF(Data!$E:$E,$I585,Data!$AI:$AI)</f>
        <v>0</v>
      </c>
    </row>
    <row r="586" spans="1:22" x14ac:dyDescent="0.25">
      <c r="A586" s="47" t="s">
        <v>3144</v>
      </c>
      <c r="B586" s="47" t="s">
        <v>123</v>
      </c>
      <c r="C586" s="47">
        <v>6127453</v>
      </c>
      <c r="D586" s="47">
        <v>0.1084</v>
      </c>
      <c r="E586" s="48">
        <f>SUMIF(Data!$E:$E,$C586,Data!$AI:$AI)</f>
        <v>0</v>
      </c>
      <c r="I586" s="14" t="s">
        <v>4093</v>
      </c>
      <c r="J586" s="14" t="s">
        <v>4094</v>
      </c>
      <c r="K586" s="14" t="s">
        <v>140</v>
      </c>
      <c r="L586" s="14" t="s">
        <v>3606</v>
      </c>
      <c r="M586" s="14" t="s">
        <v>4095</v>
      </c>
      <c r="N586" s="14">
        <v>123.955</v>
      </c>
      <c r="O586" s="14" t="s">
        <v>4096</v>
      </c>
      <c r="P586" s="14" t="s">
        <v>4097</v>
      </c>
      <c r="Q586" s="14" t="s">
        <v>193</v>
      </c>
      <c r="R586" s="14" t="s">
        <v>4098</v>
      </c>
      <c r="S586" s="14" t="s">
        <v>1277</v>
      </c>
      <c r="T586" s="14" t="s">
        <v>1278</v>
      </c>
      <c r="U586" s="14" t="s">
        <v>528</v>
      </c>
      <c r="V586" s="48">
        <f>SUMIF(Data!$E:$E,$I586,Data!$AI:$AI)</f>
        <v>0</v>
      </c>
    </row>
    <row r="587" spans="1:22" x14ac:dyDescent="0.25">
      <c r="A587" s="47" t="s">
        <v>3144</v>
      </c>
      <c r="B587" s="47" t="s">
        <v>123</v>
      </c>
      <c r="C587" s="47">
        <v>6205694</v>
      </c>
      <c r="D587" s="47">
        <v>0.16300000000000001</v>
      </c>
      <c r="E587" s="48">
        <f>SUMIF(Data!$E:$E,$C587,Data!$AI:$AI)</f>
        <v>0</v>
      </c>
      <c r="I587" s="14">
        <v>9735</v>
      </c>
      <c r="J587" s="14" t="s">
        <v>4099</v>
      </c>
      <c r="K587" s="14" t="s">
        <v>140</v>
      </c>
      <c r="L587" s="14" t="s">
        <v>3606</v>
      </c>
      <c r="M587" s="14" t="s">
        <v>3201</v>
      </c>
      <c r="N587" s="14">
        <v>104.24299999999999</v>
      </c>
      <c r="O587" s="14" t="s">
        <v>4100</v>
      </c>
      <c r="P587" s="14" t="s">
        <v>4101</v>
      </c>
      <c r="Q587" s="14" t="s">
        <v>419</v>
      </c>
      <c r="R587" s="14" t="s">
        <v>4102</v>
      </c>
      <c r="S587" s="14" t="s">
        <v>444</v>
      </c>
      <c r="T587" s="14" t="s">
        <v>445</v>
      </c>
      <c r="U587" s="14" t="s">
        <v>446</v>
      </c>
      <c r="V587" s="48">
        <f>SUMIF(Data!$E:$E,$I587,Data!$AI:$AI)</f>
        <v>0</v>
      </c>
    </row>
    <row r="588" spans="1:22" x14ac:dyDescent="0.25">
      <c r="A588" s="47" t="s">
        <v>3144</v>
      </c>
      <c r="B588" s="47" t="s">
        <v>123</v>
      </c>
      <c r="C588" s="47">
        <v>6225595</v>
      </c>
      <c r="D588" s="47">
        <v>0.1002</v>
      </c>
      <c r="E588" s="48">
        <f>SUMIF(Data!$E:$E,$C588,Data!$AI:$AI)</f>
        <v>0</v>
      </c>
      <c r="I588" s="14">
        <v>2413</v>
      </c>
      <c r="J588" s="14" t="s">
        <v>4103</v>
      </c>
      <c r="K588" s="14" t="s">
        <v>140</v>
      </c>
      <c r="L588" s="14" t="s">
        <v>3606</v>
      </c>
      <c r="M588" s="14" t="s">
        <v>4104</v>
      </c>
      <c r="N588" s="14">
        <v>296.8</v>
      </c>
      <c r="O588" s="14" t="s">
        <v>4105</v>
      </c>
      <c r="P588" s="14" t="s">
        <v>4106</v>
      </c>
      <c r="Q588" s="14" t="s">
        <v>211</v>
      </c>
      <c r="R588" s="14" t="s">
        <v>4107</v>
      </c>
      <c r="S588" s="14" t="s">
        <v>444</v>
      </c>
      <c r="T588" s="14" t="s">
        <v>445</v>
      </c>
      <c r="U588" s="14" t="s">
        <v>446</v>
      </c>
      <c r="V588" s="48">
        <f>SUMIF(Data!$E:$E,$I588,Data!$AI:$AI)</f>
        <v>0</v>
      </c>
    </row>
    <row r="589" spans="1:22" x14ac:dyDescent="0.25">
      <c r="A589" s="47" t="s">
        <v>3144</v>
      </c>
      <c r="B589" s="47" t="s">
        <v>123</v>
      </c>
      <c r="C589" s="47">
        <v>6527774</v>
      </c>
      <c r="D589" s="47">
        <v>0.35210000000000002</v>
      </c>
      <c r="E589" s="48">
        <f>SUMIF(Data!$E:$E,$C589,Data!$AI:$AI)</f>
        <v>0</v>
      </c>
      <c r="I589" s="14" t="s">
        <v>4108</v>
      </c>
      <c r="J589" s="14" t="s">
        <v>4109</v>
      </c>
      <c r="K589" s="14" t="s">
        <v>140</v>
      </c>
      <c r="L589" s="14" t="s">
        <v>3606</v>
      </c>
      <c r="M589" s="14" t="s">
        <v>4110</v>
      </c>
      <c r="N589" s="14" t="s">
        <v>4111</v>
      </c>
      <c r="O589" s="14" t="s">
        <v>4112</v>
      </c>
      <c r="P589" s="14" t="s">
        <v>4113</v>
      </c>
      <c r="Q589" s="14" t="s">
        <v>809</v>
      </c>
      <c r="R589" s="14" t="s">
        <v>4114</v>
      </c>
      <c r="S589" s="14" t="s">
        <v>850</v>
      </c>
      <c r="T589" s="14" t="s">
        <v>851</v>
      </c>
      <c r="U589" s="14" t="s">
        <v>852</v>
      </c>
      <c r="V589" s="48">
        <f>SUMIF(Data!$E:$E,$I589,Data!$AI:$AI)</f>
        <v>0</v>
      </c>
    </row>
    <row r="590" spans="1:22" x14ac:dyDescent="0.25">
      <c r="A590" s="47" t="s">
        <v>3144</v>
      </c>
      <c r="B590" s="47" t="s">
        <v>123</v>
      </c>
      <c r="C590" s="47">
        <v>6543800</v>
      </c>
      <c r="D590" s="47">
        <v>0.1135</v>
      </c>
      <c r="E590" s="48">
        <f>SUMIF(Data!$E:$E,$C590,Data!$AI:$AI)</f>
        <v>0</v>
      </c>
      <c r="I590" s="14" t="s">
        <v>4115</v>
      </c>
      <c r="J590" s="14" t="s">
        <v>4116</v>
      </c>
      <c r="K590" s="14" t="s">
        <v>140</v>
      </c>
      <c r="L590" s="14" t="s">
        <v>3606</v>
      </c>
      <c r="M590" s="14" t="s">
        <v>4117</v>
      </c>
      <c r="N590" s="14">
        <v>144.13499999999999</v>
      </c>
      <c r="O590" s="14" t="s">
        <v>4118</v>
      </c>
      <c r="P590" s="14" t="s">
        <v>4119</v>
      </c>
      <c r="Q590" s="14" t="s">
        <v>697</v>
      </c>
      <c r="R590" s="14" t="s">
        <v>4120</v>
      </c>
      <c r="S590" s="14" t="s">
        <v>195</v>
      </c>
      <c r="T590" s="14" t="s">
        <v>149</v>
      </c>
      <c r="U590" s="14" t="s">
        <v>113</v>
      </c>
      <c r="V590" s="48">
        <f>SUMIF(Data!$E:$E,$I590,Data!$AI:$AI)</f>
        <v>0</v>
      </c>
    </row>
    <row r="591" spans="1:22" x14ac:dyDescent="0.25">
      <c r="A591" s="47" t="s">
        <v>3144</v>
      </c>
      <c r="B591" s="47" t="s">
        <v>123</v>
      </c>
      <c r="C591" s="47">
        <v>6729558</v>
      </c>
      <c r="D591" s="47">
        <v>0.13150000000000001</v>
      </c>
      <c r="E591" s="48">
        <f>SUMIF(Data!$E:$E,$C591,Data!$AI:$AI)</f>
        <v>0</v>
      </c>
      <c r="I591" s="14" t="s">
        <v>4121</v>
      </c>
      <c r="J591" s="14" t="s">
        <v>4122</v>
      </c>
      <c r="K591" s="14" t="s">
        <v>140</v>
      </c>
      <c r="L591" s="14" t="s">
        <v>3606</v>
      </c>
      <c r="M591" s="14" t="s">
        <v>4123</v>
      </c>
      <c r="N591" s="14">
        <v>958.19299999999998</v>
      </c>
      <c r="O591" s="14" t="s">
        <v>4124</v>
      </c>
      <c r="P591" s="14" t="s">
        <v>4125</v>
      </c>
      <c r="Q591" s="14" t="s">
        <v>809</v>
      </c>
      <c r="R591" s="14" t="s">
        <v>4126</v>
      </c>
      <c r="S591" s="14" t="s">
        <v>850</v>
      </c>
      <c r="T591" s="14" t="s">
        <v>851</v>
      </c>
      <c r="U591" s="14" t="s">
        <v>852</v>
      </c>
      <c r="V591" s="48">
        <f>SUMIF(Data!$E:$E,$I591,Data!$AI:$AI)</f>
        <v>0</v>
      </c>
    </row>
    <row r="592" spans="1:22" x14ac:dyDescent="0.25">
      <c r="A592" s="47" t="s">
        <v>3144</v>
      </c>
      <c r="B592" s="47" t="s">
        <v>123</v>
      </c>
      <c r="C592" s="47" t="s">
        <v>4127</v>
      </c>
      <c r="D592" s="47">
        <v>0.16450000000000001</v>
      </c>
      <c r="E592" s="48">
        <f>SUMIF(Data!$E:$E,$C592,Data!$AI:$AI)</f>
        <v>0</v>
      </c>
      <c r="I592" s="14" t="s">
        <v>4128</v>
      </c>
      <c r="J592" s="14" t="s">
        <v>4129</v>
      </c>
      <c r="K592" s="14" t="s">
        <v>140</v>
      </c>
      <c r="L592" s="14" t="s">
        <v>3606</v>
      </c>
      <c r="M592" s="14" t="s">
        <v>4130</v>
      </c>
      <c r="N592" s="14">
        <v>476.39699999999999</v>
      </c>
      <c r="O592" s="14" t="s">
        <v>4131</v>
      </c>
      <c r="P592" s="14" t="s">
        <v>4132</v>
      </c>
      <c r="Q592" s="14" t="s">
        <v>165</v>
      </c>
      <c r="R592" s="14" t="s">
        <v>4133</v>
      </c>
      <c r="S592" s="14" t="s">
        <v>2931</v>
      </c>
      <c r="T592" s="14" t="s">
        <v>2932</v>
      </c>
      <c r="U592" s="14" t="s">
        <v>2933</v>
      </c>
      <c r="V592" s="48">
        <f>SUMIF(Data!$E:$E,$I592,Data!$AI:$AI)</f>
        <v>0</v>
      </c>
    </row>
    <row r="593" spans="1:22" x14ac:dyDescent="0.25">
      <c r="A593" s="47" t="s">
        <v>3144</v>
      </c>
      <c r="B593" s="47" t="s">
        <v>123</v>
      </c>
      <c r="C593" s="47" t="s">
        <v>4134</v>
      </c>
      <c r="D593" s="47">
        <v>0.15790000000000001</v>
      </c>
      <c r="E593" s="48">
        <f>SUMIF(Data!$E:$E,$C593,Data!$AI:$AI)</f>
        <v>0</v>
      </c>
      <c r="I593" s="14" t="s">
        <v>4135</v>
      </c>
      <c r="J593" s="14" t="s">
        <v>4136</v>
      </c>
      <c r="K593" s="14" t="s">
        <v>140</v>
      </c>
      <c r="L593" s="14" t="s">
        <v>3606</v>
      </c>
      <c r="M593" s="14" t="s">
        <v>4137</v>
      </c>
      <c r="N593" s="14">
        <v>300.58600000000001</v>
      </c>
      <c r="O593" s="14" t="s">
        <v>4138</v>
      </c>
      <c r="P593" s="14" t="s">
        <v>4139</v>
      </c>
      <c r="Q593" s="14" t="s">
        <v>419</v>
      </c>
      <c r="R593" s="14" t="s">
        <v>4140</v>
      </c>
      <c r="S593" s="14" t="s">
        <v>1167</v>
      </c>
      <c r="T593" s="14" t="s">
        <v>1168</v>
      </c>
      <c r="U593" s="14" t="s">
        <v>528</v>
      </c>
      <c r="V593" s="48">
        <f>SUMIF(Data!$E:$E,$I593,Data!$AI:$AI)</f>
        <v>0</v>
      </c>
    </row>
    <row r="594" spans="1:22" x14ac:dyDescent="0.25">
      <c r="A594" s="47" t="s">
        <v>3144</v>
      </c>
      <c r="B594" s="47" t="s">
        <v>123</v>
      </c>
      <c r="C594" s="47" t="s">
        <v>4141</v>
      </c>
      <c r="D594" s="47">
        <v>0.2094</v>
      </c>
      <c r="E594" s="48">
        <f>SUMIF(Data!$E:$E,$C594,Data!$AI:$AI)</f>
        <v>0</v>
      </c>
      <c r="I594" s="14" t="s">
        <v>4142</v>
      </c>
      <c r="J594" s="14" t="s">
        <v>4143</v>
      </c>
      <c r="K594" s="14" t="s">
        <v>140</v>
      </c>
      <c r="L594" s="14" t="s">
        <v>3606</v>
      </c>
      <c r="M594" s="14" t="s">
        <v>4144</v>
      </c>
      <c r="N594" s="14">
        <v>186.43600000000001</v>
      </c>
      <c r="O594" s="14" t="s">
        <v>4145</v>
      </c>
      <c r="P594" s="14" t="s">
        <v>4146</v>
      </c>
      <c r="Q594" s="14" t="s">
        <v>175</v>
      </c>
      <c r="R594" s="14" t="s">
        <v>4147</v>
      </c>
      <c r="S594" s="14" t="s">
        <v>728</v>
      </c>
      <c r="T594" s="14" t="s">
        <v>729</v>
      </c>
      <c r="U594" s="14" t="s">
        <v>730</v>
      </c>
      <c r="V594" s="48">
        <f>SUMIF(Data!$E:$E,$I594,Data!$AI:$AI)</f>
        <v>0</v>
      </c>
    </row>
    <row r="595" spans="1:22" x14ac:dyDescent="0.25">
      <c r="A595" s="47" t="s">
        <v>3144</v>
      </c>
      <c r="B595" s="47" t="s">
        <v>123</v>
      </c>
      <c r="C595" s="47" t="s">
        <v>4148</v>
      </c>
      <c r="D595" s="47">
        <v>0.14680000000000001</v>
      </c>
      <c r="E595" s="48">
        <f>SUMIF(Data!$E:$E,$C595,Data!$AI:$AI)</f>
        <v>0</v>
      </c>
      <c r="I595" s="14">
        <v>1925</v>
      </c>
      <c r="J595" s="14" t="s">
        <v>4149</v>
      </c>
      <c r="K595" s="14" t="s">
        <v>140</v>
      </c>
      <c r="L595" s="14" t="s">
        <v>3606</v>
      </c>
      <c r="M595" s="14" t="s">
        <v>4150</v>
      </c>
      <c r="N595" s="14">
        <v>297.15199999999999</v>
      </c>
      <c r="O595" s="14" t="s">
        <v>4151</v>
      </c>
      <c r="P595" s="14" t="s">
        <v>4152</v>
      </c>
      <c r="Q595" s="14" t="s">
        <v>809</v>
      </c>
      <c r="R595" s="14" t="s">
        <v>4153</v>
      </c>
      <c r="S595" s="14" t="s">
        <v>444</v>
      </c>
      <c r="T595" s="14" t="s">
        <v>445</v>
      </c>
      <c r="U595" s="14" t="s">
        <v>446</v>
      </c>
      <c r="V595" s="48">
        <f>SUMIF(Data!$E:$E,$I595,Data!$AI:$AI)</f>
        <v>0</v>
      </c>
    </row>
    <row r="596" spans="1:22" x14ac:dyDescent="0.25">
      <c r="A596" s="47" t="s">
        <v>3144</v>
      </c>
      <c r="B596" s="47" t="s">
        <v>123</v>
      </c>
      <c r="C596" s="47" t="s">
        <v>4154</v>
      </c>
      <c r="D596" s="47">
        <v>0.32800000000000001</v>
      </c>
      <c r="E596" s="48">
        <f>SUMIF(Data!$E:$E,$C596,Data!$AI:$AI)</f>
        <v>0</v>
      </c>
      <c r="I596" s="14">
        <v>2502</v>
      </c>
      <c r="J596" s="14" t="s">
        <v>4155</v>
      </c>
      <c r="K596" s="14" t="s">
        <v>140</v>
      </c>
      <c r="L596" s="14" t="s">
        <v>3606</v>
      </c>
      <c r="M596" s="14" t="s">
        <v>4156</v>
      </c>
      <c r="N596" s="14">
        <v>203.66200000000001</v>
      </c>
      <c r="O596" s="14" t="s">
        <v>4157</v>
      </c>
      <c r="P596" s="14" t="s">
        <v>4158</v>
      </c>
      <c r="Q596" s="14" t="s">
        <v>227</v>
      </c>
      <c r="R596" s="14" t="s">
        <v>4159</v>
      </c>
      <c r="S596" s="14" t="s">
        <v>444</v>
      </c>
      <c r="T596" s="14" t="s">
        <v>445</v>
      </c>
      <c r="U596" s="14" t="s">
        <v>446</v>
      </c>
      <c r="V596" s="48">
        <f>SUMIF(Data!$E:$E,$I596,Data!$AI:$AI)</f>
        <v>0</v>
      </c>
    </row>
    <row r="597" spans="1:22" x14ac:dyDescent="0.25">
      <c r="A597" s="47" t="s">
        <v>3144</v>
      </c>
      <c r="B597" s="47" t="s">
        <v>123</v>
      </c>
      <c r="C597" s="47" t="s">
        <v>4160</v>
      </c>
      <c r="D597" s="47">
        <v>0.13800000000000001</v>
      </c>
      <c r="E597" s="48">
        <f>SUMIF(Data!$E:$E,$C597,Data!$AI:$AI)</f>
        <v>0</v>
      </c>
      <c r="I597" s="14" t="s">
        <v>4161</v>
      </c>
      <c r="J597" s="14" t="s">
        <v>4162</v>
      </c>
      <c r="K597" s="14" t="s">
        <v>140</v>
      </c>
      <c r="L597" s="14" t="s">
        <v>3606</v>
      </c>
      <c r="M597" s="14" t="s">
        <v>4163</v>
      </c>
      <c r="N597" s="14">
        <v>166.05699999999999</v>
      </c>
      <c r="O597" s="14" t="s">
        <v>4164</v>
      </c>
      <c r="P597" s="14" t="s">
        <v>4165</v>
      </c>
      <c r="Q597" s="14" t="s">
        <v>193</v>
      </c>
      <c r="R597" s="14" t="s">
        <v>4166</v>
      </c>
      <c r="S597" s="14" t="s">
        <v>728</v>
      </c>
      <c r="T597" s="14" t="s">
        <v>729</v>
      </c>
      <c r="U597" s="14" t="s">
        <v>730</v>
      </c>
      <c r="V597" s="48">
        <f>SUMIF(Data!$E:$E,$I597,Data!$AI:$AI)</f>
        <v>0</v>
      </c>
    </row>
    <row r="598" spans="1:22" x14ac:dyDescent="0.25">
      <c r="A598" s="47" t="s">
        <v>3144</v>
      </c>
      <c r="B598" s="47" t="s">
        <v>123</v>
      </c>
      <c r="C598" s="47" t="s">
        <v>4167</v>
      </c>
      <c r="D598" s="47">
        <v>0.16200000000000001</v>
      </c>
      <c r="E598" s="48">
        <f>SUMIF(Data!$E:$E,$C598,Data!$AI:$AI)</f>
        <v>0</v>
      </c>
      <c r="I598" s="14" t="s">
        <v>4168</v>
      </c>
      <c r="J598" s="14" t="s">
        <v>4169</v>
      </c>
      <c r="K598" s="14" t="s">
        <v>140</v>
      </c>
      <c r="L598" s="14" t="s">
        <v>3606</v>
      </c>
      <c r="M598" s="14" t="s">
        <v>4170</v>
      </c>
      <c r="N598" s="14">
        <v>132.59700000000001</v>
      </c>
      <c r="O598" s="14" t="s">
        <v>4171</v>
      </c>
      <c r="P598" s="14" t="s">
        <v>4172</v>
      </c>
      <c r="Q598" s="14" t="s">
        <v>227</v>
      </c>
      <c r="R598" s="14" t="s">
        <v>4173</v>
      </c>
      <c r="S598" s="14" t="s">
        <v>195</v>
      </c>
      <c r="T598" s="14" t="s">
        <v>149</v>
      </c>
      <c r="U598" s="14" t="s">
        <v>113</v>
      </c>
      <c r="V598" s="48">
        <f>SUMIF(Data!$E:$E,$I598,Data!$AI:$AI)</f>
        <v>0</v>
      </c>
    </row>
    <row r="599" spans="1:22" x14ac:dyDescent="0.25">
      <c r="A599" s="47" t="s">
        <v>3144</v>
      </c>
      <c r="B599" s="47" t="s">
        <v>123</v>
      </c>
      <c r="C599" s="47" t="s">
        <v>4174</v>
      </c>
      <c r="D599" s="47">
        <v>0.1643</v>
      </c>
      <c r="E599" s="48">
        <f>SUMIF(Data!$E:$E,$C599,Data!$AI:$AI)</f>
        <v>0</v>
      </c>
      <c r="I599" s="14" t="s">
        <v>4175</v>
      </c>
      <c r="J599" s="14" t="s">
        <v>4175</v>
      </c>
      <c r="K599" s="14" t="s">
        <v>140</v>
      </c>
      <c r="L599" s="14" t="s">
        <v>3606</v>
      </c>
      <c r="M599" s="14" t="s">
        <v>4176</v>
      </c>
      <c r="N599" s="14">
        <v>492.12099999999998</v>
      </c>
      <c r="O599" s="14" t="s">
        <v>4177</v>
      </c>
      <c r="P599" s="14" t="s">
        <v>4178</v>
      </c>
      <c r="Q599" s="14" t="s">
        <v>193</v>
      </c>
      <c r="R599" s="14" t="s">
        <v>4179</v>
      </c>
      <c r="S599" s="14" t="s">
        <v>3714</v>
      </c>
      <c r="T599" s="14" t="s">
        <v>3715</v>
      </c>
      <c r="U599" s="14" t="s">
        <v>3716</v>
      </c>
      <c r="V599" s="48">
        <f>SUMIF(Data!$E:$E,$I599,Data!$AI:$AI)</f>
        <v>0</v>
      </c>
    </row>
    <row r="600" spans="1:22" x14ac:dyDescent="0.25">
      <c r="A600" s="47" t="s">
        <v>3144</v>
      </c>
      <c r="B600" s="47" t="s">
        <v>123</v>
      </c>
      <c r="C600" s="47" t="s">
        <v>4180</v>
      </c>
      <c r="D600" s="47">
        <v>0.29470000000000002</v>
      </c>
      <c r="E600" s="48">
        <f>SUMIF(Data!$E:$E,$C600,Data!$AI:$AI)</f>
        <v>0</v>
      </c>
      <c r="I600" s="14" t="s">
        <v>4181</v>
      </c>
      <c r="J600" s="14" t="s">
        <v>4182</v>
      </c>
      <c r="K600" s="14" t="s">
        <v>140</v>
      </c>
      <c r="L600" s="14" t="s">
        <v>3606</v>
      </c>
      <c r="M600" s="14" t="s">
        <v>4183</v>
      </c>
      <c r="N600" s="14">
        <v>62.38</v>
      </c>
      <c r="O600" s="14" t="s">
        <v>4184</v>
      </c>
      <c r="P600" s="14" t="s">
        <v>4185</v>
      </c>
      <c r="Q600" s="14" t="s">
        <v>419</v>
      </c>
      <c r="R600" s="14" t="s">
        <v>4186</v>
      </c>
      <c r="S600" s="14" t="s">
        <v>195</v>
      </c>
      <c r="T600" s="14" t="s">
        <v>149</v>
      </c>
      <c r="U600" s="14" t="s">
        <v>113</v>
      </c>
      <c r="V600" s="48">
        <f>SUMIF(Data!$E:$E,$I600,Data!$AI:$AI)</f>
        <v>0</v>
      </c>
    </row>
    <row r="601" spans="1:22" x14ac:dyDescent="0.25">
      <c r="A601" s="47" t="s">
        <v>3144</v>
      </c>
      <c r="B601" s="47" t="s">
        <v>123</v>
      </c>
      <c r="C601" s="47" t="s">
        <v>4187</v>
      </c>
      <c r="D601" s="47">
        <v>0.2235</v>
      </c>
      <c r="E601" s="48">
        <f>SUMIF(Data!$E:$E,$C601,Data!$AI:$AI)</f>
        <v>0</v>
      </c>
      <c r="I601" s="14">
        <v>8725</v>
      </c>
      <c r="J601" s="14" t="s">
        <v>4188</v>
      </c>
      <c r="K601" s="14" t="s">
        <v>140</v>
      </c>
      <c r="L601" s="14" t="s">
        <v>3606</v>
      </c>
      <c r="M601" s="14" t="s">
        <v>4189</v>
      </c>
      <c r="N601" s="14">
        <v>273.125</v>
      </c>
      <c r="O601" s="14" t="s">
        <v>4190</v>
      </c>
      <c r="P601" s="14" t="s">
        <v>4191</v>
      </c>
      <c r="Q601" s="14" t="s">
        <v>193</v>
      </c>
      <c r="R601" s="14" t="s">
        <v>4192</v>
      </c>
      <c r="S601" s="14" t="s">
        <v>444</v>
      </c>
      <c r="T601" s="14" t="s">
        <v>445</v>
      </c>
      <c r="U601" s="14" t="s">
        <v>446</v>
      </c>
      <c r="V601" s="48">
        <f>SUMIF(Data!$E:$E,$I601,Data!$AI:$AI)</f>
        <v>0</v>
      </c>
    </row>
    <row r="602" spans="1:22" x14ac:dyDescent="0.25">
      <c r="A602" s="47" t="s">
        <v>3144</v>
      </c>
      <c r="B602" s="47" t="s">
        <v>123</v>
      </c>
      <c r="C602" s="47" t="s">
        <v>4193</v>
      </c>
      <c r="D602" s="47">
        <v>0.23780000000000001</v>
      </c>
      <c r="E602" s="48">
        <f>SUMIF(Data!$E:$E,$C602,Data!$AI:$AI)</f>
        <v>0</v>
      </c>
      <c r="I602" s="14" t="s">
        <v>4194</v>
      </c>
      <c r="J602" s="14" t="s">
        <v>4195</v>
      </c>
      <c r="K602" s="14" t="s">
        <v>140</v>
      </c>
      <c r="L602" s="14" t="s">
        <v>3606</v>
      </c>
      <c r="M602" s="14" t="s">
        <v>4196</v>
      </c>
      <c r="N602" s="14">
        <v>87.581999999999994</v>
      </c>
      <c r="O602" s="14" t="s">
        <v>4197</v>
      </c>
      <c r="P602" s="14" t="s">
        <v>4198</v>
      </c>
      <c r="Q602" s="14" t="s">
        <v>211</v>
      </c>
      <c r="R602" s="14" t="s">
        <v>4199</v>
      </c>
      <c r="S602" s="14" t="s">
        <v>148</v>
      </c>
      <c r="T602" s="14" t="s">
        <v>149</v>
      </c>
      <c r="U602" s="14" t="s">
        <v>113</v>
      </c>
      <c r="V602" s="48">
        <f>SUMIF(Data!$E:$E,$I602,Data!$AI:$AI)</f>
        <v>0</v>
      </c>
    </row>
    <row r="603" spans="1:22" x14ac:dyDescent="0.25">
      <c r="A603" s="47" t="s">
        <v>3144</v>
      </c>
      <c r="B603" s="47" t="s">
        <v>123</v>
      </c>
      <c r="C603" s="47" t="s">
        <v>4200</v>
      </c>
      <c r="D603" s="47">
        <v>0.11940000000000001</v>
      </c>
      <c r="E603" s="48">
        <f>SUMIF(Data!$E:$E,$C603,Data!$AI:$AI)</f>
        <v>0</v>
      </c>
      <c r="I603" s="14" t="s">
        <v>4201</v>
      </c>
      <c r="J603" s="14" t="s">
        <v>4202</v>
      </c>
      <c r="K603" s="14" t="s">
        <v>140</v>
      </c>
      <c r="L603" s="14" t="s">
        <v>3606</v>
      </c>
      <c r="M603" s="14" t="s">
        <v>4203</v>
      </c>
      <c r="N603" s="14">
        <v>261.04300000000001</v>
      </c>
      <c r="O603" s="14" t="s">
        <v>4204</v>
      </c>
      <c r="P603" s="14" t="s">
        <v>4205</v>
      </c>
      <c r="Q603" s="14" t="s">
        <v>809</v>
      </c>
      <c r="R603" s="14" t="s">
        <v>4206</v>
      </c>
      <c r="S603" s="14" t="s">
        <v>195</v>
      </c>
      <c r="T603" s="14" t="s">
        <v>149</v>
      </c>
      <c r="U603" s="14" t="s">
        <v>113</v>
      </c>
      <c r="V603" s="48">
        <f>SUMIF(Data!$E:$E,$I603,Data!$AI:$AI)</f>
        <v>0</v>
      </c>
    </row>
    <row r="604" spans="1:22" x14ac:dyDescent="0.25">
      <c r="A604" s="47" t="s">
        <v>3144</v>
      </c>
      <c r="B604" s="47" t="s">
        <v>123</v>
      </c>
      <c r="C604" s="47" t="s">
        <v>4207</v>
      </c>
      <c r="D604" s="47">
        <v>0.16750000000000001</v>
      </c>
      <c r="E604" s="48">
        <f>SUMIF(Data!$E:$E,$C604,Data!$AI:$AI)</f>
        <v>0</v>
      </c>
      <c r="I604" s="14" t="s">
        <v>4208</v>
      </c>
      <c r="J604" s="14" t="s">
        <v>4209</v>
      </c>
      <c r="K604" s="14" t="s">
        <v>140</v>
      </c>
      <c r="L604" s="14" t="s">
        <v>3606</v>
      </c>
      <c r="M604" s="14" t="s">
        <v>4210</v>
      </c>
      <c r="N604" s="14">
        <v>144.33000000000001</v>
      </c>
      <c r="O604" s="14" t="s">
        <v>4211</v>
      </c>
      <c r="P604" s="14" t="s">
        <v>4212</v>
      </c>
      <c r="Q604" s="14" t="s">
        <v>146</v>
      </c>
      <c r="R604" s="14" t="s">
        <v>4213</v>
      </c>
      <c r="S604" s="14" t="s">
        <v>148</v>
      </c>
      <c r="T604" s="14" t="s">
        <v>149</v>
      </c>
      <c r="U604" s="14" t="s">
        <v>113</v>
      </c>
      <c r="V604" s="48">
        <f>SUMIF(Data!$E:$E,$I604,Data!$AI:$AI)</f>
        <v>0</v>
      </c>
    </row>
    <row r="605" spans="1:22" x14ac:dyDescent="0.25">
      <c r="A605" s="47" t="s">
        <v>3144</v>
      </c>
      <c r="B605" s="47" t="s">
        <v>123</v>
      </c>
      <c r="C605" s="47" t="s">
        <v>4214</v>
      </c>
      <c r="D605" s="47">
        <v>0.15210000000000001</v>
      </c>
      <c r="E605" s="48">
        <f>SUMIF(Data!$E:$E,$C605,Data!$AI:$AI)</f>
        <v>0</v>
      </c>
      <c r="I605" s="14" t="s">
        <v>4215</v>
      </c>
      <c r="J605" s="14" t="s">
        <v>4216</v>
      </c>
      <c r="K605" s="14" t="s">
        <v>140</v>
      </c>
      <c r="L605" s="14" t="s">
        <v>3606</v>
      </c>
      <c r="M605" s="14" t="s">
        <v>4217</v>
      </c>
      <c r="N605" s="14" t="s">
        <v>4218</v>
      </c>
      <c r="O605" s="14" t="s">
        <v>4219</v>
      </c>
      <c r="P605" s="14" t="s">
        <v>4220</v>
      </c>
      <c r="Q605" s="14" t="s">
        <v>193</v>
      </c>
      <c r="R605" s="14" t="s">
        <v>4221</v>
      </c>
      <c r="S605" s="14" t="s">
        <v>526</v>
      </c>
      <c r="T605" s="14" t="s">
        <v>527</v>
      </c>
      <c r="U605" s="14" t="s">
        <v>528</v>
      </c>
      <c r="V605" s="48">
        <f>SUMIF(Data!$E:$E,$I605,Data!$AI:$AI)</f>
        <v>0</v>
      </c>
    </row>
    <row r="606" spans="1:22" x14ac:dyDescent="0.25">
      <c r="A606" s="47" t="s">
        <v>3144</v>
      </c>
      <c r="B606" s="47" t="s">
        <v>123</v>
      </c>
      <c r="C606" s="47" t="s">
        <v>4222</v>
      </c>
      <c r="D606" s="47">
        <v>0.49840000000000001</v>
      </c>
      <c r="E606" s="48">
        <f>SUMIF(Data!$E:$E,$C606,Data!$AI:$AI)</f>
        <v>0</v>
      </c>
      <c r="I606" s="14" t="s">
        <v>4223</v>
      </c>
      <c r="J606" s="14" t="s">
        <v>4224</v>
      </c>
      <c r="K606" s="14" t="s">
        <v>140</v>
      </c>
      <c r="L606" s="14" t="s">
        <v>3606</v>
      </c>
      <c r="M606" s="14" t="s">
        <v>4225</v>
      </c>
      <c r="N606" s="14">
        <v>330.39</v>
      </c>
      <c r="O606" s="14" t="s">
        <v>4226</v>
      </c>
      <c r="P606" s="14" t="s">
        <v>4227</v>
      </c>
      <c r="Q606" s="14" t="s">
        <v>146</v>
      </c>
      <c r="R606" s="14" t="s">
        <v>4228</v>
      </c>
      <c r="S606" s="14" t="s">
        <v>563</v>
      </c>
      <c r="T606" s="14" t="s">
        <v>564</v>
      </c>
      <c r="U606" s="14" t="s">
        <v>528</v>
      </c>
      <c r="V606" s="48">
        <f>SUMIF(Data!$E:$E,$I606,Data!$AI:$AI)</f>
        <v>0</v>
      </c>
    </row>
    <row r="607" spans="1:22" x14ac:dyDescent="0.25">
      <c r="A607" s="47" t="s">
        <v>3144</v>
      </c>
      <c r="B607" s="47" t="s">
        <v>123</v>
      </c>
      <c r="C607" s="47">
        <v>2117599</v>
      </c>
      <c r="D607" s="47">
        <v>0.33900000000000002</v>
      </c>
      <c r="E607" s="48">
        <f>SUMIF(Data!$E:$E,$C607,Data!$AI:$AI)</f>
        <v>0</v>
      </c>
      <c r="I607" s="14" t="s">
        <v>4229</v>
      </c>
      <c r="J607" s="14" t="s">
        <v>4230</v>
      </c>
      <c r="K607" s="14" t="s">
        <v>140</v>
      </c>
      <c r="L607" s="14" t="s">
        <v>3606</v>
      </c>
      <c r="M607" s="14" t="s">
        <v>4231</v>
      </c>
      <c r="N607" s="14">
        <v>151.90199999999999</v>
      </c>
      <c r="O607" s="14" t="s">
        <v>4232</v>
      </c>
      <c r="P607" s="14" t="s">
        <v>4233</v>
      </c>
      <c r="Q607" s="14" t="s">
        <v>165</v>
      </c>
      <c r="R607" s="14" t="s">
        <v>4234</v>
      </c>
      <c r="S607" s="14" t="s">
        <v>195</v>
      </c>
      <c r="T607" s="14" t="s">
        <v>149</v>
      </c>
      <c r="U607" s="14" t="s">
        <v>113</v>
      </c>
      <c r="V607" s="48">
        <f>SUMIF(Data!$E:$E,$I607,Data!$AI:$AI)</f>
        <v>0</v>
      </c>
    </row>
    <row r="608" spans="1:22" x14ac:dyDescent="0.25">
      <c r="A608" s="47" t="s">
        <v>3144</v>
      </c>
      <c r="B608" s="47" t="s">
        <v>123</v>
      </c>
      <c r="C608" s="47">
        <v>2419927</v>
      </c>
      <c r="D608" s="47">
        <v>0.18360000000000001</v>
      </c>
      <c r="E608" s="48">
        <f>SUMIF(Data!$E:$E,$C608,Data!$AI:$AI)</f>
        <v>0</v>
      </c>
      <c r="I608" s="14" t="s">
        <v>4235</v>
      </c>
      <c r="J608" s="14" t="s">
        <v>4236</v>
      </c>
      <c r="K608" s="14" t="s">
        <v>140</v>
      </c>
      <c r="L608" s="14" t="s">
        <v>3606</v>
      </c>
      <c r="M608" s="14" t="s">
        <v>4237</v>
      </c>
      <c r="N608" s="14">
        <v>147.608</v>
      </c>
      <c r="O608" s="14" t="s">
        <v>4238</v>
      </c>
      <c r="P608" s="14" t="s">
        <v>4239</v>
      </c>
      <c r="Q608" s="14" t="s">
        <v>146</v>
      </c>
      <c r="R608" s="14" t="s">
        <v>4240</v>
      </c>
      <c r="S608" s="14" t="s">
        <v>148</v>
      </c>
      <c r="T608" s="14" t="s">
        <v>149</v>
      </c>
      <c r="U608" s="14" t="s">
        <v>113</v>
      </c>
      <c r="V608" s="48">
        <f>SUMIF(Data!$E:$E,$I608,Data!$AI:$AI)</f>
        <v>0</v>
      </c>
    </row>
    <row r="609" spans="1:22" x14ac:dyDescent="0.25">
      <c r="A609" s="47" t="s">
        <v>3144</v>
      </c>
      <c r="B609" s="47" t="s">
        <v>123</v>
      </c>
      <c r="C609" s="47">
        <v>265274</v>
      </c>
      <c r="D609" s="47">
        <v>0.36220000000000002</v>
      </c>
      <c r="E609" s="48">
        <f>SUMIF(Data!$E:$E,$C609,Data!$AI:$AI)</f>
        <v>0</v>
      </c>
      <c r="I609" s="14">
        <v>1113</v>
      </c>
      <c r="J609" s="14" t="s">
        <v>4241</v>
      </c>
      <c r="K609" s="14" t="s">
        <v>140</v>
      </c>
      <c r="L609" s="14" t="s">
        <v>3606</v>
      </c>
      <c r="M609" s="14" t="s">
        <v>4242</v>
      </c>
      <c r="N609" s="14" t="s">
        <v>4243</v>
      </c>
      <c r="O609" s="14" t="s">
        <v>4244</v>
      </c>
      <c r="P609" s="14" t="s">
        <v>4245</v>
      </c>
      <c r="Q609" s="14" t="s">
        <v>809</v>
      </c>
      <c r="R609" s="14" t="s">
        <v>4246</v>
      </c>
      <c r="S609" s="14" t="s">
        <v>552</v>
      </c>
      <c r="T609" s="14" t="s">
        <v>553</v>
      </c>
      <c r="U609" s="14" t="s">
        <v>554</v>
      </c>
      <c r="V609" s="48">
        <f>SUMIF(Data!$E:$E,$I609,Data!$AI:$AI)</f>
        <v>0</v>
      </c>
    </row>
    <row r="610" spans="1:22" x14ac:dyDescent="0.25">
      <c r="A610" s="47" t="s">
        <v>3144</v>
      </c>
      <c r="B610" s="47" t="s">
        <v>123</v>
      </c>
      <c r="C610" s="47">
        <v>692861</v>
      </c>
      <c r="D610" s="47">
        <v>0.19650000000000001</v>
      </c>
      <c r="E610" s="48">
        <f>SUMIF(Data!$E:$E,$C610,Data!$AI:$AI)</f>
        <v>0</v>
      </c>
      <c r="I610" s="14" t="s">
        <v>4247</v>
      </c>
      <c r="J610" s="14" t="s">
        <v>4248</v>
      </c>
      <c r="K610" s="14" t="s">
        <v>140</v>
      </c>
      <c r="L610" s="14" t="s">
        <v>3606</v>
      </c>
      <c r="M610" s="14" t="s">
        <v>2611</v>
      </c>
      <c r="N610" s="14">
        <v>650.35900000000004</v>
      </c>
      <c r="O610" s="14" t="s">
        <v>4249</v>
      </c>
      <c r="P610" s="14" t="s">
        <v>4250</v>
      </c>
      <c r="Q610" s="14" t="s">
        <v>175</v>
      </c>
      <c r="R610" s="14" t="s">
        <v>4251</v>
      </c>
      <c r="S610" s="14" t="s">
        <v>479</v>
      </c>
      <c r="T610" s="14" t="s">
        <v>480</v>
      </c>
      <c r="U610" s="14" t="s">
        <v>481</v>
      </c>
      <c r="V610" s="48">
        <f>SUMIF(Data!$E:$E,$I610,Data!$AI:$AI)</f>
        <v>0</v>
      </c>
    </row>
    <row r="611" spans="1:22" x14ac:dyDescent="0.25">
      <c r="A611" s="47" t="s">
        <v>3144</v>
      </c>
      <c r="B611" s="47" t="s">
        <v>123</v>
      </c>
      <c r="C611" s="47">
        <v>799096</v>
      </c>
      <c r="D611" s="47">
        <v>0.2069</v>
      </c>
      <c r="E611" s="48">
        <f>SUMIF(Data!$E:$E,$C611,Data!$AI:$AI)</f>
        <v>0</v>
      </c>
      <c r="I611" s="14">
        <v>8750</v>
      </c>
      <c r="J611" s="14" t="s">
        <v>4252</v>
      </c>
      <c r="K611" s="14" t="s">
        <v>140</v>
      </c>
      <c r="L611" s="14" t="s">
        <v>3606</v>
      </c>
      <c r="M611" s="14" t="s">
        <v>4253</v>
      </c>
      <c r="N611" s="14">
        <v>560.1</v>
      </c>
      <c r="O611" s="14" t="s">
        <v>4254</v>
      </c>
      <c r="P611" s="14" t="s">
        <v>4255</v>
      </c>
      <c r="Q611" s="14" t="s">
        <v>193</v>
      </c>
      <c r="R611" s="14" t="s">
        <v>4256</v>
      </c>
      <c r="S611" s="14" t="s">
        <v>444</v>
      </c>
      <c r="T611" s="14" t="s">
        <v>445</v>
      </c>
      <c r="U611" s="14" t="s">
        <v>446</v>
      </c>
      <c r="V611" s="48">
        <f>SUMIF(Data!$E:$E,$I611,Data!$AI:$AI)</f>
        <v>0</v>
      </c>
    </row>
    <row r="612" spans="1:22" x14ac:dyDescent="0.25">
      <c r="A612" s="47" t="s">
        <v>3144</v>
      </c>
      <c r="B612" s="47" t="s">
        <v>123</v>
      </c>
      <c r="C612" s="47" t="s">
        <v>4257</v>
      </c>
      <c r="D612" s="47">
        <v>0.15279999999999999</v>
      </c>
      <c r="E612" s="48">
        <f>SUMIF(Data!$E:$E,$C612,Data!$AI:$AI)</f>
        <v>0</v>
      </c>
      <c r="I612" s="14" t="s">
        <v>4258</v>
      </c>
      <c r="J612" s="14" t="s">
        <v>4259</v>
      </c>
      <c r="K612" s="14" t="s">
        <v>140</v>
      </c>
      <c r="L612" s="14" t="s">
        <v>3606</v>
      </c>
      <c r="M612" s="14" t="s">
        <v>4260</v>
      </c>
      <c r="N612" s="14">
        <v>190.226</v>
      </c>
      <c r="O612" s="14" t="s">
        <v>4261</v>
      </c>
      <c r="P612" s="14" t="s">
        <v>4262</v>
      </c>
      <c r="Q612" s="14" t="s">
        <v>419</v>
      </c>
      <c r="R612" s="14" t="s">
        <v>4263</v>
      </c>
      <c r="S612" s="14" t="s">
        <v>195</v>
      </c>
      <c r="T612" s="14" t="s">
        <v>149</v>
      </c>
      <c r="U612" s="14" t="s">
        <v>113</v>
      </c>
      <c r="V612" s="48">
        <f>SUMIF(Data!$E:$E,$I612,Data!$AI:$AI)</f>
        <v>0</v>
      </c>
    </row>
    <row r="613" spans="1:22" x14ac:dyDescent="0.25">
      <c r="A613" s="47" t="s">
        <v>3144</v>
      </c>
      <c r="B613" s="47" t="s">
        <v>123</v>
      </c>
      <c r="C613" s="47" t="s">
        <v>4264</v>
      </c>
      <c r="D613" s="47">
        <v>0.1535</v>
      </c>
      <c r="E613" s="48">
        <f>SUMIF(Data!$E:$E,$C613,Data!$AI:$AI)</f>
        <v>0</v>
      </c>
      <c r="I613" s="14" t="s">
        <v>4265</v>
      </c>
      <c r="J613" s="14" t="s">
        <v>4266</v>
      </c>
      <c r="K613" s="14" t="s">
        <v>140</v>
      </c>
      <c r="L613" s="14" t="s">
        <v>3606</v>
      </c>
      <c r="M613" s="14" t="s">
        <v>4267</v>
      </c>
      <c r="N613" s="14">
        <v>70.912999999999997</v>
      </c>
      <c r="O613" s="14" t="s">
        <v>4268</v>
      </c>
      <c r="P613" s="14" t="s">
        <v>4269</v>
      </c>
      <c r="Q613" s="14" t="s">
        <v>175</v>
      </c>
      <c r="R613" s="14" t="s">
        <v>4270</v>
      </c>
      <c r="S613" s="14" t="s">
        <v>148</v>
      </c>
      <c r="T613" s="14" t="s">
        <v>149</v>
      </c>
      <c r="U613" s="14" t="s">
        <v>113</v>
      </c>
      <c r="V613" s="48">
        <f>SUMIF(Data!$E:$E,$I613,Data!$AI:$AI)</f>
        <v>0</v>
      </c>
    </row>
    <row r="614" spans="1:22" x14ac:dyDescent="0.25">
      <c r="A614" s="47" t="s">
        <v>3144</v>
      </c>
      <c r="B614" s="47" t="s">
        <v>123</v>
      </c>
      <c r="C614" s="47" t="s">
        <v>4271</v>
      </c>
      <c r="D614" s="47">
        <v>0.25319999999999998</v>
      </c>
      <c r="E614" s="48">
        <f>SUMIF(Data!$E:$E,$C614,Data!$AI:$AI)</f>
        <v>0</v>
      </c>
      <c r="I614" s="14" t="s">
        <v>4272</v>
      </c>
      <c r="J614" s="14" t="s">
        <v>4273</v>
      </c>
      <c r="K614" s="14" t="s">
        <v>140</v>
      </c>
      <c r="L614" s="14" t="s">
        <v>3606</v>
      </c>
      <c r="M614" s="14" t="s">
        <v>4274</v>
      </c>
      <c r="N614" s="14">
        <v>169.8</v>
      </c>
      <c r="O614" s="14" t="s">
        <v>4275</v>
      </c>
      <c r="P614" s="14" t="s">
        <v>4276</v>
      </c>
      <c r="Q614" s="14" t="s">
        <v>737</v>
      </c>
      <c r="R614" s="14" t="s">
        <v>4277</v>
      </c>
      <c r="S614" s="14" t="s">
        <v>195</v>
      </c>
      <c r="T614" s="14" t="s">
        <v>149</v>
      </c>
      <c r="U614" s="14" t="s">
        <v>113</v>
      </c>
      <c r="V614" s="48">
        <f>SUMIF(Data!$E:$E,$I614,Data!$AI:$AI)</f>
        <v>0</v>
      </c>
    </row>
    <row r="615" spans="1:22" x14ac:dyDescent="0.25">
      <c r="A615" s="47" t="s">
        <v>3144</v>
      </c>
      <c r="B615" s="47" t="s">
        <v>123</v>
      </c>
      <c r="C615" s="47" t="s">
        <v>4278</v>
      </c>
      <c r="D615" s="47">
        <v>0.1487</v>
      </c>
      <c r="E615" s="48">
        <f>SUMIF(Data!$E:$E,$C615,Data!$AI:$AI)</f>
        <v>0</v>
      </c>
      <c r="I615" s="14" t="s">
        <v>4279</v>
      </c>
      <c r="J615" s="14" t="s">
        <v>4280</v>
      </c>
      <c r="K615" s="14" t="s">
        <v>140</v>
      </c>
      <c r="L615" s="14" t="s">
        <v>3606</v>
      </c>
      <c r="M615" s="14" t="s">
        <v>4281</v>
      </c>
      <c r="N615" s="14">
        <v>121.398</v>
      </c>
      <c r="O615" s="14" t="s">
        <v>4282</v>
      </c>
      <c r="P615" s="14" t="s">
        <v>4283</v>
      </c>
      <c r="Q615" s="14" t="s">
        <v>211</v>
      </c>
      <c r="R615" s="14" t="s">
        <v>4284</v>
      </c>
      <c r="S615" s="14" t="s">
        <v>526</v>
      </c>
      <c r="T615" s="14" t="s">
        <v>527</v>
      </c>
      <c r="U615" s="14" t="s">
        <v>528</v>
      </c>
      <c r="V615" s="48">
        <f>SUMIF(Data!$E:$E,$I615,Data!$AI:$AI)</f>
        <v>0</v>
      </c>
    </row>
    <row r="616" spans="1:22" x14ac:dyDescent="0.25">
      <c r="A616" s="47" t="s">
        <v>3144</v>
      </c>
      <c r="B616" s="47" t="s">
        <v>123</v>
      </c>
      <c r="C616" s="47" t="s">
        <v>4285</v>
      </c>
      <c r="D616" s="47">
        <v>0.17730000000000001</v>
      </c>
      <c r="E616" s="48">
        <f>SUMIF(Data!$E:$E,$C616,Data!$AI:$AI)</f>
        <v>0</v>
      </c>
      <c r="I616" s="14" t="s">
        <v>4286</v>
      </c>
      <c r="J616" s="14" t="s">
        <v>4287</v>
      </c>
      <c r="K616" s="14" t="s">
        <v>140</v>
      </c>
      <c r="L616" s="14" t="s">
        <v>3606</v>
      </c>
      <c r="M616" s="14" t="s">
        <v>4288</v>
      </c>
      <c r="N616" s="14">
        <v>854.06600000000003</v>
      </c>
      <c r="O616" s="14" t="s">
        <v>4289</v>
      </c>
      <c r="P616" s="14" t="s">
        <v>4290</v>
      </c>
      <c r="Q616" s="14" t="s">
        <v>737</v>
      </c>
      <c r="R616" s="14" t="s">
        <v>4291</v>
      </c>
      <c r="S616" s="14" t="s">
        <v>195</v>
      </c>
      <c r="T616" s="14" t="s">
        <v>149</v>
      </c>
      <c r="U616" s="14" t="s">
        <v>113</v>
      </c>
      <c r="V616" s="48">
        <f>SUMIF(Data!$E:$E,$I616,Data!$AI:$AI)</f>
        <v>0</v>
      </c>
    </row>
    <row r="617" spans="1:22" x14ac:dyDescent="0.25">
      <c r="A617" s="47" t="s">
        <v>3144</v>
      </c>
      <c r="B617" s="47" t="s">
        <v>123</v>
      </c>
      <c r="C617" s="47" t="s">
        <v>4292</v>
      </c>
      <c r="D617" s="47">
        <v>0.13750000000000001</v>
      </c>
      <c r="E617" s="48">
        <f>SUMIF(Data!$E:$E,$C617,Data!$AI:$AI)</f>
        <v>0</v>
      </c>
      <c r="I617" s="14" t="s">
        <v>4293</v>
      </c>
      <c r="J617" s="14" t="s">
        <v>4294</v>
      </c>
      <c r="K617" s="14" t="s">
        <v>140</v>
      </c>
      <c r="L617" s="14" t="s">
        <v>3606</v>
      </c>
      <c r="M617" s="14" t="s">
        <v>4295</v>
      </c>
      <c r="N617" s="14">
        <v>280.35199999999998</v>
      </c>
      <c r="O617" s="14" t="s">
        <v>4296</v>
      </c>
      <c r="P617" s="14" t="s">
        <v>4297</v>
      </c>
      <c r="Q617" s="14" t="s">
        <v>227</v>
      </c>
      <c r="R617" s="14" t="s">
        <v>4298</v>
      </c>
      <c r="S617" s="14" t="s">
        <v>195</v>
      </c>
      <c r="T617" s="14" t="s">
        <v>149</v>
      </c>
      <c r="U617" s="14" t="s">
        <v>113</v>
      </c>
      <c r="V617" s="48">
        <f>SUMIF(Data!$E:$E,$I617,Data!$AI:$AI)</f>
        <v>0</v>
      </c>
    </row>
    <row r="618" spans="1:22" x14ac:dyDescent="0.25">
      <c r="A618" s="47" t="s">
        <v>3144</v>
      </c>
      <c r="B618" s="47" t="s">
        <v>123</v>
      </c>
      <c r="C618" s="47" t="s">
        <v>4299</v>
      </c>
      <c r="D618" s="47">
        <v>0.2117</v>
      </c>
      <c r="E618" s="48">
        <f>SUMIF(Data!$E:$E,$C618,Data!$AI:$AI)</f>
        <v>0</v>
      </c>
      <c r="I618" s="14" t="s">
        <v>4300</v>
      </c>
      <c r="J618" s="14" t="s">
        <v>4301</v>
      </c>
      <c r="K618" s="14" t="s">
        <v>140</v>
      </c>
      <c r="L618" s="14" t="s">
        <v>3606</v>
      </c>
      <c r="M618" s="14" t="s">
        <v>4302</v>
      </c>
      <c r="N618" s="14">
        <v>99.498999999999995</v>
      </c>
      <c r="O618" s="14" t="s">
        <v>4303</v>
      </c>
      <c r="P618" s="14" t="s">
        <v>4304</v>
      </c>
      <c r="Q618" s="14" t="s">
        <v>165</v>
      </c>
      <c r="R618" s="14" t="s">
        <v>4305</v>
      </c>
      <c r="S618" s="14" t="s">
        <v>195</v>
      </c>
      <c r="T618" s="14" t="s">
        <v>149</v>
      </c>
      <c r="U618" s="14" t="s">
        <v>113</v>
      </c>
      <c r="V618" s="48">
        <f>SUMIF(Data!$E:$E,$I618,Data!$AI:$AI)</f>
        <v>0</v>
      </c>
    </row>
    <row r="619" spans="1:22" x14ac:dyDescent="0.25">
      <c r="A619" s="47" t="s">
        <v>3144</v>
      </c>
      <c r="B619" s="47" t="s">
        <v>123</v>
      </c>
      <c r="C619" s="47" t="s">
        <v>4306</v>
      </c>
      <c r="D619" s="47">
        <v>0.1222</v>
      </c>
      <c r="E619" s="48">
        <f>SUMIF(Data!$E:$E,$C619,Data!$AI:$AI)</f>
        <v>0</v>
      </c>
      <c r="I619" s="14" t="s">
        <v>4307</v>
      </c>
      <c r="J619" s="14" t="s">
        <v>4308</v>
      </c>
      <c r="K619" s="14" t="s">
        <v>140</v>
      </c>
      <c r="L619" s="14" t="s">
        <v>3606</v>
      </c>
      <c r="M619" s="14" t="s">
        <v>4309</v>
      </c>
      <c r="N619" s="14">
        <v>836.92</v>
      </c>
      <c r="O619" s="14" t="s">
        <v>4310</v>
      </c>
      <c r="P619" s="14" t="s">
        <v>4311</v>
      </c>
      <c r="Q619" s="14" t="s">
        <v>193</v>
      </c>
      <c r="R619" s="14" t="s">
        <v>4312</v>
      </c>
      <c r="S619" s="14" t="s">
        <v>2931</v>
      </c>
      <c r="T619" s="14" t="s">
        <v>2932</v>
      </c>
      <c r="U619" s="14" t="s">
        <v>2933</v>
      </c>
      <c r="V619" s="48">
        <f>SUMIF(Data!$E:$E,$I619,Data!$AI:$AI)</f>
        <v>0</v>
      </c>
    </row>
    <row r="620" spans="1:22" x14ac:dyDescent="0.25">
      <c r="A620" s="47" t="s">
        <v>3144</v>
      </c>
      <c r="B620" s="47" t="s">
        <v>123</v>
      </c>
      <c r="C620" s="47" t="s">
        <v>4313</v>
      </c>
      <c r="D620" s="47">
        <v>0.39019999999999999</v>
      </c>
      <c r="E620" s="48">
        <f>SUMIF(Data!$E:$E,$C620,Data!$AI:$AI)</f>
        <v>0</v>
      </c>
      <c r="I620" s="14" t="s">
        <v>4314</v>
      </c>
      <c r="J620" s="14" t="s">
        <v>4315</v>
      </c>
      <c r="K620" s="14" t="s">
        <v>140</v>
      </c>
      <c r="L620" s="14" t="s">
        <v>3606</v>
      </c>
      <c r="M620" s="14" t="s">
        <v>4316</v>
      </c>
      <c r="N620" s="14">
        <v>114.414</v>
      </c>
      <c r="O620" s="14" t="s">
        <v>4317</v>
      </c>
      <c r="P620" s="14" t="s">
        <v>4318</v>
      </c>
      <c r="Q620" s="14" t="s">
        <v>419</v>
      </c>
      <c r="R620" s="14" t="s">
        <v>4319</v>
      </c>
      <c r="S620" s="14" t="s">
        <v>148</v>
      </c>
      <c r="T620" s="14" t="s">
        <v>149</v>
      </c>
      <c r="U620" s="14" t="s">
        <v>113</v>
      </c>
      <c r="V620" s="48">
        <f>SUMIF(Data!$E:$E,$I620,Data!$AI:$AI)</f>
        <v>0</v>
      </c>
    </row>
    <row r="621" spans="1:22" x14ac:dyDescent="0.25">
      <c r="A621" s="47" t="s">
        <v>3144</v>
      </c>
      <c r="B621" s="47" t="s">
        <v>123</v>
      </c>
      <c r="C621" s="47" t="s">
        <v>4320</v>
      </c>
      <c r="D621" s="47">
        <v>0.37559999999999999</v>
      </c>
      <c r="E621" s="48">
        <f>SUMIF(Data!$E:$E,$C621,Data!$AI:$AI)</f>
        <v>0</v>
      </c>
      <c r="I621" s="14" t="s">
        <v>4321</v>
      </c>
      <c r="J621" s="14" t="s">
        <v>4322</v>
      </c>
      <c r="K621" s="14" t="s">
        <v>140</v>
      </c>
      <c r="L621" s="14" t="s">
        <v>3606</v>
      </c>
      <c r="M621" s="14" t="s">
        <v>4323</v>
      </c>
      <c r="N621" s="14">
        <v>379.07400000000001</v>
      </c>
      <c r="O621" s="14" t="s">
        <v>4324</v>
      </c>
      <c r="P621" s="14" t="s">
        <v>4325</v>
      </c>
      <c r="Q621" s="14" t="s">
        <v>165</v>
      </c>
      <c r="R621" s="14" t="s">
        <v>4326</v>
      </c>
      <c r="S621" s="14" t="s">
        <v>563</v>
      </c>
      <c r="T621" s="14" t="s">
        <v>564</v>
      </c>
      <c r="U621" s="14" t="s">
        <v>528</v>
      </c>
      <c r="V621" s="48">
        <f>SUMIF(Data!$E:$E,$I621,Data!$AI:$AI)</f>
        <v>0</v>
      </c>
    </row>
    <row r="622" spans="1:22" x14ac:dyDescent="0.25">
      <c r="A622" s="47" t="s">
        <v>3144</v>
      </c>
      <c r="B622" s="47" t="s">
        <v>123</v>
      </c>
      <c r="C622" s="47" t="s">
        <v>4327</v>
      </c>
      <c r="D622" s="47">
        <v>6.5600000000000006E-2</v>
      </c>
      <c r="E622" s="48">
        <f>SUMIF(Data!$E:$E,$C622,Data!$AI:$AI)</f>
        <v>0</v>
      </c>
      <c r="I622" s="14" t="s">
        <v>4328</v>
      </c>
      <c r="J622" s="14" t="s">
        <v>4328</v>
      </c>
      <c r="K622" s="14" t="s">
        <v>140</v>
      </c>
      <c r="L622" s="14" t="s">
        <v>3606</v>
      </c>
      <c r="M622" s="14" t="s">
        <v>4329</v>
      </c>
      <c r="N622" s="14">
        <v>249.249</v>
      </c>
      <c r="O622" s="14" t="s">
        <v>4330</v>
      </c>
      <c r="P622" s="14" t="s">
        <v>4331</v>
      </c>
      <c r="Q622" s="14" t="s">
        <v>263</v>
      </c>
      <c r="R622" s="14" t="s">
        <v>4332</v>
      </c>
      <c r="S622" s="14" t="s">
        <v>3142</v>
      </c>
      <c r="T622" s="14" t="s">
        <v>3143</v>
      </c>
      <c r="U622" s="14" t="s">
        <v>528</v>
      </c>
      <c r="V622" s="48">
        <f>SUMIF(Data!$E:$E,$I622,Data!$AI:$AI)</f>
        <v>0</v>
      </c>
    </row>
    <row r="623" spans="1:22" x14ac:dyDescent="0.25">
      <c r="A623" s="47" t="s">
        <v>3144</v>
      </c>
      <c r="B623" s="47" t="s">
        <v>123</v>
      </c>
      <c r="C623" s="47" t="s">
        <v>4333</v>
      </c>
      <c r="D623" s="47">
        <v>9.9199999999999997E-2</v>
      </c>
      <c r="E623" s="48">
        <f>SUMIF(Data!$E:$E,$C623,Data!$AI:$AI)</f>
        <v>0</v>
      </c>
      <c r="I623" s="14" t="s">
        <v>4334</v>
      </c>
      <c r="J623" s="14" t="s">
        <v>4335</v>
      </c>
      <c r="K623" s="14" t="s">
        <v>140</v>
      </c>
      <c r="L623" s="14" t="s">
        <v>3606</v>
      </c>
      <c r="M623" s="14" t="s">
        <v>4336</v>
      </c>
      <c r="N623" s="14">
        <v>38.905999999999999</v>
      </c>
      <c r="O623" s="14" t="s">
        <v>4337</v>
      </c>
      <c r="P623" s="14" t="s">
        <v>4338</v>
      </c>
      <c r="Q623" s="14" t="s">
        <v>211</v>
      </c>
      <c r="R623" s="14" t="s">
        <v>4339</v>
      </c>
      <c r="S623" s="14" t="s">
        <v>771</v>
      </c>
      <c r="T623" s="14" t="s">
        <v>772</v>
      </c>
      <c r="U623" s="14" t="s">
        <v>773</v>
      </c>
      <c r="V623" s="48">
        <f>SUMIF(Data!$E:$E,$I623,Data!$AI:$AI)</f>
        <v>0</v>
      </c>
    </row>
    <row r="624" spans="1:22" x14ac:dyDescent="0.25">
      <c r="A624" s="47" t="s">
        <v>3144</v>
      </c>
      <c r="B624" s="47" t="s">
        <v>123</v>
      </c>
      <c r="C624" s="47" t="s">
        <v>4340</v>
      </c>
      <c r="D624" s="47">
        <v>0.19370000000000001</v>
      </c>
      <c r="E624" s="48">
        <f>SUMIF(Data!$E:$E,$C624,Data!$AI:$AI)</f>
        <v>0</v>
      </c>
      <c r="I624" s="14" t="s">
        <v>4341</v>
      </c>
      <c r="J624" s="14" t="s">
        <v>4342</v>
      </c>
      <c r="K624" s="14" t="s">
        <v>140</v>
      </c>
      <c r="L624" s="14" t="s">
        <v>3606</v>
      </c>
      <c r="M624" s="14" t="s">
        <v>4343</v>
      </c>
      <c r="N624" s="14">
        <v>139.024</v>
      </c>
      <c r="O624" s="14" t="s">
        <v>4344</v>
      </c>
      <c r="P624" s="14" t="s">
        <v>4345</v>
      </c>
      <c r="Q624" s="14" t="s">
        <v>697</v>
      </c>
      <c r="R624" s="14" t="s">
        <v>4346</v>
      </c>
      <c r="S624" s="14" t="s">
        <v>195</v>
      </c>
      <c r="T624" s="14" t="s">
        <v>149</v>
      </c>
      <c r="U624" s="14" t="s">
        <v>113</v>
      </c>
      <c r="V624" s="48">
        <f>SUMIF(Data!$E:$E,$I624,Data!$AI:$AI)</f>
        <v>0</v>
      </c>
    </row>
    <row r="625" spans="1:22" x14ac:dyDescent="0.25">
      <c r="A625" s="47" t="s">
        <v>3144</v>
      </c>
      <c r="B625" s="47" t="s">
        <v>123</v>
      </c>
      <c r="C625" s="47" t="s">
        <v>4347</v>
      </c>
      <c r="D625" s="47">
        <v>0.14760000000000001</v>
      </c>
      <c r="E625" s="48">
        <f>SUMIF(Data!$E:$E,$C625,Data!$AI:$AI)</f>
        <v>0</v>
      </c>
      <c r="I625" s="14" t="s">
        <v>146</v>
      </c>
      <c r="J625" s="14" t="s">
        <v>4348</v>
      </c>
      <c r="K625" s="14" t="s">
        <v>140</v>
      </c>
      <c r="L625" s="14" t="s">
        <v>3606</v>
      </c>
      <c r="M625" s="14" t="s">
        <v>4349</v>
      </c>
      <c r="N625" s="14">
        <v>54.807000000000002</v>
      </c>
      <c r="O625" s="14" t="s">
        <v>4350</v>
      </c>
      <c r="P625" s="14" t="s">
        <v>4351</v>
      </c>
      <c r="Q625" s="14" t="s">
        <v>146</v>
      </c>
      <c r="R625" s="14" t="s">
        <v>4352</v>
      </c>
      <c r="S625" s="14" t="s">
        <v>195</v>
      </c>
      <c r="T625" s="14" t="s">
        <v>149</v>
      </c>
      <c r="U625" s="14" t="s">
        <v>113</v>
      </c>
      <c r="V625" s="48">
        <f>SUMIF(Data!$E:$E,$I625,Data!$AI:$AI)</f>
        <v>0</v>
      </c>
    </row>
    <row r="626" spans="1:22" x14ac:dyDescent="0.25">
      <c r="A626" s="47" t="s">
        <v>3144</v>
      </c>
      <c r="B626" s="47" t="s">
        <v>123</v>
      </c>
      <c r="C626" s="47" t="s">
        <v>4353</v>
      </c>
      <c r="D626" s="47">
        <v>1.2337</v>
      </c>
      <c r="E626" s="48">
        <f>SUMIF(Data!$E:$E,$C626,Data!$AI:$AI)</f>
        <v>0</v>
      </c>
      <c r="I626" s="14" t="s">
        <v>4354</v>
      </c>
      <c r="J626" s="14" t="s">
        <v>4355</v>
      </c>
      <c r="K626" s="14" t="s">
        <v>140</v>
      </c>
      <c r="L626" s="14" t="s">
        <v>3606</v>
      </c>
      <c r="M626" s="14" t="s">
        <v>4356</v>
      </c>
      <c r="N626" s="14">
        <v>22.91</v>
      </c>
      <c r="O626" s="14" t="s">
        <v>4357</v>
      </c>
      <c r="P626" s="14" t="s">
        <v>4358</v>
      </c>
      <c r="Q626" s="14" t="s">
        <v>211</v>
      </c>
      <c r="R626" s="14" t="s">
        <v>4359</v>
      </c>
      <c r="S626" s="14" t="s">
        <v>195</v>
      </c>
      <c r="T626" s="14" t="s">
        <v>149</v>
      </c>
      <c r="U626" s="14" t="s">
        <v>113</v>
      </c>
      <c r="V626" s="48">
        <f>SUMIF(Data!$E:$E,$I626,Data!$AI:$AI)</f>
        <v>0</v>
      </c>
    </row>
    <row r="627" spans="1:22" x14ac:dyDescent="0.25">
      <c r="A627" s="47" t="s">
        <v>3144</v>
      </c>
      <c r="B627" s="47" t="s">
        <v>123</v>
      </c>
      <c r="C627" s="47" t="s">
        <v>4360</v>
      </c>
      <c r="D627" s="47">
        <v>0.21609999999999999</v>
      </c>
      <c r="E627" s="48">
        <f>SUMIF(Data!$E:$E,$C627,Data!$AI:$AI)</f>
        <v>0</v>
      </c>
      <c r="I627" s="14" t="s">
        <v>4361</v>
      </c>
      <c r="J627" s="14" t="s">
        <v>4362</v>
      </c>
      <c r="K627" s="14" t="s">
        <v>140</v>
      </c>
      <c r="L627" s="14" t="s">
        <v>3606</v>
      </c>
      <c r="M627" s="14" t="s">
        <v>4363</v>
      </c>
      <c r="N627" s="14">
        <v>408.59199999999998</v>
      </c>
      <c r="O627" s="14" t="s">
        <v>4364</v>
      </c>
      <c r="P627" s="14" t="s">
        <v>4365</v>
      </c>
      <c r="Q627" s="14" t="s">
        <v>737</v>
      </c>
      <c r="R627" s="14" t="s">
        <v>4366</v>
      </c>
      <c r="S627" s="14" t="s">
        <v>850</v>
      </c>
      <c r="T627" s="14" t="s">
        <v>851</v>
      </c>
      <c r="U627" s="14" t="s">
        <v>852</v>
      </c>
      <c r="V627" s="48">
        <f>SUMIF(Data!$E:$E,$I627,Data!$AI:$AI)</f>
        <v>0</v>
      </c>
    </row>
    <row r="628" spans="1:22" x14ac:dyDescent="0.25">
      <c r="A628" s="47" t="s">
        <v>3144</v>
      </c>
      <c r="B628" s="47" t="s">
        <v>123</v>
      </c>
      <c r="C628" s="47" t="s">
        <v>4367</v>
      </c>
      <c r="D628" s="47">
        <v>0.31790000000000002</v>
      </c>
      <c r="E628" s="48">
        <f>SUMIF(Data!$E:$E,$C628,Data!$AI:$AI)</f>
        <v>0</v>
      </c>
      <c r="I628" s="14" t="s">
        <v>4368</v>
      </c>
      <c r="J628" s="14" t="s">
        <v>4369</v>
      </c>
      <c r="K628" s="14" t="s">
        <v>140</v>
      </c>
      <c r="L628" s="14" t="s">
        <v>3606</v>
      </c>
      <c r="M628" s="14" t="s">
        <v>4370</v>
      </c>
      <c r="N628" s="14">
        <v>57.427</v>
      </c>
      <c r="O628" s="14" t="s">
        <v>4371</v>
      </c>
      <c r="P628" s="14" t="s">
        <v>4372</v>
      </c>
      <c r="Q628" s="14" t="s">
        <v>809</v>
      </c>
      <c r="R628" s="14" t="s">
        <v>4373</v>
      </c>
      <c r="S628" s="14" t="s">
        <v>195</v>
      </c>
      <c r="T628" s="14" t="s">
        <v>149</v>
      </c>
      <c r="U628" s="14" t="s">
        <v>113</v>
      </c>
      <c r="V628" s="48">
        <f>SUMIF(Data!$E:$E,$I628,Data!$AI:$AI)</f>
        <v>0</v>
      </c>
    </row>
    <row r="629" spans="1:22" x14ac:dyDescent="0.25">
      <c r="A629" s="47" t="s">
        <v>3144</v>
      </c>
      <c r="B629" s="47" t="s">
        <v>123</v>
      </c>
      <c r="C629" s="47" t="s">
        <v>4374</v>
      </c>
      <c r="D629" s="47">
        <v>0.45789999999999997</v>
      </c>
      <c r="E629" s="48">
        <f>SUMIF(Data!$E:$E,$C629,Data!$AI:$AI)</f>
        <v>0</v>
      </c>
      <c r="I629" s="14" t="s">
        <v>4375</v>
      </c>
      <c r="J629" s="14" t="s">
        <v>4376</v>
      </c>
      <c r="K629" s="14" t="s">
        <v>140</v>
      </c>
      <c r="L629" s="14" t="s">
        <v>3606</v>
      </c>
      <c r="M629" s="14" t="s">
        <v>4377</v>
      </c>
      <c r="N629" s="14">
        <v>7.3949999999999996</v>
      </c>
      <c r="O629" s="14" t="s">
        <v>4378</v>
      </c>
      <c r="P629" s="14" t="s">
        <v>4379</v>
      </c>
      <c r="Q629" s="14" t="s">
        <v>193</v>
      </c>
      <c r="R629" s="14" t="s">
        <v>4380</v>
      </c>
      <c r="S629" s="14" t="s">
        <v>195</v>
      </c>
      <c r="T629" s="14" t="s">
        <v>149</v>
      </c>
      <c r="U629" s="14" t="s">
        <v>113</v>
      </c>
      <c r="V629" s="48">
        <f>SUMIF(Data!$E:$E,$I629,Data!$AI:$AI)</f>
        <v>0</v>
      </c>
    </row>
    <row r="630" spans="1:22" x14ac:dyDescent="0.25">
      <c r="A630" s="47" t="s">
        <v>3144</v>
      </c>
      <c r="B630" s="47" t="s">
        <v>123</v>
      </c>
      <c r="C630" s="47" t="s">
        <v>4381</v>
      </c>
      <c r="D630" s="47">
        <v>0.38500000000000001</v>
      </c>
      <c r="E630" s="48">
        <f>SUMIF(Data!$E:$E,$C630,Data!$AI:$AI)</f>
        <v>0</v>
      </c>
      <c r="I630" s="14" t="s">
        <v>4382</v>
      </c>
      <c r="J630" s="14" t="s">
        <v>4383</v>
      </c>
      <c r="K630" s="14" t="s">
        <v>140</v>
      </c>
      <c r="L630" s="14" t="s">
        <v>3606</v>
      </c>
      <c r="M630" s="14" t="s">
        <v>4384</v>
      </c>
      <c r="N630" s="14">
        <v>73.430000000000007</v>
      </c>
      <c r="O630" s="14" t="s">
        <v>4385</v>
      </c>
      <c r="P630" s="14" t="s">
        <v>4386</v>
      </c>
      <c r="Q630" s="14" t="s">
        <v>737</v>
      </c>
      <c r="R630" s="14" t="s">
        <v>4387</v>
      </c>
      <c r="S630" s="14" t="s">
        <v>195</v>
      </c>
      <c r="T630" s="14" t="s">
        <v>149</v>
      </c>
      <c r="U630" s="14" t="s">
        <v>113</v>
      </c>
      <c r="V630" s="48">
        <f>SUMIF(Data!$E:$E,$I630,Data!$AI:$AI)</f>
        <v>0</v>
      </c>
    </row>
    <row r="631" spans="1:22" x14ac:dyDescent="0.25">
      <c r="A631" s="47" t="s">
        <v>3144</v>
      </c>
      <c r="B631" s="47" t="s">
        <v>123</v>
      </c>
      <c r="C631" s="47" t="s">
        <v>4388</v>
      </c>
      <c r="D631" s="47">
        <v>0.84699999999999998</v>
      </c>
      <c r="E631" s="48">
        <f>SUMIF(Data!$E:$E,$C631,Data!$AI:$AI)</f>
        <v>0</v>
      </c>
      <c r="I631" s="14" t="s">
        <v>4389</v>
      </c>
      <c r="J631" s="14" t="s">
        <v>4390</v>
      </c>
      <c r="K631" s="14" t="s">
        <v>140</v>
      </c>
      <c r="L631" s="14" t="s">
        <v>3606</v>
      </c>
      <c r="M631" s="14" t="s">
        <v>4391</v>
      </c>
      <c r="N631" s="14">
        <v>169.613</v>
      </c>
      <c r="O631" s="14" t="s">
        <v>4392</v>
      </c>
      <c r="P631" s="14" t="s">
        <v>4393</v>
      </c>
      <c r="Q631" s="14" t="s">
        <v>211</v>
      </c>
      <c r="R631" s="14" t="s">
        <v>4394</v>
      </c>
      <c r="S631" s="14" t="s">
        <v>195</v>
      </c>
      <c r="T631" s="14" t="s">
        <v>149</v>
      </c>
      <c r="U631" s="14" t="s">
        <v>113</v>
      </c>
      <c r="V631" s="48">
        <f>SUMIF(Data!$E:$E,$I631,Data!$AI:$AI)</f>
        <v>0</v>
      </c>
    </row>
    <row r="632" spans="1:22" x14ac:dyDescent="0.25">
      <c r="A632" s="47" t="s">
        <v>3144</v>
      </c>
      <c r="B632" s="47" t="s">
        <v>123</v>
      </c>
      <c r="C632" s="47" t="s">
        <v>4395</v>
      </c>
      <c r="D632" s="47">
        <v>0.3589</v>
      </c>
      <c r="E632" s="48">
        <f>SUMIF(Data!$E:$E,$C632,Data!$AI:$AI)</f>
        <v>0</v>
      </c>
      <c r="I632" s="14" t="s">
        <v>1975</v>
      </c>
      <c r="J632" s="14" t="s">
        <v>4396</v>
      </c>
      <c r="K632" s="14" t="s">
        <v>140</v>
      </c>
      <c r="L632" s="14" t="s">
        <v>3606</v>
      </c>
      <c r="M632" s="14" t="s">
        <v>4397</v>
      </c>
      <c r="N632" s="14">
        <v>350.113</v>
      </c>
      <c r="O632" s="14" t="s">
        <v>4398</v>
      </c>
      <c r="P632" s="14" t="s">
        <v>4399</v>
      </c>
      <c r="Q632" s="14" t="s">
        <v>165</v>
      </c>
      <c r="R632" s="14" t="s">
        <v>4400</v>
      </c>
      <c r="S632" s="14" t="s">
        <v>850</v>
      </c>
      <c r="T632" s="14" t="s">
        <v>851</v>
      </c>
      <c r="U632" s="14" t="s">
        <v>852</v>
      </c>
      <c r="V632" s="48">
        <f>SUMIF(Data!$E:$E,$I632,Data!$AI:$AI)</f>
        <v>0</v>
      </c>
    </row>
    <row r="633" spans="1:22" x14ac:dyDescent="0.25">
      <c r="A633" s="47" t="s">
        <v>3144</v>
      </c>
      <c r="B633" s="47" t="s">
        <v>123</v>
      </c>
      <c r="C633" s="47" t="s">
        <v>4401</v>
      </c>
      <c r="D633" s="47">
        <v>0.13780000000000001</v>
      </c>
      <c r="E633" s="48">
        <f>SUMIF(Data!$E:$E,$C633,Data!$AI:$AI)</f>
        <v>0</v>
      </c>
      <c r="I633" s="14" t="s">
        <v>4402</v>
      </c>
      <c r="J633" s="14" t="s">
        <v>4403</v>
      </c>
      <c r="K633" s="14" t="s">
        <v>140</v>
      </c>
      <c r="L633" s="14" t="s">
        <v>3606</v>
      </c>
      <c r="M633" s="14" t="s">
        <v>4404</v>
      </c>
      <c r="N633" s="14">
        <v>598.596</v>
      </c>
      <c r="O633" s="14" t="s">
        <v>4405</v>
      </c>
      <c r="P633" s="14" t="s">
        <v>4406</v>
      </c>
      <c r="Q633" s="14" t="s">
        <v>165</v>
      </c>
      <c r="R633" s="14" t="s">
        <v>4407</v>
      </c>
      <c r="S633" s="14" t="s">
        <v>1130</v>
      </c>
      <c r="T633" s="14" t="s">
        <v>1131</v>
      </c>
      <c r="U633" s="14" t="s">
        <v>528</v>
      </c>
      <c r="V633" s="48">
        <f>SUMIF(Data!$E:$E,$I633,Data!$AI:$AI)</f>
        <v>0</v>
      </c>
    </row>
    <row r="634" spans="1:22" x14ac:dyDescent="0.25">
      <c r="A634" s="47" t="s">
        <v>3144</v>
      </c>
      <c r="B634" s="47" t="s">
        <v>123</v>
      </c>
      <c r="C634" s="47" t="s">
        <v>4408</v>
      </c>
      <c r="D634" s="47">
        <v>0.21199999999999999</v>
      </c>
      <c r="E634" s="48">
        <f>SUMIF(Data!$E:$E,$C634,Data!$AI:$AI)</f>
        <v>0</v>
      </c>
      <c r="I634" s="14" t="s">
        <v>4409</v>
      </c>
      <c r="J634" s="14" t="s">
        <v>4410</v>
      </c>
      <c r="K634" s="14" t="s">
        <v>140</v>
      </c>
      <c r="L634" s="14" t="s">
        <v>3606</v>
      </c>
      <c r="M634" s="14" t="s">
        <v>4411</v>
      </c>
      <c r="N634" s="14">
        <v>74.552000000000007</v>
      </c>
      <c r="O634" s="14" t="s">
        <v>4412</v>
      </c>
      <c r="P634" s="14" t="s">
        <v>4413</v>
      </c>
      <c r="Q634" s="14" t="s">
        <v>146</v>
      </c>
      <c r="R634" s="14" t="s">
        <v>4414</v>
      </c>
      <c r="S634" s="14" t="s">
        <v>148</v>
      </c>
      <c r="T634" s="14" t="s">
        <v>149</v>
      </c>
      <c r="U634" s="14" t="s">
        <v>113</v>
      </c>
      <c r="V634" s="48">
        <f>SUMIF(Data!$E:$E,$I634,Data!$AI:$AI)</f>
        <v>0</v>
      </c>
    </row>
    <row r="635" spans="1:22" x14ac:dyDescent="0.25">
      <c r="A635" s="47" t="s">
        <v>3144</v>
      </c>
      <c r="B635" s="47" t="s">
        <v>123</v>
      </c>
      <c r="C635" s="47" t="s">
        <v>4415</v>
      </c>
      <c r="D635" s="47">
        <v>0.56279999999999997</v>
      </c>
      <c r="E635" s="48">
        <f>SUMIF(Data!$E:$E,$C635,Data!$AI:$AI)</f>
        <v>0</v>
      </c>
      <c r="I635" s="14" t="s">
        <v>4416</v>
      </c>
      <c r="J635" s="14" t="s">
        <v>4417</v>
      </c>
      <c r="K635" s="14" t="s">
        <v>140</v>
      </c>
      <c r="L635" s="14" t="s">
        <v>3606</v>
      </c>
      <c r="M635" s="14" t="s">
        <v>4418</v>
      </c>
      <c r="N635" s="14">
        <v>902.51800000000003</v>
      </c>
      <c r="O635" s="14" t="s">
        <v>4419</v>
      </c>
      <c r="P635" s="14" t="s">
        <v>4420</v>
      </c>
      <c r="Q635" s="14" t="s">
        <v>193</v>
      </c>
      <c r="R635" s="14" t="s">
        <v>4421</v>
      </c>
      <c r="S635" s="14" t="s">
        <v>2931</v>
      </c>
      <c r="T635" s="14" t="s">
        <v>2932</v>
      </c>
      <c r="U635" s="14" t="s">
        <v>2933</v>
      </c>
      <c r="V635" s="48">
        <f>SUMIF(Data!$E:$E,$I635,Data!$AI:$AI)</f>
        <v>0</v>
      </c>
    </row>
    <row r="636" spans="1:22" x14ac:dyDescent="0.25">
      <c r="A636" s="47" t="s">
        <v>3144</v>
      </c>
      <c r="B636" s="47" t="s">
        <v>123</v>
      </c>
      <c r="C636" s="47" t="s">
        <v>4422</v>
      </c>
      <c r="D636" s="47">
        <v>0.34939999999999999</v>
      </c>
      <c r="E636" s="48">
        <f>SUMIF(Data!$E:$E,$C636,Data!$AI:$AI)</f>
        <v>0</v>
      </c>
      <c r="I636" s="14">
        <v>7269</v>
      </c>
      <c r="J636" s="14" t="s">
        <v>4423</v>
      </c>
      <c r="K636" s="14" t="s">
        <v>140</v>
      </c>
      <c r="L636" s="14" t="s">
        <v>4424</v>
      </c>
      <c r="M636" s="14" t="s">
        <v>4425</v>
      </c>
      <c r="N636" s="14">
        <v>203.70400000000001</v>
      </c>
      <c r="O636" s="14" t="s">
        <v>4426</v>
      </c>
      <c r="P636" s="14" t="s">
        <v>4427</v>
      </c>
      <c r="Q636" s="14" t="s">
        <v>165</v>
      </c>
      <c r="R636" s="14" t="s">
        <v>4428</v>
      </c>
      <c r="S636" s="14" t="s">
        <v>444</v>
      </c>
      <c r="T636" s="14" t="s">
        <v>445</v>
      </c>
      <c r="U636" s="14" t="s">
        <v>446</v>
      </c>
      <c r="V636" s="48">
        <f>SUMIF(Data!$E:$E,$I636,Data!$AI:$AI)</f>
        <v>0</v>
      </c>
    </row>
    <row r="637" spans="1:22" x14ac:dyDescent="0.25">
      <c r="A637" s="47" t="s">
        <v>3144</v>
      </c>
      <c r="B637" s="47" t="s">
        <v>123</v>
      </c>
      <c r="C637" s="47" t="s">
        <v>4429</v>
      </c>
      <c r="D637" s="47">
        <v>7.0499999999999993E-2</v>
      </c>
      <c r="E637" s="48">
        <f>SUMIF(Data!$E:$E,$C637,Data!$AI:$AI)</f>
        <v>0</v>
      </c>
      <c r="I637" s="14" t="s">
        <v>4430</v>
      </c>
      <c r="J637" s="14" t="s">
        <v>4431</v>
      </c>
      <c r="K637" s="14" t="s">
        <v>140</v>
      </c>
      <c r="L637" s="14" t="s">
        <v>4424</v>
      </c>
      <c r="M637" s="14" t="s">
        <v>4432</v>
      </c>
      <c r="N637" s="14">
        <v>320.863</v>
      </c>
      <c r="O637" s="14" t="s">
        <v>4433</v>
      </c>
      <c r="P637" s="14" t="s">
        <v>4434</v>
      </c>
      <c r="Q637" s="14" t="s">
        <v>146</v>
      </c>
      <c r="R637" s="14" t="s">
        <v>4435</v>
      </c>
      <c r="S637" s="14" t="s">
        <v>148</v>
      </c>
      <c r="T637" s="14" t="s">
        <v>149</v>
      </c>
      <c r="U637" s="14" t="s">
        <v>113</v>
      </c>
      <c r="V637" s="48">
        <f>SUMIF(Data!$E:$E,$I637,Data!$AI:$AI)</f>
        <v>0</v>
      </c>
    </row>
    <row r="638" spans="1:22" x14ac:dyDescent="0.25">
      <c r="A638" s="47" t="s">
        <v>3144</v>
      </c>
      <c r="B638" s="47" t="s">
        <v>123</v>
      </c>
      <c r="C638" s="47" t="s">
        <v>4436</v>
      </c>
      <c r="D638" s="47">
        <v>0.10249999999999999</v>
      </c>
      <c r="E638" s="48">
        <f>SUMIF(Data!$E:$E,$C638,Data!$AI:$AI)</f>
        <v>0</v>
      </c>
      <c r="I638" s="14" t="s">
        <v>4437</v>
      </c>
      <c r="J638" s="14" t="s">
        <v>4438</v>
      </c>
      <c r="K638" s="14" t="s">
        <v>140</v>
      </c>
      <c r="L638" s="14" t="s">
        <v>4424</v>
      </c>
      <c r="M638" s="14" t="s">
        <v>4439</v>
      </c>
      <c r="N638" s="14">
        <v>948.79300000000001</v>
      </c>
      <c r="O638" s="14" t="s">
        <v>4440</v>
      </c>
      <c r="P638" s="14" t="s">
        <v>4441</v>
      </c>
      <c r="Q638" s="14" t="s">
        <v>419</v>
      </c>
      <c r="R638" s="14" t="s">
        <v>4442</v>
      </c>
      <c r="S638" s="14" t="s">
        <v>479</v>
      </c>
      <c r="T638" s="14" t="s">
        <v>480</v>
      </c>
      <c r="U638" s="14" t="s">
        <v>481</v>
      </c>
      <c r="V638" s="48">
        <f>SUMIF(Data!$E:$E,$I638,Data!$AI:$AI)</f>
        <v>0</v>
      </c>
    </row>
    <row r="639" spans="1:22" x14ac:dyDescent="0.25">
      <c r="A639" s="47" t="s">
        <v>3144</v>
      </c>
      <c r="B639" s="47" t="s">
        <v>123</v>
      </c>
      <c r="C639" s="47" t="s">
        <v>4443</v>
      </c>
      <c r="D639" s="47">
        <v>0.14180000000000001</v>
      </c>
      <c r="E639" s="48">
        <f>SUMIF(Data!$E:$E,$C639,Data!$AI:$AI)</f>
        <v>0</v>
      </c>
      <c r="I639" s="14">
        <v>7270</v>
      </c>
      <c r="J639" s="14" t="s">
        <v>4444</v>
      </c>
      <c r="K639" s="14" t="s">
        <v>140</v>
      </c>
      <c r="L639" s="14" t="s">
        <v>4424</v>
      </c>
      <c r="M639" s="14" t="s">
        <v>4445</v>
      </c>
      <c r="N639" s="14">
        <v>344.7</v>
      </c>
      <c r="O639" s="14" t="s">
        <v>4446</v>
      </c>
      <c r="P639" s="14" t="s">
        <v>4447</v>
      </c>
      <c r="Q639" s="14" t="s">
        <v>165</v>
      </c>
      <c r="R639" s="14" t="s">
        <v>4448</v>
      </c>
      <c r="S639" s="14" t="s">
        <v>444</v>
      </c>
      <c r="T639" s="14" t="s">
        <v>445</v>
      </c>
      <c r="U639" s="14" t="s">
        <v>446</v>
      </c>
      <c r="V639" s="48">
        <f>SUMIF(Data!$E:$E,$I639,Data!$AI:$AI)</f>
        <v>0</v>
      </c>
    </row>
    <row r="640" spans="1:22" x14ac:dyDescent="0.25">
      <c r="A640" s="47" t="s">
        <v>3144</v>
      </c>
      <c r="B640" s="47" t="s">
        <v>123</v>
      </c>
      <c r="C640" s="47" t="s">
        <v>4449</v>
      </c>
      <c r="D640" s="47">
        <v>8.4599999999999995E-2</v>
      </c>
      <c r="E640" s="48">
        <f>SUMIF(Data!$E:$E,$C640,Data!$AI:$AI)</f>
        <v>0</v>
      </c>
      <c r="I640" s="14">
        <v>6326</v>
      </c>
      <c r="J640" s="14" t="s">
        <v>4450</v>
      </c>
      <c r="K640" s="14" t="s">
        <v>140</v>
      </c>
      <c r="L640" s="14" t="s">
        <v>4424</v>
      </c>
      <c r="M640" s="14" t="s">
        <v>4451</v>
      </c>
      <c r="N640" s="14">
        <v>542.971</v>
      </c>
      <c r="O640" s="14" t="s">
        <v>4452</v>
      </c>
      <c r="P640" s="14" t="s">
        <v>4453</v>
      </c>
      <c r="Q640" s="14" t="s">
        <v>419</v>
      </c>
      <c r="R640" s="14" t="s">
        <v>4454</v>
      </c>
      <c r="S640" s="14" t="s">
        <v>444</v>
      </c>
      <c r="T640" s="14" t="s">
        <v>445</v>
      </c>
      <c r="U640" s="14" t="s">
        <v>446</v>
      </c>
      <c r="V640" s="48">
        <f>SUMIF(Data!$E:$E,$I640,Data!$AI:$AI)</f>
        <v>0</v>
      </c>
    </row>
    <row r="641" spans="1:22" x14ac:dyDescent="0.25">
      <c r="A641" s="47" t="s">
        <v>4455</v>
      </c>
      <c r="B641" s="47" t="s">
        <v>123</v>
      </c>
      <c r="C641" s="47" t="s">
        <v>4456</v>
      </c>
      <c r="D641" s="47">
        <v>100</v>
      </c>
      <c r="E641" s="48">
        <f>SUMIF(Data!$E:$E,$C641,Data!$AI:$AI)</f>
        <v>0</v>
      </c>
      <c r="I641" s="14" t="s">
        <v>4457</v>
      </c>
      <c r="J641" s="14" t="s">
        <v>4458</v>
      </c>
      <c r="K641" s="14" t="s">
        <v>140</v>
      </c>
      <c r="L641" s="14" t="s">
        <v>4424</v>
      </c>
      <c r="M641" s="14" t="s">
        <v>4459</v>
      </c>
      <c r="N641" s="14">
        <v>277.37099999999998</v>
      </c>
      <c r="O641" s="14" t="s">
        <v>4460</v>
      </c>
      <c r="P641" s="14" t="s">
        <v>4461</v>
      </c>
      <c r="Q641" s="14" t="s">
        <v>809</v>
      </c>
      <c r="R641" s="14" t="s">
        <v>4462</v>
      </c>
      <c r="S641" s="14" t="s">
        <v>195</v>
      </c>
      <c r="T641" s="14" t="s">
        <v>149</v>
      </c>
      <c r="U641" s="14" t="s">
        <v>113</v>
      </c>
      <c r="V641" s="48">
        <f>SUMIF(Data!$E:$E,$I641,Data!$AI:$AI)</f>
        <v>0</v>
      </c>
    </row>
    <row r="642" spans="1:22" x14ac:dyDescent="0.25">
      <c r="A642" s="47" t="s">
        <v>4463</v>
      </c>
      <c r="B642" s="47" t="s">
        <v>123</v>
      </c>
      <c r="C642" s="47" t="s">
        <v>4464</v>
      </c>
      <c r="D642" s="47">
        <v>3.5786619967033499</v>
      </c>
      <c r="E642" s="48">
        <f>SUMIF(Data!$E:$E,$C642,Data!$AI:$AI)</f>
        <v>0.16778694604010902</v>
      </c>
      <c r="I642" s="14" t="s">
        <v>4465</v>
      </c>
      <c r="J642" s="14" t="s">
        <v>4466</v>
      </c>
      <c r="K642" s="14" t="s">
        <v>140</v>
      </c>
      <c r="L642" s="14" t="s">
        <v>4424</v>
      </c>
      <c r="M642" s="14" t="s">
        <v>4467</v>
      </c>
      <c r="N642" s="14">
        <v>36.009</v>
      </c>
      <c r="O642" s="14" t="s">
        <v>4468</v>
      </c>
      <c r="P642" s="14" t="s">
        <v>4469</v>
      </c>
      <c r="Q642" s="14" t="s">
        <v>165</v>
      </c>
      <c r="R642" s="14" t="s">
        <v>4470</v>
      </c>
      <c r="S642" s="14" t="s">
        <v>195</v>
      </c>
      <c r="T642" s="14" t="s">
        <v>149</v>
      </c>
      <c r="U642" s="14" t="s">
        <v>113</v>
      </c>
      <c r="V642" s="48">
        <f>SUMIF(Data!$E:$E,$I642,Data!$AI:$AI)</f>
        <v>0</v>
      </c>
    </row>
    <row r="643" spans="1:22" x14ac:dyDescent="0.25">
      <c r="A643" s="47" t="s">
        <v>4463</v>
      </c>
      <c r="B643" s="47" t="s">
        <v>123</v>
      </c>
      <c r="C643" s="47" t="s">
        <v>4471</v>
      </c>
      <c r="D643" s="47">
        <v>1.34651908008693</v>
      </c>
      <c r="E643" s="48">
        <f>SUMIF(Data!$E:$E,$C643,Data!$AI:$AI)</f>
        <v>0</v>
      </c>
      <c r="I643" s="14">
        <v>27</v>
      </c>
      <c r="J643" s="14" t="s">
        <v>4472</v>
      </c>
      <c r="K643" s="14" t="s">
        <v>140</v>
      </c>
      <c r="L643" s="14" t="s">
        <v>4424</v>
      </c>
      <c r="M643" s="14" t="s">
        <v>4473</v>
      </c>
      <c r="N643" s="14" t="s">
        <v>4474</v>
      </c>
      <c r="O643" s="14" t="s">
        <v>4475</v>
      </c>
      <c r="P643" s="14" t="s">
        <v>4476</v>
      </c>
      <c r="Q643" s="14" t="s">
        <v>165</v>
      </c>
      <c r="R643" s="14" t="s">
        <v>4477</v>
      </c>
      <c r="S643" s="14" t="s">
        <v>552</v>
      </c>
      <c r="T643" s="14" t="s">
        <v>553</v>
      </c>
      <c r="U643" s="14" t="s">
        <v>554</v>
      </c>
      <c r="V643" s="48">
        <f>SUMIF(Data!$E:$E,$I643,Data!$AI:$AI)</f>
        <v>0</v>
      </c>
    </row>
    <row r="644" spans="1:22" x14ac:dyDescent="0.25">
      <c r="A644" s="47" t="s">
        <v>4463</v>
      </c>
      <c r="B644" s="47" t="s">
        <v>123</v>
      </c>
      <c r="C644" s="47" t="s">
        <v>4478</v>
      </c>
      <c r="D644" s="47">
        <v>2.7784129112363698</v>
      </c>
      <c r="E644" s="48">
        <f>SUMIF(Data!$E:$E,$C644,Data!$AI:$AI)</f>
        <v>0.23823313841468968</v>
      </c>
      <c r="I644" s="14">
        <v>8053</v>
      </c>
      <c r="J644" s="14" t="s">
        <v>4479</v>
      </c>
      <c r="K644" s="14" t="s">
        <v>140</v>
      </c>
      <c r="L644" s="14" t="s">
        <v>4424</v>
      </c>
      <c r="M644" s="14" t="s">
        <v>4480</v>
      </c>
      <c r="N644" s="14">
        <v>564.46500000000003</v>
      </c>
      <c r="O644" s="14" t="s">
        <v>4481</v>
      </c>
      <c r="P644" s="14" t="s">
        <v>4482</v>
      </c>
      <c r="Q644" s="14" t="s">
        <v>419</v>
      </c>
      <c r="R644" s="14" t="s">
        <v>4483</v>
      </c>
      <c r="S644" s="14" t="s">
        <v>444</v>
      </c>
      <c r="T644" s="14" t="s">
        <v>445</v>
      </c>
      <c r="U644" s="14" t="s">
        <v>446</v>
      </c>
      <c r="V644" s="48">
        <f>SUMIF(Data!$E:$E,$I644,Data!$AI:$AI)</f>
        <v>0</v>
      </c>
    </row>
    <row r="645" spans="1:22" x14ac:dyDescent="0.25">
      <c r="A645" s="47" t="s">
        <v>4463</v>
      </c>
      <c r="B645" s="47" t="s">
        <v>123</v>
      </c>
      <c r="C645" s="47" t="s">
        <v>4484</v>
      </c>
      <c r="D645" s="47">
        <v>92.296406011973403</v>
      </c>
      <c r="E645" s="48">
        <f>SUMIF(Data!$E:$E,$C645,Data!$AI:$AI)</f>
        <v>0</v>
      </c>
      <c r="I645" s="14" t="s">
        <v>4485</v>
      </c>
      <c r="J645" s="14" t="s">
        <v>4486</v>
      </c>
      <c r="K645" s="14" t="s">
        <v>140</v>
      </c>
      <c r="L645" s="14" t="s">
        <v>4424</v>
      </c>
      <c r="M645" s="14" t="s">
        <v>4487</v>
      </c>
      <c r="N645" s="14">
        <v>75.070999999999998</v>
      </c>
      <c r="O645" s="14" t="s">
        <v>4488</v>
      </c>
      <c r="P645" s="14" t="s">
        <v>4489</v>
      </c>
      <c r="Q645" s="14" t="s">
        <v>165</v>
      </c>
      <c r="R645" s="14" t="s">
        <v>4490</v>
      </c>
      <c r="S645" s="14" t="s">
        <v>148</v>
      </c>
      <c r="T645" s="14" t="s">
        <v>149</v>
      </c>
      <c r="U645" s="14" t="s">
        <v>113</v>
      </c>
      <c r="V645" s="48">
        <f>SUMIF(Data!$E:$E,$I645,Data!$AI:$AI)</f>
        <v>0</v>
      </c>
    </row>
    <row r="646" spans="1:22" x14ac:dyDescent="0.25">
      <c r="A646" s="47" t="s">
        <v>4491</v>
      </c>
      <c r="B646" s="47" t="s">
        <v>123</v>
      </c>
      <c r="C646" s="47" t="s">
        <v>4492</v>
      </c>
      <c r="D646" s="47">
        <v>44.929981115093199</v>
      </c>
      <c r="E646" s="48">
        <f>SUMIF(Data!$E:$E,$C646,Data!$AI:$AI)</f>
        <v>0</v>
      </c>
      <c r="I646" s="14" t="s">
        <v>4493</v>
      </c>
      <c r="J646" s="14" t="s">
        <v>4494</v>
      </c>
      <c r="K646" s="14" t="s">
        <v>140</v>
      </c>
      <c r="L646" s="14" t="s">
        <v>4424</v>
      </c>
      <c r="M646" s="14" t="s">
        <v>4495</v>
      </c>
      <c r="N646" s="14">
        <v>190.6</v>
      </c>
      <c r="O646" s="14" t="s">
        <v>4496</v>
      </c>
      <c r="P646" s="14" t="s">
        <v>4497</v>
      </c>
      <c r="Q646" s="14" t="s">
        <v>193</v>
      </c>
      <c r="R646" s="14" t="s">
        <v>4498</v>
      </c>
      <c r="S646" s="14" t="s">
        <v>148</v>
      </c>
      <c r="T646" s="14" t="s">
        <v>149</v>
      </c>
      <c r="U646" s="14" t="s">
        <v>113</v>
      </c>
      <c r="V646" s="48">
        <f>SUMIF(Data!$E:$E,$I646,Data!$AI:$AI)</f>
        <v>0</v>
      </c>
    </row>
    <row r="647" spans="1:22" x14ac:dyDescent="0.25">
      <c r="A647" s="47" t="s">
        <v>4491</v>
      </c>
      <c r="B647" s="47" t="s">
        <v>123</v>
      </c>
      <c r="C647" s="47" t="s">
        <v>4499</v>
      </c>
      <c r="D647" s="47">
        <v>25.509415198549</v>
      </c>
      <c r="E647" s="48">
        <f>SUMIF(Data!$E:$E,$C647,Data!$AI:$AI)</f>
        <v>0</v>
      </c>
      <c r="I647" s="14" t="s">
        <v>4500</v>
      </c>
      <c r="J647" s="14" t="s">
        <v>4501</v>
      </c>
      <c r="K647" s="14" t="s">
        <v>140</v>
      </c>
      <c r="L647" s="14" t="s">
        <v>4424</v>
      </c>
      <c r="M647" s="14" t="s">
        <v>4502</v>
      </c>
      <c r="N647" s="14">
        <v>71.656000000000006</v>
      </c>
      <c r="O647" s="14" t="s">
        <v>4503</v>
      </c>
      <c r="P647" s="14" t="s">
        <v>4504</v>
      </c>
      <c r="Q647" s="14" t="s">
        <v>146</v>
      </c>
      <c r="R647" s="14" t="s">
        <v>4505</v>
      </c>
      <c r="S647" s="14" t="s">
        <v>195</v>
      </c>
      <c r="T647" s="14" t="s">
        <v>149</v>
      </c>
      <c r="U647" s="14" t="s">
        <v>113</v>
      </c>
      <c r="V647" s="48">
        <f>SUMIF(Data!$E:$E,$I647,Data!$AI:$AI)</f>
        <v>0</v>
      </c>
    </row>
    <row r="648" spans="1:22" x14ac:dyDescent="0.25">
      <c r="A648" s="47" t="s">
        <v>4491</v>
      </c>
      <c r="B648" s="47" t="s">
        <v>123</v>
      </c>
      <c r="C648" s="47" t="s">
        <v>4506</v>
      </c>
      <c r="D648" s="47">
        <v>10.3430561854813</v>
      </c>
      <c r="E648" s="48">
        <f>SUMIF(Data!$E:$E,$C648,Data!$AI:$AI)</f>
        <v>0.35312037204807345</v>
      </c>
      <c r="I648" s="14" t="s">
        <v>4507</v>
      </c>
      <c r="J648" s="14" t="s">
        <v>4508</v>
      </c>
      <c r="K648" s="14" t="s">
        <v>140</v>
      </c>
      <c r="L648" s="14" t="s">
        <v>4424</v>
      </c>
      <c r="M648" s="14" t="s">
        <v>4509</v>
      </c>
      <c r="N648" s="14">
        <v>73.084999999999994</v>
      </c>
      <c r="O648" s="14" t="s">
        <v>4510</v>
      </c>
      <c r="P648" s="14" t="s">
        <v>4511</v>
      </c>
      <c r="Q648" s="14" t="s">
        <v>146</v>
      </c>
      <c r="R648" s="14" t="s">
        <v>4512</v>
      </c>
      <c r="S648" s="14" t="s">
        <v>148</v>
      </c>
      <c r="T648" s="14" t="s">
        <v>149</v>
      </c>
      <c r="U648" s="14" t="s">
        <v>113</v>
      </c>
      <c r="V648" s="48">
        <f>SUMIF(Data!$E:$E,$I648,Data!$AI:$AI)</f>
        <v>0</v>
      </c>
    </row>
    <row r="649" spans="1:22" x14ac:dyDescent="0.25">
      <c r="A649" s="47" t="s">
        <v>4491</v>
      </c>
      <c r="B649" s="47" t="s">
        <v>123</v>
      </c>
      <c r="C649" s="47" t="s">
        <v>4513</v>
      </c>
      <c r="D649" s="47">
        <v>2.1263784011144602</v>
      </c>
      <c r="E649" s="48">
        <f>SUMIF(Data!$E:$E,$C649,Data!$AI:$AI)</f>
        <v>7.5221619812558246E-2</v>
      </c>
      <c r="I649" s="14" t="s">
        <v>4514</v>
      </c>
      <c r="J649" s="14" t="s">
        <v>4515</v>
      </c>
      <c r="K649" s="14" t="s">
        <v>140</v>
      </c>
      <c r="L649" s="14" t="s">
        <v>4424</v>
      </c>
      <c r="M649" s="14" t="s">
        <v>4516</v>
      </c>
      <c r="N649" s="14">
        <v>149.74100000000001</v>
      </c>
      <c r="O649" s="14" t="s">
        <v>4517</v>
      </c>
      <c r="P649" s="14" t="s">
        <v>4518</v>
      </c>
      <c r="Q649" s="14" t="s">
        <v>697</v>
      </c>
      <c r="R649" s="14" t="s">
        <v>4519</v>
      </c>
      <c r="S649" s="14" t="s">
        <v>148</v>
      </c>
      <c r="T649" s="14" t="s">
        <v>149</v>
      </c>
      <c r="U649" s="14" t="s">
        <v>113</v>
      </c>
      <c r="V649" s="48">
        <f>SUMIF(Data!$E:$E,$I649,Data!$AI:$AI)</f>
        <v>0</v>
      </c>
    </row>
    <row r="650" spans="1:22" x14ac:dyDescent="0.25">
      <c r="A650" s="47" t="s">
        <v>4491</v>
      </c>
      <c r="B650" s="47" t="s">
        <v>123</v>
      </c>
      <c r="C650" s="47" t="s">
        <v>4520</v>
      </c>
      <c r="D650" s="47">
        <v>17.091169099761998</v>
      </c>
      <c r="E650" s="48">
        <f>SUMIF(Data!$E:$E,$C650,Data!$AI:$AI)</f>
        <v>0</v>
      </c>
      <c r="I650" s="14" t="s">
        <v>327</v>
      </c>
      <c r="J650" s="14" t="s">
        <v>4521</v>
      </c>
      <c r="K650" s="14" t="s">
        <v>140</v>
      </c>
      <c r="L650" s="14" t="s">
        <v>4424</v>
      </c>
      <c r="M650" s="14" t="s">
        <v>4522</v>
      </c>
      <c r="N650" s="14">
        <v>65.108999999999995</v>
      </c>
      <c r="O650" s="14" t="s">
        <v>4523</v>
      </c>
      <c r="P650" s="14" t="s">
        <v>4524</v>
      </c>
      <c r="Q650" s="14" t="s">
        <v>211</v>
      </c>
      <c r="R650" s="14" t="s">
        <v>4525</v>
      </c>
      <c r="S650" s="14" t="s">
        <v>526</v>
      </c>
      <c r="T650" s="14" t="s">
        <v>527</v>
      </c>
      <c r="U650" s="14" t="s">
        <v>528</v>
      </c>
      <c r="V650" s="48">
        <f>SUMIF(Data!$E:$E,$I650,Data!$AI:$AI)</f>
        <v>0</v>
      </c>
    </row>
    <row r="651" spans="1:22" x14ac:dyDescent="0.25">
      <c r="A651" s="47" t="s">
        <v>4526</v>
      </c>
      <c r="B651" s="47" t="s">
        <v>123</v>
      </c>
      <c r="C651" s="47" t="s">
        <v>4527</v>
      </c>
      <c r="D651" s="47">
        <v>100</v>
      </c>
      <c r="E651" s="48">
        <f>SUMIF(Data!$E:$E,$C651,Data!$AI:$AI)</f>
        <v>0</v>
      </c>
      <c r="I651" s="14" t="s">
        <v>4528</v>
      </c>
      <c r="J651" s="14" t="s">
        <v>4529</v>
      </c>
      <c r="K651" s="14" t="s">
        <v>140</v>
      </c>
      <c r="L651" s="14" t="s">
        <v>4424</v>
      </c>
      <c r="M651" s="14" t="s">
        <v>4530</v>
      </c>
      <c r="N651" s="14">
        <v>72.269000000000005</v>
      </c>
      <c r="O651" s="14" t="s">
        <v>4531</v>
      </c>
      <c r="P651" s="14" t="s">
        <v>4532</v>
      </c>
      <c r="Q651" s="14" t="s">
        <v>146</v>
      </c>
      <c r="R651" s="14" t="s">
        <v>4533</v>
      </c>
      <c r="S651" s="14" t="s">
        <v>148</v>
      </c>
      <c r="T651" s="14" t="s">
        <v>149</v>
      </c>
      <c r="U651" s="14" t="s">
        <v>113</v>
      </c>
      <c r="V651" s="48">
        <f>SUMIF(Data!$E:$E,$I651,Data!$AI:$AI)</f>
        <v>0</v>
      </c>
    </row>
    <row r="652" spans="1:22" x14ac:dyDescent="0.25">
      <c r="A652" s="47" t="s">
        <v>4534</v>
      </c>
      <c r="B652" s="47" t="s">
        <v>123</v>
      </c>
      <c r="C652" s="47" t="s">
        <v>4535</v>
      </c>
      <c r="D652" s="47">
        <v>100</v>
      </c>
      <c r="E652" s="48">
        <f>SUMIF(Data!$E:$E,$C652,Data!$AI:$AI)</f>
        <v>0</v>
      </c>
      <c r="I652" s="14" t="s">
        <v>4536</v>
      </c>
      <c r="J652" s="14" t="s">
        <v>4537</v>
      </c>
      <c r="K652" s="14" t="s">
        <v>140</v>
      </c>
      <c r="L652" s="14" t="s">
        <v>4424</v>
      </c>
      <c r="M652" s="14" t="s">
        <v>4538</v>
      </c>
      <c r="N652" s="14">
        <v>90.227999999999994</v>
      </c>
      <c r="O652" s="14" t="s">
        <v>4539</v>
      </c>
      <c r="P652" s="14" t="s">
        <v>4540</v>
      </c>
      <c r="Q652" s="14" t="s">
        <v>211</v>
      </c>
      <c r="R652" s="14" t="s">
        <v>4541</v>
      </c>
      <c r="S652" s="14" t="s">
        <v>148</v>
      </c>
      <c r="T652" s="14" t="s">
        <v>149</v>
      </c>
      <c r="U652" s="14" t="s">
        <v>113</v>
      </c>
      <c r="V652" s="48">
        <f>SUMIF(Data!$E:$E,$I652,Data!$AI:$AI)</f>
        <v>0</v>
      </c>
    </row>
    <row r="653" spans="1:22" x14ac:dyDescent="0.25">
      <c r="A653" s="47" t="s">
        <v>4542</v>
      </c>
      <c r="B653" s="47" t="s">
        <v>123</v>
      </c>
      <c r="C653" s="47" t="s">
        <v>2017</v>
      </c>
      <c r="D653" s="47">
        <v>44.316007769028801</v>
      </c>
      <c r="E653" s="48">
        <f>SUMIF(Data!$E:$E,$C653,Data!$AI:$AI)</f>
        <v>0</v>
      </c>
      <c r="I653" s="14" t="s">
        <v>4543</v>
      </c>
      <c r="J653" s="14" t="s">
        <v>4544</v>
      </c>
      <c r="K653" s="14" t="s">
        <v>140</v>
      </c>
      <c r="L653" s="14" t="s">
        <v>4424</v>
      </c>
      <c r="M653" s="14" t="s">
        <v>4545</v>
      </c>
      <c r="N653" s="14">
        <v>51.826000000000001</v>
      </c>
      <c r="O653" s="14" t="s">
        <v>4546</v>
      </c>
      <c r="P653" s="14" t="s">
        <v>4547</v>
      </c>
      <c r="Q653" s="14" t="s">
        <v>419</v>
      </c>
      <c r="R653" s="14" t="s">
        <v>4548</v>
      </c>
      <c r="S653" s="14" t="s">
        <v>195</v>
      </c>
      <c r="T653" s="14" t="s">
        <v>149</v>
      </c>
      <c r="U653" s="14" t="s">
        <v>113</v>
      </c>
      <c r="V653" s="48">
        <f>SUMIF(Data!$E:$E,$I653,Data!$AI:$AI)</f>
        <v>0</v>
      </c>
    </row>
    <row r="654" spans="1:22" x14ac:dyDescent="0.25">
      <c r="A654" s="47" t="s">
        <v>4542</v>
      </c>
      <c r="B654" s="47" t="s">
        <v>123</v>
      </c>
      <c r="C654" s="47" t="s">
        <v>4549</v>
      </c>
      <c r="D654" s="47">
        <v>25.9260816279312</v>
      </c>
      <c r="E654" s="48">
        <f>SUMIF(Data!$E:$E,$C654,Data!$AI:$AI)</f>
        <v>0</v>
      </c>
      <c r="I654" s="14" t="s">
        <v>4550</v>
      </c>
      <c r="J654" s="14" t="s">
        <v>4551</v>
      </c>
      <c r="K654" s="14" t="s">
        <v>140</v>
      </c>
      <c r="L654" s="14" t="s">
        <v>4424</v>
      </c>
      <c r="M654" s="14" t="s">
        <v>4552</v>
      </c>
      <c r="N654" s="14">
        <v>131.006</v>
      </c>
      <c r="O654" s="14" t="s">
        <v>4553</v>
      </c>
      <c r="P654" s="14" t="s">
        <v>4554</v>
      </c>
      <c r="Q654" s="14" t="s">
        <v>165</v>
      </c>
      <c r="R654" s="14" t="s">
        <v>4555</v>
      </c>
      <c r="S654" s="14" t="s">
        <v>728</v>
      </c>
      <c r="T654" s="14" t="s">
        <v>729</v>
      </c>
      <c r="U654" s="14" t="s">
        <v>730</v>
      </c>
      <c r="V654" s="48">
        <f>SUMIF(Data!$E:$E,$I654,Data!$AI:$AI)</f>
        <v>0</v>
      </c>
    </row>
    <row r="655" spans="1:22" x14ac:dyDescent="0.25">
      <c r="A655" s="47" t="s">
        <v>4542</v>
      </c>
      <c r="B655" s="47" t="s">
        <v>123</v>
      </c>
      <c r="C655" s="47" t="s">
        <v>4556</v>
      </c>
      <c r="D655" s="47">
        <v>4.4996630244195899</v>
      </c>
      <c r="E655" s="48">
        <f>SUMIF(Data!$E:$E,$C655,Data!$AI:$AI)</f>
        <v>0</v>
      </c>
      <c r="I655" s="14" t="s">
        <v>4557</v>
      </c>
      <c r="J655" s="14" t="s">
        <v>4558</v>
      </c>
      <c r="K655" s="14" t="s">
        <v>140</v>
      </c>
      <c r="L655" s="14" t="s">
        <v>4424</v>
      </c>
      <c r="M655" s="14" t="s">
        <v>4559</v>
      </c>
      <c r="N655" s="14">
        <v>108.908</v>
      </c>
      <c r="O655" s="14" t="s">
        <v>4560</v>
      </c>
      <c r="P655" s="14" t="s">
        <v>4561</v>
      </c>
      <c r="Q655" s="14" t="s">
        <v>419</v>
      </c>
      <c r="R655" s="14" t="s">
        <v>4562</v>
      </c>
      <c r="S655" s="14" t="s">
        <v>728</v>
      </c>
      <c r="T655" s="14" t="s">
        <v>729</v>
      </c>
      <c r="U655" s="14" t="s">
        <v>730</v>
      </c>
      <c r="V655" s="48">
        <f>SUMIF(Data!$E:$E,$I655,Data!$AI:$AI)</f>
        <v>0</v>
      </c>
    </row>
    <row r="656" spans="1:22" x14ac:dyDescent="0.25">
      <c r="A656" s="47" t="s">
        <v>4542</v>
      </c>
      <c r="B656" s="47" t="s">
        <v>123</v>
      </c>
      <c r="C656" s="47" t="s">
        <v>4563</v>
      </c>
      <c r="D656" s="47">
        <v>21.638812665451699</v>
      </c>
      <c r="E656" s="48">
        <f>SUMIF(Data!$E:$E,$C656,Data!$AI:$AI)</f>
        <v>0</v>
      </c>
      <c r="I656" s="14" t="s">
        <v>4564</v>
      </c>
      <c r="J656" s="14" t="s">
        <v>4565</v>
      </c>
      <c r="K656" s="14" t="s">
        <v>140</v>
      </c>
      <c r="L656" s="14" t="s">
        <v>4424</v>
      </c>
      <c r="M656" s="14" t="s">
        <v>4566</v>
      </c>
      <c r="N656" s="14">
        <v>569.07799999999997</v>
      </c>
      <c r="O656" s="14" t="s">
        <v>4567</v>
      </c>
      <c r="P656" s="14" t="s">
        <v>4568</v>
      </c>
      <c r="Q656" s="14" t="s">
        <v>193</v>
      </c>
      <c r="R656" s="14" t="s">
        <v>4569</v>
      </c>
      <c r="S656" s="14" t="s">
        <v>148</v>
      </c>
      <c r="T656" s="14" t="s">
        <v>149</v>
      </c>
      <c r="U656" s="14" t="s">
        <v>113</v>
      </c>
      <c r="V656" s="48">
        <f>SUMIF(Data!$E:$E,$I656,Data!$AI:$AI)</f>
        <v>0</v>
      </c>
    </row>
    <row r="657" spans="1:22" x14ac:dyDescent="0.25">
      <c r="A657" s="47" t="s">
        <v>4542</v>
      </c>
      <c r="B657" s="47" t="s">
        <v>123</v>
      </c>
      <c r="C657" s="47" t="s">
        <v>4570</v>
      </c>
      <c r="D657" s="47">
        <v>3.61943491316869</v>
      </c>
      <c r="E657" s="48">
        <f>SUMIF(Data!$E:$E,$C657,Data!$AI:$AI)</f>
        <v>0.26415097546540911</v>
      </c>
      <c r="I657" s="14" t="s">
        <v>4571</v>
      </c>
      <c r="J657" s="14" t="s">
        <v>4572</v>
      </c>
      <c r="K657" s="14" t="s">
        <v>140</v>
      </c>
      <c r="L657" s="14" t="s">
        <v>4424</v>
      </c>
      <c r="M657" s="14" t="s">
        <v>4573</v>
      </c>
      <c r="N657" s="14">
        <v>73.403000000000006</v>
      </c>
      <c r="O657" s="14" t="s">
        <v>4574</v>
      </c>
      <c r="P657" s="14" t="s">
        <v>4575</v>
      </c>
      <c r="Q657" s="14" t="s">
        <v>697</v>
      </c>
      <c r="R657" s="14" t="s">
        <v>4576</v>
      </c>
      <c r="S657" s="14" t="s">
        <v>195</v>
      </c>
      <c r="T657" s="14" t="s">
        <v>149</v>
      </c>
      <c r="U657" s="14" t="s">
        <v>113</v>
      </c>
      <c r="V657" s="48">
        <f>SUMIF(Data!$E:$E,$I657,Data!$AI:$AI)</f>
        <v>0</v>
      </c>
    </row>
    <row r="658" spans="1:22" x14ac:dyDescent="0.25">
      <c r="A658" s="47" t="s">
        <v>4577</v>
      </c>
      <c r="B658" s="47" t="s">
        <v>123</v>
      </c>
      <c r="C658" s="47" t="s">
        <v>4578</v>
      </c>
      <c r="D658" s="47">
        <v>31.596877558207201</v>
      </c>
      <c r="E658" s="48">
        <f>SUMIF(Data!$E:$E,$C658,Data!$AI:$AI)</f>
        <v>0.82698926913975535</v>
      </c>
      <c r="I658" s="14" t="s">
        <v>4579</v>
      </c>
      <c r="J658" s="14" t="s">
        <v>4580</v>
      </c>
      <c r="K658" s="14" t="s">
        <v>140</v>
      </c>
      <c r="L658" s="14" t="s">
        <v>4424</v>
      </c>
      <c r="M658" s="14" t="s">
        <v>4581</v>
      </c>
      <c r="N658" s="14">
        <v>754.13199999999995</v>
      </c>
      <c r="O658" s="14" t="s">
        <v>4582</v>
      </c>
      <c r="P658" s="14" t="s">
        <v>4583</v>
      </c>
      <c r="Q658" s="14" t="s">
        <v>227</v>
      </c>
      <c r="R658" s="14" t="s">
        <v>4584</v>
      </c>
      <c r="S658" s="14" t="s">
        <v>850</v>
      </c>
      <c r="T658" s="14" t="s">
        <v>851</v>
      </c>
      <c r="U658" s="14" t="s">
        <v>852</v>
      </c>
      <c r="V658" s="48">
        <f>SUMIF(Data!$E:$E,$I658,Data!$AI:$AI)</f>
        <v>0</v>
      </c>
    </row>
    <row r="659" spans="1:22" x14ac:dyDescent="0.25">
      <c r="A659" s="47" t="s">
        <v>4577</v>
      </c>
      <c r="B659" s="47" t="s">
        <v>123</v>
      </c>
      <c r="C659" s="47" t="s">
        <v>4585</v>
      </c>
      <c r="D659" s="47">
        <v>1.2882224095047501</v>
      </c>
      <c r="E659" s="48">
        <f>SUMIF(Data!$E:$E,$C659,Data!$AI:$AI)</f>
        <v>0.50254664386636194</v>
      </c>
      <c r="I659" s="14" t="s">
        <v>4586</v>
      </c>
      <c r="J659" s="14" t="s">
        <v>4587</v>
      </c>
      <c r="K659" s="14" t="s">
        <v>140</v>
      </c>
      <c r="L659" s="14" t="s">
        <v>4424</v>
      </c>
      <c r="M659" s="14" t="s">
        <v>4588</v>
      </c>
      <c r="N659" s="14">
        <v>29.242999999999999</v>
      </c>
      <c r="O659" s="14" t="s">
        <v>4589</v>
      </c>
      <c r="P659" s="14" t="s">
        <v>4590</v>
      </c>
      <c r="Q659" s="14" t="s">
        <v>737</v>
      </c>
      <c r="R659" s="14" t="s">
        <v>4591</v>
      </c>
      <c r="S659" s="14" t="s">
        <v>195</v>
      </c>
      <c r="T659" s="14" t="s">
        <v>149</v>
      </c>
      <c r="U659" s="14" t="s">
        <v>113</v>
      </c>
      <c r="V659" s="48">
        <f>SUMIF(Data!$E:$E,$I659,Data!$AI:$AI)</f>
        <v>0</v>
      </c>
    </row>
    <row r="660" spans="1:22" x14ac:dyDescent="0.25">
      <c r="A660" s="47" t="s">
        <v>4577</v>
      </c>
      <c r="B660" s="47" t="s">
        <v>123</v>
      </c>
      <c r="C660" s="47" t="s">
        <v>4592</v>
      </c>
      <c r="D660" s="47">
        <v>62.235664890569197</v>
      </c>
      <c r="E660" s="48">
        <f>SUMIF(Data!$E:$E,$C660,Data!$AI:$AI)</f>
        <v>0</v>
      </c>
      <c r="I660" s="14">
        <v>669</v>
      </c>
      <c r="J660" s="14" t="s">
        <v>4593</v>
      </c>
      <c r="K660" s="14" t="s">
        <v>140</v>
      </c>
      <c r="L660" s="14" t="s">
        <v>4424</v>
      </c>
      <c r="M660" s="14" t="s">
        <v>4594</v>
      </c>
      <c r="N660" s="14">
        <v>991.5</v>
      </c>
      <c r="O660" s="14" t="s">
        <v>4595</v>
      </c>
      <c r="P660" s="14" t="s">
        <v>4596</v>
      </c>
      <c r="Q660" s="14" t="s">
        <v>419</v>
      </c>
      <c r="R660" s="14" t="s">
        <v>4597</v>
      </c>
      <c r="S660" s="14" t="s">
        <v>552</v>
      </c>
      <c r="T660" s="14" t="s">
        <v>553</v>
      </c>
      <c r="U660" s="14" t="s">
        <v>554</v>
      </c>
      <c r="V660" s="48">
        <f>SUMIF(Data!$E:$E,$I660,Data!$AI:$AI)</f>
        <v>0</v>
      </c>
    </row>
    <row r="661" spans="1:22" x14ac:dyDescent="0.25">
      <c r="A661" s="47" t="s">
        <v>4577</v>
      </c>
      <c r="B661" s="47" t="s">
        <v>123</v>
      </c>
      <c r="C661" s="47" t="s">
        <v>4598</v>
      </c>
      <c r="D661" s="47">
        <v>1.0952105047049201</v>
      </c>
      <c r="E661" s="48">
        <f>SUMIF(Data!$E:$E,$C661,Data!$AI:$AI)</f>
        <v>0</v>
      </c>
      <c r="I661" s="14" t="s">
        <v>4599</v>
      </c>
      <c r="J661" s="14" t="s">
        <v>4600</v>
      </c>
      <c r="K661" s="14" t="s">
        <v>140</v>
      </c>
      <c r="L661" s="14" t="s">
        <v>4424</v>
      </c>
      <c r="M661" s="14" t="s">
        <v>4601</v>
      </c>
      <c r="N661" s="14">
        <v>86.373000000000005</v>
      </c>
      <c r="O661" s="14" t="s">
        <v>4602</v>
      </c>
      <c r="P661" s="14" t="s">
        <v>4603</v>
      </c>
      <c r="Q661" s="14" t="s">
        <v>146</v>
      </c>
      <c r="R661" s="14" t="s">
        <v>4604</v>
      </c>
      <c r="S661" s="14" t="s">
        <v>148</v>
      </c>
      <c r="T661" s="14" t="s">
        <v>149</v>
      </c>
      <c r="U661" s="14" t="s">
        <v>113</v>
      </c>
      <c r="V661" s="48">
        <f>SUMIF(Data!$E:$E,$I661,Data!$AI:$AI)</f>
        <v>0</v>
      </c>
    </row>
    <row r="662" spans="1:22" x14ac:dyDescent="0.25">
      <c r="A662" s="47" t="s">
        <v>4577</v>
      </c>
      <c r="B662" s="47" t="s">
        <v>123</v>
      </c>
      <c r="C662" s="47" t="s">
        <v>4605</v>
      </c>
      <c r="D662" s="47">
        <v>2.7585111810577598</v>
      </c>
      <c r="E662" s="48">
        <f>SUMIF(Data!$E:$E,$C662,Data!$AI:$AI)</f>
        <v>0</v>
      </c>
      <c r="I662" s="14" t="s">
        <v>4606</v>
      </c>
      <c r="J662" s="14" t="s">
        <v>4607</v>
      </c>
      <c r="K662" s="14" t="s">
        <v>140</v>
      </c>
      <c r="L662" s="14" t="s">
        <v>4424</v>
      </c>
      <c r="M662" s="14" t="s">
        <v>4608</v>
      </c>
      <c r="N662" s="14">
        <v>126.065</v>
      </c>
      <c r="O662" s="14" t="s">
        <v>4609</v>
      </c>
      <c r="P662" s="14" t="s">
        <v>4610</v>
      </c>
      <c r="Q662" s="14" t="s">
        <v>263</v>
      </c>
      <c r="R662" s="14" t="s">
        <v>4611</v>
      </c>
      <c r="S662" s="14" t="s">
        <v>4612</v>
      </c>
      <c r="T662" s="14" t="s">
        <v>149</v>
      </c>
      <c r="U662" s="14" t="s">
        <v>113</v>
      </c>
      <c r="V662" s="48">
        <f>SUMIF(Data!$E:$E,$I662,Data!$AI:$AI)</f>
        <v>0</v>
      </c>
    </row>
    <row r="663" spans="1:22" x14ac:dyDescent="0.25">
      <c r="A663" s="47" t="s">
        <v>4577</v>
      </c>
      <c r="B663" s="47" t="s">
        <v>123</v>
      </c>
      <c r="C663" s="47" t="s">
        <v>4613</v>
      </c>
      <c r="D663" s="47">
        <v>1.0255134559561401</v>
      </c>
      <c r="E663" s="48">
        <f>SUMIF(Data!$E:$E,$C663,Data!$AI:$AI)</f>
        <v>0</v>
      </c>
      <c r="I663" s="14">
        <v>5020</v>
      </c>
      <c r="J663" s="14" t="s">
        <v>4614</v>
      </c>
      <c r="K663" s="14" t="s">
        <v>140</v>
      </c>
      <c r="L663" s="14" t="s">
        <v>4424</v>
      </c>
      <c r="M663" s="14" t="s">
        <v>4615</v>
      </c>
      <c r="N663" s="14" t="s">
        <v>4616</v>
      </c>
      <c r="O663" s="14" t="s">
        <v>4617</v>
      </c>
      <c r="P663" s="14" t="s">
        <v>4618</v>
      </c>
      <c r="Q663" s="14" t="s">
        <v>263</v>
      </c>
      <c r="R663" s="14" t="s">
        <v>4619</v>
      </c>
      <c r="S663" s="14" t="s">
        <v>444</v>
      </c>
      <c r="T663" s="14" t="s">
        <v>445</v>
      </c>
      <c r="U663" s="14" t="s">
        <v>446</v>
      </c>
      <c r="V663" s="48">
        <f>SUMIF(Data!$E:$E,$I663,Data!$AI:$AI)</f>
        <v>0</v>
      </c>
    </row>
    <row r="664" spans="1:22" x14ac:dyDescent="0.25">
      <c r="A664" s="47" t="s">
        <v>4620</v>
      </c>
      <c r="B664" s="47" t="s">
        <v>123</v>
      </c>
      <c r="C664" s="47" t="s">
        <v>4621</v>
      </c>
      <c r="D664" s="47">
        <v>19.1958213316952</v>
      </c>
      <c r="E664" s="48">
        <f>SUMIF(Data!$E:$E,$C664,Data!$AI:$AI)</f>
        <v>0</v>
      </c>
      <c r="I664" s="14" t="s">
        <v>4622</v>
      </c>
      <c r="J664" s="14" t="s">
        <v>4623</v>
      </c>
      <c r="K664" s="14" t="s">
        <v>140</v>
      </c>
      <c r="L664" s="14" t="s">
        <v>4424</v>
      </c>
      <c r="M664" s="14" t="s">
        <v>4624</v>
      </c>
      <c r="N664" s="14">
        <v>92.001000000000005</v>
      </c>
      <c r="O664" s="14" t="s">
        <v>4625</v>
      </c>
      <c r="P664" s="14" t="s">
        <v>4626</v>
      </c>
      <c r="Q664" s="14" t="s">
        <v>211</v>
      </c>
      <c r="R664" s="14" t="s">
        <v>4627</v>
      </c>
      <c r="S664" s="14" t="s">
        <v>195</v>
      </c>
      <c r="T664" s="14" t="s">
        <v>149</v>
      </c>
      <c r="U664" s="14" t="s">
        <v>113</v>
      </c>
      <c r="V664" s="48">
        <f>SUMIF(Data!$E:$E,$I664,Data!$AI:$AI)</f>
        <v>0</v>
      </c>
    </row>
    <row r="665" spans="1:22" x14ac:dyDescent="0.25">
      <c r="A665" s="47" t="s">
        <v>4620</v>
      </c>
      <c r="B665" s="47" t="s">
        <v>123</v>
      </c>
      <c r="C665" s="47" t="s">
        <v>4628</v>
      </c>
      <c r="D665" s="47">
        <v>59.346582872906403</v>
      </c>
      <c r="E665" s="48">
        <f>SUMIF(Data!$E:$E,$C665,Data!$AI:$AI)</f>
        <v>0</v>
      </c>
      <c r="I665" s="14" t="s">
        <v>4629</v>
      </c>
      <c r="J665" s="14" t="s">
        <v>4630</v>
      </c>
      <c r="K665" s="14" t="s">
        <v>140</v>
      </c>
      <c r="L665" s="14" t="s">
        <v>4424</v>
      </c>
      <c r="M665" s="14" t="s">
        <v>1951</v>
      </c>
      <c r="N665" s="14">
        <v>153.446</v>
      </c>
      <c r="O665" s="14" t="s">
        <v>4631</v>
      </c>
      <c r="P665" s="14" t="s">
        <v>4632</v>
      </c>
      <c r="Q665" s="14" t="s">
        <v>193</v>
      </c>
      <c r="R665" s="14" t="s">
        <v>4633</v>
      </c>
      <c r="S665" s="14" t="s">
        <v>195</v>
      </c>
      <c r="T665" s="14" t="s">
        <v>149</v>
      </c>
      <c r="U665" s="14" t="s">
        <v>113</v>
      </c>
      <c r="V665" s="48">
        <f>SUMIF(Data!$E:$E,$I665,Data!$AI:$AI)</f>
        <v>0</v>
      </c>
    </row>
    <row r="666" spans="1:22" x14ac:dyDescent="0.25">
      <c r="A666" s="47" t="s">
        <v>4620</v>
      </c>
      <c r="B666" s="47" t="s">
        <v>123</v>
      </c>
      <c r="C666" s="47" t="s">
        <v>520</v>
      </c>
      <c r="D666" s="47">
        <v>21.457595795398401</v>
      </c>
      <c r="E666" s="48">
        <f>SUMIF(Data!$E:$E,$C666,Data!$AI:$AI)</f>
        <v>0.42534541896463962</v>
      </c>
      <c r="I666" s="14">
        <v>3407</v>
      </c>
      <c r="J666" s="14" t="s">
        <v>4634</v>
      </c>
      <c r="K666" s="14" t="s">
        <v>140</v>
      </c>
      <c r="L666" s="14" t="s">
        <v>4424</v>
      </c>
      <c r="M666" s="14" t="s">
        <v>4635</v>
      </c>
      <c r="N666" s="14">
        <v>730.85599999999999</v>
      </c>
      <c r="O666" s="14" t="s">
        <v>4636</v>
      </c>
      <c r="P666" s="14" t="s">
        <v>4637</v>
      </c>
      <c r="Q666" s="14" t="s">
        <v>737</v>
      </c>
      <c r="R666" s="14" t="s">
        <v>4638</v>
      </c>
      <c r="S666" s="14" t="s">
        <v>444</v>
      </c>
      <c r="T666" s="14" t="s">
        <v>445</v>
      </c>
      <c r="U666" s="14" t="s">
        <v>446</v>
      </c>
      <c r="V666" s="48">
        <f>SUMIF(Data!$E:$E,$I666,Data!$AI:$AI)</f>
        <v>0</v>
      </c>
    </row>
    <row r="667" spans="1:22" x14ac:dyDescent="0.25">
      <c r="A667" s="47" t="s">
        <v>4639</v>
      </c>
      <c r="B667" s="47" t="s">
        <v>123</v>
      </c>
      <c r="C667" s="47" t="s">
        <v>4640</v>
      </c>
      <c r="D667" s="47">
        <v>93.800345270284694</v>
      </c>
      <c r="E667" s="48">
        <f>SUMIF(Data!$E:$E,$C667,Data!$AI:$AI)</f>
        <v>0.77394047546061229</v>
      </c>
      <c r="I667" s="14" t="s">
        <v>4641</v>
      </c>
      <c r="J667" s="14" t="s">
        <v>4642</v>
      </c>
      <c r="K667" s="14" t="s">
        <v>140</v>
      </c>
      <c r="L667" s="14" t="s">
        <v>4424</v>
      </c>
      <c r="M667" s="14" t="s">
        <v>4643</v>
      </c>
      <c r="N667" s="14">
        <v>34.575000000000003</v>
      </c>
      <c r="O667" s="14" t="s">
        <v>4644</v>
      </c>
      <c r="P667" s="14" t="s">
        <v>4645</v>
      </c>
      <c r="Q667" s="14" t="s">
        <v>211</v>
      </c>
      <c r="R667" s="14" t="s">
        <v>4646</v>
      </c>
      <c r="S667" s="14" t="s">
        <v>229</v>
      </c>
      <c r="T667" s="14" t="s">
        <v>230</v>
      </c>
      <c r="U667" s="14" t="s">
        <v>231</v>
      </c>
      <c r="V667" s="48">
        <f>SUMIF(Data!$E:$E,$I667,Data!$AI:$AI)</f>
        <v>0</v>
      </c>
    </row>
    <row r="668" spans="1:22" x14ac:dyDescent="0.25">
      <c r="A668" s="47" t="s">
        <v>4639</v>
      </c>
      <c r="B668" s="47" t="s">
        <v>123</v>
      </c>
      <c r="C668" s="47" t="s">
        <v>4647</v>
      </c>
      <c r="D668" s="47">
        <v>6.1996547297153102</v>
      </c>
      <c r="E668" s="48">
        <f>SUMIF(Data!$E:$E,$C668,Data!$AI:$AI)</f>
        <v>0</v>
      </c>
      <c r="I668" s="14" t="s">
        <v>4648</v>
      </c>
      <c r="J668" s="14" t="s">
        <v>4649</v>
      </c>
      <c r="K668" s="14" t="s">
        <v>140</v>
      </c>
      <c r="L668" s="14" t="s">
        <v>4424</v>
      </c>
      <c r="M668" s="14" t="s">
        <v>4650</v>
      </c>
      <c r="N668" s="14">
        <v>556.197</v>
      </c>
      <c r="O668" s="14" t="s">
        <v>4651</v>
      </c>
      <c r="P668" s="14" t="s">
        <v>4652</v>
      </c>
      <c r="Q668" s="14" t="s">
        <v>193</v>
      </c>
      <c r="R668" s="14" t="s">
        <v>4653</v>
      </c>
      <c r="S668" s="14" t="s">
        <v>563</v>
      </c>
      <c r="T668" s="14" t="s">
        <v>564</v>
      </c>
      <c r="U668" s="14" t="s">
        <v>528</v>
      </c>
      <c r="V668" s="48">
        <f>SUMIF(Data!$E:$E,$I668,Data!$AI:$AI)</f>
        <v>0</v>
      </c>
    </row>
    <row r="669" spans="1:22" x14ac:dyDescent="0.25">
      <c r="A669" s="47" t="s">
        <v>4654</v>
      </c>
      <c r="B669" s="47" t="s">
        <v>123</v>
      </c>
      <c r="C669" s="47" t="s">
        <v>4578</v>
      </c>
      <c r="D669" s="47">
        <v>25.603232285431499</v>
      </c>
      <c r="E669" s="48">
        <f>SUMIF(Data!$E:$E,$C669,Data!$AI:$AI)</f>
        <v>0.82698926913975535</v>
      </c>
      <c r="I669" s="14" t="s">
        <v>4655</v>
      </c>
      <c r="J669" s="14" t="s">
        <v>4656</v>
      </c>
      <c r="K669" s="14" t="s">
        <v>140</v>
      </c>
      <c r="L669" s="14" t="s">
        <v>4424</v>
      </c>
      <c r="M669" s="14" t="s">
        <v>4657</v>
      </c>
      <c r="N669" s="14">
        <v>26.635999999999999</v>
      </c>
      <c r="O669" s="14" t="s">
        <v>4658</v>
      </c>
      <c r="P669" s="14" t="s">
        <v>4659</v>
      </c>
      <c r="Q669" s="14" t="s">
        <v>419</v>
      </c>
      <c r="R669" s="14" t="s">
        <v>4660</v>
      </c>
      <c r="S669" s="14" t="s">
        <v>526</v>
      </c>
      <c r="T669" s="14" t="s">
        <v>527</v>
      </c>
      <c r="U669" s="14" t="s">
        <v>528</v>
      </c>
      <c r="V669" s="48">
        <f>SUMIF(Data!$E:$E,$I669,Data!$AI:$AI)</f>
        <v>0</v>
      </c>
    </row>
    <row r="670" spans="1:22" x14ac:dyDescent="0.25">
      <c r="A670" s="47" t="s">
        <v>4654</v>
      </c>
      <c r="B670" s="47" t="s">
        <v>123</v>
      </c>
      <c r="C670" s="47" t="s">
        <v>2017</v>
      </c>
      <c r="D670" s="47">
        <v>2.36639478538864</v>
      </c>
      <c r="E670" s="48">
        <f>SUMIF(Data!$E:$E,$C670,Data!$AI:$AI)</f>
        <v>0</v>
      </c>
      <c r="I670" s="14">
        <v>7011</v>
      </c>
      <c r="J670" s="14" t="s">
        <v>4661</v>
      </c>
      <c r="K670" s="14" t="s">
        <v>140</v>
      </c>
      <c r="L670" s="14" t="s">
        <v>4424</v>
      </c>
      <c r="M670" s="14" t="s">
        <v>4662</v>
      </c>
      <c r="N670" s="14">
        <v>202.13200000000001</v>
      </c>
      <c r="O670" s="14" t="s">
        <v>4663</v>
      </c>
      <c r="P670" s="14" t="s">
        <v>4664</v>
      </c>
      <c r="Q670" s="14" t="s">
        <v>419</v>
      </c>
      <c r="R670" s="14" t="s">
        <v>4665</v>
      </c>
      <c r="S670" s="14" t="s">
        <v>444</v>
      </c>
      <c r="T670" s="14" t="s">
        <v>445</v>
      </c>
      <c r="U670" s="14" t="s">
        <v>446</v>
      </c>
      <c r="V670" s="48">
        <f>SUMIF(Data!$E:$E,$I670,Data!$AI:$AI)</f>
        <v>0</v>
      </c>
    </row>
    <row r="671" spans="1:22" x14ac:dyDescent="0.25">
      <c r="A671" s="47" t="s">
        <v>4654</v>
      </c>
      <c r="B671" s="47" t="s">
        <v>123</v>
      </c>
      <c r="C671" s="47" t="s">
        <v>4492</v>
      </c>
      <c r="D671" s="47">
        <v>4.7857367758365399</v>
      </c>
      <c r="E671" s="48">
        <f>SUMIF(Data!$E:$E,$C671,Data!$AI:$AI)</f>
        <v>0</v>
      </c>
      <c r="I671" s="14" t="s">
        <v>4666</v>
      </c>
      <c r="J671" s="14" t="s">
        <v>4667</v>
      </c>
      <c r="K671" s="14" t="s">
        <v>140</v>
      </c>
      <c r="L671" s="14" t="s">
        <v>4424</v>
      </c>
      <c r="M671" s="14" t="s">
        <v>4668</v>
      </c>
      <c r="N671" s="14">
        <v>68.477999999999994</v>
      </c>
      <c r="O671" s="14" t="s">
        <v>4669</v>
      </c>
      <c r="P671" s="14" t="s">
        <v>4670</v>
      </c>
      <c r="Q671" s="14" t="s">
        <v>193</v>
      </c>
      <c r="R671" s="14" t="s">
        <v>4671</v>
      </c>
      <c r="S671" s="14" t="s">
        <v>4672</v>
      </c>
      <c r="T671" s="14" t="s">
        <v>149</v>
      </c>
      <c r="U671" s="14" t="s">
        <v>113</v>
      </c>
      <c r="V671" s="48">
        <f>SUMIF(Data!$E:$E,$I671,Data!$AI:$AI)</f>
        <v>0</v>
      </c>
    </row>
    <row r="672" spans="1:22" x14ac:dyDescent="0.25">
      <c r="A672" s="47" t="s">
        <v>4654</v>
      </c>
      <c r="B672" s="47" t="s">
        <v>123</v>
      </c>
      <c r="C672" s="47" t="s">
        <v>4585</v>
      </c>
      <c r="D672" s="47">
        <v>1.04385813202866</v>
      </c>
      <c r="E672" s="48">
        <f>SUMIF(Data!$E:$E,$C672,Data!$AI:$AI)</f>
        <v>0.50254664386636194</v>
      </c>
      <c r="I672" s="14" t="s">
        <v>4673</v>
      </c>
      <c r="J672" s="14" t="s">
        <v>4674</v>
      </c>
      <c r="K672" s="14" t="s">
        <v>140</v>
      </c>
      <c r="L672" s="14" t="s">
        <v>4424</v>
      </c>
      <c r="M672" s="14" t="s">
        <v>4675</v>
      </c>
      <c r="N672" s="14">
        <v>74.245999999999995</v>
      </c>
      <c r="O672" s="14" t="s">
        <v>4676</v>
      </c>
      <c r="P672" s="14" t="s">
        <v>4677</v>
      </c>
      <c r="Q672" s="14" t="s">
        <v>211</v>
      </c>
      <c r="R672" s="14" t="s">
        <v>4678</v>
      </c>
      <c r="S672" s="14" t="s">
        <v>195</v>
      </c>
      <c r="T672" s="14" t="s">
        <v>149</v>
      </c>
      <c r="U672" s="14" t="s">
        <v>113</v>
      </c>
      <c r="V672" s="48">
        <f>SUMIF(Data!$E:$E,$I672,Data!$AI:$AI)</f>
        <v>0</v>
      </c>
    </row>
    <row r="673" spans="1:22" x14ac:dyDescent="0.25">
      <c r="A673" s="47" t="s">
        <v>4654</v>
      </c>
      <c r="B673" s="47" t="s">
        <v>123</v>
      </c>
      <c r="C673" s="47" t="s">
        <v>4592</v>
      </c>
      <c r="D673" s="47">
        <v>50.430115497840703</v>
      </c>
      <c r="E673" s="48">
        <f>SUMIF(Data!$E:$E,$C673,Data!$AI:$AI)</f>
        <v>0</v>
      </c>
      <c r="I673" s="14">
        <v>8309</v>
      </c>
      <c r="J673" s="14" t="s">
        <v>4679</v>
      </c>
      <c r="K673" s="14" t="s">
        <v>140</v>
      </c>
      <c r="L673" s="14" t="s">
        <v>4424</v>
      </c>
      <c r="M673" s="14" t="s">
        <v>4680</v>
      </c>
      <c r="N673" s="14">
        <v>202.97300000000001</v>
      </c>
      <c r="O673" s="14" t="s">
        <v>4681</v>
      </c>
      <c r="P673" s="14" t="s">
        <v>4682</v>
      </c>
      <c r="Q673" s="14" t="s">
        <v>193</v>
      </c>
      <c r="R673" s="14" t="s">
        <v>4683</v>
      </c>
      <c r="S673" s="14" t="s">
        <v>444</v>
      </c>
      <c r="T673" s="14" t="s">
        <v>445</v>
      </c>
      <c r="U673" s="14" t="s">
        <v>446</v>
      </c>
      <c r="V673" s="48">
        <f>SUMIF(Data!$E:$E,$I673,Data!$AI:$AI)</f>
        <v>0</v>
      </c>
    </row>
    <row r="674" spans="1:22" x14ac:dyDescent="0.25">
      <c r="A674" s="47" t="s">
        <v>4654</v>
      </c>
      <c r="B674" s="47" t="s">
        <v>123</v>
      </c>
      <c r="C674" s="47" t="s">
        <v>4527</v>
      </c>
      <c r="D674" s="47">
        <v>2.9777426772150299</v>
      </c>
      <c r="E674" s="48">
        <f>SUMIF(Data!$E:$E,$C674,Data!$AI:$AI)</f>
        <v>0</v>
      </c>
      <c r="I674" s="14" t="s">
        <v>4684</v>
      </c>
      <c r="J674" s="14" t="s">
        <v>4684</v>
      </c>
      <c r="K674" s="14" t="s">
        <v>140</v>
      </c>
      <c r="L674" s="14" t="s">
        <v>4424</v>
      </c>
      <c r="M674" s="14" t="s">
        <v>4685</v>
      </c>
      <c r="N674" s="14">
        <v>306.79700000000003</v>
      </c>
      <c r="O674" s="14" t="s">
        <v>4686</v>
      </c>
      <c r="P674" s="14" t="s">
        <v>4687</v>
      </c>
      <c r="Q674" s="14" t="s">
        <v>227</v>
      </c>
      <c r="R674" s="14" t="s">
        <v>4688</v>
      </c>
      <c r="S674" s="14" t="s">
        <v>3714</v>
      </c>
      <c r="T674" s="14" t="s">
        <v>3715</v>
      </c>
      <c r="U674" s="14" t="s">
        <v>3716</v>
      </c>
      <c r="V674" s="48">
        <f>SUMIF(Data!$E:$E,$I674,Data!$AI:$AI)</f>
        <v>0</v>
      </c>
    </row>
    <row r="675" spans="1:22" x14ac:dyDescent="0.25">
      <c r="A675" s="47" t="s">
        <v>4654</v>
      </c>
      <c r="B675" s="47" t="s">
        <v>123</v>
      </c>
      <c r="C675" s="47" t="s">
        <v>4499</v>
      </c>
      <c r="D675" s="47">
        <v>2.71714662272068</v>
      </c>
      <c r="E675" s="48">
        <f>SUMIF(Data!$E:$E,$C675,Data!$AI:$AI)</f>
        <v>0</v>
      </c>
      <c r="I675" s="14" t="s">
        <v>4689</v>
      </c>
      <c r="J675" s="14" t="s">
        <v>4690</v>
      </c>
      <c r="K675" s="14" t="s">
        <v>140</v>
      </c>
      <c r="L675" s="14" t="s">
        <v>4424</v>
      </c>
      <c r="M675" s="14" t="s">
        <v>4691</v>
      </c>
      <c r="N675" s="14" t="s">
        <v>4692</v>
      </c>
      <c r="O675" s="14" t="s">
        <v>4693</v>
      </c>
      <c r="P675" s="14" t="s">
        <v>4694</v>
      </c>
      <c r="Q675" s="14" t="s">
        <v>697</v>
      </c>
      <c r="R675" s="14" t="s">
        <v>4695</v>
      </c>
      <c r="S675" s="14" t="s">
        <v>1130</v>
      </c>
      <c r="T675" s="14" t="s">
        <v>1131</v>
      </c>
      <c r="U675" s="14" t="s">
        <v>528</v>
      </c>
      <c r="V675" s="48">
        <f>SUMIF(Data!$E:$E,$I675,Data!$AI:$AI)</f>
        <v>0</v>
      </c>
    </row>
    <row r="676" spans="1:22" x14ac:dyDescent="0.25">
      <c r="A676" s="47" t="s">
        <v>4654</v>
      </c>
      <c r="B676" s="47" t="s">
        <v>123</v>
      </c>
      <c r="C676" s="47" t="s">
        <v>4506</v>
      </c>
      <c r="D676" s="47">
        <v>1.1016951962344199</v>
      </c>
      <c r="E676" s="48">
        <f>SUMIF(Data!$E:$E,$C676,Data!$AI:$AI)</f>
        <v>0.35312037204807345</v>
      </c>
      <c r="I676" s="14" t="s">
        <v>4696</v>
      </c>
      <c r="J676" s="14" t="s">
        <v>4697</v>
      </c>
      <c r="K676" s="14" t="s">
        <v>140</v>
      </c>
      <c r="L676" s="14" t="s">
        <v>4424</v>
      </c>
      <c r="M676" s="14" t="s">
        <v>4698</v>
      </c>
      <c r="N676" s="14">
        <v>691.29700000000003</v>
      </c>
      <c r="O676" s="14" t="s">
        <v>4699</v>
      </c>
      <c r="P676" s="14" t="s">
        <v>4700</v>
      </c>
      <c r="Q676" s="14" t="s">
        <v>809</v>
      </c>
      <c r="R676" s="14" t="s">
        <v>4701</v>
      </c>
      <c r="S676" s="14" t="s">
        <v>479</v>
      </c>
      <c r="T676" s="14" t="s">
        <v>480</v>
      </c>
      <c r="U676" s="14" t="s">
        <v>481</v>
      </c>
      <c r="V676" s="48">
        <f>SUMIF(Data!$E:$E,$I676,Data!$AI:$AI)</f>
        <v>0</v>
      </c>
    </row>
    <row r="677" spans="1:22" x14ac:dyDescent="0.25">
      <c r="A677" s="47" t="s">
        <v>4654</v>
      </c>
      <c r="B677" s="47" t="s">
        <v>123</v>
      </c>
      <c r="C677" s="47" t="s">
        <v>4549</v>
      </c>
      <c r="D677" s="47">
        <v>1.38440593948929</v>
      </c>
      <c r="E677" s="48">
        <f>SUMIF(Data!$E:$E,$C677,Data!$AI:$AI)</f>
        <v>0</v>
      </c>
      <c r="I677" s="14" t="s">
        <v>4702</v>
      </c>
      <c r="J677" s="14" t="s">
        <v>4703</v>
      </c>
      <c r="K677" s="14" t="s">
        <v>140</v>
      </c>
      <c r="L677" s="14" t="s">
        <v>4424</v>
      </c>
      <c r="M677" s="14" t="s">
        <v>4704</v>
      </c>
      <c r="N677" s="14">
        <v>261.50900000000001</v>
      </c>
      <c r="O677" s="14" t="s">
        <v>4705</v>
      </c>
      <c r="P677" s="14" t="s">
        <v>4706</v>
      </c>
      <c r="Q677" s="14" t="s">
        <v>193</v>
      </c>
      <c r="R677" s="14" t="s">
        <v>4707</v>
      </c>
      <c r="S677" s="14" t="s">
        <v>195</v>
      </c>
      <c r="T677" s="14" t="s">
        <v>149</v>
      </c>
      <c r="U677" s="14" t="s">
        <v>113</v>
      </c>
      <c r="V677" s="48">
        <f>SUMIF(Data!$E:$E,$I677,Data!$AI:$AI)</f>
        <v>0</v>
      </c>
    </row>
    <row r="678" spans="1:22" x14ac:dyDescent="0.25">
      <c r="A678" s="47" t="s">
        <v>4654</v>
      </c>
      <c r="B678" s="47" t="s">
        <v>123</v>
      </c>
      <c r="C678" s="47" t="s">
        <v>4556</v>
      </c>
      <c r="D678" s="47">
        <v>0.24027387964387401</v>
      </c>
      <c r="E678" s="48">
        <f>SUMIF(Data!$E:$E,$C678,Data!$AI:$AI)</f>
        <v>0</v>
      </c>
      <c r="I678" s="14" t="s">
        <v>4708</v>
      </c>
      <c r="J678" s="14" t="s">
        <v>4709</v>
      </c>
      <c r="K678" s="14" t="s">
        <v>140</v>
      </c>
      <c r="L678" s="14" t="s">
        <v>4424</v>
      </c>
      <c r="M678" s="14" t="s">
        <v>4710</v>
      </c>
      <c r="N678" s="14">
        <v>27.405999999999999</v>
      </c>
      <c r="O678" s="14" t="s">
        <v>4711</v>
      </c>
      <c r="P678" s="14" t="s">
        <v>4712</v>
      </c>
      <c r="Q678" s="14" t="s">
        <v>146</v>
      </c>
      <c r="R678" s="14" t="s">
        <v>4713</v>
      </c>
      <c r="S678" s="14" t="s">
        <v>195</v>
      </c>
      <c r="T678" s="14" t="s">
        <v>149</v>
      </c>
      <c r="U678" s="14" t="s">
        <v>113</v>
      </c>
      <c r="V678" s="48">
        <f>SUMIF(Data!$E:$E,$I678,Data!$AI:$AI)</f>
        <v>0</v>
      </c>
    </row>
    <row r="679" spans="1:22" x14ac:dyDescent="0.25">
      <c r="A679" s="47" t="s">
        <v>4654</v>
      </c>
      <c r="B679" s="47" t="s">
        <v>123</v>
      </c>
      <c r="C679" s="47" t="s">
        <v>4563</v>
      </c>
      <c r="D679" s="47">
        <v>1.1554735191944101</v>
      </c>
      <c r="E679" s="48">
        <f>SUMIF(Data!$E:$E,$C679,Data!$AI:$AI)</f>
        <v>0</v>
      </c>
      <c r="I679" s="14" t="s">
        <v>4714</v>
      </c>
      <c r="J679" s="14" t="s">
        <v>4715</v>
      </c>
      <c r="K679" s="14" t="s">
        <v>140</v>
      </c>
      <c r="L679" s="14" t="s">
        <v>4424</v>
      </c>
      <c r="M679" s="14" t="s">
        <v>4716</v>
      </c>
      <c r="N679" s="14">
        <v>147.08000000000001</v>
      </c>
      <c r="O679" s="14" t="s">
        <v>4717</v>
      </c>
      <c r="P679" s="14" t="s">
        <v>4718</v>
      </c>
      <c r="Q679" s="14" t="s">
        <v>211</v>
      </c>
      <c r="R679" s="14" t="s">
        <v>4719</v>
      </c>
      <c r="S679" s="14" t="s">
        <v>148</v>
      </c>
      <c r="T679" s="14" t="s">
        <v>149</v>
      </c>
      <c r="U679" s="14" t="s">
        <v>113</v>
      </c>
      <c r="V679" s="48">
        <f>SUMIF(Data!$E:$E,$I679,Data!$AI:$AI)</f>
        <v>0</v>
      </c>
    </row>
    <row r="680" spans="1:22" x14ac:dyDescent="0.25">
      <c r="A680" s="47" t="s">
        <v>4654</v>
      </c>
      <c r="B680" s="47" t="s">
        <v>123</v>
      </c>
      <c r="C680" s="47" t="s">
        <v>4598</v>
      </c>
      <c r="D680" s="47">
        <v>0.88745886050760203</v>
      </c>
      <c r="E680" s="48">
        <f>SUMIF(Data!$E:$E,$C680,Data!$AI:$AI)</f>
        <v>0</v>
      </c>
      <c r="I680" s="14">
        <v>8630</v>
      </c>
      <c r="J680" s="14" t="s">
        <v>4720</v>
      </c>
      <c r="K680" s="14" t="s">
        <v>140</v>
      </c>
      <c r="L680" s="14" t="s">
        <v>4424</v>
      </c>
      <c r="M680" s="14" t="s">
        <v>4721</v>
      </c>
      <c r="N680" s="14">
        <v>201.77</v>
      </c>
      <c r="O680" s="14" t="s">
        <v>4722</v>
      </c>
      <c r="P680" s="14" t="s">
        <v>4723</v>
      </c>
      <c r="Q680" s="14" t="s">
        <v>193</v>
      </c>
      <c r="R680" s="14" t="s">
        <v>4724</v>
      </c>
      <c r="S680" s="14" t="s">
        <v>444</v>
      </c>
      <c r="T680" s="14" t="s">
        <v>445</v>
      </c>
      <c r="U680" s="14" t="s">
        <v>446</v>
      </c>
      <c r="V680" s="48">
        <f>SUMIF(Data!$E:$E,$I680,Data!$AI:$AI)</f>
        <v>0</v>
      </c>
    </row>
    <row r="681" spans="1:22" x14ac:dyDescent="0.25">
      <c r="A681" s="47" t="s">
        <v>4654</v>
      </c>
      <c r="B681" s="47" t="s">
        <v>123</v>
      </c>
      <c r="C681" s="47" t="s">
        <v>4513</v>
      </c>
      <c r="D681" s="47">
        <v>0.22649213422748299</v>
      </c>
      <c r="E681" s="48">
        <f>SUMIF(Data!$E:$E,$C681,Data!$AI:$AI)</f>
        <v>7.5221619812558246E-2</v>
      </c>
      <c r="I681" s="14" t="s">
        <v>4725</v>
      </c>
      <c r="J681" s="14" t="s">
        <v>4726</v>
      </c>
      <c r="K681" s="14" t="s">
        <v>140</v>
      </c>
      <c r="L681" s="14" t="s">
        <v>4424</v>
      </c>
      <c r="M681" s="14" t="s">
        <v>4727</v>
      </c>
      <c r="N681" s="14">
        <v>130.12200000000001</v>
      </c>
      <c r="O681" s="14" t="s">
        <v>4728</v>
      </c>
      <c r="P681" s="14" t="s">
        <v>4729</v>
      </c>
      <c r="Q681" s="14" t="s">
        <v>146</v>
      </c>
      <c r="R681" s="14" t="s">
        <v>4730</v>
      </c>
      <c r="S681" s="14" t="s">
        <v>148</v>
      </c>
      <c r="T681" s="14" t="s">
        <v>149</v>
      </c>
      <c r="U681" s="14" t="s">
        <v>113</v>
      </c>
      <c r="V681" s="48">
        <f>SUMIF(Data!$E:$E,$I681,Data!$AI:$AI)</f>
        <v>0</v>
      </c>
    </row>
    <row r="682" spans="1:22" x14ac:dyDescent="0.25">
      <c r="A682" s="47" t="s">
        <v>4654</v>
      </c>
      <c r="B682" s="47" t="s">
        <v>123</v>
      </c>
      <c r="C682" s="47" t="s">
        <v>4570</v>
      </c>
      <c r="D682" s="47">
        <v>0.19327128809111299</v>
      </c>
      <c r="E682" s="48">
        <f>SUMIF(Data!$E:$E,$C682,Data!$AI:$AI)</f>
        <v>0.26415097546540911</v>
      </c>
      <c r="I682" s="14" t="s">
        <v>4731</v>
      </c>
      <c r="J682" s="14" t="s">
        <v>4732</v>
      </c>
      <c r="K682" s="14" t="s">
        <v>140</v>
      </c>
      <c r="L682" s="14" t="s">
        <v>4424</v>
      </c>
      <c r="M682" s="14" t="s">
        <v>4733</v>
      </c>
      <c r="N682" s="14" t="s">
        <v>4734</v>
      </c>
      <c r="O682" s="14" t="s">
        <v>4735</v>
      </c>
      <c r="P682" s="14" t="s">
        <v>4736</v>
      </c>
      <c r="Q682" s="14" t="s">
        <v>419</v>
      </c>
      <c r="R682" s="14" t="s">
        <v>4737</v>
      </c>
      <c r="S682" s="14" t="s">
        <v>479</v>
      </c>
      <c r="T682" s="14" t="s">
        <v>480</v>
      </c>
      <c r="U682" s="14" t="s">
        <v>481</v>
      </c>
      <c r="V682" s="48">
        <f>SUMIF(Data!$E:$E,$I682,Data!$AI:$AI)</f>
        <v>0</v>
      </c>
    </row>
    <row r="683" spans="1:22" x14ac:dyDescent="0.25">
      <c r="A683" s="47" t="s">
        <v>4654</v>
      </c>
      <c r="B683" s="47" t="s">
        <v>123</v>
      </c>
      <c r="C683" s="47" t="s">
        <v>4520</v>
      </c>
      <c r="D683" s="47">
        <v>1.82047342270739</v>
      </c>
      <c r="E683" s="48">
        <f>SUMIF(Data!$E:$E,$C683,Data!$AI:$AI)</f>
        <v>0</v>
      </c>
      <c r="I683" s="14" t="s">
        <v>4738</v>
      </c>
      <c r="J683" s="14" t="s">
        <v>4739</v>
      </c>
      <c r="K683" s="14" t="s">
        <v>140</v>
      </c>
      <c r="L683" s="14" t="s">
        <v>4424</v>
      </c>
      <c r="M683" s="14" t="s">
        <v>4740</v>
      </c>
      <c r="N683" s="14">
        <v>61.036999999999999</v>
      </c>
      <c r="O683" s="14" t="s">
        <v>4741</v>
      </c>
      <c r="P683" s="14" t="s">
        <v>4742</v>
      </c>
      <c r="Q683" s="14" t="s">
        <v>146</v>
      </c>
      <c r="R683" s="14" t="s">
        <v>4743</v>
      </c>
      <c r="S683" s="14" t="s">
        <v>195</v>
      </c>
      <c r="T683" s="14" t="s">
        <v>149</v>
      </c>
      <c r="U683" s="14" t="s">
        <v>113</v>
      </c>
      <c r="V683" s="48">
        <f>SUMIF(Data!$E:$E,$I683,Data!$AI:$AI)</f>
        <v>0</v>
      </c>
    </row>
    <row r="684" spans="1:22" x14ac:dyDescent="0.25">
      <c r="A684" s="47" t="s">
        <v>4654</v>
      </c>
      <c r="B684" s="47" t="s">
        <v>123</v>
      </c>
      <c r="C684" s="47" t="s">
        <v>4605</v>
      </c>
      <c r="D684" s="47">
        <v>2.2352462644599802</v>
      </c>
      <c r="E684" s="48">
        <f>SUMIF(Data!$E:$E,$C684,Data!$AI:$AI)</f>
        <v>0</v>
      </c>
      <c r="I684" s="14" t="s">
        <v>4744</v>
      </c>
      <c r="J684" s="14" t="s">
        <v>4745</v>
      </c>
      <c r="K684" s="14" t="s">
        <v>140</v>
      </c>
      <c r="L684" s="14" t="s">
        <v>4424</v>
      </c>
      <c r="M684" s="14" t="s">
        <v>4746</v>
      </c>
      <c r="N684" s="14">
        <v>242.93899999999999</v>
      </c>
      <c r="O684" s="14" t="s">
        <v>4747</v>
      </c>
      <c r="P684" s="14" t="s">
        <v>4748</v>
      </c>
      <c r="Q684" s="14" t="s">
        <v>419</v>
      </c>
      <c r="R684" s="14" t="s">
        <v>4749</v>
      </c>
      <c r="S684" s="14" t="s">
        <v>479</v>
      </c>
      <c r="T684" s="14" t="s">
        <v>480</v>
      </c>
      <c r="U684" s="14" t="s">
        <v>481</v>
      </c>
      <c r="V684" s="48">
        <f>SUMIF(Data!$E:$E,$I684,Data!$AI:$AI)</f>
        <v>0</v>
      </c>
    </row>
    <row r="685" spans="1:22" x14ac:dyDescent="0.25">
      <c r="A685" s="47" t="s">
        <v>4654</v>
      </c>
      <c r="B685" s="47" t="s">
        <v>123</v>
      </c>
      <c r="C685" s="47" t="s">
        <v>4613</v>
      </c>
      <c r="D685" s="47">
        <v>0.83098271898264597</v>
      </c>
      <c r="E685" s="48">
        <f>SUMIF(Data!$E:$E,$C685,Data!$AI:$AI)</f>
        <v>0</v>
      </c>
      <c r="I685" s="14">
        <v>6762</v>
      </c>
      <c r="J685" s="14" t="s">
        <v>4750</v>
      </c>
      <c r="K685" s="14" t="s">
        <v>140</v>
      </c>
      <c r="L685" s="14" t="s">
        <v>4424</v>
      </c>
      <c r="M685" s="14" t="s">
        <v>4751</v>
      </c>
      <c r="N685" s="14">
        <v>67.900000000000006</v>
      </c>
      <c r="O685" s="14" t="s">
        <v>4752</v>
      </c>
      <c r="P685" s="14" t="s">
        <v>4753</v>
      </c>
      <c r="Q685" s="14" t="s">
        <v>146</v>
      </c>
      <c r="R685" s="14" t="s">
        <v>4754</v>
      </c>
      <c r="S685" s="14" t="s">
        <v>444</v>
      </c>
      <c r="T685" s="14" t="s">
        <v>445</v>
      </c>
      <c r="U685" s="14" t="s">
        <v>446</v>
      </c>
      <c r="V685" s="48">
        <f>SUMIF(Data!$E:$E,$I685,Data!$AI:$AI)</f>
        <v>0</v>
      </c>
    </row>
    <row r="686" spans="1:22" x14ac:dyDescent="0.25">
      <c r="A686" s="47" t="s">
        <v>4755</v>
      </c>
      <c r="B686" s="47" t="s">
        <v>123</v>
      </c>
      <c r="C686" s="47" t="s">
        <v>4578</v>
      </c>
      <c r="D686" s="47">
        <v>5.6704136110701002</v>
      </c>
      <c r="E686" s="48">
        <f>SUMIF(Data!$E:$E,$C686,Data!$AI:$AI)</f>
        <v>0.82698926913975535</v>
      </c>
      <c r="I686" s="14">
        <v>1928</v>
      </c>
      <c r="J686" s="14" t="s">
        <v>4756</v>
      </c>
      <c r="K686" s="14" t="s">
        <v>140</v>
      </c>
      <c r="L686" s="14" t="s">
        <v>4424</v>
      </c>
      <c r="M686" s="14" t="s">
        <v>4757</v>
      </c>
      <c r="N686" s="14" t="s">
        <v>4758</v>
      </c>
      <c r="O686" s="14" t="s">
        <v>4759</v>
      </c>
      <c r="P686" s="14" t="s">
        <v>4760</v>
      </c>
      <c r="Q686" s="14" t="s">
        <v>165</v>
      </c>
      <c r="R686" s="14" t="s">
        <v>4761</v>
      </c>
      <c r="S686" s="14" t="s">
        <v>552</v>
      </c>
      <c r="T686" s="14" t="s">
        <v>553</v>
      </c>
      <c r="U686" s="14" t="s">
        <v>554</v>
      </c>
      <c r="V686" s="48">
        <f>SUMIF(Data!$E:$E,$I686,Data!$AI:$AI)</f>
        <v>0</v>
      </c>
    </row>
    <row r="687" spans="1:22" x14ac:dyDescent="0.25">
      <c r="A687" s="47" t="s">
        <v>4755</v>
      </c>
      <c r="B687" s="47" t="s">
        <v>123</v>
      </c>
      <c r="C687" s="47" t="s">
        <v>4492</v>
      </c>
      <c r="D687" s="47">
        <v>1.0599094149586501</v>
      </c>
      <c r="E687" s="48">
        <f>SUMIF(Data!$E:$E,$C687,Data!$AI:$AI)</f>
        <v>0</v>
      </c>
      <c r="I687" s="14" t="s">
        <v>4762</v>
      </c>
      <c r="J687" s="14" t="s">
        <v>4763</v>
      </c>
      <c r="K687" s="14" t="s">
        <v>140</v>
      </c>
      <c r="L687" s="14" t="s">
        <v>4424</v>
      </c>
      <c r="M687" s="14" t="s">
        <v>4764</v>
      </c>
      <c r="N687" s="14">
        <v>167.911</v>
      </c>
      <c r="O687" s="14" t="s">
        <v>4765</v>
      </c>
      <c r="P687" s="14" t="s">
        <v>4766</v>
      </c>
      <c r="Q687" s="14" t="s">
        <v>193</v>
      </c>
      <c r="R687" s="14" t="s">
        <v>4767</v>
      </c>
      <c r="S687" s="14" t="s">
        <v>195</v>
      </c>
      <c r="T687" s="14" t="s">
        <v>149</v>
      </c>
      <c r="U687" s="14" t="s">
        <v>113</v>
      </c>
      <c r="V687" s="48">
        <f>SUMIF(Data!$E:$E,$I687,Data!$AI:$AI)</f>
        <v>0</v>
      </c>
    </row>
    <row r="688" spans="1:22" x14ac:dyDescent="0.25">
      <c r="A688" s="47" t="s">
        <v>4755</v>
      </c>
      <c r="B688" s="47" t="s">
        <v>123</v>
      </c>
      <c r="C688" s="47" t="s">
        <v>4768</v>
      </c>
      <c r="D688" s="47">
        <v>1.07470315542714</v>
      </c>
      <c r="E688" s="48">
        <f>SUMIF(Data!$E:$E,$C688,Data!$AI:$AI)</f>
        <v>0</v>
      </c>
      <c r="I688" s="14" t="s">
        <v>4769</v>
      </c>
      <c r="J688" s="14" t="s">
        <v>4770</v>
      </c>
      <c r="K688" s="14" t="s">
        <v>140</v>
      </c>
      <c r="L688" s="14" t="s">
        <v>4424</v>
      </c>
      <c r="M688" s="14" t="s">
        <v>4771</v>
      </c>
      <c r="N688" s="14">
        <v>76.021000000000001</v>
      </c>
      <c r="O688" s="14" t="s">
        <v>4772</v>
      </c>
      <c r="P688" s="14" t="s">
        <v>4773</v>
      </c>
      <c r="Q688" s="14" t="s">
        <v>146</v>
      </c>
      <c r="R688" s="14" t="s">
        <v>4774</v>
      </c>
      <c r="S688" s="14" t="s">
        <v>195</v>
      </c>
      <c r="T688" s="14" t="s">
        <v>149</v>
      </c>
      <c r="U688" s="14" t="s">
        <v>113</v>
      </c>
      <c r="V688" s="48">
        <f>SUMIF(Data!$E:$E,$I688,Data!$AI:$AI)</f>
        <v>0</v>
      </c>
    </row>
    <row r="689" spans="1:22" x14ac:dyDescent="0.25">
      <c r="A689" s="47" t="s">
        <v>4755</v>
      </c>
      <c r="B689" s="47" t="s">
        <v>123</v>
      </c>
      <c r="C689" s="47" t="s">
        <v>4592</v>
      </c>
      <c r="D689" s="47">
        <v>11.168887199039601</v>
      </c>
      <c r="E689" s="48">
        <f>SUMIF(Data!$E:$E,$C689,Data!$AI:$AI)</f>
        <v>0</v>
      </c>
      <c r="I689" s="14" t="s">
        <v>4775</v>
      </c>
      <c r="J689" s="14" t="s">
        <v>4776</v>
      </c>
      <c r="K689" s="14" t="s">
        <v>140</v>
      </c>
      <c r="L689" s="14" t="s">
        <v>4424</v>
      </c>
      <c r="M689" s="14" t="s">
        <v>4777</v>
      </c>
      <c r="N689" s="14" t="s">
        <v>4778</v>
      </c>
      <c r="O689" s="14" t="s">
        <v>4779</v>
      </c>
      <c r="P689" s="14" t="s">
        <v>4780</v>
      </c>
      <c r="Q689" s="14" t="s">
        <v>193</v>
      </c>
      <c r="R689" s="14" t="s">
        <v>4781</v>
      </c>
      <c r="S689" s="14" t="s">
        <v>479</v>
      </c>
      <c r="T689" s="14" t="s">
        <v>480</v>
      </c>
      <c r="U689" s="14" t="s">
        <v>481</v>
      </c>
      <c r="V689" s="48">
        <f>SUMIF(Data!$E:$E,$I689,Data!$AI:$AI)</f>
        <v>0</v>
      </c>
    </row>
    <row r="690" spans="1:22" x14ac:dyDescent="0.25">
      <c r="A690" s="47" t="s">
        <v>4755</v>
      </c>
      <c r="B690" s="47" t="s">
        <v>123</v>
      </c>
      <c r="C690" s="47" t="s">
        <v>4782</v>
      </c>
      <c r="D690" s="47">
        <v>1.1258185279911801</v>
      </c>
      <c r="E690" s="48">
        <f>SUMIF(Data!$E:$E,$C690,Data!$AI:$AI)</f>
        <v>0</v>
      </c>
      <c r="I690" s="14" t="s">
        <v>4783</v>
      </c>
      <c r="J690" s="14" t="s">
        <v>4784</v>
      </c>
      <c r="K690" s="14" t="s">
        <v>140</v>
      </c>
      <c r="L690" s="14" t="s">
        <v>4424</v>
      </c>
      <c r="M690" s="14" t="s">
        <v>4785</v>
      </c>
      <c r="N690" s="14">
        <v>122.932</v>
      </c>
      <c r="O690" s="14" t="s">
        <v>4786</v>
      </c>
      <c r="P690" s="14" t="s">
        <v>4787</v>
      </c>
      <c r="Q690" s="14" t="s">
        <v>146</v>
      </c>
      <c r="R690" s="14" t="s">
        <v>4788</v>
      </c>
      <c r="S690" s="14" t="s">
        <v>148</v>
      </c>
      <c r="T690" s="14" t="s">
        <v>149</v>
      </c>
      <c r="U690" s="14" t="s">
        <v>113</v>
      </c>
      <c r="V690" s="48">
        <f>SUMIF(Data!$E:$E,$I690,Data!$AI:$AI)</f>
        <v>0</v>
      </c>
    </row>
    <row r="691" spans="1:22" x14ac:dyDescent="0.25">
      <c r="A691" s="47" t="s">
        <v>4755</v>
      </c>
      <c r="B691" s="47" t="s">
        <v>123</v>
      </c>
      <c r="C691" s="47" t="s">
        <v>4789</v>
      </c>
      <c r="D691" s="47">
        <v>0.91963755351936705</v>
      </c>
      <c r="E691" s="48">
        <f>SUMIF(Data!$E:$E,$C691,Data!$AI:$AI)</f>
        <v>0</v>
      </c>
      <c r="I691" s="14">
        <v>9021</v>
      </c>
      <c r="J691" s="14" t="s">
        <v>4790</v>
      </c>
      <c r="K691" s="14" t="s">
        <v>140</v>
      </c>
      <c r="L691" s="14" t="s">
        <v>4424</v>
      </c>
      <c r="M691" s="14" t="s">
        <v>4791</v>
      </c>
      <c r="N691" s="14">
        <v>88.438999999999993</v>
      </c>
      <c r="O691" s="14" t="s">
        <v>4792</v>
      </c>
      <c r="P691" s="14" t="s">
        <v>4793</v>
      </c>
      <c r="Q691" s="14" t="s">
        <v>419</v>
      </c>
      <c r="R691" s="14" t="s">
        <v>4794</v>
      </c>
      <c r="S691" s="14" t="s">
        <v>444</v>
      </c>
      <c r="T691" s="14" t="s">
        <v>445</v>
      </c>
      <c r="U691" s="14" t="s">
        <v>446</v>
      </c>
      <c r="V691" s="48">
        <f>SUMIF(Data!$E:$E,$I691,Data!$AI:$AI)</f>
        <v>0</v>
      </c>
    </row>
    <row r="692" spans="1:22" x14ac:dyDescent="0.25">
      <c r="A692" s="47" t="s">
        <v>4755</v>
      </c>
      <c r="B692" s="47" t="s">
        <v>123</v>
      </c>
      <c r="C692" s="47" t="s">
        <v>3205</v>
      </c>
      <c r="D692" s="47">
        <v>0.92496928305592896</v>
      </c>
      <c r="E692" s="48">
        <f>SUMIF(Data!$E:$E,$C692,Data!$AI:$AI)</f>
        <v>0</v>
      </c>
      <c r="I692" s="14" t="s">
        <v>4795</v>
      </c>
      <c r="J692" s="14" t="s">
        <v>4796</v>
      </c>
      <c r="K692" s="14" t="s">
        <v>140</v>
      </c>
      <c r="L692" s="14" t="s">
        <v>4424</v>
      </c>
      <c r="M692" s="14" t="s">
        <v>4797</v>
      </c>
      <c r="N692" s="14">
        <v>281.84899999999999</v>
      </c>
      <c r="O692" s="14" t="s">
        <v>4798</v>
      </c>
      <c r="P692" s="14" t="s">
        <v>4799</v>
      </c>
      <c r="Q692" s="14" t="s">
        <v>697</v>
      </c>
      <c r="R692" s="14" t="s">
        <v>4800</v>
      </c>
      <c r="S692" s="14" t="s">
        <v>563</v>
      </c>
      <c r="T692" s="14" t="s">
        <v>564</v>
      </c>
      <c r="U692" s="14" t="s">
        <v>528</v>
      </c>
      <c r="V692" s="48">
        <f>SUMIF(Data!$E:$E,$I692,Data!$AI:$AI)</f>
        <v>0</v>
      </c>
    </row>
    <row r="693" spans="1:22" x14ac:dyDescent="0.25">
      <c r="A693" s="47" t="s">
        <v>4755</v>
      </c>
      <c r="B693" s="47" t="s">
        <v>123</v>
      </c>
      <c r="C693" s="47" t="s">
        <v>4801</v>
      </c>
      <c r="D693" s="47">
        <v>3.4535463132471498</v>
      </c>
      <c r="E693" s="48">
        <f>SUMIF(Data!$E:$E,$C693,Data!$AI:$AI)</f>
        <v>0.9366848889291185</v>
      </c>
      <c r="I693" s="14" t="s">
        <v>4802</v>
      </c>
      <c r="J693" s="14" t="s">
        <v>4803</v>
      </c>
      <c r="K693" s="14" t="s">
        <v>140</v>
      </c>
      <c r="L693" s="14" t="s">
        <v>4424</v>
      </c>
      <c r="M693" s="14" t="s">
        <v>4804</v>
      </c>
      <c r="N693" s="14">
        <v>82.543000000000006</v>
      </c>
      <c r="O693" s="14" t="s">
        <v>4805</v>
      </c>
      <c r="P693" s="14" t="s">
        <v>4806</v>
      </c>
      <c r="Q693" s="14" t="s">
        <v>263</v>
      </c>
      <c r="R693" s="14" t="s">
        <v>4807</v>
      </c>
      <c r="S693" s="14" t="s">
        <v>148</v>
      </c>
      <c r="T693" s="14" t="s">
        <v>149</v>
      </c>
      <c r="U693" s="14" t="s">
        <v>113</v>
      </c>
      <c r="V693" s="48">
        <f>SUMIF(Data!$E:$E,$I693,Data!$AI:$AI)</f>
        <v>0</v>
      </c>
    </row>
    <row r="694" spans="1:22" x14ac:dyDescent="0.25">
      <c r="A694" s="47" t="s">
        <v>4755</v>
      </c>
      <c r="B694" s="47" t="s">
        <v>123</v>
      </c>
      <c r="C694" s="47" t="s">
        <v>3145</v>
      </c>
      <c r="D694" s="47">
        <v>1.1944479959005301</v>
      </c>
      <c r="E694" s="48">
        <f>SUMIF(Data!$E:$E,$C694,Data!$AI:$AI)</f>
        <v>0</v>
      </c>
      <c r="I694" s="14" t="s">
        <v>4808</v>
      </c>
      <c r="J694" s="14" t="s">
        <v>4809</v>
      </c>
      <c r="K694" s="14" t="s">
        <v>140</v>
      </c>
      <c r="L694" s="14" t="s">
        <v>4424</v>
      </c>
      <c r="M694" s="14" t="s">
        <v>4810</v>
      </c>
      <c r="N694" s="14">
        <v>67.694000000000003</v>
      </c>
      <c r="O694" s="14" t="s">
        <v>4811</v>
      </c>
      <c r="P694" s="14" t="s">
        <v>4812</v>
      </c>
      <c r="Q694" s="14" t="s">
        <v>211</v>
      </c>
      <c r="R694" s="14" t="s">
        <v>4813</v>
      </c>
      <c r="S694" s="14" t="s">
        <v>148</v>
      </c>
      <c r="T694" s="14" t="s">
        <v>149</v>
      </c>
      <c r="U694" s="14" t="s">
        <v>113</v>
      </c>
      <c r="V694" s="48">
        <f>SUMIF(Data!$E:$E,$I694,Data!$AI:$AI)</f>
        <v>0</v>
      </c>
    </row>
    <row r="695" spans="1:22" x14ac:dyDescent="0.25">
      <c r="A695" s="47" t="s">
        <v>4755</v>
      </c>
      <c r="B695" s="47" t="s">
        <v>123</v>
      </c>
      <c r="C695" s="47" t="s">
        <v>4814</v>
      </c>
      <c r="D695" s="47">
        <v>0.48491513851293</v>
      </c>
      <c r="E695" s="48">
        <f>SUMIF(Data!$E:$E,$C695,Data!$AI:$AI)</f>
        <v>0</v>
      </c>
      <c r="I695" s="14" t="s">
        <v>4815</v>
      </c>
      <c r="J695" s="14" t="s">
        <v>4816</v>
      </c>
      <c r="K695" s="14" t="s">
        <v>140</v>
      </c>
      <c r="L695" s="14" t="s">
        <v>4424</v>
      </c>
      <c r="M695" s="14" t="s">
        <v>4817</v>
      </c>
      <c r="N695" s="14">
        <v>76.932000000000002</v>
      </c>
      <c r="O695" s="14" t="s">
        <v>4818</v>
      </c>
      <c r="P695" s="14" t="s">
        <v>4819</v>
      </c>
      <c r="Q695" s="14" t="s">
        <v>165</v>
      </c>
      <c r="R695" s="14" t="s">
        <v>4820</v>
      </c>
      <c r="S695" s="14" t="s">
        <v>195</v>
      </c>
      <c r="T695" s="14" t="s">
        <v>149</v>
      </c>
      <c r="U695" s="14" t="s">
        <v>113</v>
      </c>
      <c r="V695" s="48">
        <f>SUMIF(Data!$E:$E,$I695,Data!$AI:$AI)</f>
        <v>0</v>
      </c>
    </row>
    <row r="696" spans="1:22" x14ac:dyDescent="0.25">
      <c r="A696" s="47" t="s">
        <v>4755</v>
      </c>
      <c r="B696" s="47" t="s">
        <v>123</v>
      </c>
      <c r="C696" s="47" t="s">
        <v>4821</v>
      </c>
      <c r="D696" s="47">
        <v>1.05759426128939</v>
      </c>
      <c r="E696" s="48">
        <f>SUMIF(Data!$E:$E,$C696,Data!$AI:$AI)</f>
        <v>0</v>
      </c>
      <c r="I696" s="14" t="s">
        <v>4822</v>
      </c>
      <c r="J696" s="14" t="s">
        <v>4823</v>
      </c>
      <c r="K696" s="14" t="s">
        <v>140</v>
      </c>
      <c r="L696" s="14" t="s">
        <v>4424</v>
      </c>
      <c r="M696" s="14" t="s">
        <v>4824</v>
      </c>
      <c r="N696" s="14">
        <v>188.785</v>
      </c>
      <c r="O696" s="14" t="s">
        <v>4825</v>
      </c>
      <c r="P696" s="14" t="s">
        <v>4826</v>
      </c>
      <c r="Q696" s="14" t="s">
        <v>809</v>
      </c>
      <c r="R696" s="14" t="s">
        <v>4827</v>
      </c>
      <c r="S696" s="14" t="s">
        <v>526</v>
      </c>
      <c r="T696" s="14" t="s">
        <v>527</v>
      </c>
      <c r="U696" s="14" t="s">
        <v>528</v>
      </c>
      <c r="V696" s="48">
        <f>SUMIF(Data!$E:$E,$I696,Data!$AI:$AI)</f>
        <v>0</v>
      </c>
    </row>
    <row r="697" spans="1:22" x14ac:dyDescent="0.25">
      <c r="A697" s="47" t="s">
        <v>4755</v>
      </c>
      <c r="B697" s="47" t="s">
        <v>123</v>
      </c>
      <c r="C697" s="47" t="s">
        <v>4621</v>
      </c>
      <c r="D697" s="47">
        <v>0.71994304919851304</v>
      </c>
      <c r="E697" s="48">
        <f>SUMIF(Data!$E:$E,$C697,Data!$AI:$AI)</f>
        <v>0</v>
      </c>
      <c r="I697" s="14" t="s">
        <v>4828</v>
      </c>
      <c r="J697" s="14" t="s">
        <v>4829</v>
      </c>
      <c r="K697" s="14" t="s">
        <v>140</v>
      </c>
      <c r="L697" s="14" t="s">
        <v>4424</v>
      </c>
      <c r="M697" s="14" t="s">
        <v>4830</v>
      </c>
      <c r="N697" s="14">
        <v>67.47</v>
      </c>
      <c r="O697" s="14" t="s">
        <v>4831</v>
      </c>
      <c r="P697" s="14" t="s">
        <v>4832</v>
      </c>
      <c r="Q697" s="14" t="s">
        <v>146</v>
      </c>
      <c r="R697" s="14" t="s">
        <v>4833</v>
      </c>
      <c r="S697" s="14" t="s">
        <v>148</v>
      </c>
      <c r="T697" s="14" t="s">
        <v>4834</v>
      </c>
      <c r="U697" s="14" t="s">
        <v>113</v>
      </c>
      <c r="V697" s="48">
        <f>SUMIF(Data!$E:$E,$I697,Data!$AI:$AI)</f>
        <v>0</v>
      </c>
    </row>
    <row r="698" spans="1:22" x14ac:dyDescent="0.25">
      <c r="A698" s="47" t="s">
        <v>4755</v>
      </c>
      <c r="B698" s="47" t="s">
        <v>123</v>
      </c>
      <c r="C698" s="47" t="s">
        <v>4628</v>
      </c>
      <c r="D698" s="47">
        <v>2.22580524660777</v>
      </c>
      <c r="E698" s="48">
        <f>SUMIF(Data!$E:$E,$C698,Data!$AI:$AI)</f>
        <v>0</v>
      </c>
      <c r="I698" s="14" t="s">
        <v>4835</v>
      </c>
      <c r="J698" s="14" t="s">
        <v>4836</v>
      </c>
      <c r="K698" s="14" t="s">
        <v>140</v>
      </c>
      <c r="L698" s="14" t="s">
        <v>4424</v>
      </c>
      <c r="M698" s="14" t="s">
        <v>4837</v>
      </c>
      <c r="N698" s="14">
        <v>2.008</v>
      </c>
      <c r="O698" s="14" t="s">
        <v>4838</v>
      </c>
      <c r="P698" s="14" t="s">
        <v>4839</v>
      </c>
      <c r="Q698" s="14" t="s">
        <v>165</v>
      </c>
      <c r="R698" s="14" t="s">
        <v>4840</v>
      </c>
      <c r="S698" s="14" t="s">
        <v>195</v>
      </c>
      <c r="T698" s="14" t="s">
        <v>149</v>
      </c>
      <c r="U698" s="14" t="s">
        <v>113</v>
      </c>
      <c r="V698" s="48">
        <f>SUMIF(Data!$E:$E,$I698,Data!$AI:$AI)</f>
        <v>0</v>
      </c>
    </row>
    <row r="699" spans="1:22" x14ac:dyDescent="0.25">
      <c r="A699" s="47" t="s">
        <v>4755</v>
      </c>
      <c r="B699" s="47" t="s">
        <v>123</v>
      </c>
      <c r="C699" s="47" t="s">
        <v>4841</v>
      </c>
      <c r="D699" s="47">
        <v>2.67661398928339</v>
      </c>
      <c r="E699" s="48">
        <f>SUMIF(Data!$E:$E,$C699,Data!$AI:$AI)</f>
        <v>1.1368494141004637</v>
      </c>
      <c r="I699" s="14" t="s">
        <v>4842</v>
      </c>
      <c r="J699" s="14" t="s">
        <v>4843</v>
      </c>
      <c r="K699" s="14" t="s">
        <v>140</v>
      </c>
      <c r="L699" s="14" t="s">
        <v>4424</v>
      </c>
      <c r="M699" s="14" t="s">
        <v>4844</v>
      </c>
      <c r="N699" s="14">
        <v>92.192999999999998</v>
      </c>
      <c r="O699" s="14" t="s">
        <v>4845</v>
      </c>
      <c r="P699" s="14" t="s">
        <v>4846</v>
      </c>
      <c r="Q699" s="14" t="s">
        <v>809</v>
      </c>
      <c r="R699" s="14" t="s">
        <v>4847</v>
      </c>
      <c r="S699" s="14" t="s">
        <v>195</v>
      </c>
      <c r="T699" s="14" t="s">
        <v>149</v>
      </c>
      <c r="U699" s="14" t="s">
        <v>113</v>
      </c>
      <c r="V699" s="48">
        <f>SUMIF(Data!$E:$E,$I699,Data!$AI:$AI)</f>
        <v>0</v>
      </c>
    </row>
    <row r="700" spans="1:22" x14ac:dyDescent="0.25">
      <c r="A700" s="47" t="s">
        <v>4755</v>
      </c>
      <c r="B700" s="47" t="s">
        <v>123</v>
      </c>
      <c r="C700" s="47" t="s">
        <v>4848</v>
      </c>
      <c r="D700" s="47">
        <v>1.5468748571325299</v>
      </c>
      <c r="E700" s="48">
        <f>SUMIF(Data!$E:$E,$C700,Data!$AI:$AI)</f>
        <v>0</v>
      </c>
      <c r="I700" s="14" t="s">
        <v>4849</v>
      </c>
      <c r="J700" s="14" t="s">
        <v>4850</v>
      </c>
      <c r="K700" s="14" t="s">
        <v>140</v>
      </c>
      <c r="L700" s="14" t="s">
        <v>4424</v>
      </c>
      <c r="M700" s="14" t="s">
        <v>4851</v>
      </c>
      <c r="N700" s="14">
        <v>50.106000000000002</v>
      </c>
      <c r="O700" s="14" t="s">
        <v>4852</v>
      </c>
      <c r="P700" s="14" t="s">
        <v>4853</v>
      </c>
      <c r="Q700" s="14" t="s">
        <v>211</v>
      </c>
      <c r="R700" s="14" t="s">
        <v>4854</v>
      </c>
      <c r="S700" s="14" t="s">
        <v>195</v>
      </c>
      <c r="T700" s="14" t="s">
        <v>149</v>
      </c>
      <c r="U700" s="14" t="s">
        <v>113</v>
      </c>
      <c r="V700" s="48">
        <f>SUMIF(Data!$E:$E,$I700,Data!$AI:$AI)</f>
        <v>0</v>
      </c>
    </row>
    <row r="701" spans="1:22" x14ac:dyDescent="0.25">
      <c r="A701" s="47" t="s">
        <v>4755</v>
      </c>
      <c r="B701" s="47" t="s">
        <v>123</v>
      </c>
      <c r="C701" s="47" t="s">
        <v>4855</v>
      </c>
      <c r="D701" s="47">
        <v>20.9348810819486</v>
      </c>
      <c r="E701" s="48">
        <f>SUMIF(Data!$E:$E,$C701,Data!$AI:$AI)</f>
        <v>1.0989645296635115</v>
      </c>
      <c r="I701" s="14" t="s">
        <v>4856</v>
      </c>
      <c r="J701" s="14" t="s">
        <v>4857</v>
      </c>
      <c r="K701" s="14" t="s">
        <v>140</v>
      </c>
      <c r="L701" s="14" t="s">
        <v>4424</v>
      </c>
      <c r="M701" s="14" t="s">
        <v>4858</v>
      </c>
      <c r="N701" s="14">
        <v>97.228999999999999</v>
      </c>
      <c r="O701" s="14" t="s">
        <v>4859</v>
      </c>
      <c r="P701" s="14" t="s">
        <v>4860</v>
      </c>
      <c r="Q701" s="14" t="s">
        <v>419</v>
      </c>
      <c r="R701" s="14" t="s">
        <v>4861</v>
      </c>
      <c r="S701" s="14" t="s">
        <v>195</v>
      </c>
      <c r="T701" s="14" t="s">
        <v>149</v>
      </c>
      <c r="U701" s="14" t="s">
        <v>113</v>
      </c>
      <c r="V701" s="48">
        <f>SUMIF(Data!$E:$E,$I701,Data!$AI:$AI)</f>
        <v>0</v>
      </c>
    </row>
    <row r="702" spans="1:22" x14ac:dyDescent="0.25">
      <c r="A702" s="47" t="s">
        <v>4755</v>
      </c>
      <c r="B702" s="47" t="s">
        <v>123</v>
      </c>
      <c r="C702" s="47" t="s">
        <v>4862</v>
      </c>
      <c r="D702" s="47">
        <v>0.62607674275996195</v>
      </c>
      <c r="E702" s="48">
        <f>SUMIF(Data!$E:$E,$C702,Data!$AI:$AI)</f>
        <v>0.397519933142436</v>
      </c>
      <c r="I702" s="14">
        <v>11</v>
      </c>
      <c r="J702" s="14" t="s">
        <v>4863</v>
      </c>
      <c r="K702" s="14" t="s">
        <v>140</v>
      </c>
      <c r="L702" s="14" t="s">
        <v>4424</v>
      </c>
      <c r="M702" s="14" t="s">
        <v>4864</v>
      </c>
      <c r="N702" s="14">
        <v>355.11500000000001</v>
      </c>
      <c r="O702" s="14" t="s">
        <v>4865</v>
      </c>
      <c r="P702" s="14" t="s">
        <v>4866</v>
      </c>
      <c r="Q702" s="14" t="s">
        <v>193</v>
      </c>
      <c r="R702" s="14" t="s">
        <v>4867</v>
      </c>
      <c r="S702" s="14" t="s">
        <v>552</v>
      </c>
      <c r="T702" s="14" t="s">
        <v>553</v>
      </c>
      <c r="U702" s="14" t="s">
        <v>554</v>
      </c>
      <c r="V702" s="48">
        <f>SUMIF(Data!$E:$E,$I702,Data!$AI:$AI)</f>
        <v>0</v>
      </c>
    </row>
    <row r="703" spans="1:22" x14ac:dyDescent="0.25">
      <c r="A703" s="47" t="s">
        <v>4755</v>
      </c>
      <c r="B703" s="47" t="s">
        <v>123</v>
      </c>
      <c r="C703" s="47" t="s">
        <v>3160</v>
      </c>
      <c r="D703" s="47">
        <v>0.89986356290889502</v>
      </c>
      <c r="E703" s="48">
        <f>SUMIF(Data!$E:$E,$C703,Data!$AI:$AI)</f>
        <v>0.48939641738655321</v>
      </c>
      <c r="I703" s="14" t="s">
        <v>4868</v>
      </c>
      <c r="J703" s="14" t="s">
        <v>4869</v>
      </c>
      <c r="K703" s="14" t="s">
        <v>140</v>
      </c>
      <c r="L703" s="14" t="s">
        <v>4424</v>
      </c>
      <c r="M703" s="14" t="s">
        <v>1386</v>
      </c>
      <c r="N703" s="14">
        <v>68.132999999999996</v>
      </c>
      <c r="O703" s="14" t="s">
        <v>4870</v>
      </c>
      <c r="P703" s="14" t="s">
        <v>4871</v>
      </c>
      <c r="Q703" s="14" t="s">
        <v>193</v>
      </c>
      <c r="R703" s="14" t="s">
        <v>4872</v>
      </c>
      <c r="S703" s="14" t="s">
        <v>728</v>
      </c>
      <c r="T703" s="14" t="s">
        <v>729</v>
      </c>
      <c r="U703" s="14" t="s">
        <v>730</v>
      </c>
      <c r="V703" s="48">
        <f>SUMIF(Data!$E:$E,$I703,Data!$AI:$AI)</f>
        <v>0</v>
      </c>
    </row>
    <row r="704" spans="1:22" x14ac:dyDescent="0.25">
      <c r="A704" s="47" t="s">
        <v>4755</v>
      </c>
      <c r="B704" s="47" t="s">
        <v>123</v>
      </c>
      <c r="C704" s="47" t="s">
        <v>4873</v>
      </c>
      <c r="D704" s="47">
        <v>1.72756039217831</v>
      </c>
      <c r="E704" s="48">
        <f>SUMIF(Data!$E:$E,$C704,Data!$AI:$AI)</f>
        <v>0</v>
      </c>
      <c r="I704" s="14">
        <v>6</v>
      </c>
      <c r="J704" s="14" t="s">
        <v>4874</v>
      </c>
      <c r="K704" s="14" t="s">
        <v>140</v>
      </c>
      <c r="L704" s="14" t="s">
        <v>4424</v>
      </c>
      <c r="M704" s="14" t="s">
        <v>4875</v>
      </c>
      <c r="N704" s="14" t="s">
        <v>4876</v>
      </c>
      <c r="O704" s="14" t="s">
        <v>4877</v>
      </c>
      <c r="P704" s="14" t="s">
        <v>4878</v>
      </c>
      <c r="Q704" s="14" t="s">
        <v>697</v>
      </c>
      <c r="R704" s="14" t="s">
        <v>4879</v>
      </c>
      <c r="S704" s="14" t="s">
        <v>552</v>
      </c>
      <c r="T704" s="14" t="s">
        <v>553</v>
      </c>
      <c r="U704" s="14" t="s">
        <v>554</v>
      </c>
      <c r="V704" s="48">
        <f>SUMIF(Data!$E:$E,$I704,Data!$AI:$AI)</f>
        <v>0</v>
      </c>
    </row>
    <row r="705" spans="1:22" x14ac:dyDescent="0.25">
      <c r="A705" s="47" t="s">
        <v>4755</v>
      </c>
      <c r="B705" s="47" t="s">
        <v>123</v>
      </c>
      <c r="C705" s="47" t="s">
        <v>4880</v>
      </c>
      <c r="D705" s="47">
        <v>0.81439383094113604</v>
      </c>
      <c r="E705" s="48">
        <f>SUMIF(Data!$E:$E,$C705,Data!$AI:$AI)</f>
        <v>0</v>
      </c>
      <c r="I705" s="14" t="s">
        <v>4881</v>
      </c>
      <c r="J705" s="14" t="s">
        <v>4882</v>
      </c>
      <c r="K705" s="14" t="s">
        <v>140</v>
      </c>
      <c r="L705" s="14" t="s">
        <v>4424</v>
      </c>
      <c r="M705" s="14" t="s">
        <v>4883</v>
      </c>
      <c r="N705" s="14">
        <v>33.604999999999997</v>
      </c>
      <c r="O705" s="14" t="s">
        <v>4884</v>
      </c>
      <c r="P705" s="14" t="s">
        <v>4885</v>
      </c>
      <c r="Q705" s="14" t="s">
        <v>146</v>
      </c>
      <c r="R705" s="14" t="s">
        <v>4886</v>
      </c>
      <c r="S705" s="14" t="s">
        <v>195</v>
      </c>
      <c r="T705" s="14" t="s">
        <v>149</v>
      </c>
      <c r="U705" s="14" t="s">
        <v>113</v>
      </c>
      <c r="V705" s="48">
        <f>SUMIF(Data!$E:$E,$I705,Data!$AI:$AI)</f>
        <v>0</v>
      </c>
    </row>
    <row r="706" spans="1:22" x14ac:dyDescent="0.25">
      <c r="A706" s="47" t="s">
        <v>4755</v>
      </c>
      <c r="B706" s="47" t="s">
        <v>123</v>
      </c>
      <c r="C706" s="47" t="s">
        <v>520</v>
      </c>
      <c r="D706" s="47">
        <v>0.80477134468328104</v>
      </c>
      <c r="E706" s="48">
        <f>SUMIF(Data!$E:$E,$C706,Data!$AI:$AI)</f>
        <v>0.42534541896463962</v>
      </c>
      <c r="I706" s="14" t="s">
        <v>4887</v>
      </c>
      <c r="J706" s="14" t="s">
        <v>4888</v>
      </c>
      <c r="K706" s="14" t="s">
        <v>140</v>
      </c>
      <c r="L706" s="14" t="s">
        <v>4424</v>
      </c>
      <c r="M706" s="14" t="s">
        <v>4889</v>
      </c>
      <c r="N706" s="14">
        <v>69.156000000000006</v>
      </c>
      <c r="O706" s="14" t="s">
        <v>4890</v>
      </c>
      <c r="P706" s="14" t="s">
        <v>4891</v>
      </c>
      <c r="Q706" s="14" t="s">
        <v>809</v>
      </c>
      <c r="R706" s="14" t="s">
        <v>4892</v>
      </c>
      <c r="S706" s="14" t="s">
        <v>195</v>
      </c>
      <c r="T706" s="14" t="s">
        <v>149</v>
      </c>
      <c r="U706" s="14" t="s">
        <v>113</v>
      </c>
      <c r="V706" s="48">
        <f>SUMIF(Data!$E:$E,$I706,Data!$AI:$AI)</f>
        <v>0</v>
      </c>
    </row>
    <row r="707" spans="1:22" x14ac:dyDescent="0.25">
      <c r="A707" s="47" t="s">
        <v>4755</v>
      </c>
      <c r="B707" s="47" t="s">
        <v>123</v>
      </c>
      <c r="C707" s="47" t="s">
        <v>4893</v>
      </c>
      <c r="D707" s="47">
        <v>3.6661204455454599</v>
      </c>
      <c r="E707" s="48">
        <f>SUMIF(Data!$E:$E,$C707,Data!$AI:$AI)</f>
        <v>0.14807872778681458</v>
      </c>
      <c r="I707" s="14" t="s">
        <v>4894</v>
      </c>
      <c r="J707" s="14" t="s">
        <v>4895</v>
      </c>
      <c r="K707" s="14" t="s">
        <v>140</v>
      </c>
      <c r="L707" s="14" t="s">
        <v>4424</v>
      </c>
      <c r="M707" s="14" t="s">
        <v>4896</v>
      </c>
      <c r="N707" s="14">
        <v>60.201999999999998</v>
      </c>
      <c r="O707" s="14" t="s">
        <v>4897</v>
      </c>
      <c r="P707" s="14" t="s">
        <v>4898</v>
      </c>
      <c r="Q707" s="14" t="s">
        <v>146</v>
      </c>
      <c r="R707" s="14" t="s">
        <v>4899</v>
      </c>
      <c r="S707" s="14" t="s">
        <v>526</v>
      </c>
      <c r="T707" s="14" t="s">
        <v>527</v>
      </c>
      <c r="U707" s="14" t="s">
        <v>528</v>
      </c>
      <c r="V707" s="48">
        <f>SUMIF(Data!$E:$E,$I707,Data!$AI:$AI)</f>
        <v>0</v>
      </c>
    </row>
    <row r="708" spans="1:22" x14ac:dyDescent="0.25">
      <c r="A708" s="47" t="s">
        <v>4755</v>
      </c>
      <c r="B708" s="47" t="s">
        <v>123</v>
      </c>
      <c r="C708" s="47" t="s">
        <v>4900</v>
      </c>
      <c r="D708" s="47">
        <v>1.4747568946879901</v>
      </c>
      <c r="E708" s="48">
        <f>SUMIF(Data!$E:$E,$C708,Data!$AI:$AI)</f>
        <v>0</v>
      </c>
      <c r="I708" s="14" t="s">
        <v>4901</v>
      </c>
      <c r="J708" s="14" t="s">
        <v>4902</v>
      </c>
      <c r="K708" s="14" t="s">
        <v>140</v>
      </c>
      <c r="L708" s="14" t="s">
        <v>4424</v>
      </c>
      <c r="M708" s="14" t="s">
        <v>4903</v>
      </c>
      <c r="N708" s="14">
        <v>61.344000000000001</v>
      </c>
      <c r="O708" s="14" t="s">
        <v>4904</v>
      </c>
      <c r="P708" s="14" t="s">
        <v>4905</v>
      </c>
      <c r="Q708" s="14" t="s">
        <v>211</v>
      </c>
      <c r="R708" s="14" t="s">
        <v>4906</v>
      </c>
      <c r="S708" s="14" t="s">
        <v>771</v>
      </c>
      <c r="T708" s="14" t="s">
        <v>772</v>
      </c>
      <c r="U708" s="14" t="s">
        <v>773</v>
      </c>
      <c r="V708" s="48">
        <f>SUMIF(Data!$E:$E,$I708,Data!$AI:$AI)</f>
        <v>0</v>
      </c>
    </row>
    <row r="709" spans="1:22" x14ac:dyDescent="0.25">
      <c r="A709" s="47" t="s">
        <v>4755</v>
      </c>
      <c r="B709" s="47" t="s">
        <v>123</v>
      </c>
      <c r="C709" s="47" t="s">
        <v>4907</v>
      </c>
      <c r="D709" s="47">
        <v>2.1797253530086902</v>
      </c>
      <c r="E709" s="48">
        <f>SUMIF(Data!$E:$E,$C709,Data!$AI:$AI)</f>
        <v>0</v>
      </c>
      <c r="I709" s="14" t="s">
        <v>4908</v>
      </c>
      <c r="J709" s="14" t="s">
        <v>4909</v>
      </c>
      <c r="K709" s="14" t="s">
        <v>140</v>
      </c>
      <c r="L709" s="14" t="s">
        <v>4424</v>
      </c>
      <c r="M709" s="14" t="s">
        <v>4751</v>
      </c>
      <c r="N709" s="14">
        <v>64.712000000000003</v>
      </c>
      <c r="O709" s="14" t="s">
        <v>4910</v>
      </c>
      <c r="P709" s="14" t="s">
        <v>4911</v>
      </c>
      <c r="Q709" s="14" t="s">
        <v>165</v>
      </c>
      <c r="R709" s="14" t="s">
        <v>4912</v>
      </c>
      <c r="S709" s="14" t="s">
        <v>195</v>
      </c>
      <c r="T709" s="14" t="s">
        <v>149</v>
      </c>
      <c r="U709" s="14" t="s">
        <v>113</v>
      </c>
      <c r="V709" s="48">
        <f>SUMIF(Data!$E:$E,$I709,Data!$AI:$AI)</f>
        <v>0</v>
      </c>
    </row>
    <row r="710" spans="1:22" x14ac:dyDescent="0.25">
      <c r="A710" s="47" t="s">
        <v>4755</v>
      </c>
      <c r="B710" s="47" t="s">
        <v>123</v>
      </c>
      <c r="C710" s="47" t="s">
        <v>4484</v>
      </c>
      <c r="D710" s="47">
        <v>4.9225342303140902</v>
      </c>
      <c r="E710" s="48">
        <f>SUMIF(Data!$E:$E,$C710,Data!$AI:$AI)</f>
        <v>0</v>
      </c>
      <c r="I710" s="14" t="s">
        <v>4913</v>
      </c>
      <c r="J710" s="14" t="s">
        <v>4914</v>
      </c>
      <c r="K710" s="14" t="s">
        <v>140</v>
      </c>
      <c r="L710" s="14" t="s">
        <v>4424</v>
      </c>
      <c r="M710" s="14" t="s">
        <v>4915</v>
      </c>
      <c r="N710" s="14">
        <v>141.56</v>
      </c>
      <c r="O710" s="14" t="s">
        <v>4916</v>
      </c>
      <c r="P710" s="14" t="s">
        <v>4917</v>
      </c>
      <c r="Q710" s="14" t="s">
        <v>419</v>
      </c>
      <c r="R710" s="14" t="s">
        <v>4918</v>
      </c>
      <c r="S710" s="14" t="s">
        <v>563</v>
      </c>
      <c r="T710" s="14" t="s">
        <v>564</v>
      </c>
      <c r="U710" s="14" t="s">
        <v>528</v>
      </c>
      <c r="V710" s="48">
        <f>SUMIF(Data!$E:$E,$I710,Data!$AI:$AI)</f>
        <v>0</v>
      </c>
    </row>
    <row r="711" spans="1:22" x14ac:dyDescent="0.25">
      <c r="A711" s="47" t="s">
        <v>4755</v>
      </c>
      <c r="B711" s="47" t="s">
        <v>123</v>
      </c>
      <c r="C711" s="47" t="s">
        <v>4919</v>
      </c>
      <c r="D711" s="47">
        <v>0.58414214117196805</v>
      </c>
      <c r="E711" s="48">
        <f>SUMIF(Data!$E:$E,$C711,Data!$AI:$AI)</f>
        <v>0.63880820904302782</v>
      </c>
      <c r="I711" s="14" t="s">
        <v>4920</v>
      </c>
      <c r="J711" s="14" t="s">
        <v>4921</v>
      </c>
      <c r="K711" s="14" t="s">
        <v>140</v>
      </c>
      <c r="L711" s="14" t="s">
        <v>4424</v>
      </c>
      <c r="M711" s="14" t="s">
        <v>4922</v>
      </c>
      <c r="N711" s="14">
        <v>51.82</v>
      </c>
      <c r="O711" s="14" t="s">
        <v>4923</v>
      </c>
      <c r="P711" s="14" t="s">
        <v>4924</v>
      </c>
      <c r="Q711" s="14" t="s">
        <v>165</v>
      </c>
      <c r="R711" s="14" t="s">
        <v>4925</v>
      </c>
      <c r="S711" s="14" t="s">
        <v>148</v>
      </c>
      <c r="T711" s="14" t="s">
        <v>149</v>
      </c>
      <c r="U711" s="14" t="s">
        <v>113</v>
      </c>
      <c r="V711" s="48">
        <f>SUMIF(Data!$E:$E,$I711,Data!$AI:$AI)</f>
        <v>0</v>
      </c>
    </row>
    <row r="712" spans="1:22" x14ac:dyDescent="0.25">
      <c r="A712" s="47" t="s">
        <v>4755</v>
      </c>
      <c r="B712" s="47" t="s">
        <v>123</v>
      </c>
      <c r="C712" s="47" t="s">
        <v>4926</v>
      </c>
      <c r="D712" s="47">
        <v>0.72543802379524402</v>
      </c>
      <c r="E712" s="48">
        <f>SUMIF(Data!$E:$E,$C712,Data!$AI:$AI)</f>
        <v>0.52858464745473188</v>
      </c>
      <c r="I712" s="14">
        <v>6178</v>
      </c>
      <c r="J712" s="14" t="s">
        <v>4927</v>
      </c>
      <c r="K712" s="14" t="s">
        <v>140</v>
      </c>
      <c r="L712" s="14" t="s">
        <v>4424</v>
      </c>
      <c r="M712" s="14" t="s">
        <v>4928</v>
      </c>
      <c r="N712" s="14">
        <v>794.8</v>
      </c>
      <c r="O712" s="14" t="s">
        <v>4929</v>
      </c>
      <c r="P712" s="14" t="s">
        <v>4930</v>
      </c>
      <c r="Q712" s="14" t="s">
        <v>193</v>
      </c>
      <c r="R712" s="14" t="s">
        <v>4931</v>
      </c>
      <c r="S712" s="14" t="s">
        <v>444</v>
      </c>
      <c r="T712" s="14" t="s">
        <v>445</v>
      </c>
      <c r="U712" s="14" t="s">
        <v>446</v>
      </c>
      <c r="V712" s="48">
        <f>SUMIF(Data!$E:$E,$I712,Data!$AI:$AI)</f>
        <v>0</v>
      </c>
    </row>
    <row r="713" spans="1:22" x14ac:dyDescent="0.25">
      <c r="A713" s="47" t="s">
        <v>4755</v>
      </c>
      <c r="B713" s="47" t="s">
        <v>123</v>
      </c>
      <c r="C713" s="47" t="s">
        <v>3901</v>
      </c>
      <c r="D713" s="47">
        <v>0.62040441526614598</v>
      </c>
      <c r="E713" s="48">
        <f>SUMIF(Data!$E:$E,$C713,Data!$AI:$AI)</f>
        <v>0.4435083799971119</v>
      </c>
      <c r="I713" s="14" t="s">
        <v>4932</v>
      </c>
      <c r="J713" s="14" t="s">
        <v>4933</v>
      </c>
      <c r="K713" s="14" t="s">
        <v>140</v>
      </c>
      <c r="L713" s="14" t="s">
        <v>4424</v>
      </c>
      <c r="M713" s="14" t="s">
        <v>4934</v>
      </c>
      <c r="N713" s="14">
        <v>55.954999999999998</v>
      </c>
      <c r="O713" s="14" t="s">
        <v>4935</v>
      </c>
      <c r="P713" s="14" t="s">
        <v>4936</v>
      </c>
      <c r="Q713" s="14" t="s">
        <v>165</v>
      </c>
      <c r="R713" s="14" t="s">
        <v>4937</v>
      </c>
      <c r="S713" s="14" t="s">
        <v>526</v>
      </c>
      <c r="T713" s="14" t="s">
        <v>527</v>
      </c>
      <c r="U713" s="14" t="s">
        <v>528</v>
      </c>
      <c r="V713" s="48">
        <f>SUMIF(Data!$E:$E,$I713,Data!$AI:$AI)</f>
        <v>0</v>
      </c>
    </row>
    <row r="714" spans="1:22" x14ac:dyDescent="0.25">
      <c r="A714" s="47" t="s">
        <v>4755</v>
      </c>
      <c r="B714" s="47" t="s">
        <v>123</v>
      </c>
      <c r="C714" s="47" t="s">
        <v>4938</v>
      </c>
      <c r="D714" s="47">
        <v>0.82691395440027604</v>
      </c>
      <c r="E714" s="48">
        <f>SUMIF(Data!$E:$E,$C714,Data!$AI:$AI)</f>
        <v>0</v>
      </c>
      <c r="I714" s="14" t="s">
        <v>4939</v>
      </c>
      <c r="J714" s="14" t="s">
        <v>4940</v>
      </c>
      <c r="K714" s="14" t="s">
        <v>140</v>
      </c>
      <c r="L714" s="14" t="s">
        <v>4424</v>
      </c>
      <c r="M714" s="14" t="s">
        <v>4941</v>
      </c>
      <c r="N714" s="14">
        <v>265.90100000000001</v>
      </c>
      <c r="O714" s="14" t="s">
        <v>4942</v>
      </c>
      <c r="P714" s="14" t="s">
        <v>4943</v>
      </c>
      <c r="Q714" s="14" t="s">
        <v>737</v>
      </c>
      <c r="R714" s="14" t="s">
        <v>4944</v>
      </c>
      <c r="S714" s="14" t="s">
        <v>728</v>
      </c>
      <c r="T714" s="14" t="s">
        <v>729</v>
      </c>
      <c r="U714" s="14" t="s">
        <v>730</v>
      </c>
      <c r="V714" s="48">
        <f>SUMIF(Data!$E:$E,$I714,Data!$AI:$AI)</f>
        <v>0</v>
      </c>
    </row>
    <row r="715" spans="1:22" x14ac:dyDescent="0.25">
      <c r="A715" s="47" t="s">
        <v>4755</v>
      </c>
      <c r="B715" s="47" t="s">
        <v>123</v>
      </c>
      <c r="C715" s="47" t="s">
        <v>1942</v>
      </c>
      <c r="D715" s="47">
        <v>9.4877538421063292</v>
      </c>
      <c r="E715" s="48">
        <f>SUMIF(Data!$E:$E,$C715,Data!$AI:$AI)</f>
        <v>0</v>
      </c>
      <c r="I715" s="14" t="s">
        <v>4945</v>
      </c>
      <c r="J715" s="14" t="s">
        <v>4946</v>
      </c>
      <c r="K715" s="14" t="s">
        <v>140</v>
      </c>
      <c r="L715" s="14" t="s">
        <v>4424</v>
      </c>
      <c r="M715" s="14" t="s">
        <v>4947</v>
      </c>
      <c r="N715" s="14">
        <v>27.616</v>
      </c>
      <c r="O715" s="14" t="s">
        <v>4948</v>
      </c>
      <c r="P715" s="14" t="s">
        <v>4949</v>
      </c>
      <c r="Q715" s="14" t="s">
        <v>165</v>
      </c>
      <c r="R715" s="14" t="s">
        <v>4950</v>
      </c>
      <c r="S715" s="14" t="s">
        <v>148</v>
      </c>
      <c r="T715" s="14" t="s">
        <v>149</v>
      </c>
      <c r="U715" s="14" t="s">
        <v>113</v>
      </c>
      <c r="V715" s="48">
        <f>SUMIF(Data!$E:$E,$I715,Data!$AI:$AI)</f>
        <v>0</v>
      </c>
    </row>
    <row r="716" spans="1:22" x14ac:dyDescent="0.25">
      <c r="A716" s="47" t="s">
        <v>4755</v>
      </c>
      <c r="B716" s="47" t="s">
        <v>123</v>
      </c>
      <c r="C716" s="47" t="s">
        <v>4951</v>
      </c>
      <c r="D716" s="47">
        <v>2.8253882469545601</v>
      </c>
      <c r="E716" s="48">
        <f>SUMIF(Data!$E:$E,$C716,Data!$AI:$AI)</f>
        <v>0</v>
      </c>
      <c r="I716" s="14" t="s">
        <v>4952</v>
      </c>
      <c r="J716" s="14" t="s">
        <v>4953</v>
      </c>
      <c r="K716" s="14" t="s">
        <v>140</v>
      </c>
      <c r="L716" s="14" t="s">
        <v>4424</v>
      </c>
      <c r="M716" s="14" t="s">
        <v>4954</v>
      </c>
      <c r="N716" s="14">
        <v>92.275999999999996</v>
      </c>
      <c r="O716" s="14" t="s">
        <v>4955</v>
      </c>
      <c r="P716" s="14" t="s">
        <v>4956</v>
      </c>
      <c r="Q716" s="14" t="s">
        <v>419</v>
      </c>
      <c r="R716" s="14" t="s">
        <v>4957</v>
      </c>
      <c r="S716" s="14" t="s">
        <v>195</v>
      </c>
      <c r="T716" s="14" t="s">
        <v>149</v>
      </c>
      <c r="U716" s="14" t="s">
        <v>113</v>
      </c>
      <c r="V716" s="48">
        <f>SUMIF(Data!$E:$E,$I716,Data!$AI:$AI)</f>
        <v>0</v>
      </c>
    </row>
    <row r="717" spans="1:22" x14ac:dyDescent="0.25">
      <c r="A717" s="47" t="s">
        <v>4755</v>
      </c>
      <c r="B717" s="47" t="s">
        <v>123</v>
      </c>
      <c r="C717" s="47" t="s">
        <v>1469</v>
      </c>
      <c r="D717" s="47">
        <v>1.2663725953693199</v>
      </c>
      <c r="E717" s="48">
        <f>SUMIF(Data!$E:$E,$C717,Data!$AI:$AI)</f>
        <v>0</v>
      </c>
      <c r="I717" s="14" t="s">
        <v>4958</v>
      </c>
      <c r="J717" s="14" t="s">
        <v>4959</v>
      </c>
      <c r="K717" s="14" t="s">
        <v>140</v>
      </c>
      <c r="L717" s="14" t="s">
        <v>4424</v>
      </c>
      <c r="M717" s="14" t="s">
        <v>4960</v>
      </c>
      <c r="N717" s="14">
        <v>31.942</v>
      </c>
      <c r="O717" s="14" t="s">
        <v>4961</v>
      </c>
      <c r="P717" s="14" t="s">
        <v>4962</v>
      </c>
      <c r="Q717" s="14" t="s">
        <v>211</v>
      </c>
      <c r="R717" s="14" t="s">
        <v>4963</v>
      </c>
      <c r="S717" s="14" t="s">
        <v>195</v>
      </c>
      <c r="T717" s="14" t="s">
        <v>149</v>
      </c>
      <c r="U717" s="14" t="s">
        <v>113</v>
      </c>
      <c r="V717" s="48">
        <f>SUMIF(Data!$E:$E,$I717,Data!$AI:$AI)</f>
        <v>0</v>
      </c>
    </row>
    <row r="718" spans="1:22" x14ac:dyDescent="0.25">
      <c r="A718" s="47" t="s">
        <v>4755</v>
      </c>
      <c r="B718" s="47" t="s">
        <v>123</v>
      </c>
      <c r="C718" s="47" t="s">
        <v>4964</v>
      </c>
      <c r="D718" s="47">
        <v>0.68584277606434596</v>
      </c>
      <c r="E718" s="48">
        <f>SUMIF(Data!$E:$E,$C718,Data!$AI:$AI)</f>
        <v>0</v>
      </c>
      <c r="I718" s="14" t="s">
        <v>4965</v>
      </c>
      <c r="J718" s="14" t="s">
        <v>4966</v>
      </c>
      <c r="K718" s="14" t="s">
        <v>140</v>
      </c>
      <c r="L718" s="14" t="s">
        <v>4424</v>
      </c>
      <c r="M718" s="14" t="s">
        <v>4967</v>
      </c>
      <c r="N718" s="14">
        <v>58.465000000000003</v>
      </c>
      <c r="O718" s="14" t="s">
        <v>4968</v>
      </c>
      <c r="P718" s="14" t="s">
        <v>4969</v>
      </c>
      <c r="Q718" s="14" t="s">
        <v>737</v>
      </c>
      <c r="R718" s="14" t="s">
        <v>4970</v>
      </c>
      <c r="S718" s="14" t="s">
        <v>195</v>
      </c>
      <c r="T718" s="14" t="s">
        <v>149</v>
      </c>
      <c r="U718" s="14" t="s">
        <v>113</v>
      </c>
      <c r="V718" s="48">
        <f>SUMIF(Data!$E:$E,$I718,Data!$AI:$AI)</f>
        <v>0</v>
      </c>
    </row>
    <row r="719" spans="1:22" x14ac:dyDescent="0.25">
      <c r="A719" s="47" t="s">
        <v>4755</v>
      </c>
      <c r="B719" s="47" t="s">
        <v>123</v>
      </c>
      <c r="C719" s="47" t="s">
        <v>4971</v>
      </c>
      <c r="D719" s="47">
        <v>0.58967230468356202</v>
      </c>
      <c r="E719" s="48">
        <f>SUMIF(Data!$E:$E,$C719,Data!$AI:$AI)</f>
        <v>0.51478348043038158</v>
      </c>
      <c r="I719" s="14" t="s">
        <v>4972</v>
      </c>
      <c r="J719" s="14" t="s">
        <v>4973</v>
      </c>
      <c r="K719" s="14" t="s">
        <v>140</v>
      </c>
      <c r="L719" s="14" t="s">
        <v>4424</v>
      </c>
      <c r="M719" s="14" t="s">
        <v>4974</v>
      </c>
      <c r="N719" s="14">
        <v>123.9</v>
      </c>
      <c r="O719" s="14" t="s">
        <v>4975</v>
      </c>
      <c r="P719" s="14" t="s">
        <v>4976</v>
      </c>
      <c r="Q719" s="14" t="s">
        <v>737</v>
      </c>
      <c r="R719" s="14" t="s">
        <v>4977</v>
      </c>
      <c r="S719" s="14" t="s">
        <v>728</v>
      </c>
      <c r="T719" s="14" t="s">
        <v>729</v>
      </c>
      <c r="U719" s="14" t="s">
        <v>730</v>
      </c>
      <c r="V719" s="48">
        <f>SUMIF(Data!$E:$E,$I719,Data!$AI:$AI)</f>
        <v>0</v>
      </c>
    </row>
    <row r="720" spans="1:22" x14ac:dyDescent="0.25">
      <c r="A720" s="47" t="s">
        <v>4755</v>
      </c>
      <c r="B720" s="47" t="s">
        <v>123</v>
      </c>
      <c r="C720" s="47" t="s">
        <v>4978</v>
      </c>
      <c r="D720" s="47">
        <v>0.68061184552435705</v>
      </c>
      <c r="E720" s="48">
        <f>SUMIF(Data!$E:$E,$C720,Data!$AI:$AI)</f>
        <v>0</v>
      </c>
      <c r="I720" s="14">
        <v>8113</v>
      </c>
      <c r="J720" s="14" t="s">
        <v>4979</v>
      </c>
      <c r="K720" s="14" t="s">
        <v>140</v>
      </c>
      <c r="L720" s="14" t="s">
        <v>4424</v>
      </c>
      <c r="M720" s="14" t="s">
        <v>4980</v>
      </c>
      <c r="N720" s="14">
        <v>213.9</v>
      </c>
      <c r="O720" s="14" t="s">
        <v>4981</v>
      </c>
      <c r="P720" s="14" t="s">
        <v>4982</v>
      </c>
      <c r="Q720" s="14" t="s">
        <v>227</v>
      </c>
      <c r="R720" s="14" t="s">
        <v>4983</v>
      </c>
      <c r="S720" s="14" t="s">
        <v>444</v>
      </c>
      <c r="T720" s="14" t="s">
        <v>445</v>
      </c>
      <c r="U720" s="14" t="s">
        <v>446</v>
      </c>
      <c r="V720" s="48">
        <f>SUMIF(Data!$E:$E,$I720,Data!$AI:$AI)</f>
        <v>0</v>
      </c>
    </row>
    <row r="721" spans="1:22" x14ac:dyDescent="0.25">
      <c r="A721" s="47" t="s">
        <v>4755</v>
      </c>
      <c r="B721" s="47" t="s">
        <v>123</v>
      </c>
      <c r="C721" s="47" t="s">
        <v>4984</v>
      </c>
      <c r="D721" s="47">
        <v>1.0218297570319499</v>
      </c>
      <c r="E721" s="48">
        <f>SUMIF(Data!$E:$E,$C721,Data!$AI:$AI)</f>
        <v>0</v>
      </c>
      <c r="I721" s="14" t="s">
        <v>4985</v>
      </c>
      <c r="J721" s="14" t="s">
        <v>4986</v>
      </c>
      <c r="K721" s="14" t="s">
        <v>140</v>
      </c>
      <c r="L721" s="14" t="s">
        <v>4424</v>
      </c>
      <c r="M721" s="14" t="s">
        <v>4987</v>
      </c>
      <c r="N721" s="14">
        <v>49.966999999999999</v>
      </c>
      <c r="O721" s="14" t="s">
        <v>4988</v>
      </c>
      <c r="P721" s="14" t="s">
        <v>4989</v>
      </c>
      <c r="Q721" s="14" t="s">
        <v>211</v>
      </c>
      <c r="R721" s="14" t="s">
        <v>4990</v>
      </c>
      <c r="S721" s="14" t="s">
        <v>195</v>
      </c>
      <c r="T721" s="14" t="s">
        <v>149</v>
      </c>
      <c r="U721" s="14" t="s">
        <v>113</v>
      </c>
      <c r="V721" s="48">
        <f>SUMIF(Data!$E:$E,$I721,Data!$AI:$AI)</f>
        <v>0</v>
      </c>
    </row>
    <row r="722" spans="1:22" x14ac:dyDescent="0.25">
      <c r="A722" s="47" t="s">
        <v>4755</v>
      </c>
      <c r="B722" s="47" t="s">
        <v>123</v>
      </c>
      <c r="C722" s="47" t="s">
        <v>4991</v>
      </c>
      <c r="D722" s="47">
        <v>0.58521174013050603</v>
      </c>
      <c r="E722" s="48">
        <f>SUMIF(Data!$E:$E,$C722,Data!$AI:$AI)</f>
        <v>0.38077996000694508</v>
      </c>
      <c r="I722" s="14" t="s">
        <v>4992</v>
      </c>
      <c r="J722" s="14" t="s">
        <v>4993</v>
      </c>
      <c r="K722" s="14" t="s">
        <v>140</v>
      </c>
      <c r="L722" s="14" t="s">
        <v>4424</v>
      </c>
      <c r="M722" s="14" t="s">
        <v>4994</v>
      </c>
      <c r="N722" s="14">
        <v>168.446</v>
      </c>
      <c r="O722" s="14" t="s">
        <v>4995</v>
      </c>
      <c r="P722" s="14" t="s">
        <v>4996</v>
      </c>
      <c r="Q722" s="14" t="s">
        <v>697</v>
      </c>
      <c r="R722" s="14" t="s">
        <v>4997</v>
      </c>
      <c r="S722" s="14" t="s">
        <v>728</v>
      </c>
      <c r="T722" s="14" t="s">
        <v>729</v>
      </c>
      <c r="U722" s="14" t="s">
        <v>730</v>
      </c>
      <c r="V722" s="48">
        <f>SUMIF(Data!$E:$E,$I722,Data!$AI:$AI)</f>
        <v>0</v>
      </c>
    </row>
    <row r="723" spans="1:22" x14ac:dyDescent="0.25">
      <c r="A723" s="47" t="s">
        <v>4755</v>
      </c>
      <c r="B723" s="47" t="s">
        <v>123</v>
      </c>
      <c r="C723" s="47" t="s">
        <v>4998</v>
      </c>
      <c r="D723" s="47">
        <v>1.60583475194275</v>
      </c>
      <c r="E723" s="48">
        <f>SUMIF(Data!$E:$E,$C723,Data!$AI:$AI)</f>
        <v>0</v>
      </c>
      <c r="I723" s="14" t="s">
        <v>4999</v>
      </c>
      <c r="J723" s="14" t="s">
        <v>5000</v>
      </c>
      <c r="K723" s="14" t="s">
        <v>140</v>
      </c>
      <c r="L723" s="14" t="s">
        <v>4424</v>
      </c>
      <c r="M723" s="14" t="s">
        <v>5001</v>
      </c>
      <c r="N723" s="14">
        <v>158.58699999999999</v>
      </c>
      <c r="O723" s="14" t="s">
        <v>5002</v>
      </c>
      <c r="P723" s="14" t="s">
        <v>5003</v>
      </c>
      <c r="Q723" s="14" t="s">
        <v>809</v>
      </c>
      <c r="R723" s="14" t="s">
        <v>5004</v>
      </c>
      <c r="S723" s="14" t="s">
        <v>195</v>
      </c>
      <c r="T723" s="14" t="s">
        <v>149</v>
      </c>
      <c r="U723" s="14" t="s">
        <v>113</v>
      </c>
      <c r="V723" s="48">
        <f>SUMIF(Data!$E:$E,$I723,Data!$AI:$AI)</f>
        <v>0</v>
      </c>
    </row>
    <row r="724" spans="1:22" x14ac:dyDescent="0.25">
      <c r="A724" s="47" t="s">
        <v>4755</v>
      </c>
      <c r="B724" s="47" t="s">
        <v>123</v>
      </c>
      <c r="C724" s="47" t="s">
        <v>5005</v>
      </c>
      <c r="D724" s="47">
        <v>0.75931975497747894</v>
      </c>
      <c r="E724" s="48">
        <f>SUMIF(Data!$E:$E,$C724,Data!$AI:$AI)</f>
        <v>0</v>
      </c>
      <c r="I724" s="14" t="s">
        <v>5006</v>
      </c>
      <c r="J724" s="14" t="s">
        <v>5007</v>
      </c>
      <c r="K724" s="14" t="s">
        <v>140</v>
      </c>
      <c r="L724" s="14" t="s">
        <v>4424</v>
      </c>
      <c r="M724" s="14" t="s">
        <v>5008</v>
      </c>
      <c r="N724" s="14">
        <v>56.451999999999998</v>
      </c>
      <c r="O724" s="14" t="s">
        <v>5009</v>
      </c>
      <c r="P724" s="14" t="s">
        <v>5010</v>
      </c>
      <c r="Q724" s="14" t="s">
        <v>146</v>
      </c>
      <c r="R724" s="14" t="s">
        <v>5011</v>
      </c>
      <c r="S724" s="14" t="s">
        <v>148</v>
      </c>
      <c r="T724" s="14" t="s">
        <v>149</v>
      </c>
      <c r="U724" s="14" t="s">
        <v>113</v>
      </c>
      <c r="V724" s="48">
        <f>SUMIF(Data!$E:$E,$I724,Data!$AI:$AI)</f>
        <v>0</v>
      </c>
    </row>
    <row r="725" spans="1:22" x14ac:dyDescent="0.25">
      <c r="A725" s="47" t="s">
        <v>4755</v>
      </c>
      <c r="B725" s="47" t="s">
        <v>123</v>
      </c>
      <c r="C725" s="47" t="s">
        <v>5012</v>
      </c>
      <c r="D725" s="47">
        <v>0.61159385351012296</v>
      </c>
      <c r="E725" s="48">
        <f>SUMIF(Data!$E:$E,$C725,Data!$AI:$AI)</f>
        <v>0.77934157011859584</v>
      </c>
      <c r="I725" s="14" t="s">
        <v>5013</v>
      </c>
      <c r="J725" s="14" t="s">
        <v>5014</v>
      </c>
      <c r="K725" s="14" t="s">
        <v>140</v>
      </c>
      <c r="L725" s="14" t="s">
        <v>4424</v>
      </c>
      <c r="M725" s="14" t="s">
        <v>5015</v>
      </c>
      <c r="N725" s="14">
        <v>29.009</v>
      </c>
      <c r="O725" s="14" t="s">
        <v>5016</v>
      </c>
      <c r="P725" s="14" t="s">
        <v>5017</v>
      </c>
      <c r="Q725" s="14" t="s">
        <v>419</v>
      </c>
      <c r="R725" s="14" t="s">
        <v>5018</v>
      </c>
      <c r="S725" s="14" t="s">
        <v>229</v>
      </c>
      <c r="T725" s="14" t="s">
        <v>230</v>
      </c>
      <c r="U725" s="14" t="s">
        <v>231</v>
      </c>
      <c r="V725" s="48">
        <f>SUMIF(Data!$E:$E,$I725,Data!$AI:$AI)</f>
        <v>0</v>
      </c>
    </row>
    <row r="726" spans="1:22" x14ac:dyDescent="0.25">
      <c r="A726" s="47" t="s">
        <v>4755</v>
      </c>
      <c r="B726" s="47" t="s">
        <v>123</v>
      </c>
      <c r="C726" s="47" t="s">
        <v>5019</v>
      </c>
      <c r="D726" s="47">
        <v>1.92712688828458</v>
      </c>
      <c r="E726" s="48">
        <f>SUMIF(Data!$E:$E,$C726,Data!$AI:$AI)</f>
        <v>0</v>
      </c>
      <c r="I726" s="14" t="s">
        <v>5020</v>
      </c>
      <c r="J726" s="14" t="s">
        <v>5021</v>
      </c>
      <c r="K726" s="14" t="s">
        <v>140</v>
      </c>
      <c r="L726" s="14" t="s">
        <v>4424</v>
      </c>
      <c r="M726" s="14" t="s">
        <v>5022</v>
      </c>
      <c r="N726" s="14">
        <v>2.7050000000000001</v>
      </c>
      <c r="O726" s="14" t="s">
        <v>5023</v>
      </c>
      <c r="P726" s="14" t="s">
        <v>5024</v>
      </c>
      <c r="Q726" s="14" t="s">
        <v>419</v>
      </c>
      <c r="R726" s="14" t="s">
        <v>5025</v>
      </c>
      <c r="S726" s="14" t="s">
        <v>229</v>
      </c>
      <c r="T726" s="14" t="s">
        <v>230</v>
      </c>
      <c r="U726" s="14" t="s">
        <v>231</v>
      </c>
      <c r="V726" s="48">
        <f>SUMIF(Data!$E:$E,$I726,Data!$AI:$AI)</f>
        <v>0</v>
      </c>
    </row>
    <row r="727" spans="1:22" x14ac:dyDescent="0.25">
      <c r="A727" s="47" t="s">
        <v>4755</v>
      </c>
      <c r="B727" s="47" t="s">
        <v>123</v>
      </c>
      <c r="C727" s="47" t="s">
        <v>5026</v>
      </c>
      <c r="D727" s="47">
        <v>1.8417796335759999</v>
      </c>
      <c r="E727" s="48">
        <f>SUMIF(Data!$E:$E,$C727,Data!$AI:$AI)</f>
        <v>0</v>
      </c>
      <c r="I727" s="14" t="s">
        <v>5027</v>
      </c>
      <c r="J727" s="14" t="s">
        <v>5028</v>
      </c>
      <c r="K727" s="14" t="s">
        <v>140</v>
      </c>
      <c r="L727" s="14" t="s">
        <v>4424</v>
      </c>
      <c r="M727" s="14" t="s">
        <v>5029</v>
      </c>
      <c r="N727" s="14">
        <v>197.99199999999999</v>
      </c>
      <c r="O727" s="14" t="s">
        <v>5030</v>
      </c>
      <c r="P727" s="14" t="s">
        <v>5031</v>
      </c>
      <c r="Q727" s="14" t="s">
        <v>175</v>
      </c>
      <c r="R727" s="14" t="s">
        <v>5032</v>
      </c>
      <c r="S727" s="14" t="s">
        <v>148</v>
      </c>
      <c r="T727" s="14" t="s">
        <v>149</v>
      </c>
      <c r="U727" s="14" t="s">
        <v>113</v>
      </c>
      <c r="V727" s="48">
        <f>SUMIF(Data!$E:$E,$I727,Data!$AI:$AI)</f>
        <v>0</v>
      </c>
    </row>
    <row r="728" spans="1:22" x14ac:dyDescent="0.25">
      <c r="A728" s="47" t="s">
        <v>5033</v>
      </c>
      <c r="B728" s="47" t="s">
        <v>123</v>
      </c>
      <c r="C728" s="47" t="s">
        <v>4464</v>
      </c>
      <c r="D728" s="47">
        <v>1.0843416638278001</v>
      </c>
      <c r="E728" s="48">
        <f>SUMIF(Data!$E:$E,$C728,Data!$AI:$AI)</f>
        <v>0.16778694604010902</v>
      </c>
      <c r="I728" s="14" t="s">
        <v>5034</v>
      </c>
      <c r="J728" s="14" t="s">
        <v>5035</v>
      </c>
      <c r="K728" s="14" t="s">
        <v>140</v>
      </c>
      <c r="L728" s="14" t="s">
        <v>4424</v>
      </c>
      <c r="M728" s="14" t="s">
        <v>5036</v>
      </c>
      <c r="N728" s="14">
        <v>29.486000000000001</v>
      </c>
      <c r="O728" s="14" t="s">
        <v>5037</v>
      </c>
      <c r="P728" s="14" t="s">
        <v>5038</v>
      </c>
      <c r="Q728" s="14" t="s">
        <v>419</v>
      </c>
      <c r="R728" s="14" t="s">
        <v>5039</v>
      </c>
      <c r="S728" s="14" t="s">
        <v>563</v>
      </c>
      <c r="T728" s="14" t="s">
        <v>564</v>
      </c>
      <c r="U728" s="14" t="s">
        <v>528</v>
      </c>
      <c r="V728" s="48">
        <f>SUMIF(Data!$E:$E,$I728,Data!$AI:$AI)</f>
        <v>0</v>
      </c>
    </row>
    <row r="729" spans="1:22" x14ac:dyDescent="0.25">
      <c r="A729" s="47" t="s">
        <v>5033</v>
      </c>
      <c r="B729" s="47" t="s">
        <v>123</v>
      </c>
      <c r="C729" s="47" t="s">
        <v>4492</v>
      </c>
      <c r="D729" s="47">
        <v>6.0215772034873396</v>
      </c>
      <c r="E729" s="48">
        <f>SUMIF(Data!$E:$E,$C729,Data!$AI:$AI)</f>
        <v>0</v>
      </c>
      <c r="I729" s="14" t="s">
        <v>5040</v>
      </c>
      <c r="J729" s="14" t="s">
        <v>5041</v>
      </c>
      <c r="K729" s="14" t="s">
        <v>140</v>
      </c>
      <c r="L729" s="14" t="s">
        <v>4424</v>
      </c>
      <c r="M729" s="14" t="s">
        <v>5042</v>
      </c>
      <c r="N729" s="14">
        <v>208.07499999999999</v>
      </c>
      <c r="O729" s="14" t="s">
        <v>5043</v>
      </c>
      <c r="P729" s="14" t="s">
        <v>5044</v>
      </c>
      <c r="Q729" s="14" t="s">
        <v>809</v>
      </c>
      <c r="R729" s="14" t="s">
        <v>5045</v>
      </c>
      <c r="S729" s="14" t="s">
        <v>195</v>
      </c>
      <c r="T729" s="14" t="s">
        <v>149</v>
      </c>
      <c r="U729" s="14" t="s">
        <v>113</v>
      </c>
      <c r="V729" s="48">
        <f>SUMIF(Data!$E:$E,$I729,Data!$AI:$AI)</f>
        <v>0</v>
      </c>
    </row>
    <row r="730" spans="1:22" x14ac:dyDescent="0.25">
      <c r="A730" s="47" t="s">
        <v>5033</v>
      </c>
      <c r="B730" s="47" t="s">
        <v>123</v>
      </c>
      <c r="C730" s="47" t="s">
        <v>4585</v>
      </c>
      <c r="D730" s="47">
        <v>1.31341789695483</v>
      </c>
      <c r="E730" s="48">
        <f>SUMIF(Data!$E:$E,$C730,Data!$AI:$AI)</f>
        <v>0.50254664386636194</v>
      </c>
      <c r="I730" s="14">
        <v>6506</v>
      </c>
      <c r="J730" s="14" t="s">
        <v>5046</v>
      </c>
      <c r="K730" s="14" t="s">
        <v>140</v>
      </c>
      <c r="L730" s="14" t="s">
        <v>4424</v>
      </c>
      <c r="M730" s="14" t="s">
        <v>5047</v>
      </c>
      <c r="N730" s="14">
        <v>180.2</v>
      </c>
      <c r="O730" s="14" t="s">
        <v>5048</v>
      </c>
      <c r="P730" s="14" t="s">
        <v>5049</v>
      </c>
      <c r="Q730" s="14" t="s">
        <v>419</v>
      </c>
      <c r="R730" s="14" t="s">
        <v>5050</v>
      </c>
      <c r="S730" s="14" t="s">
        <v>444</v>
      </c>
      <c r="T730" s="14" t="s">
        <v>445</v>
      </c>
      <c r="U730" s="14" t="s">
        <v>446</v>
      </c>
      <c r="V730" s="48">
        <f>SUMIF(Data!$E:$E,$I730,Data!$AI:$AI)</f>
        <v>0</v>
      </c>
    </row>
    <row r="731" spans="1:22" x14ac:dyDescent="0.25">
      <c r="A731" s="47" t="s">
        <v>5033</v>
      </c>
      <c r="B731" s="47" t="s">
        <v>123</v>
      </c>
      <c r="C731" s="47" t="s">
        <v>5051</v>
      </c>
      <c r="D731" s="47">
        <v>3.27192902587062</v>
      </c>
      <c r="E731" s="48">
        <f>SUMIF(Data!$E:$E,$C731,Data!$AI:$AI)</f>
        <v>0.40847619001243751</v>
      </c>
      <c r="I731" s="14" t="s">
        <v>5052</v>
      </c>
      <c r="J731" s="14" t="s">
        <v>5053</v>
      </c>
      <c r="K731" s="14" t="s">
        <v>140</v>
      </c>
      <c r="L731" s="14" t="s">
        <v>4424</v>
      </c>
      <c r="M731" s="14" t="s">
        <v>5054</v>
      </c>
      <c r="N731" s="14">
        <v>19.986999999999998</v>
      </c>
      <c r="O731" s="14" t="s">
        <v>5055</v>
      </c>
      <c r="P731" s="14" t="s">
        <v>5056</v>
      </c>
      <c r="Q731" s="14" t="s">
        <v>193</v>
      </c>
      <c r="R731" s="14" t="s">
        <v>5057</v>
      </c>
      <c r="S731" s="14" t="s">
        <v>148</v>
      </c>
      <c r="T731" s="14" t="s">
        <v>149</v>
      </c>
      <c r="U731" s="14" t="s">
        <v>113</v>
      </c>
      <c r="V731" s="48">
        <f>SUMIF(Data!$E:$E,$I731,Data!$AI:$AI)</f>
        <v>0</v>
      </c>
    </row>
    <row r="732" spans="1:22" x14ac:dyDescent="0.25">
      <c r="A732" s="47" t="s">
        <v>5033</v>
      </c>
      <c r="B732" s="47" t="s">
        <v>123</v>
      </c>
      <c r="C732" s="47" t="s">
        <v>5058</v>
      </c>
      <c r="D732" s="47">
        <v>1.1805291967984699</v>
      </c>
      <c r="E732" s="48">
        <f>SUMIF(Data!$E:$E,$C732,Data!$AI:$AI)</f>
        <v>0</v>
      </c>
      <c r="I732" s="14" t="s">
        <v>5059</v>
      </c>
      <c r="J732" s="14" t="s">
        <v>5060</v>
      </c>
      <c r="K732" s="14" t="s">
        <v>140</v>
      </c>
      <c r="L732" s="14" t="s">
        <v>4424</v>
      </c>
      <c r="M732" s="14" t="s">
        <v>5061</v>
      </c>
      <c r="N732" s="14">
        <v>45.180999999999997</v>
      </c>
      <c r="O732" s="14" t="s">
        <v>5062</v>
      </c>
      <c r="P732" s="14" t="s">
        <v>5063</v>
      </c>
      <c r="Q732" s="14" t="s">
        <v>419</v>
      </c>
      <c r="R732" s="14" t="s">
        <v>5064</v>
      </c>
      <c r="S732" s="14" t="s">
        <v>195</v>
      </c>
      <c r="T732" s="14" t="s">
        <v>149</v>
      </c>
      <c r="U732" s="14" t="s">
        <v>113</v>
      </c>
      <c r="V732" s="48">
        <f>SUMIF(Data!$E:$E,$I732,Data!$AI:$AI)</f>
        <v>0</v>
      </c>
    </row>
    <row r="733" spans="1:22" x14ac:dyDescent="0.25">
      <c r="A733" s="47" t="s">
        <v>5033</v>
      </c>
      <c r="B733" s="47" t="s">
        <v>123</v>
      </c>
      <c r="C733" s="47" t="s">
        <v>5065</v>
      </c>
      <c r="D733" s="47">
        <v>2.5457246473661801</v>
      </c>
      <c r="E733" s="48">
        <f>SUMIF(Data!$E:$E,$C733,Data!$AI:$AI)</f>
        <v>0.49255800486170526</v>
      </c>
      <c r="I733" s="14" t="s">
        <v>5066</v>
      </c>
      <c r="J733" s="14" t="s">
        <v>5067</v>
      </c>
      <c r="K733" s="14" t="s">
        <v>140</v>
      </c>
      <c r="L733" s="14" t="s">
        <v>4424</v>
      </c>
      <c r="M733" s="14" t="s">
        <v>5068</v>
      </c>
      <c r="N733" s="14">
        <v>501.18099999999998</v>
      </c>
      <c r="O733" s="14" t="s">
        <v>5069</v>
      </c>
      <c r="P733" s="14" t="s">
        <v>5070</v>
      </c>
      <c r="Q733" s="14" t="s">
        <v>193</v>
      </c>
      <c r="R733" s="14" t="s">
        <v>5071</v>
      </c>
      <c r="S733" s="14" t="s">
        <v>2931</v>
      </c>
      <c r="T733" s="14" t="s">
        <v>2932</v>
      </c>
      <c r="U733" s="14" t="s">
        <v>2933</v>
      </c>
      <c r="V733" s="48">
        <f>SUMIF(Data!$E:$E,$I733,Data!$AI:$AI)</f>
        <v>0</v>
      </c>
    </row>
    <row r="734" spans="1:22" x14ac:dyDescent="0.25">
      <c r="A734" s="47" t="s">
        <v>5033</v>
      </c>
      <c r="B734" s="47" t="s">
        <v>123</v>
      </c>
      <c r="C734" s="47" t="s">
        <v>5072</v>
      </c>
      <c r="D734" s="47">
        <v>1.2779912014155099</v>
      </c>
      <c r="E734" s="48">
        <f>SUMIF(Data!$E:$E,$C734,Data!$AI:$AI)</f>
        <v>0.26629035811338408</v>
      </c>
      <c r="I734" s="14" t="s">
        <v>5073</v>
      </c>
      <c r="J734" s="14" t="s">
        <v>5074</v>
      </c>
      <c r="K734" s="14" t="s">
        <v>140</v>
      </c>
      <c r="L734" s="14" t="s">
        <v>4424</v>
      </c>
      <c r="M734" s="14" t="s">
        <v>5075</v>
      </c>
      <c r="N734" s="14">
        <v>108.209</v>
      </c>
      <c r="O734" s="14" t="s">
        <v>5076</v>
      </c>
      <c r="P734" s="14" t="s">
        <v>5077</v>
      </c>
      <c r="Q734" s="14" t="s">
        <v>809</v>
      </c>
      <c r="R734" s="14" t="s">
        <v>5078</v>
      </c>
      <c r="S734" s="14" t="s">
        <v>195</v>
      </c>
      <c r="T734" s="14" t="s">
        <v>149</v>
      </c>
      <c r="U734" s="14" t="s">
        <v>113</v>
      </c>
      <c r="V734" s="48">
        <f>SUMIF(Data!$E:$E,$I734,Data!$AI:$AI)</f>
        <v>0</v>
      </c>
    </row>
    <row r="735" spans="1:22" x14ac:dyDescent="0.25">
      <c r="A735" s="47" t="s">
        <v>5033</v>
      </c>
      <c r="B735" s="47" t="s">
        <v>123</v>
      </c>
      <c r="C735" s="47" t="s">
        <v>4527</v>
      </c>
      <c r="D735" s="47">
        <v>3.7466973765675</v>
      </c>
      <c r="E735" s="48">
        <f>SUMIF(Data!$E:$E,$C735,Data!$AI:$AI)</f>
        <v>0</v>
      </c>
      <c r="I735" s="14" t="s">
        <v>5079</v>
      </c>
      <c r="J735" s="14" t="s">
        <v>5080</v>
      </c>
      <c r="K735" s="14" t="s">
        <v>140</v>
      </c>
      <c r="L735" s="14" t="s">
        <v>4424</v>
      </c>
      <c r="M735" s="14" t="s">
        <v>5081</v>
      </c>
      <c r="N735" s="14">
        <v>284.31799999999998</v>
      </c>
      <c r="O735" s="14" t="s">
        <v>5082</v>
      </c>
      <c r="P735" s="14" t="s">
        <v>5083</v>
      </c>
      <c r="Q735" s="14" t="s">
        <v>263</v>
      </c>
      <c r="R735" s="14" t="s">
        <v>5084</v>
      </c>
      <c r="S735" s="14" t="s">
        <v>195</v>
      </c>
      <c r="T735" s="14" t="s">
        <v>149</v>
      </c>
      <c r="U735" s="14" t="s">
        <v>113</v>
      </c>
      <c r="V735" s="48">
        <f>SUMIF(Data!$E:$E,$I735,Data!$AI:$AI)</f>
        <v>0</v>
      </c>
    </row>
    <row r="736" spans="1:22" x14ac:dyDescent="0.25">
      <c r="A736" s="47" t="s">
        <v>5033</v>
      </c>
      <c r="B736" s="47" t="s">
        <v>123</v>
      </c>
      <c r="C736" s="47" t="s">
        <v>5085</v>
      </c>
      <c r="D736" s="47">
        <v>0.84346600863659404</v>
      </c>
      <c r="E736" s="48">
        <f>SUMIF(Data!$E:$E,$C736,Data!$AI:$AI)</f>
        <v>0</v>
      </c>
      <c r="I736" s="14" t="s">
        <v>5086</v>
      </c>
      <c r="J736" s="14" t="s">
        <v>5087</v>
      </c>
      <c r="K736" s="14" t="s">
        <v>140</v>
      </c>
      <c r="L736" s="14" t="s">
        <v>4424</v>
      </c>
      <c r="M736" s="14" t="s">
        <v>5088</v>
      </c>
      <c r="N736" s="14">
        <v>55.408999999999999</v>
      </c>
      <c r="O736" s="14" t="s">
        <v>5089</v>
      </c>
      <c r="P736" s="14" t="s">
        <v>5090</v>
      </c>
      <c r="Q736" s="14" t="s">
        <v>175</v>
      </c>
      <c r="R736" s="14" t="s">
        <v>5091</v>
      </c>
      <c r="S736" s="14" t="s">
        <v>148</v>
      </c>
      <c r="T736" s="14" t="s">
        <v>149</v>
      </c>
      <c r="U736" s="14" t="s">
        <v>113</v>
      </c>
      <c r="V736" s="48">
        <f>SUMIF(Data!$E:$E,$I736,Data!$AI:$AI)</f>
        <v>0</v>
      </c>
    </row>
    <row r="737" spans="1:22" x14ac:dyDescent="0.25">
      <c r="A737" s="47" t="s">
        <v>5033</v>
      </c>
      <c r="B737" s="47" t="s">
        <v>123</v>
      </c>
      <c r="C737" s="47" t="s">
        <v>4499</v>
      </c>
      <c r="D737" s="47">
        <v>3.41880653455862</v>
      </c>
      <c r="E737" s="48">
        <f>SUMIF(Data!$E:$E,$C737,Data!$AI:$AI)</f>
        <v>0</v>
      </c>
      <c r="I737" s="14">
        <v>8830</v>
      </c>
      <c r="J737" s="14" t="s">
        <v>5092</v>
      </c>
      <c r="K737" s="14" t="s">
        <v>140</v>
      </c>
      <c r="L737" s="14" t="s">
        <v>4424</v>
      </c>
      <c r="M737" s="14" t="s">
        <v>5093</v>
      </c>
      <c r="N737" s="14">
        <v>203.21299999999999</v>
      </c>
      <c r="O737" s="14" t="s">
        <v>5094</v>
      </c>
      <c r="P737" s="14" t="s">
        <v>5095</v>
      </c>
      <c r="Q737" s="14" t="s">
        <v>809</v>
      </c>
      <c r="R737" s="14" t="s">
        <v>5096</v>
      </c>
      <c r="S737" s="14" t="s">
        <v>444</v>
      </c>
      <c r="T737" s="14" t="s">
        <v>445</v>
      </c>
      <c r="U737" s="14" t="s">
        <v>446</v>
      </c>
      <c r="V737" s="48">
        <f>SUMIF(Data!$E:$E,$I737,Data!$AI:$AI)</f>
        <v>0</v>
      </c>
    </row>
    <row r="738" spans="1:22" x14ac:dyDescent="0.25">
      <c r="A738" s="47" t="s">
        <v>5033</v>
      </c>
      <c r="B738" s="47" t="s">
        <v>123</v>
      </c>
      <c r="C738" s="47" t="s">
        <v>4506</v>
      </c>
      <c r="D738" s="47">
        <v>1.38619046336435</v>
      </c>
      <c r="E738" s="48">
        <f>SUMIF(Data!$E:$E,$C738,Data!$AI:$AI)</f>
        <v>0.35312037204807345</v>
      </c>
      <c r="I738" s="14" t="s">
        <v>5097</v>
      </c>
      <c r="J738" s="14" t="s">
        <v>5098</v>
      </c>
      <c r="K738" s="14" t="s">
        <v>140</v>
      </c>
      <c r="L738" s="14" t="s">
        <v>4424</v>
      </c>
      <c r="M738" s="14" t="s">
        <v>5099</v>
      </c>
      <c r="N738" s="14">
        <v>78.459999999999994</v>
      </c>
      <c r="O738" s="14" t="s">
        <v>5100</v>
      </c>
      <c r="P738" s="14" t="s">
        <v>5101</v>
      </c>
      <c r="Q738" s="14" t="s">
        <v>227</v>
      </c>
      <c r="R738" s="14" t="s">
        <v>5102</v>
      </c>
      <c r="S738" s="14" t="s">
        <v>195</v>
      </c>
      <c r="T738" s="14" t="s">
        <v>149</v>
      </c>
      <c r="U738" s="14" t="s">
        <v>113</v>
      </c>
      <c r="V738" s="48">
        <f>SUMIF(Data!$E:$E,$I738,Data!$AI:$AI)</f>
        <v>0</v>
      </c>
    </row>
    <row r="739" spans="1:22" x14ac:dyDescent="0.25">
      <c r="A739" s="47" t="s">
        <v>5033</v>
      </c>
      <c r="B739" s="47" t="s">
        <v>123</v>
      </c>
      <c r="C739" s="47" t="s">
        <v>3152</v>
      </c>
      <c r="D739" s="47">
        <v>2.3361900219857401</v>
      </c>
      <c r="E739" s="48">
        <f>SUMIF(Data!$E:$E,$C739,Data!$AI:$AI)</f>
        <v>0.13519946439795033</v>
      </c>
      <c r="I739" s="14" t="s">
        <v>5103</v>
      </c>
      <c r="J739" s="14" t="s">
        <v>5104</v>
      </c>
      <c r="K739" s="14" t="s">
        <v>140</v>
      </c>
      <c r="L739" s="14" t="s">
        <v>4424</v>
      </c>
      <c r="M739" s="14" t="s">
        <v>5105</v>
      </c>
      <c r="N739" s="14" t="s">
        <v>5106</v>
      </c>
      <c r="O739" s="14" t="s">
        <v>5107</v>
      </c>
      <c r="P739" s="14" t="s">
        <v>5108</v>
      </c>
      <c r="Q739" s="14" t="s">
        <v>263</v>
      </c>
      <c r="R739" s="14" t="s">
        <v>5109</v>
      </c>
      <c r="S739" s="14" t="s">
        <v>850</v>
      </c>
      <c r="T739" s="14" t="s">
        <v>851</v>
      </c>
      <c r="U739" s="14" t="s">
        <v>852</v>
      </c>
      <c r="V739" s="48">
        <f>SUMIF(Data!$E:$E,$I739,Data!$AI:$AI)</f>
        <v>0</v>
      </c>
    </row>
    <row r="740" spans="1:22" x14ac:dyDescent="0.25">
      <c r="A740" s="47" t="s">
        <v>5033</v>
      </c>
      <c r="B740" s="47" t="s">
        <v>123</v>
      </c>
      <c r="C740" s="47" t="s">
        <v>4549</v>
      </c>
      <c r="D740" s="47">
        <v>1.7419067608757</v>
      </c>
      <c r="E740" s="48">
        <f>SUMIF(Data!$E:$E,$C740,Data!$AI:$AI)</f>
        <v>0</v>
      </c>
      <c r="I740" s="14">
        <v>8267</v>
      </c>
      <c r="J740" s="14" t="s">
        <v>5110</v>
      </c>
      <c r="K740" s="14" t="s">
        <v>140</v>
      </c>
      <c r="L740" s="14" t="s">
        <v>4424</v>
      </c>
      <c r="M740" s="14" t="s">
        <v>5111</v>
      </c>
      <c r="N740" s="14">
        <v>341</v>
      </c>
      <c r="O740" s="14" t="s">
        <v>5112</v>
      </c>
      <c r="P740" s="14" t="s">
        <v>5113</v>
      </c>
      <c r="Q740" s="14" t="s">
        <v>227</v>
      </c>
      <c r="R740" s="14" t="s">
        <v>5114</v>
      </c>
      <c r="S740" s="14" t="s">
        <v>444</v>
      </c>
      <c r="T740" s="14" t="s">
        <v>445</v>
      </c>
      <c r="U740" s="14" t="s">
        <v>446</v>
      </c>
      <c r="V740" s="48">
        <f>SUMIF(Data!$E:$E,$I740,Data!$AI:$AI)</f>
        <v>0</v>
      </c>
    </row>
    <row r="741" spans="1:22" x14ac:dyDescent="0.25">
      <c r="A741" s="47" t="s">
        <v>5033</v>
      </c>
      <c r="B741" s="47" t="s">
        <v>123</v>
      </c>
      <c r="C741" s="47" t="s">
        <v>5115</v>
      </c>
      <c r="D741" s="47">
        <v>2.6123896570583098</v>
      </c>
      <c r="E741" s="48">
        <f>SUMIF(Data!$E:$E,$C741,Data!$AI:$AI)</f>
        <v>0</v>
      </c>
      <c r="I741" s="14" t="s">
        <v>5116</v>
      </c>
      <c r="J741" s="14" t="s">
        <v>5117</v>
      </c>
      <c r="K741" s="14" t="s">
        <v>140</v>
      </c>
      <c r="L741" s="14" t="s">
        <v>4424</v>
      </c>
      <c r="M741" s="14" t="s">
        <v>4635</v>
      </c>
      <c r="N741" s="14">
        <v>649.14599999999996</v>
      </c>
      <c r="O741" s="14" t="s">
        <v>5118</v>
      </c>
      <c r="P741" s="14" t="s">
        <v>5119</v>
      </c>
      <c r="Q741" s="14" t="s">
        <v>175</v>
      </c>
      <c r="R741" s="14" t="s">
        <v>5120</v>
      </c>
      <c r="S741" s="14" t="s">
        <v>479</v>
      </c>
      <c r="T741" s="14" t="s">
        <v>480</v>
      </c>
      <c r="U741" s="14" t="s">
        <v>481</v>
      </c>
      <c r="V741" s="48">
        <f>SUMIF(Data!$E:$E,$I741,Data!$AI:$AI)</f>
        <v>0</v>
      </c>
    </row>
    <row r="742" spans="1:22" x14ac:dyDescent="0.25">
      <c r="A742" s="47" t="s">
        <v>5033</v>
      </c>
      <c r="B742" s="47" t="s">
        <v>123</v>
      </c>
      <c r="C742" s="47" t="s">
        <v>5121</v>
      </c>
      <c r="D742" s="47">
        <v>1.3362622607111201</v>
      </c>
      <c r="E742" s="48">
        <f>SUMIF(Data!$E:$E,$C742,Data!$AI:$AI)</f>
        <v>0.13075341077842323</v>
      </c>
      <c r="I742" s="14">
        <v>9042</v>
      </c>
      <c r="J742" s="14" t="s">
        <v>5122</v>
      </c>
      <c r="K742" s="14" t="s">
        <v>140</v>
      </c>
      <c r="L742" s="14" t="s">
        <v>4424</v>
      </c>
      <c r="M742" s="14" t="s">
        <v>5123</v>
      </c>
      <c r="N742" s="14">
        <v>164</v>
      </c>
      <c r="O742" s="14" t="s">
        <v>5124</v>
      </c>
      <c r="P742" s="14" t="s">
        <v>5125</v>
      </c>
      <c r="Q742" s="14" t="s">
        <v>419</v>
      </c>
      <c r="R742" s="14" t="s">
        <v>5126</v>
      </c>
      <c r="S742" s="14" t="s">
        <v>444</v>
      </c>
      <c r="T742" s="14" t="s">
        <v>445</v>
      </c>
      <c r="U742" s="14" t="s">
        <v>446</v>
      </c>
      <c r="V742" s="48">
        <f>SUMIF(Data!$E:$E,$I742,Data!$AI:$AI)</f>
        <v>0</v>
      </c>
    </row>
    <row r="743" spans="1:22" x14ac:dyDescent="0.25">
      <c r="A743" s="47" t="s">
        <v>5033</v>
      </c>
      <c r="B743" s="47" t="s">
        <v>123</v>
      </c>
      <c r="C743" s="47" t="s">
        <v>5127</v>
      </c>
      <c r="D743" s="47">
        <v>1.41596079907261</v>
      </c>
      <c r="E743" s="48">
        <f>SUMIF(Data!$E:$E,$C743,Data!$AI:$AI)</f>
        <v>0.26351671474520016</v>
      </c>
      <c r="I743" s="14" t="s">
        <v>5128</v>
      </c>
      <c r="J743" s="14" t="s">
        <v>5129</v>
      </c>
      <c r="K743" s="14" t="s">
        <v>140</v>
      </c>
      <c r="L743" s="14" t="s">
        <v>4424</v>
      </c>
      <c r="M743" s="14" t="s">
        <v>5130</v>
      </c>
      <c r="N743" s="14">
        <v>13.237</v>
      </c>
      <c r="O743" s="14" t="s">
        <v>5131</v>
      </c>
      <c r="P743" s="14" t="s">
        <v>5132</v>
      </c>
      <c r="Q743" s="14" t="s">
        <v>175</v>
      </c>
      <c r="R743" s="14" t="s">
        <v>5133</v>
      </c>
      <c r="S743" s="14" t="s">
        <v>229</v>
      </c>
      <c r="T743" s="14" t="s">
        <v>230</v>
      </c>
      <c r="U743" s="14" t="s">
        <v>231</v>
      </c>
      <c r="V743" s="48">
        <f>SUMIF(Data!$E:$E,$I743,Data!$AI:$AI)</f>
        <v>0</v>
      </c>
    </row>
    <row r="744" spans="1:22" x14ac:dyDescent="0.25">
      <c r="A744" s="47" t="s">
        <v>5033</v>
      </c>
      <c r="B744" s="47" t="s">
        <v>123</v>
      </c>
      <c r="C744" s="47" t="s">
        <v>5134</v>
      </c>
      <c r="D744" s="47">
        <v>1.2563041487851301</v>
      </c>
      <c r="E744" s="48">
        <f>SUMIF(Data!$E:$E,$C744,Data!$AI:$AI)</f>
        <v>0</v>
      </c>
      <c r="I744" s="14" t="s">
        <v>5135</v>
      </c>
      <c r="J744" s="14" t="s">
        <v>5136</v>
      </c>
      <c r="K744" s="14" t="s">
        <v>140</v>
      </c>
      <c r="L744" s="14" t="s">
        <v>4424</v>
      </c>
      <c r="M744" s="14" t="s">
        <v>5137</v>
      </c>
      <c r="N744" s="14">
        <v>52.661000000000001</v>
      </c>
      <c r="O744" s="14" t="s">
        <v>5138</v>
      </c>
      <c r="P744" s="14" t="s">
        <v>5139</v>
      </c>
      <c r="Q744" s="14" t="s">
        <v>165</v>
      </c>
      <c r="R744" s="14" t="s">
        <v>5140</v>
      </c>
      <c r="S744" s="14" t="s">
        <v>195</v>
      </c>
      <c r="T744" s="14" t="s">
        <v>149</v>
      </c>
      <c r="U744" s="14" t="s">
        <v>113</v>
      </c>
      <c r="V744" s="48">
        <f>SUMIF(Data!$E:$E,$I744,Data!$AI:$AI)</f>
        <v>0</v>
      </c>
    </row>
    <row r="745" spans="1:22" x14ac:dyDescent="0.25">
      <c r="A745" s="47" t="s">
        <v>5033</v>
      </c>
      <c r="B745" s="47" t="s">
        <v>123</v>
      </c>
      <c r="C745" s="47" t="s">
        <v>5141</v>
      </c>
      <c r="D745" s="47">
        <v>0.96017380822076404</v>
      </c>
      <c r="E745" s="48">
        <f>SUMIF(Data!$E:$E,$C745,Data!$AI:$AI)</f>
        <v>0</v>
      </c>
      <c r="I745" s="14" t="s">
        <v>5142</v>
      </c>
      <c r="J745" s="14" t="s">
        <v>5143</v>
      </c>
      <c r="K745" s="14" t="s">
        <v>140</v>
      </c>
      <c r="L745" s="14" t="s">
        <v>4424</v>
      </c>
      <c r="M745" s="14" t="s">
        <v>5144</v>
      </c>
      <c r="N745" s="14">
        <v>895.90800000000002</v>
      </c>
      <c r="O745" s="14" t="s">
        <v>5145</v>
      </c>
      <c r="P745" s="14" t="s">
        <v>5146</v>
      </c>
      <c r="Q745" s="14" t="s">
        <v>697</v>
      </c>
      <c r="R745" s="14" t="s">
        <v>5147</v>
      </c>
      <c r="S745" s="14" t="s">
        <v>850</v>
      </c>
      <c r="T745" s="14" t="s">
        <v>851</v>
      </c>
      <c r="U745" s="14" t="s">
        <v>852</v>
      </c>
      <c r="V745" s="48">
        <f>SUMIF(Data!$E:$E,$I745,Data!$AI:$AI)</f>
        <v>0</v>
      </c>
    </row>
    <row r="746" spans="1:22" x14ac:dyDescent="0.25">
      <c r="A746" s="47" t="s">
        <v>5033</v>
      </c>
      <c r="B746" s="47" t="s">
        <v>123</v>
      </c>
      <c r="C746" s="47" t="s">
        <v>4563</v>
      </c>
      <c r="D746" s="47">
        <v>1.4538561831366399</v>
      </c>
      <c r="E746" s="48">
        <f>SUMIF(Data!$E:$E,$C746,Data!$AI:$AI)</f>
        <v>0</v>
      </c>
      <c r="I746" s="14">
        <v>1928</v>
      </c>
      <c r="J746" s="14" t="s">
        <v>5148</v>
      </c>
      <c r="K746" s="14" t="s">
        <v>140</v>
      </c>
      <c r="L746" s="14" t="s">
        <v>4424</v>
      </c>
      <c r="M746" s="14" t="s">
        <v>5149</v>
      </c>
      <c r="N746" s="14">
        <v>323.81299999999999</v>
      </c>
      <c r="O746" s="14" t="s">
        <v>5150</v>
      </c>
      <c r="P746" s="14" t="s">
        <v>5151</v>
      </c>
      <c r="Q746" s="14" t="s">
        <v>165</v>
      </c>
      <c r="R746" s="14" t="s">
        <v>5152</v>
      </c>
      <c r="S746" s="14" t="s">
        <v>444</v>
      </c>
      <c r="T746" s="14" t="s">
        <v>445</v>
      </c>
      <c r="U746" s="14" t="s">
        <v>446</v>
      </c>
      <c r="V746" s="48">
        <f>SUMIF(Data!$E:$E,$I746,Data!$AI:$AI)</f>
        <v>0</v>
      </c>
    </row>
    <row r="747" spans="1:22" x14ac:dyDescent="0.25">
      <c r="A747" s="47" t="s">
        <v>5033</v>
      </c>
      <c r="B747" s="47" t="s">
        <v>123</v>
      </c>
      <c r="C747" s="47" t="s">
        <v>5153</v>
      </c>
      <c r="D747" s="47">
        <v>0.94330265466359098</v>
      </c>
      <c r="E747" s="48">
        <f>SUMIF(Data!$E:$E,$C747,Data!$AI:$AI)</f>
        <v>0</v>
      </c>
      <c r="I747" s="14" t="s">
        <v>5154</v>
      </c>
      <c r="J747" s="14" t="s">
        <v>5155</v>
      </c>
      <c r="K747" s="14" t="s">
        <v>140</v>
      </c>
      <c r="L747" s="14" t="s">
        <v>4424</v>
      </c>
      <c r="M747" s="14" t="s">
        <v>5156</v>
      </c>
      <c r="N747" s="14">
        <v>399.76499999999999</v>
      </c>
      <c r="O747" s="14" t="s">
        <v>5157</v>
      </c>
      <c r="P747" s="14" t="s">
        <v>5158</v>
      </c>
      <c r="Q747" s="14" t="s">
        <v>809</v>
      </c>
      <c r="R747" s="14" t="s">
        <v>5159</v>
      </c>
      <c r="S747" s="14" t="s">
        <v>195</v>
      </c>
      <c r="T747" s="14" t="s">
        <v>149</v>
      </c>
      <c r="U747" s="14" t="s">
        <v>113</v>
      </c>
      <c r="V747" s="48">
        <f>SUMIF(Data!$E:$E,$I747,Data!$AI:$AI)</f>
        <v>0</v>
      </c>
    </row>
    <row r="748" spans="1:22" x14ac:dyDescent="0.25">
      <c r="A748" s="47" t="s">
        <v>5033</v>
      </c>
      <c r="B748" s="47" t="s">
        <v>123</v>
      </c>
      <c r="C748" s="47" t="s">
        <v>4862</v>
      </c>
      <c r="D748" s="47">
        <v>3.5568789074149798</v>
      </c>
      <c r="E748" s="48">
        <f>SUMIF(Data!$E:$E,$C748,Data!$AI:$AI)</f>
        <v>0.397519933142436</v>
      </c>
      <c r="I748" s="14" t="s">
        <v>5160</v>
      </c>
      <c r="J748" s="14" t="s">
        <v>5161</v>
      </c>
      <c r="K748" s="14" t="s">
        <v>140</v>
      </c>
      <c r="L748" s="14" t="s">
        <v>4424</v>
      </c>
      <c r="M748" s="14" t="s">
        <v>5162</v>
      </c>
      <c r="N748" s="14">
        <v>71.305999999999997</v>
      </c>
      <c r="O748" s="14" t="s">
        <v>5163</v>
      </c>
      <c r="P748" s="14" t="s">
        <v>5164</v>
      </c>
      <c r="Q748" s="14" t="s">
        <v>737</v>
      </c>
      <c r="R748" s="14" t="s">
        <v>5165</v>
      </c>
      <c r="S748" s="14" t="s">
        <v>195</v>
      </c>
      <c r="T748" s="14" t="s">
        <v>149</v>
      </c>
      <c r="U748" s="14" t="s">
        <v>113</v>
      </c>
      <c r="V748" s="48">
        <f>SUMIF(Data!$E:$E,$I748,Data!$AI:$AI)</f>
        <v>0</v>
      </c>
    </row>
    <row r="749" spans="1:22" x14ac:dyDescent="0.25">
      <c r="A749" s="47" t="s">
        <v>5033</v>
      </c>
      <c r="B749" s="47" t="s">
        <v>123</v>
      </c>
      <c r="C749" s="47" t="s">
        <v>5166</v>
      </c>
      <c r="D749" s="47">
        <v>0.30999730178081703</v>
      </c>
      <c r="E749" s="48">
        <f>SUMIF(Data!$E:$E,$C749,Data!$AI:$AI)</f>
        <v>0</v>
      </c>
      <c r="I749" s="14" t="s">
        <v>5167</v>
      </c>
      <c r="J749" s="14" t="s">
        <v>5168</v>
      </c>
      <c r="K749" s="14" t="s">
        <v>140</v>
      </c>
      <c r="L749" s="14" t="s">
        <v>4424</v>
      </c>
      <c r="M749" s="14" t="s">
        <v>5169</v>
      </c>
      <c r="N749" s="14">
        <v>118.446</v>
      </c>
      <c r="O749" s="14" t="s">
        <v>5170</v>
      </c>
      <c r="P749" s="14" t="s">
        <v>5171</v>
      </c>
      <c r="Q749" s="14" t="s">
        <v>193</v>
      </c>
      <c r="R749" s="14" t="s">
        <v>5172</v>
      </c>
      <c r="S749" s="14" t="s">
        <v>195</v>
      </c>
      <c r="T749" s="14" t="s">
        <v>149</v>
      </c>
      <c r="U749" s="14" t="s">
        <v>113</v>
      </c>
      <c r="V749" s="48">
        <f>SUMIF(Data!$E:$E,$I749,Data!$AI:$AI)</f>
        <v>0</v>
      </c>
    </row>
    <row r="750" spans="1:22" x14ac:dyDescent="0.25">
      <c r="A750" s="47" t="s">
        <v>5033</v>
      </c>
      <c r="B750" s="47" t="s">
        <v>123</v>
      </c>
      <c r="C750" s="47" t="s">
        <v>5173</v>
      </c>
      <c r="D750" s="47">
        <v>2.2828077527149202</v>
      </c>
      <c r="E750" s="48">
        <f>SUMIF(Data!$E:$E,$C750,Data!$AI:$AI)</f>
        <v>0.32269220108453256</v>
      </c>
      <c r="I750" s="14" t="s">
        <v>5174</v>
      </c>
      <c r="J750" s="14" t="s">
        <v>5175</v>
      </c>
      <c r="K750" s="14" t="s">
        <v>140</v>
      </c>
      <c r="L750" s="14" t="s">
        <v>4424</v>
      </c>
      <c r="M750" s="14" t="s">
        <v>5176</v>
      </c>
      <c r="N750" s="14">
        <v>136.76599999999999</v>
      </c>
      <c r="O750" s="14" t="s">
        <v>5177</v>
      </c>
      <c r="P750" s="14" t="s">
        <v>5178</v>
      </c>
      <c r="Q750" s="14" t="s">
        <v>227</v>
      </c>
      <c r="R750" s="14" t="s">
        <v>5179</v>
      </c>
      <c r="S750" s="14" t="s">
        <v>195</v>
      </c>
      <c r="T750" s="14" t="s">
        <v>646</v>
      </c>
      <c r="U750" s="14" t="s">
        <v>113</v>
      </c>
      <c r="V750" s="48">
        <f>SUMIF(Data!$E:$E,$I750,Data!$AI:$AI)</f>
        <v>0</v>
      </c>
    </row>
    <row r="751" spans="1:22" x14ac:dyDescent="0.25">
      <c r="A751" s="47" t="s">
        <v>5033</v>
      </c>
      <c r="B751" s="47" t="s">
        <v>123</v>
      </c>
      <c r="C751" s="47" t="s">
        <v>3167</v>
      </c>
      <c r="D751" s="47">
        <v>1.4522744390419899</v>
      </c>
      <c r="E751" s="48">
        <f>SUMIF(Data!$E:$E,$C751,Data!$AI:$AI)</f>
        <v>0.45612845361825383</v>
      </c>
      <c r="I751" s="14" t="s">
        <v>5180</v>
      </c>
      <c r="J751" s="14" t="s">
        <v>5181</v>
      </c>
      <c r="K751" s="14" t="s">
        <v>140</v>
      </c>
      <c r="L751" s="14" t="s">
        <v>4424</v>
      </c>
      <c r="M751" s="14" t="s">
        <v>5182</v>
      </c>
      <c r="N751" s="14">
        <v>124.982</v>
      </c>
      <c r="O751" s="14" t="s">
        <v>5183</v>
      </c>
      <c r="P751" s="14" t="s">
        <v>5184</v>
      </c>
      <c r="Q751" s="14" t="s">
        <v>146</v>
      </c>
      <c r="R751" s="14" t="s">
        <v>5185</v>
      </c>
      <c r="S751" s="14" t="s">
        <v>2931</v>
      </c>
      <c r="T751" s="14" t="s">
        <v>2932</v>
      </c>
      <c r="U751" s="14" t="s">
        <v>2933</v>
      </c>
      <c r="V751" s="48">
        <f>SUMIF(Data!$E:$E,$I751,Data!$AI:$AI)</f>
        <v>0</v>
      </c>
    </row>
    <row r="752" spans="1:22" x14ac:dyDescent="0.25">
      <c r="A752" s="47" t="s">
        <v>5033</v>
      </c>
      <c r="B752" s="47" t="s">
        <v>123</v>
      </c>
      <c r="C752" s="47" t="s">
        <v>5186</v>
      </c>
      <c r="D752" s="47">
        <v>1.1535615895370099</v>
      </c>
      <c r="E752" s="48">
        <f>SUMIF(Data!$E:$E,$C752,Data!$AI:$AI)</f>
        <v>0.12898798215585272</v>
      </c>
      <c r="I752" s="14" t="s">
        <v>5187</v>
      </c>
      <c r="J752" s="14" t="s">
        <v>5188</v>
      </c>
      <c r="K752" s="14" t="s">
        <v>140</v>
      </c>
      <c r="L752" s="14" t="s">
        <v>4424</v>
      </c>
      <c r="M752" s="14" t="s">
        <v>4370</v>
      </c>
      <c r="N752" s="14">
        <v>46.476999999999997</v>
      </c>
      <c r="O752" s="14" t="s">
        <v>5189</v>
      </c>
      <c r="P752" s="14" t="s">
        <v>5190</v>
      </c>
      <c r="Q752" s="14" t="s">
        <v>146</v>
      </c>
      <c r="R752" s="14" t="s">
        <v>5191</v>
      </c>
      <c r="S752" s="14" t="s">
        <v>195</v>
      </c>
      <c r="T752" s="14" t="s">
        <v>149</v>
      </c>
      <c r="U752" s="14" t="s">
        <v>113</v>
      </c>
      <c r="V752" s="48">
        <f>SUMIF(Data!$E:$E,$I752,Data!$AI:$AI)</f>
        <v>0</v>
      </c>
    </row>
    <row r="753" spans="1:22" x14ac:dyDescent="0.25">
      <c r="A753" s="47" t="s">
        <v>5033</v>
      </c>
      <c r="B753" s="47" t="s">
        <v>123</v>
      </c>
      <c r="C753" s="47" t="s">
        <v>5192</v>
      </c>
      <c r="D753" s="47">
        <v>0.99428792842277003</v>
      </c>
      <c r="E753" s="48">
        <f>SUMIF(Data!$E:$E,$C753,Data!$AI:$AI)</f>
        <v>0</v>
      </c>
      <c r="I753" s="14" t="s">
        <v>5193</v>
      </c>
      <c r="J753" s="14" t="s">
        <v>5194</v>
      </c>
      <c r="K753" s="14" t="s">
        <v>140</v>
      </c>
      <c r="L753" s="14" t="s">
        <v>4424</v>
      </c>
      <c r="M753" s="14" t="s">
        <v>5195</v>
      </c>
      <c r="N753" s="14">
        <v>343.88299999999998</v>
      </c>
      <c r="O753" s="14" t="s">
        <v>5196</v>
      </c>
      <c r="P753" s="14" t="s">
        <v>5197</v>
      </c>
      <c r="Q753" s="14" t="s">
        <v>697</v>
      </c>
      <c r="R753" s="14" t="s">
        <v>5198</v>
      </c>
      <c r="S753" s="14" t="s">
        <v>195</v>
      </c>
      <c r="T753" s="14" t="s">
        <v>149</v>
      </c>
      <c r="U753" s="14" t="s">
        <v>113</v>
      </c>
      <c r="V753" s="48">
        <f>SUMIF(Data!$E:$E,$I753,Data!$AI:$AI)</f>
        <v>0</v>
      </c>
    </row>
    <row r="754" spans="1:22" x14ac:dyDescent="0.25">
      <c r="A754" s="47" t="s">
        <v>5033</v>
      </c>
      <c r="B754" s="47" t="s">
        <v>123</v>
      </c>
      <c r="C754" s="47" t="s">
        <v>5199</v>
      </c>
      <c r="D754" s="47">
        <v>1.2311714381714201</v>
      </c>
      <c r="E754" s="48">
        <f>SUMIF(Data!$E:$E,$C754,Data!$AI:$AI)</f>
        <v>0.30542299256619226</v>
      </c>
      <c r="I754" s="14" t="s">
        <v>5200</v>
      </c>
      <c r="J754" s="14" t="s">
        <v>5201</v>
      </c>
      <c r="K754" s="14" t="s">
        <v>140</v>
      </c>
      <c r="L754" s="14" t="s">
        <v>4424</v>
      </c>
      <c r="M754" s="14" t="s">
        <v>5202</v>
      </c>
      <c r="N754" s="14" t="s">
        <v>5203</v>
      </c>
      <c r="O754" s="14" t="s">
        <v>5204</v>
      </c>
      <c r="P754" s="14" t="s">
        <v>5205</v>
      </c>
      <c r="Q754" s="14" t="s">
        <v>697</v>
      </c>
      <c r="R754" s="14" t="s">
        <v>5206</v>
      </c>
      <c r="S754" s="14" t="s">
        <v>5207</v>
      </c>
      <c r="T754" s="14" t="s">
        <v>5208</v>
      </c>
      <c r="U754" s="14" t="s">
        <v>528</v>
      </c>
      <c r="V754" s="48">
        <f>SUMIF(Data!$E:$E,$I754,Data!$AI:$AI)</f>
        <v>0</v>
      </c>
    </row>
    <row r="755" spans="1:22" x14ac:dyDescent="0.25">
      <c r="A755" s="47" t="s">
        <v>5033</v>
      </c>
      <c r="B755" s="47" t="s">
        <v>123</v>
      </c>
      <c r="C755" s="47" t="s">
        <v>1786</v>
      </c>
      <c r="D755" s="47">
        <v>1.35808823234739</v>
      </c>
      <c r="E755" s="48">
        <f>SUMIF(Data!$E:$E,$C755,Data!$AI:$AI)</f>
        <v>0.1705308312796065</v>
      </c>
      <c r="I755" s="14" t="s">
        <v>5209</v>
      </c>
      <c r="J755" s="14" t="s">
        <v>5210</v>
      </c>
      <c r="K755" s="14" t="s">
        <v>140</v>
      </c>
      <c r="L755" s="14" t="s">
        <v>4424</v>
      </c>
      <c r="M755" s="14" t="s">
        <v>5211</v>
      </c>
      <c r="N755" s="14">
        <v>262.58300000000003</v>
      </c>
      <c r="O755" s="14" t="s">
        <v>5212</v>
      </c>
      <c r="P755" s="14" t="s">
        <v>5213</v>
      </c>
      <c r="Q755" s="14" t="s">
        <v>697</v>
      </c>
      <c r="R755" s="14" t="s">
        <v>5214</v>
      </c>
      <c r="S755" s="14" t="s">
        <v>195</v>
      </c>
      <c r="T755" s="14" t="s">
        <v>149</v>
      </c>
      <c r="U755" s="14" t="s">
        <v>113</v>
      </c>
      <c r="V755" s="48">
        <f>SUMIF(Data!$E:$E,$I755,Data!$AI:$AI)</f>
        <v>0</v>
      </c>
    </row>
    <row r="756" spans="1:22" x14ac:dyDescent="0.25">
      <c r="A756" s="47" t="s">
        <v>5033</v>
      </c>
      <c r="B756" s="47" t="s">
        <v>123</v>
      </c>
      <c r="C756" s="47" t="s">
        <v>4919</v>
      </c>
      <c r="D756" s="47">
        <v>3.3186392641059999</v>
      </c>
      <c r="E756" s="48">
        <f>SUMIF(Data!$E:$E,$C756,Data!$AI:$AI)</f>
        <v>0.63880820904302782</v>
      </c>
      <c r="I756" s="14" t="s">
        <v>5215</v>
      </c>
      <c r="J756" s="14" t="s">
        <v>5216</v>
      </c>
      <c r="K756" s="14" t="s">
        <v>140</v>
      </c>
      <c r="L756" s="14" t="s">
        <v>4424</v>
      </c>
      <c r="M756" s="14" t="s">
        <v>5217</v>
      </c>
      <c r="N756" s="14">
        <v>14.826000000000001</v>
      </c>
      <c r="O756" s="14" t="s">
        <v>5218</v>
      </c>
      <c r="P756" s="14" t="s">
        <v>5219</v>
      </c>
      <c r="Q756" s="14" t="s">
        <v>193</v>
      </c>
      <c r="R756" s="14" t="s">
        <v>5220</v>
      </c>
      <c r="S756" s="14" t="s">
        <v>728</v>
      </c>
      <c r="T756" s="14" t="s">
        <v>729</v>
      </c>
      <c r="U756" s="14" t="s">
        <v>730</v>
      </c>
      <c r="V756" s="48">
        <f>SUMIF(Data!$E:$E,$I756,Data!$AI:$AI)</f>
        <v>0</v>
      </c>
    </row>
    <row r="757" spans="1:22" x14ac:dyDescent="0.25">
      <c r="A757" s="47" t="s">
        <v>5033</v>
      </c>
      <c r="B757" s="47" t="s">
        <v>123</v>
      </c>
      <c r="C757" s="47" t="s">
        <v>5221</v>
      </c>
      <c r="D757" s="47">
        <v>1.5346739399065901</v>
      </c>
      <c r="E757" s="48">
        <f>SUMIF(Data!$E:$E,$C757,Data!$AI:$AI)</f>
        <v>0.14962264013625223</v>
      </c>
      <c r="I757" s="14" t="s">
        <v>5222</v>
      </c>
      <c r="J757" s="14" t="s">
        <v>5223</v>
      </c>
      <c r="K757" s="14" t="s">
        <v>140</v>
      </c>
      <c r="L757" s="14" t="s">
        <v>4424</v>
      </c>
      <c r="M757" s="14" t="s">
        <v>5224</v>
      </c>
      <c r="N757" s="14">
        <v>90.14</v>
      </c>
      <c r="O757" s="14" t="s">
        <v>5225</v>
      </c>
      <c r="P757" s="14" t="s">
        <v>5226</v>
      </c>
      <c r="Q757" s="14" t="s">
        <v>211</v>
      </c>
      <c r="R757" s="14" t="s">
        <v>5227</v>
      </c>
      <c r="S757" s="14" t="s">
        <v>148</v>
      </c>
      <c r="T757" s="14" t="s">
        <v>149</v>
      </c>
      <c r="U757" s="14" t="s">
        <v>113</v>
      </c>
      <c r="V757" s="48">
        <f>SUMIF(Data!$E:$E,$I757,Data!$AI:$AI)</f>
        <v>0</v>
      </c>
    </row>
    <row r="758" spans="1:22" x14ac:dyDescent="0.25">
      <c r="A758" s="47" t="s">
        <v>5033</v>
      </c>
      <c r="B758" s="47" t="s">
        <v>123</v>
      </c>
      <c r="C758" s="47" t="s">
        <v>5228</v>
      </c>
      <c r="D758" s="47">
        <v>0.63018742496742497</v>
      </c>
      <c r="E758" s="48">
        <f>SUMIF(Data!$E:$E,$C758,Data!$AI:$AI)</f>
        <v>0</v>
      </c>
      <c r="I758" s="14" t="s">
        <v>5229</v>
      </c>
      <c r="J758" s="14" t="s">
        <v>5230</v>
      </c>
      <c r="K758" s="14" t="s">
        <v>140</v>
      </c>
      <c r="L758" s="14" t="s">
        <v>4424</v>
      </c>
      <c r="M758" s="14" t="s">
        <v>5231</v>
      </c>
      <c r="N758" s="14">
        <v>40.036000000000001</v>
      </c>
      <c r="O758" s="14" t="s">
        <v>5232</v>
      </c>
      <c r="P758" s="14" t="s">
        <v>5233</v>
      </c>
      <c r="Q758" s="14" t="s">
        <v>419</v>
      </c>
      <c r="R758" s="14" t="s">
        <v>5234</v>
      </c>
      <c r="S758" s="14" t="s">
        <v>195</v>
      </c>
      <c r="T758" s="14" t="s">
        <v>149</v>
      </c>
      <c r="U758" s="14" t="s">
        <v>113</v>
      </c>
      <c r="V758" s="48">
        <f>SUMIF(Data!$E:$E,$I758,Data!$AI:$AI)</f>
        <v>0</v>
      </c>
    </row>
    <row r="759" spans="1:22" x14ac:dyDescent="0.25">
      <c r="A759" s="47" t="s">
        <v>5033</v>
      </c>
      <c r="B759" s="47" t="s">
        <v>123</v>
      </c>
      <c r="C759" s="47" t="s">
        <v>3901</v>
      </c>
      <c r="D759" s="47">
        <v>3.5246531743047602</v>
      </c>
      <c r="E759" s="48">
        <f>SUMIF(Data!$E:$E,$C759,Data!$AI:$AI)</f>
        <v>0.4435083799971119</v>
      </c>
      <c r="I759" s="14" t="s">
        <v>5235</v>
      </c>
      <c r="J759" s="14" t="s">
        <v>5236</v>
      </c>
      <c r="K759" s="14" t="s">
        <v>140</v>
      </c>
      <c r="L759" s="14" t="s">
        <v>4424</v>
      </c>
      <c r="M759" s="14" t="s">
        <v>5237</v>
      </c>
      <c r="N759" s="14">
        <v>27.361999999999998</v>
      </c>
      <c r="O759" s="14" t="s">
        <v>5238</v>
      </c>
      <c r="P759" s="14" t="s">
        <v>5239</v>
      </c>
      <c r="Q759" s="14" t="s">
        <v>193</v>
      </c>
      <c r="R759" s="14" t="s">
        <v>5240</v>
      </c>
      <c r="S759" s="14" t="s">
        <v>148</v>
      </c>
      <c r="T759" s="14" t="s">
        <v>149</v>
      </c>
      <c r="U759" s="14" t="s">
        <v>113</v>
      </c>
      <c r="V759" s="48">
        <f>SUMIF(Data!$E:$E,$I759,Data!$AI:$AI)</f>
        <v>0</v>
      </c>
    </row>
    <row r="760" spans="1:22" x14ac:dyDescent="0.25">
      <c r="A760" s="47" t="s">
        <v>5033</v>
      </c>
      <c r="B760" s="47" t="s">
        <v>123</v>
      </c>
      <c r="C760" s="47" t="s">
        <v>5241</v>
      </c>
      <c r="D760" s="47">
        <v>1.52040718698134</v>
      </c>
      <c r="E760" s="48">
        <f>SUMIF(Data!$E:$E,$C760,Data!$AI:$AI)</f>
        <v>0.22226848933098653</v>
      </c>
      <c r="I760" s="14" t="s">
        <v>5242</v>
      </c>
      <c r="J760" s="14" t="s">
        <v>5243</v>
      </c>
      <c r="K760" s="14" t="s">
        <v>140</v>
      </c>
      <c r="L760" s="14" t="s">
        <v>4424</v>
      </c>
      <c r="M760" s="14" t="s">
        <v>5244</v>
      </c>
      <c r="N760" s="14">
        <v>137.494</v>
      </c>
      <c r="O760" s="14" t="s">
        <v>5245</v>
      </c>
      <c r="P760" s="14" t="s">
        <v>5246</v>
      </c>
      <c r="Q760" s="14" t="s">
        <v>193</v>
      </c>
      <c r="R760" s="14" t="s">
        <v>5247</v>
      </c>
      <c r="S760" s="14" t="s">
        <v>148</v>
      </c>
      <c r="T760" s="14" t="s">
        <v>149</v>
      </c>
      <c r="U760" s="14" t="s">
        <v>113</v>
      </c>
      <c r="V760" s="48">
        <f>SUMIF(Data!$E:$E,$I760,Data!$AI:$AI)</f>
        <v>0</v>
      </c>
    </row>
    <row r="761" spans="1:22" x14ac:dyDescent="0.25">
      <c r="A761" s="47" t="s">
        <v>5033</v>
      </c>
      <c r="B761" s="47" t="s">
        <v>123</v>
      </c>
      <c r="C761" s="47" t="s">
        <v>5248</v>
      </c>
      <c r="D761" s="47">
        <v>0.62034191072896705</v>
      </c>
      <c r="E761" s="48">
        <f>SUMIF(Data!$E:$E,$C761,Data!$AI:$AI)</f>
        <v>0</v>
      </c>
      <c r="I761" s="14" t="s">
        <v>4629</v>
      </c>
      <c r="J761" s="14" t="s">
        <v>5249</v>
      </c>
      <c r="K761" s="14" t="s">
        <v>140</v>
      </c>
      <c r="L761" s="14" t="s">
        <v>4424</v>
      </c>
      <c r="M761" s="14" t="s">
        <v>5250</v>
      </c>
      <c r="N761" s="14">
        <v>131.82900000000001</v>
      </c>
      <c r="O761" s="14" t="s">
        <v>5251</v>
      </c>
      <c r="P761" s="14" t="s">
        <v>5252</v>
      </c>
      <c r="Q761" s="14" t="s">
        <v>227</v>
      </c>
      <c r="R761" s="14" t="s">
        <v>5253</v>
      </c>
      <c r="S761" s="14" t="s">
        <v>728</v>
      </c>
      <c r="T761" s="14" t="s">
        <v>729</v>
      </c>
      <c r="U761" s="14" t="s">
        <v>730</v>
      </c>
      <c r="V761" s="48">
        <f>SUMIF(Data!$E:$E,$I761,Data!$AI:$AI)</f>
        <v>0</v>
      </c>
    </row>
    <row r="762" spans="1:22" x14ac:dyDescent="0.25">
      <c r="A762" s="47" t="s">
        <v>5033</v>
      </c>
      <c r="B762" s="47" t="s">
        <v>123</v>
      </c>
      <c r="C762" s="47" t="s">
        <v>4009</v>
      </c>
      <c r="D762" s="47">
        <v>1.19978625248924</v>
      </c>
      <c r="E762" s="48">
        <f>SUMIF(Data!$E:$E,$C762,Data!$AI:$AI)</f>
        <v>0</v>
      </c>
      <c r="I762" s="14" t="s">
        <v>5254</v>
      </c>
      <c r="J762" s="14" t="s">
        <v>5255</v>
      </c>
      <c r="K762" s="14" t="s">
        <v>140</v>
      </c>
      <c r="L762" s="14" t="s">
        <v>4424</v>
      </c>
      <c r="M762" s="14" t="s">
        <v>5256</v>
      </c>
      <c r="N762" s="14">
        <v>35.746000000000002</v>
      </c>
      <c r="O762" s="14" t="s">
        <v>5257</v>
      </c>
      <c r="P762" s="14" t="s">
        <v>5258</v>
      </c>
      <c r="Q762" s="14" t="s">
        <v>419</v>
      </c>
      <c r="R762" s="14" t="s">
        <v>5259</v>
      </c>
      <c r="S762" s="14" t="s">
        <v>1167</v>
      </c>
      <c r="T762" s="14" t="s">
        <v>1168</v>
      </c>
      <c r="U762" s="14" t="s">
        <v>528</v>
      </c>
      <c r="V762" s="48">
        <f>SUMIF(Data!$E:$E,$I762,Data!$AI:$AI)</f>
        <v>0</v>
      </c>
    </row>
    <row r="763" spans="1:22" x14ac:dyDescent="0.25">
      <c r="A763" s="47" t="s">
        <v>5033</v>
      </c>
      <c r="B763" s="47" t="s">
        <v>123</v>
      </c>
      <c r="C763" s="47" t="s">
        <v>4598</v>
      </c>
      <c r="D763" s="47">
        <v>1.11663100036072</v>
      </c>
      <c r="E763" s="48">
        <f>SUMIF(Data!$E:$E,$C763,Data!$AI:$AI)</f>
        <v>0</v>
      </c>
      <c r="I763" s="14" t="s">
        <v>2233</v>
      </c>
      <c r="J763" s="14" t="s">
        <v>5260</v>
      </c>
      <c r="K763" s="14" t="s">
        <v>140</v>
      </c>
      <c r="L763" s="14" t="s">
        <v>4424</v>
      </c>
      <c r="M763" s="14" t="s">
        <v>5261</v>
      </c>
      <c r="N763" s="14">
        <v>381.39600000000002</v>
      </c>
      <c r="O763" s="14" t="s">
        <v>5262</v>
      </c>
      <c r="P763" s="14" t="s">
        <v>5263</v>
      </c>
      <c r="Q763" s="14" t="s">
        <v>175</v>
      </c>
      <c r="R763" s="14" t="s">
        <v>5264</v>
      </c>
      <c r="S763" s="14" t="s">
        <v>3714</v>
      </c>
      <c r="T763" s="14" t="s">
        <v>3715</v>
      </c>
      <c r="U763" s="14" t="s">
        <v>3716</v>
      </c>
      <c r="V763" s="48">
        <f>SUMIF(Data!$E:$E,$I763,Data!$AI:$AI)</f>
        <v>0</v>
      </c>
    </row>
    <row r="764" spans="1:22" x14ac:dyDescent="0.25">
      <c r="A764" s="47" t="s">
        <v>5033</v>
      </c>
      <c r="B764" s="47" t="s">
        <v>123</v>
      </c>
      <c r="C764" s="47" t="s">
        <v>4964</v>
      </c>
      <c r="D764" s="47">
        <v>3.8964228142898798</v>
      </c>
      <c r="E764" s="48">
        <f>SUMIF(Data!$E:$E,$C764,Data!$AI:$AI)</f>
        <v>0</v>
      </c>
      <c r="I764" s="14" t="s">
        <v>5265</v>
      </c>
      <c r="J764" s="14" t="s">
        <v>5266</v>
      </c>
      <c r="K764" s="14" t="s">
        <v>140</v>
      </c>
      <c r="L764" s="14" t="s">
        <v>4424</v>
      </c>
      <c r="M764" s="14" t="s">
        <v>5267</v>
      </c>
      <c r="N764" s="14">
        <v>476.65800000000002</v>
      </c>
      <c r="O764" s="14" t="s">
        <v>5268</v>
      </c>
      <c r="P764" s="14" t="s">
        <v>5269</v>
      </c>
      <c r="Q764" s="14" t="s">
        <v>193</v>
      </c>
      <c r="R764" s="14" t="s">
        <v>5270</v>
      </c>
      <c r="S764" s="14" t="s">
        <v>479</v>
      </c>
      <c r="T764" s="14" t="s">
        <v>480</v>
      </c>
      <c r="U764" s="14" t="s">
        <v>481</v>
      </c>
      <c r="V764" s="48">
        <f>SUMIF(Data!$E:$E,$I764,Data!$AI:$AI)</f>
        <v>0</v>
      </c>
    </row>
    <row r="765" spans="1:22" x14ac:dyDescent="0.25">
      <c r="A765" s="47" t="s">
        <v>5033</v>
      </c>
      <c r="B765" s="47" t="s">
        <v>123</v>
      </c>
      <c r="C765" s="47" t="s">
        <v>5271</v>
      </c>
      <c r="D765" s="47">
        <v>0.56830777636575802</v>
      </c>
      <c r="E765" s="48">
        <f>SUMIF(Data!$E:$E,$C765,Data!$AI:$AI)</f>
        <v>0.14326299409755411</v>
      </c>
      <c r="I765" s="14">
        <v>9843</v>
      </c>
      <c r="J765" s="14" t="s">
        <v>5272</v>
      </c>
      <c r="K765" s="14" t="s">
        <v>140</v>
      </c>
      <c r="L765" s="14" t="s">
        <v>4424</v>
      </c>
      <c r="M765" s="14" t="s">
        <v>5273</v>
      </c>
      <c r="N765" s="14">
        <v>42.524000000000001</v>
      </c>
      <c r="O765" s="14" t="s">
        <v>5274</v>
      </c>
      <c r="P765" s="14" t="s">
        <v>5275</v>
      </c>
      <c r="Q765" s="14" t="s">
        <v>165</v>
      </c>
      <c r="R765" s="14" t="s">
        <v>5276</v>
      </c>
      <c r="S765" s="14" t="s">
        <v>444</v>
      </c>
      <c r="T765" s="14" t="s">
        <v>445</v>
      </c>
      <c r="U765" s="14" t="s">
        <v>446</v>
      </c>
      <c r="V765" s="48">
        <f>SUMIF(Data!$E:$E,$I765,Data!$AI:$AI)</f>
        <v>0</v>
      </c>
    </row>
    <row r="766" spans="1:22" x14ac:dyDescent="0.25">
      <c r="A766" s="47" t="s">
        <v>5033</v>
      </c>
      <c r="B766" s="47" t="s">
        <v>123</v>
      </c>
      <c r="C766" s="47" t="s">
        <v>5277</v>
      </c>
      <c r="D766" s="47">
        <v>1.8150203734711099</v>
      </c>
      <c r="E766" s="48">
        <f>SUMIF(Data!$E:$E,$C766,Data!$AI:$AI)</f>
        <v>0.33919062734131172</v>
      </c>
      <c r="I766" s="14" t="s">
        <v>5278</v>
      </c>
      <c r="J766" s="14" t="s">
        <v>5279</v>
      </c>
      <c r="K766" s="14" t="s">
        <v>140</v>
      </c>
      <c r="L766" s="14" t="s">
        <v>4424</v>
      </c>
      <c r="M766" s="14" t="s">
        <v>5280</v>
      </c>
      <c r="N766" s="14">
        <v>98.518000000000001</v>
      </c>
      <c r="O766" s="14" t="s">
        <v>5281</v>
      </c>
      <c r="P766" s="14" t="s">
        <v>5282</v>
      </c>
      <c r="Q766" s="14" t="s">
        <v>193</v>
      </c>
      <c r="R766" s="14" t="s">
        <v>5283</v>
      </c>
      <c r="S766" s="14" t="s">
        <v>195</v>
      </c>
      <c r="T766" s="14" t="s">
        <v>149</v>
      </c>
      <c r="U766" s="14" t="s">
        <v>113</v>
      </c>
      <c r="V766" s="48">
        <f>SUMIF(Data!$E:$E,$I766,Data!$AI:$AI)</f>
        <v>0</v>
      </c>
    </row>
    <row r="767" spans="1:22" x14ac:dyDescent="0.25">
      <c r="A767" s="47" t="s">
        <v>5033</v>
      </c>
      <c r="B767" s="47" t="s">
        <v>123</v>
      </c>
      <c r="C767" s="47" t="s">
        <v>5284</v>
      </c>
      <c r="D767" s="47">
        <v>1.6434273805066599</v>
      </c>
      <c r="E767" s="48">
        <f>SUMIF(Data!$E:$E,$C767,Data!$AI:$AI)</f>
        <v>0.14335552808713869</v>
      </c>
      <c r="I767" s="14">
        <v>6701</v>
      </c>
      <c r="J767" s="14" t="s">
        <v>5285</v>
      </c>
      <c r="K767" s="14" t="s">
        <v>140</v>
      </c>
      <c r="L767" s="14" t="s">
        <v>4424</v>
      </c>
      <c r="M767" s="14" t="s">
        <v>5286</v>
      </c>
      <c r="N767" s="14">
        <v>146.19999999999999</v>
      </c>
      <c r="O767" s="14" t="s">
        <v>5287</v>
      </c>
      <c r="P767" s="14" t="s">
        <v>5288</v>
      </c>
      <c r="Q767" s="14" t="s">
        <v>146</v>
      </c>
      <c r="R767" s="14" t="s">
        <v>5289</v>
      </c>
      <c r="S767" s="14" t="s">
        <v>444</v>
      </c>
      <c r="T767" s="14" t="s">
        <v>445</v>
      </c>
      <c r="U767" s="14" t="s">
        <v>446</v>
      </c>
      <c r="V767" s="48">
        <f>SUMIF(Data!$E:$E,$I767,Data!$AI:$AI)</f>
        <v>0</v>
      </c>
    </row>
    <row r="768" spans="1:22" x14ac:dyDescent="0.25">
      <c r="A768" s="47" t="s">
        <v>5033</v>
      </c>
      <c r="B768" s="47" t="s">
        <v>123</v>
      </c>
      <c r="C768" s="47" t="s">
        <v>4971</v>
      </c>
      <c r="D768" s="47">
        <v>3.3500573325399601</v>
      </c>
      <c r="E768" s="48">
        <f>SUMIF(Data!$E:$E,$C768,Data!$AI:$AI)</f>
        <v>0.51478348043038158</v>
      </c>
      <c r="I768" s="14" t="s">
        <v>5290</v>
      </c>
      <c r="J768" s="14" t="s">
        <v>5291</v>
      </c>
      <c r="K768" s="14" t="s">
        <v>140</v>
      </c>
      <c r="L768" s="14" t="s">
        <v>4424</v>
      </c>
      <c r="M768" s="14" t="s">
        <v>5292</v>
      </c>
      <c r="N768" s="14">
        <v>64.307000000000002</v>
      </c>
      <c r="O768" s="14" t="s">
        <v>5293</v>
      </c>
      <c r="P768" s="14" t="s">
        <v>5294</v>
      </c>
      <c r="Q768" s="14" t="s">
        <v>193</v>
      </c>
      <c r="R768" s="14" t="s">
        <v>5295</v>
      </c>
      <c r="S768" s="14" t="s">
        <v>195</v>
      </c>
      <c r="T768" s="14" t="s">
        <v>149</v>
      </c>
      <c r="U768" s="14" t="s">
        <v>113</v>
      </c>
      <c r="V768" s="48">
        <f>SUMIF(Data!$E:$E,$I768,Data!$AI:$AI)</f>
        <v>0</v>
      </c>
    </row>
    <row r="769" spans="1:22" x14ac:dyDescent="0.25">
      <c r="A769" s="47" t="s">
        <v>5033</v>
      </c>
      <c r="B769" s="47" t="s">
        <v>123</v>
      </c>
      <c r="C769" s="47" t="s">
        <v>4978</v>
      </c>
      <c r="D769" s="47">
        <v>3.8667047538140702</v>
      </c>
      <c r="E769" s="48">
        <f>SUMIF(Data!$E:$E,$C769,Data!$AI:$AI)</f>
        <v>0</v>
      </c>
      <c r="I769" s="14" t="s">
        <v>5296</v>
      </c>
      <c r="J769" s="14" t="s">
        <v>5297</v>
      </c>
      <c r="K769" s="14" t="s">
        <v>140</v>
      </c>
      <c r="L769" s="14" t="s">
        <v>4424</v>
      </c>
      <c r="M769" s="14" t="s">
        <v>5298</v>
      </c>
      <c r="N769" s="14">
        <v>144.405</v>
      </c>
      <c r="O769" s="14" t="s">
        <v>5299</v>
      </c>
      <c r="P769" s="14" t="s">
        <v>5300</v>
      </c>
      <c r="Q769" s="14" t="s">
        <v>193</v>
      </c>
      <c r="R769" s="14" t="s">
        <v>5301</v>
      </c>
      <c r="S769" s="14" t="s">
        <v>148</v>
      </c>
      <c r="T769" s="14" t="s">
        <v>149</v>
      </c>
      <c r="U769" s="14" t="s">
        <v>113</v>
      </c>
      <c r="V769" s="48">
        <f>SUMIF(Data!$E:$E,$I769,Data!$AI:$AI)</f>
        <v>0</v>
      </c>
    </row>
    <row r="770" spans="1:22" x14ac:dyDescent="0.25">
      <c r="A770" s="47" t="s">
        <v>5033</v>
      </c>
      <c r="B770" s="47" t="s">
        <v>123</v>
      </c>
      <c r="C770" s="47" t="s">
        <v>5302</v>
      </c>
      <c r="D770" s="47">
        <v>1.7736941661496901</v>
      </c>
      <c r="E770" s="48">
        <f>SUMIF(Data!$E:$E,$C770,Data!$AI:$AI)</f>
        <v>0</v>
      </c>
      <c r="I770" s="14" t="s">
        <v>5303</v>
      </c>
      <c r="J770" s="14" t="s">
        <v>5304</v>
      </c>
      <c r="K770" s="14" t="s">
        <v>140</v>
      </c>
      <c r="L770" s="14" t="s">
        <v>4424</v>
      </c>
      <c r="M770" s="14" t="s">
        <v>5305</v>
      </c>
      <c r="N770" s="14">
        <v>222.78399999999999</v>
      </c>
      <c r="O770" s="14" t="s">
        <v>5306</v>
      </c>
      <c r="P770" s="14" t="s">
        <v>5307</v>
      </c>
      <c r="Q770" s="14" t="s">
        <v>193</v>
      </c>
      <c r="R770" s="14" t="s">
        <v>5308</v>
      </c>
      <c r="S770" s="14" t="s">
        <v>195</v>
      </c>
      <c r="T770" s="14" t="s">
        <v>149</v>
      </c>
      <c r="U770" s="14" t="s">
        <v>113</v>
      </c>
      <c r="V770" s="48">
        <f>SUMIF(Data!$E:$E,$I770,Data!$AI:$AI)</f>
        <v>0</v>
      </c>
    </row>
    <row r="771" spans="1:22" x14ac:dyDescent="0.25">
      <c r="A771" s="47" t="s">
        <v>5033</v>
      </c>
      <c r="B771" s="47" t="s">
        <v>123</v>
      </c>
      <c r="C771" s="47" t="s">
        <v>5309</v>
      </c>
      <c r="D771" s="47">
        <v>1.0640558771675099</v>
      </c>
      <c r="E771" s="48">
        <f>SUMIF(Data!$E:$E,$C771,Data!$AI:$AI)</f>
        <v>0</v>
      </c>
      <c r="I771" s="14" t="s">
        <v>5310</v>
      </c>
      <c r="J771" s="14" t="s">
        <v>5311</v>
      </c>
      <c r="K771" s="14" t="s">
        <v>140</v>
      </c>
      <c r="L771" s="14" t="s">
        <v>4424</v>
      </c>
      <c r="M771" s="14" t="s">
        <v>5312</v>
      </c>
      <c r="N771" s="14">
        <v>36.320999999999998</v>
      </c>
      <c r="O771" s="14" t="s">
        <v>5313</v>
      </c>
      <c r="P771" s="14" t="s">
        <v>5314</v>
      </c>
      <c r="Q771" s="14" t="s">
        <v>146</v>
      </c>
      <c r="R771" s="14" t="s">
        <v>5315</v>
      </c>
      <c r="S771" s="14" t="s">
        <v>195</v>
      </c>
      <c r="T771" s="14" t="s">
        <v>149</v>
      </c>
      <c r="U771" s="14" t="s">
        <v>113</v>
      </c>
      <c r="V771" s="48">
        <f>SUMIF(Data!$E:$E,$I771,Data!$AI:$AI)</f>
        <v>0</v>
      </c>
    </row>
    <row r="772" spans="1:22" x14ac:dyDescent="0.25">
      <c r="A772" s="47" t="s">
        <v>5033</v>
      </c>
      <c r="B772" s="47" t="s">
        <v>123</v>
      </c>
      <c r="C772" s="47" t="s">
        <v>5316</v>
      </c>
      <c r="D772" s="47">
        <v>0.46948029650330197</v>
      </c>
      <c r="E772" s="48">
        <f>SUMIF(Data!$E:$E,$C772,Data!$AI:$AI)</f>
        <v>0</v>
      </c>
      <c r="I772" s="14" t="s">
        <v>5317</v>
      </c>
      <c r="J772" s="14" t="s">
        <v>5318</v>
      </c>
      <c r="K772" s="14" t="s">
        <v>140</v>
      </c>
      <c r="L772" s="14" t="s">
        <v>4424</v>
      </c>
      <c r="M772" s="14" t="s">
        <v>5319</v>
      </c>
      <c r="N772" s="14">
        <v>267.05700000000002</v>
      </c>
      <c r="O772" s="14" t="s">
        <v>5320</v>
      </c>
      <c r="P772" s="14" t="s">
        <v>5321</v>
      </c>
      <c r="Q772" s="14" t="s">
        <v>263</v>
      </c>
      <c r="R772" s="14" t="s">
        <v>5322</v>
      </c>
      <c r="S772" s="14" t="s">
        <v>195</v>
      </c>
      <c r="T772" s="14" t="s">
        <v>149</v>
      </c>
      <c r="U772" s="14" t="s">
        <v>113</v>
      </c>
      <c r="V772" s="48">
        <f>SUMIF(Data!$E:$E,$I772,Data!$AI:$AI)</f>
        <v>0</v>
      </c>
    </row>
    <row r="773" spans="1:22" x14ac:dyDescent="0.25">
      <c r="A773" s="47" t="s">
        <v>5033</v>
      </c>
      <c r="B773" s="47" t="s">
        <v>123</v>
      </c>
      <c r="C773" s="47" t="s">
        <v>3174</v>
      </c>
      <c r="D773" s="47">
        <v>1.2924317722726399</v>
      </c>
      <c r="E773" s="48">
        <f>SUMIF(Data!$E:$E,$C773,Data!$AI:$AI)</f>
        <v>0</v>
      </c>
      <c r="I773" s="14" t="s">
        <v>5323</v>
      </c>
      <c r="J773" s="14" t="s">
        <v>5324</v>
      </c>
      <c r="K773" s="14" t="s">
        <v>140</v>
      </c>
      <c r="L773" s="14" t="s">
        <v>4424</v>
      </c>
      <c r="M773" s="14" t="s">
        <v>5325</v>
      </c>
      <c r="N773" s="14">
        <v>67.325999999999993</v>
      </c>
      <c r="O773" s="14" t="s">
        <v>5326</v>
      </c>
      <c r="P773" s="14" t="s">
        <v>5327</v>
      </c>
      <c r="Q773" s="14" t="s">
        <v>227</v>
      </c>
      <c r="R773" s="14" t="s">
        <v>5328</v>
      </c>
      <c r="S773" s="14" t="s">
        <v>645</v>
      </c>
      <c r="T773" s="14" t="s">
        <v>646</v>
      </c>
      <c r="U773" s="14" t="s">
        <v>528</v>
      </c>
      <c r="V773" s="48">
        <f>SUMIF(Data!$E:$E,$I773,Data!$AI:$AI)</f>
        <v>0</v>
      </c>
    </row>
    <row r="774" spans="1:22" x14ac:dyDescent="0.25">
      <c r="A774" s="47" t="s">
        <v>5033</v>
      </c>
      <c r="B774" s="47" t="s">
        <v>123</v>
      </c>
      <c r="C774" s="47" t="s">
        <v>4520</v>
      </c>
      <c r="D774" s="47">
        <v>2.2905817380257401</v>
      </c>
      <c r="E774" s="48">
        <f>SUMIF(Data!$E:$E,$C774,Data!$AI:$AI)</f>
        <v>0</v>
      </c>
      <c r="I774" s="14">
        <v>7201</v>
      </c>
      <c r="J774" s="14" t="s">
        <v>5329</v>
      </c>
      <c r="K774" s="14" t="s">
        <v>140</v>
      </c>
      <c r="L774" s="14" t="s">
        <v>4424</v>
      </c>
      <c r="M774" s="14" t="s">
        <v>5330</v>
      </c>
      <c r="N774" s="14" t="s">
        <v>5331</v>
      </c>
      <c r="O774" s="14" t="s">
        <v>5332</v>
      </c>
      <c r="P774" s="14" t="s">
        <v>5333</v>
      </c>
      <c r="Q774" s="14" t="s">
        <v>165</v>
      </c>
      <c r="R774" s="14" t="s">
        <v>5334</v>
      </c>
      <c r="S774" s="14" t="s">
        <v>444</v>
      </c>
      <c r="T774" s="14" t="s">
        <v>445</v>
      </c>
      <c r="U774" s="14" t="s">
        <v>446</v>
      </c>
      <c r="V774" s="48">
        <f>SUMIF(Data!$E:$E,$I774,Data!$AI:$AI)</f>
        <v>0</v>
      </c>
    </row>
    <row r="775" spans="1:22" x14ac:dyDescent="0.25">
      <c r="A775" s="47" t="s">
        <v>5033</v>
      </c>
      <c r="B775" s="47" t="s">
        <v>123</v>
      </c>
      <c r="C775" s="47" t="s">
        <v>5335</v>
      </c>
      <c r="D775" s="47">
        <v>3.0235497430214799</v>
      </c>
      <c r="E775" s="48">
        <f>SUMIF(Data!$E:$E,$C775,Data!$AI:$AI)</f>
        <v>0</v>
      </c>
      <c r="I775" s="14" t="s">
        <v>5336</v>
      </c>
      <c r="J775" s="14" t="s">
        <v>5337</v>
      </c>
      <c r="K775" s="14" t="s">
        <v>140</v>
      </c>
      <c r="L775" s="14" t="s">
        <v>4424</v>
      </c>
      <c r="M775" s="14" t="s">
        <v>5338</v>
      </c>
      <c r="N775" s="14">
        <v>113.88200000000001</v>
      </c>
      <c r="O775" s="14" t="s">
        <v>5339</v>
      </c>
      <c r="P775" s="14" t="s">
        <v>5340</v>
      </c>
      <c r="Q775" s="14" t="s">
        <v>165</v>
      </c>
      <c r="R775" s="14" t="s">
        <v>5341</v>
      </c>
      <c r="S775" s="14" t="s">
        <v>195</v>
      </c>
      <c r="T775" s="14" t="s">
        <v>149</v>
      </c>
      <c r="U775" s="14" t="s">
        <v>113</v>
      </c>
      <c r="V775" s="48">
        <f>SUMIF(Data!$E:$E,$I775,Data!$AI:$AI)</f>
        <v>0</v>
      </c>
    </row>
    <row r="776" spans="1:22" x14ac:dyDescent="0.25">
      <c r="A776" s="47" t="s">
        <v>5033</v>
      </c>
      <c r="B776" s="47" t="s">
        <v>123</v>
      </c>
      <c r="C776" s="47" t="s">
        <v>3581</v>
      </c>
      <c r="D776" s="47">
        <v>0.37429844012971802</v>
      </c>
      <c r="E776" s="48">
        <f>SUMIF(Data!$E:$E,$C776,Data!$AI:$AI)</f>
        <v>0</v>
      </c>
      <c r="I776" s="14">
        <v>4689</v>
      </c>
      <c r="J776" s="14" t="s">
        <v>5342</v>
      </c>
      <c r="K776" s="14" t="s">
        <v>140</v>
      </c>
      <c r="L776" s="14" t="s">
        <v>4424</v>
      </c>
      <c r="M776" s="14" t="s">
        <v>5343</v>
      </c>
      <c r="N776" s="14" t="s">
        <v>5344</v>
      </c>
      <c r="O776" s="14" t="s">
        <v>5345</v>
      </c>
      <c r="P776" s="14" t="s">
        <v>5346</v>
      </c>
      <c r="Q776" s="14" t="s">
        <v>175</v>
      </c>
      <c r="R776" s="14" t="s">
        <v>5347</v>
      </c>
      <c r="S776" s="14" t="s">
        <v>444</v>
      </c>
      <c r="T776" s="14" t="s">
        <v>445</v>
      </c>
      <c r="U776" s="14" t="s">
        <v>446</v>
      </c>
      <c r="V776" s="48">
        <f>SUMIF(Data!$E:$E,$I776,Data!$AI:$AI)</f>
        <v>0</v>
      </c>
    </row>
    <row r="777" spans="1:22" x14ac:dyDescent="0.25">
      <c r="A777" s="47" t="s">
        <v>5033</v>
      </c>
      <c r="B777" s="47" t="s">
        <v>123</v>
      </c>
      <c r="C777" s="47" t="s">
        <v>5348</v>
      </c>
      <c r="D777" s="47">
        <v>1.0685022594558899</v>
      </c>
      <c r="E777" s="48">
        <f>SUMIF(Data!$E:$E,$C777,Data!$AI:$AI)</f>
        <v>0</v>
      </c>
      <c r="I777" s="14">
        <v>6869</v>
      </c>
      <c r="J777" s="14" t="s">
        <v>5349</v>
      </c>
      <c r="K777" s="14" t="s">
        <v>140</v>
      </c>
      <c r="L777" s="14" t="s">
        <v>4424</v>
      </c>
      <c r="M777" s="14" t="s">
        <v>5350</v>
      </c>
      <c r="N777" s="14">
        <v>94.307000000000002</v>
      </c>
      <c r="O777" s="14" t="s">
        <v>5351</v>
      </c>
      <c r="P777" s="14" t="s">
        <v>5352</v>
      </c>
      <c r="Q777" s="14" t="s">
        <v>211</v>
      </c>
      <c r="R777" s="14" t="s">
        <v>5353</v>
      </c>
      <c r="S777" s="14" t="s">
        <v>444</v>
      </c>
      <c r="T777" s="14" t="s">
        <v>445</v>
      </c>
      <c r="U777" s="14" t="s">
        <v>446</v>
      </c>
      <c r="V777" s="48">
        <f>SUMIF(Data!$E:$E,$I777,Data!$AI:$AI)</f>
        <v>0</v>
      </c>
    </row>
    <row r="778" spans="1:22" x14ac:dyDescent="0.25">
      <c r="A778" s="47" t="s">
        <v>5033</v>
      </c>
      <c r="B778" s="47" t="s">
        <v>123</v>
      </c>
      <c r="C778" s="47" t="s">
        <v>5354</v>
      </c>
      <c r="D778" s="47">
        <v>0.57439931413553003</v>
      </c>
      <c r="E778" s="48">
        <f>SUMIF(Data!$E:$E,$C778,Data!$AI:$AI)</f>
        <v>0</v>
      </c>
      <c r="I778" s="14" t="s">
        <v>5355</v>
      </c>
      <c r="J778" s="14" t="s">
        <v>5356</v>
      </c>
      <c r="K778" s="14" t="s">
        <v>140</v>
      </c>
      <c r="L778" s="14" t="s">
        <v>4424</v>
      </c>
      <c r="M778" s="14" t="s">
        <v>5357</v>
      </c>
      <c r="N778" s="14">
        <v>68.135999999999996</v>
      </c>
      <c r="O778" s="14" t="s">
        <v>5358</v>
      </c>
      <c r="P778" s="14" t="s">
        <v>5359</v>
      </c>
      <c r="Q778" s="14" t="s">
        <v>165</v>
      </c>
      <c r="R778" s="14" t="s">
        <v>5360</v>
      </c>
      <c r="S778" s="14" t="s">
        <v>148</v>
      </c>
      <c r="T778" s="14" t="s">
        <v>149</v>
      </c>
      <c r="U778" s="14" t="s">
        <v>113</v>
      </c>
      <c r="V778" s="48">
        <f>SUMIF(Data!$E:$E,$I778,Data!$AI:$AI)</f>
        <v>0</v>
      </c>
    </row>
    <row r="779" spans="1:22" x14ac:dyDescent="0.25">
      <c r="A779" s="47" t="s">
        <v>5033</v>
      </c>
      <c r="B779" s="47" t="s">
        <v>123</v>
      </c>
      <c r="C779" s="47" t="s">
        <v>5361</v>
      </c>
      <c r="D779" s="47">
        <v>0.38593810454459498</v>
      </c>
      <c r="E779" s="48">
        <f>SUMIF(Data!$E:$E,$C779,Data!$AI:$AI)</f>
        <v>0</v>
      </c>
      <c r="I779" s="14" t="s">
        <v>5362</v>
      </c>
      <c r="J779" s="14" t="s">
        <v>5363</v>
      </c>
      <c r="K779" s="14" t="s">
        <v>140</v>
      </c>
      <c r="L779" s="14" t="s">
        <v>4424</v>
      </c>
      <c r="M779" s="14" t="s">
        <v>5364</v>
      </c>
      <c r="N779" s="14">
        <v>172.62899999999999</v>
      </c>
      <c r="O779" s="14" t="s">
        <v>5365</v>
      </c>
      <c r="P779" s="14" t="s">
        <v>5366</v>
      </c>
      <c r="Q779" s="14" t="s">
        <v>419</v>
      </c>
      <c r="R779" s="14" t="s">
        <v>5367</v>
      </c>
      <c r="S779" s="14" t="s">
        <v>1167</v>
      </c>
      <c r="T779" s="14" t="s">
        <v>1168</v>
      </c>
      <c r="U779" s="14" t="s">
        <v>528</v>
      </c>
      <c r="V779" s="48">
        <f>SUMIF(Data!$E:$E,$I779,Data!$AI:$AI)</f>
        <v>0</v>
      </c>
    </row>
    <row r="780" spans="1:22" x14ac:dyDescent="0.25">
      <c r="A780" s="47" t="s">
        <v>5033</v>
      </c>
      <c r="B780" s="47" t="s">
        <v>123</v>
      </c>
      <c r="C780" s="47" t="s">
        <v>5368</v>
      </c>
      <c r="D780" s="47">
        <v>0.48563633908926801</v>
      </c>
      <c r="E780" s="48">
        <f>SUMIF(Data!$E:$E,$C780,Data!$AI:$AI)</f>
        <v>0</v>
      </c>
      <c r="I780" s="14" t="s">
        <v>5369</v>
      </c>
      <c r="J780" s="14" t="s">
        <v>5370</v>
      </c>
      <c r="K780" s="14" t="s">
        <v>140</v>
      </c>
      <c r="L780" s="14" t="s">
        <v>4424</v>
      </c>
      <c r="M780" s="14" t="s">
        <v>5371</v>
      </c>
      <c r="N780" s="14">
        <v>187.958</v>
      </c>
      <c r="O780" s="14" t="s">
        <v>5372</v>
      </c>
      <c r="P780" s="14" t="s">
        <v>5373</v>
      </c>
      <c r="Q780" s="14" t="s">
        <v>419</v>
      </c>
      <c r="R780" s="14" t="s">
        <v>5374</v>
      </c>
      <c r="S780" s="14" t="s">
        <v>2931</v>
      </c>
      <c r="T780" s="14" t="s">
        <v>2932</v>
      </c>
      <c r="U780" s="14" t="s">
        <v>2933</v>
      </c>
      <c r="V780" s="48">
        <f>SUMIF(Data!$E:$E,$I780,Data!$AI:$AI)</f>
        <v>0</v>
      </c>
    </row>
    <row r="781" spans="1:22" x14ac:dyDescent="0.25">
      <c r="A781" s="47" t="s">
        <v>5033</v>
      </c>
      <c r="B781" s="47" t="s">
        <v>123</v>
      </c>
      <c r="C781" s="47" t="s">
        <v>5375</v>
      </c>
      <c r="D781" s="47">
        <v>0.697819102354995</v>
      </c>
      <c r="E781" s="48">
        <f>SUMIF(Data!$E:$E,$C781,Data!$AI:$AI)</f>
        <v>0</v>
      </c>
      <c r="I781" s="14" t="s">
        <v>5376</v>
      </c>
      <c r="J781" s="14" t="s">
        <v>5377</v>
      </c>
      <c r="K781" s="14" t="s">
        <v>140</v>
      </c>
      <c r="L781" s="14" t="s">
        <v>4424</v>
      </c>
      <c r="M781" s="14" t="s">
        <v>5378</v>
      </c>
      <c r="N781" s="14">
        <v>24.146999999999998</v>
      </c>
      <c r="O781" s="14" t="s">
        <v>5379</v>
      </c>
      <c r="P781" s="14" t="s">
        <v>5380</v>
      </c>
      <c r="Q781" s="14" t="s">
        <v>419</v>
      </c>
      <c r="R781" s="14" t="s">
        <v>5381</v>
      </c>
      <c r="S781" s="14" t="s">
        <v>195</v>
      </c>
      <c r="T781" s="14" t="s">
        <v>149</v>
      </c>
      <c r="U781" s="14" t="s">
        <v>113</v>
      </c>
      <c r="V781" s="48">
        <f>SUMIF(Data!$E:$E,$I781,Data!$AI:$AI)</f>
        <v>0</v>
      </c>
    </row>
    <row r="782" spans="1:22" x14ac:dyDescent="0.25">
      <c r="A782" s="47" t="s">
        <v>5033</v>
      </c>
      <c r="B782" s="47" t="s">
        <v>123</v>
      </c>
      <c r="C782" s="47" t="s">
        <v>5382</v>
      </c>
      <c r="D782" s="47">
        <v>0.66929979954396901</v>
      </c>
      <c r="E782" s="48">
        <f>SUMIF(Data!$E:$E,$C782,Data!$AI:$AI)</f>
        <v>0</v>
      </c>
      <c r="I782" s="14" t="s">
        <v>5383</v>
      </c>
      <c r="J782" s="14" t="s">
        <v>5384</v>
      </c>
      <c r="K782" s="14" t="s">
        <v>140</v>
      </c>
      <c r="L782" s="14" t="s">
        <v>4424</v>
      </c>
      <c r="M782" s="14" t="s">
        <v>5385</v>
      </c>
      <c r="N782" s="14">
        <v>685.10599999999999</v>
      </c>
      <c r="O782" s="14" t="s">
        <v>5386</v>
      </c>
      <c r="P782" s="14" t="s">
        <v>5387</v>
      </c>
      <c r="Q782" s="14" t="s">
        <v>193</v>
      </c>
      <c r="R782" s="14" t="s">
        <v>5388</v>
      </c>
      <c r="S782" s="14" t="s">
        <v>195</v>
      </c>
      <c r="T782" s="14" t="s">
        <v>149</v>
      </c>
      <c r="U782" s="14" t="s">
        <v>113</v>
      </c>
      <c r="V782" s="48">
        <f>SUMIF(Data!$E:$E,$I782,Data!$AI:$AI)</f>
        <v>0</v>
      </c>
    </row>
    <row r="783" spans="1:22" x14ac:dyDescent="0.25">
      <c r="A783" s="47" t="s">
        <v>5033</v>
      </c>
      <c r="B783" s="47" t="s">
        <v>123</v>
      </c>
      <c r="C783" s="47" t="s">
        <v>5389</v>
      </c>
      <c r="D783" s="47">
        <v>1.15469025611396</v>
      </c>
      <c r="E783" s="48">
        <f>SUMIF(Data!$E:$E,$C783,Data!$AI:$AI)</f>
        <v>0.2843976266541573</v>
      </c>
      <c r="I783" s="14" t="s">
        <v>5390</v>
      </c>
      <c r="J783" s="14" t="s">
        <v>5391</v>
      </c>
      <c r="K783" s="14" t="s">
        <v>140</v>
      </c>
      <c r="L783" s="14" t="s">
        <v>4424</v>
      </c>
      <c r="M783" s="14" t="s">
        <v>5392</v>
      </c>
      <c r="N783" s="14">
        <v>246.95400000000001</v>
      </c>
      <c r="O783" s="14" t="s">
        <v>5393</v>
      </c>
      <c r="P783" s="14" t="s">
        <v>5394</v>
      </c>
      <c r="Q783" s="14" t="s">
        <v>146</v>
      </c>
      <c r="R783" s="14" t="s">
        <v>5395</v>
      </c>
      <c r="S783" s="14" t="s">
        <v>195</v>
      </c>
      <c r="T783" s="14" t="s">
        <v>149</v>
      </c>
      <c r="U783" s="14" t="s">
        <v>113</v>
      </c>
      <c r="V783" s="48">
        <f>SUMIF(Data!$E:$E,$I783,Data!$AI:$AI)</f>
        <v>0</v>
      </c>
    </row>
    <row r="784" spans="1:22" x14ac:dyDescent="0.25">
      <c r="A784" s="47" t="s">
        <v>5033</v>
      </c>
      <c r="B784" s="47" t="s">
        <v>123</v>
      </c>
      <c r="C784" s="47" t="s">
        <v>5396</v>
      </c>
      <c r="D784" s="47">
        <v>7.9628397080134999E-2</v>
      </c>
      <c r="E784" s="48">
        <f>SUMIF(Data!$E:$E,$C784,Data!$AI:$AI)</f>
        <v>0</v>
      </c>
      <c r="I784" s="14" t="s">
        <v>5397</v>
      </c>
      <c r="J784" s="14" t="s">
        <v>5397</v>
      </c>
      <c r="K784" s="14" t="s">
        <v>140</v>
      </c>
      <c r="L784" s="14" t="s">
        <v>4424</v>
      </c>
      <c r="M784" s="14" t="s">
        <v>5398</v>
      </c>
      <c r="N784" s="14">
        <v>117.339</v>
      </c>
      <c r="O784" s="14" t="s">
        <v>5399</v>
      </c>
      <c r="P784" s="14" t="s">
        <v>5400</v>
      </c>
      <c r="Q784" s="14" t="s">
        <v>175</v>
      </c>
      <c r="R784" s="14" t="s">
        <v>5401</v>
      </c>
      <c r="S784" s="14" t="s">
        <v>3142</v>
      </c>
      <c r="T784" s="14" t="s">
        <v>3143</v>
      </c>
      <c r="U784" s="14" t="s">
        <v>528</v>
      </c>
      <c r="V784" s="48">
        <f>SUMIF(Data!$E:$E,$I784,Data!$AI:$AI)</f>
        <v>0</v>
      </c>
    </row>
    <row r="785" spans="1:22" x14ac:dyDescent="0.25">
      <c r="A785" s="47" t="s">
        <v>5033</v>
      </c>
      <c r="B785" s="47" t="s">
        <v>123</v>
      </c>
      <c r="C785" s="47" t="s">
        <v>5402</v>
      </c>
      <c r="D785" s="47">
        <v>0.83535314013523199</v>
      </c>
      <c r="E785" s="48">
        <f>SUMIF(Data!$E:$E,$C785,Data!$AI:$AI)</f>
        <v>0.2044484818987839</v>
      </c>
      <c r="I785" s="14" t="s">
        <v>5403</v>
      </c>
      <c r="J785" s="14" t="s">
        <v>5404</v>
      </c>
      <c r="K785" s="14" t="s">
        <v>140</v>
      </c>
      <c r="L785" s="14" t="s">
        <v>4424</v>
      </c>
      <c r="M785" s="14" t="s">
        <v>5405</v>
      </c>
      <c r="N785" s="14">
        <v>32.838999999999999</v>
      </c>
      <c r="O785" s="14" t="s">
        <v>5406</v>
      </c>
      <c r="P785" s="14" t="s">
        <v>5407</v>
      </c>
      <c r="Q785" s="14" t="s">
        <v>419</v>
      </c>
      <c r="R785" s="14" t="s">
        <v>5408</v>
      </c>
      <c r="S785" s="14" t="s">
        <v>148</v>
      </c>
      <c r="T785" s="14" t="s">
        <v>149</v>
      </c>
      <c r="U785" s="14" t="s">
        <v>113</v>
      </c>
      <c r="V785" s="48">
        <f>SUMIF(Data!$E:$E,$I785,Data!$AI:$AI)</f>
        <v>0</v>
      </c>
    </row>
    <row r="786" spans="1:22" x14ac:dyDescent="0.25">
      <c r="A786" s="47" t="s">
        <v>5033</v>
      </c>
      <c r="B786" s="47" t="s">
        <v>123</v>
      </c>
      <c r="C786" s="47" t="s">
        <v>5409</v>
      </c>
      <c r="D786" s="47">
        <v>2.6692955666551499</v>
      </c>
      <c r="E786" s="48">
        <f>SUMIF(Data!$E:$E,$C786,Data!$AI:$AI)</f>
        <v>0.58444404567070329</v>
      </c>
      <c r="I786" s="14" t="s">
        <v>5410</v>
      </c>
      <c r="J786" s="14" t="s">
        <v>5411</v>
      </c>
      <c r="K786" s="14" t="s">
        <v>140</v>
      </c>
      <c r="L786" s="14" t="s">
        <v>4424</v>
      </c>
      <c r="M786" s="14" t="s">
        <v>5412</v>
      </c>
      <c r="N786" s="14">
        <v>224.16499999999999</v>
      </c>
      <c r="O786" s="14" t="s">
        <v>5413</v>
      </c>
      <c r="P786" s="14" t="s">
        <v>5414</v>
      </c>
      <c r="Q786" s="14" t="s">
        <v>419</v>
      </c>
      <c r="R786" s="14" t="s">
        <v>5415</v>
      </c>
      <c r="S786" s="14" t="s">
        <v>195</v>
      </c>
      <c r="T786" s="14" t="s">
        <v>149</v>
      </c>
      <c r="U786" s="14" t="s">
        <v>113</v>
      </c>
      <c r="V786" s="48">
        <f>SUMIF(Data!$E:$E,$I786,Data!$AI:$AI)</f>
        <v>0</v>
      </c>
    </row>
    <row r="787" spans="1:22" x14ac:dyDescent="0.25">
      <c r="A787" s="47" t="s">
        <v>5416</v>
      </c>
      <c r="B787" s="47" t="s">
        <v>123</v>
      </c>
      <c r="C787" s="47" t="s">
        <v>5417</v>
      </c>
      <c r="D787" s="47">
        <v>0.46009578698698</v>
      </c>
      <c r="E787" s="48">
        <f>SUMIF(Data!$E:$E,$C787,Data!$AI:$AI)</f>
        <v>0</v>
      </c>
      <c r="I787" s="14" t="s">
        <v>5418</v>
      </c>
      <c r="J787" s="14" t="s">
        <v>5419</v>
      </c>
      <c r="K787" s="14" t="s">
        <v>140</v>
      </c>
      <c r="L787" s="14" t="s">
        <v>4424</v>
      </c>
      <c r="M787" s="14" t="s">
        <v>5420</v>
      </c>
      <c r="N787" s="14">
        <v>69.400000000000006</v>
      </c>
      <c r="O787" s="14" t="s">
        <v>5421</v>
      </c>
      <c r="P787" s="14" t="s">
        <v>5422</v>
      </c>
      <c r="Q787" s="14" t="s">
        <v>193</v>
      </c>
      <c r="R787" s="14" t="s">
        <v>5423</v>
      </c>
      <c r="S787" s="14" t="s">
        <v>195</v>
      </c>
      <c r="T787" s="14" t="s">
        <v>149</v>
      </c>
      <c r="U787" s="14" t="s">
        <v>113</v>
      </c>
      <c r="V787" s="48">
        <f>SUMIF(Data!$E:$E,$I787,Data!$AI:$AI)</f>
        <v>0</v>
      </c>
    </row>
    <row r="788" spans="1:22" x14ac:dyDescent="0.25">
      <c r="A788" s="47" t="s">
        <v>5416</v>
      </c>
      <c r="B788" s="47" t="s">
        <v>123</v>
      </c>
      <c r="C788" s="47" t="s">
        <v>5424</v>
      </c>
      <c r="D788" s="47">
        <v>3.1603989024639998</v>
      </c>
      <c r="E788" s="48">
        <f>SUMIF(Data!$E:$E,$C788,Data!$AI:$AI)</f>
        <v>0.14993036494457632</v>
      </c>
      <c r="I788" s="14" t="s">
        <v>5425</v>
      </c>
      <c r="J788" s="14" t="s">
        <v>5426</v>
      </c>
      <c r="K788" s="14" t="s">
        <v>140</v>
      </c>
      <c r="L788" s="14" t="s">
        <v>4424</v>
      </c>
      <c r="M788" s="14" t="s">
        <v>5427</v>
      </c>
      <c r="N788" s="14">
        <v>140.374</v>
      </c>
      <c r="O788" s="14" t="s">
        <v>5428</v>
      </c>
      <c r="P788" s="14" t="s">
        <v>5429</v>
      </c>
      <c r="Q788" s="14" t="s">
        <v>146</v>
      </c>
      <c r="R788" s="14" t="s">
        <v>5430</v>
      </c>
      <c r="S788" s="14" t="s">
        <v>728</v>
      </c>
      <c r="T788" s="14" t="s">
        <v>729</v>
      </c>
      <c r="U788" s="14" t="s">
        <v>730</v>
      </c>
      <c r="V788" s="48">
        <f>SUMIF(Data!$E:$E,$I788,Data!$AI:$AI)</f>
        <v>0</v>
      </c>
    </row>
    <row r="789" spans="1:22" x14ac:dyDescent="0.25">
      <c r="A789" s="47" t="s">
        <v>5416</v>
      </c>
      <c r="B789" s="47" t="s">
        <v>123</v>
      </c>
      <c r="C789" s="47" t="s">
        <v>5431</v>
      </c>
      <c r="D789" s="47">
        <v>0.87884573430218504</v>
      </c>
      <c r="E789" s="48">
        <f>SUMIF(Data!$E:$E,$C789,Data!$AI:$AI)</f>
        <v>0</v>
      </c>
      <c r="I789" s="14" t="s">
        <v>5432</v>
      </c>
      <c r="J789" s="14" t="s">
        <v>5433</v>
      </c>
      <c r="K789" s="14" t="s">
        <v>140</v>
      </c>
      <c r="L789" s="14" t="s">
        <v>4424</v>
      </c>
      <c r="M789" s="14" t="s">
        <v>5434</v>
      </c>
      <c r="N789" s="14">
        <v>72.885000000000005</v>
      </c>
      <c r="O789" s="14" t="s">
        <v>5435</v>
      </c>
      <c r="P789" s="14" t="s">
        <v>5436</v>
      </c>
      <c r="Q789" s="14" t="s">
        <v>165</v>
      </c>
      <c r="R789" s="14" t="s">
        <v>5437</v>
      </c>
      <c r="S789" s="14" t="s">
        <v>479</v>
      </c>
      <c r="T789" s="14" t="s">
        <v>480</v>
      </c>
      <c r="U789" s="14" t="s">
        <v>481</v>
      </c>
      <c r="V789" s="48">
        <f>SUMIF(Data!$E:$E,$I789,Data!$AI:$AI)</f>
        <v>0</v>
      </c>
    </row>
    <row r="790" spans="1:22" x14ac:dyDescent="0.25">
      <c r="A790" s="47" t="s">
        <v>5416</v>
      </c>
      <c r="B790" s="47" t="s">
        <v>123</v>
      </c>
      <c r="C790" s="47" t="s">
        <v>4471</v>
      </c>
      <c r="D790" s="47">
        <v>1.68671657644735</v>
      </c>
      <c r="E790" s="48">
        <f>SUMIF(Data!$E:$E,$C790,Data!$AI:$AI)</f>
        <v>0</v>
      </c>
      <c r="I790" s="14" t="s">
        <v>5438</v>
      </c>
      <c r="J790" s="14" t="s">
        <v>5439</v>
      </c>
      <c r="K790" s="14" t="s">
        <v>140</v>
      </c>
      <c r="L790" s="14" t="s">
        <v>4424</v>
      </c>
      <c r="M790" s="14" t="s">
        <v>5440</v>
      </c>
      <c r="N790" s="14">
        <v>44.006999999999998</v>
      </c>
      <c r="O790" s="14" t="s">
        <v>5441</v>
      </c>
      <c r="P790" s="14" t="s">
        <v>5442</v>
      </c>
      <c r="Q790" s="14" t="s">
        <v>211</v>
      </c>
      <c r="R790" s="14" t="s">
        <v>5443</v>
      </c>
      <c r="S790" s="14" t="s">
        <v>195</v>
      </c>
      <c r="T790" s="14" t="s">
        <v>149</v>
      </c>
      <c r="U790" s="14" t="s">
        <v>113</v>
      </c>
      <c r="V790" s="48">
        <f>SUMIF(Data!$E:$E,$I790,Data!$AI:$AI)</f>
        <v>0</v>
      </c>
    </row>
    <row r="791" spans="1:22" x14ac:dyDescent="0.25">
      <c r="A791" s="47" t="s">
        <v>5416</v>
      </c>
      <c r="B791" s="47" t="s">
        <v>123</v>
      </c>
      <c r="C791" s="47" t="s">
        <v>5444</v>
      </c>
      <c r="D791" s="47">
        <v>3.5387541256197101</v>
      </c>
      <c r="E791" s="48">
        <f>SUMIF(Data!$E:$E,$C791,Data!$AI:$AI)</f>
        <v>0.13053515410881558</v>
      </c>
      <c r="I791" s="14" t="s">
        <v>5445</v>
      </c>
      <c r="J791" s="14" t="s">
        <v>5446</v>
      </c>
      <c r="K791" s="14" t="s">
        <v>140</v>
      </c>
      <c r="L791" s="14" t="s">
        <v>4424</v>
      </c>
      <c r="M791" s="14" t="s">
        <v>5447</v>
      </c>
      <c r="N791" s="14">
        <v>102.02200000000001</v>
      </c>
      <c r="O791" s="14" t="s">
        <v>5448</v>
      </c>
      <c r="P791" s="14" t="s">
        <v>5449</v>
      </c>
      <c r="Q791" s="14" t="s">
        <v>419</v>
      </c>
      <c r="R791" s="14" t="s">
        <v>5450</v>
      </c>
      <c r="S791" s="14" t="s">
        <v>229</v>
      </c>
      <c r="T791" s="14" t="s">
        <v>230</v>
      </c>
      <c r="U791" s="14" t="s">
        <v>231</v>
      </c>
      <c r="V791" s="48">
        <f>SUMIF(Data!$E:$E,$I791,Data!$AI:$AI)</f>
        <v>0</v>
      </c>
    </row>
    <row r="792" spans="1:22" x14ac:dyDescent="0.25">
      <c r="A792" s="47" t="s">
        <v>5416</v>
      </c>
      <c r="B792" s="47" t="s">
        <v>123</v>
      </c>
      <c r="C792" s="47" t="s">
        <v>5451</v>
      </c>
      <c r="D792" s="47">
        <v>0.559415317752474</v>
      </c>
      <c r="E792" s="48">
        <f>SUMIF(Data!$E:$E,$C792,Data!$AI:$AI)</f>
        <v>0</v>
      </c>
      <c r="I792" s="14" t="s">
        <v>5142</v>
      </c>
      <c r="J792" s="14" t="s">
        <v>5452</v>
      </c>
      <c r="K792" s="14" t="s">
        <v>140</v>
      </c>
      <c r="L792" s="14" t="s">
        <v>4424</v>
      </c>
      <c r="M792" s="14" t="s">
        <v>5453</v>
      </c>
      <c r="N792" s="14">
        <v>198.42</v>
      </c>
      <c r="O792" s="14" t="s">
        <v>5454</v>
      </c>
      <c r="P792" s="14" t="s">
        <v>5455</v>
      </c>
      <c r="Q792" s="14" t="s">
        <v>263</v>
      </c>
      <c r="R792" s="14" t="s">
        <v>5456</v>
      </c>
      <c r="S792" s="14" t="s">
        <v>195</v>
      </c>
      <c r="T792" s="14" t="s">
        <v>149</v>
      </c>
      <c r="U792" s="14" t="s">
        <v>113</v>
      </c>
      <c r="V792" s="48">
        <f>SUMIF(Data!$E:$E,$I792,Data!$AI:$AI)</f>
        <v>0</v>
      </c>
    </row>
    <row r="793" spans="1:22" x14ac:dyDescent="0.25">
      <c r="A793" s="47" t="s">
        <v>5416</v>
      </c>
      <c r="B793" s="47" t="s">
        <v>123</v>
      </c>
      <c r="C793" s="47" t="s">
        <v>5457</v>
      </c>
      <c r="D793" s="47">
        <v>1.8223700109429799</v>
      </c>
      <c r="E793" s="48">
        <f>SUMIF(Data!$E:$E,$C793,Data!$AI:$AI)</f>
        <v>0</v>
      </c>
      <c r="I793" s="14" t="s">
        <v>5458</v>
      </c>
      <c r="J793" s="14" t="s">
        <v>5458</v>
      </c>
      <c r="K793" s="14" t="s">
        <v>140</v>
      </c>
      <c r="L793" s="14" t="s">
        <v>4424</v>
      </c>
      <c r="M793" s="14" t="s">
        <v>5459</v>
      </c>
      <c r="N793" s="14">
        <v>269.37799999999999</v>
      </c>
      <c r="O793" s="14" t="s">
        <v>5460</v>
      </c>
      <c r="P793" s="14" t="s">
        <v>5461</v>
      </c>
      <c r="Q793" s="14" t="s">
        <v>697</v>
      </c>
      <c r="R793" s="14" t="s">
        <v>5462</v>
      </c>
      <c r="S793" s="14" t="s">
        <v>3142</v>
      </c>
      <c r="T793" s="14" t="s">
        <v>3143</v>
      </c>
      <c r="U793" s="14" t="s">
        <v>528</v>
      </c>
      <c r="V793" s="48">
        <f>SUMIF(Data!$E:$E,$I793,Data!$AI:$AI)</f>
        <v>0</v>
      </c>
    </row>
    <row r="794" spans="1:22" x14ac:dyDescent="0.25">
      <c r="A794" s="47" t="s">
        <v>5416</v>
      </c>
      <c r="B794" s="47" t="s">
        <v>123</v>
      </c>
      <c r="C794" s="47" t="s">
        <v>5463</v>
      </c>
      <c r="D794" s="47">
        <v>2.4670661710143702</v>
      </c>
      <c r="E794" s="48">
        <f>SUMIF(Data!$E:$E,$C794,Data!$AI:$AI)</f>
        <v>0</v>
      </c>
      <c r="I794" s="14" t="s">
        <v>5464</v>
      </c>
      <c r="J794" s="14" t="s">
        <v>5465</v>
      </c>
      <c r="K794" s="14" t="s">
        <v>140</v>
      </c>
      <c r="L794" s="14" t="s">
        <v>4424</v>
      </c>
      <c r="M794" s="14" t="s">
        <v>5466</v>
      </c>
      <c r="N794" s="14">
        <v>765.56</v>
      </c>
      <c r="O794" s="14" t="s">
        <v>5467</v>
      </c>
      <c r="P794" s="14" t="s">
        <v>5468</v>
      </c>
      <c r="Q794" s="14" t="s">
        <v>419</v>
      </c>
      <c r="R794" s="14" t="s">
        <v>5469</v>
      </c>
      <c r="S794" s="14" t="s">
        <v>850</v>
      </c>
      <c r="T794" s="14" t="s">
        <v>851</v>
      </c>
      <c r="U794" s="14" t="s">
        <v>852</v>
      </c>
      <c r="V794" s="48">
        <f>SUMIF(Data!$E:$E,$I794,Data!$AI:$AI)</f>
        <v>0</v>
      </c>
    </row>
    <row r="795" spans="1:22" x14ac:dyDescent="0.25">
      <c r="A795" s="47" t="s">
        <v>5416</v>
      </c>
      <c r="B795" s="47" t="s">
        <v>123</v>
      </c>
      <c r="C795" s="47" t="s">
        <v>5470</v>
      </c>
      <c r="D795" s="47">
        <v>2.0612292273378698</v>
      </c>
      <c r="E795" s="48">
        <f>SUMIF(Data!$E:$E,$C795,Data!$AI:$AI)</f>
        <v>0</v>
      </c>
      <c r="I795" s="14" t="s">
        <v>5471</v>
      </c>
      <c r="J795" s="14" t="s">
        <v>5472</v>
      </c>
      <c r="K795" s="14" t="s">
        <v>140</v>
      </c>
      <c r="L795" s="14" t="s">
        <v>4424</v>
      </c>
      <c r="M795" s="14" t="s">
        <v>5202</v>
      </c>
      <c r="N795" s="14" t="s">
        <v>5473</v>
      </c>
      <c r="O795" s="14" t="s">
        <v>5474</v>
      </c>
      <c r="P795" s="14" t="s">
        <v>5475</v>
      </c>
      <c r="Q795" s="14" t="s">
        <v>175</v>
      </c>
      <c r="R795" s="14" t="s">
        <v>5476</v>
      </c>
      <c r="S795" s="14" t="s">
        <v>2931</v>
      </c>
      <c r="T795" s="14" t="s">
        <v>2932</v>
      </c>
      <c r="U795" s="14" t="s">
        <v>2933</v>
      </c>
      <c r="V795" s="48">
        <f>SUMIF(Data!$E:$E,$I795,Data!$AI:$AI)</f>
        <v>0</v>
      </c>
    </row>
    <row r="796" spans="1:22" x14ac:dyDescent="0.25">
      <c r="A796" s="47" t="s">
        <v>5416</v>
      </c>
      <c r="B796" s="47" t="s">
        <v>123</v>
      </c>
      <c r="C796" s="47" t="s">
        <v>5477</v>
      </c>
      <c r="D796" s="47">
        <v>3.0050524957137301</v>
      </c>
      <c r="E796" s="48">
        <f>SUMIF(Data!$E:$E,$C796,Data!$AI:$AI)</f>
        <v>0</v>
      </c>
      <c r="I796" s="14" t="s">
        <v>5478</v>
      </c>
      <c r="J796" s="14" t="s">
        <v>5479</v>
      </c>
      <c r="K796" s="14" t="s">
        <v>140</v>
      </c>
      <c r="L796" s="14" t="s">
        <v>4424</v>
      </c>
      <c r="M796" s="14" t="s">
        <v>5480</v>
      </c>
      <c r="N796" s="14">
        <v>70.128</v>
      </c>
      <c r="O796" s="14" t="s">
        <v>5481</v>
      </c>
      <c r="P796" s="14" t="s">
        <v>5482</v>
      </c>
      <c r="Q796" s="14" t="s">
        <v>419</v>
      </c>
      <c r="R796" s="14" t="s">
        <v>5483</v>
      </c>
      <c r="S796" s="14" t="s">
        <v>195</v>
      </c>
      <c r="T796" s="14" t="s">
        <v>149</v>
      </c>
      <c r="U796" s="14" t="s">
        <v>113</v>
      </c>
      <c r="V796" s="48">
        <f>SUMIF(Data!$E:$E,$I796,Data!$AI:$AI)</f>
        <v>0</v>
      </c>
    </row>
    <row r="797" spans="1:22" x14ac:dyDescent="0.25">
      <c r="A797" s="47" t="s">
        <v>5416</v>
      </c>
      <c r="B797" s="47" t="s">
        <v>123</v>
      </c>
      <c r="C797" s="47" t="s">
        <v>5484</v>
      </c>
      <c r="D797" s="47">
        <v>1.6911326758135501</v>
      </c>
      <c r="E797" s="48">
        <f>SUMIF(Data!$E:$E,$C797,Data!$AI:$AI)</f>
        <v>0</v>
      </c>
      <c r="I797" s="14" t="s">
        <v>5485</v>
      </c>
      <c r="J797" s="14" t="s">
        <v>5486</v>
      </c>
      <c r="K797" s="14" t="s">
        <v>140</v>
      </c>
      <c r="L797" s="14" t="s">
        <v>4424</v>
      </c>
      <c r="M797" s="14" t="s">
        <v>5487</v>
      </c>
      <c r="N797" s="14">
        <v>109.907</v>
      </c>
      <c r="O797" s="14" t="s">
        <v>5488</v>
      </c>
      <c r="P797" s="14" t="s">
        <v>5489</v>
      </c>
      <c r="Q797" s="14" t="s">
        <v>211</v>
      </c>
      <c r="R797" s="14" t="s">
        <v>5490</v>
      </c>
      <c r="S797" s="14" t="s">
        <v>148</v>
      </c>
      <c r="T797" s="14" t="s">
        <v>149</v>
      </c>
      <c r="U797" s="14" t="s">
        <v>113</v>
      </c>
      <c r="V797" s="48">
        <f>SUMIF(Data!$E:$E,$I797,Data!$AI:$AI)</f>
        <v>0</v>
      </c>
    </row>
    <row r="798" spans="1:22" x14ac:dyDescent="0.25">
      <c r="A798" s="47" t="s">
        <v>5416</v>
      </c>
      <c r="B798" s="47" t="s">
        <v>123</v>
      </c>
      <c r="C798" s="47" t="s">
        <v>5491</v>
      </c>
      <c r="D798" s="47">
        <v>1.3044321764456701</v>
      </c>
      <c r="E798" s="48">
        <f>SUMIF(Data!$E:$E,$C798,Data!$AI:$AI)</f>
        <v>0</v>
      </c>
      <c r="I798" s="14">
        <v>2388</v>
      </c>
      <c r="J798" s="14" t="s">
        <v>5492</v>
      </c>
      <c r="K798" s="14" t="s">
        <v>140</v>
      </c>
      <c r="L798" s="14" t="s">
        <v>4424</v>
      </c>
      <c r="M798" s="14" t="s">
        <v>5493</v>
      </c>
      <c r="N798" s="14" t="s">
        <v>5494</v>
      </c>
      <c r="O798" s="14" t="s">
        <v>5495</v>
      </c>
      <c r="P798" s="14" t="s">
        <v>5496</v>
      </c>
      <c r="Q798" s="14" t="s">
        <v>193</v>
      </c>
      <c r="R798" s="14" t="s">
        <v>5497</v>
      </c>
      <c r="S798" s="14" t="s">
        <v>552</v>
      </c>
      <c r="T798" s="14" t="s">
        <v>553</v>
      </c>
      <c r="U798" s="14" t="s">
        <v>554</v>
      </c>
      <c r="V798" s="48">
        <f>SUMIF(Data!$E:$E,$I798,Data!$AI:$AI)</f>
        <v>0</v>
      </c>
    </row>
    <row r="799" spans="1:22" x14ac:dyDescent="0.25">
      <c r="A799" s="47" t="s">
        <v>5416</v>
      </c>
      <c r="B799" s="47" t="s">
        <v>123</v>
      </c>
      <c r="C799" s="47" t="s">
        <v>5498</v>
      </c>
      <c r="D799" s="47">
        <v>1.7568946350519901</v>
      </c>
      <c r="E799" s="48">
        <f>SUMIF(Data!$E:$E,$C799,Data!$AI:$AI)</f>
        <v>0</v>
      </c>
      <c r="I799" s="14">
        <v>7309</v>
      </c>
      <c r="J799" s="14" t="s">
        <v>5499</v>
      </c>
      <c r="K799" s="14" t="s">
        <v>140</v>
      </c>
      <c r="L799" s="14" t="s">
        <v>4424</v>
      </c>
      <c r="M799" s="14" t="s">
        <v>5500</v>
      </c>
      <c r="N799" s="14">
        <v>39.895000000000003</v>
      </c>
      <c r="O799" s="14" t="s">
        <v>5501</v>
      </c>
      <c r="P799" s="14" t="s">
        <v>5502</v>
      </c>
      <c r="Q799" s="14" t="s">
        <v>165</v>
      </c>
      <c r="R799" s="14" t="s">
        <v>5503</v>
      </c>
      <c r="S799" s="14" t="s">
        <v>444</v>
      </c>
      <c r="T799" s="14" t="s">
        <v>445</v>
      </c>
      <c r="U799" s="14" t="s">
        <v>446</v>
      </c>
      <c r="V799" s="48">
        <f>SUMIF(Data!$E:$E,$I799,Data!$AI:$AI)</f>
        <v>0</v>
      </c>
    </row>
    <row r="800" spans="1:22" x14ac:dyDescent="0.25">
      <c r="A800" s="47" t="s">
        <v>5416</v>
      </c>
      <c r="B800" s="47" t="s">
        <v>123</v>
      </c>
      <c r="C800" s="47" t="s">
        <v>5504</v>
      </c>
      <c r="D800" s="47">
        <v>0.75087407382568105</v>
      </c>
      <c r="E800" s="48">
        <f>SUMIF(Data!$E:$E,$C800,Data!$AI:$AI)</f>
        <v>0</v>
      </c>
      <c r="I800" s="14" t="s">
        <v>5505</v>
      </c>
      <c r="J800" s="14" t="s">
        <v>5506</v>
      </c>
      <c r="K800" s="14" t="s">
        <v>140</v>
      </c>
      <c r="L800" s="14" t="s">
        <v>4424</v>
      </c>
      <c r="M800" s="14" t="s">
        <v>5507</v>
      </c>
      <c r="N800" s="14">
        <v>59.228999999999999</v>
      </c>
      <c r="O800" s="14" t="s">
        <v>5508</v>
      </c>
      <c r="P800" s="14" t="s">
        <v>5509</v>
      </c>
      <c r="Q800" s="14" t="s">
        <v>193</v>
      </c>
      <c r="R800" s="14" t="s">
        <v>5510</v>
      </c>
      <c r="S800" s="14" t="s">
        <v>148</v>
      </c>
      <c r="T800" s="14" t="s">
        <v>149</v>
      </c>
      <c r="U800" s="14" t="s">
        <v>113</v>
      </c>
      <c r="V800" s="48">
        <f>SUMIF(Data!$E:$E,$I800,Data!$AI:$AI)</f>
        <v>0</v>
      </c>
    </row>
    <row r="801" spans="1:22" x14ac:dyDescent="0.25">
      <c r="A801" s="47" t="s">
        <v>5416</v>
      </c>
      <c r="B801" s="47" t="s">
        <v>123</v>
      </c>
      <c r="C801" s="47" t="s">
        <v>5511</v>
      </c>
      <c r="D801" s="47">
        <v>0.67152127526155903</v>
      </c>
      <c r="E801" s="48">
        <f>SUMIF(Data!$E:$E,$C801,Data!$AI:$AI)</f>
        <v>0</v>
      </c>
      <c r="I801" s="14" t="s">
        <v>5512</v>
      </c>
      <c r="J801" s="14" t="s">
        <v>5513</v>
      </c>
      <c r="K801" s="14" t="s">
        <v>140</v>
      </c>
      <c r="L801" s="14" t="s">
        <v>4424</v>
      </c>
      <c r="M801" s="14" t="s">
        <v>5514</v>
      </c>
      <c r="N801" s="14">
        <v>140.66999999999999</v>
      </c>
      <c r="O801" s="14" t="s">
        <v>5515</v>
      </c>
      <c r="P801" s="14" t="s">
        <v>5516</v>
      </c>
      <c r="Q801" s="14" t="s">
        <v>227</v>
      </c>
      <c r="R801" s="14" t="s">
        <v>5517</v>
      </c>
      <c r="S801" s="14" t="s">
        <v>195</v>
      </c>
      <c r="T801" s="14" t="s">
        <v>149</v>
      </c>
      <c r="U801" s="14" t="s">
        <v>113</v>
      </c>
      <c r="V801" s="48">
        <f>SUMIF(Data!$E:$E,$I801,Data!$AI:$AI)</f>
        <v>0</v>
      </c>
    </row>
    <row r="802" spans="1:22" x14ac:dyDescent="0.25">
      <c r="A802" s="47" t="s">
        <v>5416</v>
      </c>
      <c r="B802" s="47" t="s">
        <v>123</v>
      </c>
      <c r="C802" s="47" t="s">
        <v>5518</v>
      </c>
      <c r="D802" s="47">
        <v>1.00605170443099</v>
      </c>
      <c r="E802" s="48">
        <f>SUMIF(Data!$E:$E,$C802,Data!$AI:$AI)</f>
        <v>0</v>
      </c>
      <c r="I802" s="14" t="s">
        <v>5519</v>
      </c>
      <c r="J802" s="14" t="s">
        <v>5520</v>
      </c>
      <c r="K802" s="14" t="s">
        <v>140</v>
      </c>
      <c r="L802" s="14" t="s">
        <v>4424</v>
      </c>
      <c r="M802" s="14" t="s">
        <v>5521</v>
      </c>
      <c r="N802" s="14">
        <v>90.436000000000007</v>
      </c>
      <c r="O802" s="14" t="s">
        <v>5522</v>
      </c>
      <c r="P802" s="14" t="s">
        <v>5523</v>
      </c>
      <c r="Q802" s="14" t="s">
        <v>809</v>
      </c>
      <c r="R802" s="14" t="s">
        <v>5524</v>
      </c>
      <c r="S802" s="14" t="s">
        <v>195</v>
      </c>
      <c r="T802" s="14" t="s">
        <v>149</v>
      </c>
      <c r="U802" s="14" t="s">
        <v>113</v>
      </c>
      <c r="V802" s="48">
        <f>SUMIF(Data!$E:$E,$I802,Data!$AI:$AI)</f>
        <v>0</v>
      </c>
    </row>
    <row r="803" spans="1:22" x14ac:dyDescent="0.25">
      <c r="A803" s="47" t="s">
        <v>5416</v>
      </c>
      <c r="B803" s="47" t="s">
        <v>123</v>
      </c>
      <c r="C803" s="47" t="s">
        <v>4556</v>
      </c>
      <c r="D803" s="47">
        <v>1.2498334663902899</v>
      </c>
      <c r="E803" s="48">
        <f>SUMIF(Data!$E:$E,$C803,Data!$AI:$AI)</f>
        <v>0</v>
      </c>
      <c r="I803" s="14" t="s">
        <v>5525</v>
      </c>
      <c r="J803" s="14" t="s">
        <v>5526</v>
      </c>
      <c r="K803" s="14" t="s">
        <v>140</v>
      </c>
      <c r="L803" s="14" t="s">
        <v>4424</v>
      </c>
      <c r="M803" s="14" t="s">
        <v>5527</v>
      </c>
      <c r="N803" s="14">
        <v>52.691000000000003</v>
      </c>
      <c r="O803" s="14" t="s">
        <v>5528</v>
      </c>
      <c r="P803" s="14" t="s">
        <v>5529</v>
      </c>
      <c r="Q803" s="14" t="s">
        <v>227</v>
      </c>
      <c r="R803" s="14" t="s">
        <v>5530</v>
      </c>
      <c r="S803" s="14" t="s">
        <v>526</v>
      </c>
      <c r="T803" s="14" t="s">
        <v>527</v>
      </c>
      <c r="U803" s="14" t="s">
        <v>528</v>
      </c>
      <c r="V803" s="48">
        <f>SUMIF(Data!$E:$E,$I803,Data!$AI:$AI)</f>
        <v>0</v>
      </c>
    </row>
    <row r="804" spans="1:22" x14ac:dyDescent="0.25">
      <c r="A804" s="47" t="s">
        <v>5416</v>
      </c>
      <c r="B804" s="47" t="s">
        <v>123</v>
      </c>
      <c r="C804" s="47" t="s">
        <v>5531</v>
      </c>
      <c r="D804" s="47">
        <v>1.3236809624480601</v>
      </c>
      <c r="E804" s="48">
        <f>SUMIF(Data!$E:$E,$C804,Data!$AI:$AI)</f>
        <v>0</v>
      </c>
      <c r="I804" s="14" t="s">
        <v>5532</v>
      </c>
      <c r="J804" s="14" t="s">
        <v>5533</v>
      </c>
      <c r="K804" s="14" t="s">
        <v>140</v>
      </c>
      <c r="L804" s="14" t="s">
        <v>4424</v>
      </c>
      <c r="M804" s="14" t="s">
        <v>5534</v>
      </c>
      <c r="N804" s="14">
        <v>636.53700000000003</v>
      </c>
      <c r="O804" s="14" t="s">
        <v>5535</v>
      </c>
      <c r="P804" s="14" t="s">
        <v>5536</v>
      </c>
      <c r="Q804" s="14" t="s">
        <v>263</v>
      </c>
      <c r="R804" s="14" t="s">
        <v>5537</v>
      </c>
      <c r="S804" s="14" t="s">
        <v>728</v>
      </c>
      <c r="T804" s="14" t="s">
        <v>729</v>
      </c>
      <c r="U804" s="14" t="s">
        <v>730</v>
      </c>
      <c r="V804" s="48">
        <f>SUMIF(Data!$E:$E,$I804,Data!$AI:$AI)</f>
        <v>0</v>
      </c>
    </row>
    <row r="805" spans="1:22" x14ac:dyDescent="0.25">
      <c r="A805" s="47" t="s">
        <v>5416</v>
      </c>
      <c r="B805" s="47" t="s">
        <v>123</v>
      </c>
      <c r="C805" s="47" t="s">
        <v>5538</v>
      </c>
      <c r="D805" s="47">
        <v>2.6839651385236198</v>
      </c>
      <c r="E805" s="48">
        <f>SUMIF(Data!$E:$E,$C805,Data!$AI:$AI)</f>
        <v>0</v>
      </c>
      <c r="I805" s="14" t="s">
        <v>5539</v>
      </c>
      <c r="J805" s="14" t="s">
        <v>5540</v>
      </c>
      <c r="K805" s="14" t="s">
        <v>140</v>
      </c>
      <c r="L805" s="14" t="s">
        <v>4424</v>
      </c>
      <c r="M805" s="14" t="s">
        <v>5541</v>
      </c>
      <c r="N805" s="14">
        <v>301.77100000000002</v>
      </c>
      <c r="O805" s="14" t="s">
        <v>5542</v>
      </c>
      <c r="P805" s="14" t="s">
        <v>5543</v>
      </c>
      <c r="Q805" s="14" t="s">
        <v>211</v>
      </c>
      <c r="R805" s="14" t="s">
        <v>5544</v>
      </c>
      <c r="S805" s="14" t="s">
        <v>148</v>
      </c>
      <c r="T805" s="14" t="s">
        <v>149</v>
      </c>
      <c r="U805" s="14" t="s">
        <v>113</v>
      </c>
      <c r="V805" s="48">
        <f>SUMIF(Data!$E:$E,$I805,Data!$AI:$AI)</f>
        <v>0</v>
      </c>
    </row>
    <row r="806" spans="1:22" x14ac:dyDescent="0.25">
      <c r="A806" s="47" t="s">
        <v>5416</v>
      </c>
      <c r="B806" s="47" t="s">
        <v>123</v>
      </c>
      <c r="C806" s="47" t="s">
        <v>5545</v>
      </c>
      <c r="D806" s="47">
        <v>1.36830121683102</v>
      </c>
      <c r="E806" s="48">
        <f>SUMIF(Data!$E:$E,$C806,Data!$AI:$AI)</f>
        <v>0</v>
      </c>
      <c r="I806" s="14" t="s">
        <v>5546</v>
      </c>
      <c r="J806" s="14" t="s">
        <v>5547</v>
      </c>
      <c r="K806" s="14" t="s">
        <v>140</v>
      </c>
      <c r="L806" s="14" t="s">
        <v>4424</v>
      </c>
      <c r="M806" s="14" t="s">
        <v>5548</v>
      </c>
      <c r="N806" s="14">
        <v>183.196</v>
      </c>
      <c r="O806" s="14" t="s">
        <v>5549</v>
      </c>
      <c r="P806" s="14" t="s">
        <v>5550</v>
      </c>
      <c r="Q806" s="14" t="s">
        <v>227</v>
      </c>
      <c r="R806" s="14" t="s">
        <v>5551</v>
      </c>
      <c r="S806" s="14" t="s">
        <v>479</v>
      </c>
      <c r="T806" s="14" t="s">
        <v>480</v>
      </c>
      <c r="U806" s="14" t="s">
        <v>481</v>
      </c>
      <c r="V806" s="48">
        <f>SUMIF(Data!$E:$E,$I806,Data!$AI:$AI)</f>
        <v>0</v>
      </c>
    </row>
    <row r="807" spans="1:22" x14ac:dyDescent="0.25">
      <c r="A807" s="47" t="s">
        <v>5416</v>
      </c>
      <c r="B807" s="47" t="s">
        <v>123</v>
      </c>
      <c r="C807" s="47" t="s">
        <v>4478</v>
      </c>
      <c r="D807" s="47">
        <v>3.48037779999015</v>
      </c>
      <c r="E807" s="48">
        <f>SUMIF(Data!$E:$E,$C807,Data!$AI:$AI)</f>
        <v>0.23823313841468968</v>
      </c>
      <c r="I807" s="14" t="s">
        <v>5552</v>
      </c>
      <c r="J807" s="14" t="s">
        <v>5553</v>
      </c>
      <c r="K807" s="14" t="s">
        <v>140</v>
      </c>
      <c r="L807" s="14" t="s">
        <v>4424</v>
      </c>
      <c r="M807" s="14" t="s">
        <v>5554</v>
      </c>
      <c r="N807" s="14">
        <v>281.05200000000002</v>
      </c>
      <c r="O807" s="14" t="s">
        <v>5555</v>
      </c>
      <c r="P807" s="14" t="s">
        <v>5556</v>
      </c>
      <c r="Q807" s="14" t="s">
        <v>263</v>
      </c>
      <c r="R807" s="14" t="s">
        <v>5557</v>
      </c>
      <c r="S807" s="14" t="s">
        <v>148</v>
      </c>
      <c r="T807" s="14" t="s">
        <v>149</v>
      </c>
      <c r="U807" s="14" t="s">
        <v>113</v>
      </c>
      <c r="V807" s="48">
        <f>SUMIF(Data!$E:$E,$I807,Data!$AI:$AI)</f>
        <v>0</v>
      </c>
    </row>
    <row r="808" spans="1:22" x14ac:dyDescent="0.25">
      <c r="A808" s="47" t="s">
        <v>5416</v>
      </c>
      <c r="B808" s="47" t="s">
        <v>123</v>
      </c>
      <c r="C808" s="47" t="s">
        <v>1855</v>
      </c>
      <c r="D808" s="47">
        <v>1.52753697471169</v>
      </c>
      <c r="E808" s="48">
        <f>SUMIF(Data!$E:$E,$C808,Data!$AI:$AI)</f>
        <v>0</v>
      </c>
      <c r="I808" s="14" t="s">
        <v>5558</v>
      </c>
      <c r="J808" s="14" t="s">
        <v>5559</v>
      </c>
      <c r="K808" s="14" t="s">
        <v>5560</v>
      </c>
      <c r="L808" s="14" t="s">
        <v>4424</v>
      </c>
      <c r="M808" s="14" t="s">
        <v>759</v>
      </c>
      <c r="N808" s="14" t="s">
        <v>5561</v>
      </c>
      <c r="O808" s="14" t="s">
        <v>5561</v>
      </c>
      <c r="P808" s="14" t="s">
        <v>5562</v>
      </c>
      <c r="Q808" s="14" t="s">
        <v>762</v>
      </c>
      <c r="R808" s="14" t="s">
        <v>763</v>
      </c>
      <c r="S808" s="14" t="s">
        <v>763</v>
      </c>
      <c r="T808" s="14" t="s">
        <v>149</v>
      </c>
      <c r="U808" s="14" t="s">
        <v>113</v>
      </c>
      <c r="V808" s="48">
        <f>SUMIF(Data!$E:$E,$I808,Data!$AI:$AI)</f>
        <v>0</v>
      </c>
    </row>
    <row r="809" spans="1:22" x14ac:dyDescent="0.25">
      <c r="A809" s="47" t="s">
        <v>5416</v>
      </c>
      <c r="B809" s="47" t="s">
        <v>123</v>
      </c>
      <c r="C809" s="47" t="s">
        <v>5563</v>
      </c>
      <c r="D809" s="47">
        <v>3.5200684939111699</v>
      </c>
      <c r="E809" s="48">
        <f>SUMIF(Data!$E:$E,$C809,Data!$AI:$AI)</f>
        <v>0</v>
      </c>
      <c r="I809" s="14" t="s">
        <v>5564</v>
      </c>
      <c r="J809" s="14" t="s">
        <v>5565</v>
      </c>
      <c r="K809" s="14" t="s">
        <v>140</v>
      </c>
      <c r="L809" s="14" t="s">
        <v>4424</v>
      </c>
      <c r="M809" s="14" t="s">
        <v>5566</v>
      </c>
      <c r="N809" s="14">
        <v>101.114</v>
      </c>
      <c r="O809" s="14" t="s">
        <v>5567</v>
      </c>
      <c r="P809" s="14" t="s">
        <v>5568</v>
      </c>
      <c r="Q809" s="14" t="s">
        <v>193</v>
      </c>
      <c r="R809" s="14" t="s">
        <v>5569</v>
      </c>
      <c r="S809" s="14" t="s">
        <v>195</v>
      </c>
      <c r="T809" s="14" t="s">
        <v>149</v>
      </c>
      <c r="U809" s="14" t="s">
        <v>113</v>
      </c>
      <c r="V809" s="48">
        <f>SUMIF(Data!$E:$E,$I809,Data!$AI:$AI)</f>
        <v>0</v>
      </c>
    </row>
    <row r="810" spans="1:22" x14ac:dyDescent="0.25">
      <c r="A810" s="47" t="s">
        <v>5416</v>
      </c>
      <c r="B810" s="47" t="s">
        <v>123</v>
      </c>
      <c r="C810" s="47" t="s">
        <v>5570</v>
      </c>
      <c r="D810" s="47">
        <v>1.1989093402865201</v>
      </c>
      <c r="E810" s="48">
        <f>SUMIF(Data!$E:$E,$C810,Data!$AI:$AI)</f>
        <v>0</v>
      </c>
      <c r="I810" s="14" t="s">
        <v>5571</v>
      </c>
      <c r="J810" s="14" t="s">
        <v>5572</v>
      </c>
      <c r="K810" s="14" t="s">
        <v>140</v>
      </c>
      <c r="L810" s="14" t="s">
        <v>4424</v>
      </c>
      <c r="M810" s="14" t="s">
        <v>141</v>
      </c>
      <c r="N810" s="14" t="s">
        <v>5573</v>
      </c>
      <c r="O810" s="14" t="s">
        <v>5574</v>
      </c>
      <c r="P810" s="14" t="s">
        <v>5575</v>
      </c>
      <c r="Q810" s="14" t="s">
        <v>193</v>
      </c>
      <c r="R810" s="14" t="s">
        <v>5576</v>
      </c>
      <c r="S810" s="14" t="s">
        <v>1167</v>
      </c>
      <c r="T810" s="14" t="s">
        <v>1168</v>
      </c>
      <c r="U810" s="14" t="s">
        <v>528</v>
      </c>
      <c r="V810" s="48">
        <f>SUMIF(Data!$E:$E,$I810,Data!$AI:$AI)</f>
        <v>0</v>
      </c>
    </row>
    <row r="811" spans="1:22" x14ac:dyDescent="0.25">
      <c r="A811" s="47" t="s">
        <v>5416</v>
      </c>
      <c r="B811" s="47" t="s">
        <v>123</v>
      </c>
      <c r="C811" s="47" t="s">
        <v>4368</v>
      </c>
      <c r="D811" s="47">
        <v>3.0519236748755398</v>
      </c>
      <c r="E811" s="48">
        <f>SUMIF(Data!$E:$E,$C811,Data!$AI:$AI)</f>
        <v>0</v>
      </c>
      <c r="I811" s="14" t="s">
        <v>5577</v>
      </c>
      <c r="J811" s="14" t="s">
        <v>5578</v>
      </c>
      <c r="K811" s="14" t="s">
        <v>140</v>
      </c>
      <c r="L811" s="14" t="s">
        <v>4424</v>
      </c>
      <c r="M811" s="14" t="s">
        <v>5579</v>
      </c>
      <c r="N811" s="14">
        <v>147.91</v>
      </c>
      <c r="O811" s="14" t="s">
        <v>5580</v>
      </c>
      <c r="P811" s="14" t="s">
        <v>5581</v>
      </c>
      <c r="Q811" s="14" t="s">
        <v>146</v>
      </c>
      <c r="R811" s="14" t="s">
        <v>5582</v>
      </c>
      <c r="S811" s="14" t="s">
        <v>148</v>
      </c>
      <c r="T811" s="14" t="s">
        <v>149</v>
      </c>
      <c r="U811" s="14" t="s">
        <v>113</v>
      </c>
      <c r="V811" s="48">
        <f>SUMIF(Data!$E:$E,$I811,Data!$AI:$AI)</f>
        <v>0</v>
      </c>
    </row>
    <row r="812" spans="1:22" x14ac:dyDescent="0.25">
      <c r="A812" s="47" t="s">
        <v>5416</v>
      </c>
      <c r="B812" s="47" t="s">
        <v>123</v>
      </c>
      <c r="C812" s="47" t="s">
        <v>5583</v>
      </c>
      <c r="D812" s="47">
        <v>0.74849322096295201</v>
      </c>
      <c r="E812" s="48">
        <f>SUMIF(Data!$E:$E,$C812,Data!$AI:$AI)</f>
        <v>0</v>
      </c>
      <c r="I812" s="14" t="s">
        <v>5584</v>
      </c>
      <c r="J812" s="14" t="s">
        <v>5585</v>
      </c>
      <c r="K812" s="14" t="s">
        <v>140</v>
      </c>
      <c r="L812" s="14" t="s">
        <v>4424</v>
      </c>
      <c r="M812" s="14" t="s">
        <v>5586</v>
      </c>
      <c r="N812" s="14">
        <v>7.867</v>
      </c>
      <c r="O812" s="14" t="s">
        <v>5587</v>
      </c>
      <c r="P812" s="14" t="s">
        <v>5588</v>
      </c>
      <c r="Q812" s="14" t="s">
        <v>193</v>
      </c>
      <c r="R812" s="14" t="s">
        <v>5589</v>
      </c>
      <c r="S812" s="14" t="s">
        <v>195</v>
      </c>
      <c r="T812" s="14" t="s">
        <v>149</v>
      </c>
      <c r="U812" s="14" t="s">
        <v>113</v>
      </c>
      <c r="V812" s="48">
        <f>SUMIF(Data!$E:$E,$I812,Data!$AI:$AI)</f>
        <v>0</v>
      </c>
    </row>
    <row r="813" spans="1:22" x14ac:dyDescent="0.25">
      <c r="A813" s="47" t="s">
        <v>5416</v>
      </c>
      <c r="B813" s="47" t="s">
        <v>123</v>
      </c>
      <c r="C813" s="47" t="s">
        <v>5590</v>
      </c>
      <c r="D813" s="47">
        <v>0.22573750611281199</v>
      </c>
      <c r="E813" s="48">
        <f>SUMIF(Data!$E:$E,$C813,Data!$AI:$AI)</f>
        <v>0</v>
      </c>
      <c r="I813" s="14" t="s">
        <v>5591</v>
      </c>
      <c r="J813" s="14" t="s">
        <v>5592</v>
      </c>
      <c r="K813" s="14" t="s">
        <v>140</v>
      </c>
      <c r="L813" s="14" t="s">
        <v>4424</v>
      </c>
      <c r="M813" s="14" t="s">
        <v>5593</v>
      </c>
      <c r="N813" s="14" t="s">
        <v>5594</v>
      </c>
      <c r="O813" s="14" t="s">
        <v>5595</v>
      </c>
      <c r="P813" s="14" t="s">
        <v>5596</v>
      </c>
      <c r="Q813" s="14" t="s">
        <v>263</v>
      </c>
      <c r="R813" s="14" t="s">
        <v>5597</v>
      </c>
      <c r="S813" s="14" t="s">
        <v>850</v>
      </c>
      <c r="T813" s="14" t="s">
        <v>851</v>
      </c>
      <c r="U813" s="14" t="s">
        <v>852</v>
      </c>
      <c r="V813" s="48">
        <f>SUMIF(Data!$E:$E,$I813,Data!$AI:$AI)</f>
        <v>0</v>
      </c>
    </row>
    <row r="814" spans="1:22" x14ac:dyDescent="0.25">
      <c r="A814" s="47" t="s">
        <v>5416</v>
      </c>
      <c r="B814" s="47" t="s">
        <v>123</v>
      </c>
      <c r="C814" s="47" t="s">
        <v>5598</v>
      </c>
      <c r="D814" s="47">
        <v>2.1099081615563202</v>
      </c>
      <c r="E814" s="48">
        <f>SUMIF(Data!$E:$E,$C814,Data!$AI:$AI)</f>
        <v>0</v>
      </c>
      <c r="I814" s="14" t="s">
        <v>5599</v>
      </c>
      <c r="J814" s="14" t="s">
        <v>5600</v>
      </c>
      <c r="K814" s="14" t="s">
        <v>140</v>
      </c>
      <c r="L814" s="14" t="s">
        <v>4424</v>
      </c>
      <c r="M814" s="14" t="s">
        <v>5601</v>
      </c>
      <c r="N814" s="14">
        <v>139.80799999999999</v>
      </c>
      <c r="O814" s="14" t="s">
        <v>5602</v>
      </c>
      <c r="P814" s="14" t="s">
        <v>5603</v>
      </c>
      <c r="Q814" s="14" t="s">
        <v>419</v>
      </c>
      <c r="R814" s="14" t="s">
        <v>5604</v>
      </c>
      <c r="S814" s="14" t="s">
        <v>195</v>
      </c>
      <c r="T814" s="14" t="s">
        <v>149</v>
      </c>
      <c r="U814" s="14" t="s">
        <v>113</v>
      </c>
      <c r="V814" s="48">
        <f>SUMIF(Data!$E:$E,$I814,Data!$AI:$AI)</f>
        <v>0.18364287708875279</v>
      </c>
    </row>
    <row r="815" spans="1:22" x14ac:dyDescent="0.25">
      <c r="A815" s="47" t="s">
        <v>5416</v>
      </c>
      <c r="B815" s="47" t="s">
        <v>123</v>
      </c>
      <c r="C815" s="47" t="s">
        <v>5605</v>
      </c>
      <c r="D815" s="47">
        <v>3.1808305073043899</v>
      </c>
      <c r="E815" s="48">
        <f>SUMIF(Data!$E:$E,$C815,Data!$AI:$AI)</f>
        <v>6.758252240413927E-2</v>
      </c>
      <c r="I815" s="14" t="s">
        <v>5606</v>
      </c>
      <c r="J815" s="14" t="s">
        <v>5607</v>
      </c>
      <c r="K815" s="14" t="s">
        <v>140</v>
      </c>
      <c r="L815" s="14" t="s">
        <v>4424</v>
      </c>
      <c r="M815" s="14" t="s">
        <v>5608</v>
      </c>
      <c r="N815" s="14">
        <v>29.835999999999999</v>
      </c>
      <c r="O815" s="14" t="s">
        <v>5609</v>
      </c>
      <c r="P815" s="14" t="s">
        <v>5610</v>
      </c>
      <c r="Q815" s="14" t="s">
        <v>146</v>
      </c>
      <c r="R815" s="14" t="s">
        <v>5611</v>
      </c>
      <c r="S815" s="14" t="s">
        <v>195</v>
      </c>
      <c r="T815" s="14" t="s">
        <v>149</v>
      </c>
      <c r="U815" s="14" t="s">
        <v>113</v>
      </c>
      <c r="V815" s="48">
        <f>SUMIF(Data!$E:$E,$I815,Data!$AI:$AI)</f>
        <v>0</v>
      </c>
    </row>
    <row r="816" spans="1:22" x14ac:dyDescent="0.25">
      <c r="A816" s="47" t="s">
        <v>5416</v>
      </c>
      <c r="B816" s="47" t="s">
        <v>123</v>
      </c>
      <c r="C816" s="47" t="s">
        <v>5612</v>
      </c>
      <c r="D816" s="47">
        <v>1.8819686320614499</v>
      </c>
      <c r="E816" s="48">
        <f>SUMIF(Data!$E:$E,$C816,Data!$AI:$AI)</f>
        <v>0</v>
      </c>
      <c r="I816" s="14" t="s">
        <v>5613</v>
      </c>
      <c r="J816" s="14" t="s">
        <v>5614</v>
      </c>
      <c r="K816" s="14" t="s">
        <v>140</v>
      </c>
      <c r="L816" s="14" t="s">
        <v>4424</v>
      </c>
      <c r="M816" s="14" t="s">
        <v>5615</v>
      </c>
      <c r="N816" s="14">
        <v>132.89500000000001</v>
      </c>
      <c r="O816" s="14" t="s">
        <v>5616</v>
      </c>
      <c r="P816" s="14" t="s">
        <v>5617</v>
      </c>
      <c r="Q816" s="14" t="s">
        <v>175</v>
      </c>
      <c r="R816" s="14" t="s">
        <v>5618</v>
      </c>
      <c r="S816" s="14" t="s">
        <v>1167</v>
      </c>
      <c r="T816" s="14" t="s">
        <v>1168</v>
      </c>
      <c r="U816" s="14" t="s">
        <v>528</v>
      </c>
      <c r="V816" s="48">
        <f>SUMIF(Data!$E:$E,$I816,Data!$AI:$AI)</f>
        <v>0</v>
      </c>
    </row>
    <row r="817" spans="1:22" x14ac:dyDescent="0.25">
      <c r="A817" s="47" t="s">
        <v>5416</v>
      </c>
      <c r="B817" s="47" t="s">
        <v>123</v>
      </c>
      <c r="C817" s="47" t="s">
        <v>4647</v>
      </c>
      <c r="D817" s="47">
        <v>0.41933892273278101</v>
      </c>
      <c r="E817" s="48">
        <f>SUMIF(Data!$E:$E,$C817,Data!$AI:$AI)</f>
        <v>0</v>
      </c>
      <c r="I817" s="14" t="s">
        <v>5619</v>
      </c>
      <c r="J817" s="14" t="s">
        <v>5620</v>
      </c>
      <c r="K817" s="14" t="s">
        <v>140</v>
      </c>
      <c r="L817" s="14" t="s">
        <v>4424</v>
      </c>
      <c r="M817" s="14" t="s">
        <v>5621</v>
      </c>
      <c r="N817" s="14">
        <v>49.451999999999998</v>
      </c>
      <c r="O817" s="14" t="s">
        <v>5622</v>
      </c>
      <c r="P817" s="14" t="s">
        <v>5623</v>
      </c>
      <c r="Q817" s="14" t="s">
        <v>419</v>
      </c>
      <c r="R817" s="14" t="s">
        <v>5624</v>
      </c>
      <c r="S817" s="14" t="s">
        <v>195</v>
      </c>
      <c r="T817" s="14" t="s">
        <v>149</v>
      </c>
      <c r="U817" s="14" t="s">
        <v>113</v>
      </c>
      <c r="V817" s="48">
        <f>SUMIF(Data!$E:$E,$I817,Data!$AI:$AI)</f>
        <v>0</v>
      </c>
    </row>
    <row r="818" spans="1:22" x14ac:dyDescent="0.25">
      <c r="A818" s="47" t="s">
        <v>5416</v>
      </c>
      <c r="B818" s="47" t="s">
        <v>123</v>
      </c>
      <c r="C818" s="47" t="s">
        <v>5625</v>
      </c>
      <c r="D818" s="47">
        <v>1.04458925085036</v>
      </c>
      <c r="E818" s="48">
        <f>SUMIF(Data!$E:$E,$C818,Data!$AI:$AI)</f>
        <v>0</v>
      </c>
      <c r="I818" s="14" t="s">
        <v>5626</v>
      </c>
      <c r="J818" s="14" t="s">
        <v>5627</v>
      </c>
      <c r="K818" s="14" t="s">
        <v>140</v>
      </c>
      <c r="L818" s="14" t="s">
        <v>4424</v>
      </c>
      <c r="M818" s="14" t="s">
        <v>5628</v>
      </c>
      <c r="N818" s="14">
        <v>118.84399999999999</v>
      </c>
      <c r="O818" s="14" t="s">
        <v>5629</v>
      </c>
      <c r="P818" s="14" t="s">
        <v>5630</v>
      </c>
      <c r="Q818" s="14" t="s">
        <v>193</v>
      </c>
      <c r="R818" s="14" t="s">
        <v>5631</v>
      </c>
      <c r="S818" s="14" t="s">
        <v>229</v>
      </c>
      <c r="T818" s="14" t="s">
        <v>230</v>
      </c>
      <c r="U818" s="14" t="s">
        <v>231</v>
      </c>
      <c r="V818" s="48">
        <f>SUMIF(Data!$E:$E,$I818,Data!$AI:$AI)</f>
        <v>0</v>
      </c>
    </row>
    <row r="819" spans="1:22" x14ac:dyDescent="0.25">
      <c r="A819" s="47" t="s">
        <v>5416</v>
      </c>
      <c r="B819" s="47" t="s">
        <v>123</v>
      </c>
      <c r="C819" s="47" t="s">
        <v>5632</v>
      </c>
      <c r="D819" s="47">
        <v>1.2449655525958401</v>
      </c>
      <c r="E819" s="48">
        <f>SUMIF(Data!$E:$E,$C819,Data!$AI:$AI)</f>
        <v>0</v>
      </c>
      <c r="I819" s="14" t="s">
        <v>5633</v>
      </c>
      <c r="J819" s="14" t="s">
        <v>5634</v>
      </c>
      <c r="K819" s="14" t="s">
        <v>140</v>
      </c>
      <c r="L819" s="14" t="s">
        <v>4424</v>
      </c>
      <c r="M819" s="14" t="s">
        <v>5635</v>
      </c>
      <c r="N819" s="14">
        <v>92.914000000000001</v>
      </c>
      <c r="O819" s="14" t="s">
        <v>5636</v>
      </c>
      <c r="P819" s="14" t="s">
        <v>5637</v>
      </c>
      <c r="Q819" s="14" t="s">
        <v>165</v>
      </c>
      <c r="R819" s="14" t="s">
        <v>5638</v>
      </c>
      <c r="S819" s="14" t="s">
        <v>479</v>
      </c>
      <c r="T819" s="14" t="s">
        <v>480</v>
      </c>
      <c r="U819" s="14" t="s">
        <v>481</v>
      </c>
      <c r="V819" s="48">
        <f>SUMIF(Data!$E:$E,$I819,Data!$AI:$AI)</f>
        <v>0</v>
      </c>
    </row>
    <row r="820" spans="1:22" x14ac:dyDescent="0.25">
      <c r="A820" s="47" t="s">
        <v>5416</v>
      </c>
      <c r="B820" s="47" t="s">
        <v>123</v>
      </c>
      <c r="C820" s="47" t="s">
        <v>5639</v>
      </c>
      <c r="D820" s="47">
        <v>1.8967575852220799</v>
      </c>
      <c r="E820" s="48">
        <f>SUMIF(Data!$E:$E,$C820,Data!$AI:$AI)</f>
        <v>0</v>
      </c>
      <c r="I820" s="14" t="s">
        <v>5640</v>
      </c>
      <c r="J820" s="14" t="s">
        <v>5641</v>
      </c>
      <c r="K820" s="14" t="s">
        <v>140</v>
      </c>
      <c r="L820" s="14" t="s">
        <v>5642</v>
      </c>
      <c r="M820" s="14" t="s">
        <v>5643</v>
      </c>
      <c r="N820" s="14">
        <v>467.27699999999999</v>
      </c>
      <c r="O820" s="14" t="s">
        <v>5644</v>
      </c>
      <c r="P820" s="14" t="s">
        <v>5645</v>
      </c>
      <c r="Q820" s="14" t="s">
        <v>175</v>
      </c>
      <c r="R820" s="14" t="s">
        <v>5646</v>
      </c>
      <c r="S820" s="14" t="s">
        <v>195</v>
      </c>
      <c r="T820" s="14" t="s">
        <v>149</v>
      </c>
      <c r="U820" s="14" t="s">
        <v>113</v>
      </c>
      <c r="V820" s="48">
        <f>SUMIF(Data!$E:$E,$I820,Data!$AI:$AI)</f>
        <v>0</v>
      </c>
    </row>
    <row r="821" spans="1:22" x14ac:dyDescent="0.25">
      <c r="A821" s="47" t="s">
        <v>5416</v>
      </c>
      <c r="B821" s="47" t="s">
        <v>123</v>
      </c>
      <c r="C821" s="47" t="s">
        <v>5647</v>
      </c>
      <c r="D821" s="47">
        <v>0.21845904291605101</v>
      </c>
      <c r="E821" s="48">
        <f>SUMIF(Data!$E:$E,$C821,Data!$AI:$AI)</f>
        <v>0</v>
      </c>
      <c r="I821" s="14">
        <v>8697</v>
      </c>
      <c r="J821" s="14" t="s">
        <v>5648</v>
      </c>
      <c r="K821" s="14" t="s">
        <v>140</v>
      </c>
      <c r="L821" s="14" t="s">
        <v>5642</v>
      </c>
      <c r="M821" s="14" t="s">
        <v>5649</v>
      </c>
      <c r="N821" s="14">
        <v>333.7</v>
      </c>
      <c r="O821" s="14" t="s">
        <v>5650</v>
      </c>
      <c r="P821" s="14" t="s">
        <v>5651</v>
      </c>
      <c r="Q821" s="14" t="s">
        <v>193</v>
      </c>
      <c r="R821" s="14" t="s">
        <v>5652</v>
      </c>
      <c r="S821" s="14" t="s">
        <v>444</v>
      </c>
      <c r="T821" s="14" t="s">
        <v>445</v>
      </c>
      <c r="U821" s="14" t="s">
        <v>446</v>
      </c>
      <c r="V821" s="48">
        <f>SUMIF(Data!$E:$E,$I821,Data!$AI:$AI)</f>
        <v>0</v>
      </c>
    </row>
    <row r="822" spans="1:22" x14ac:dyDescent="0.25">
      <c r="A822" s="47" t="s">
        <v>5416</v>
      </c>
      <c r="B822" s="47" t="s">
        <v>123</v>
      </c>
      <c r="C822" s="47" t="s">
        <v>4513</v>
      </c>
      <c r="D822" s="47">
        <v>1.1781449138426401</v>
      </c>
      <c r="E822" s="48">
        <f>SUMIF(Data!$E:$E,$C822,Data!$AI:$AI)</f>
        <v>7.5221619812558246E-2</v>
      </c>
      <c r="I822" s="14" t="s">
        <v>5653</v>
      </c>
      <c r="J822" s="14" t="s">
        <v>5654</v>
      </c>
      <c r="K822" s="14" t="s">
        <v>140</v>
      </c>
      <c r="L822" s="14" t="s">
        <v>5642</v>
      </c>
      <c r="M822" s="14" t="s">
        <v>5655</v>
      </c>
      <c r="N822" s="14">
        <v>160.334</v>
      </c>
      <c r="O822" s="14" t="s">
        <v>5656</v>
      </c>
      <c r="P822" s="14" t="s">
        <v>5657</v>
      </c>
      <c r="Q822" s="14" t="s">
        <v>193</v>
      </c>
      <c r="R822" s="14" t="s">
        <v>5658</v>
      </c>
      <c r="S822" s="14" t="s">
        <v>645</v>
      </c>
      <c r="T822" s="14" t="s">
        <v>646</v>
      </c>
      <c r="U822" s="14" t="s">
        <v>528</v>
      </c>
      <c r="V822" s="48">
        <f>SUMIF(Data!$E:$E,$I822,Data!$AI:$AI)</f>
        <v>0</v>
      </c>
    </row>
    <row r="823" spans="1:22" x14ac:dyDescent="0.25">
      <c r="A823" s="47" t="s">
        <v>5416</v>
      </c>
      <c r="B823" s="47" t="s">
        <v>123</v>
      </c>
      <c r="C823" s="47" t="s">
        <v>4570</v>
      </c>
      <c r="D823" s="47">
        <v>1.00533992420092</v>
      </c>
      <c r="E823" s="48">
        <f>SUMIF(Data!$E:$E,$C823,Data!$AI:$AI)</f>
        <v>0.26415097546540911</v>
      </c>
      <c r="I823" s="14" t="s">
        <v>5659</v>
      </c>
      <c r="J823" s="14" t="s">
        <v>5660</v>
      </c>
      <c r="K823" s="14" t="s">
        <v>140</v>
      </c>
      <c r="L823" s="14" t="s">
        <v>5642</v>
      </c>
      <c r="M823" s="14" t="s">
        <v>5661</v>
      </c>
      <c r="N823" s="14">
        <v>208.827</v>
      </c>
      <c r="O823" s="14" t="s">
        <v>5662</v>
      </c>
      <c r="P823" s="14" t="s">
        <v>5663</v>
      </c>
      <c r="Q823" s="14" t="s">
        <v>165</v>
      </c>
      <c r="R823" s="14" t="s">
        <v>5664</v>
      </c>
      <c r="S823" s="14" t="s">
        <v>479</v>
      </c>
      <c r="T823" s="14" t="s">
        <v>480</v>
      </c>
      <c r="U823" s="14" t="s">
        <v>481</v>
      </c>
      <c r="V823" s="48">
        <f>SUMIF(Data!$E:$E,$I823,Data!$AI:$AI)</f>
        <v>0</v>
      </c>
    </row>
    <row r="824" spans="1:22" x14ac:dyDescent="0.25">
      <c r="A824" s="47" t="s">
        <v>5416</v>
      </c>
      <c r="B824" s="47" t="s">
        <v>123</v>
      </c>
      <c r="C824" s="47" t="s">
        <v>5665</v>
      </c>
      <c r="D824" s="47">
        <v>0.927571457047078</v>
      </c>
      <c r="E824" s="48">
        <f>SUMIF(Data!$E:$E,$C824,Data!$AI:$AI)</f>
        <v>0</v>
      </c>
      <c r="I824" s="14" t="s">
        <v>5666</v>
      </c>
      <c r="J824" s="14" t="s">
        <v>5666</v>
      </c>
      <c r="K824" s="14" t="s">
        <v>140</v>
      </c>
      <c r="L824" s="14" t="s">
        <v>5642</v>
      </c>
      <c r="M824" s="14" t="s">
        <v>5667</v>
      </c>
      <c r="N824" s="14">
        <v>308.19400000000002</v>
      </c>
      <c r="O824" s="14" t="s">
        <v>5668</v>
      </c>
      <c r="P824" s="14" t="s">
        <v>5669</v>
      </c>
      <c r="Q824" s="14" t="s">
        <v>419</v>
      </c>
      <c r="R824" s="14" t="s">
        <v>5670</v>
      </c>
      <c r="S824" s="14" t="s">
        <v>2931</v>
      </c>
      <c r="T824" s="14" t="s">
        <v>2932</v>
      </c>
      <c r="U824" s="14" t="s">
        <v>2933</v>
      </c>
      <c r="V824" s="48">
        <f>SUMIF(Data!$E:$E,$I824,Data!$AI:$AI)</f>
        <v>0</v>
      </c>
    </row>
    <row r="825" spans="1:22" x14ac:dyDescent="0.25">
      <c r="A825" s="47" t="s">
        <v>5416</v>
      </c>
      <c r="B825" s="47" t="s">
        <v>123</v>
      </c>
      <c r="C825" s="47" t="s">
        <v>5671</v>
      </c>
      <c r="D825" s="47">
        <v>3.1871780104276999</v>
      </c>
      <c r="E825" s="48">
        <f>SUMIF(Data!$E:$E,$C825,Data!$AI:$AI)</f>
        <v>8.1525305525001854E-2</v>
      </c>
      <c r="I825" s="14" t="s">
        <v>5672</v>
      </c>
      <c r="J825" s="14" t="s">
        <v>5673</v>
      </c>
      <c r="K825" s="14" t="s">
        <v>140</v>
      </c>
      <c r="L825" s="14" t="s">
        <v>5642</v>
      </c>
      <c r="M825" s="14" t="s">
        <v>1214</v>
      </c>
      <c r="N825" s="14" t="s">
        <v>5674</v>
      </c>
      <c r="O825" s="14" t="s">
        <v>5675</v>
      </c>
      <c r="P825" s="14" t="s">
        <v>5676</v>
      </c>
      <c r="Q825" s="14" t="s">
        <v>193</v>
      </c>
      <c r="R825" s="14" t="s">
        <v>5677</v>
      </c>
      <c r="S825" s="14" t="s">
        <v>850</v>
      </c>
      <c r="T825" s="14" t="s">
        <v>851</v>
      </c>
      <c r="U825" s="14" t="s">
        <v>852</v>
      </c>
      <c r="V825" s="48">
        <f>SUMIF(Data!$E:$E,$I825,Data!$AI:$AI)</f>
        <v>0</v>
      </c>
    </row>
    <row r="826" spans="1:22" x14ac:dyDescent="0.25">
      <c r="A826" s="47" t="s">
        <v>5416</v>
      </c>
      <c r="B826" s="47" t="s">
        <v>123</v>
      </c>
      <c r="C826" s="47" t="s">
        <v>5678</v>
      </c>
      <c r="D826" s="47">
        <v>1.2478089467993001</v>
      </c>
      <c r="E826" s="48">
        <f>SUMIF(Data!$E:$E,$C826,Data!$AI:$AI)</f>
        <v>0</v>
      </c>
      <c r="I826" s="14" t="s">
        <v>5679</v>
      </c>
      <c r="J826" s="14" t="s">
        <v>5680</v>
      </c>
      <c r="K826" s="14" t="s">
        <v>140</v>
      </c>
      <c r="L826" s="14" t="s">
        <v>5642</v>
      </c>
      <c r="M826" s="14" t="s">
        <v>5681</v>
      </c>
      <c r="N826" s="14">
        <v>344.95299999999997</v>
      </c>
      <c r="O826" s="14" t="s">
        <v>5682</v>
      </c>
      <c r="P826" s="14" t="s">
        <v>5683</v>
      </c>
      <c r="Q826" s="14" t="s">
        <v>175</v>
      </c>
      <c r="R826" s="14" t="s">
        <v>5684</v>
      </c>
      <c r="S826" s="14" t="s">
        <v>195</v>
      </c>
      <c r="T826" s="14" t="s">
        <v>149</v>
      </c>
      <c r="U826" s="14" t="s">
        <v>113</v>
      </c>
      <c r="V826" s="48">
        <f>SUMIF(Data!$E:$E,$I826,Data!$AI:$AI)</f>
        <v>0</v>
      </c>
    </row>
    <row r="827" spans="1:22" x14ac:dyDescent="0.25">
      <c r="A827" s="47" t="s">
        <v>5416</v>
      </c>
      <c r="B827" s="47" t="s">
        <v>123</v>
      </c>
      <c r="C827" s="47" t="s">
        <v>5685</v>
      </c>
      <c r="D827" s="47">
        <v>1.51657461539186</v>
      </c>
      <c r="E827" s="48">
        <f>SUMIF(Data!$E:$E,$C827,Data!$AI:$AI)</f>
        <v>0</v>
      </c>
      <c r="I827" s="14" t="s">
        <v>5686</v>
      </c>
      <c r="J827" s="14" t="s">
        <v>5687</v>
      </c>
      <c r="K827" s="14" t="s">
        <v>140</v>
      </c>
      <c r="L827" s="14" t="s">
        <v>5642</v>
      </c>
      <c r="M827" s="14" t="s">
        <v>5688</v>
      </c>
      <c r="N827" s="14">
        <v>59.854999999999997</v>
      </c>
      <c r="O827" s="14" t="s">
        <v>5689</v>
      </c>
      <c r="P827" s="14" t="s">
        <v>5690</v>
      </c>
      <c r="Q827" s="14" t="s">
        <v>737</v>
      </c>
      <c r="R827" s="14" t="s">
        <v>5691</v>
      </c>
      <c r="S827" s="14" t="s">
        <v>526</v>
      </c>
      <c r="T827" s="14" t="s">
        <v>527</v>
      </c>
      <c r="U827" s="14" t="s">
        <v>528</v>
      </c>
      <c r="V827" s="48">
        <f>SUMIF(Data!$E:$E,$I827,Data!$AI:$AI)</f>
        <v>0</v>
      </c>
    </row>
    <row r="828" spans="1:22" x14ac:dyDescent="0.25">
      <c r="A828" s="47" t="s">
        <v>5416</v>
      </c>
      <c r="B828" s="47" t="s">
        <v>123</v>
      </c>
      <c r="C828" s="47" t="s">
        <v>5692</v>
      </c>
      <c r="D828" s="47">
        <v>2.3461510148156699</v>
      </c>
      <c r="E828" s="48">
        <f>SUMIF(Data!$E:$E,$C828,Data!$AI:$AI)</f>
        <v>0</v>
      </c>
      <c r="I828" s="14" t="s">
        <v>5693</v>
      </c>
      <c r="J828" s="14" t="s">
        <v>5694</v>
      </c>
      <c r="K828" s="14" t="s">
        <v>140</v>
      </c>
      <c r="L828" s="14" t="s">
        <v>5642</v>
      </c>
      <c r="M828" s="14" t="s">
        <v>5695</v>
      </c>
      <c r="N828" s="14">
        <v>74.524000000000001</v>
      </c>
      <c r="O828" s="14" t="s">
        <v>5696</v>
      </c>
      <c r="P828" s="14" t="s">
        <v>5697</v>
      </c>
      <c r="Q828" s="14" t="s">
        <v>419</v>
      </c>
      <c r="R828" s="14" t="s">
        <v>5698</v>
      </c>
      <c r="S828" s="14" t="s">
        <v>148</v>
      </c>
      <c r="T828" s="14" t="s">
        <v>149</v>
      </c>
      <c r="U828" s="14" t="s">
        <v>113</v>
      </c>
      <c r="V828" s="48">
        <f>SUMIF(Data!$E:$E,$I828,Data!$AI:$AI)</f>
        <v>0</v>
      </c>
    </row>
    <row r="829" spans="1:22" x14ac:dyDescent="0.25">
      <c r="A829" s="47" t="s">
        <v>5416</v>
      </c>
      <c r="B829" s="47" t="s">
        <v>123</v>
      </c>
      <c r="C829" s="47" t="s">
        <v>5699</v>
      </c>
      <c r="D829" s="47">
        <v>3.0893519135424299</v>
      </c>
      <c r="E829" s="48">
        <f>SUMIF(Data!$E:$E,$C829,Data!$AI:$AI)</f>
        <v>0</v>
      </c>
      <c r="I829" s="14" t="s">
        <v>5700</v>
      </c>
      <c r="J829" s="14" t="s">
        <v>5701</v>
      </c>
      <c r="K829" s="14" t="s">
        <v>140</v>
      </c>
      <c r="L829" s="14" t="s">
        <v>5642</v>
      </c>
      <c r="M829" s="14" t="s">
        <v>5702</v>
      </c>
      <c r="N829" s="14">
        <v>163.28299999999999</v>
      </c>
      <c r="O829" s="14" t="s">
        <v>5703</v>
      </c>
      <c r="P829" s="14" t="s">
        <v>5704</v>
      </c>
      <c r="Q829" s="14" t="s">
        <v>211</v>
      </c>
      <c r="R829" s="14" t="s">
        <v>5705</v>
      </c>
      <c r="S829" s="14" t="s">
        <v>1167</v>
      </c>
      <c r="T829" s="14" t="s">
        <v>1168</v>
      </c>
      <c r="U829" s="14" t="s">
        <v>528</v>
      </c>
      <c r="V829" s="48">
        <f>SUMIF(Data!$E:$E,$I829,Data!$AI:$AI)</f>
        <v>0</v>
      </c>
    </row>
    <row r="830" spans="1:22" x14ac:dyDescent="0.25">
      <c r="A830" s="47" t="s">
        <v>5416</v>
      </c>
      <c r="B830" s="47" t="s">
        <v>123</v>
      </c>
      <c r="C830" s="47" t="s">
        <v>5706</v>
      </c>
      <c r="D830" s="47">
        <v>3.0962011128962099</v>
      </c>
      <c r="E830" s="48">
        <f>SUMIF(Data!$E:$E,$C830,Data!$AI:$AI)</f>
        <v>0.61622234783355101</v>
      </c>
      <c r="I830" s="14">
        <v>66</v>
      </c>
      <c r="J830" s="14" t="s">
        <v>5707</v>
      </c>
      <c r="K830" s="14" t="s">
        <v>140</v>
      </c>
      <c r="L830" s="14" t="s">
        <v>5642</v>
      </c>
      <c r="M830" s="14" t="s">
        <v>5708</v>
      </c>
      <c r="N830" s="14">
        <v>995</v>
      </c>
      <c r="O830" s="14" t="s">
        <v>5709</v>
      </c>
      <c r="P830" s="14" t="s">
        <v>5710</v>
      </c>
      <c r="Q830" s="14" t="s">
        <v>419</v>
      </c>
      <c r="R830" s="14" t="s">
        <v>5711</v>
      </c>
      <c r="S830" s="14" t="s">
        <v>552</v>
      </c>
      <c r="T830" s="14" t="s">
        <v>553</v>
      </c>
      <c r="U830" s="14" t="s">
        <v>554</v>
      </c>
      <c r="V830" s="48">
        <f>SUMIF(Data!$E:$E,$I830,Data!$AI:$AI)</f>
        <v>0</v>
      </c>
    </row>
    <row r="831" spans="1:22" x14ac:dyDescent="0.25">
      <c r="A831" s="47" t="s">
        <v>5416</v>
      </c>
      <c r="B831" s="47" t="s">
        <v>123</v>
      </c>
      <c r="C831" s="47" t="s">
        <v>5712</v>
      </c>
      <c r="D831" s="47">
        <v>1.3037948028557</v>
      </c>
      <c r="E831" s="48">
        <f>SUMIF(Data!$E:$E,$C831,Data!$AI:$AI)</f>
        <v>0</v>
      </c>
      <c r="I831" s="14" t="s">
        <v>5713</v>
      </c>
      <c r="J831" s="14" t="s">
        <v>5714</v>
      </c>
      <c r="K831" s="14" t="s">
        <v>140</v>
      </c>
      <c r="L831" s="14" t="s">
        <v>5642</v>
      </c>
      <c r="M831" s="14" t="s">
        <v>5715</v>
      </c>
      <c r="N831" s="14">
        <v>96.593999999999994</v>
      </c>
      <c r="O831" s="14" t="s">
        <v>5716</v>
      </c>
      <c r="P831" s="14" t="s">
        <v>5717</v>
      </c>
      <c r="Q831" s="14" t="s">
        <v>419</v>
      </c>
      <c r="R831" s="14" t="s">
        <v>5718</v>
      </c>
      <c r="S831" s="14" t="s">
        <v>645</v>
      </c>
      <c r="T831" s="14" t="s">
        <v>646</v>
      </c>
      <c r="U831" s="14" t="s">
        <v>528</v>
      </c>
      <c r="V831" s="48">
        <f>SUMIF(Data!$E:$E,$I831,Data!$AI:$AI)</f>
        <v>0</v>
      </c>
    </row>
    <row r="832" spans="1:22" x14ac:dyDescent="0.25">
      <c r="A832" s="47" t="s">
        <v>5416</v>
      </c>
      <c r="B832" s="47" t="s">
        <v>123</v>
      </c>
      <c r="C832" s="47" t="s">
        <v>5719</v>
      </c>
      <c r="D832" s="47">
        <v>1.57307040577278</v>
      </c>
      <c r="E832" s="48">
        <f>SUMIF(Data!$E:$E,$C832,Data!$AI:$AI)</f>
        <v>0.1498021462744413</v>
      </c>
      <c r="I832" s="14" t="s">
        <v>5720</v>
      </c>
      <c r="J832" s="14" t="s">
        <v>5721</v>
      </c>
      <c r="K832" s="14" t="s">
        <v>140</v>
      </c>
      <c r="L832" s="14" t="s">
        <v>5642</v>
      </c>
      <c r="M832" s="14" t="s">
        <v>3727</v>
      </c>
      <c r="N832" s="14">
        <v>40.762999999999998</v>
      </c>
      <c r="O832" s="14" t="s">
        <v>5722</v>
      </c>
      <c r="P832" s="14" t="s">
        <v>5723</v>
      </c>
      <c r="Q832" s="14" t="s">
        <v>146</v>
      </c>
      <c r="R832" s="14" t="s">
        <v>5724</v>
      </c>
      <c r="S832" s="14" t="s">
        <v>148</v>
      </c>
      <c r="T832" s="14" t="s">
        <v>149</v>
      </c>
      <c r="U832" s="14" t="s">
        <v>113</v>
      </c>
      <c r="V832" s="48">
        <f>SUMIF(Data!$E:$E,$I832,Data!$AI:$AI)</f>
        <v>0</v>
      </c>
    </row>
    <row r="833" spans="1:22" x14ac:dyDescent="0.25">
      <c r="A833" s="47" t="s">
        <v>5416</v>
      </c>
      <c r="B833" s="47" t="s">
        <v>123</v>
      </c>
      <c r="C833" s="47" t="s">
        <v>5725</v>
      </c>
      <c r="D833" s="47">
        <v>1.00825992948652</v>
      </c>
      <c r="E833" s="48">
        <f>SUMIF(Data!$E:$E,$C833,Data!$AI:$AI)</f>
        <v>0</v>
      </c>
      <c r="I833" s="14" t="s">
        <v>5726</v>
      </c>
      <c r="J833" s="14" t="s">
        <v>5727</v>
      </c>
      <c r="K833" s="14" t="s">
        <v>140</v>
      </c>
      <c r="L833" s="14" t="s">
        <v>5642</v>
      </c>
      <c r="M833" s="14" t="s">
        <v>5728</v>
      </c>
      <c r="N833" s="14">
        <v>844.61400000000003</v>
      </c>
      <c r="O833" s="14" t="s">
        <v>5729</v>
      </c>
      <c r="P833" s="14" t="s">
        <v>5730</v>
      </c>
      <c r="Q833" s="14" t="s">
        <v>175</v>
      </c>
      <c r="R833" s="14" t="s">
        <v>5731</v>
      </c>
      <c r="S833" s="14" t="s">
        <v>148</v>
      </c>
      <c r="T833" s="14" t="s">
        <v>149</v>
      </c>
      <c r="U833" s="14" t="s">
        <v>113</v>
      </c>
      <c r="V833" s="48">
        <f>SUMIF(Data!$E:$E,$I833,Data!$AI:$AI)</f>
        <v>0</v>
      </c>
    </row>
    <row r="834" spans="1:22" x14ac:dyDescent="0.25">
      <c r="A834" s="47" t="s">
        <v>5416</v>
      </c>
      <c r="B834" s="47" t="s">
        <v>123</v>
      </c>
      <c r="C834" s="47" t="s">
        <v>5732</v>
      </c>
      <c r="D834" s="47">
        <v>1.1810357140515499</v>
      </c>
      <c r="E834" s="48">
        <f>SUMIF(Data!$E:$E,$C834,Data!$AI:$AI)</f>
        <v>0</v>
      </c>
      <c r="I834" s="14" t="s">
        <v>5733</v>
      </c>
      <c r="J834" s="14" t="s">
        <v>5734</v>
      </c>
      <c r="K834" s="14" t="s">
        <v>140</v>
      </c>
      <c r="L834" s="14" t="s">
        <v>5642</v>
      </c>
      <c r="M834" s="14" t="s">
        <v>5735</v>
      </c>
      <c r="N834" s="14">
        <v>824.09699999999998</v>
      </c>
      <c r="O834" s="14" t="s">
        <v>5736</v>
      </c>
      <c r="P834" s="14" t="s">
        <v>5737</v>
      </c>
      <c r="Q834" s="14" t="s">
        <v>193</v>
      </c>
      <c r="R834" s="14" t="s">
        <v>5738</v>
      </c>
      <c r="S834" s="14" t="s">
        <v>5739</v>
      </c>
      <c r="T834" s="14" t="s">
        <v>4834</v>
      </c>
      <c r="U834" s="14" t="s">
        <v>5740</v>
      </c>
      <c r="V834" s="48">
        <f>SUMIF(Data!$E:$E,$I834,Data!$AI:$AI)</f>
        <v>0</v>
      </c>
    </row>
    <row r="835" spans="1:22" x14ac:dyDescent="0.25">
      <c r="A835" s="47" t="s">
        <v>5416</v>
      </c>
      <c r="B835" s="47" t="s">
        <v>123</v>
      </c>
      <c r="C835" s="47" t="s">
        <v>5741</v>
      </c>
      <c r="D835" s="47">
        <v>1.44522530118871</v>
      </c>
      <c r="E835" s="48">
        <f>SUMIF(Data!$E:$E,$C835,Data!$AI:$AI)</f>
        <v>0</v>
      </c>
      <c r="I835" s="14" t="s">
        <v>5742</v>
      </c>
      <c r="J835" s="14" t="s">
        <v>5743</v>
      </c>
      <c r="K835" s="14" t="s">
        <v>140</v>
      </c>
      <c r="L835" s="14" t="s">
        <v>5642</v>
      </c>
      <c r="M835" s="14" t="s">
        <v>5744</v>
      </c>
      <c r="N835" s="14">
        <v>142.29</v>
      </c>
      <c r="O835" s="14" t="s">
        <v>5745</v>
      </c>
      <c r="P835" s="14" t="s">
        <v>5746</v>
      </c>
      <c r="Q835" s="14" t="s">
        <v>227</v>
      </c>
      <c r="R835" s="14" t="s">
        <v>5747</v>
      </c>
      <c r="S835" s="14" t="s">
        <v>728</v>
      </c>
      <c r="T835" s="14" t="s">
        <v>729</v>
      </c>
      <c r="U835" s="14" t="s">
        <v>730</v>
      </c>
      <c r="V835" s="48">
        <f>SUMIF(Data!$E:$E,$I835,Data!$AI:$AI)</f>
        <v>0</v>
      </c>
    </row>
    <row r="836" spans="1:22" x14ac:dyDescent="0.25">
      <c r="A836" s="47" t="s">
        <v>5416</v>
      </c>
      <c r="B836" s="47" t="s">
        <v>123</v>
      </c>
      <c r="C836" s="47" t="s">
        <v>5748</v>
      </c>
      <c r="D836" s="47">
        <v>0.27091555280357199</v>
      </c>
      <c r="E836" s="48">
        <f>SUMIF(Data!$E:$E,$C836,Data!$AI:$AI)</f>
        <v>0</v>
      </c>
      <c r="I836" s="14" t="s">
        <v>5749</v>
      </c>
      <c r="J836" s="14" t="s">
        <v>5750</v>
      </c>
      <c r="K836" s="14" t="s">
        <v>140</v>
      </c>
      <c r="L836" s="14" t="s">
        <v>5642</v>
      </c>
      <c r="M836" s="14" t="s">
        <v>5751</v>
      </c>
      <c r="N836" s="14">
        <v>45.764000000000003</v>
      </c>
      <c r="O836" s="14" t="s">
        <v>5752</v>
      </c>
      <c r="P836" s="14" t="s">
        <v>5753</v>
      </c>
      <c r="Q836" s="14" t="s">
        <v>737</v>
      </c>
      <c r="R836" s="14" t="s">
        <v>5754</v>
      </c>
      <c r="S836" s="14" t="s">
        <v>195</v>
      </c>
      <c r="T836" s="14" t="s">
        <v>149</v>
      </c>
      <c r="U836" s="14" t="s">
        <v>113</v>
      </c>
      <c r="V836" s="48">
        <f>SUMIF(Data!$E:$E,$I836,Data!$AI:$AI)</f>
        <v>0</v>
      </c>
    </row>
    <row r="837" spans="1:22" x14ac:dyDescent="0.25">
      <c r="A837" s="47" t="s">
        <v>5416</v>
      </c>
      <c r="B837" s="47" t="s">
        <v>123</v>
      </c>
      <c r="C837" s="47" t="s">
        <v>5755</v>
      </c>
      <c r="D837" s="47">
        <v>3.1744676159321998</v>
      </c>
      <c r="E837" s="48">
        <f>SUMIF(Data!$E:$E,$C837,Data!$AI:$AI)</f>
        <v>0.32250109258134818</v>
      </c>
      <c r="I837" s="14" t="s">
        <v>5756</v>
      </c>
      <c r="J837" s="14" t="s">
        <v>5757</v>
      </c>
      <c r="K837" s="14" t="s">
        <v>140</v>
      </c>
      <c r="L837" s="14" t="s">
        <v>5642</v>
      </c>
      <c r="M837" s="14" t="s">
        <v>5758</v>
      </c>
      <c r="N837" s="14">
        <v>39.462000000000003</v>
      </c>
      <c r="O837" s="14" t="s">
        <v>5759</v>
      </c>
      <c r="P837" s="14" t="s">
        <v>5760</v>
      </c>
      <c r="Q837" s="14" t="s">
        <v>165</v>
      </c>
      <c r="R837" s="14" t="s">
        <v>5761</v>
      </c>
      <c r="S837" s="14" t="s">
        <v>195</v>
      </c>
      <c r="T837" s="14" t="s">
        <v>149</v>
      </c>
      <c r="U837" s="14" t="s">
        <v>113</v>
      </c>
      <c r="V837" s="48">
        <f>SUMIF(Data!$E:$E,$I837,Data!$AI:$AI)</f>
        <v>0</v>
      </c>
    </row>
    <row r="838" spans="1:22" x14ac:dyDescent="0.25">
      <c r="A838" s="47" t="s">
        <v>5416</v>
      </c>
      <c r="B838" s="47" t="s">
        <v>123</v>
      </c>
      <c r="C838" s="47" t="s">
        <v>5762</v>
      </c>
      <c r="D838" s="47">
        <v>1.64248649738611</v>
      </c>
      <c r="E838" s="48">
        <f>SUMIF(Data!$E:$E,$C838,Data!$AI:$AI)</f>
        <v>2.7182358068629005E-2</v>
      </c>
      <c r="I838" s="14" t="s">
        <v>5763</v>
      </c>
      <c r="J838" s="14" t="s">
        <v>5764</v>
      </c>
      <c r="K838" s="14" t="s">
        <v>140</v>
      </c>
      <c r="L838" s="14" t="s">
        <v>5642</v>
      </c>
      <c r="M838" s="14" t="s">
        <v>5765</v>
      </c>
      <c r="N838" s="14">
        <v>172.16900000000001</v>
      </c>
      <c r="O838" s="14" t="s">
        <v>5766</v>
      </c>
      <c r="P838" s="14" t="s">
        <v>5767</v>
      </c>
      <c r="Q838" s="14" t="s">
        <v>165</v>
      </c>
      <c r="R838" s="14" t="s">
        <v>5768</v>
      </c>
      <c r="S838" s="14" t="s">
        <v>148</v>
      </c>
      <c r="T838" s="14" t="s">
        <v>149</v>
      </c>
      <c r="U838" s="14" t="s">
        <v>113</v>
      </c>
      <c r="V838" s="48">
        <f>SUMIF(Data!$E:$E,$I838,Data!$AI:$AI)</f>
        <v>0</v>
      </c>
    </row>
    <row r="839" spans="1:22" x14ac:dyDescent="0.25">
      <c r="A839" s="47" t="s">
        <v>5416</v>
      </c>
      <c r="B839" s="47" t="s">
        <v>123</v>
      </c>
      <c r="C839" s="47" t="s">
        <v>5769</v>
      </c>
      <c r="D839" s="47">
        <v>0.94628491311566099</v>
      </c>
      <c r="E839" s="48">
        <f>SUMIF(Data!$E:$E,$C839,Data!$AI:$AI)</f>
        <v>0</v>
      </c>
      <c r="I839" s="14" t="s">
        <v>5770</v>
      </c>
      <c r="J839" s="14" t="s">
        <v>5771</v>
      </c>
      <c r="K839" s="14" t="s">
        <v>140</v>
      </c>
      <c r="L839" s="14" t="s">
        <v>5642</v>
      </c>
      <c r="M839" s="14" t="s">
        <v>5772</v>
      </c>
      <c r="N839" s="14">
        <v>534.72400000000005</v>
      </c>
      <c r="O839" s="14" t="s">
        <v>5773</v>
      </c>
      <c r="P839" s="14" t="s">
        <v>5774</v>
      </c>
      <c r="Q839" s="14" t="s">
        <v>419</v>
      </c>
      <c r="R839" s="14" t="s">
        <v>5775</v>
      </c>
      <c r="S839" s="14" t="s">
        <v>1130</v>
      </c>
      <c r="T839" s="14" t="s">
        <v>1131</v>
      </c>
      <c r="U839" s="14" t="s">
        <v>528</v>
      </c>
      <c r="V839" s="48">
        <f>SUMIF(Data!$E:$E,$I839,Data!$AI:$AI)</f>
        <v>0</v>
      </c>
    </row>
    <row r="840" spans="1:22" x14ac:dyDescent="0.25">
      <c r="A840" s="47" t="s">
        <v>5416</v>
      </c>
      <c r="B840" s="47" t="s">
        <v>123</v>
      </c>
      <c r="C840" s="47" t="s">
        <v>4456</v>
      </c>
      <c r="D840" s="47">
        <v>2.2545229088040801</v>
      </c>
      <c r="E840" s="48">
        <f>SUMIF(Data!$E:$E,$C840,Data!$AI:$AI)</f>
        <v>0</v>
      </c>
      <c r="I840" s="14" t="s">
        <v>5776</v>
      </c>
      <c r="J840" s="14" t="s">
        <v>5777</v>
      </c>
      <c r="K840" s="14" t="s">
        <v>140</v>
      </c>
      <c r="L840" s="14" t="s">
        <v>5642</v>
      </c>
      <c r="M840" s="14" t="s">
        <v>5778</v>
      </c>
      <c r="N840" s="14">
        <v>20.221</v>
      </c>
      <c r="O840" s="14" t="s">
        <v>5779</v>
      </c>
      <c r="P840" s="14" t="s">
        <v>5780</v>
      </c>
      <c r="Q840" s="14" t="s">
        <v>165</v>
      </c>
      <c r="R840" s="14" t="s">
        <v>5781</v>
      </c>
      <c r="S840" s="14" t="s">
        <v>195</v>
      </c>
      <c r="T840" s="14" t="s">
        <v>149</v>
      </c>
      <c r="U840" s="14" t="s">
        <v>113</v>
      </c>
      <c r="V840" s="48">
        <f>SUMIF(Data!$E:$E,$I840,Data!$AI:$AI)</f>
        <v>0</v>
      </c>
    </row>
    <row r="841" spans="1:22" x14ac:dyDescent="0.25">
      <c r="A841" s="47" t="s">
        <v>5416</v>
      </c>
      <c r="B841" s="47" t="s">
        <v>123</v>
      </c>
      <c r="C841" s="47" t="s">
        <v>5782</v>
      </c>
      <c r="D841" s="47">
        <v>0.81054236085768905</v>
      </c>
      <c r="E841" s="48">
        <f>SUMIF(Data!$E:$E,$C841,Data!$AI:$AI)</f>
        <v>0</v>
      </c>
      <c r="I841" s="14" t="s">
        <v>5783</v>
      </c>
      <c r="J841" s="14" t="s">
        <v>5784</v>
      </c>
      <c r="K841" s="14" t="s">
        <v>140</v>
      </c>
      <c r="L841" s="14" t="s">
        <v>5642</v>
      </c>
      <c r="M841" s="14" t="s">
        <v>5785</v>
      </c>
      <c r="N841" s="14">
        <v>45.488999999999997</v>
      </c>
      <c r="O841" s="14" t="s">
        <v>5786</v>
      </c>
      <c r="P841" s="14" t="s">
        <v>5787</v>
      </c>
      <c r="Q841" s="14" t="s">
        <v>175</v>
      </c>
      <c r="R841" s="14" t="s">
        <v>5788</v>
      </c>
      <c r="S841" s="14" t="s">
        <v>148</v>
      </c>
      <c r="T841" s="14" t="s">
        <v>149</v>
      </c>
      <c r="U841" s="14" t="s">
        <v>113</v>
      </c>
      <c r="V841" s="48">
        <f>SUMIF(Data!$E:$E,$I841,Data!$AI:$AI)</f>
        <v>0</v>
      </c>
    </row>
    <row r="842" spans="1:22" x14ac:dyDescent="0.25">
      <c r="A842" s="47" t="s">
        <v>5416</v>
      </c>
      <c r="B842" s="47" t="s">
        <v>123</v>
      </c>
      <c r="C842" s="47" t="s">
        <v>1780</v>
      </c>
      <c r="D842" s="47">
        <v>1.95572380576686</v>
      </c>
      <c r="E842" s="48">
        <f>SUMIF(Data!$E:$E,$C842,Data!$AI:$AI)</f>
        <v>0</v>
      </c>
      <c r="I842" s="14" t="s">
        <v>5789</v>
      </c>
      <c r="J842" s="14" t="s">
        <v>5790</v>
      </c>
      <c r="K842" s="14" t="s">
        <v>140</v>
      </c>
      <c r="L842" s="14" t="s">
        <v>5642</v>
      </c>
      <c r="M842" s="14" t="s">
        <v>5791</v>
      </c>
      <c r="N842" s="14">
        <v>530.28499999999997</v>
      </c>
      <c r="O842" s="14" t="s">
        <v>5792</v>
      </c>
      <c r="P842" s="14" t="s">
        <v>5793</v>
      </c>
      <c r="Q842" s="14" t="s">
        <v>193</v>
      </c>
      <c r="R842" s="14" t="s">
        <v>5794</v>
      </c>
      <c r="S842" s="14" t="s">
        <v>1130</v>
      </c>
      <c r="T842" s="14" t="s">
        <v>1131</v>
      </c>
      <c r="U842" s="14" t="s">
        <v>528</v>
      </c>
      <c r="V842" s="48">
        <f>SUMIF(Data!$E:$E,$I842,Data!$AI:$AI)</f>
        <v>0</v>
      </c>
    </row>
    <row r="843" spans="1:22" x14ac:dyDescent="0.25">
      <c r="A843" s="47" t="s">
        <v>5416</v>
      </c>
      <c r="B843" s="47" t="s">
        <v>123</v>
      </c>
      <c r="C843" s="47" t="s">
        <v>5795</v>
      </c>
      <c r="D843" s="47">
        <v>0.199922990245681</v>
      </c>
      <c r="E843" s="48">
        <f>SUMIF(Data!$E:$E,$C843,Data!$AI:$AI)</f>
        <v>0</v>
      </c>
      <c r="I843" s="14" t="s">
        <v>5796</v>
      </c>
      <c r="J843" s="14" t="s">
        <v>5797</v>
      </c>
      <c r="K843" s="14" t="s">
        <v>140</v>
      </c>
      <c r="L843" s="14" t="s">
        <v>5642</v>
      </c>
      <c r="M843" s="14" t="s">
        <v>5798</v>
      </c>
      <c r="N843" s="14">
        <v>55.747</v>
      </c>
      <c r="O843" s="14" t="s">
        <v>5799</v>
      </c>
      <c r="P843" s="14" t="s">
        <v>5800</v>
      </c>
      <c r="Q843" s="14" t="s">
        <v>227</v>
      </c>
      <c r="R843" s="14" t="s">
        <v>5801</v>
      </c>
      <c r="S843" s="14" t="s">
        <v>195</v>
      </c>
      <c r="T843" s="14" t="s">
        <v>149</v>
      </c>
      <c r="U843" s="14" t="s">
        <v>113</v>
      </c>
      <c r="V843" s="48">
        <f>SUMIF(Data!$E:$E,$I843,Data!$AI:$AI)</f>
        <v>0</v>
      </c>
    </row>
    <row r="844" spans="1:22" x14ac:dyDescent="0.25">
      <c r="A844" s="47" t="s">
        <v>5416</v>
      </c>
      <c r="B844" s="47" t="s">
        <v>123</v>
      </c>
      <c r="C844" s="47" t="s">
        <v>5802</v>
      </c>
      <c r="D844" s="47">
        <v>0.352341080947006</v>
      </c>
      <c r="E844" s="48">
        <f>SUMIF(Data!$E:$E,$C844,Data!$AI:$AI)</f>
        <v>0</v>
      </c>
      <c r="I844" s="14" t="s">
        <v>5803</v>
      </c>
      <c r="J844" s="14" t="s">
        <v>5804</v>
      </c>
      <c r="K844" s="14" t="s">
        <v>140</v>
      </c>
      <c r="L844" s="14" t="s">
        <v>5642</v>
      </c>
      <c r="M844" s="14" t="s">
        <v>5805</v>
      </c>
      <c r="N844" s="14">
        <v>358.601</v>
      </c>
      <c r="O844" s="14" t="s">
        <v>5806</v>
      </c>
      <c r="P844" s="14" t="s">
        <v>5807</v>
      </c>
      <c r="Q844" s="14" t="s">
        <v>193</v>
      </c>
      <c r="R844" s="14" t="s">
        <v>5808</v>
      </c>
      <c r="S844" s="14" t="s">
        <v>771</v>
      </c>
      <c r="T844" s="14" t="s">
        <v>772</v>
      </c>
      <c r="U844" s="14" t="s">
        <v>773</v>
      </c>
      <c r="V844" s="48">
        <f>SUMIF(Data!$E:$E,$I844,Data!$AI:$AI)</f>
        <v>0</v>
      </c>
    </row>
    <row r="845" spans="1:22" x14ac:dyDescent="0.25">
      <c r="A845" s="47" t="s">
        <v>5416</v>
      </c>
      <c r="B845" s="47" t="s">
        <v>123</v>
      </c>
      <c r="C845" s="47" t="s">
        <v>5809</v>
      </c>
      <c r="D845" s="47">
        <v>1.0432400453637101</v>
      </c>
      <c r="E845" s="48">
        <f>SUMIF(Data!$E:$E,$C845,Data!$AI:$AI)</f>
        <v>0</v>
      </c>
      <c r="I845" s="14" t="s">
        <v>5810</v>
      </c>
      <c r="J845" s="14" t="s">
        <v>5811</v>
      </c>
      <c r="K845" s="14" t="s">
        <v>140</v>
      </c>
      <c r="L845" s="14" t="s">
        <v>5642</v>
      </c>
      <c r="M845" s="14" t="s">
        <v>5812</v>
      </c>
      <c r="N845" s="14">
        <v>23.611999999999998</v>
      </c>
      <c r="O845" s="14" t="s">
        <v>5813</v>
      </c>
      <c r="P845" s="14" t="s">
        <v>5814</v>
      </c>
      <c r="Q845" s="14" t="s">
        <v>146</v>
      </c>
      <c r="R845" s="14" t="s">
        <v>5815</v>
      </c>
      <c r="S845" s="14" t="s">
        <v>148</v>
      </c>
      <c r="T845" s="14" t="s">
        <v>149</v>
      </c>
      <c r="U845" s="14" t="s">
        <v>113</v>
      </c>
      <c r="V845" s="48">
        <f>SUMIF(Data!$E:$E,$I845,Data!$AI:$AI)</f>
        <v>0</v>
      </c>
    </row>
    <row r="846" spans="1:22" x14ac:dyDescent="0.25">
      <c r="A846" s="47" t="s">
        <v>5416</v>
      </c>
      <c r="B846" s="47" t="s">
        <v>123</v>
      </c>
      <c r="C846" s="47" t="s">
        <v>5816</v>
      </c>
      <c r="D846" s="47">
        <v>1.56776434273849</v>
      </c>
      <c r="E846" s="48">
        <f>SUMIF(Data!$E:$E,$C846,Data!$AI:$AI)</f>
        <v>0</v>
      </c>
      <c r="I846" s="14" t="s">
        <v>5817</v>
      </c>
      <c r="J846" s="14" t="s">
        <v>5818</v>
      </c>
      <c r="K846" s="14" t="s">
        <v>140</v>
      </c>
      <c r="L846" s="14" t="s">
        <v>5642</v>
      </c>
      <c r="M846" s="14" t="s">
        <v>5819</v>
      </c>
      <c r="N846" s="14">
        <v>350.28899999999999</v>
      </c>
      <c r="O846" s="14" t="s">
        <v>5820</v>
      </c>
      <c r="P846" s="14" t="s">
        <v>5821</v>
      </c>
      <c r="Q846" s="14" t="s">
        <v>737</v>
      </c>
      <c r="R846" s="14" t="s">
        <v>5822</v>
      </c>
      <c r="S846" s="14" t="s">
        <v>645</v>
      </c>
      <c r="T846" s="14" t="s">
        <v>564</v>
      </c>
      <c r="U846" s="14" t="s">
        <v>528</v>
      </c>
      <c r="V846" s="48">
        <f>SUMIF(Data!$E:$E,$I846,Data!$AI:$AI)</f>
        <v>0</v>
      </c>
    </row>
    <row r="847" spans="1:22" x14ac:dyDescent="0.25">
      <c r="A847" s="47" t="s">
        <v>5416</v>
      </c>
      <c r="B847" s="47" t="s">
        <v>123</v>
      </c>
      <c r="C847" s="47" t="s">
        <v>5823</v>
      </c>
      <c r="D847" s="47">
        <v>1.22186221607569</v>
      </c>
      <c r="E847" s="48">
        <f>SUMIF(Data!$E:$E,$C847,Data!$AI:$AI)</f>
        <v>0</v>
      </c>
      <c r="I847" s="14" t="s">
        <v>5824</v>
      </c>
      <c r="J847" s="14" t="s">
        <v>5825</v>
      </c>
      <c r="K847" s="14" t="s">
        <v>140</v>
      </c>
      <c r="L847" s="14" t="s">
        <v>5642</v>
      </c>
      <c r="M847" s="14" t="s">
        <v>5826</v>
      </c>
      <c r="N847" s="14">
        <v>57.061</v>
      </c>
      <c r="O847" s="14" t="s">
        <v>5827</v>
      </c>
      <c r="P847" s="14" t="s">
        <v>5828</v>
      </c>
      <c r="Q847" s="14" t="s">
        <v>165</v>
      </c>
      <c r="R847" s="14" t="s">
        <v>5829</v>
      </c>
      <c r="S847" s="14" t="s">
        <v>148</v>
      </c>
      <c r="T847" s="14" t="s">
        <v>149</v>
      </c>
      <c r="U847" s="14" t="s">
        <v>113</v>
      </c>
      <c r="V847" s="48">
        <f>SUMIF(Data!$E:$E,$I847,Data!$AI:$AI)</f>
        <v>0</v>
      </c>
    </row>
    <row r="848" spans="1:22" x14ac:dyDescent="0.25">
      <c r="A848" s="47" t="s">
        <v>5416</v>
      </c>
      <c r="B848" s="47" t="s">
        <v>123</v>
      </c>
      <c r="C848" s="47" t="s">
        <v>5830</v>
      </c>
      <c r="D848" s="47">
        <v>0.47929317437307201</v>
      </c>
      <c r="E848" s="48">
        <f>SUMIF(Data!$E:$E,$C848,Data!$AI:$AI)</f>
        <v>0</v>
      </c>
      <c r="I848" s="14">
        <v>8002</v>
      </c>
      <c r="J848" s="14" t="s">
        <v>5831</v>
      </c>
      <c r="K848" s="14" t="s">
        <v>140</v>
      </c>
      <c r="L848" s="14" t="s">
        <v>5642</v>
      </c>
      <c r="M848" s="14" t="s">
        <v>5832</v>
      </c>
      <c r="N848" s="14">
        <v>773.03200000000004</v>
      </c>
      <c r="O848" s="14" t="s">
        <v>5833</v>
      </c>
      <c r="P848" s="14" t="s">
        <v>5834</v>
      </c>
      <c r="Q848" s="14" t="s">
        <v>419</v>
      </c>
      <c r="R848" s="14" t="s">
        <v>5835</v>
      </c>
      <c r="S848" s="14" t="s">
        <v>444</v>
      </c>
      <c r="T848" s="14" t="s">
        <v>445</v>
      </c>
      <c r="U848" s="14" t="s">
        <v>446</v>
      </c>
      <c r="V848" s="48">
        <f>SUMIF(Data!$E:$E,$I848,Data!$AI:$AI)</f>
        <v>0</v>
      </c>
    </row>
    <row r="849" spans="1:22" ht="15.75" thickBot="1" x14ac:dyDescent="0.3">
      <c r="A849" s="47" t="s">
        <v>5416</v>
      </c>
      <c r="B849" s="47" t="s">
        <v>123</v>
      </c>
      <c r="C849" s="47" t="s">
        <v>5836</v>
      </c>
      <c r="D849" s="47">
        <v>0.77842809357693099</v>
      </c>
      <c r="E849" s="48">
        <f>SUMIF(Data!$E:$E,$C849,Data!$AI:$AI)</f>
        <v>0</v>
      </c>
      <c r="I849" s="14" t="s">
        <v>5837</v>
      </c>
      <c r="J849" s="14" t="s">
        <v>5838</v>
      </c>
      <c r="K849" s="14" t="s">
        <v>140</v>
      </c>
      <c r="L849" s="14" t="s">
        <v>5642</v>
      </c>
      <c r="M849" s="14" t="s">
        <v>5839</v>
      </c>
      <c r="N849" s="14">
        <v>77.135000000000005</v>
      </c>
      <c r="O849" s="14" t="s">
        <v>5840</v>
      </c>
      <c r="P849" s="14" t="s">
        <v>5841</v>
      </c>
      <c r="Q849" s="14" t="s">
        <v>419</v>
      </c>
      <c r="R849" s="14" t="s">
        <v>5842</v>
      </c>
      <c r="S849" s="14" t="s">
        <v>479</v>
      </c>
      <c r="T849" s="14" t="s">
        <v>480</v>
      </c>
      <c r="U849" s="14" t="s">
        <v>481</v>
      </c>
      <c r="V849" s="48">
        <f>SUMIF(Data!$E:$E,$I849,Data!$AI:$AI)</f>
        <v>0</v>
      </c>
    </row>
    <row r="850" spans="1:22" ht="15.75" x14ac:dyDescent="0.3">
      <c r="A850" s="51" t="s">
        <v>5843</v>
      </c>
      <c r="B850" s="52" t="s">
        <v>123</v>
      </c>
      <c r="C850" s="53" t="s">
        <v>5026</v>
      </c>
      <c r="D850" s="54">
        <v>1.637796E-2</v>
      </c>
      <c r="E850" s="48">
        <f>SUMIF(Data!$E:$E,$C850,Data!$AI:$AI)</f>
        <v>0</v>
      </c>
      <c r="G850" s="14" t="s">
        <v>5844</v>
      </c>
      <c r="H850" s="14" t="s">
        <v>5845</v>
      </c>
      <c r="I850" s="14" t="s">
        <v>5846</v>
      </c>
      <c r="J850" s="14" t="s">
        <v>5847</v>
      </c>
      <c r="K850" s="14" t="s">
        <v>140</v>
      </c>
      <c r="L850" s="14" t="s">
        <v>5642</v>
      </c>
      <c r="M850" s="14" t="s">
        <v>5848</v>
      </c>
      <c r="N850" s="14">
        <v>290.61700000000002</v>
      </c>
      <c r="O850" s="14" t="s">
        <v>5849</v>
      </c>
      <c r="P850" s="14" t="s">
        <v>5850</v>
      </c>
      <c r="Q850" s="14" t="s">
        <v>175</v>
      </c>
      <c r="R850" s="14" t="s">
        <v>5851</v>
      </c>
      <c r="S850" s="14" t="s">
        <v>148</v>
      </c>
      <c r="T850" s="14" t="s">
        <v>149</v>
      </c>
      <c r="U850" s="14" t="s">
        <v>113</v>
      </c>
      <c r="V850" s="48">
        <f>SUMIF(Data!$E:$E,$I850,Data!$AI:$AI)</f>
        <v>0</v>
      </c>
    </row>
    <row r="851" spans="1:22" ht="15.75" x14ac:dyDescent="0.3">
      <c r="A851" s="55" t="s">
        <v>5843</v>
      </c>
      <c r="B851" s="56" t="s">
        <v>123</v>
      </c>
      <c r="C851" s="57" t="s">
        <v>4647</v>
      </c>
      <c r="D851" s="58">
        <v>1.0253E-4</v>
      </c>
      <c r="E851" s="48">
        <f>SUMIF(Data!$E:$E,$C851,Data!$AI:$AI)</f>
        <v>0</v>
      </c>
      <c r="G851" s="14" t="s">
        <v>5852</v>
      </c>
      <c r="H851" s="14" t="s">
        <v>5853</v>
      </c>
      <c r="I851" s="14" t="s">
        <v>5854</v>
      </c>
      <c r="J851" s="14" t="s">
        <v>5855</v>
      </c>
      <c r="K851" s="14" t="s">
        <v>140</v>
      </c>
      <c r="L851" s="14" t="s">
        <v>5642</v>
      </c>
      <c r="M851" s="14" t="s">
        <v>5856</v>
      </c>
      <c r="N851" s="14">
        <v>76.796000000000006</v>
      </c>
      <c r="O851" s="14" t="s">
        <v>5857</v>
      </c>
      <c r="P851" s="14" t="s">
        <v>5858</v>
      </c>
      <c r="Q851" s="14" t="s">
        <v>737</v>
      </c>
      <c r="R851" s="14" t="s">
        <v>5859</v>
      </c>
      <c r="S851" s="14" t="s">
        <v>195</v>
      </c>
      <c r="T851" s="14" t="s">
        <v>149</v>
      </c>
      <c r="U851" s="14" t="s">
        <v>113</v>
      </c>
      <c r="V851" s="48">
        <f>SUMIF(Data!$E:$E,$I851,Data!$AI:$AI)</f>
        <v>0</v>
      </c>
    </row>
    <row r="852" spans="1:22" ht="15.75" x14ac:dyDescent="0.3">
      <c r="A852" s="55" t="s">
        <v>5843</v>
      </c>
      <c r="B852" s="56" t="s">
        <v>123</v>
      </c>
      <c r="C852" s="57" t="s">
        <v>5417</v>
      </c>
      <c r="D852" s="58">
        <v>1.0907999999999999E-4</v>
      </c>
      <c r="E852" s="48">
        <f>SUMIF(Data!$E:$E,$C852,Data!$AI:$AI)</f>
        <v>0</v>
      </c>
      <c r="G852" s="14" t="s">
        <v>5860</v>
      </c>
      <c r="H852" s="14" t="s">
        <v>5861</v>
      </c>
      <c r="I852" s="14" t="s">
        <v>5862</v>
      </c>
      <c r="J852" s="14" t="s">
        <v>5863</v>
      </c>
      <c r="K852" s="14" t="s">
        <v>140</v>
      </c>
      <c r="L852" s="14" t="s">
        <v>5642</v>
      </c>
      <c r="M852" s="14" t="s">
        <v>5864</v>
      </c>
      <c r="N852" s="14">
        <v>20.849</v>
      </c>
      <c r="O852" s="14" t="s">
        <v>5865</v>
      </c>
      <c r="P852" s="14" t="s">
        <v>5866</v>
      </c>
      <c r="Q852" s="14" t="s">
        <v>193</v>
      </c>
      <c r="R852" s="14" t="s">
        <v>5867</v>
      </c>
      <c r="S852" s="14" t="s">
        <v>195</v>
      </c>
      <c r="T852" s="14" t="s">
        <v>149</v>
      </c>
      <c r="U852" s="14" t="s">
        <v>113</v>
      </c>
      <c r="V852" s="48">
        <f>SUMIF(Data!$E:$E,$I852,Data!$AI:$AI)</f>
        <v>0</v>
      </c>
    </row>
    <row r="853" spans="1:22" ht="15.75" x14ac:dyDescent="0.3">
      <c r="A853" s="55" t="s">
        <v>5843</v>
      </c>
      <c r="B853" s="56" t="s">
        <v>123</v>
      </c>
      <c r="C853" s="57" t="s">
        <v>5424</v>
      </c>
      <c r="D853" s="58">
        <v>9.6617999999999997E-4</v>
      </c>
      <c r="E853" s="48">
        <f>SUMIF(Data!$E:$E,$C853,Data!$AI:$AI)</f>
        <v>0.14993036494457632</v>
      </c>
      <c r="G853" s="14" t="s">
        <v>5868</v>
      </c>
      <c r="H853" s="14" t="s">
        <v>5869</v>
      </c>
      <c r="I853" s="14" t="s">
        <v>4731</v>
      </c>
      <c r="J853" s="14" t="s">
        <v>5870</v>
      </c>
      <c r="K853" s="14" t="s">
        <v>140</v>
      </c>
      <c r="L853" s="14" t="s">
        <v>5642</v>
      </c>
      <c r="M853" s="14" t="s">
        <v>5871</v>
      </c>
      <c r="N853" s="14">
        <v>434.46</v>
      </c>
      <c r="O853" s="14" t="s">
        <v>5872</v>
      </c>
      <c r="P853" s="14" t="s">
        <v>5873</v>
      </c>
      <c r="Q853" s="14" t="s">
        <v>263</v>
      </c>
      <c r="R853" s="14" t="s">
        <v>5874</v>
      </c>
      <c r="S853" s="14" t="s">
        <v>195</v>
      </c>
      <c r="T853" s="14" t="s">
        <v>149</v>
      </c>
      <c r="U853" s="14" t="s">
        <v>113</v>
      </c>
      <c r="V853" s="48">
        <f>SUMIF(Data!$E:$E,$I853,Data!$AI:$AI)</f>
        <v>0</v>
      </c>
    </row>
    <row r="854" spans="1:22" ht="15.75" x14ac:dyDescent="0.3">
      <c r="A854" s="55" t="s">
        <v>5843</v>
      </c>
      <c r="B854" s="56" t="s">
        <v>123</v>
      </c>
      <c r="C854" s="57" t="s">
        <v>5762</v>
      </c>
      <c r="D854" s="58">
        <v>7.8724000000000003E-4</v>
      </c>
      <c r="E854" s="48">
        <f>SUMIF(Data!$E:$E,$C854,Data!$AI:$AI)</f>
        <v>2.7182358068629005E-2</v>
      </c>
      <c r="G854" s="14" t="s">
        <v>5875</v>
      </c>
      <c r="H854" s="14" t="s">
        <v>5876</v>
      </c>
      <c r="I854" s="14" t="s">
        <v>5877</v>
      </c>
      <c r="J854" s="14" t="s">
        <v>5878</v>
      </c>
      <c r="K854" s="14" t="s">
        <v>140</v>
      </c>
      <c r="L854" s="14" t="s">
        <v>5642</v>
      </c>
      <c r="M854" s="14" t="s">
        <v>5879</v>
      </c>
      <c r="N854" s="14">
        <v>119.553</v>
      </c>
      <c r="O854" s="14" t="s">
        <v>5880</v>
      </c>
      <c r="P854" s="14" t="s">
        <v>5881</v>
      </c>
      <c r="Q854" s="14" t="s">
        <v>737</v>
      </c>
      <c r="R854" s="14" t="s">
        <v>5882</v>
      </c>
      <c r="S854" s="14" t="s">
        <v>771</v>
      </c>
      <c r="T854" s="14" t="s">
        <v>772</v>
      </c>
      <c r="U854" s="14" t="s">
        <v>773</v>
      </c>
      <c r="V854" s="48">
        <f>SUMIF(Data!$E:$E,$I854,Data!$AI:$AI)</f>
        <v>0</v>
      </c>
    </row>
    <row r="855" spans="1:22" ht="15.75" x14ac:dyDescent="0.3">
      <c r="A855" s="55" t="s">
        <v>5843</v>
      </c>
      <c r="B855" s="56" t="s">
        <v>123</v>
      </c>
      <c r="C855" s="57" t="s">
        <v>4464</v>
      </c>
      <c r="D855" s="58">
        <v>1.3167400000000001E-3</v>
      </c>
      <c r="E855" s="48">
        <f>SUMIF(Data!$E:$E,$C855,Data!$AI:$AI)</f>
        <v>0.16778694604010902</v>
      </c>
      <c r="G855" s="14" t="s">
        <v>5883</v>
      </c>
      <c r="H855" s="14" t="s">
        <v>5884</v>
      </c>
      <c r="I855" s="14" t="s">
        <v>5885</v>
      </c>
      <c r="J855" s="14" t="s">
        <v>5886</v>
      </c>
      <c r="K855" s="14" t="s">
        <v>140</v>
      </c>
      <c r="L855" s="14" t="s">
        <v>5642</v>
      </c>
      <c r="M855" s="14" t="s">
        <v>5887</v>
      </c>
      <c r="N855" s="14">
        <v>149.94800000000001</v>
      </c>
      <c r="O855" s="14" t="s">
        <v>5888</v>
      </c>
      <c r="P855" s="14" t="s">
        <v>5889</v>
      </c>
      <c r="Q855" s="14" t="s">
        <v>193</v>
      </c>
      <c r="R855" s="14" t="s">
        <v>5890</v>
      </c>
      <c r="S855" s="14" t="s">
        <v>5891</v>
      </c>
      <c r="T855" s="14" t="s">
        <v>5892</v>
      </c>
      <c r="U855" s="14" t="s">
        <v>528</v>
      </c>
      <c r="V855" s="48">
        <f>SUMIF(Data!$E:$E,$I855,Data!$AI:$AI)</f>
        <v>0</v>
      </c>
    </row>
    <row r="856" spans="1:22" ht="15.75" x14ac:dyDescent="0.3">
      <c r="A856" s="55" t="s">
        <v>5843</v>
      </c>
      <c r="B856" s="56" t="s">
        <v>123</v>
      </c>
      <c r="C856" s="57" t="s">
        <v>5741</v>
      </c>
      <c r="D856" s="58">
        <v>5.5214999999999995E-4</v>
      </c>
      <c r="E856" s="48">
        <f>SUMIF(Data!$E:$E,$C856,Data!$AI:$AI)</f>
        <v>0</v>
      </c>
      <c r="G856" s="14" t="s">
        <v>5893</v>
      </c>
      <c r="H856" s="14" t="s">
        <v>5894</v>
      </c>
      <c r="I856" s="14">
        <v>4188</v>
      </c>
      <c r="J856" s="14" t="s">
        <v>5895</v>
      </c>
      <c r="K856" s="14" t="s">
        <v>140</v>
      </c>
      <c r="L856" s="14" t="s">
        <v>5642</v>
      </c>
      <c r="M856" s="14" t="s">
        <v>5896</v>
      </c>
      <c r="N856" s="14">
        <v>771.67</v>
      </c>
      <c r="O856" s="14" t="s">
        <v>5897</v>
      </c>
      <c r="P856" s="14" t="s">
        <v>5898</v>
      </c>
      <c r="Q856" s="14" t="s">
        <v>737</v>
      </c>
      <c r="R856" s="14" t="s">
        <v>5899</v>
      </c>
      <c r="S856" s="14" t="s">
        <v>444</v>
      </c>
      <c r="T856" s="14" t="s">
        <v>445</v>
      </c>
      <c r="U856" s="14" t="s">
        <v>446</v>
      </c>
      <c r="V856" s="48">
        <f>SUMIF(Data!$E:$E,$I856,Data!$AI:$AI)</f>
        <v>0</v>
      </c>
    </row>
    <row r="857" spans="1:22" ht="15.75" x14ac:dyDescent="0.3">
      <c r="A857" s="55" t="s">
        <v>5843</v>
      </c>
      <c r="B857" s="56" t="s">
        <v>123</v>
      </c>
      <c r="C857" s="57" t="s">
        <v>5431</v>
      </c>
      <c r="D857" s="58">
        <v>3.4330999999999999E-4</v>
      </c>
      <c r="E857" s="48">
        <f>SUMIF(Data!$E:$E,$C857,Data!$AI:$AI)</f>
        <v>0</v>
      </c>
      <c r="G857" s="14" t="s">
        <v>5900</v>
      </c>
      <c r="H857" s="14" t="s">
        <v>5901</v>
      </c>
      <c r="I857" s="14" t="s">
        <v>5902</v>
      </c>
      <c r="J857" s="14" t="s">
        <v>5903</v>
      </c>
      <c r="K857" s="14" t="s">
        <v>140</v>
      </c>
      <c r="L857" s="14" t="s">
        <v>5642</v>
      </c>
      <c r="M857" s="14" t="s">
        <v>5904</v>
      </c>
      <c r="N857" s="14">
        <v>238.42699999999999</v>
      </c>
      <c r="O857" s="14" t="s">
        <v>5905</v>
      </c>
      <c r="P857" s="14" t="s">
        <v>5906</v>
      </c>
      <c r="Q857" s="14" t="s">
        <v>419</v>
      </c>
      <c r="R857" s="14" t="s">
        <v>5907</v>
      </c>
      <c r="S857" s="14" t="s">
        <v>1130</v>
      </c>
      <c r="T857" s="14" t="s">
        <v>1131</v>
      </c>
      <c r="U857" s="14" t="s">
        <v>528</v>
      </c>
      <c r="V857" s="48">
        <f>SUMIF(Data!$E:$E,$I857,Data!$AI:$AI)</f>
        <v>0</v>
      </c>
    </row>
    <row r="858" spans="1:22" ht="15.75" x14ac:dyDescent="0.3">
      <c r="A858" s="55" t="s">
        <v>5843</v>
      </c>
      <c r="B858" s="56" t="s">
        <v>123</v>
      </c>
      <c r="C858" s="57" t="s">
        <v>4471</v>
      </c>
      <c r="D858" s="58">
        <v>4.1119999999999997E-4</v>
      </c>
      <c r="E858" s="48">
        <f>SUMIF(Data!$E:$E,$C858,Data!$AI:$AI)</f>
        <v>0</v>
      </c>
      <c r="G858" s="14" t="s">
        <v>5908</v>
      </c>
      <c r="H858" s="14" t="s">
        <v>5909</v>
      </c>
      <c r="I858" s="14" t="s">
        <v>5910</v>
      </c>
      <c r="J858" s="14" t="s">
        <v>5911</v>
      </c>
      <c r="K858" s="14" t="s">
        <v>140</v>
      </c>
      <c r="L858" s="14" t="s">
        <v>5642</v>
      </c>
      <c r="M858" s="14" t="s">
        <v>5912</v>
      </c>
      <c r="N858" s="14">
        <v>623.44399999999996</v>
      </c>
      <c r="O858" s="14" t="s">
        <v>5913</v>
      </c>
      <c r="P858" s="14" t="s">
        <v>5914</v>
      </c>
      <c r="Q858" s="14" t="s">
        <v>193</v>
      </c>
      <c r="R858" s="14" t="s">
        <v>5915</v>
      </c>
      <c r="S858" s="14" t="s">
        <v>850</v>
      </c>
      <c r="T858" s="14" t="s">
        <v>851</v>
      </c>
      <c r="U858" s="14" t="s">
        <v>852</v>
      </c>
      <c r="V858" s="48">
        <f>SUMIF(Data!$E:$E,$I858,Data!$AI:$AI)</f>
        <v>0</v>
      </c>
    </row>
    <row r="859" spans="1:22" ht="15.75" x14ac:dyDescent="0.3">
      <c r="A859" s="55" t="s">
        <v>5843</v>
      </c>
      <c r="B859" s="56" t="s">
        <v>123</v>
      </c>
      <c r="C859" s="57" t="s">
        <v>4578</v>
      </c>
      <c r="D859" s="58">
        <v>5.0915960000000003E-2</v>
      </c>
      <c r="E859" s="48">
        <f>SUMIF(Data!$E:$E,$C859,Data!$AI:$AI)</f>
        <v>0.82698926913975535</v>
      </c>
      <c r="G859" s="14" t="s">
        <v>5916</v>
      </c>
      <c r="H859" s="14" t="s">
        <v>5917</v>
      </c>
      <c r="I859" s="14" t="s">
        <v>5918</v>
      </c>
      <c r="J859" s="14" t="s">
        <v>5919</v>
      </c>
      <c r="K859" s="14" t="s">
        <v>140</v>
      </c>
      <c r="L859" s="14" t="s">
        <v>5642</v>
      </c>
      <c r="M859" s="14" t="s">
        <v>5920</v>
      </c>
      <c r="N859" s="14">
        <v>258.97699999999998</v>
      </c>
      <c r="O859" s="14" t="s">
        <v>5921</v>
      </c>
      <c r="P859" s="14" t="s">
        <v>5922</v>
      </c>
      <c r="Q859" s="14" t="s">
        <v>737</v>
      </c>
      <c r="R859" s="14" t="s">
        <v>5923</v>
      </c>
      <c r="S859" s="14" t="s">
        <v>479</v>
      </c>
      <c r="T859" s="14" t="s">
        <v>480</v>
      </c>
      <c r="U859" s="14" t="s">
        <v>481</v>
      </c>
      <c r="V859" s="48">
        <f>SUMIF(Data!$E:$E,$I859,Data!$AI:$AI)</f>
        <v>0</v>
      </c>
    </row>
    <row r="860" spans="1:22" ht="15.75" x14ac:dyDescent="0.3">
      <c r="A860" s="55" t="s">
        <v>5843</v>
      </c>
      <c r="B860" s="56" t="s">
        <v>123</v>
      </c>
      <c r="C860" s="57" t="s">
        <v>5823</v>
      </c>
      <c r="D860" s="58">
        <v>2.7387000000000001E-4</v>
      </c>
      <c r="E860" s="48">
        <f>SUMIF(Data!$E:$E,$C860,Data!$AI:$AI)</f>
        <v>0</v>
      </c>
      <c r="G860" s="14" t="s">
        <v>5924</v>
      </c>
      <c r="H860" s="14" t="s">
        <v>5925</v>
      </c>
      <c r="I860" s="14" t="s">
        <v>5926</v>
      </c>
      <c r="J860" s="14" t="s">
        <v>5927</v>
      </c>
      <c r="K860" s="14" t="s">
        <v>140</v>
      </c>
      <c r="L860" s="14" t="s">
        <v>5642</v>
      </c>
      <c r="M860" s="14" t="s">
        <v>5928</v>
      </c>
      <c r="N860" s="14">
        <v>97.168999999999997</v>
      </c>
      <c r="O860" s="14" t="s">
        <v>5929</v>
      </c>
      <c r="P860" s="14" t="s">
        <v>5930</v>
      </c>
      <c r="Q860" s="14" t="s">
        <v>193</v>
      </c>
      <c r="R860" s="14" t="s">
        <v>5931</v>
      </c>
      <c r="S860" s="14" t="s">
        <v>1277</v>
      </c>
      <c r="T860" s="14" t="s">
        <v>1278</v>
      </c>
      <c r="U860" s="14" t="s">
        <v>528</v>
      </c>
      <c r="V860" s="48">
        <f>SUMIF(Data!$E:$E,$I860,Data!$AI:$AI)</f>
        <v>0</v>
      </c>
    </row>
    <row r="861" spans="1:22" ht="15.75" x14ac:dyDescent="0.3">
      <c r="A861" s="55" t="s">
        <v>5843</v>
      </c>
      <c r="B861" s="56" t="s">
        <v>123</v>
      </c>
      <c r="C861" s="57" t="s">
        <v>5639</v>
      </c>
      <c r="D861" s="58">
        <v>6.0515999999999999E-4</v>
      </c>
      <c r="E861" s="48">
        <f>SUMIF(Data!$E:$E,$C861,Data!$AI:$AI)</f>
        <v>0</v>
      </c>
      <c r="G861" s="14" t="s">
        <v>5932</v>
      </c>
      <c r="H861" s="14" t="s">
        <v>5933</v>
      </c>
      <c r="I861" s="14" t="s">
        <v>4061</v>
      </c>
      <c r="J861" s="14" t="s">
        <v>5934</v>
      </c>
      <c r="K861" s="14" t="s">
        <v>140</v>
      </c>
      <c r="L861" s="14" t="s">
        <v>5642</v>
      </c>
      <c r="M861" s="14" t="s">
        <v>5935</v>
      </c>
      <c r="N861" s="14">
        <v>122.72499999999999</v>
      </c>
      <c r="O861" s="14" t="s">
        <v>5936</v>
      </c>
      <c r="P861" s="14" t="s">
        <v>5937</v>
      </c>
      <c r="Q861" s="14" t="s">
        <v>165</v>
      </c>
      <c r="R861" s="14" t="s">
        <v>5938</v>
      </c>
      <c r="S861" s="14" t="s">
        <v>479</v>
      </c>
      <c r="T861" s="14" t="s">
        <v>480</v>
      </c>
      <c r="U861" s="14" t="s">
        <v>481</v>
      </c>
      <c r="V861" s="48">
        <f>SUMIF(Data!$E:$E,$I861,Data!$AI:$AI)</f>
        <v>0</v>
      </c>
    </row>
    <row r="862" spans="1:22" ht="15.75" x14ac:dyDescent="0.3">
      <c r="A862" s="55" t="s">
        <v>5843</v>
      </c>
      <c r="B862" s="56" t="s">
        <v>123</v>
      </c>
      <c r="C862" s="57" t="s">
        <v>2017</v>
      </c>
      <c r="D862" s="58">
        <v>6.4229300000000003E-3</v>
      </c>
      <c r="E862" s="48">
        <f>SUMIF(Data!$E:$E,$C862,Data!$AI:$AI)</f>
        <v>0</v>
      </c>
      <c r="G862" s="14" t="s">
        <v>5939</v>
      </c>
      <c r="H862" s="14" t="s">
        <v>5940</v>
      </c>
      <c r="I862" s="14" t="s">
        <v>5941</v>
      </c>
      <c r="J862" s="14" t="s">
        <v>5942</v>
      </c>
      <c r="K862" s="14" t="s">
        <v>140</v>
      </c>
      <c r="L862" s="14" t="s">
        <v>5642</v>
      </c>
      <c r="M862" s="14" t="s">
        <v>5943</v>
      </c>
      <c r="N862" s="14">
        <v>49.908000000000001</v>
      </c>
      <c r="O862" s="14" t="s">
        <v>5944</v>
      </c>
      <c r="P862" s="14" t="s">
        <v>5945</v>
      </c>
      <c r="Q862" s="14" t="s">
        <v>737</v>
      </c>
      <c r="R862" s="14" t="s">
        <v>5946</v>
      </c>
      <c r="S862" s="14" t="s">
        <v>1277</v>
      </c>
      <c r="T862" s="14" t="s">
        <v>1278</v>
      </c>
      <c r="U862" s="14" t="s">
        <v>528</v>
      </c>
      <c r="V862" s="48">
        <f>SUMIF(Data!$E:$E,$I862,Data!$AI:$AI)</f>
        <v>0</v>
      </c>
    </row>
    <row r="863" spans="1:22" ht="15.75" x14ac:dyDescent="0.3">
      <c r="A863" s="55" t="s">
        <v>5843</v>
      </c>
      <c r="B863" s="56" t="s">
        <v>123</v>
      </c>
      <c r="C863" s="57" t="s">
        <v>4492</v>
      </c>
      <c r="D863" s="58">
        <v>1.3596569999999999E-2</v>
      </c>
      <c r="E863" s="48">
        <f>SUMIF(Data!$E:$E,$C863,Data!$AI:$AI)</f>
        <v>0</v>
      </c>
      <c r="G863" s="14" t="s">
        <v>5947</v>
      </c>
      <c r="H863" s="14" t="s">
        <v>5948</v>
      </c>
      <c r="I863" s="14" t="s">
        <v>5949</v>
      </c>
      <c r="J863" s="14" t="s">
        <v>5950</v>
      </c>
      <c r="K863" s="14" t="s">
        <v>140</v>
      </c>
      <c r="L863" s="14" t="s">
        <v>5642</v>
      </c>
      <c r="M863" s="14" t="s">
        <v>5951</v>
      </c>
      <c r="N863" s="14">
        <v>278.32499999999999</v>
      </c>
      <c r="O863" s="14" t="s">
        <v>5952</v>
      </c>
      <c r="P863" s="14" t="s">
        <v>5953</v>
      </c>
      <c r="Q863" s="14" t="s">
        <v>175</v>
      </c>
      <c r="R863" s="14" t="s">
        <v>5954</v>
      </c>
      <c r="S863" s="14" t="s">
        <v>728</v>
      </c>
      <c r="T863" s="14" t="s">
        <v>729</v>
      </c>
      <c r="U863" s="14" t="s">
        <v>730</v>
      </c>
      <c r="V863" s="48">
        <f>SUMIF(Data!$E:$E,$I863,Data!$AI:$AI)</f>
        <v>0</v>
      </c>
    </row>
    <row r="864" spans="1:22" ht="15.75" x14ac:dyDescent="0.3">
      <c r="A864" s="55" t="s">
        <v>5843</v>
      </c>
      <c r="B864" s="56" t="s">
        <v>123</v>
      </c>
      <c r="C864" s="57" t="s">
        <v>5955</v>
      </c>
      <c r="D864" s="58">
        <v>3.9013699999999999E-3</v>
      </c>
      <c r="E864" s="48">
        <f>SUMIF(Data!$E:$E,$C864,Data!$AI:$AI)</f>
        <v>0</v>
      </c>
      <c r="G864" s="14" t="s">
        <v>5956</v>
      </c>
      <c r="H864" s="14" t="s">
        <v>5957</v>
      </c>
      <c r="I864" s="14" t="s">
        <v>5958</v>
      </c>
      <c r="J864" s="14" t="s">
        <v>5959</v>
      </c>
      <c r="K864" s="14" t="s">
        <v>140</v>
      </c>
      <c r="L864" s="14" t="s">
        <v>5642</v>
      </c>
      <c r="M864" s="14" t="s">
        <v>5960</v>
      </c>
      <c r="N864" s="14">
        <v>59.338000000000001</v>
      </c>
      <c r="O864" s="14" t="s">
        <v>5961</v>
      </c>
      <c r="P864" s="14" t="s">
        <v>5962</v>
      </c>
      <c r="Q864" s="14" t="s">
        <v>227</v>
      </c>
      <c r="R864" s="14" t="s">
        <v>5963</v>
      </c>
      <c r="S864" s="14" t="s">
        <v>526</v>
      </c>
      <c r="T864" s="14" t="s">
        <v>527</v>
      </c>
      <c r="U864" s="14" t="s">
        <v>528</v>
      </c>
      <c r="V864" s="48">
        <f>SUMIF(Data!$E:$E,$I864,Data!$AI:$AI)</f>
        <v>0</v>
      </c>
    </row>
    <row r="865" spans="1:22" ht="15.75" x14ac:dyDescent="0.3">
      <c r="A865" s="55" t="s">
        <v>5843</v>
      </c>
      <c r="B865" s="56" t="s">
        <v>123</v>
      </c>
      <c r="C865" s="57" t="s">
        <v>5732</v>
      </c>
      <c r="D865" s="58">
        <v>2.7725999999999998E-4</v>
      </c>
      <c r="E865" s="48">
        <f>SUMIF(Data!$E:$E,$C865,Data!$AI:$AI)</f>
        <v>0</v>
      </c>
      <c r="G865" s="14" t="s">
        <v>5964</v>
      </c>
      <c r="H865" s="14" t="s">
        <v>5965</v>
      </c>
      <c r="I865" s="14" t="s">
        <v>5966</v>
      </c>
      <c r="J865" s="14" t="s">
        <v>5967</v>
      </c>
      <c r="K865" s="14" t="s">
        <v>140</v>
      </c>
      <c r="L865" s="14" t="s">
        <v>5642</v>
      </c>
      <c r="M865" s="14" t="s">
        <v>5968</v>
      </c>
      <c r="N865" s="14">
        <v>229.446</v>
      </c>
      <c r="O865" s="14" t="s">
        <v>5969</v>
      </c>
      <c r="P865" s="14" t="s">
        <v>5970</v>
      </c>
      <c r="Q865" s="14" t="s">
        <v>146</v>
      </c>
      <c r="R865" s="14" t="s">
        <v>5971</v>
      </c>
      <c r="S865" s="14" t="s">
        <v>148</v>
      </c>
      <c r="T865" s="14" t="s">
        <v>149</v>
      </c>
      <c r="U865" s="14" t="s">
        <v>113</v>
      </c>
      <c r="V865" s="48">
        <f>SUMIF(Data!$E:$E,$I865,Data!$AI:$AI)</f>
        <v>0</v>
      </c>
    </row>
    <row r="866" spans="1:22" ht="15.75" x14ac:dyDescent="0.3">
      <c r="A866" s="55" t="s">
        <v>5843</v>
      </c>
      <c r="B866" s="56" t="s">
        <v>123</v>
      </c>
      <c r="C866" s="57" t="s">
        <v>4768</v>
      </c>
      <c r="D866" s="58">
        <v>5.0558199999999999E-3</v>
      </c>
      <c r="E866" s="48">
        <f>SUMIF(Data!$E:$E,$C866,Data!$AI:$AI)</f>
        <v>0</v>
      </c>
      <c r="G866" s="14" t="s">
        <v>5972</v>
      </c>
      <c r="H866" s="14" t="s">
        <v>5973</v>
      </c>
      <c r="I866" s="14" t="s">
        <v>5974</v>
      </c>
      <c r="J866" s="14" t="s">
        <v>5975</v>
      </c>
      <c r="K866" s="14" t="s">
        <v>140</v>
      </c>
      <c r="L866" s="14" t="s">
        <v>5642</v>
      </c>
      <c r="M866" s="14" t="s">
        <v>5976</v>
      </c>
      <c r="N866" s="14">
        <v>79.584999999999994</v>
      </c>
      <c r="O866" s="14" t="s">
        <v>5977</v>
      </c>
      <c r="P866" s="14" t="s">
        <v>5978</v>
      </c>
      <c r="Q866" s="14" t="s">
        <v>146</v>
      </c>
      <c r="R866" s="14" t="s">
        <v>5979</v>
      </c>
      <c r="S866" s="14" t="s">
        <v>195</v>
      </c>
      <c r="T866" s="14" t="s">
        <v>149</v>
      </c>
      <c r="U866" s="14" t="s">
        <v>113</v>
      </c>
      <c r="V866" s="48">
        <f>SUMIF(Data!$E:$E,$I866,Data!$AI:$AI)</f>
        <v>0</v>
      </c>
    </row>
    <row r="867" spans="1:22" ht="15.75" x14ac:dyDescent="0.3">
      <c r="A867" s="55" t="s">
        <v>5843</v>
      </c>
      <c r="B867" s="56" t="s">
        <v>123</v>
      </c>
      <c r="C867" s="57" t="s">
        <v>4585</v>
      </c>
      <c r="D867" s="58">
        <v>2.4462800000000003E-3</v>
      </c>
      <c r="E867" s="48">
        <f>SUMIF(Data!$E:$E,$C867,Data!$AI:$AI)</f>
        <v>0.50254664386636194</v>
      </c>
      <c r="G867" s="14" t="s">
        <v>5980</v>
      </c>
      <c r="H867" s="14" t="s">
        <v>5981</v>
      </c>
      <c r="I867" s="14">
        <v>1605</v>
      </c>
      <c r="J867" s="14" t="s">
        <v>5982</v>
      </c>
      <c r="K867" s="14" t="s">
        <v>140</v>
      </c>
      <c r="L867" s="14" t="s">
        <v>5642</v>
      </c>
      <c r="M867" s="14" t="s">
        <v>5983</v>
      </c>
      <c r="N867" s="14">
        <v>526.85699999999997</v>
      </c>
      <c r="O867" s="14" t="s">
        <v>5984</v>
      </c>
      <c r="P867" s="14" t="s">
        <v>5985</v>
      </c>
      <c r="Q867" s="14" t="s">
        <v>263</v>
      </c>
      <c r="R867" s="14" t="s">
        <v>5986</v>
      </c>
      <c r="S867" s="14" t="s">
        <v>444</v>
      </c>
      <c r="T867" s="14" t="s">
        <v>445</v>
      </c>
      <c r="U867" s="14" t="s">
        <v>446</v>
      </c>
      <c r="V867" s="48">
        <f>SUMIF(Data!$E:$E,$I867,Data!$AI:$AI)</f>
        <v>0</v>
      </c>
    </row>
    <row r="868" spans="1:22" ht="15.75" x14ac:dyDescent="0.3">
      <c r="A868" s="55" t="s">
        <v>5843</v>
      </c>
      <c r="B868" s="56" t="s">
        <v>123</v>
      </c>
      <c r="C868" s="57" t="s">
        <v>5444</v>
      </c>
      <c r="D868" s="58">
        <v>8.4904999999999996E-4</v>
      </c>
      <c r="E868" s="48">
        <f>SUMIF(Data!$E:$E,$C868,Data!$AI:$AI)</f>
        <v>0.13053515410881558</v>
      </c>
      <c r="G868" s="14" t="s">
        <v>5987</v>
      </c>
      <c r="H868" s="14" t="s">
        <v>5988</v>
      </c>
      <c r="I868" s="14" t="s">
        <v>5989</v>
      </c>
      <c r="J868" s="14" t="s">
        <v>5990</v>
      </c>
      <c r="K868" s="14" t="s">
        <v>140</v>
      </c>
      <c r="L868" s="14" t="s">
        <v>5642</v>
      </c>
      <c r="M868" s="14" t="s">
        <v>5991</v>
      </c>
      <c r="N868" s="14">
        <v>47.058999999999997</v>
      </c>
      <c r="O868" s="14" t="s">
        <v>5992</v>
      </c>
      <c r="P868" s="14" t="s">
        <v>5993</v>
      </c>
      <c r="Q868" s="14" t="s">
        <v>211</v>
      </c>
      <c r="R868" s="14" t="s">
        <v>5994</v>
      </c>
      <c r="S868" s="14" t="s">
        <v>148</v>
      </c>
      <c r="T868" s="14" t="s">
        <v>149</v>
      </c>
      <c r="U868" s="14" t="s">
        <v>113</v>
      </c>
      <c r="V868" s="48">
        <f>SUMIF(Data!$E:$E,$I868,Data!$AI:$AI)</f>
        <v>0</v>
      </c>
    </row>
    <row r="869" spans="1:22" ht="15.75" x14ac:dyDescent="0.3">
      <c r="A869" s="55" t="s">
        <v>5843</v>
      </c>
      <c r="B869" s="56" t="s">
        <v>123</v>
      </c>
      <c r="C869" s="57" t="s">
        <v>5725</v>
      </c>
      <c r="D869" s="58">
        <v>1.6875999999999998E-4</v>
      </c>
      <c r="E869" s="48">
        <f>SUMIF(Data!$E:$E,$C869,Data!$AI:$AI)</f>
        <v>0</v>
      </c>
      <c r="G869" s="14" t="s">
        <v>5995</v>
      </c>
      <c r="H869" s="14" t="s">
        <v>5996</v>
      </c>
      <c r="I869" s="14" t="s">
        <v>115</v>
      </c>
      <c r="J869" s="14" t="s">
        <v>5997</v>
      </c>
      <c r="K869" s="14" t="s">
        <v>140</v>
      </c>
      <c r="L869" s="14" t="s">
        <v>5642</v>
      </c>
      <c r="M869" s="14" t="s">
        <v>5998</v>
      </c>
      <c r="N869" s="14">
        <v>611.07000000000005</v>
      </c>
      <c r="O869" s="14" t="s">
        <v>5999</v>
      </c>
      <c r="P869" s="14" t="s">
        <v>6000</v>
      </c>
      <c r="Q869" s="14" t="s">
        <v>193</v>
      </c>
      <c r="R869" s="14" t="s">
        <v>6001</v>
      </c>
      <c r="S869" s="14" t="s">
        <v>850</v>
      </c>
      <c r="T869" s="14" t="s">
        <v>851</v>
      </c>
      <c r="U869" s="14" t="s">
        <v>852</v>
      </c>
      <c r="V869" s="48">
        <f>SUMIF(Data!$E:$E,$I869,Data!$AI:$AI)</f>
        <v>0</v>
      </c>
    </row>
    <row r="870" spans="1:22" ht="15.75" x14ac:dyDescent="0.3">
      <c r="A870" s="55" t="s">
        <v>5843</v>
      </c>
      <c r="B870" s="56" t="s">
        <v>123</v>
      </c>
      <c r="C870" s="57" t="s">
        <v>4598</v>
      </c>
      <c r="D870" s="58">
        <v>1.61762E-3</v>
      </c>
      <c r="E870" s="48">
        <f>SUMIF(Data!$E:$E,$C870,Data!$AI:$AI)</f>
        <v>0</v>
      </c>
      <c r="G870" s="14" t="s">
        <v>6002</v>
      </c>
      <c r="H870" s="14" t="s">
        <v>6003</v>
      </c>
      <c r="I870" s="14" t="s">
        <v>6004</v>
      </c>
      <c r="J870" s="14" t="s">
        <v>6005</v>
      </c>
      <c r="K870" s="14" t="s">
        <v>140</v>
      </c>
      <c r="L870" s="14" t="s">
        <v>5642</v>
      </c>
      <c r="M870" s="14" t="s">
        <v>6006</v>
      </c>
      <c r="N870" s="14">
        <v>120.06699999999999</v>
      </c>
      <c r="O870" s="14" t="s">
        <v>6007</v>
      </c>
      <c r="P870" s="14" t="s">
        <v>6008</v>
      </c>
      <c r="Q870" s="14" t="s">
        <v>175</v>
      </c>
      <c r="R870" s="14" t="s">
        <v>6009</v>
      </c>
      <c r="S870" s="14" t="s">
        <v>563</v>
      </c>
      <c r="T870" s="14" t="s">
        <v>564</v>
      </c>
      <c r="U870" s="14" t="s">
        <v>528</v>
      </c>
      <c r="V870" s="48">
        <f>SUMIF(Data!$E:$E,$I870,Data!$AI:$AI)</f>
        <v>0</v>
      </c>
    </row>
    <row r="871" spans="1:22" ht="15.75" x14ac:dyDescent="0.3">
      <c r="A871" s="55" t="s">
        <v>5843</v>
      </c>
      <c r="B871" s="56" t="s">
        <v>123</v>
      </c>
      <c r="C871" s="57" t="s">
        <v>5348</v>
      </c>
      <c r="D871" s="58">
        <v>1.24116E-3</v>
      </c>
      <c r="E871" s="48">
        <f>SUMIF(Data!$E:$E,$C871,Data!$AI:$AI)</f>
        <v>0</v>
      </c>
      <c r="G871" s="14" t="s">
        <v>6010</v>
      </c>
      <c r="H871" s="14" t="s">
        <v>6011</v>
      </c>
      <c r="I871" s="14" t="s">
        <v>6012</v>
      </c>
      <c r="J871" s="14" t="s">
        <v>6013</v>
      </c>
      <c r="K871" s="14" t="s">
        <v>140</v>
      </c>
      <c r="L871" s="14" t="s">
        <v>5642</v>
      </c>
      <c r="M871" s="14" t="s">
        <v>6014</v>
      </c>
      <c r="N871" s="14">
        <v>120.568</v>
      </c>
      <c r="O871" s="14" t="s">
        <v>6015</v>
      </c>
      <c r="P871" s="14" t="s">
        <v>6016</v>
      </c>
      <c r="Q871" s="14" t="s">
        <v>175</v>
      </c>
      <c r="R871" s="14" t="s">
        <v>6017</v>
      </c>
      <c r="S871" s="14" t="s">
        <v>728</v>
      </c>
      <c r="T871" s="14" t="s">
        <v>729</v>
      </c>
      <c r="U871" s="14" t="s">
        <v>730</v>
      </c>
      <c r="V871" s="48">
        <f>SUMIF(Data!$E:$E,$I871,Data!$AI:$AI)</f>
        <v>0</v>
      </c>
    </row>
    <row r="872" spans="1:22" ht="15.75" x14ac:dyDescent="0.3">
      <c r="A872" s="55" t="s">
        <v>5843</v>
      </c>
      <c r="B872" s="56" t="s">
        <v>123</v>
      </c>
      <c r="C872" s="57" t="s">
        <v>5051</v>
      </c>
      <c r="D872" s="58">
        <v>4.0250399999999997E-3</v>
      </c>
      <c r="E872" s="48">
        <f>SUMIF(Data!$E:$E,$C872,Data!$AI:$AI)</f>
        <v>0.40847619001243751</v>
      </c>
      <c r="G872" s="14" t="s">
        <v>6018</v>
      </c>
      <c r="H872" s="14" t="s">
        <v>6019</v>
      </c>
      <c r="I872" s="14">
        <v>6645</v>
      </c>
      <c r="J872" s="14" t="s">
        <v>6020</v>
      </c>
      <c r="K872" s="14" t="s">
        <v>140</v>
      </c>
      <c r="L872" s="14" t="s">
        <v>5642</v>
      </c>
      <c r="M872" s="14" t="s">
        <v>6021</v>
      </c>
      <c r="N872" s="14">
        <v>94.3</v>
      </c>
      <c r="O872" s="14" t="s">
        <v>6022</v>
      </c>
      <c r="P872" s="14" t="s">
        <v>6023</v>
      </c>
      <c r="Q872" s="14" t="s">
        <v>146</v>
      </c>
      <c r="R872" s="14" t="s">
        <v>6024</v>
      </c>
      <c r="S872" s="14" t="s">
        <v>444</v>
      </c>
      <c r="T872" s="14" t="s">
        <v>445</v>
      </c>
      <c r="U872" s="14" t="s">
        <v>446</v>
      </c>
      <c r="V872" s="48">
        <f>SUMIF(Data!$E:$E,$I872,Data!$AI:$AI)</f>
        <v>0</v>
      </c>
    </row>
    <row r="873" spans="1:22" ht="15.75" x14ac:dyDescent="0.3">
      <c r="A873" s="55" t="s">
        <v>5843</v>
      </c>
      <c r="B873" s="56" t="s">
        <v>123</v>
      </c>
      <c r="C873" s="57" t="s">
        <v>5692</v>
      </c>
      <c r="D873" s="58">
        <v>4.7371000000000002E-4</v>
      </c>
      <c r="E873" s="48">
        <f>SUMIF(Data!$E:$E,$C873,Data!$AI:$AI)</f>
        <v>0</v>
      </c>
      <c r="G873" s="14" t="s">
        <v>6025</v>
      </c>
      <c r="H873" s="14" t="s">
        <v>6026</v>
      </c>
      <c r="I873" s="14" t="s">
        <v>6027</v>
      </c>
      <c r="J873" s="14" t="s">
        <v>6028</v>
      </c>
      <c r="K873" s="14" t="s">
        <v>140</v>
      </c>
      <c r="L873" s="14" t="s">
        <v>5642</v>
      </c>
      <c r="M873" s="14" t="s">
        <v>6029</v>
      </c>
      <c r="N873" s="14">
        <v>78.426000000000002</v>
      </c>
      <c r="O873" s="14" t="s">
        <v>6030</v>
      </c>
      <c r="P873" s="14" t="s">
        <v>6031</v>
      </c>
      <c r="Q873" s="14" t="s">
        <v>737</v>
      </c>
      <c r="R873" s="14" t="s">
        <v>6032</v>
      </c>
      <c r="S873" s="14" t="s">
        <v>526</v>
      </c>
      <c r="T873" s="14" t="s">
        <v>527</v>
      </c>
      <c r="U873" s="14" t="s">
        <v>528</v>
      </c>
      <c r="V873" s="48">
        <f>SUMIF(Data!$E:$E,$I873,Data!$AI:$AI)</f>
        <v>0</v>
      </c>
    </row>
    <row r="874" spans="1:22" ht="15.75" x14ac:dyDescent="0.3">
      <c r="A874" s="55" t="s">
        <v>5843</v>
      </c>
      <c r="B874" s="56" t="s">
        <v>123</v>
      </c>
      <c r="C874" s="57" t="s">
        <v>5058</v>
      </c>
      <c r="D874" s="58">
        <v>8.2799999999999996E-4</v>
      </c>
      <c r="E874" s="48">
        <f>SUMIF(Data!$E:$E,$C874,Data!$AI:$AI)</f>
        <v>0</v>
      </c>
      <c r="G874" s="14" t="s">
        <v>6033</v>
      </c>
      <c r="H874" s="14" t="s">
        <v>6034</v>
      </c>
      <c r="I874" s="14">
        <v>8951</v>
      </c>
      <c r="J874" s="14" t="s">
        <v>6035</v>
      </c>
      <c r="K874" s="14" t="s">
        <v>140</v>
      </c>
      <c r="L874" s="14" t="s">
        <v>5642</v>
      </c>
      <c r="M874" s="14" t="s">
        <v>6036</v>
      </c>
      <c r="N874" s="14">
        <v>760</v>
      </c>
      <c r="O874" s="14" t="s">
        <v>6037</v>
      </c>
      <c r="P874" s="14" t="s">
        <v>6038</v>
      </c>
      <c r="Q874" s="14" t="s">
        <v>809</v>
      </c>
      <c r="R874" s="14" t="s">
        <v>6039</v>
      </c>
      <c r="S874" s="14" t="s">
        <v>444</v>
      </c>
      <c r="T874" s="14" t="s">
        <v>445</v>
      </c>
      <c r="U874" s="14" t="s">
        <v>446</v>
      </c>
      <c r="V874" s="48">
        <f>SUMIF(Data!$E:$E,$I874,Data!$AI:$AI)</f>
        <v>0</v>
      </c>
    </row>
    <row r="875" spans="1:22" ht="15.75" x14ac:dyDescent="0.3">
      <c r="A875" s="55" t="s">
        <v>5843</v>
      </c>
      <c r="B875" s="56" t="s">
        <v>123</v>
      </c>
      <c r="C875" s="57" t="s">
        <v>5065</v>
      </c>
      <c r="D875" s="58">
        <v>3.6534800000000002E-3</v>
      </c>
      <c r="E875" s="48">
        <f>SUMIF(Data!$E:$E,$C875,Data!$AI:$AI)</f>
        <v>0.49255800486170526</v>
      </c>
      <c r="G875" s="14" t="s">
        <v>6040</v>
      </c>
      <c r="H875" s="14" t="s">
        <v>6041</v>
      </c>
      <c r="I875" s="14" t="s">
        <v>6042</v>
      </c>
      <c r="J875" s="14" t="s">
        <v>6043</v>
      </c>
      <c r="K875" s="14" t="s">
        <v>140</v>
      </c>
      <c r="L875" s="14" t="s">
        <v>5642</v>
      </c>
      <c r="M875" s="14" t="s">
        <v>6044</v>
      </c>
      <c r="N875" s="14" t="s">
        <v>6045</v>
      </c>
      <c r="O875" s="14" t="s">
        <v>6046</v>
      </c>
      <c r="P875" s="14" t="s">
        <v>6047</v>
      </c>
      <c r="Q875" s="14" t="s">
        <v>175</v>
      </c>
      <c r="R875" s="14" t="s">
        <v>6048</v>
      </c>
      <c r="S875" s="14" t="s">
        <v>850</v>
      </c>
      <c r="T875" s="14" t="s">
        <v>851</v>
      </c>
      <c r="U875" s="14" t="s">
        <v>852</v>
      </c>
      <c r="V875" s="48">
        <f>SUMIF(Data!$E:$E,$I875,Data!$AI:$AI)</f>
        <v>0</v>
      </c>
    </row>
    <row r="876" spans="1:22" ht="15.75" x14ac:dyDescent="0.3">
      <c r="A876" s="55" t="s">
        <v>5843</v>
      </c>
      <c r="B876" s="56" t="s">
        <v>123</v>
      </c>
      <c r="C876" s="57" t="s">
        <v>984</v>
      </c>
      <c r="D876" s="58">
        <v>9.7524619999999992E-2</v>
      </c>
      <c r="E876" s="48">
        <f>SUMIF(Data!$E:$E,$C876,Data!$AI:$AI)</f>
        <v>0</v>
      </c>
      <c r="G876" s="14" t="s">
        <v>6049</v>
      </c>
      <c r="H876" s="14" t="s">
        <v>6050</v>
      </c>
      <c r="I876" s="14" t="s">
        <v>6051</v>
      </c>
      <c r="J876" s="14" t="s">
        <v>6052</v>
      </c>
      <c r="K876" s="14" t="s">
        <v>140</v>
      </c>
      <c r="L876" s="14" t="s">
        <v>5642</v>
      </c>
      <c r="M876" s="14" t="s">
        <v>6053</v>
      </c>
      <c r="N876" s="14">
        <v>99.573999999999998</v>
      </c>
      <c r="O876" s="14" t="s">
        <v>6054</v>
      </c>
      <c r="P876" s="14" t="s">
        <v>6055</v>
      </c>
      <c r="Q876" s="14" t="s">
        <v>227</v>
      </c>
      <c r="R876" s="14" t="s">
        <v>6056</v>
      </c>
      <c r="S876" s="14" t="s">
        <v>2931</v>
      </c>
      <c r="T876" s="14" t="s">
        <v>2932</v>
      </c>
      <c r="U876" s="14" t="s">
        <v>2933</v>
      </c>
      <c r="V876" s="48">
        <f>SUMIF(Data!$E:$E,$I876,Data!$AI:$AI)</f>
        <v>0</v>
      </c>
    </row>
    <row r="877" spans="1:22" ht="15.75" x14ac:dyDescent="0.3">
      <c r="A877" s="55" t="s">
        <v>5843</v>
      </c>
      <c r="B877" s="56" t="s">
        <v>123</v>
      </c>
      <c r="C877" s="57" t="s">
        <v>4998</v>
      </c>
      <c r="D877" s="58">
        <v>1.327826E-2</v>
      </c>
      <c r="E877" s="48">
        <f>SUMIF(Data!$E:$E,$C877,Data!$AI:$AI)</f>
        <v>0</v>
      </c>
      <c r="G877" s="14" t="s">
        <v>6057</v>
      </c>
      <c r="H877" s="14" t="s">
        <v>6058</v>
      </c>
      <c r="I877" s="14" t="s">
        <v>6059</v>
      </c>
      <c r="J877" s="14" t="s">
        <v>6060</v>
      </c>
      <c r="K877" s="14" t="s">
        <v>140</v>
      </c>
      <c r="L877" s="14" t="s">
        <v>5642</v>
      </c>
      <c r="M877" s="14" t="s">
        <v>6061</v>
      </c>
      <c r="N877" s="14">
        <v>30.27</v>
      </c>
      <c r="O877" s="14" t="s">
        <v>6062</v>
      </c>
      <c r="P877" s="14" t="s">
        <v>6063</v>
      </c>
      <c r="Q877" s="14" t="s">
        <v>211</v>
      </c>
      <c r="R877" s="14" t="s">
        <v>6064</v>
      </c>
      <c r="S877" s="14" t="s">
        <v>148</v>
      </c>
      <c r="T877" s="14" t="s">
        <v>149</v>
      </c>
      <c r="U877" s="14" t="s">
        <v>113</v>
      </c>
      <c r="V877" s="48">
        <f>SUMIF(Data!$E:$E,$I877,Data!$AI:$AI)</f>
        <v>0</v>
      </c>
    </row>
    <row r="878" spans="1:22" ht="15.75" x14ac:dyDescent="0.3">
      <c r="A878" s="55" t="s">
        <v>5843</v>
      </c>
      <c r="B878" s="56" t="s">
        <v>123</v>
      </c>
      <c r="C878" s="57" t="s">
        <v>5632</v>
      </c>
      <c r="D878" s="58">
        <v>3.8739000000000004E-4</v>
      </c>
      <c r="E878" s="48">
        <f>SUMIF(Data!$E:$E,$C878,Data!$AI:$AI)</f>
        <v>0</v>
      </c>
      <c r="G878" s="14" t="s">
        <v>6065</v>
      </c>
      <c r="H878" s="14" t="s">
        <v>6066</v>
      </c>
      <c r="I878" s="14" t="s">
        <v>852</v>
      </c>
      <c r="J878" s="14" t="s">
        <v>6067</v>
      </c>
      <c r="K878" s="14" t="s">
        <v>758</v>
      </c>
      <c r="L878" s="14" t="s">
        <v>5642</v>
      </c>
      <c r="M878" s="14" t="s">
        <v>6068</v>
      </c>
      <c r="N878" s="14" t="s">
        <v>6069</v>
      </c>
      <c r="O878" s="14" t="s">
        <v>6070</v>
      </c>
      <c r="P878" s="14" t="s">
        <v>6071</v>
      </c>
      <c r="Q878" s="14" t="s">
        <v>762</v>
      </c>
      <c r="R878" s="14" t="s">
        <v>763</v>
      </c>
      <c r="S878" s="14" t="s">
        <v>763</v>
      </c>
      <c r="T878" s="14" t="s">
        <v>851</v>
      </c>
      <c r="U878" s="14" t="s">
        <v>852</v>
      </c>
      <c r="V878" s="48">
        <f>SUMIF(Data!$E:$E,$I878,Data!$AI:$AI)</f>
        <v>0</v>
      </c>
    </row>
    <row r="879" spans="1:22" ht="15.75" x14ac:dyDescent="0.3">
      <c r="A879" s="55" t="s">
        <v>5843</v>
      </c>
      <c r="B879" s="56" t="s">
        <v>123</v>
      </c>
      <c r="C879" s="57" t="s">
        <v>5451</v>
      </c>
      <c r="D879" s="58">
        <v>1.9591999999999998E-4</v>
      </c>
      <c r="E879" s="48">
        <f>SUMIF(Data!$E:$E,$C879,Data!$AI:$AI)</f>
        <v>0</v>
      </c>
      <c r="G879" s="14" t="s">
        <v>6072</v>
      </c>
      <c r="H879" s="14" t="s">
        <v>6073</v>
      </c>
      <c r="I879" s="14" t="s">
        <v>6074</v>
      </c>
      <c r="J879" s="14" t="s">
        <v>6075</v>
      </c>
      <c r="K879" s="14" t="s">
        <v>140</v>
      </c>
      <c r="L879" s="14" t="s">
        <v>5642</v>
      </c>
      <c r="M879" s="14" t="s">
        <v>6076</v>
      </c>
      <c r="N879" s="14">
        <v>77.358000000000004</v>
      </c>
      <c r="O879" s="14" t="s">
        <v>6077</v>
      </c>
      <c r="P879" s="14" t="s">
        <v>6078</v>
      </c>
      <c r="Q879" s="14" t="s">
        <v>175</v>
      </c>
      <c r="R879" s="14" t="s">
        <v>6079</v>
      </c>
      <c r="S879" s="14" t="s">
        <v>195</v>
      </c>
      <c r="T879" s="14" t="s">
        <v>149</v>
      </c>
      <c r="U879" s="14" t="s">
        <v>113</v>
      </c>
      <c r="V879" s="48">
        <f>SUMIF(Data!$E:$E,$I879,Data!$AI:$AI)</f>
        <v>0</v>
      </c>
    </row>
    <row r="880" spans="1:22" ht="15.75" x14ac:dyDescent="0.3">
      <c r="A880" s="55" t="s">
        <v>5843</v>
      </c>
      <c r="B880" s="56" t="s">
        <v>123</v>
      </c>
      <c r="C880" s="57" t="s">
        <v>4951</v>
      </c>
      <c r="D880" s="58">
        <v>2.0676179999999999E-2</v>
      </c>
      <c r="E880" s="48">
        <f>SUMIF(Data!$E:$E,$C880,Data!$AI:$AI)</f>
        <v>0</v>
      </c>
      <c r="G880" s="14" t="s">
        <v>6080</v>
      </c>
      <c r="H880" s="14" t="s">
        <v>6081</v>
      </c>
      <c r="I880" s="14" t="s">
        <v>730</v>
      </c>
      <c r="J880" s="14" t="s">
        <v>6082</v>
      </c>
      <c r="K880" s="14" t="s">
        <v>758</v>
      </c>
      <c r="L880" s="14" t="s">
        <v>5642</v>
      </c>
      <c r="M880" s="14" t="s">
        <v>6083</v>
      </c>
      <c r="N880" s="14" t="s">
        <v>6084</v>
      </c>
      <c r="O880" s="14" t="s">
        <v>6085</v>
      </c>
      <c r="P880" s="14" t="s">
        <v>6086</v>
      </c>
      <c r="Q880" s="14" t="s">
        <v>762</v>
      </c>
      <c r="R880" s="14" t="s">
        <v>763</v>
      </c>
      <c r="S880" s="14" t="s">
        <v>763</v>
      </c>
      <c r="T880" s="14" t="s">
        <v>729</v>
      </c>
      <c r="U880" s="14" t="s">
        <v>730</v>
      </c>
      <c r="V880" s="48">
        <f>SUMIF(Data!$E:$E,$I880,Data!$AI:$AI)</f>
        <v>0</v>
      </c>
    </row>
    <row r="881" spans="1:22" ht="15.75" x14ac:dyDescent="0.3">
      <c r="A881" s="55" t="s">
        <v>5843</v>
      </c>
      <c r="B881" s="56" t="s">
        <v>123</v>
      </c>
      <c r="C881" s="57" t="s">
        <v>4782</v>
      </c>
      <c r="D881" s="58">
        <v>8.6549000000000001E-3</v>
      </c>
      <c r="E881" s="48">
        <f>SUMIF(Data!$E:$E,$C881,Data!$AI:$AI)</f>
        <v>0</v>
      </c>
      <c r="G881" s="14" t="s">
        <v>6087</v>
      </c>
      <c r="H881" s="14" t="s">
        <v>6088</v>
      </c>
      <c r="I881" s="14" t="s">
        <v>6089</v>
      </c>
      <c r="J881" s="14" t="s">
        <v>6090</v>
      </c>
      <c r="K881" s="14" t="s">
        <v>140</v>
      </c>
      <c r="L881" s="14" t="s">
        <v>5642</v>
      </c>
      <c r="M881" s="14" t="s">
        <v>6091</v>
      </c>
      <c r="N881" s="14">
        <v>147.34</v>
      </c>
      <c r="O881" s="14" t="s">
        <v>6092</v>
      </c>
      <c r="P881" s="14" t="s">
        <v>6093</v>
      </c>
      <c r="Q881" s="14" t="s">
        <v>697</v>
      </c>
      <c r="R881" s="14" t="s">
        <v>6094</v>
      </c>
      <c r="S881" s="14" t="s">
        <v>195</v>
      </c>
      <c r="T881" s="14" t="s">
        <v>149</v>
      </c>
      <c r="U881" s="14" t="s">
        <v>113</v>
      </c>
      <c r="V881" s="48">
        <f>SUMIF(Data!$E:$E,$I881,Data!$AI:$AI)</f>
        <v>0</v>
      </c>
    </row>
    <row r="882" spans="1:22" ht="15.75" x14ac:dyDescent="0.3">
      <c r="A882" s="55" t="s">
        <v>5843</v>
      </c>
      <c r="B882" s="56" t="s">
        <v>123</v>
      </c>
      <c r="C882" s="57" t="s">
        <v>5284</v>
      </c>
      <c r="D882" s="58">
        <v>1.7311599999999998E-3</v>
      </c>
      <c r="E882" s="48">
        <f>SUMIF(Data!$E:$E,$C882,Data!$AI:$AI)</f>
        <v>0.14335552808713869</v>
      </c>
      <c r="G882" s="14" t="s">
        <v>6095</v>
      </c>
      <c r="H882" s="14" t="s">
        <v>6096</v>
      </c>
      <c r="I882" s="14" t="s">
        <v>6097</v>
      </c>
      <c r="J882" s="14" t="s">
        <v>6098</v>
      </c>
      <c r="K882" s="14" t="s">
        <v>140</v>
      </c>
      <c r="L882" s="14" t="s">
        <v>5642</v>
      </c>
      <c r="M882" s="14" t="s">
        <v>6099</v>
      </c>
      <c r="N882" s="14">
        <v>179.25700000000001</v>
      </c>
      <c r="O882" s="14" t="s">
        <v>6100</v>
      </c>
      <c r="P882" s="14" t="s">
        <v>6101</v>
      </c>
      <c r="Q882" s="14" t="s">
        <v>809</v>
      </c>
      <c r="R882" s="14" t="s">
        <v>6102</v>
      </c>
      <c r="S882" s="14" t="s">
        <v>195</v>
      </c>
      <c r="T882" s="14" t="s">
        <v>149</v>
      </c>
      <c r="U882" s="14" t="s">
        <v>113</v>
      </c>
      <c r="V882" s="48">
        <f>SUMIF(Data!$E:$E,$I882,Data!$AI:$AI)</f>
        <v>0</v>
      </c>
    </row>
    <row r="883" spans="1:22" ht="15.75" x14ac:dyDescent="0.3">
      <c r="A883" s="55" t="s">
        <v>5843</v>
      </c>
      <c r="B883" s="56" t="s">
        <v>123</v>
      </c>
      <c r="C883" s="57" t="s">
        <v>1942</v>
      </c>
      <c r="D883" s="58">
        <v>8.139281000000001E-2</v>
      </c>
      <c r="E883" s="48">
        <f>SUMIF(Data!$E:$E,$C883,Data!$AI:$AI)</f>
        <v>0</v>
      </c>
      <c r="G883" s="14" t="s">
        <v>6103</v>
      </c>
      <c r="H883" s="14" t="s">
        <v>6104</v>
      </c>
      <c r="I883" s="14" t="s">
        <v>6105</v>
      </c>
      <c r="J883" s="14" t="s">
        <v>6106</v>
      </c>
      <c r="K883" s="14" t="s">
        <v>140</v>
      </c>
      <c r="L883" s="14" t="s">
        <v>5642</v>
      </c>
      <c r="M883" s="14" t="s">
        <v>6107</v>
      </c>
      <c r="N883" s="14">
        <v>443.22500000000002</v>
      </c>
      <c r="O883" s="14" t="s">
        <v>6108</v>
      </c>
      <c r="P883" s="14" t="s">
        <v>6109</v>
      </c>
      <c r="Q883" s="14" t="s">
        <v>697</v>
      </c>
      <c r="R883" s="14" t="s">
        <v>6110</v>
      </c>
      <c r="S883" s="14" t="s">
        <v>479</v>
      </c>
      <c r="T883" s="14" t="s">
        <v>480</v>
      </c>
      <c r="U883" s="14" t="s">
        <v>481</v>
      </c>
      <c r="V883" s="48">
        <f>SUMIF(Data!$E:$E,$I883,Data!$AI:$AI)</f>
        <v>0</v>
      </c>
    </row>
    <row r="884" spans="1:22" ht="15.75" x14ac:dyDescent="0.3">
      <c r="A884" s="55" t="s">
        <v>5843</v>
      </c>
      <c r="B884" s="56" t="s">
        <v>123</v>
      </c>
      <c r="C884" s="57" t="s">
        <v>5457</v>
      </c>
      <c r="D884" s="58">
        <v>4.8583000000000003E-4</v>
      </c>
      <c r="E884" s="48">
        <f>SUMIF(Data!$E:$E,$C884,Data!$AI:$AI)</f>
        <v>0</v>
      </c>
      <c r="G884" s="14" t="s">
        <v>6111</v>
      </c>
      <c r="H884" s="14" t="s">
        <v>6112</v>
      </c>
      <c r="I884" s="14" t="s">
        <v>6113</v>
      </c>
      <c r="J884" s="14" t="s">
        <v>6114</v>
      </c>
      <c r="K884" s="14" t="s">
        <v>140</v>
      </c>
      <c r="L884" s="14" t="s">
        <v>5642</v>
      </c>
      <c r="M884" s="14" t="s">
        <v>6115</v>
      </c>
      <c r="N884" s="14">
        <v>107.568</v>
      </c>
      <c r="O884" s="14" t="s">
        <v>6116</v>
      </c>
      <c r="P884" s="14" t="s">
        <v>6117</v>
      </c>
      <c r="Q884" s="14" t="s">
        <v>193</v>
      </c>
      <c r="R884" s="14" t="s">
        <v>6118</v>
      </c>
      <c r="S884" s="14" t="s">
        <v>148</v>
      </c>
      <c r="T884" s="14" t="s">
        <v>149</v>
      </c>
      <c r="U884" s="14" t="s">
        <v>113</v>
      </c>
      <c r="V884" s="48">
        <f>SUMIF(Data!$E:$E,$I884,Data!$AI:$AI)</f>
        <v>0</v>
      </c>
    </row>
    <row r="885" spans="1:22" ht="15.75" x14ac:dyDescent="0.3">
      <c r="A885" s="55" t="s">
        <v>5843</v>
      </c>
      <c r="B885" s="56" t="s">
        <v>123</v>
      </c>
      <c r="C885" s="57" t="s">
        <v>5665</v>
      </c>
      <c r="D885" s="58">
        <v>4.2667999999999997E-4</v>
      </c>
      <c r="E885" s="48">
        <f>SUMIF(Data!$E:$E,$C885,Data!$AI:$AI)</f>
        <v>0</v>
      </c>
      <c r="G885" s="14" t="s">
        <v>6119</v>
      </c>
      <c r="H885" s="14" t="s">
        <v>6120</v>
      </c>
      <c r="I885" s="14" t="s">
        <v>6121</v>
      </c>
      <c r="J885" s="14" t="s">
        <v>6122</v>
      </c>
      <c r="K885" s="14" t="s">
        <v>140</v>
      </c>
      <c r="L885" s="14" t="s">
        <v>5642</v>
      </c>
      <c r="M885" s="14" t="s">
        <v>6123</v>
      </c>
      <c r="N885" s="14">
        <v>63.158000000000001</v>
      </c>
      <c r="O885" s="14" t="s">
        <v>6124</v>
      </c>
      <c r="P885" s="14" t="s">
        <v>6125</v>
      </c>
      <c r="Q885" s="14" t="s">
        <v>211</v>
      </c>
      <c r="R885" s="14" t="s">
        <v>6126</v>
      </c>
      <c r="S885" s="14" t="s">
        <v>1277</v>
      </c>
      <c r="T885" s="14" t="s">
        <v>1278</v>
      </c>
      <c r="U885" s="14" t="s">
        <v>528</v>
      </c>
      <c r="V885" s="48">
        <f>SUMIF(Data!$E:$E,$I885,Data!$AI:$AI)</f>
        <v>0</v>
      </c>
    </row>
    <row r="886" spans="1:22" ht="15.75" x14ac:dyDescent="0.3">
      <c r="A886" s="55" t="s">
        <v>5843</v>
      </c>
      <c r="B886" s="56" t="s">
        <v>123</v>
      </c>
      <c r="C886" s="57" t="s">
        <v>4964</v>
      </c>
      <c r="D886" s="58">
        <v>6.8385700000000004E-3</v>
      </c>
      <c r="E886" s="48">
        <f>SUMIF(Data!$E:$E,$C886,Data!$AI:$AI)</f>
        <v>0</v>
      </c>
      <c r="G886" s="14" t="s">
        <v>6127</v>
      </c>
      <c r="H886" s="14" t="s">
        <v>6128</v>
      </c>
      <c r="I886" s="14" t="s">
        <v>6129</v>
      </c>
      <c r="J886" s="14" t="s">
        <v>6130</v>
      </c>
      <c r="K886" s="14" t="s">
        <v>140</v>
      </c>
      <c r="L886" s="14" t="s">
        <v>5642</v>
      </c>
      <c r="M886" s="14" t="s">
        <v>6131</v>
      </c>
      <c r="N886" s="14" t="s">
        <v>6132</v>
      </c>
      <c r="O886" s="14" t="s">
        <v>6133</v>
      </c>
      <c r="P886" s="14" t="s">
        <v>6134</v>
      </c>
      <c r="Q886" s="14" t="s">
        <v>227</v>
      </c>
      <c r="R886" s="14" t="s">
        <v>6135</v>
      </c>
      <c r="S886" s="14" t="s">
        <v>2368</v>
      </c>
      <c r="T886" s="14" t="s">
        <v>2369</v>
      </c>
      <c r="U886" s="14" t="s">
        <v>2370</v>
      </c>
      <c r="V886" s="48">
        <f>SUMIF(Data!$E:$E,$I886,Data!$AI:$AI)</f>
        <v>0</v>
      </c>
    </row>
    <row r="887" spans="1:22" ht="15.75" x14ac:dyDescent="0.3">
      <c r="A887" s="55" t="s">
        <v>5843</v>
      </c>
      <c r="B887" s="56" t="s">
        <v>123</v>
      </c>
      <c r="C887" s="57" t="s">
        <v>5072</v>
      </c>
      <c r="D887" s="58">
        <v>1.61914E-3</v>
      </c>
      <c r="E887" s="48">
        <f>SUMIF(Data!$E:$E,$C887,Data!$AI:$AI)</f>
        <v>0.26629035811338408</v>
      </c>
      <c r="G887" s="14" t="s">
        <v>6136</v>
      </c>
      <c r="H887" s="14" t="s">
        <v>6137</v>
      </c>
      <c r="I887" s="14" t="s">
        <v>6138</v>
      </c>
      <c r="J887" s="14" t="s">
        <v>6139</v>
      </c>
      <c r="K887" s="14" t="s">
        <v>140</v>
      </c>
      <c r="L887" s="14" t="s">
        <v>5642</v>
      </c>
      <c r="M887" s="14" t="s">
        <v>6140</v>
      </c>
      <c r="N887" s="14">
        <v>45.616</v>
      </c>
      <c r="O887" s="14" t="s">
        <v>6141</v>
      </c>
      <c r="P887" s="14" t="s">
        <v>6142</v>
      </c>
      <c r="Q887" s="14" t="s">
        <v>419</v>
      </c>
      <c r="R887" s="14" t="s">
        <v>6143</v>
      </c>
      <c r="S887" s="14" t="s">
        <v>148</v>
      </c>
      <c r="T887" s="14" t="s">
        <v>149</v>
      </c>
      <c r="U887" s="14" t="s">
        <v>113</v>
      </c>
      <c r="V887" s="48">
        <f>SUMIF(Data!$E:$E,$I887,Data!$AI:$AI)</f>
        <v>0</v>
      </c>
    </row>
    <row r="888" spans="1:22" ht="15.75" x14ac:dyDescent="0.3">
      <c r="A888" s="55" t="s">
        <v>5843</v>
      </c>
      <c r="B888" s="56" t="s">
        <v>123</v>
      </c>
      <c r="C888" s="57" t="s">
        <v>5316</v>
      </c>
      <c r="D888" s="58">
        <v>5.6211E-4</v>
      </c>
      <c r="E888" s="48">
        <f>SUMIF(Data!$E:$E,$C888,Data!$AI:$AI)</f>
        <v>0</v>
      </c>
      <c r="G888" s="14" t="s">
        <v>6144</v>
      </c>
      <c r="H888" s="14" t="s">
        <v>6145</v>
      </c>
      <c r="I888" s="14" t="s">
        <v>6146</v>
      </c>
      <c r="J888" s="14" t="s">
        <v>6147</v>
      </c>
      <c r="K888" s="14" t="s">
        <v>140</v>
      </c>
      <c r="L888" s="14" t="s">
        <v>5642</v>
      </c>
      <c r="M888" s="14" t="s">
        <v>6148</v>
      </c>
      <c r="N888" s="14">
        <v>181.76599999999999</v>
      </c>
      <c r="O888" s="14" t="s">
        <v>6149</v>
      </c>
      <c r="P888" s="14" t="s">
        <v>6150</v>
      </c>
      <c r="Q888" s="14" t="s">
        <v>175</v>
      </c>
      <c r="R888" s="14" t="s">
        <v>6151</v>
      </c>
      <c r="S888" s="14" t="s">
        <v>148</v>
      </c>
      <c r="T888" s="14" t="s">
        <v>149</v>
      </c>
      <c r="U888" s="14" t="s">
        <v>113</v>
      </c>
      <c r="V888" s="48">
        <f>SUMIF(Data!$E:$E,$I888,Data!$AI:$AI)</f>
        <v>0</v>
      </c>
    </row>
    <row r="889" spans="1:22" ht="15.75" x14ac:dyDescent="0.3">
      <c r="A889" s="55" t="s">
        <v>5843</v>
      </c>
      <c r="B889" s="56" t="s">
        <v>123</v>
      </c>
      <c r="C889" s="57" t="s">
        <v>4789</v>
      </c>
      <c r="D889" s="58">
        <v>9.0813600000000001E-3</v>
      </c>
      <c r="E889" s="48">
        <f>SUMIF(Data!$E:$E,$C889,Data!$AI:$AI)</f>
        <v>0</v>
      </c>
      <c r="G889" s="14" t="s">
        <v>6152</v>
      </c>
      <c r="H889" s="14" t="s">
        <v>6153</v>
      </c>
      <c r="I889" s="14" t="s">
        <v>6154</v>
      </c>
      <c r="J889" s="14" t="s">
        <v>6155</v>
      </c>
      <c r="K889" s="14" t="s">
        <v>140</v>
      </c>
      <c r="L889" s="14" t="s">
        <v>5642</v>
      </c>
      <c r="M889" s="14" t="s">
        <v>6156</v>
      </c>
      <c r="N889" s="14">
        <v>203.791</v>
      </c>
      <c r="O889" s="14" t="s">
        <v>6157</v>
      </c>
      <c r="P889" s="14" t="s">
        <v>6158</v>
      </c>
      <c r="Q889" s="14" t="s">
        <v>419</v>
      </c>
      <c r="R889" s="14" t="s">
        <v>6159</v>
      </c>
      <c r="S889" s="14" t="s">
        <v>479</v>
      </c>
      <c r="T889" s="14" t="s">
        <v>480</v>
      </c>
      <c r="U889" s="14" t="s">
        <v>481</v>
      </c>
      <c r="V889" s="48">
        <f>SUMIF(Data!$E:$E,$I889,Data!$AI:$AI)</f>
        <v>0</v>
      </c>
    </row>
    <row r="890" spans="1:22" ht="15.75" x14ac:dyDescent="0.3">
      <c r="A890" s="55" t="s">
        <v>5843</v>
      </c>
      <c r="B890" s="56" t="s">
        <v>123</v>
      </c>
      <c r="C890" s="57" t="s">
        <v>5463</v>
      </c>
      <c r="D890" s="58">
        <v>7.8535999999999992E-4</v>
      </c>
      <c r="E890" s="48">
        <f>SUMIF(Data!$E:$E,$C890,Data!$AI:$AI)</f>
        <v>0</v>
      </c>
      <c r="G890" s="14" t="s">
        <v>6160</v>
      </c>
      <c r="H890" s="14" t="s">
        <v>6161</v>
      </c>
      <c r="I890" s="14" t="s">
        <v>6162</v>
      </c>
      <c r="J890" s="14" t="s">
        <v>6163</v>
      </c>
      <c r="K890" s="14" t="s">
        <v>140</v>
      </c>
      <c r="L890" s="14" t="s">
        <v>5642</v>
      </c>
      <c r="M890" s="14" t="s">
        <v>6164</v>
      </c>
      <c r="N890" s="14">
        <v>69.912000000000006</v>
      </c>
      <c r="O890" s="14" t="s">
        <v>6165</v>
      </c>
      <c r="P890" s="14" t="s">
        <v>6166</v>
      </c>
      <c r="Q890" s="14" t="s">
        <v>165</v>
      </c>
      <c r="R890" s="14" t="s">
        <v>6167</v>
      </c>
      <c r="S890" s="14" t="s">
        <v>526</v>
      </c>
      <c r="T890" s="14" t="s">
        <v>527</v>
      </c>
      <c r="U890" s="14" t="s">
        <v>528</v>
      </c>
      <c r="V890" s="48">
        <f>SUMIF(Data!$E:$E,$I890,Data!$AI:$AI)</f>
        <v>0</v>
      </c>
    </row>
    <row r="891" spans="1:22" ht="15.75" x14ac:dyDescent="0.3">
      <c r="A891" s="55" t="s">
        <v>5843</v>
      </c>
      <c r="B891" s="56" t="s">
        <v>123</v>
      </c>
      <c r="C891" s="57" t="s">
        <v>5802</v>
      </c>
      <c r="D891" s="58">
        <v>1.5286999999999999E-4</v>
      </c>
      <c r="E891" s="48">
        <f>SUMIF(Data!$E:$E,$C891,Data!$AI:$AI)</f>
        <v>0</v>
      </c>
      <c r="G891" s="14" t="s">
        <v>6168</v>
      </c>
      <c r="H891" s="14" t="s">
        <v>6169</v>
      </c>
      <c r="I891" s="14" t="s">
        <v>6170</v>
      </c>
      <c r="J891" s="14" t="s">
        <v>6171</v>
      </c>
      <c r="K891" s="14" t="s">
        <v>140</v>
      </c>
      <c r="L891" s="14" t="s">
        <v>5642</v>
      </c>
      <c r="M891" s="14" t="s">
        <v>6172</v>
      </c>
      <c r="N891" s="14">
        <v>301.96100000000001</v>
      </c>
      <c r="O891" s="14" t="s">
        <v>6173</v>
      </c>
      <c r="P891" s="14" t="s">
        <v>6174</v>
      </c>
      <c r="Q891" s="14" t="s">
        <v>193</v>
      </c>
      <c r="R891" s="14" t="s">
        <v>6175</v>
      </c>
      <c r="S891" s="14" t="s">
        <v>148</v>
      </c>
      <c r="T891" s="14" t="s">
        <v>149</v>
      </c>
      <c r="U891" s="14" t="s">
        <v>113</v>
      </c>
      <c r="V891" s="48">
        <f>SUMIF(Data!$E:$E,$I891,Data!$AI:$AI)</f>
        <v>0</v>
      </c>
    </row>
    <row r="892" spans="1:22" ht="15.75" x14ac:dyDescent="0.3">
      <c r="A892" s="55" t="s">
        <v>5843</v>
      </c>
      <c r="B892" s="56" t="s">
        <v>123</v>
      </c>
      <c r="C892" s="57" t="s">
        <v>5389</v>
      </c>
      <c r="D892" s="58">
        <v>1.2584100000000002E-3</v>
      </c>
      <c r="E892" s="48">
        <f>SUMIF(Data!$E:$E,$C892,Data!$AI:$AI)</f>
        <v>0.2843976266541573</v>
      </c>
      <c r="G892" s="14" t="s">
        <v>6176</v>
      </c>
      <c r="H892" s="14" t="s">
        <v>6177</v>
      </c>
      <c r="I892" s="14">
        <v>9041</v>
      </c>
      <c r="J892" s="14" t="s">
        <v>6178</v>
      </c>
      <c r="K892" s="14" t="s">
        <v>140</v>
      </c>
      <c r="L892" s="14" t="s">
        <v>5642</v>
      </c>
      <c r="M892" s="14" t="s">
        <v>6179</v>
      </c>
      <c r="N892" s="14">
        <v>99.4</v>
      </c>
      <c r="O892" s="14" t="s">
        <v>6180</v>
      </c>
      <c r="P892" s="14" t="s">
        <v>6181</v>
      </c>
      <c r="Q892" s="14" t="s">
        <v>419</v>
      </c>
      <c r="R892" s="14" t="s">
        <v>6182</v>
      </c>
      <c r="S892" s="14" t="s">
        <v>444</v>
      </c>
      <c r="T892" s="14" t="s">
        <v>445</v>
      </c>
      <c r="U892" s="14" t="s">
        <v>446</v>
      </c>
      <c r="V892" s="48">
        <f>SUMIF(Data!$E:$E,$I892,Data!$AI:$AI)</f>
        <v>0</v>
      </c>
    </row>
    <row r="893" spans="1:22" ht="15.75" x14ac:dyDescent="0.3">
      <c r="A893" s="55" t="s">
        <v>5843</v>
      </c>
      <c r="B893" s="56" t="s">
        <v>123</v>
      </c>
      <c r="C893" s="57" t="s">
        <v>5402</v>
      </c>
      <c r="D893" s="58">
        <v>1.42881E-3</v>
      </c>
      <c r="E893" s="48">
        <f>SUMIF(Data!$E:$E,$C893,Data!$AI:$AI)</f>
        <v>0.2044484818987839</v>
      </c>
      <c r="G893" s="14" t="s">
        <v>6183</v>
      </c>
      <c r="H893" s="14" t="s">
        <v>6184</v>
      </c>
      <c r="I893" s="14" t="s">
        <v>6185</v>
      </c>
      <c r="J893" s="14" t="s">
        <v>6186</v>
      </c>
      <c r="K893" s="14" t="s">
        <v>140</v>
      </c>
      <c r="L893" s="14" t="s">
        <v>5642</v>
      </c>
      <c r="M893" s="14" t="s">
        <v>6187</v>
      </c>
      <c r="N893" s="14">
        <v>135.34899999999999</v>
      </c>
      <c r="O893" s="14" t="s">
        <v>6188</v>
      </c>
      <c r="P893" s="14" t="s">
        <v>6189</v>
      </c>
      <c r="Q893" s="14" t="s">
        <v>165</v>
      </c>
      <c r="R893" s="14" t="s">
        <v>6190</v>
      </c>
      <c r="S893" s="14" t="s">
        <v>195</v>
      </c>
      <c r="T893" s="14" t="s">
        <v>149</v>
      </c>
      <c r="U893" s="14" t="s">
        <v>113</v>
      </c>
      <c r="V893" s="48">
        <f>SUMIF(Data!$E:$E,$I893,Data!$AI:$AI)</f>
        <v>0</v>
      </c>
    </row>
    <row r="894" spans="1:22" ht="15.75" x14ac:dyDescent="0.3">
      <c r="A894" s="55" t="s">
        <v>5843</v>
      </c>
      <c r="B894" s="56" t="s">
        <v>123</v>
      </c>
      <c r="C894" s="57" t="s">
        <v>5712</v>
      </c>
      <c r="D894" s="58">
        <v>1.3617000000000002E-4</v>
      </c>
      <c r="E894" s="48">
        <f>SUMIF(Data!$E:$E,$C894,Data!$AI:$AI)</f>
        <v>0</v>
      </c>
      <c r="G894" s="14" t="s">
        <v>6191</v>
      </c>
      <c r="H894" s="14" t="s">
        <v>6192</v>
      </c>
      <c r="I894" s="14" t="s">
        <v>6193</v>
      </c>
      <c r="J894" s="14" t="s">
        <v>6194</v>
      </c>
      <c r="K894" s="14" t="s">
        <v>140</v>
      </c>
      <c r="L894" s="14" t="s">
        <v>5642</v>
      </c>
      <c r="M894" s="14" t="s">
        <v>6195</v>
      </c>
      <c r="N894" s="14">
        <v>80.835999999999999</v>
      </c>
      <c r="O894" s="14" t="s">
        <v>6196</v>
      </c>
      <c r="P894" s="14" t="s">
        <v>6197</v>
      </c>
      <c r="Q894" s="14" t="s">
        <v>419</v>
      </c>
      <c r="R894" s="14" t="s">
        <v>6198</v>
      </c>
      <c r="S894" s="14" t="s">
        <v>195</v>
      </c>
      <c r="T894" s="14" t="s">
        <v>149</v>
      </c>
      <c r="U894" s="14" t="s">
        <v>113</v>
      </c>
      <c r="V894" s="48">
        <f>SUMIF(Data!$E:$E,$I894,Data!$AI:$AI)</f>
        <v>0</v>
      </c>
    </row>
    <row r="895" spans="1:22" ht="15.75" x14ac:dyDescent="0.3">
      <c r="A895" s="55" t="s">
        <v>5843</v>
      </c>
      <c r="B895" s="56" t="s">
        <v>123</v>
      </c>
      <c r="C895" s="57" t="s">
        <v>3205</v>
      </c>
      <c r="D895" s="58">
        <v>7.1013499999999993E-3</v>
      </c>
      <c r="E895" s="48">
        <f>SUMIF(Data!$E:$E,$C895,Data!$AI:$AI)</f>
        <v>0</v>
      </c>
      <c r="G895" s="14" t="s">
        <v>6199</v>
      </c>
      <c r="H895" s="14" t="s">
        <v>6200</v>
      </c>
      <c r="I895" s="14" t="s">
        <v>6201</v>
      </c>
      <c r="J895" s="14" t="s">
        <v>6202</v>
      </c>
      <c r="K895" s="14" t="s">
        <v>140</v>
      </c>
      <c r="L895" s="14" t="s">
        <v>5642</v>
      </c>
      <c r="M895" s="14" t="s">
        <v>6203</v>
      </c>
      <c r="N895" s="14" t="s">
        <v>6204</v>
      </c>
      <c r="O895" s="14" t="s">
        <v>6205</v>
      </c>
      <c r="P895" s="14" t="s">
        <v>6206</v>
      </c>
      <c r="Q895" s="14" t="s">
        <v>175</v>
      </c>
      <c r="R895" s="14" t="s">
        <v>6207</v>
      </c>
      <c r="S895" s="14" t="s">
        <v>645</v>
      </c>
      <c r="T895" s="14" t="s">
        <v>646</v>
      </c>
      <c r="U895" s="14" t="s">
        <v>528</v>
      </c>
      <c r="V895" s="48">
        <f>SUMIF(Data!$E:$E,$I895,Data!$AI:$AI)</f>
        <v>0</v>
      </c>
    </row>
    <row r="896" spans="1:22" ht="15.75" x14ac:dyDescent="0.3">
      <c r="A896" s="55" t="s">
        <v>5843</v>
      </c>
      <c r="B896" s="56" t="s">
        <v>123</v>
      </c>
      <c r="C896" s="57" t="s">
        <v>5470</v>
      </c>
      <c r="D896" s="58">
        <v>9.1054999999999999E-4</v>
      </c>
      <c r="E896" s="48">
        <f>SUMIF(Data!$E:$E,$C896,Data!$AI:$AI)</f>
        <v>0</v>
      </c>
      <c r="G896" s="14" t="s">
        <v>6208</v>
      </c>
      <c r="H896" s="14" t="s">
        <v>6209</v>
      </c>
      <c r="I896" s="14" t="s">
        <v>6210</v>
      </c>
      <c r="J896" s="14" t="s">
        <v>6211</v>
      </c>
      <c r="K896" s="14" t="s">
        <v>140</v>
      </c>
      <c r="L896" s="14" t="s">
        <v>5642</v>
      </c>
      <c r="M896" s="14" t="s">
        <v>6212</v>
      </c>
      <c r="N896" s="14">
        <v>96.102999999999994</v>
      </c>
      <c r="O896" s="14" t="s">
        <v>6213</v>
      </c>
      <c r="P896" s="14" t="s">
        <v>6214</v>
      </c>
      <c r="Q896" s="14" t="s">
        <v>419</v>
      </c>
      <c r="R896" s="14" t="s">
        <v>6215</v>
      </c>
      <c r="S896" s="14" t="s">
        <v>2368</v>
      </c>
      <c r="T896" s="14" t="s">
        <v>553</v>
      </c>
      <c r="U896" s="14" t="s">
        <v>113</v>
      </c>
      <c r="V896" s="48">
        <f>SUMIF(Data!$E:$E,$I896,Data!$AI:$AI)</f>
        <v>0</v>
      </c>
    </row>
    <row r="897" spans="1:22" ht="15.75" x14ac:dyDescent="0.3">
      <c r="A897" s="55" t="s">
        <v>5843</v>
      </c>
      <c r="B897" s="56" t="s">
        <v>123</v>
      </c>
      <c r="C897" s="57" t="s">
        <v>5477</v>
      </c>
      <c r="D897" s="58">
        <v>7.1652999999999994E-4</v>
      </c>
      <c r="E897" s="48">
        <f>SUMIF(Data!$E:$E,$C897,Data!$AI:$AI)</f>
        <v>0</v>
      </c>
      <c r="G897" s="14" t="s">
        <v>6216</v>
      </c>
      <c r="H897" s="14" t="s">
        <v>6217</v>
      </c>
      <c r="I897" s="14">
        <v>5401</v>
      </c>
      <c r="J897" s="14" t="s">
        <v>6218</v>
      </c>
      <c r="K897" s="14" t="s">
        <v>140</v>
      </c>
      <c r="L897" s="14" t="s">
        <v>5642</v>
      </c>
      <c r="M897" s="14" t="s">
        <v>6219</v>
      </c>
      <c r="N897" s="14">
        <v>358.8</v>
      </c>
      <c r="O897" s="14" t="s">
        <v>6220</v>
      </c>
      <c r="P897" s="14" t="s">
        <v>6221</v>
      </c>
      <c r="Q897" s="14" t="s">
        <v>737</v>
      </c>
      <c r="R897" s="14" t="s">
        <v>6222</v>
      </c>
      <c r="S897" s="14" t="s">
        <v>444</v>
      </c>
      <c r="T897" s="14" t="s">
        <v>445</v>
      </c>
      <c r="U897" s="14" t="s">
        <v>446</v>
      </c>
      <c r="V897" s="48">
        <f>SUMIF(Data!$E:$E,$I897,Data!$AI:$AI)</f>
        <v>0</v>
      </c>
    </row>
    <row r="898" spans="1:22" ht="15.75" x14ac:dyDescent="0.3">
      <c r="A898" s="55" t="s">
        <v>5843</v>
      </c>
      <c r="B898" s="56" t="s">
        <v>123</v>
      </c>
      <c r="C898" s="57" t="s">
        <v>5484</v>
      </c>
      <c r="D898" s="58">
        <v>3.4214E-4</v>
      </c>
      <c r="E898" s="48">
        <f>SUMIF(Data!$E:$E,$C898,Data!$AI:$AI)</f>
        <v>0</v>
      </c>
      <c r="G898" s="14" t="s">
        <v>6223</v>
      </c>
      <c r="H898" s="14" t="s">
        <v>6224</v>
      </c>
      <c r="I898" s="14" t="s">
        <v>6225</v>
      </c>
      <c r="J898" s="14" t="s">
        <v>6226</v>
      </c>
      <c r="K898" s="14" t="s">
        <v>140</v>
      </c>
      <c r="L898" s="14" t="s">
        <v>5642</v>
      </c>
      <c r="M898" s="14" t="s">
        <v>6227</v>
      </c>
      <c r="N898" s="14">
        <v>97.558000000000007</v>
      </c>
      <c r="O898" s="14" t="s">
        <v>6228</v>
      </c>
      <c r="P898" s="14" t="s">
        <v>6229</v>
      </c>
      <c r="Q898" s="14" t="s">
        <v>419</v>
      </c>
      <c r="R898" s="14" t="s">
        <v>6230</v>
      </c>
      <c r="S898" s="14" t="s">
        <v>526</v>
      </c>
      <c r="T898" s="14" t="s">
        <v>527</v>
      </c>
      <c r="U898" s="14" t="s">
        <v>528</v>
      </c>
      <c r="V898" s="48">
        <f>SUMIF(Data!$E:$E,$I898,Data!$AI:$AI)</f>
        <v>0</v>
      </c>
    </row>
    <row r="899" spans="1:22" ht="15.75" x14ac:dyDescent="0.3">
      <c r="A899" s="55" t="s">
        <v>5843</v>
      </c>
      <c r="B899" s="56" t="s">
        <v>123</v>
      </c>
      <c r="C899" s="57" t="s">
        <v>5382</v>
      </c>
      <c r="D899" s="58">
        <v>1.23072E-3</v>
      </c>
      <c r="E899" s="48">
        <f>SUMIF(Data!$E:$E,$C899,Data!$AI:$AI)</f>
        <v>0</v>
      </c>
      <c r="G899" s="14" t="s">
        <v>6231</v>
      </c>
      <c r="H899" s="14" t="s">
        <v>6232</v>
      </c>
      <c r="I899" s="14" t="s">
        <v>6233</v>
      </c>
      <c r="J899" s="14" t="s">
        <v>6234</v>
      </c>
      <c r="K899" s="14" t="s">
        <v>140</v>
      </c>
      <c r="L899" s="14" t="s">
        <v>5642</v>
      </c>
      <c r="M899" s="14" t="s">
        <v>6235</v>
      </c>
      <c r="N899" s="14">
        <v>50.411000000000001</v>
      </c>
      <c r="O899" s="14" t="s">
        <v>6236</v>
      </c>
      <c r="P899" s="14" t="s">
        <v>6237</v>
      </c>
      <c r="Q899" s="14" t="s">
        <v>419</v>
      </c>
      <c r="R899" s="14" t="s">
        <v>6238</v>
      </c>
      <c r="S899" s="14" t="s">
        <v>563</v>
      </c>
      <c r="T899" s="14" t="s">
        <v>564</v>
      </c>
      <c r="U899" s="14" t="s">
        <v>528</v>
      </c>
      <c r="V899" s="48">
        <f>SUMIF(Data!$E:$E,$I899,Data!$AI:$AI)</f>
        <v>0</v>
      </c>
    </row>
    <row r="900" spans="1:22" ht="15.75" x14ac:dyDescent="0.3">
      <c r="A900" s="55" t="s">
        <v>5843</v>
      </c>
      <c r="B900" s="56" t="s">
        <v>123</v>
      </c>
      <c r="C900" s="57" t="s">
        <v>5755</v>
      </c>
      <c r="D900" s="58">
        <v>1.1471700000000001E-3</v>
      </c>
      <c r="E900" s="48">
        <f>SUMIF(Data!$E:$E,$C900,Data!$AI:$AI)</f>
        <v>0.32250109258134818</v>
      </c>
      <c r="G900" s="14" t="s">
        <v>6239</v>
      </c>
      <c r="H900" s="14" t="s">
        <v>6240</v>
      </c>
      <c r="I900" s="14" t="s">
        <v>6241</v>
      </c>
      <c r="J900" s="14" t="s">
        <v>6242</v>
      </c>
      <c r="K900" s="14" t="s">
        <v>140</v>
      </c>
      <c r="L900" s="14" t="s">
        <v>5642</v>
      </c>
      <c r="M900" s="14" t="s">
        <v>6243</v>
      </c>
      <c r="N900" s="14">
        <v>727.346</v>
      </c>
      <c r="O900" s="14" t="s">
        <v>6244</v>
      </c>
      <c r="P900" s="14" t="s">
        <v>6245</v>
      </c>
      <c r="Q900" s="14" t="s">
        <v>737</v>
      </c>
      <c r="R900" s="14" t="s">
        <v>6246</v>
      </c>
      <c r="S900" s="14" t="s">
        <v>850</v>
      </c>
      <c r="T900" s="14" t="s">
        <v>851</v>
      </c>
      <c r="U900" s="14" t="s">
        <v>852</v>
      </c>
      <c r="V900" s="48">
        <f>SUMIF(Data!$E:$E,$I900,Data!$AI:$AI)</f>
        <v>0</v>
      </c>
    </row>
    <row r="901" spans="1:22" ht="15.75" x14ac:dyDescent="0.3">
      <c r="A901" s="55" t="s">
        <v>5843</v>
      </c>
      <c r="B901" s="56" t="s">
        <v>123</v>
      </c>
      <c r="C901" s="57" t="s">
        <v>4527</v>
      </c>
      <c r="D901" s="58">
        <v>5.6114399999999997E-3</v>
      </c>
      <c r="E901" s="48">
        <f>SUMIF(Data!$E:$E,$C901,Data!$AI:$AI)</f>
        <v>0</v>
      </c>
      <c r="G901" s="14" t="s">
        <v>6247</v>
      </c>
      <c r="H901" s="14" t="s">
        <v>6248</v>
      </c>
      <c r="I901" s="14">
        <v>5802</v>
      </c>
      <c r="J901" s="14" t="s">
        <v>6249</v>
      </c>
      <c r="K901" s="14" t="s">
        <v>140</v>
      </c>
      <c r="L901" s="14" t="s">
        <v>5642</v>
      </c>
      <c r="M901" s="14" t="s">
        <v>6250</v>
      </c>
      <c r="N901" s="14">
        <v>359.09699999999998</v>
      </c>
      <c r="O901" s="14" t="s">
        <v>6251</v>
      </c>
      <c r="P901" s="14" t="s">
        <v>6252</v>
      </c>
      <c r="Q901" s="14" t="s">
        <v>165</v>
      </c>
      <c r="R901" s="14" t="s">
        <v>6253</v>
      </c>
      <c r="S901" s="14" t="s">
        <v>444</v>
      </c>
      <c r="T901" s="14" t="s">
        <v>445</v>
      </c>
      <c r="U901" s="14" t="s">
        <v>446</v>
      </c>
      <c r="V901" s="48">
        <f>SUMIF(Data!$E:$E,$I901,Data!$AI:$AI)</f>
        <v>0</v>
      </c>
    </row>
    <row r="902" spans="1:22" ht="15.75" x14ac:dyDescent="0.3">
      <c r="A902" s="55" t="s">
        <v>5843</v>
      </c>
      <c r="B902" s="56" t="s">
        <v>123</v>
      </c>
      <c r="C902" s="57" t="s">
        <v>5085</v>
      </c>
      <c r="D902" s="58">
        <v>1.07817E-3</v>
      </c>
      <c r="E902" s="48">
        <f>SUMIF(Data!$E:$E,$C902,Data!$AI:$AI)</f>
        <v>0</v>
      </c>
      <c r="G902" s="14" t="s">
        <v>6254</v>
      </c>
      <c r="H902" s="14" t="s">
        <v>6255</v>
      </c>
      <c r="I902" s="14" t="s">
        <v>1299</v>
      </c>
      <c r="J902" s="14" t="s">
        <v>6256</v>
      </c>
      <c r="K902" s="14" t="s">
        <v>140</v>
      </c>
      <c r="L902" s="14" t="s">
        <v>5642</v>
      </c>
      <c r="M902" s="14" t="s">
        <v>6257</v>
      </c>
      <c r="N902" s="14" t="s">
        <v>6258</v>
      </c>
      <c r="O902" s="14" t="s">
        <v>6259</v>
      </c>
      <c r="P902" s="14" t="s">
        <v>6260</v>
      </c>
      <c r="Q902" s="14" t="s">
        <v>193</v>
      </c>
      <c r="R902" s="14" t="s">
        <v>6261</v>
      </c>
      <c r="S902" s="14" t="s">
        <v>645</v>
      </c>
      <c r="T902" s="14" t="s">
        <v>646</v>
      </c>
      <c r="U902" s="14" t="s">
        <v>528</v>
      </c>
      <c r="V902" s="48">
        <f>SUMIF(Data!$E:$E,$I902,Data!$AI:$AI)</f>
        <v>0</v>
      </c>
    </row>
    <row r="903" spans="1:22" ht="15.75" x14ac:dyDescent="0.3">
      <c r="A903" s="55" t="s">
        <v>5843</v>
      </c>
      <c r="B903" s="56" t="s">
        <v>123</v>
      </c>
      <c r="C903" s="57" t="s">
        <v>5277</v>
      </c>
      <c r="D903" s="58">
        <v>3.36214E-3</v>
      </c>
      <c r="E903" s="48">
        <f>SUMIF(Data!$E:$E,$C903,Data!$AI:$AI)</f>
        <v>0.33919062734131172</v>
      </c>
      <c r="G903" s="14" t="s">
        <v>6262</v>
      </c>
      <c r="H903" s="14" t="s">
        <v>6263</v>
      </c>
      <c r="I903" s="14">
        <v>9531</v>
      </c>
      <c r="J903" s="14" t="s">
        <v>6264</v>
      </c>
      <c r="K903" s="14" t="s">
        <v>140</v>
      </c>
      <c r="L903" s="14" t="s">
        <v>5642</v>
      </c>
      <c r="M903" s="14" t="s">
        <v>6265</v>
      </c>
      <c r="N903" s="14">
        <v>223.14599999999999</v>
      </c>
      <c r="O903" s="14" t="s">
        <v>6266</v>
      </c>
      <c r="P903" s="14" t="s">
        <v>6267</v>
      </c>
      <c r="Q903" s="14" t="s">
        <v>697</v>
      </c>
      <c r="R903" s="14" t="s">
        <v>6268</v>
      </c>
      <c r="S903" s="14" t="s">
        <v>444</v>
      </c>
      <c r="T903" s="14" t="s">
        <v>445</v>
      </c>
      <c r="U903" s="14" t="s">
        <v>446</v>
      </c>
      <c r="V903" s="48">
        <f>SUMIF(Data!$E:$E,$I903,Data!$AI:$AI)</f>
        <v>0</v>
      </c>
    </row>
    <row r="904" spans="1:22" ht="15.75" x14ac:dyDescent="0.3">
      <c r="A904" s="55" t="s">
        <v>5843</v>
      </c>
      <c r="B904" s="56" t="s">
        <v>123</v>
      </c>
      <c r="C904" s="57" t="s">
        <v>3174</v>
      </c>
      <c r="D904" s="58">
        <v>1.38904E-3</v>
      </c>
      <c r="E904" s="48">
        <f>SUMIF(Data!$E:$E,$C904,Data!$AI:$AI)</f>
        <v>0</v>
      </c>
      <c r="G904" s="14" t="s">
        <v>6269</v>
      </c>
      <c r="H904" s="14" t="s">
        <v>6270</v>
      </c>
      <c r="I904" s="14" t="s">
        <v>6271</v>
      </c>
      <c r="J904" s="14" t="s">
        <v>6272</v>
      </c>
      <c r="K904" s="14" t="s">
        <v>140</v>
      </c>
      <c r="L904" s="14" t="s">
        <v>5642</v>
      </c>
      <c r="M904" s="14" t="s">
        <v>6273</v>
      </c>
      <c r="N904" s="14">
        <v>150.06800000000001</v>
      </c>
      <c r="O904" s="14" t="s">
        <v>6274</v>
      </c>
      <c r="P904" s="14" t="s">
        <v>6275</v>
      </c>
      <c r="Q904" s="14" t="s">
        <v>146</v>
      </c>
      <c r="R904" s="14" t="s">
        <v>6276</v>
      </c>
      <c r="S904" s="14" t="s">
        <v>195</v>
      </c>
      <c r="T904" s="14" t="s">
        <v>149</v>
      </c>
      <c r="U904" s="14" t="s">
        <v>113</v>
      </c>
      <c r="V904" s="48">
        <f>SUMIF(Data!$E:$E,$I904,Data!$AI:$AI)</f>
        <v>0</v>
      </c>
    </row>
    <row r="905" spans="1:22" ht="15.75" x14ac:dyDescent="0.3">
      <c r="A905" s="55" t="s">
        <v>5843</v>
      </c>
      <c r="B905" s="56" t="s">
        <v>123</v>
      </c>
      <c r="C905" s="57" t="s">
        <v>4801</v>
      </c>
      <c r="D905" s="58">
        <v>2.7886709999999999E-2</v>
      </c>
      <c r="E905" s="48">
        <f>SUMIF(Data!$E:$E,$C905,Data!$AI:$AI)</f>
        <v>0.9366848889291185</v>
      </c>
      <c r="G905" s="14" t="s">
        <v>6277</v>
      </c>
      <c r="H905" s="14" t="s">
        <v>6278</v>
      </c>
      <c r="I905" s="14" t="s">
        <v>6279</v>
      </c>
      <c r="J905" s="14" t="s">
        <v>6280</v>
      </c>
      <c r="K905" s="14" t="s">
        <v>140</v>
      </c>
      <c r="L905" s="14" t="s">
        <v>5642</v>
      </c>
      <c r="M905" s="14" t="s">
        <v>6281</v>
      </c>
      <c r="N905" s="14">
        <v>35.735999999999997</v>
      </c>
      <c r="O905" s="14" t="s">
        <v>6282</v>
      </c>
      <c r="P905" s="14" t="s">
        <v>6283</v>
      </c>
      <c r="Q905" s="14" t="s">
        <v>165</v>
      </c>
      <c r="R905" s="14" t="s">
        <v>6284</v>
      </c>
      <c r="S905" s="14" t="s">
        <v>195</v>
      </c>
      <c r="T905" s="14" t="s">
        <v>149</v>
      </c>
      <c r="U905" s="14" t="s">
        <v>113</v>
      </c>
      <c r="V905" s="48">
        <f>SUMIF(Data!$E:$E,$I905,Data!$AI:$AI)</f>
        <v>0</v>
      </c>
    </row>
    <row r="906" spans="1:22" ht="15.75" x14ac:dyDescent="0.3">
      <c r="A906" s="55" t="s">
        <v>5843</v>
      </c>
      <c r="B906" s="56" t="s">
        <v>123</v>
      </c>
      <c r="C906" s="57" t="s">
        <v>4499</v>
      </c>
      <c r="D906" s="58">
        <v>7.7690800000000003E-3</v>
      </c>
      <c r="E906" s="48">
        <f>SUMIF(Data!$E:$E,$C906,Data!$AI:$AI)</f>
        <v>0</v>
      </c>
      <c r="G906" s="14" t="s">
        <v>6285</v>
      </c>
      <c r="H906" s="14" t="s">
        <v>6286</v>
      </c>
      <c r="I906" s="14" t="s">
        <v>6287</v>
      </c>
      <c r="J906" s="14" t="s">
        <v>6288</v>
      </c>
      <c r="K906" s="14" t="s">
        <v>140</v>
      </c>
      <c r="L906" s="14" t="s">
        <v>5642</v>
      </c>
      <c r="M906" s="14" t="s">
        <v>6289</v>
      </c>
      <c r="N906" s="14">
        <v>80.210999999999999</v>
      </c>
      <c r="O906" s="14" t="s">
        <v>6290</v>
      </c>
      <c r="P906" s="14" t="s">
        <v>6291</v>
      </c>
      <c r="Q906" s="14" t="s">
        <v>211</v>
      </c>
      <c r="R906" s="14" t="s">
        <v>6292</v>
      </c>
      <c r="S906" s="14" t="s">
        <v>148</v>
      </c>
      <c r="T906" s="14" t="s">
        <v>149</v>
      </c>
      <c r="U906" s="14" t="s">
        <v>113</v>
      </c>
      <c r="V906" s="48">
        <f>SUMIF(Data!$E:$E,$I906,Data!$AI:$AI)</f>
        <v>0</v>
      </c>
    </row>
    <row r="907" spans="1:22" ht="15.75" x14ac:dyDescent="0.3">
      <c r="A907" s="55" t="s">
        <v>5843</v>
      </c>
      <c r="B907" s="56" t="s">
        <v>123</v>
      </c>
      <c r="C907" s="57" t="s">
        <v>4605</v>
      </c>
      <c r="D907" s="58">
        <v>3.42238E-3</v>
      </c>
      <c r="E907" s="48">
        <f>SUMIF(Data!$E:$E,$C907,Data!$AI:$AI)</f>
        <v>0</v>
      </c>
      <c r="G907" s="14" t="s">
        <v>6293</v>
      </c>
      <c r="H907" s="14" t="s">
        <v>6294</v>
      </c>
      <c r="I907" s="14" t="s">
        <v>6295</v>
      </c>
      <c r="J907" s="14" t="s">
        <v>6296</v>
      </c>
      <c r="K907" s="14" t="s">
        <v>140</v>
      </c>
      <c r="L907" s="14" t="s">
        <v>5642</v>
      </c>
      <c r="M907" s="14" t="s">
        <v>6297</v>
      </c>
      <c r="N907" s="14">
        <v>153.93199999999999</v>
      </c>
      <c r="O907" s="14" t="s">
        <v>6298</v>
      </c>
      <c r="P907" s="14" t="s">
        <v>6299</v>
      </c>
      <c r="Q907" s="14" t="s">
        <v>165</v>
      </c>
      <c r="R907" s="14" t="s">
        <v>6300</v>
      </c>
      <c r="S907" s="14" t="s">
        <v>728</v>
      </c>
      <c r="T907" s="14" t="s">
        <v>729</v>
      </c>
      <c r="U907" s="14" t="s">
        <v>730</v>
      </c>
      <c r="V907" s="48">
        <f>SUMIF(Data!$E:$E,$I907,Data!$AI:$AI)</f>
        <v>0</v>
      </c>
    </row>
    <row r="908" spans="1:22" ht="15.75" x14ac:dyDescent="0.3">
      <c r="A908" s="55" t="s">
        <v>5843</v>
      </c>
      <c r="B908" s="56" t="s">
        <v>123</v>
      </c>
      <c r="C908" s="57" t="s">
        <v>5491</v>
      </c>
      <c r="D908" s="58">
        <v>3.4618000000000002E-4</v>
      </c>
      <c r="E908" s="48">
        <f>SUMIF(Data!$E:$E,$C908,Data!$AI:$AI)</f>
        <v>0</v>
      </c>
      <c r="G908" s="14" t="s">
        <v>6301</v>
      </c>
      <c r="H908" s="14" t="s">
        <v>6302</v>
      </c>
      <c r="I908" s="14">
        <v>5713</v>
      </c>
      <c r="J908" s="14" t="s">
        <v>6303</v>
      </c>
      <c r="K908" s="14" t="s">
        <v>140</v>
      </c>
      <c r="L908" s="14" t="s">
        <v>5642</v>
      </c>
      <c r="M908" s="14" t="s">
        <v>6304</v>
      </c>
      <c r="N908" s="14">
        <v>166.68199999999999</v>
      </c>
      <c r="O908" s="14" t="s">
        <v>6305</v>
      </c>
      <c r="P908" s="14" t="s">
        <v>6306</v>
      </c>
      <c r="Q908" s="14" t="s">
        <v>737</v>
      </c>
      <c r="R908" s="14" t="s">
        <v>6307</v>
      </c>
      <c r="S908" s="14" t="s">
        <v>444</v>
      </c>
      <c r="T908" s="14" t="s">
        <v>445</v>
      </c>
      <c r="U908" s="14" t="s">
        <v>446</v>
      </c>
      <c r="V908" s="48">
        <f>SUMIF(Data!$E:$E,$I908,Data!$AI:$AI)</f>
        <v>0</v>
      </c>
    </row>
    <row r="909" spans="1:22" ht="15.75" x14ac:dyDescent="0.3">
      <c r="A909" s="55" t="s">
        <v>5843</v>
      </c>
      <c r="B909" s="56" t="s">
        <v>123</v>
      </c>
      <c r="C909" s="57" t="s">
        <v>3145</v>
      </c>
      <c r="D909" s="58">
        <v>9.4892799999999992E-3</v>
      </c>
      <c r="E909" s="48">
        <f>SUMIF(Data!$E:$E,$C909,Data!$AI:$AI)</f>
        <v>0</v>
      </c>
      <c r="G909" s="14" t="s">
        <v>6308</v>
      </c>
      <c r="H909" s="14" t="s">
        <v>6309</v>
      </c>
      <c r="I909" s="14" t="s">
        <v>6310</v>
      </c>
      <c r="J909" s="14" t="s">
        <v>6311</v>
      </c>
      <c r="K909" s="14" t="s">
        <v>140</v>
      </c>
      <c r="L909" s="14" t="s">
        <v>5642</v>
      </c>
      <c r="M909" s="14" t="s">
        <v>4516</v>
      </c>
      <c r="N909" s="14">
        <v>96.650999999999996</v>
      </c>
      <c r="O909" s="14" t="s">
        <v>6312</v>
      </c>
      <c r="P909" s="14" t="s">
        <v>6313</v>
      </c>
      <c r="Q909" s="14" t="s">
        <v>227</v>
      </c>
      <c r="R909" s="14" t="s">
        <v>6314</v>
      </c>
      <c r="S909" s="14" t="s">
        <v>195</v>
      </c>
      <c r="T909" s="14" t="s">
        <v>149</v>
      </c>
      <c r="U909" s="14" t="s">
        <v>113</v>
      </c>
      <c r="V909" s="48">
        <f>SUMIF(Data!$E:$E,$I909,Data!$AI:$AI)</f>
        <v>0</v>
      </c>
    </row>
    <row r="910" spans="1:22" ht="15.75" x14ac:dyDescent="0.3">
      <c r="A910" s="55" t="s">
        <v>5843</v>
      </c>
      <c r="B910" s="56" t="s">
        <v>123</v>
      </c>
      <c r="C910" s="57" t="s">
        <v>4506</v>
      </c>
      <c r="D910" s="58">
        <v>1.8602599999999999E-3</v>
      </c>
      <c r="E910" s="48">
        <f>SUMIF(Data!$E:$E,$C910,Data!$AI:$AI)</f>
        <v>0.35312037204807345</v>
      </c>
      <c r="G910" s="14" t="s">
        <v>6315</v>
      </c>
      <c r="H910" s="14" t="s">
        <v>6316</v>
      </c>
      <c r="I910" s="14" t="s">
        <v>6317</v>
      </c>
      <c r="J910" s="14" t="s">
        <v>6318</v>
      </c>
      <c r="K910" s="14" t="s">
        <v>140</v>
      </c>
      <c r="L910" s="14" t="s">
        <v>5642</v>
      </c>
      <c r="M910" s="14" t="s">
        <v>6319</v>
      </c>
      <c r="N910" s="14">
        <v>93.41</v>
      </c>
      <c r="O910" s="14" t="s">
        <v>6320</v>
      </c>
      <c r="P910" s="14" t="s">
        <v>6321</v>
      </c>
      <c r="Q910" s="14" t="s">
        <v>193</v>
      </c>
      <c r="R910" s="14" t="s">
        <v>6322</v>
      </c>
      <c r="S910" s="14" t="s">
        <v>850</v>
      </c>
      <c r="T910" s="14" t="s">
        <v>851</v>
      </c>
      <c r="U910" s="14" t="s">
        <v>852</v>
      </c>
      <c r="V910" s="48">
        <f>SUMIF(Data!$E:$E,$I910,Data!$AI:$AI)</f>
        <v>0</v>
      </c>
    </row>
    <row r="911" spans="1:22" ht="15.75" x14ac:dyDescent="0.3">
      <c r="A911" s="55" t="s">
        <v>5843</v>
      </c>
      <c r="B911" s="56" t="s">
        <v>123</v>
      </c>
      <c r="C911" s="57" t="s">
        <v>5248</v>
      </c>
      <c r="D911" s="58">
        <v>6.6236000000000008E-4</v>
      </c>
      <c r="E911" s="48">
        <f>SUMIF(Data!$E:$E,$C911,Data!$AI:$AI)</f>
        <v>0</v>
      </c>
      <c r="G911" s="14" t="s">
        <v>6323</v>
      </c>
      <c r="H911" s="14" t="s">
        <v>6324</v>
      </c>
      <c r="I911" s="14" t="s">
        <v>6325</v>
      </c>
      <c r="J911" s="14" t="s">
        <v>6326</v>
      </c>
      <c r="K911" s="14" t="s">
        <v>140</v>
      </c>
      <c r="L911" s="14" t="s">
        <v>5642</v>
      </c>
      <c r="M911" s="14" t="s">
        <v>6327</v>
      </c>
      <c r="N911" s="14">
        <v>37.771999999999998</v>
      </c>
      <c r="O911" s="14" t="s">
        <v>6328</v>
      </c>
      <c r="P911" s="14" t="s">
        <v>6329</v>
      </c>
      <c r="Q911" s="14" t="s">
        <v>146</v>
      </c>
      <c r="R911" s="14" t="s">
        <v>6330</v>
      </c>
      <c r="S911" s="14" t="s">
        <v>148</v>
      </c>
      <c r="T911" s="14" t="s">
        <v>4834</v>
      </c>
      <c r="U911" s="14" t="s">
        <v>113</v>
      </c>
      <c r="V911" s="48">
        <f>SUMIF(Data!$E:$E,$I911,Data!$AI:$AI)</f>
        <v>0</v>
      </c>
    </row>
    <row r="912" spans="1:22" ht="15.75" x14ac:dyDescent="0.3">
      <c r="A912" s="55" t="s">
        <v>5843</v>
      </c>
      <c r="B912" s="56" t="s">
        <v>123</v>
      </c>
      <c r="C912" s="57" t="s">
        <v>5498</v>
      </c>
      <c r="D912" s="58">
        <v>4.8800000000000004E-4</v>
      </c>
      <c r="E912" s="48">
        <f>SUMIF(Data!$E:$E,$C912,Data!$AI:$AI)</f>
        <v>0</v>
      </c>
      <c r="G912" s="14" t="s">
        <v>6331</v>
      </c>
      <c r="H912" s="14" t="s">
        <v>6332</v>
      </c>
      <c r="I912" s="14">
        <v>7832</v>
      </c>
      <c r="J912" s="14" t="s">
        <v>6333</v>
      </c>
      <c r="K912" s="14" t="s">
        <v>140</v>
      </c>
      <c r="L912" s="14" t="s">
        <v>5642</v>
      </c>
      <c r="M912" s="14" t="s">
        <v>6334</v>
      </c>
      <c r="N912" s="14">
        <v>88.1</v>
      </c>
      <c r="O912" s="14" t="s">
        <v>6335</v>
      </c>
      <c r="P912" s="14" t="s">
        <v>6336</v>
      </c>
      <c r="Q912" s="14" t="s">
        <v>165</v>
      </c>
      <c r="R912" s="14" t="s">
        <v>6337</v>
      </c>
      <c r="S912" s="14" t="s">
        <v>444</v>
      </c>
      <c r="T912" s="14" t="s">
        <v>445</v>
      </c>
      <c r="U912" s="14" t="s">
        <v>446</v>
      </c>
      <c r="V912" s="48">
        <f>SUMIF(Data!$E:$E,$I912,Data!$AI:$AI)</f>
        <v>0</v>
      </c>
    </row>
    <row r="913" spans="1:22" ht="15.75" x14ac:dyDescent="0.3">
      <c r="A913" s="55" t="s">
        <v>5843</v>
      </c>
      <c r="B913" s="56" t="s">
        <v>123</v>
      </c>
      <c r="C913" s="57" t="s">
        <v>6338</v>
      </c>
      <c r="D913" s="58">
        <v>8.0042999999999998E-4</v>
      </c>
      <c r="E913" s="48">
        <f>SUMIF(Data!$E:$E,$C913,Data!$AI:$AI)</f>
        <v>0</v>
      </c>
      <c r="G913" s="14" t="s">
        <v>6339</v>
      </c>
      <c r="H913" s="14" t="s">
        <v>6340</v>
      </c>
      <c r="I913" s="14" t="s">
        <v>6341</v>
      </c>
      <c r="J913" s="14" t="s">
        <v>6342</v>
      </c>
      <c r="K913" s="14" t="s">
        <v>140</v>
      </c>
      <c r="L913" s="14" t="s">
        <v>5642</v>
      </c>
      <c r="M913" s="14" t="s">
        <v>6343</v>
      </c>
      <c r="N913" s="14">
        <v>58.119</v>
      </c>
      <c r="O913" s="14" t="s">
        <v>6344</v>
      </c>
      <c r="P913" s="14" t="s">
        <v>6345</v>
      </c>
      <c r="Q913" s="14" t="s">
        <v>697</v>
      </c>
      <c r="R913" s="14" t="s">
        <v>6346</v>
      </c>
      <c r="S913" s="14" t="s">
        <v>195</v>
      </c>
      <c r="T913" s="14" t="s">
        <v>149</v>
      </c>
      <c r="U913" s="14" t="s">
        <v>113</v>
      </c>
      <c r="V913" s="48">
        <f>SUMIF(Data!$E:$E,$I913,Data!$AI:$AI)</f>
        <v>0</v>
      </c>
    </row>
    <row r="914" spans="1:22" ht="15.75" x14ac:dyDescent="0.3">
      <c r="A914" s="55" t="s">
        <v>5843</v>
      </c>
      <c r="B914" s="56" t="s">
        <v>123</v>
      </c>
      <c r="C914" s="57" t="s">
        <v>5504</v>
      </c>
      <c r="D914" s="58">
        <v>2.4198999999999998E-4</v>
      </c>
      <c r="E914" s="48">
        <f>SUMIF(Data!$E:$E,$C914,Data!$AI:$AI)</f>
        <v>0</v>
      </c>
      <c r="G914" s="14" t="s">
        <v>6347</v>
      </c>
      <c r="H914" s="14" t="s">
        <v>6348</v>
      </c>
      <c r="I914" s="14" t="s">
        <v>6349</v>
      </c>
      <c r="J914" s="14" t="s">
        <v>6350</v>
      </c>
      <c r="K914" s="14" t="s">
        <v>140</v>
      </c>
      <c r="L914" s="14" t="s">
        <v>5642</v>
      </c>
      <c r="M914" s="14" t="s">
        <v>6351</v>
      </c>
      <c r="N914" s="14">
        <v>163.869</v>
      </c>
      <c r="O914" s="14" t="s">
        <v>6352</v>
      </c>
      <c r="P914" s="14" t="s">
        <v>6353</v>
      </c>
      <c r="Q914" s="14" t="s">
        <v>697</v>
      </c>
      <c r="R914" s="14" t="s">
        <v>6354</v>
      </c>
      <c r="S914" s="14" t="s">
        <v>479</v>
      </c>
      <c r="T914" s="14" t="s">
        <v>480</v>
      </c>
      <c r="U914" s="14" t="s">
        <v>481</v>
      </c>
      <c r="V914" s="48">
        <f>SUMIF(Data!$E:$E,$I914,Data!$AI:$AI)</f>
        <v>0</v>
      </c>
    </row>
    <row r="915" spans="1:22" ht="15.75" x14ac:dyDescent="0.3">
      <c r="A915" s="55" t="s">
        <v>5843</v>
      </c>
      <c r="B915" s="56" t="s">
        <v>123</v>
      </c>
      <c r="C915" s="57" t="s">
        <v>3152</v>
      </c>
      <c r="D915" s="58">
        <v>2.3961E-3</v>
      </c>
      <c r="E915" s="48">
        <f>SUMIF(Data!$E:$E,$C915,Data!$AI:$AI)</f>
        <v>0.13519946439795033</v>
      </c>
      <c r="G915" s="14" t="s">
        <v>6355</v>
      </c>
      <c r="H915" s="14" t="s">
        <v>6356</v>
      </c>
      <c r="I915" s="14" t="s">
        <v>6357</v>
      </c>
      <c r="J915" s="14" t="s">
        <v>6358</v>
      </c>
      <c r="K915" s="14" t="s">
        <v>140</v>
      </c>
      <c r="L915" s="14" t="s">
        <v>5642</v>
      </c>
      <c r="M915" s="14" t="s">
        <v>6359</v>
      </c>
      <c r="N915" s="14">
        <v>117.197</v>
      </c>
      <c r="O915" s="14" t="s">
        <v>6360</v>
      </c>
      <c r="P915" s="14" t="s">
        <v>6361</v>
      </c>
      <c r="Q915" s="14" t="s">
        <v>737</v>
      </c>
      <c r="R915" s="14" t="s">
        <v>6362</v>
      </c>
      <c r="S915" s="14" t="s">
        <v>195</v>
      </c>
      <c r="T915" s="14" t="s">
        <v>149</v>
      </c>
      <c r="U915" s="14" t="s">
        <v>113</v>
      </c>
      <c r="V915" s="48">
        <f>SUMIF(Data!$E:$E,$I915,Data!$AI:$AI)</f>
        <v>0</v>
      </c>
    </row>
    <row r="916" spans="1:22" ht="15.75" x14ac:dyDescent="0.3">
      <c r="A916" s="55" t="s">
        <v>5843</v>
      </c>
      <c r="B916" s="56" t="s">
        <v>123</v>
      </c>
      <c r="C916" s="57" t="s">
        <v>5719</v>
      </c>
      <c r="D916" s="58">
        <v>5.8967999999999998E-4</v>
      </c>
      <c r="E916" s="48">
        <f>SUMIF(Data!$E:$E,$C916,Data!$AI:$AI)</f>
        <v>0.1498021462744413</v>
      </c>
      <c r="G916" s="14" t="s">
        <v>6363</v>
      </c>
      <c r="H916" s="14" t="s">
        <v>6364</v>
      </c>
      <c r="I916" s="14" t="s">
        <v>6365</v>
      </c>
      <c r="J916" s="14" t="s">
        <v>6366</v>
      </c>
      <c r="K916" s="14" t="s">
        <v>140</v>
      </c>
      <c r="L916" s="14" t="s">
        <v>5642</v>
      </c>
      <c r="M916" s="14" t="s">
        <v>6367</v>
      </c>
      <c r="N916" s="14">
        <v>149.85599999999999</v>
      </c>
      <c r="O916" s="14" t="s">
        <v>6368</v>
      </c>
      <c r="P916" s="14" t="s">
        <v>6369</v>
      </c>
      <c r="Q916" s="14" t="s">
        <v>211</v>
      </c>
      <c r="R916" s="14" t="s">
        <v>6370</v>
      </c>
      <c r="S916" s="14" t="s">
        <v>526</v>
      </c>
      <c r="T916" s="14" t="s">
        <v>527</v>
      </c>
      <c r="U916" s="14" t="s">
        <v>528</v>
      </c>
      <c r="V916" s="48">
        <f>SUMIF(Data!$E:$E,$I916,Data!$AI:$AI)</f>
        <v>0</v>
      </c>
    </row>
    <row r="917" spans="1:22" ht="15.75" x14ac:dyDescent="0.3">
      <c r="A917" s="55" t="s">
        <v>5843</v>
      </c>
      <c r="B917" s="56" t="s">
        <v>123</v>
      </c>
      <c r="C917" s="57" t="s">
        <v>4549</v>
      </c>
      <c r="D917" s="58">
        <v>6.4661900000000001E-3</v>
      </c>
      <c r="E917" s="48">
        <f>SUMIF(Data!$E:$E,$C917,Data!$AI:$AI)</f>
        <v>0</v>
      </c>
      <c r="G917" s="14" t="s">
        <v>6371</v>
      </c>
      <c r="H917" s="14" t="s">
        <v>6372</v>
      </c>
      <c r="I917" s="14" t="s">
        <v>4841</v>
      </c>
      <c r="J917" s="14" t="s">
        <v>6373</v>
      </c>
      <c r="K917" s="14" t="s">
        <v>140</v>
      </c>
      <c r="L917" s="14" t="s">
        <v>5642</v>
      </c>
      <c r="M917" s="14" t="s">
        <v>6374</v>
      </c>
      <c r="N917" s="14">
        <v>20.873000000000001</v>
      </c>
      <c r="O917" s="14" t="s">
        <v>6375</v>
      </c>
      <c r="P917" s="14" t="s">
        <v>6376</v>
      </c>
      <c r="Q917" s="14" t="s">
        <v>165</v>
      </c>
      <c r="R917" s="14" t="s">
        <v>6377</v>
      </c>
      <c r="S917" s="14" t="s">
        <v>195</v>
      </c>
      <c r="T917" s="14" t="s">
        <v>149</v>
      </c>
      <c r="U917" s="14" t="s">
        <v>113</v>
      </c>
      <c r="V917" s="48">
        <f>SUMIF(Data!$E:$E,$I917,Data!$AI:$AI)</f>
        <v>1.1368494141004637</v>
      </c>
    </row>
    <row r="918" spans="1:22" ht="15.75" x14ac:dyDescent="0.3">
      <c r="A918" s="55" t="s">
        <v>5843</v>
      </c>
      <c r="B918" s="56" t="s">
        <v>123</v>
      </c>
      <c r="C918" s="57" t="s">
        <v>4814</v>
      </c>
      <c r="D918" s="58">
        <v>3.73114E-3</v>
      </c>
      <c r="E918" s="48">
        <f>SUMIF(Data!$E:$E,$C918,Data!$AI:$AI)</f>
        <v>0</v>
      </c>
      <c r="G918" s="14" t="s">
        <v>6378</v>
      </c>
      <c r="H918" s="14" t="s">
        <v>6379</v>
      </c>
      <c r="I918" s="14" t="s">
        <v>6380</v>
      </c>
      <c r="J918" s="14" t="s">
        <v>6381</v>
      </c>
      <c r="K918" s="14" t="s">
        <v>140</v>
      </c>
      <c r="L918" s="14" t="s">
        <v>5642</v>
      </c>
      <c r="M918" s="14" t="s">
        <v>6382</v>
      </c>
      <c r="N918" s="14">
        <v>31.978000000000002</v>
      </c>
      <c r="O918" s="14" t="s">
        <v>6383</v>
      </c>
      <c r="P918" s="14" t="s">
        <v>6384</v>
      </c>
      <c r="Q918" s="14" t="s">
        <v>146</v>
      </c>
      <c r="R918" s="14" t="s">
        <v>6385</v>
      </c>
      <c r="S918" s="14" t="s">
        <v>5739</v>
      </c>
      <c r="T918" s="14" t="s">
        <v>4834</v>
      </c>
      <c r="U918" s="14" t="s">
        <v>5740</v>
      </c>
      <c r="V918" s="48">
        <f>SUMIF(Data!$E:$E,$I918,Data!$AI:$AI)</f>
        <v>0</v>
      </c>
    </row>
    <row r="919" spans="1:22" ht="15.75" x14ac:dyDescent="0.3">
      <c r="A919" s="55" t="s">
        <v>5843</v>
      </c>
      <c r="B919" s="56" t="s">
        <v>123</v>
      </c>
      <c r="C919" s="57" t="s">
        <v>4821</v>
      </c>
      <c r="D919" s="58">
        <v>8.1177200000000001E-3</v>
      </c>
      <c r="E919" s="48">
        <f>SUMIF(Data!$E:$E,$C919,Data!$AI:$AI)</f>
        <v>0</v>
      </c>
      <c r="G919" s="14" t="s">
        <v>6386</v>
      </c>
      <c r="H919" s="14" t="s">
        <v>6387</v>
      </c>
      <c r="I919" s="14">
        <v>7701</v>
      </c>
      <c r="J919" s="14" t="s">
        <v>6388</v>
      </c>
      <c r="K919" s="14" t="s">
        <v>140</v>
      </c>
      <c r="L919" s="14" t="s">
        <v>5642</v>
      </c>
      <c r="M919" s="14" t="s">
        <v>6389</v>
      </c>
      <c r="N919" s="14">
        <v>168.15100000000001</v>
      </c>
      <c r="O919" s="14" t="s">
        <v>6390</v>
      </c>
      <c r="P919" s="14" t="s">
        <v>6391</v>
      </c>
      <c r="Q919" s="14" t="s">
        <v>146</v>
      </c>
      <c r="R919" s="14" t="s">
        <v>6392</v>
      </c>
      <c r="S919" s="14" t="s">
        <v>444</v>
      </c>
      <c r="T919" s="14" t="s">
        <v>445</v>
      </c>
      <c r="U919" s="14" t="s">
        <v>446</v>
      </c>
      <c r="V919" s="48">
        <f>SUMIF(Data!$E:$E,$I919,Data!$AI:$AI)</f>
        <v>0</v>
      </c>
    </row>
    <row r="920" spans="1:22" ht="15.75" x14ac:dyDescent="0.3">
      <c r="A920" s="55" t="s">
        <v>5843</v>
      </c>
      <c r="B920" s="56" t="s">
        <v>123</v>
      </c>
      <c r="C920" s="57" t="s">
        <v>5671</v>
      </c>
      <c r="D920" s="58">
        <v>1.0379899999999999E-3</v>
      </c>
      <c r="E920" s="48">
        <f>SUMIF(Data!$E:$E,$C920,Data!$AI:$AI)</f>
        <v>8.1525305525001854E-2</v>
      </c>
      <c r="G920" s="14" t="s">
        <v>6393</v>
      </c>
      <c r="H920" s="14" t="s">
        <v>6394</v>
      </c>
      <c r="I920" s="14" t="s">
        <v>6395</v>
      </c>
      <c r="J920" s="14" t="s">
        <v>6396</v>
      </c>
      <c r="K920" s="14" t="s">
        <v>140</v>
      </c>
      <c r="L920" s="14" t="s">
        <v>5642</v>
      </c>
      <c r="M920" s="14" t="s">
        <v>6397</v>
      </c>
      <c r="N920" s="14">
        <v>219.511</v>
      </c>
      <c r="O920" s="14" t="s">
        <v>6398</v>
      </c>
      <c r="P920" s="14" t="s">
        <v>6399</v>
      </c>
      <c r="Q920" s="14" t="s">
        <v>263</v>
      </c>
      <c r="R920" s="14" t="s">
        <v>6400</v>
      </c>
      <c r="S920" s="14" t="s">
        <v>195</v>
      </c>
      <c r="T920" s="14" t="s">
        <v>149</v>
      </c>
      <c r="U920" s="14" t="s">
        <v>113</v>
      </c>
      <c r="V920" s="48">
        <f>SUMIF(Data!$E:$E,$I920,Data!$AI:$AI)</f>
        <v>0</v>
      </c>
    </row>
    <row r="921" spans="1:22" ht="15.75" x14ac:dyDescent="0.3">
      <c r="A921" s="55" t="s">
        <v>5843</v>
      </c>
      <c r="B921" s="56" t="s">
        <v>123</v>
      </c>
      <c r="C921" s="57" t="s">
        <v>5115</v>
      </c>
      <c r="D921" s="58">
        <v>1.1228200000000001E-3</v>
      </c>
      <c r="E921" s="48">
        <f>SUMIF(Data!$E:$E,$C921,Data!$AI:$AI)</f>
        <v>0</v>
      </c>
      <c r="G921" s="14" t="s">
        <v>6401</v>
      </c>
      <c r="H921" s="14" t="s">
        <v>6402</v>
      </c>
      <c r="I921" s="14" t="s">
        <v>6403</v>
      </c>
      <c r="J921" s="14" t="s">
        <v>6404</v>
      </c>
      <c r="K921" s="14" t="s">
        <v>140</v>
      </c>
      <c r="L921" s="14" t="s">
        <v>5642</v>
      </c>
      <c r="M921" s="14" t="s">
        <v>6405</v>
      </c>
      <c r="N921" s="14">
        <v>49.485999999999997</v>
      </c>
      <c r="O921" s="14" t="s">
        <v>6406</v>
      </c>
      <c r="P921" s="14" t="s">
        <v>6407</v>
      </c>
      <c r="Q921" s="14" t="s">
        <v>737</v>
      </c>
      <c r="R921" s="14" t="s">
        <v>6408</v>
      </c>
      <c r="S921" s="14" t="s">
        <v>195</v>
      </c>
      <c r="T921" s="14" t="s">
        <v>149</v>
      </c>
      <c r="U921" s="14" t="s">
        <v>113</v>
      </c>
      <c r="V921" s="48">
        <f>SUMIF(Data!$E:$E,$I921,Data!$AI:$AI)</f>
        <v>0</v>
      </c>
    </row>
    <row r="922" spans="1:22" ht="15.75" x14ac:dyDescent="0.3">
      <c r="A922" s="55" t="s">
        <v>5843</v>
      </c>
      <c r="B922" s="56" t="s">
        <v>123</v>
      </c>
      <c r="C922" s="57" t="s">
        <v>5271</v>
      </c>
      <c r="D922" s="58">
        <v>9.268700000000001E-4</v>
      </c>
      <c r="E922" s="48">
        <f>SUMIF(Data!$E:$E,$C922,Data!$AI:$AI)</f>
        <v>0.14326299409755411</v>
      </c>
      <c r="G922" s="14" t="s">
        <v>6409</v>
      </c>
      <c r="H922" s="14" t="s">
        <v>6410</v>
      </c>
      <c r="I922" s="14" t="s">
        <v>6411</v>
      </c>
      <c r="J922" s="14" t="s">
        <v>6412</v>
      </c>
      <c r="K922" s="14" t="s">
        <v>140</v>
      </c>
      <c r="L922" s="14" t="s">
        <v>5642</v>
      </c>
      <c r="M922" s="14" t="s">
        <v>6413</v>
      </c>
      <c r="N922" s="14">
        <v>5.1449999999999996</v>
      </c>
      <c r="O922" s="14" t="s">
        <v>6414</v>
      </c>
      <c r="P922" s="14" t="s">
        <v>6415</v>
      </c>
      <c r="Q922" s="14" t="s">
        <v>211</v>
      </c>
      <c r="R922" s="14" t="s">
        <v>6416</v>
      </c>
      <c r="S922" s="14" t="s">
        <v>6417</v>
      </c>
      <c r="T922" s="14" t="s">
        <v>230</v>
      </c>
      <c r="U922" s="14" t="s">
        <v>231</v>
      </c>
      <c r="V922" s="48">
        <f>SUMIF(Data!$E:$E,$I922,Data!$AI:$AI)</f>
        <v>0</v>
      </c>
    </row>
    <row r="923" spans="1:22" ht="15.75" x14ac:dyDescent="0.3">
      <c r="A923" s="55" t="s">
        <v>5843</v>
      </c>
      <c r="B923" s="56" t="s">
        <v>123</v>
      </c>
      <c r="C923" s="57" t="s">
        <v>5335</v>
      </c>
      <c r="D923" s="58">
        <v>1.71726E-3</v>
      </c>
      <c r="E923" s="48">
        <f>SUMIF(Data!$E:$E,$C923,Data!$AI:$AI)</f>
        <v>0</v>
      </c>
      <c r="G923" s="14" t="s">
        <v>6418</v>
      </c>
      <c r="H923" s="14" t="s">
        <v>6419</v>
      </c>
      <c r="I923" s="14" t="s">
        <v>6420</v>
      </c>
      <c r="J923" s="14" t="s">
        <v>6421</v>
      </c>
      <c r="K923" s="14" t="s">
        <v>140</v>
      </c>
      <c r="L923" s="14" t="s">
        <v>5642</v>
      </c>
      <c r="M923" s="14" t="s">
        <v>6422</v>
      </c>
      <c r="N923" s="14">
        <v>879.17200000000003</v>
      </c>
      <c r="O923" s="14" t="s">
        <v>6423</v>
      </c>
      <c r="P923" s="14" t="s">
        <v>6424</v>
      </c>
      <c r="Q923" s="14" t="s">
        <v>419</v>
      </c>
      <c r="R923" s="14" t="s">
        <v>6425</v>
      </c>
      <c r="S923" s="14" t="s">
        <v>479</v>
      </c>
      <c r="T923" s="14" t="s">
        <v>480</v>
      </c>
      <c r="U923" s="14" t="s">
        <v>481</v>
      </c>
      <c r="V923" s="48">
        <f>SUMIF(Data!$E:$E,$I923,Data!$AI:$AI)</f>
        <v>0</v>
      </c>
    </row>
    <row r="924" spans="1:22" ht="15.75" x14ac:dyDescent="0.3">
      <c r="A924" s="55" t="s">
        <v>5843</v>
      </c>
      <c r="B924" s="56" t="s">
        <v>123</v>
      </c>
      <c r="C924" s="57" t="s">
        <v>5511</v>
      </c>
      <c r="D924" s="58">
        <v>1.7920999999999999E-4</v>
      </c>
      <c r="E924" s="48">
        <f>SUMIF(Data!$E:$E,$C924,Data!$AI:$AI)</f>
        <v>0</v>
      </c>
      <c r="G924" s="14" t="s">
        <v>6426</v>
      </c>
      <c r="H924" s="14" t="s">
        <v>6427</v>
      </c>
      <c r="I924" s="14" t="s">
        <v>6428</v>
      </c>
      <c r="J924" s="14" t="s">
        <v>6429</v>
      </c>
      <c r="K924" s="14" t="s">
        <v>140</v>
      </c>
      <c r="L924" s="14" t="s">
        <v>5642</v>
      </c>
      <c r="M924" s="14" t="s">
        <v>6430</v>
      </c>
      <c r="N924" s="14">
        <v>27.131</v>
      </c>
      <c r="O924" s="14" t="s">
        <v>6431</v>
      </c>
      <c r="P924" s="14" t="s">
        <v>6432</v>
      </c>
      <c r="Q924" s="14" t="s">
        <v>193</v>
      </c>
      <c r="R924" s="14" t="s">
        <v>6433</v>
      </c>
      <c r="S924" s="14" t="s">
        <v>526</v>
      </c>
      <c r="T924" s="14" t="s">
        <v>527</v>
      </c>
      <c r="U924" s="14" t="s">
        <v>528</v>
      </c>
      <c r="V924" s="48">
        <f>SUMIF(Data!$E:$E,$I924,Data!$AI:$AI)</f>
        <v>0</v>
      </c>
    </row>
    <row r="925" spans="1:22" ht="15.75" x14ac:dyDescent="0.3">
      <c r="A925" s="55" t="s">
        <v>5843</v>
      </c>
      <c r="B925" s="56" t="s">
        <v>123</v>
      </c>
      <c r="C925" s="57" t="s">
        <v>5121</v>
      </c>
      <c r="D925" s="58">
        <v>1.50297E-3</v>
      </c>
      <c r="E925" s="48">
        <f>SUMIF(Data!$E:$E,$C925,Data!$AI:$AI)</f>
        <v>0.13075341077842323</v>
      </c>
      <c r="G925" s="14" t="s">
        <v>6434</v>
      </c>
      <c r="H925" s="14" t="s">
        <v>6435</v>
      </c>
      <c r="I925" s="14" t="s">
        <v>6436</v>
      </c>
      <c r="J925" s="14" t="s">
        <v>6437</v>
      </c>
      <c r="K925" s="14" t="s">
        <v>140</v>
      </c>
      <c r="L925" s="14" t="s">
        <v>5642</v>
      </c>
      <c r="M925" s="14" t="s">
        <v>6438</v>
      </c>
      <c r="N925" s="14">
        <v>58</v>
      </c>
      <c r="O925" s="14" t="s">
        <v>6439</v>
      </c>
      <c r="P925" s="14" t="s">
        <v>6440</v>
      </c>
      <c r="Q925" s="14" t="s">
        <v>227</v>
      </c>
      <c r="R925" s="14" t="s">
        <v>6441</v>
      </c>
      <c r="S925" s="14" t="s">
        <v>6417</v>
      </c>
      <c r="T925" s="14" t="s">
        <v>230</v>
      </c>
      <c r="U925" s="14" t="s">
        <v>231</v>
      </c>
      <c r="V925" s="48">
        <f>SUMIF(Data!$E:$E,$I925,Data!$AI:$AI)</f>
        <v>0</v>
      </c>
    </row>
    <row r="926" spans="1:22" ht="15.75" x14ac:dyDescent="0.3">
      <c r="A926" s="55" t="s">
        <v>5843</v>
      </c>
      <c r="B926" s="56" t="s">
        <v>123</v>
      </c>
      <c r="C926" s="57" t="s">
        <v>5127</v>
      </c>
      <c r="D926" s="58">
        <v>2.0449800000000001E-3</v>
      </c>
      <c r="E926" s="48">
        <f>SUMIF(Data!$E:$E,$C926,Data!$AI:$AI)</f>
        <v>0.26351671474520016</v>
      </c>
      <c r="G926" s="14" t="s">
        <v>6442</v>
      </c>
      <c r="H926" s="14" t="s">
        <v>6443</v>
      </c>
      <c r="I926" s="14" t="s">
        <v>6444</v>
      </c>
      <c r="J926" s="14" t="s">
        <v>6445</v>
      </c>
      <c r="K926" s="14" t="s">
        <v>140</v>
      </c>
      <c r="L926" s="14" t="s">
        <v>5642</v>
      </c>
      <c r="M926" s="14" t="s">
        <v>5514</v>
      </c>
      <c r="N926" s="14">
        <v>116.027</v>
      </c>
      <c r="O926" s="14" t="s">
        <v>6446</v>
      </c>
      <c r="P926" s="14" t="s">
        <v>6447</v>
      </c>
      <c r="Q926" s="14" t="s">
        <v>165</v>
      </c>
      <c r="R926" s="14" t="s">
        <v>6448</v>
      </c>
      <c r="S926" s="14" t="s">
        <v>195</v>
      </c>
      <c r="T926" s="14" t="s">
        <v>149</v>
      </c>
      <c r="U926" s="14" t="s">
        <v>113</v>
      </c>
      <c r="V926" s="48">
        <f>SUMIF(Data!$E:$E,$I926,Data!$AI:$AI)</f>
        <v>0</v>
      </c>
    </row>
    <row r="927" spans="1:22" ht="15.75" x14ac:dyDescent="0.3">
      <c r="A927" s="55" t="s">
        <v>5843</v>
      </c>
      <c r="B927" s="56" t="s">
        <v>123</v>
      </c>
      <c r="C927" s="57" t="s">
        <v>4640</v>
      </c>
      <c r="D927" s="58">
        <v>3.2860899999999998E-3</v>
      </c>
      <c r="E927" s="48">
        <f>SUMIF(Data!$E:$E,$C927,Data!$AI:$AI)</f>
        <v>0.77394047546061229</v>
      </c>
      <c r="G927" s="14" t="s">
        <v>6449</v>
      </c>
      <c r="H927" s="14" t="s">
        <v>6450</v>
      </c>
      <c r="I927" s="14" t="s">
        <v>6451</v>
      </c>
      <c r="J927" s="14" t="s">
        <v>6452</v>
      </c>
      <c r="K927" s="14" t="s">
        <v>140</v>
      </c>
      <c r="L927" s="14" t="s">
        <v>5642</v>
      </c>
      <c r="M927" s="14" t="s">
        <v>6453</v>
      </c>
      <c r="N927" s="14">
        <v>328.51</v>
      </c>
      <c r="O927" s="14" t="s">
        <v>6454</v>
      </c>
      <c r="P927" s="14" t="s">
        <v>6455</v>
      </c>
      <c r="Q927" s="14" t="s">
        <v>737</v>
      </c>
      <c r="R927" s="14" t="s">
        <v>6456</v>
      </c>
      <c r="S927" s="14" t="s">
        <v>728</v>
      </c>
      <c r="T927" s="14" t="s">
        <v>729</v>
      </c>
      <c r="U927" s="14" t="s">
        <v>730</v>
      </c>
      <c r="V927" s="48">
        <f>SUMIF(Data!$E:$E,$I927,Data!$AI:$AI)</f>
        <v>0</v>
      </c>
    </row>
    <row r="928" spans="1:22" ht="15.75" x14ac:dyDescent="0.3">
      <c r="A928" s="55" t="s">
        <v>5843</v>
      </c>
      <c r="B928" s="56" t="s">
        <v>123</v>
      </c>
      <c r="C928" s="57" t="s">
        <v>5361</v>
      </c>
      <c r="D928" s="58">
        <v>5.3359000000000002E-4</v>
      </c>
      <c r="E928" s="48">
        <f>SUMIF(Data!$E:$E,$C928,Data!$AI:$AI)</f>
        <v>0</v>
      </c>
      <c r="G928" s="14" t="s">
        <v>6457</v>
      </c>
      <c r="H928" s="14" t="s">
        <v>6458</v>
      </c>
      <c r="I928" s="14" t="s">
        <v>6459</v>
      </c>
      <c r="J928" s="14" t="s">
        <v>6460</v>
      </c>
      <c r="K928" s="14" t="s">
        <v>140</v>
      </c>
      <c r="L928" s="14" t="s">
        <v>5642</v>
      </c>
      <c r="M928" s="14" t="s">
        <v>6461</v>
      </c>
      <c r="N928" s="14">
        <v>299.06299999999999</v>
      </c>
      <c r="O928" s="14" t="s">
        <v>6462</v>
      </c>
      <c r="P928" s="14" t="s">
        <v>6463</v>
      </c>
      <c r="Q928" s="14" t="s">
        <v>263</v>
      </c>
      <c r="R928" s="14" t="s">
        <v>6464</v>
      </c>
      <c r="S928" s="14" t="s">
        <v>5207</v>
      </c>
      <c r="T928" s="14" t="s">
        <v>5208</v>
      </c>
      <c r="U928" s="14" t="s">
        <v>528</v>
      </c>
      <c r="V928" s="48">
        <f>SUMIF(Data!$E:$E,$I928,Data!$AI:$AI)</f>
        <v>0</v>
      </c>
    </row>
    <row r="929" spans="1:22" ht="15.75" x14ac:dyDescent="0.3">
      <c r="A929" s="55" t="s">
        <v>5843</v>
      </c>
      <c r="B929" s="56" t="s">
        <v>123</v>
      </c>
      <c r="C929" s="57" t="s">
        <v>5809</v>
      </c>
      <c r="D929" s="58">
        <v>3.5894000000000003E-4</v>
      </c>
      <c r="E929" s="48">
        <f>SUMIF(Data!$E:$E,$C929,Data!$AI:$AI)</f>
        <v>0</v>
      </c>
      <c r="G929" s="14" t="s">
        <v>6465</v>
      </c>
      <c r="H929" s="14" t="s">
        <v>6270</v>
      </c>
      <c r="I929" s="14" t="s">
        <v>6466</v>
      </c>
      <c r="J929" s="14" t="s">
        <v>6467</v>
      </c>
      <c r="K929" s="14" t="s">
        <v>140</v>
      </c>
      <c r="L929" s="14" t="s">
        <v>5642</v>
      </c>
      <c r="M929" s="14" t="s">
        <v>6468</v>
      </c>
      <c r="N929" s="14">
        <v>581.76800000000003</v>
      </c>
      <c r="O929" s="14" t="s">
        <v>6469</v>
      </c>
      <c r="P929" s="14" t="s">
        <v>6470</v>
      </c>
      <c r="Q929" s="14" t="s">
        <v>211</v>
      </c>
      <c r="R929" s="14" t="s">
        <v>6471</v>
      </c>
      <c r="S929" s="14" t="s">
        <v>5739</v>
      </c>
      <c r="T929" s="14" t="s">
        <v>4834</v>
      </c>
      <c r="U929" s="14" t="s">
        <v>5740</v>
      </c>
      <c r="V929" s="48">
        <f>SUMIF(Data!$E:$E,$I929,Data!$AI:$AI)</f>
        <v>0</v>
      </c>
    </row>
    <row r="930" spans="1:22" ht="15.75" x14ac:dyDescent="0.3">
      <c r="A930" s="55" t="s">
        <v>5843</v>
      </c>
      <c r="B930" s="56" t="s">
        <v>123</v>
      </c>
      <c r="C930" s="57" t="s">
        <v>5816</v>
      </c>
      <c r="D930" s="58">
        <v>5.4520999999999997E-4</v>
      </c>
      <c r="E930" s="48">
        <f>SUMIF(Data!$E:$E,$C930,Data!$AI:$AI)</f>
        <v>0</v>
      </c>
      <c r="G930" s="14" t="s">
        <v>6472</v>
      </c>
      <c r="H930" s="14" t="s">
        <v>6473</v>
      </c>
      <c r="I930" s="14" t="s">
        <v>6474</v>
      </c>
      <c r="J930" s="14" t="s">
        <v>6475</v>
      </c>
      <c r="K930" s="14" t="s">
        <v>140</v>
      </c>
      <c r="L930" s="14" t="s">
        <v>5642</v>
      </c>
      <c r="M930" s="14" t="s">
        <v>6476</v>
      </c>
      <c r="N930" s="14">
        <v>292.00900000000001</v>
      </c>
      <c r="O930" s="14" t="s">
        <v>6477</v>
      </c>
      <c r="P930" s="14" t="s">
        <v>6478</v>
      </c>
      <c r="Q930" s="14" t="s">
        <v>193</v>
      </c>
      <c r="R930" s="14" t="s">
        <v>6479</v>
      </c>
      <c r="S930" s="14" t="s">
        <v>195</v>
      </c>
      <c r="T930" s="14" t="s">
        <v>149</v>
      </c>
      <c r="U930" s="14" t="s">
        <v>113</v>
      </c>
      <c r="V930" s="48">
        <f>SUMIF(Data!$E:$E,$I930,Data!$AI:$AI)</f>
        <v>0</v>
      </c>
    </row>
    <row r="931" spans="1:22" ht="15.75" x14ac:dyDescent="0.3">
      <c r="A931" s="55" t="s">
        <v>5843</v>
      </c>
      <c r="B931" s="56" t="s">
        <v>123</v>
      </c>
      <c r="C931" s="57" t="s">
        <v>5134</v>
      </c>
      <c r="D931" s="58">
        <v>1.7306699999999999E-3</v>
      </c>
      <c r="E931" s="48">
        <f>SUMIF(Data!$E:$E,$C931,Data!$AI:$AI)</f>
        <v>0</v>
      </c>
      <c r="G931" s="14" t="s">
        <v>6480</v>
      </c>
      <c r="H931" s="14" t="s">
        <v>6481</v>
      </c>
      <c r="I931" s="14" t="s">
        <v>6482</v>
      </c>
      <c r="J931" s="14" t="s">
        <v>6483</v>
      </c>
      <c r="K931" s="14" t="s">
        <v>140</v>
      </c>
      <c r="L931" s="14" t="s">
        <v>5642</v>
      </c>
      <c r="M931" s="14" t="s">
        <v>6484</v>
      </c>
      <c r="N931" s="14">
        <v>40.055999999999997</v>
      </c>
      <c r="O931" s="14" t="s">
        <v>6485</v>
      </c>
      <c r="P931" s="14" t="s">
        <v>6486</v>
      </c>
      <c r="Q931" s="14" t="s">
        <v>211</v>
      </c>
      <c r="R931" s="14" t="s">
        <v>6487</v>
      </c>
      <c r="S931" s="14" t="s">
        <v>148</v>
      </c>
      <c r="T931" s="14" t="s">
        <v>149</v>
      </c>
      <c r="U931" s="14" t="s">
        <v>113</v>
      </c>
      <c r="V931" s="48">
        <f>SUMIF(Data!$E:$E,$I931,Data!$AI:$AI)</f>
        <v>0</v>
      </c>
    </row>
    <row r="932" spans="1:22" ht="15.75" x14ac:dyDescent="0.3">
      <c r="A932" s="55" t="s">
        <v>5843</v>
      </c>
      <c r="B932" s="56" t="s">
        <v>123</v>
      </c>
      <c r="C932" s="57" t="s">
        <v>5836</v>
      </c>
      <c r="D932" s="58">
        <v>3.8400999999999995E-4</v>
      </c>
      <c r="E932" s="48">
        <f>SUMIF(Data!$E:$E,$C932,Data!$AI:$AI)</f>
        <v>0</v>
      </c>
      <c r="G932" s="14" t="s">
        <v>6488</v>
      </c>
      <c r="H932" s="14" t="s">
        <v>6489</v>
      </c>
      <c r="I932" s="14">
        <v>4528</v>
      </c>
      <c r="J932" s="14" t="s">
        <v>6490</v>
      </c>
      <c r="K932" s="14" t="s">
        <v>140</v>
      </c>
      <c r="L932" s="14" t="s">
        <v>5642</v>
      </c>
      <c r="M932" s="14" t="s">
        <v>6491</v>
      </c>
      <c r="N932" s="14">
        <v>218.4</v>
      </c>
      <c r="O932" s="14" t="s">
        <v>6492</v>
      </c>
      <c r="P932" s="14" t="s">
        <v>6493</v>
      </c>
      <c r="Q932" s="14" t="s">
        <v>211</v>
      </c>
      <c r="R932" s="14" t="s">
        <v>6494</v>
      </c>
      <c r="S932" s="14" t="s">
        <v>444</v>
      </c>
      <c r="T932" s="14" t="s">
        <v>445</v>
      </c>
      <c r="U932" s="14" t="s">
        <v>446</v>
      </c>
      <c r="V932" s="48">
        <f>SUMIF(Data!$E:$E,$I932,Data!$AI:$AI)</f>
        <v>0</v>
      </c>
    </row>
    <row r="933" spans="1:22" ht="15.75" x14ac:dyDescent="0.3">
      <c r="A933" s="55" t="s">
        <v>5843</v>
      </c>
      <c r="B933" s="56" t="s">
        <v>123</v>
      </c>
      <c r="C933" s="57" t="s">
        <v>5518</v>
      </c>
      <c r="D933" s="58">
        <v>3.5872000000000003E-4</v>
      </c>
      <c r="E933" s="48">
        <f>SUMIF(Data!$E:$E,$C933,Data!$AI:$AI)</f>
        <v>0</v>
      </c>
      <c r="G933" s="14" t="s">
        <v>6495</v>
      </c>
      <c r="H933" s="14" t="s">
        <v>6496</v>
      </c>
      <c r="I933" s="14" t="s">
        <v>2460</v>
      </c>
      <c r="J933" s="14" t="s">
        <v>6497</v>
      </c>
      <c r="K933" s="14" t="s">
        <v>140</v>
      </c>
      <c r="L933" s="14" t="s">
        <v>5642</v>
      </c>
      <c r="M933" s="14" t="s">
        <v>6498</v>
      </c>
      <c r="N933" s="14">
        <v>56.378999999999998</v>
      </c>
      <c r="O933" s="14" t="s">
        <v>6499</v>
      </c>
      <c r="P933" s="14" t="s">
        <v>6500</v>
      </c>
      <c r="Q933" s="14" t="s">
        <v>165</v>
      </c>
      <c r="R933" s="14" t="s">
        <v>6501</v>
      </c>
      <c r="S933" s="14" t="s">
        <v>148</v>
      </c>
      <c r="T933" s="14" t="s">
        <v>149</v>
      </c>
      <c r="U933" s="14" t="s">
        <v>113</v>
      </c>
      <c r="V933" s="48">
        <f>SUMIF(Data!$E:$E,$I933,Data!$AI:$AI)</f>
        <v>0</v>
      </c>
    </row>
    <row r="934" spans="1:22" ht="15.75" x14ac:dyDescent="0.3">
      <c r="A934" s="55" t="s">
        <v>5843</v>
      </c>
      <c r="B934" s="56" t="s">
        <v>123</v>
      </c>
      <c r="C934" s="57" t="s">
        <v>4971</v>
      </c>
      <c r="D934" s="58">
        <v>4.0604899999999999E-3</v>
      </c>
      <c r="E934" s="48">
        <f>SUMIF(Data!$E:$E,$C934,Data!$AI:$AI)</f>
        <v>0.51478348043038158</v>
      </c>
      <c r="G934" s="14" t="s">
        <v>6502</v>
      </c>
      <c r="H934" s="14" t="s">
        <v>6503</v>
      </c>
      <c r="I934" s="14" t="s">
        <v>6504</v>
      </c>
      <c r="J934" s="14" t="s">
        <v>6505</v>
      </c>
      <c r="K934" s="14" t="s">
        <v>140</v>
      </c>
      <c r="L934" s="14" t="s">
        <v>5642</v>
      </c>
      <c r="M934" s="14" t="s">
        <v>6506</v>
      </c>
      <c r="N934" s="14">
        <v>37.579000000000001</v>
      </c>
      <c r="O934" s="14" t="s">
        <v>6507</v>
      </c>
      <c r="P934" s="14" t="s">
        <v>6508</v>
      </c>
      <c r="Q934" s="14" t="s">
        <v>165</v>
      </c>
      <c r="R934" s="14" t="s">
        <v>6509</v>
      </c>
      <c r="S934" s="14" t="s">
        <v>195</v>
      </c>
      <c r="T934" s="14" t="s">
        <v>149</v>
      </c>
      <c r="U934" s="14" t="s">
        <v>113</v>
      </c>
      <c r="V934" s="48">
        <f>SUMIF(Data!$E:$E,$I934,Data!$AI:$AI)</f>
        <v>0</v>
      </c>
    </row>
    <row r="935" spans="1:22" ht="15.75" x14ac:dyDescent="0.3">
      <c r="A935" s="55" t="s">
        <v>5843</v>
      </c>
      <c r="B935" s="56" t="s">
        <v>123</v>
      </c>
      <c r="C935" s="57" t="s">
        <v>6510</v>
      </c>
      <c r="D935" s="58">
        <v>2.3054000000000003E-4</v>
      </c>
      <c r="E935" s="48">
        <f>SUMIF(Data!$E:$E,$C935,Data!$AI:$AI)</f>
        <v>0</v>
      </c>
      <c r="G935" s="14" t="s">
        <v>6511</v>
      </c>
      <c r="H935" s="14" t="s">
        <v>6512</v>
      </c>
      <c r="I935" s="14" t="s">
        <v>4571</v>
      </c>
      <c r="J935" s="14" t="s">
        <v>6513</v>
      </c>
      <c r="K935" s="14" t="s">
        <v>140</v>
      </c>
      <c r="L935" s="14" t="s">
        <v>5642</v>
      </c>
      <c r="M935" s="14" t="s">
        <v>6514</v>
      </c>
      <c r="N935" s="14">
        <v>58.09</v>
      </c>
      <c r="O935" s="14" t="s">
        <v>6515</v>
      </c>
      <c r="P935" s="14" t="s">
        <v>6516</v>
      </c>
      <c r="Q935" s="14" t="s">
        <v>146</v>
      </c>
      <c r="R935" s="14" t="s">
        <v>6517</v>
      </c>
      <c r="S935" s="14" t="s">
        <v>563</v>
      </c>
      <c r="T935" s="14" t="s">
        <v>564</v>
      </c>
      <c r="U935" s="14" t="s">
        <v>528</v>
      </c>
      <c r="V935" s="48">
        <f>SUMIF(Data!$E:$E,$I935,Data!$AI:$AI)</f>
        <v>0</v>
      </c>
    </row>
    <row r="936" spans="1:22" ht="15.75" x14ac:dyDescent="0.3">
      <c r="A936" s="55" t="s">
        <v>5843</v>
      </c>
      <c r="B936" s="56" t="s">
        <v>123</v>
      </c>
      <c r="C936" s="57" t="s">
        <v>6518</v>
      </c>
      <c r="D936" s="58">
        <v>7.7513299999999999E-3</v>
      </c>
      <c r="E936" s="48">
        <f>SUMIF(Data!$E:$E,$C936,Data!$AI:$AI)</f>
        <v>0</v>
      </c>
      <c r="G936" s="14" t="s">
        <v>6519</v>
      </c>
      <c r="H936" s="14" t="s">
        <v>6520</v>
      </c>
      <c r="I936" s="14" t="s">
        <v>6521</v>
      </c>
      <c r="J936" s="14" t="s">
        <v>6522</v>
      </c>
      <c r="K936" s="14" t="s">
        <v>140</v>
      </c>
      <c r="L936" s="14" t="s">
        <v>5642</v>
      </c>
      <c r="M936" s="14" t="s">
        <v>6523</v>
      </c>
      <c r="N936" s="14">
        <v>305.92099999999999</v>
      </c>
      <c r="O936" s="14" t="s">
        <v>6524</v>
      </c>
      <c r="P936" s="14" t="s">
        <v>6525</v>
      </c>
      <c r="Q936" s="14" t="s">
        <v>227</v>
      </c>
      <c r="R936" s="14" t="s">
        <v>6526</v>
      </c>
      <c r="S936" s="14" t="s">
        <v>563</v>
      </c>
      <c r="T936" s="14" t="s">
        <v>564</v>
      </c>
      <c r="U936" s="14" t="s">
        <v>528</v>
      </c>
      <c r="V936" s="48">
        <f>SUMIF(Data!$E:$E,$I936,Data!$AI:$AI)</f>
        <v>0</v>
      </c>
    </row>
    <row r="937" spans="1:22" ht="15.75" x14ac:dyDescent="0.3">
      <c r="A937" s="55" t="s">
        <v>5843</v>
      </c>
      <c r="B937" s="56" t="s">
        <v>123</v>
      </c>
      <c r="C937" s="57" t="s">
        <v>4991</v>
      </c>
      <c r="D937" s="58">
        <v>2.8721999999999997E-3</v>
      </c>
      <c r="E937" s="48">
        <f>SUMIF(Data!$E:$E,$C937,Data!$AI:$AI)</f>
        <v>0.38077996000694508</v>
      </c>
      <c r="G937" s="14" t="s">
        <v>6527</v>
      </c>
      <c r="H937" s="14" t="s">
        <v>6528</v>
      </c>
      <c r="I937" s="14" t="s">
        <v>4613</v>
      </c>
      <c r="J937" s="14" t="s">
        <v>6529</v>
      </c>
      <c r="K937" s="14" t="s">
        <v>140</v>
      </c>
      <c r="L937" s="14" t="s">
        <v>5642</v>
      </c>
      <c r="M937" s="14" t="s">
        <v>6530</v>
      </c>
      <c r="N937" s="14" t="s">
        <v>6531</v>
      </c>
      <c r="O937" s="14" t="s">
        <v>6532</v>
      </c>
      <c r="P937" s="14" t="s">
        <v>6533</v>
      </c>
      <c r="Q937" s="14" t="s">
        <v>737</v>
      </c>
      <c r="R937" s="14" t="s">
        <v>6534</v>
      </c>
      <c r="S937" s="14" t="s">
        <v>850</v>
      </c>
      <c r="T937" s="14" t="s">
        <v>851</v>
      </c>
      <c r="U937" s="14" t="s">
        <v>852</v>
      </c>
      <c r="V937" s="48">
        <f>SUMIF(Data!$E:$E,$I937,Data!$AI:$AI)</f>
        <v>0</v>
      </c>
    </row>
    <row r="938" spans="1:22" ht="15.75" x14ac:dyDescent="0.3">
      <c r="A938" s="55" t="s">
        <v>5843</v>
      </c>
      <c r="B938" s="56" t="s">
        <v>123</v>
      </c>
      <c r="C938" s="57" t="s">
        <v>5625</v>
      </c>
      <c r="D938" s="58">
        <v>3.8236999999999999E-4</v>
      </c>
      <c r="E938" s="48">
        <f>SUMIF(Data!$E:$E,$C938,Data!$AI:$AI)</f>
        <v>0</v>
      </c>
      <c r="G938" s="14" t="s">
        <v>6535</v>
      </c>
      <c r="H938" s="14" t="s">
        <v>6536</v>
      </c>
      <c r="I938" s="14" t="s">
        <v>6537</v>
      </c>
      <c r="J938" s="14" t="s">
        <v>6538</v>
      </c>
      <c r="K938" s="14" t="s">
        <v>140</v>
      </c>
      <c r="L938" s="14" t="s">
        <v>5642</v>
      </c>
      <c r="M938" s="14" t="s">
        <v>6539</v>
      </c>
      <c r="N938" s="14">
        <v>527.19799999999998</v>
      </c>
      <c r="O938" s="14" t="s">
        <v>6540</v>
      </c>
      <c r="P938" s="14" t="s">
        <v>6541</v>
      </c>
      <c r="Q938" s="14" t="s">
        <v>146</v>
      </c>
      <c r="R938" s="14" t="s">
        <v>6542</v>
      </c>
      <c r="S938" s="14" t="s">
        <v>479</v>
      </c>
      <c r="T938" s="14" t="s">
        <v>480</v>
      </c>
      <c r="U938" s="14" t="s">
        <v>481</v>
      </c>
      <c r="V938" s="48">
        <f>SUMIF(Data!$E:$E,$I938,Data!$AI:$AI)</f>
        <v>0</v>
      </c>
    </row>
    <row r="939" spans="1:22" ht="15.75" x14ac:dyDescent="0.3">
      <c r="A939" s="55" t="s">
        <v>5843</v>
      </c>
      <c r="B939" s="56" t="s">
        <v>123</v>
      </c>
      <c r="C939" s="57" t="s">
        <v>5302</v>
      </c>
      <c r="D939" s="58">
        <v>2.4265300000000001E-3</v>
      </c>
      <c r="E939" s="48">
        <f>SUMIF(Data!$E:$E,$C939,Data!$AI:$AI)</f>
        <v>0</v>
      </c>
      <c r="G939" s="14" t="s">
        <v>6543</v>
      </c>
      <c r="H939" s="14" t="s">
        <v>6544</v>
      </c>
      <c r="I939" s="14" t="s">
        <v>6545</v>
      </c>
      <c r="J939" s="14" t="s">
        <v>6546</v>
      </c>
      <c r="K939" s="14" t="s">
        <v>140</v>
      </c>
      <c r="L939" s="14" t="s">
        <v>5642</v>
      </c>
      <c r="M939" s="14" t="s">
        <v>6547</v>
      </c>
      <c r="N939" s="14">
        <v>92.3</v>
      </c>
      <c r="O939" s="14" t="s">
        <v>6548</v>
      </c>
      <c r="P939" s="14" t="s">
        <v>6549</v>
      </c>
      <c r="Q939" s="14" t="s">
        <v>146</v>
      </c>
      <c r="R939" s="14" t="s">
        <v>6550</v>
      </c>
      <c r="S939" s="14" t="s">
        <v>148</v>
      </c>
      <c r="T939" s="14" t="s">
        <v>149</v>
      </c>
      <c r="U939" s="14" t="s">
        <v>113</v>
      </c>
      <c r="V939" s="48">
        <f>SUMIF(Data!$E:$E,$I939,Data!$AI:$AI)</f>
        <v>0</v>
      </c>
    </row>
    <row r="940" spans="1:22" ht="15.75" x14ac:dyDescent="0.3">
      <c r="A940" s="55" t="s">
        <v>5843</v>
      </c>
      <c r="B940" s="56" t="s">
        <v>123</v>
      </c>
      <c r="C940" s="57" t="s">
        <v>4621</v>
      </c>
      <c r="D940" s="58">
        <v>5.0327200000000009E-3</v>
      </c>
      <c r="E940" s="48">
        <f>SUMIF(Data!$E:$E,$C940,Data!$AI:$AI)</f>
        <v>0</v>
      </c>
      <c r="G940" s="14" t="s">
        <v>6551</v>
      </c>
      <c r="H940" s="14" t="s">
        <v>6552</v>
      </c>
      <c r="I940" s="14" t="s">
        <v>6553</v>
      </c>
      <c r="J940" s="14" t="s">
        <v>6554</v>
      </c>
      <c r="K940" s="14" t="s">
        <v>140</v>
      </c>
      <c r="L940" s="14" t="s">
        <v>5642</v>
      </c>
      <c r="M940" s="14" t="s">
        <v>6555</v>
      </c>
      <c r="N940" s="14">
        <v>23.797999999999998</v>
      </c>
      <c r="O940" s="14" t="s">
        <v>6556</v>
      </c>
      <c r="P940" s="14" t="s">
        <v>6557</v>
      </c>
      <c r="Q940" s="14" t="s">
        <v>211</v>
      </c>
      <c r="R940" s="14" t="s">
        <v>6558</v>
      </c>
      <c r="S940" s="14" t="s">
        <v>645</v>
      </c>
      <c r="T940" s="14" t="s">
        <v>1278</v>
      </c>
      <c r="U940" s="14" t="s">
        <v>528</v>
      </c>
      <c r="V940" s="48">
        <f>SUMIF(Data!$E:$E,$I940,Data!$AI:$AI)</f>
        <v>0</v>
      </c>
    </row>
    <row r="941" spans="1:22" ht="15.75" x14ac:dyDescent="0.3">
      <c r="A941" s="55" t="s">
        <v>5843</v>
      </c>
      <c r="B941" s="56" t="s">
        <v>123</v>
      </c>
      <c r="C941" s="57" t="s">
        <v>4628</v>
      </c>
      <c r="D941" s="58">
        <v>1.5762129999999999E-2</v>
      </c>
      <c r="E941" s="48">
        <f>SUMIF(Data!$E:$E,$C941,Data!$AI:$AI)</f>
        <v>0</v>
      </c>
      <c r="G941" s="14" t="s">
        <v>6559</v>
      </c>
      <c r="H941" s="14" t="s">
        <v>6560</v>
      </c>
      <c r="I941" s="14" t="s">
        <v>6561</v>
      </c>
      <c r="J941" s="14" t="s">
        <v>6562</v>
      </c>
      <c r="K941" s="14" t="s">
        <v>140</v>
      </c>
      <c r="L941" s="14" t="s">
        <v>5642</v>
      </c>
      <c r="M941" s="14" t="s">
        <v>6563</v>
      </c>
      <c r="N941" s="14">
        <v>19.16</v>
      </c>
      <c r="O941" s="14" t="s">
        <v>6564</v>
      </c>
      <c r="P941" s="14" t="s">
        <v>6565</v>
      </c>
      <c r="Q941" s="14" t="s">
        <v>193</v>
      </c>
      <c r="R941" s="14" t="s">
        <v>6566</v>
      </c>
      <c r="S941" s="14" t="s">
        <v>195</v>
      </c>
      <c r="T941" s="14" t="s">
        <v>149</v>
      </c>
      <c r="U941" s="14" t="s">
        <v>113</v>
      </c>
      <c r="V941" s="48">
        <f>SUMIF(Data!$E:$E,$I941,Data!$AI:$AI)</f>
        <v>0</v>
      </c>
    </row>
    <row r="942" spans="1:22" ht="15.75" x14ac:dyDescent="0.3">
      <c r="A942" s="55" t="s">
        <v>5843</v>
      </c>
      <c r="B942" s="56" t="s">
        <v>123</v>
      </c>
      <c r="C942" s="57" t="s">
        <v>5685</v>
      </c>
      <c r="D942" s="58">
        <v>5.3587000000000003E-4</v>
      </c>
      <c r="E942" s="48">
        <f>SUMIF(Data!$E:$E,$C942,Data!$AI:$AI)</f>
        <v>0</v>
      </c>
      <c r="G942" s="14" t="s">
        <v>6567</v>
      </c>
      <c r="H942" s="14" t="s">
        <v>6568</v>
      </c>
      <c r="I942" s="14" t="s">
        <v>6569</v>
      </c>
      <c r="J942" s="14" t="s">
        <v>6570</v>
      </c>
      <c r="K942" s="14" t="s">
        <v>140</v>
      </c>
      <c r="L942" s="14" t="s">
        <v>5642</v>
      </c>
      <c r="M942" s="14" t="s">
        <v>6571</v>
      </c>
      <c r="N942" s="14">
        <v>109.02800000000001</v>
      </c>
      <c r="O942" s="14" t="s">
        <v>6572</v>
      </c>
      <c r="P942" s="14" t="s">
        <v>6573</v>
      </c>
      <c r="Q942" s="14" t="s">
        <v>165</v>
      </c>
      <c r="R942" s="14" t="s">
        <v>6574</v>
      </c>
      <c r="S942" s="14" t="s">
        <v>563</v>
      </c>
      <c r="T942" s="14" t="s">
        <v>564</v>
      </c>
      <c r="U942" s="14" t="s">
        <v>528</v>
      </c>
      <c r="V942" s="48">
        <f>SUMIF(Data!$E:$E,$I942,Data!$AI:$AI)</f>
        <v>0</v>
      </c>
    </row>
    <row r="943" spans="1:22" ht="15.75" x14ac:dyDescent="0.3">
      <c r="A943" s="55" t="s">
        <v>5843</v>
      </c>
      <c r="B943" s="56" t="s">
        <v>123</v>
      </c>
      <c r="C943" s="57" t="s">
        <v>4984</v>
      </c>
      <c r="D943" s="58">
        <v>6.5534099999999991E-3</v>
      </c>
      <c r="E943" s="48">
        <f>SUMIF(Data!$E:$E,$C943,Data!$AI:$AI)</f>
        <v>0</v>
      </c>
      <c r="G943" s="14" t="s">
        <v>6575</v>
      </c>
      <c r="H943" s="14" t="s">
        <v>6576</v>
      </c>
      <c r="I943" s="14" t="s">
        <v>6577</v>
      </c>
      <c r="J943" s="14" t="s">
        <v>6578</v>
      </c>
      <c r="K943" s="14" t="s">
        <v>140</v>
      </c>
      <c r="L943" s="14" t="s">
        <v>5642</v>
      </c>
      <c r="M943" s="14" t="s">
        <v>6579</v>
      </c>
      <c r="N943" s="14">
        <v>185.42699999999999</v>
      </c>
      <c r="O943" s="14" t="s">
        <v>6580</v>
      </c>
      <c r="P943" s="14" t="s">
        <v>6581</v>
      </c>
      <c r="Q943" s="14" t="s">
        <v>146</v>
      </c>
      <c r="R943" s="14" t="s">
        <v>6582</v>
      </c>
      <c r="S943" s="14" t="s">
        <v>479</v>
      </c>
      <c r="T943" s="14" t="s">
        <v>480</v>
      </c>
      <c r="U943" s="14" t="s">
        <v>481</v>
      </c>
      <c r="V943" s="48">
        <f>SUMIF(Data!$E:$E,$I943,Data!$AI:$AI)</f>
        <v>0</v>
      </c>
    </row>
    <row r="944" spans="1:22" ht="15.75" x14ac:dyDescent="0.3">
      <c r="A944" s="55" t="s">
        <v>5843</v>
      </c>
      <c r="B944" s="56" t="s">
        <v>123</v>
      </c>
      <c r="C944" s="57" t="s">
        <v>5141</v>
      </c>
      <c r="D944" s="58">
        <v>8.8172000000000001E-4</v>
      </c>
      <c r="E944" s="48">
        <f>SUMIF(Data!$E:$E,$C944,Data!$AI:$AI)</f>
        <v>0</v>
      </c>
      <c r="G944" s="14" t="s">
        <v>6583</v>
      </c>
      <c r="H944" s="14" t="s">
        <v>6584</v>
      </c>
      <c r="I944" s="14" t="s">
        <v>6585</v>
      </c>
      <c r="J944" s="14" t="s">
        <v>6586</v>
      </c>
      <c r="K944" s="14" t="s">
        <v>140</v>
      </c>
      <c r="L944" s="14" t="s">
        <v>5642</v>
      </c>
      <c r="M944" s="14" t="s">
        <v>6587</v>
      </c>
      <c r="N944" s="14">
        <v>750.19</v>
      </c>
      <c r="O944" s="14" t="s">
        <v>6588</v>
      </c>
      <c r="P944" s="14" t="s">
        <v>6589</v>
      </c>
      <c r="Q944" s="14" t="s">
        <v>697</v>
      </c>
      <c r="R944" s="14" t="s">
        <v>6590</v>
      </c>
      <c r="S944" s="14" t="s">
        <v>1130</v>
      </c>
      <c r="T944" s="14" t="s">
        <v>1131</v>
      </c>
      <c r="U944" s="14" t="s">
        <v>528</v>
      </c>
      <c r="V944" s="48">
        <f>SUMIF(Data!$E:$E,$I944,Data!$AI:$AI)</f>
        <v>0</v>
      </c>
    </row>
    <row r="945" spans="1:22" ht="15.75" x14ac:dyDescent="0.3">
      <c r="A945" s="55" t="s">
        <v>5843</v>
      </c>
      <c r="B945" s="56" t="s">
        <v>123</v>
      </c>
      <c r="C945" s="57" t="s">
        <v>5699</v>
      </c>
      <c r="D945" s="58">
        <v>1.2185200000000001E-3</v>
      </c>
      <c r="E945" s="48">
        <f>SUMIF(Data!$E:$E,$C945,Data!$AI:$AI)</f>
        <v>0</v>
      </c>
      <c r="G945" s="14" t="s">
        <v>6591</v>
      </c>
      <c r="H945" s="14" t="s">
        <v>6592</v>
      </c>
      <c r="I945" s="14" t="s">
        <v>6593</v>
      </c>
      <c r="J945" s="14" t="s">
        <v>6594</v>
      </c>
      <c r="K945" s="14" t="s">
        <v>140</v>
      </c>
      <c r="L945" s="14" t="s">
        <v>5642</v>
      </c>
      <c r="M945" s="14" t="s">
        <v>6595</v>
      </c>
      <c r="N945" s="14">
        <v>239.91900000000001</v>
      </c>
      <c r="O945" s="14" t="s">
        <v>6596</v>
      </c>
      <c r="P945" s="14" t="s">
        <v>6597</v>
      </c>
      <c r="Q945" s="14" t="s">
        <v>263</v>
      </c>
      <c r="R945" s="14" t="s">
        <v>6598</v>
      </c>
      <c r="S945" s="14" t="s">
        <v>195</v>
      </c>
      <c r="T945" s="14" t="s">
        <v>149</v>
      </c>
      <c r="U945" s="14" t="s">
        <v>113</v>
      </c>
      <c r="V945" s="48">
        <f>SUMIF(Data!$E:$E,$I945,Data!$AI:$AI)</f>
        <v>0</v>
      </c>
    </row>
    <row r="946" spans="1:22" ht="15.75" x14ac:dyDescent="0.3">
      <c r="A946" s="55" t="s">
        <v>5843</v>
      </c>
      <c r="B946" s="56" t="s">
        <v>123</v>
      </c>
      <c r="C946" s="57" t="s">
        <v>5531</v>
      </c>
      <c r="D946" s="58">
        <v>6.1102999999999993E-4</v>
      </c>
      <c r="E946" s="48">
        <f>SUMIF(Data!$E:$E,$C946,Data!$AI:$AI)</f>
        <v>0</v>
      </c>
      <c r="G946" s="14" t="s">
        <v>6599</v>
      </c>
      <c r="H946" s="14" t="s">
        <v>6600</v>
      </c>
      <c r="I946" s="14" t="s">
        <v>6601</v>
      </c>
      <c r="J946" s="14" t="s">
        <v>6602</v>
      </c>
      <c r="K946" s="14" t="s">
        <v>140</v>
      </c>
      <c r="L946" s="14" t="s">
        <v>5642</v>
      </c>
      <c r="M946" s="14" t="s">
        <v>6603</v>
      </c>
      <c r="N946" s="14">
        <v>119.345</v>
      </c>
      <c r="O946" s="14" t="s">
        <v>6604</v>
      </c>
      <c r="P946" s="14" t="s">
        <v>6605</v>
      </c>
      <c r="Q946" s="14" t="s">
        <v>737</v>
      </c>
      <c r="R946" s="14" t="s">
        <v>6606</v>
      </c>
      <c r="S946" s="14" t="s">
        <v>195</v>
      </c>
      <c r="T946" s="14" t="s">
        <v>149</v>
      </c>
      <c r="U946" s="14" t="s">
        <v>113</v>
      </c>
      <c r="V946" s="48">
        <f>SUMIF(Data!$E:$E,$I946,Data!$AI:$AI)</f>
        <v>0</v>
      </c>
    </row>
    <row r="947" spans="1:22" ht="15.75" x14ac:dyDescent="0.3">
      <c r="A947" s="55" t="s">
        <v>5843</v>
      </c>
      <c r="B947" s="56" t="s">
        <v>123</v>
      </c>
      <c r="C947" s="57" t="s">
        <v>6607</v>
      </c>
      <c r="D947" s="58">
        <v>1.76958E-3</v>
      </c>
      <c r="E947" s="48">
        <f>SUMIF(Data!$E:$E,$C947,Data!$AI:$AI)</f>
        <v>0.36069199794296358</v>
      </c>
      <c r="G947" s="14" t="s">
        <v>6608</v>
      </c>
      <c r="H947" s="14" t="s">
        <v>6609</v>
      </c>
      <c r="I947" s="14" t="s">
        <v>6610</v>
      </c>
      <c r="J947" s="14" t="s">
        <v>6611</v>
      </c>
      <c r="K947" s="14" t="s">
        <v>140</v>
      </c>
      <c r="L947" s="14" t="s">
        <v>5642</v>
      </c>
      <c r="M947" s="14" t="s">
        <v>6612</v>
      </c>
      <c r="N947" s="14">
        <v>66.093000000000004</v>
      </c>
      <c r="O947" s="14" t="s">
        <v>6613</v>
      </c>
      <c r="P947" s="14" t="s">
        <v>6614</v>
      </c>
      <c r="Q947" s="14" t="s">
        <v>211</v>
      </c>
      <c r="R947" s="14" t="s">
        <v>6615</v>
      </c>
      <c r="S947" s="14" t="s">
        <v>195</v>
      </c>
      <c r="T947" s="14" t="s">
        <v>149</v>
      </c>
      <c r="U947" s="14" t="s">
        <v>113</v>
      </c>
      <c r="V947" s="48">
        <f>SUMIF(Data!$E:$E,$I947,Data!$AI:$AI)</f>
        <v>0</v>
      </c>
    </row>
    <row r="948" spans="1:22" ht="15.75" x14ac:dyDescent="0.3">
      <c r="A948" s="55" t="s">
        <v>5843</v>
      </c>
      <c r="B948" s="56" t="s">
        <v>123</v>
      </c>
      <c r="C948" s="57" t="s">
        <v>4841</v>
      </c>
      <c r="D948" s="58">
        <v>2.507057E-2</v>
      </c>
      <c r="E948" s="48">
        <f>SUMIF(Data!$E:$E,$C948,Data!$AI:$AI)</f>
        <v>1.1368494141004637</v>
      </c>
      <c r="G948" s="14" t="s">
        <v>6616</v>
      </c>
      <c r="H948" s="14" t="s">
        <v>6617</v>
      </c>
      <c r="I948" s="14">
        <v>6988</v>
      </c>
      <c r="J948" s="14" t="s">
        <v>6618</v>
      </c>
      <c r="K948" s="14" t="s">
        <v>140</v>
      </c>
      <c r="L948" s="14" t="s">
        <v>5642</v>
      </c>
      <c r="M948" s="14" t="s">
        <v>6619</v>
      </c>
      <c r="N948" s="14">
        <v>89.131</v>
      </c>
      <c r="O948" s="14" t="s">
        <v>6620</v>
      </c>
      <c r="P948" s="14" t="s">
        <v>6621</v>
      </c>
      <c r="Q948" s="14" t="s">
        <v>737</v>
      </c>
      <c r="R948" s="14" t="s">
        <v>6622</v>
      </c>
      <c r="S948" s="14" t="s">
        <v>444</v>
      </c>
      <c r="T948" s="14" t="s">
        <v>445</v>
      </c>
      <c r="U948" s="14" t="s">
        <v>446</v>
      </c>
      <c r="V948" s="48">
        <f>SUMIF(Data!$E:$E,$I948,Data!$AI:$AI)</f>
        <v>0</v>
      </c>
    </row>
    <row r="949" spans="1:22" ht="15.75" x14ac:dyDescent="0.3">
      <c r="A949" s="55" t="s">
        <v>5843</v>
      </c>
      <c r="B949" s="56" t="s">
        <v>123</v>
      </c>
      <c r="C949" s="57" t="s">
        <v>5538</v>
      </c>
      <c r="D949" s="58">
        <v>3.7292E-4</v>
      </c>
      <c r="E949" s="48">
        <f>SUMIF(Data!$E:$E,$C949,Data!$AI:$AI)</f>
        <v>0</v>
      </c>
      <c r="G949" s="14" t="s">
        <v>6623</v>
      </c>
      <c r="H949" s="14" t="s">
        <v>6624</v>
      </c>
      <c r="I949" s="14" t="s">
        <v>6625</v>
      </c>
      <c r="J949" s="14" t="s">
        <v>6626</v>
      </c>
      <c r="K949" s="14" t="s">
        <v>140</v>
      </c>
      <c r="L949" s="14" t="s">
        <v>5642</v>
      </c>
      <c r="M949" s="14" t="s">
        <v>6627</v>
      </c>
      <c r="N949" s="14">
        <v>31.724</v>
      </c>
      <c r="O949" s="14" t="s">
        <v>6628</v>
      </c>
      <c r="P949" s="14" t="s">
        <v>6629</v>
      </c>
      <c r="Q949" s="14" t="s">
        <v>146</v>
      </c>
      <c r="R949" s="14" t="s">
        <v>6630</v>
      </c>
      <c r="S949" s="14" t="s">
        <v>229</v>
      </c>
      <c r="T949" s="14" t="s">
        <v>230</v>
      </c>
      <c r="U949" s="14" t="s">
        <v>231</v>
      </c>
      <c r="V949" s="48">
        <f>SUMIF(Data!$E:$E,$I949,Data!$AI:$AI)</f>
        <v>0</v>
      </c>
    </row>
    <row r="950" spans="1:22" ht="15.75" x14ac:dyDescent="0.3">
      <c r="A950" s="55" t="s">
        <v>5843</v>
      </c>
      <c r="B950" s="56" t="s">
        <v>123</v>
      </c>
      <c r="C950" s="57" t="s">
        <v>4848</v>
      </c>
      <c r="D950" s="58">
        <v>1.3133269999999999E-2</v>
      </c>
      <c r="E950" s="48">
        <f>SUMIF(Data!$E:$E,$C950,Data!$AI:$AI)</f>
        <v>0</v>
      </c>
      <c r="G950" s="14" t="s">
        <v>6631</v>
      </c>
      <c r="H950" s="14" t="s">
        <v>6632</v>
      </c>
      <c r="I950" s="14" t="s">
        <v>6633</v>
      </c>
      <c r="J950" s="14" t="s">
        <v>6634</v>
      </c>
      <c r="K950" s="14" t="s">
        <v>140</v>
      </c>
      <c r="L950" s="14" t="s">
        <v>5642</v>
      </c>
      <c r="M950" s="14" t="s">
        <v>6635</v>
      </c>
      <c r="N950" s="14">
        <v>141.67099999999999</v>
      </c>
      <c r="O950" s="14" t="s">
        <v>6636</v>
      </c>
      <c r="P950" s="14" t="s">
        <v>6637</v>
      </c>
      <c r="Q950" s="14" t="s">
        <v>165</v>
      </c>
      <c r="R950" s="14" t="s">
        <v>6638</v>
      </c>
      <c r="S950" s="14" t="s">
        <v>479</v>
      </c>
      <c r="T950" s="14" t="s">
        <v>480</v>
      </c>
      <c r="U950" s="14" t="s">
        <v>481</v>
      </c>
      <c r="V950" s="48">
        <f>SUMIF(Data!$E:$E,$I950,Data!$AI:$AI)</f>
        <v>0</v>
      </c>
    </row>
    <row r="951" spans="1:22" ht="15.75" x14ac:dyDescent="0.3">
      <c r="A951" s="55" t="s">
        <v>5843</v>
      </c>
      <c r="B951" s="56" t="s">
        <v>123</v>
      </c>
      <c r="C951" s="57" t="s">
        <v>4563</v>
      </c>
      <c r="D951" s="58">
        <v>2.84126E-3</v>
      </c>
      <c r="E951" s="48">
        <f>SUMIF(Data!$E:$E,$C951,Data!$AI:$AI)</f>
        <v>0</v>
      </c>
      <c r="G951" s="14" t="s">
        <v>6639</v>
      </c>
      <c r="H951" s="14" t="s">
        <v>6640</v>
      </c>
      <c r="I951" s="14" t="s">
        <v>6641</v>
      </c>
      <c r="J951" s="14" t="s">
        <v>6642</v>
      </c>
      <c r="K951" s="14" t="s">
        <v>140</v>
      </c>
      <c r="L951" s="14" t="s">
        <v>5642</v>
      </c>
      <c r="M951" s="14" t="s">
        <v>6643</v>
      </c>
      <c r="N951" s="14">
        <v>20.155999999999999</v>
      </c>
      <c r="O951" s="14" t="s">
        <v>6644</v>
      </c>
      <c r="P951" s="14" t="s">
        <v>6645</v>
      </c>
      <c r="Q951" s="14" t="s">
        <v>419</v>
      </c>
      <c r="R951" s="14" t="s">
        <v>6646</v>
      </c>
      <c r="S951" s="14" t="s">
        <v>195</v>
      </c>
      <c r="T951" s="14" t="s">
        <v>149</v>
      </c>
      <c r="U951" s="14" t="s">
        <v>113</v>
      </c>
      <c r="V951" s="48">
        <f>SUMIF(Data!$E:$E,$I951,Data!$AI:$AI)</f>
        <v>0</v>
      </c>
    </row>
    <row r="952" spans="1:22" ht="15.75" x14ac:dyDescent="0.3">
      <c r="A952" s="55" t="s">
        <v>5843</v>
      </c>
      <c r="B952" s="56" t="s">
        <v>123</v>
      </c>
      <c r="C952" s="57" t="s">
        <v>5153</v>
      </c>
      <c r="D952" s="58">
        <v>9.8324999999999997E-4</v>
      </c>
      <c r="E952" s="48">
        <f>SUMIF(Data!$E:$E,$C952,Data!$AI:$AI)</f>
        <v>0</v>
      </c>
      <c r="G952" s="14" t="s">
        <v>6647</v>
      </c>
      <c r="H952" s="14" t="s">
        <v>6648</v>
      </c>
      <c r="I952" s="14" t="s">
        <v>6649</v>
      </c>
      <c r="J952" s="14" t="s">
        <v>6650</v>
      </c>
      <c r="K952" s="14" t="s">
        <v>140</v>
      </c>
      <c r="L952" s="14" t="s">
        <v>5642</v>
      </c>
      <c r="M952" s="14" t="s">
        <v>6651</v>
      </c>
      <c r="N952" s="14">
        <v>119.086</v>
      </c>
      <c r="O952" s="14" t="s">
        <v>6652</v>
      </c>
      <c r="P952" s="14" t="s">
        <v>6653</v>
      </c>
      <c r="Q952" s="14" t="s">
        <v>419</v>
      </c>
      <c r="R952" s="14" t="s">
        <v>6654</v>
      </c>
      <c r="S952" s="14" t="s">
        <v>563</v>
      </c>
      <c r="T952" s="14" t="s">
        <v>564</v>
      </c>
      <c r="U952" s="14" t="s">
        <v>528</v>
      </c>
      <c r="V952" s="48">
        <f>SUMIF(Data!$E:$E,$I952,Data!$AI:$AI)</f>
        <v>0</v>
      </c>
    </row>
    <row r="953" spans="1:22" ht="15.75" x14ac:dyDescent="0.3">
      <c r="A953" s="55" t="s">
        <v>5843</v>
      </c>
      <c r="B953" s="56" t="s">
        <v>123</v>
      </c>
      <c r="C953" s="57" t="s">
        <v>4855</v>
      </c>
      <c r="D953" s="58">
        <v>0.19919595000000001</v>
      </c>
      <c r="E953" s="48">
        <f>SUMIF(Data!$E:$E,$C953,Data!$AI:$AI)</f>
        <v>1.0989645296635115</v>
      </c>
      <c r="G953" s="14" t="s">
        <v>6655</v>
      </c>
      <c r="H953" s="14" t="s">
        <v>6656</v>
      </c>
      <c r="I953" s="14" t="s">
        <v>6657</v>
      </c>
      <c r="J953" s="14" t="s">
        <v>6658</v>
      </c>
      <c r="K953" s="14" t="s">
        <v>140</v>
      </c>
      <c r="L953" s="14" t="s">
        <v>5642</v>
      </c>
      <c r="M953" s="14" t="s">
        <v>6659</v>
      </c>
      <c r="N953" s="14">
        <v>63.723999999999997</v>
      </c>
      <c r="O953" s="14" t="s">
        <v>6660</v>
      </c>
      <c r="P953" s="14" t="s">
        <v>6661</v>
      </c>
      <c r="Q953" s="14" t="s">
        <v>419</v>
      </c>
      <c r="R953" s="14" t="s">
        <v>6662</v>
      </c>
      <c r="S953" s="14" t="s">
        <v>195</v>
      </c>
      <c r="T953" s="14" t="s">
        <v>149</v>
      </c>
      <c r="U953" s="14" t="s">
        <v>113</v>
      </c>
      <c r="V953" s="48">
        <f>SUMIF(Data!$E:$E,$I953,Data!$AI:$AI)</f>
        <v>0</v>
      </c>
    </row>
    <row r="954" spans="1:22" ht="15.75" x14ac:dyDescent="0.3">
      <c r="A954" s="55" t="s">
        <v>5843</v>
      </c>
      <c r="B954" s="56" t="s">
        <v>123</v>
      </c>
      <c r="C954" s="57" t="s">
        <v>5005</v>
      </c>
      <c r="D954" s="58">
        <v>6.1106600000000004E-3</v>
      </c>
      <c r="E954" s="48">
        <f>SUMIF(Data!$E:$E,$C954,Data!$AI:$AI)</f>
        <v>0</v>
      </c>
      <c r="G954" s="14" t="s">
        <v>6663</v>
      </c>
      <c r="H954" s="14" t="s">
        <v>6664</v>
      </c>
      <c r="I954" s="14">
        <v>288</v>
      </c>
      <c r="J954" s="14" t="s">
        <v>6665</v>
      </c>
      <c r="K954" s="14" t="s">
        <v>140</v>
      </c>
      <c r="L954" s="14" t="s">
        <v>5642</v>
      </c>
      <c r="M954" s="14" t="s">
        <v>6666</v>
      </c>
      <c r="N954" s="14" t="s">
        <v>6667</v>
      </c>
      <c r="O954" s="14" t="s">
        <v>6668</v>
      </c>
      <c r="P954" s="14" t="s">
        <v>6669</v>
      </c>
      <c r="Q954" s="14" t="s">
        <v>227</v>
      </c>
      <c r="R954" s="14" t="s">
        <v>6670</v>
      </c>
      <c r="S954" s="14" t="s">
        <v>552</v>
      </c>
      <c r="T954" s="14" t="s">
        <v>553</v>
      </c>
      <c r="U954" s="14" t="s">
        <v>554</v>
      </c>
      <c r="V954" s="48">
        <f>SUMIF(Data!$E:$E,$I954,Data!$AI:$AI)</f>
        <v>0</v>
      </c>
    </row>
    <row r="955" spans="1:22" ht="15.75" x14ac:dyDescent="0.3">
      <c r="A955" s="55" t="s">
        <v>5843</v>
      </c>
      <c r="B955" s="56" t="s">
        <v>123</v>
      </c>
      <c r="C955" s="57" t="s">
        <v>4862</v>
      </c>
      <c r="D955" s="58">
        <v>3.24501E-3</v>
      </c>
      <c r="E955" s="48">
        <f>SUMIF(Data!$E:$E,$C955,Data!$AI:$AI)</f>
        <v>0.397519933142436</v>
      </c>
      <c r="G955" s="14" t="s">
        <v>6671</v>
      </c>
      <c r="H955" s="14" t="s">
        <v>6672</v>
      </c>
      <c r="I955" s="14">
        <v>3402</v>
      </c>
      <c r="J955" s="14" t="s">
        <v>6673</v>
      </c>
      <c r="K955" s="14" t="s">
        <v>140</v>
      </c>
      <c r="L955" s="14" t="s">
        <v>5642</v>
      </c>
      <c r="M955" s="14" t="s">
        <v>6674</v>
      </c>
      <c r="N955" s="14">
        <v>735.553</v>
      </c>
      <c r="O955" s="14" t="s">
        <v>6675</v>
      </c>
      <c r="P955" s="14" t="s">
        <v>6676</v>
      </c>
      <c r="Q955" s="14" t="s">
        <v>737</v>
      </c>
      <c r="R955" s="14" t="s">
        <v>6677</v>
      </c>
      <c r="S955" s="14" t="s">
        <v>444</v>
      </c>
      <c r="T955" s="14" t="s">
        <v>445</v>
      </c>
      <c r="U955" s="14" t="s">
        <v>446</v>
      </c>
      <c r="V955" s="48">
        <f>SUMIF(Data!$E:$E,$I955,Data!$AI:$AI)</f>
        <v>0</v>
      </c>
    </row>
    <row r="956" spans="1:22" ht="15.75" x14ac:dyDescent="0.3">
      <c r="A956" s="55" t="s">
        <v>5843</v>
      </c>
      <c r="B956" s="56" t="s">
        <v>123</v>
      </c>
      <c r="C956" s="57" t="s">
        <v>5166</v>
      </c>
      <c r="D956" s="58">
        <v>7.2783000000000006E-4</v>
      </c>
      <c r="E956" s="48">
        <f>SUMIF(Data!$E:$E,$C956,Data!$AI:$AI)</f>
        <v>0</v>
      </c>
      <c r="G956" s="14" t="s">
        <v>6678</v>
      </c>
      <c r="H956" s="14" t="s">
        <v>6679</v>
      </c>
      <c r="I956" s="14" t="s">
        <v>6680</v>
      </c>
      <c r="J956" s="14" t="s">
        <v>6681</v>
      </c>
      <c r="K956" s="14" t="s">
        <v>140</v>
      </c>
      <c r="L956" s="14" t="s">
        <v>5642</v>
      </c>
      <c r="M956" s="14" t="s">
        <v>6682</v>
      </c>
      <c r="N956" s="14">
        <v>69.625</v>
      </c>
      <c r="O956" s="14" t="s">
        <v>6683</v>
      </c>
      <c r="P956" s="14" t="s">
        <v>6684</v>
      </c>
      <c r="Q956" s="14" t="s">
        <v>737</v>
      </c>
      <c r="R956" s="14" t="s">
        <v>6685</v>
      </c>
      <c r="S956" s="14" t="s">
        <v>195</v>
      </c>
      <c r="T956" s="14" t="s">
        <v>149</v>
      </c>
      <c r="U956" s="14" t="s">
        <v>113</v>
      </c>
      <c r="V956" s="48">
        <f>SUMIF(Data!$E:$E,$I956,Data!$AI:$AI)</f>
        <v>0</v>
      </c>
    </row>
    <row r="957" spans="1:22" ht="15.75" x14ac:dyDescent="0.3">
      <c r="A957" s="55" t="s">
        <v>5843</v>
      </c>
      <c r="B957" s="56" t="s">
        <v>123</v>
      </c>
      <c r="C957" s="57" t="s">
        <v>5545</v>
      </c>
      <c r="D957" s="58">
        <v>4.0158000000000001E-4</v>
      </c>
      <c r="E957" s="48">
        <f>SUMIF(Data!$E:$E,$C957,Data!$AI:$AI)</f>
        <v>0</v>
      </c>
      <c r="G957" s="14" t="s">
        <v>6686</v>
      </c>
      <c r="H957" s="14" t="s">
        <v>6687</v>
      </c>
      <c r="I957" s="14" t="s">
        <v>6688</v>
      </c>
      <c r="J957" s="14" t="s">
        <v>6689</v>
      </c>
      <c r="K957" s="14" t="s">
        <v>140</v>
      </c>
      <c r="L957" s="14" t="s">
        <v>5642</v>
      </c>
      <c r="M957" s="14" t="s">
        <v>6690</v>
      </c>
      <c r="N957" s="14">
        <v>289.02699999999999</v>
      </c>
      <c r="O957" s="14" t="s">
        <v>6691</v>
      </c>
      <c r="P957" s="14" t="s">
        <v>6692</v>
      </c>
      <c r="Q957" s="14" t="s">
        <v>419</v>
      </c>
      <c r="R957" s="14" t="s">
        <v>6693</v>
      </c>
      <c r="S957" s="14" t="s">
        <v>563</v>
      </c>
      <c r="T957" s="14" t="s">
        <v>564</v>
      </c>
      <c r="U957" s="14" t="s">
        <v>528</v>
      </c>
      <c r="V957" s="48">
        <f>SUMIF(Data!$E:$E,$I957,Data!$AI:$AI)</f>
        <v>0</v>
      </c>
    </row>
    <row r="958" spans="1:22" ht="15.75" x14ac:dyDescent="0.3">
      <c r="A958" s="55" t="s">
        <v>5843</v>
      </c>
      <c r="B958" s="56" t="s">
        <v>123</v>
      </c>
      <c r="C958" s="57" t="s">
        <v>4478</v>
      </c>
      <c r="D958" s="58">
        <v>2.7813000000000002E-4</v>
      </c>
      <c r="E958" s="48">
        <f>SUMIF(Data!$E:$E,$C958,Data!$AI:$AI)</f>
        <v>0.23823313841468968</v>
      </c>
      <c r="G958" s="14" t="s">
        <v>6694</v>
      </c>
      <c r="H958" s="14" t="s">
        <v>6695</v>
      </c>
      <c r="I958" s="14" t="s">
        <v>5316</v>
      </c>
      <c r="J958" s="14" t="s">
        <v>6696</v>
      </c>
      <c r="K958" s="14" t="s">
        <v>140</v>
      </c>
      <c r="L958" s="14" t="s">
        <v>5642</v>
      </c>
      <c r="M958" s="14" t="s">
        <v>6697</v>
      </c>
      <c r="N958" s="14">
        <v>30.789000000000001</v>
      </c>
      <c r="O958" s="14" t="s">
        <v>6698</v>
      </c>
      <c r="P958" s="14" t="s">
        <v>6699</v>
      </c>
      <c r="Q958" s="14" t="s">
        <v>211</v>
      </c>
      <c r="R958" s="14" t="s">
        <v>6700</v>
      </c>
      <c r="S958" s="14" t="s">
        <v>850</v>
      </c>
      <c r="T958" s="14" t="s">
        <v>851</v>
      </c>
      <c r="U958" s="14" t="s">
        <v>852</v>
      </c>
      <c r="V958" s="48">
        <f>SUMIF(Data!$E:$E,$I958,Data!$AI:$AI)</f>
        <v>0</v>
      </c>
    </row>
    <row r="959" spans="1:22" ht="15.75" x14ac:dyDescent="0.3">
      <c r="A959" s="55" t="s">
        <v>5843</v>
      </c>
      <c r="B959" s="56" t="s">
        <v>123</v>
      </c>
      <c r="C959" s="57" t="s">
        <v>5019</v>
      </c>
      <c r="D959" s="58">
        <v>1.3683540000000001E-2</v>
      </c>
      <c r="E959" s="48">
        <f>SUMIF(Data!$E:$E,$C959,Data!$AI:$AI)</f>
        <v>0</v>
      </c>
      <c r="G959" s="14" t="s">
        <v>6701</v>
      </c>
      <c r="H959" s="14" t="s">
        <v>6702</v>
      </c>
      <c r="I959" s="14" t="s">
        <v>6703</v>
      </c>
      <c r="J959" s="14" t="s">
        <v>6704</v>
      </c>
      <c r="K959" s="14" t="s">
        <v>140</v>
      </c>
      <c r="L959" s="14" t="s">
        <v>5642</v>
      </c>
      <c r="M959" s="14" t="s">
        <v>6705</v>
      </c>
      <c r="N959" s="14">
        <v>108.346</v>
      </c>
      <c r="O959" s="14" t="s">
        <v>6706</v>
      </c>
      <c r="P959" s="14" t="s">
        <v>6707</v>
      </c>
      <c r="Q959" s="14" t="s">
        <v>175</v>
      </c>
      <c r="R959" s="14" t="s">
        <v>6708</v>
      </c>
      <c r="S959" s="14" t="s">
        <v>148</v>
      </c>
      <c r="T959" s="14" t="s">
        <v>149</v>
      </c>
      <c r="U959" s="14" t="s">
        <v>113</v>
      </c>
      <c r="V959" s="48">
        <f>SUMIF(Data!$E:$E,$I959,Data!$AI:$AI)</f>
        <v>0</v>
      </c>
    </row>
    <row r="960" spans="1:22" ht="15.75" x14ac:dyDescent="0.3">
      <c r="A960" s="55" t="s">
        <v>5843</v>
      </c>
      <c r="B960" s="56" t="s">
        <v>123</v>
      </c>
      <c r="C960" s="57" t="s">
        <v>4513</v>
      </c>
      <c r="D960" s="58">
        <v>4.2264999999999995E-4</v>
      </c>
      <c r="E960" s="48">
        <f>SUMIF(Data!$E:$E,$C960,Data!$AI:$AI)</f>
        <v>7.5221619812558246E-2</v>
      </c>
      <c r="G960" s="14" t="s">
        <v>6709</v>
      </c>
      <c r="H960" s="14" t="s">
        <v>6710</v>
      </c>
      <c r="I960" s="14" t="s">
        <v>6711</v>
      </c>
      <c r="J960" s="14" t="s">
        <v>6712</v>
      </c>
      <c r="K960" s="14" t="s">
        <v>140</v>
      </c>
      <c r="L960" s="14" t="s">
        <v>5642</v>
      </c>
      <c r="M960" s="14" t="s">
        <v>6713</v>
      </c>
      <c r="N960" s="14" t="s">
        <v>6714</v>
      </c>
      <c r="O960" s="14" t="s">
        <v>6715</v>
      </c>
      <c r="P960" s="14" t="s">
        <v>6716</v>
      </c>
      <c r="Q960" s="14" t="s">
        <v>193</v>
      </c>
      <c r="R960" s="14" t="s">
        <v>6717</v>
      </c>
      <c r="S960" s="14" t="s">
        <v>479</v>
      </c>
      <c r="T960" s="14" t="s">
        <v>480</v>
      </c>
      <c r="U960" s="14" t="s">
        <v>481</v>
      </c>
      <c r="V960" s="48">
        <f>SUMIF(Data!$E:$E,$I960,Data!$AI:$AI)</f>
        <v>0</v>
      </c>
    </row>
    <row r="961" spans="1:22" ht="15.75" x14ac:dyDescent="0.3">
      <c r="A961" s="55" t="s">
        <v>5843</v>
      </c>
      <c r="B961" s="56" t="s">
        <v>123</v>
      </c>
      <c r="C961" s="57" t="s">
        <v>4009</v>
      </c>
      <c r="D961" s="58">
        <v>1.2935900000000001E-3</v>
      </c>
      <c r="E961" s="48">
        <f>SUMIF(Data!$E:$E,$C961,Data!$AI:$AI)</f>
        <v>0</v>
      </c>
      <c r="G961" s="14" t="s">
        <v>6718</v>
      </c>
      <c r="H961" s="14" t="s">
        <v>6719</v>
      </c>
      <c r="I961" s="14" t="s">
        <v>6720</v>
      </c>
      <c r="J961" s="14" t="s">
        <v>6721</v>
      </c>
      <c r="K961" s="14" t="s">
        <v>140</v>
      </c>
      <c r="L961" s="14" t="s">
        <v>5642</v>
      </c>
      <c r="M961" s="14" t="s">
        <v>6722</v>
      </c>
      <c r="N961" s="14">
        <v>102.94</v>
      </c>
      <c r="O961" s="14" t="s">
        <v>6723</v>
      </c>
      <c r="P961" s="14" t="s">
        <v>6724</v>
      </c>
      <c r="Q961" s="14" t="s">
        <v>227</v>
      </c>
      <c r="R961" s="14" t="s">
        <v>6725</v>
      </c>
      <c r="S961" s="14" t="s">
        <v>195</v>
      </c>
      <c r="T961" s="14" t="s">
        <v>149</v>
      </c>
      <c r="U961" s="14" t="s">
        <v>113</v>
      </c>
      <c r="V961" s="48">
        <f>SUMIF(Data!$E:$E,$I961,Data!$AI:$AI)</f>
        <v>0</v>
      </c>
    </row>
    <row r="962" spans="1:22" ht="15.75" x14ac:dyDescent="0.3">
      <c r="A962" s="55" t="s">
        <v>5843</v>
      </c>
      <c r="B962" s="56" t="s">
        <v>123</v>
      </c>
      <c r="C962" s="57" t="s">
        <v>1855</v>
      </c>
      <c r="D962" s="58">
        <v>4.7009000000000005E-4</v>
      </c>
      <c r="E962" s="48">
        <f>SUMIF(Data!$E:$E,$C962,Data!$AI:$AI)</f>
        <v>0</v>
      </c>
      <c r="G962" s="14" t="s">
        <v>6726</v>
      </c>
      <c r="H962" s="14" t="s">
        <v>6727</v>
      </c>
      <c r="I962" s="14" t="s">
        <v>6728</v>
      </c>
      <c r="J962" s="14" t="s">
        <v>6729</v>
      </c>
      <c r="K962" s="14" t="s">
        <v>140</v>
      </c>
      <c r="L962" s="14" t="s">
        <v>5642</v>
      </c>
      <c r="M962" s="14" t="s">
        <v>6730</v>
      </c>
      <c r="N962" s="14">
        <v>81.399000000000001</v>
      </c>
      <c r="O962" s="14" t="s">
        <v>6731</v>
      </c>
      <c r="P962" s="14" t="s">
        <v>6732</v>
      </c>
      <c r="Q962" s="14" t="s">
        <v>809</v>
      </c>
      <c r="R962" s="14" t="s">
        <v>6733</v>
      </c>
      <c r="S962" s="14" t="s">
        <v>195</v>
      </c>
      <c r="T962" s="14" t="s">
        <v>149</v>
      </c>
      <c r="U962" s="14" t="s">
        <v>113</v>
      </c>
      <c r="V962" s="48">
        <f>SUMIF(Data!$E:$E,$I962,Data!$AI:$AI)</f>
        <v>0</v>
      </c>
    </row>
    <row r="963" spans="1:22" ht="15.75" x14ac:dyDescent="0.3">
      <c r="A963" s="55" t="s">
        <v>5843</v>
      </c>
      <c r="B963" s="56" t="s">
        <v>123</v>
      </c>
      <c r="C963" s="57" t="s">
        <v>5173</v>
      </c>
      <c r="D963" s="58">
        <v>3.0369000000000004E-3</v>
      </c>
      <c r="E963" s="48">
        <f>SUMIF(Data!$E:$E,$C963,Data!$AI:$AI)</f>
        <v>0.32269220108453256</v>
      </c>
      <c r="G963" s="14" t="s">
        <v>6734</v>
      </c>
      <c r="H963" s="14" t="s">
        <v>6735</v>
      </c>
      <c r="I963" s="14" t="s">
        <v>6736</v>
      </c>
      <c r="J963" s="14" t="s">
        <v>6737</v>
      </c>
      <c r="K963" s="14" t="s">
        <v>140</v>
      </c>
      <c r="L963" s="14" t="s">
        <v>5642</v>
      </c>
      <c r="M963" s="14" t="s">
        <v>6738</v>
      </c>
      <c r="N963" s="14">
        <v>101.774</v>
      </c>
      <c r="O963" s="14" t="s">
        <v>6739</v>
      </c>
      <c r="P963" s="14" t="s">
        <v>6740</v>
      </c>
      <c r="Q963" s="14" t="s">
        <v>737</v>
      </c>
      <c r="R963" s="14" t="s">
        <v>6741</v>
      </c>
      <c r="S963" s="14" t="s">
        <v>1277</v>
      </c>
      <c r="T963" s="14" t="s">
        <v>1278</v>
      </c>
      <c r="U963" s="14" t="s">
        <v>528</v>
      </c>
      <c r="V963" s="48">
        <f>SUMIF(Data!$E:$E,$I963,Data!$AI:$AI)</f>
        <v>0</v>
      </c>
    </row>
    <row r="964" spans="1:22" ht="15.75" x14ac:dyDescent="0.3">
      <c r="A964" s="55" t="s">
        <v>5843</v>
      </c>
      <c r="B964" s="56" t="s">
        <v>123</v>
      </c>
      <c r="C964" s="57" t="s">
        <v>5563</v>
      </c>
      <c r="D964" s="58">
        <v>1.03976E-3</v>
      </c>
      <c r="E964" s="48">
        <f>SUMIF(Data!$E:$E,$C964,Data!$AI:$AI)</f>
        <v>0</v>
      </c>
      <c r="G964" s="14" t="s">
        <v>6742</v>
      </c>
      <c r="H964" s="14" t="s">
        <v>6743</v>
      </c>
      <c r="I964" s="14" t="s">
        <v>6744</v>
      </c>
      <c r="J964" s="14" t="s">
        <v>6745</v>
      </c>
      <c r="K964" s="14" t="s">
        <v>140</v>
      </c>
      <c r="L964" s="14" t="s">
        <v>5642</v>
      </c>
      <c r="M964" s="14" t="s">
        <v>6746</v>
      </c>
      <c r="N964" s="14">
        <v>39.975999999999999</v>
      </c>
      <c r="O964" s="14" t="s">
        <v>6747</v>
      </c>
      <c r="P964" s="14" t="s">
        <v>6748</v>
      </c>
      <c r="Q964" s="14" t="s">
        <v>165</v>
      </c>
      <c r="R964" s="14" t="s">
        <v>6749</v>
      </c>
      <c r="S964" s="14" t="s">
        <v>2413</v>
      </c>
      <c r="T964" s="14" t="s">
        <v>1285</v>
      </c>
      <c r="U964" s="14" t="s">
        <v>528</v>
      </c>
      <c r="V964" s="48">
        <f>SUMIF(Data!$E:$E,$I964,Data!$AI:$AI)</f>
        <v>0</v>
      </c>
    </row>
    <row r="965" spans="1:22" ht="15.75" x14ac:dyDescent="0.3">
      <c r="A965" s="55" t="s">
        <v>5843</v>
      </c>
      <c r="B965" s="56" t="s">
        <v>123</v>
      </c>
      <c r="C965" s="57" t="s">
        <v>6750</v>
      </c>
      <c r="D965" s="58">
        <v>1.6850300000000001E-3</v>
      </c>
      <c r="E965" s="48">
        <f>SUMIF(Data!$E:$E,$C965,Data!$AI:$AI)</f>
        <v>0.68951282351564869</v>
      </c>
      <c r="G965" s="14" t="s">
        <v>6751</v>
      </c>
      <c r="H965" s="14" t="s">
        <v>6752</v>
      </c>
      <c r="I965" s="14" t="s">
        <v>6753</v>
      </c>
      <c r="J965" s="14" t="s">
        <v>6754</v>
      </c>
      <c r="K965" s="14" t="s">
        <v>140</v>
      </c>
      <c r="L965" s="14" t="s">
        <v>5642</v>
      </c>
      <c r="M965" s="14" t="s">
        <v>6755</v>
      </c>
      <c r="N965" s="14">
        <v>107.343</v>
      </c>
      <c r="O965" s="14" t="s">
        <v>6756</v>
      </c>
      <c r="P965" s="14" t="s">
        <v>6757</v>
      </c>
      <c r="Q965" s="14" t="s">
        <v>175</v>
      </c>
      <c r="R965" s="14" t="s">
        <v>6758</v>
      </c>
      <c r="S965" s="14" t="s">
        <v>148</v>
      </c>
      <c r="T965" s="14" t="s">
        <v>149</v>
      </c>
      <c r="U965" s="14" t="s">
        <v>113</v>
      </c>
      <c r="V965" s="48">
        <f>SUMIF(Data!$E:$E,$I965,Data!$AI:$AI)</f>
        <v>0</v>
      </c>
    </row>
    <row r="966" spans="1:22" ht="15.75" x14ac:dyDescent="0.3">
      <c r="A966" s="55" t="s">
        <v>5843</v>
      </c>
      <c r="B966" s="56" t="s">
        <v>123</v>
      </c>
      <c r="C966" s="57" t="s">
        <v>6759</v>
      </c>
      <c r="D966" s="58">
        <v>5.2597300000000007E-3</v>
      </c>
      <c r="E966" s="48">
        <f>SUMIF(Data!$E:$E,$C966,Data!$AI:$AI)</f>
        <v>0.31941379215436855</v>
      </c>
      <c r="G966" s="14" t="s">
        <v>6760</v>
      </c>
      <c r="H966" s="14" t="s">
        <v>6761</v>
      </c>
      <c r="I966" s="14" t="s">
        <v>6762</v>
      </c>
      <c r="J966" s="14" t="s">
        <v>6763</v>
      </c>
      <c r="K966" s="14" t="s">
        <v>140</v>
      </c>
      <c r="L966" s="14" t="s">
        <v>5642</v>
      </c>
      <c r="M966" s="14" t="s">
        <v>6021</v>
      </c>
      <c r="N966" s="14">
        <v>82.698999999999998</v>
      </c>
      <c r="O966" s="14" t="s">
        <v>6764</v>
      </c>
      <c r="P966" s="14" t="s">
        <v>6765</v>
      </c>
      <c r="Q966" s="14" t="s">
        <v>419</v>
      </c>
      <c r="R966" s="14" t="s">
        <v>6766</v>
      </c>
      <c r="S966" s="14" t="s">
        <v>195</v>
      </c>
      <c r="T966" s="14" t="s">
        <v>149</v>
      </c>
      <c r="U966" s="14" t="s">
        <v>113</v>
      </c>
      <c r="V966" s="48">
        <f>SUMIF(Data!$E:$E,$I966,Data!$AI:$AI)</f>
        <v>0</v>
      </c>
    </row>
    <row r="967" spans="1:22" ht="15.75" x14ac:dyDescent="0.3">
      <c r="A967" s="55" t="s">
        <v>5843</v>
      </c>
      <c r="B967" s="56" t="s">
        <v>123</v>
      </c>
      <c r="C967" s="57" t="s">
        <v>5409</v>
      </c>
      <c r="D967" s="58">
        <v>4.1849000000000001E-3</v>
      </c>
      <c r="E967" s="48">
        <f>SUMIF(Data!$E:$E,$C967,Data!$AI:$AI)</f>
        <v>0.58444404567070329</v>
      </c>
      <c r="G967" s="14" t="s">
        <v>6767</v>
      </c>
      <c r="H967" s="14" t="s">
        <v>6768</v>
      </c>
      <c r="I967" s="14" t="s">
        <v>6769</v>
      </c>
      <c r="J967" s="14" t="s">
        <v>6770</v>
      </c>
      <c r="K967" s="14" t="s">
        <v>140</v>
      </c>
      <c r="L967" s="14" t="s">
        <v>5642</v>
      </c>
      <c r="M967" s="14" t="s">
        <v>6771</v>
      </c>
      <c r="N967" s="14">
        <v>5.88</v>
      </c>
      <c r="O967" s="14" t="s">
        <v>6772</v>
      </c>
      <c r="P967" s="14" t="s">
        <v>6773</v>
      </c>
      <c r="Q967" s="14" t="s">
        <v>146</v>
      </c>
      <c r="R967" s="14" t="s">
        <v>6774</v>
      </c>
      <c r="S967" s="14" t="s">
        <v>645</v>
      </c>
      <c r="T967" s="14" t="s">
        <v>646</v>
      </c>
      <c r="U967" s="14" t="s">
        <v>528</v>
      </c>
      <c r="V967" s="48">
        <f>SUMIF(Data!$E:$E,$I967,Data!$AI:$AI)</f>
        <v>0</v>
      </c>
    </row>
    <row r="968" spans="1:22" ht="15.75" x14ac:dyDescent="0.3">
      <c r="A968" s="55" t="s">
        <v>5843</v>
      </c>
      <c r="B968" s="56" t="s">
        <v>123</v>
      </c>
      <c r="C968" s="57" t="s">
        <v>4570</v>
      </c>
      <c r="D968" s="58">
        <v>5.9999999999999995E-4</v>
      </c>
      <c r="E968" s="48">
        <f>SUMIF(Data!$E:$E,$C968,Data!$AI:$AI)</f>
        <v>0.26415097546540911</v>
      </c>
      <c r="G968" s="14" t="s">
        <v>6775</v>
      </c>
      <c r="H968" s="14" t="s">
        <v>6776</v>
      </c>
      <c r="I968" s="14" t="s">
        <v>6777</v>
      </c>
      <c r="J968" s="14" t="s">
        <v>6778</v>
      </c>
      <c r="K968" s="14" t="s">
        <v>140</v>
      </c>
      <c r="L968" s="14" t="s">
        <v>5642</v>
      </c>
      <c r="M968" s="14" t="s">
        <v>6779</v>
      </c>
      <c r="N968" s="14">
        <v>244.56</v>
      </c>
      <c r="O968" s="14" t="s">
        <v>6780</v>
      </c>
      <c r="P968" s="14" t="s">
        <v>6781</v>
      </c>
      <c r="Q968" s="14" t="s">
        <v>419</v>
      </c>
      <c r="R968" s="14" t="s">
        <v>6782</v>
      </c>
      <c r="S968" s="14" t="s">
        <v>195</v>
      </c>
      <c r="T968" s="14" t="s">
        <v>149</v>
      </c>
      <c r="U968" s="14" t="s">
        <v>113</v>
      </c>
      <c r="V968" s="48">
        <f>SUMIF(Data!$E:$E,$I968,Data!$AI:$AI)</f>
        <v>0</v>
      </c>
    </row>
    <row r="969" spans="1:22" ht="15.75" x14ac:dyDescent="0.3">
      <c r="A969" s="55" t="s">
        <v>5843</v>
      </c>
      <c r="B969" s="56" t="s">
        <v>123</v>
      </c>
      <c r="C969" s="57" t="s">
        <v>5570</v>
      </c>
      <c r="D969" s="58">
        <v>3.615E-4</v>
      </c>
      <c r="E969" s="48">
        <f>SUMIF(Data!$E:$E,$C969,Data!$AI:$AI)</f>
        <v>0</v>
      </c>
      <c r="G969" s="14" t="s">
        <v>6783</v>
      </c>
      <c r="H969" s="14" t="s">
        <v>6784</v>
      </c>
      <c r="I969" s="14" t="s">
        <v>6785</v>
      </c>
      <c r="J969" s="14" t="s">
        <v>6786</v>
      </c>
      <c r="K969" s="14" t="s">
        <v>140</v>
      </c>
      <c r="L969" s="14" t="s">
        <v>5642</v>
      </c>
      <c r="M969" s="14" t="s">
        <v>6787</v>
      </c>
      <c r="N969" s="14">
        <v>81.052999999999997</v>
      </c>
      <c r="O969" s="14" t="s">
        <v>6788</v>
      </c>
      <c r="P969" s="14" t="s">
        <v>6789</v>
      </c>
      <c r="Q969" s="14" t="s">
        <v>419</v>
      </c>
      <c r="R969" s="14" t="s">
        <v>6790</v>
      </c>
      <c r="S969" s="14" t="s">
        <v>2413</v>
      </c>
      <c r="T969" s="14" t="s">
        <v>1285</v>
      </c>
      <c r="U969" s="14" t="s">
        <v>528</v>
      </c>
      <c r="V969" s="48">
        <f>SUMIF(Data!$E:$E,$I969,Data!$AI:$AI)</f>
        <v>0</v>
      </c>
    </row>
    <row r="970" spans="1:22" ht="15.75" x14ac:dyDescent="0.3">
      <c r="A970" s="55" t="s">
        <v>5843</v>
      </c>
      <c r="B970" s="56" t="s">
        <v>123</v>
      </c>
      <c r="C970" s="57" t="s">
        <v>3581</v>
      </c>
      <c r="D970" s="58">
        <v>3.5468000000000001E-4</v>
      </c>
      <c r="E970" s="48">
        <f>SUMIF(Data!$E:$E,$C970,Data!$AI:$AI)</f>
        <v>0</v>
      </c>
      <c r="G970" s="14" t="s">
        <v>6791</v>
      </c>
      <c r="H970" s="14" t="s">
        <v>6792</v>
      </c>
      <c r="I970" s="14">
        <v>6857</v>
      </c>
      <c r="J970" s="14" t="s">
        <v>6793</v>
      </c>
      <c r="K970" s="14" t="s">
        <v>140</v>
      </c>
      <c r="L970" s="14" t="s">
        <v>5642</v>
      </c>
      <c r="M970" s="14" t="s">
        <v>5338</v>
      </c>
      <c r="N970" s="14">
        <v>84.3</v>
      </c>
      <c r="O970" s="14" t="s">
        <v>6794</v>
      </c>
      <c r="P970" s="14" t="s">
        <v>6795</v>
      </c>
      <c r="Q970" s="14" t="s">
        <v>146</v>
      </c>
      <c r="R970" s="14" t="s">
        <v>6796</v>
      </c>
      <c r="S970" s="14" t="s">
        <v>444</v>
      </c>
      <c r="T970" s="14" t="s">
        <v>445</v>
      </c>
      <c r="U970" s="14" t="s">
        <v>446</v>
      </c>
      <c r="V970" s="48">
        <f>SUMIF(Data!$E:$E,$I970,Data!$AI:$AI)</f>
        <v>0</v>
      </c>
    </row>
    <row r="971" spans="1:22" ht="15.75" x14ac:dyDescent="0.3">
      <c r="A971" s="55" t="s">
        <v>5843</v>
      </c>
      <c r="B971" s="56" t="s">
        <v>123</v>
      </c>
      <c r="C971" s="57" t="s">
        <v>3160</v>
      </c>
      <c r="D971" s="58">
        <v>6.7967900000000005E-3</v>
      </c>
      <c r="E971" s="48">
        <f>SUMIF(Data!$E:$E,$C971,Data!$AI:$AI)</f>
        <v>0.48939641738655321</v>
      </c>
      <c r="G971" s="14" t="s">
        <v>6797</v>
      </c>
      <c r="H971" s="14" t="s">
        <v>6798</v>
      </c>
      <c r="I971" s="14" t="s">
        <v>6799</v>
      </c>
      <c r="J971" s="14" t="s">
        <v>6800</v>
      </c>
      <c r="K971" s="14" t="s">
        <v>140</v>
      </c>
      <c r="L971" s="14" t="s">
        <v>5642</v>
      </c>
      <c r="M971" s="14" t="s">
        <v>6801</v>
      </c>
      <c r="N971" s="14">
        <v>29.292999999999999</v>
      </c>
      <c r="O971" s="14" t="s">
        <v>6802</v>
      </c>
      <c r="P971" s="14" t="s">
        <v>6803</v>
      </c>
      <c r="Q971" s="14" t="s">
        <v>419</v>
      </c>
      <c r="R971" s="14" t="s">
        <v>6804</v>
      </c>
      <c r="S971" s="14" t="s">
        <v>195</v>
      </c>
      <c r="T971" s="14" t="s">
        <v>149</v>
      </c>
      <c r="U971" s="14" t="s">
        <v>113</v>
      </c>
      <c r="V971" s="48">
        <f>SUMIF(Data!$E:$E,$I971,Data!$AI:$AI)</f>
        <v>0</v>
      </c>
    </row>
    <row r="972" spans="1:22" ht="15.75" x14ac:dyDescent="0.3">
      <c r="A972" s="55" t="s">
        <v>5843</v>
      </c>
      <c r="B972" s="56" t="s">
        <v>123</v>
      </c>
      <c r="C972" s="57" t="s">
        <v>5678</v>
      </c>
      <c r="D972" s="58">
        <v>4.8489999999999998E-5</v>
      </c>
      <c r="E972" s="48">
        <f>SUMIF(Data!$E:$E,$C972,Data!$AI:$AI)</f>
        <v>0</v>
      </c>
      <c r="G972" s="14" t="s">
        <v>6805</v>
      </c>
      <c r="H972" s="14" t="s">
        <v>6806</v>
      </c>
      <c r="I972" s="14" t="s">
        <v>6807</v>
      </c>
      <c r="J972" s="14" t="s">
        <v>6808</v>
      </c>
      <c r="K972" s="14" t="s">
        <v>140</v>
      </c>
      <c r="L972" s="14" t="s">
        <v>5642</v>
      </c>
      <c r="M972" s="14" t="s">
        <v>6809</v>
      </c>
      <c r="N972" s="14">
        <v>78.745000000000005</v>
      </c>
      <c r="O972" s="14" t="s">
        <v>6810</v>
      </c>
      <c r="P972" s="14" t="s">
        <v>6811</v>
      </c>
      <c r="Q972" s="14" t="s">
        <v>809</v>
      </c>
      <c r="R972" s="14" t="s">
        <v>6812</v>
      </c>
      <c r="S972" s="14" t="s">
        <v>148</v>
      </c>
      <c r="T972" s="14" t="s">
        <v>149</v>
      </c>
      <c r="U972" s="14" t="s">
        <v>113</v>
      </c>
      <c r="V972" s="48">
        <f>SUMIF(Data!$E:$E,$I972,Data!$AI:$AI)</f>
        <v>0</v>
      </c>
    </row>
    <row r="973" spans="1:22" ht="15.75" x14ac:dyDescent="0.3">
      <c r="A973" s="55" t="s">
        <v>5843</v>
      </c>
      <c r="B973" s="56" t="s">
        <v>123</v>
      </c>
      <c r="C973" s="57" t="s">
        <v>4873</v>
      </c>
      <c r="D973" s="58">
        <v>1.291285E-2</v>
      </c>
      <c r="E973" s="48">
        <f>SUMIF(Data!$E:$E,$C973,Data!$AI:$AI)</f>
        <v>0</v>
      </c>
      <c r="G973" s="14" t="s">
        <v>6813</v>
      </c>
      <c r="H973" s="14" t="s">
        <v>6814</v>
      </c>
      <c r="I973" s="14" t="s">
        <v>6815</v>
      </c>
      <c r="J973" s="14" t="s">
        <v>6816</v>
      </c>
      <c r="K973" s="14" t="s">
        <v>140</v>
      </c>
      <c r="L973" s="14" t="s">
        <v>5642</v>
      </c>
      <c r="M973" s="14" t="s">
        <v>4538</v>
      </c>
      <c r="N973" s="14">
        <v>53.424999999999997</v>
      </c>
      <c r="O973" s="14" t="s">
        <v>6817</v>
      </c>
      <c r="P973" s="14" t="s">
        <v>6818</v>
      </c>
      <c r="Q973" s="14" t="s">
        <v>809</v>
      </c>
      <c r="R973" s="14" t="s">
        <v>6819</v>
      </c>
      <c r="S973" s="14" t="s">
        <v>195</v>
      </c>
      <c r="T973" s="14" t="s">
        <v>149</v>
      </c>
      <c r="U973" s="14" t="s">
        <v>113</v>
      </c>
      <c r="V973" s="48">
        <f>SUMIF(Data!$E:$E,$I973,Data!$AI:$AI)</f>
        <v>0</v>
      </c>
    </row>
    <row r="974" spans="1:22" ht="15.75" x14ac:dyDescent="0.3">
      <c r="A974" s="55" t="s">
        <v>5843</v>
      </c>
      <c r="B974" s="56" t="s">
        <v>123</v>
      </c>
      <c r="C974" s="57" t="s">
        <v>3167</v>
      </c>
      <c r="D974" s="58">
        <v>2.35294E-3</v>
      </c>
      <c r="E974" s="48">
        <f>SUMIF(Data!$E:$E,$C974,Data!$AI:$AI)</f>
        <v>0.45612845361825383</v>
      </c>
      <c r="G974" s="14" t="s">
        <v>6820</v>
      </c>
      <c r="H974" s="14" t="s">
        <v>6821</v>
      </c>
      <c r="I974" s="14" t="s">
        <v>4578</v>
      </c>
      <c r="J974" s="14" t="s">
        <v>6822</v>
      </c>
      <c r="K974" s="14" t="s">
        <v>140</v>
      </c>
      <c r="L974" s="14" t="s">
        <v>5642</v>
      </c>
      <c r="M974" s="14" t="s">
        <v>6823</v>
      </c>
      <c r="N974" s="14">
        <v>343.37400000000002</v>
      </c>
      <c r="O974" s="14" t="s">
        <v>6824</v>
      </c>
      <c r="P974" s="14" t="s">
        <v>6825</v>
      </c>
      <c r="Q974" s="14" t="s">
        <v>697</v>
      </c>
      <c r="R974" s="14" t="s">
        <v>6826</v>
      </c>
      <c r="S974" s="14" t="s">
        <v>850</v>
      </c>
      <c r="T974" s="14" t="s">
        <v>851</v>
      </c>
      <c r="U974" s="14" t="s">
        <v>852</v>
      </c>
      <c r="V974" s="48">
        <f>SUMIF(Data!$E:$E,$I974,Data!$AI:$AI)</f>
        <v>0.82698926913975535</v>
      </c>
    </row>
    <row r="975" spans="1:22" ht="15.75" x14ac:dyDescent="0.3">
      <c r="A975" s="55" t="s">
        <v>5843</v>
      </c>
      <c r="B975" s="56" t="s">
        <v>123</v>
      </c>
      <c r="C975" s="57" t="s">
        <v>5769</v>
      </c>
      <c r="D975" s="58">
        <v>3.3501999999999995E-4</v>
      </c>
      <c r="E975" s="48">
        <f>SUMIF(Data!$E:$E,$C975,Data!$AI:$AI)</f>
        <v>0</v>
      </c>
      <c r="G975" s="14" t="s">
        <v>6827</v>
      </c>
      <c r="H975" s="14" t="s">
        <v>6828</v>
      </c>
      <c r="I975" s="14" t="s">
        <v>6829</v>
      </c>
      <c r="J975" s="14" t="s">
        <v>6830</v>
      </c>
      <c r="K975" s="14" t="s">
        <v>140</v>
      </c>
      <c r="L975" s="14" t="s">
        <v>5642</v>
      </c>
      <c r="M975" s="14" t="s">
        <v>6831</v>
      </c>
      <c r="N975" s="14">
        <v>122.398</v>
      </c>
      <c r="O975" s="14" t="s">
        <v>6832</v>
      </c>
      <c r="P975" s="14" t="s">
        <v>6833</v>
      </c>
      <c r="Q975" s="14" t="s">
        <v>263</v>
      </c>
      <c r="R975" s="14" t="s">
        <v>6834</v>
      </c>
      <c r="S975" s="14" t="s">
        <v>195</v>
      </c>
      <c r="T975" s="14" t="s">
        <v>149</v>
      </c>
      <c r="U975" s="14" t="s">
        <v>113</v>
      </c>
      <c r="V975" s="48">
        <f>SUMIF(Data!$E:$E,$I975,Data!$AI:$AI)</f>
        <v>0</v>
      </c>
    </row>
    <row r="976" spans="1:22" ht="15.75" x14ac:dyDescent="0.3">
      <c r="A976" s="55" t="s">
        <v>5843</v>
      </c>
      <c r="B976" s="56" t="s">
        <v>123</v>
      </c>
      <c r="C976" s="57" t="s">
        <v>5186</v>
      </c>
      <c r="D976" s="58">
        <v>1.5087900000000001E-3</v>
      </c>
      <c r="E976" s="48">
        <f>SUMIF(Data!$E:$E,$C976,Data!$AI:$AI)</f>
        <v>0.12898798215585272</v>
      </c>
      <c r="G976" s="14" t="s">
        <v>6835</v>
      </c>
      <c r="H976" s="14" t="s">
        <v>6836</v>
      </c>
      <c r="I976" s="14">
        <v>9502</v>
      </c>
      <c r="J976" s="14" t="s">
        <v>6837</v>
      </c>
      <c r="K976" s="14" t="s">
        <v>140</v>
      </c>
      <c r="L976" s="14" t="s">
        <v>5642</v>
      </c>
      <c r="M976" s="14" t="s">
        <v>6838</v>
      </c>
      <c r="N976" s="14">
        <v>360.02499999999998</v>
      </c>
      <c r="O976" s="14" t="s">
        <v>6839</v>
      </c>
      <c r="P976" s="14" t="s">
        <v>6840</v>
      </c>
      <c r="Q976" s="14" t="s">
        <v>697</v>
      </c>
      <c r="R976" s="14" t="s">
        <v>6841</v>
      </c>
      <c r="S976" s="14" t="s">
        <v>444</v>
      </c>
      <c r="T976" s="14" t="s">
        <v>445</v>
      </c>
      <c r="U976" s="14" t="s">
        <v>446</v>
      </c>
      <c r="V976" s="48">
        <f>SUMIF(Data!$E:$E,$I976,Data!$AI:$AI)</f>
        <v>0</v>
      </c>
    </row>
    <row r="977" spans="1:22" ht="15.75" x14ac:dyDescent="0.3">
      <c r="A977" s="55" t="s">
        <v>5843</v>
      </c>
      <c r="B977" s="56" t="s">
        <v>123</v>
      </c>
      <c r="C977" s="57" t="s">
        <v>4880</v>
      </c>
      <c r="D977" s="58">
        <v>8.2535600000000001E-3</v>
      </c>
      <c r="E977" s="48">
        <f>SUMIF(Data!$E:$E,$C977,Data!$AI:$AI)</f>
        <v>0</v>
      </c>
      <c r="G977" s="14" t="s">
        <v>6842</v>
      </c>
      <c r="H977" s="14" t="s">
        <v>6843</v>
      </c>
      <c r="I977" s="14">
        <v>101</v>
      </c>
      <c r="J977" s="14" t="s">
        <v>6844</v>
      </c>
      <c r="K977" s="14" t="s">
        <v>140</v>
      </c>
      <c r="L977" s="14" t="s">
        <v>5642</v>
      </c>
      <c r="M977" s="14" t="s">
        <v>6845</v>
      </c>
      <c r="N977" s="14" t="s">
        <v>6846</v>
      </c>
      <c r="O977" s="14" t="s">
        <v>6847</v>
      </c>
      <c r="P977" s="14" t="s">
        <v>6848</v>
      </c>
      <c r="Q977" s="14" t="s">
        <v>809</v>
      </c>
      <c r="R977" s="14" t="s">
        <v>6849</v>
      </c>
      <c r="S977" s="14" t="s">
        <v>552</v>
      </c>
      <c r="T977" s="14" t="s">
        <v>553</v>
      </c>
      <c r="U977" s="14" t="s">
        <v>554</v>
      </c>
      <c r="V977" s="48">
        <f>SUMIF(Data!$E:$E,$I977,Data!$AI:$AI)</f>
        <v>0</v>
      </c>
    </row>
    <row r="978" spans="1:22" ht="15.75" x14ac:dyDescent="0.3">
      <c r="A978" s="55" t="s">
        <v>5843</v>
      </c>
      <c r="B978" s="56" t="s">
        <v>123</v>
      </c>
      <c r="C978" s="57" t="s">
        <v>6850</v>
      </c>
      <c r="D978" s="58">
        <v>3.4005600000000004E-3</v>
      </c>
      <c r="E978" s="48">
        <f>SUMIF(Data!$E:$E,$C978,Data!$AI:$AI)</f>
        <v>0.7318861193221331</v>
      </c>
      <c r="G978" s="14" t="s">
        <v>6851</v>
      </c>
      <c r="H978" s="14" t="s">
        <v>6852</v>
      </c>
      <c r="I978" s="14">
        <v>8308</v>
      </c>
      <c r="J978" s="14" t="s">
        <v>6853</v>
      </c>
      <c r="K978" s="14" t="s">
        <v>140</v>
      </c>
      <c r="L978" s="14" t="s">
        <v>5642</v>
      </c>
      <c r="M978" s="14" t="s">
        <v>6854</v>
      </c>
      <c r="N978" s="14" t="s">
        <v>6855</v>
      </c>
      <c r="O978" s="14" t="s">
        <v>6856</v>
      </c>
      <c r="P978" s="14" t="s">
        <v>6857</v>
      </c>
      <c r="Q978" s="14" t="s">
        <v>193</v>
      </c>
      <c r="R978" s="14" t="s">
        <v>6858</v>
      </c>
      <c r="S978" s="14" t="s">
        <v>444</v>
      </c>
      <c r="T978" s="14" t="s">
        <v>445</v>
      </c>
      <c r="U978" s="14" t="s">
        <v>446</v>
      </c>
      <c r="V978" s="48">
        <f>SUMIF(Data!$E:$E,$I978,Data!$AI:$AI)</f>
        <v>0</v>
      </c>
    </row>
    <row r="979" spans="1:22" ht="15.75" x14ac:dyDescent="0.3">
      <c r="A979" s="55" t="s">
        <v>5843</v>
      </c>
      <c r="B979" s="56" t="s">
        <v>123</v>
      </c>
      <c r="C979" s="57" t="s">
        <v>5012</v>
      </c>
      <c r="D979" s="58">
        <v>4.6535999999999999E-3</v>
      </c>
      <c r="E979" s="48">
        <f>SUMIF(Data!$E:$E,$C979,Data!$AI:$AI)</f>
        <v>0.77934157011859584</v>
      </c>
      <c r="G979" s="14" t="s">
        <v>6859</v>
      </c>
      <c r="H979" s="14" t="s">
        <v>6860</v>
      </c>
      <c r="I979" s="14" t="s">
        <v>6861</v>
      </c>
      <c r="J979" s="14" t="s">
        <v>6862</v>
      </c>
      <c r="K979" s="14" t="s">
        <v>140</v>
      </c>
      <c r="L979" s="14" t="s">
        <v>5642</v>
      </c>
      <c r="M979" s="14" t="s">
        <v>6863</v>
      </c>
      <c r="N979" s="14">
        <v>121.221</v>
      </c>
      <c r="O979" s="14" t="s">
        <v>6864</v>
      </c>
      <c r="P979" s="14" t="s">
        <v>6865</v>
      </c>
      <c r="Q979" s="14" t="s">
        <v>737</v>
      </c>
      <c r="R979" s="14" t="s">
        <v>6866</v>
      </c>
      <c r="S979" s="14" t="s">
        <v>3714</v>
      </c>
      <c r="T979" s="14" t="s">
        <v>3715</v>
      </c>
      <c r="U979" s="14" t="s">
        <v>3716</v>
      </c>
      <c r="V979" s="48">
        <f>SUMIF(Data!$E:$E,$I979,Data!$AI:$AI)</f>
        <v>0</v>
      </c>
    </row>
    <row r="980" spans="1:22" ht="15.75" x14ac:dyDescent="0.3">
      <c r="A980" s="55" t="s">
        <v>5843</v>
      </c>
      <c r="B980" s="56" t="s">
        <v>123</v>
      </c>
      <c r="C980" s="57" t="s">
        <v>5354</v>
      </c>
      <c r="D980" s="58">
        <v>4.6300000000000003E-4</v>
      </c>
      <c r="E980" s="48">
        <f>SUMIF(Data!$E:$E,$C980,Data!$AI:$AI)</f>
        <v>0</v>
      </c>
      <c r="G980" s="14" t="s">
        <v>6867</v>
      </c>
      <c r="H980" s="14" t="s">
        <v>6868</v>
      </c>
      <c r="I980" s="14" t="s">
        <v>6869</v>
      </c>
      <c r="J980" s="14" t="s">
        <v>6870</v>
      </c>
      <c r="K980" s="14" t="s">
        <v>140</v>
      </c>
      <c r="L980" s="14" t="s">
        <v>5642</v>
      </c>
      <c r="M980" s="14" t="s">
        <v>6871</v>
      </c>
      <c r="N980" s="14">
        <v>106.018</v>
      </c>
      <c r="O980" s="14" t="s">
        <v>6872</v>
      </c>
      <c r="P980" s="14" t="s">
        <v>6873</v>
      </c>
      <c r="Q980" s="14" t="s">
        <v>419</v>
      </c>
      <c r="R980" s="14" t="s">
        <v>6874</v>
      </c>
      <c r="S980" s="14" t="s">
        <v>195</v>
      </c>
      <c r="T980" s="14" t="s">
        <v>149</v>
      </c>
      <c r="U980" s="14" t="s">
        <v>113</v>
      </c>
      <c r="V980" s="48">
        <f>SUMIF(Data!$E:$E,$I980,Data!$AI:$AI)</f>
        <v>0</v>
      </c>
    </row>
    <row r="981" spans="1:22" ht="15.75" x14ac:dyDescent="0.3">
      <c r="A981" s="55" t="s">
        <v>5843</v>
      </c>
      <c r="B981" s="56" t="s">
        <v>123</v>
      </c>
      <c r="C981" s="57" t="s">
        <v>4613</v>
      </c>
      <c r="D981" s="58">
        <v>9.4605999999999998E-4</v>
      </c>
      <c r="E981" s="48">
        <f>SUMIF(Data!$E:$E,$C981,Data!$AI:$AI)</f>
        <v>0</v>
      </c>
      <c r="G981" s="14" t="s">
        <v>6875</v>
      </c>
      <c r="H981" s="14" t="s">
        <v>6876</v>
      </c>
      <c r="I981" s="14" t="s">
        <v>6877</v>
      </c>
      <c r="J981" s="14" t="s">
        <v>6878</v>
      </c>
      <c r="K981" s="14" t="s">
        <v>140</v>
      </c>
      <c r="L981" s="14" t="s">
        <v>5642</v>
      </c>
      <c r="M981" s="14" t="s">
        <v>6879</v>
      </c>
      <c r="N981" s="14">
        <v>61.564999999999998</v>
      </c>
      <c r="O981" s="14" t="s">
        <v>6880</v>
      </c>
      <c r="P981" s="14" t="s">
        <v>6881</v>
      </c>
      <c r="Q981" s="14" t="s">
        <v>193</v>
      </c>
      <c r="R981" s="14" t="s">
        <v>6882</v>
      </c>
      <c r="S981" s="14" t="s">
        <v>1130</v>
      </c>
      <c r="T981" s="14" t="s">
        <v>1131</v>
      </c>
      <c r="U981" s="14" t="s">
        <v>528</v>
      </c>
      <c r="V981" s="48">
        <f>SUMIF(Data!$E:$E,$I981,Data!$AI:$AI)</f>
        <v>0</v>
      </c>
    </row>
    <row r="982" spans="1:22" ht="15.75" x14ac:dyDescent="0.3">
      <c r="A982" s="55" t="s">
        <v>5843</v>
      </c>
      <c r="B982" s="56" t="s">
        <v>123</v>
      </c>
      <c r="C982" s="57" t="s">
        <v>5192</v>
      </c>
      <c r="D982" s="58">
        <v>1.0781599999999999E-3</v>
      </c>
      <c r="E982" s="48">
        <f>SUMIF(Data!$E:$E,$C982,Data!$AI:$AI)</f>
        <v>0</v>
      </c>
      <c r="G982" s="14" t="s">
        <v>6883</v>
      </c>
      <c r="H982" s="14" t="s">
        <v>6884</v>
      </c>
      <c r="I982" s="14" t="s">
        <v>6885</v>
      </c>
      <c r="J982" s="14" t="s">
        <v>6886</v>
      </c>
      <c r="K982" s="14" t="s">
        <v>140</v>
      </c>
      <c r="L982" s="14" t="s">
        <v>5642</v>
      </c>
      <c r="M982" s="14" t="s">
        <v>6887</v>
      </c>
      <c r="N982" s="14">
        <v>137.95699999999999</v>
      </c>
      <c r="O982" s="14" t="s">
        <v>6888</v>
      </c>
      <c r="P982" s="14" t="s">
        <v>6889</v>
      </c>
      <c r="Q982" s="14" t="s">
        <v>227</v>
      </c>
      <c r="R982" s="14" t="s">
        <v>6890</v>
      </c>
      <c r="S982" s="14" t="s">
        <v>479</v>
      </c>
      <c r="T982" s="14" t="s">
        <v>480</v>
      </c>
      <c r="U982" s="14" t="s">
        <v>481</v>
      </c>
      <c r="V982" s="48">
        <f>SUMIF(Data!$E:$E,$I982,Data!$AI:$AI)</f>
        <v>0</v>
      </c>
    </row>
    <row r="983" spans="1:22" ht="15.75" x14ac:dyDescent="0.3">
      <c r="A983" s="55" t="s">
        <v>5843</v>
      </c>
      <c r="B983" s="56" t="s">
        <v>123</v>
      </c>
      <c r="C983" s="57" t="s">
        <v>520</v>
      </c>
      <c r="D983" s="58">
        <v>3.9448699999999996E-3</v>
      </c>
      <c r="E983" s="48">
        <f>SUMIF(Data!$E:$E,$C983,Data!$AI:$AI)</f>
        <v>0.42534541896463962</v>
      </c>
      <c r="G983" s="14" t="s">
        <v>6891</v>
      </c>
      <c r="H983" s="14" t="s">
        <v>6892</v>
      </c>
      <c r="I983" s="14" t="s">
        <v>6893</v>
      </c>
      <c r="J983" s="14" t="s">
        <v>6894</v>
      </c>
      <c r="K983" s="14" t="s">
        <v>140</v>
      </c>
      <c r="L983" s="14" t="s">
        <v>5642</v>
      </c>
      <c r="M983" s="14" t="s">
        <v>6895</v>
      </c>
      <c r="N983" s="14">
        <v>40.573</v>
      </c>
      <c r="O983" s="14" t="s">
        <v>6896</v>
      </c>
      <c r="P983" s="14" t="s">
        <v>6897</v>
      </c>
      <c r="Q983" s="14" t="s">
        <v>165</v>
      </c>
      <c r="R983" s="14" t="s">
        <v>6898</v>
      </c>
      <c r="S983" s="14" t="s">
        <v>195</v>
      </c>
      <c r="T983" s="14" t="s">
        <v>149</v>
      </c>
      <c r="U983" s="14" t="s">
        <v>113</v>
      </c>
      <c r="V983" s="48">
        <f>SUMIF(Data!$E:$E,$I983,Data!$AI:$AI)</f>
        <v>0</v>
      </c>
    </row>
    <row r="984" spans="1:22" ht="15.75" x14ac:dyDescent="0.3">
      <c r="A984" s="55" t="s">
        <v>5843</v>
      </c>
      <c r="B984" s="56" t="s">
        <v>123</v>
      </c>
      <c r="C984" s="57" t="s">
        <v>4893</v>
      </c>
      <c r="D984" s="58">
        <v>3.239819E-2</v>
      </c>
      <c r="E984" s="48">
        <f>SUMIF(Data!$E:$E,$C984,Data!$AI:$AI)</f>
        <v>0.14807872778681458</v>
      </c>
      <c r="G984" s="14" t="s">
        <v>6899</v>
      </c>
      <c r="H984" s="14" t="s">
        <v>6900</v>
      </c>
      <c r="I984" s="14" t="s">
        <v>6901</v>
      </c>
      <c r="J984" s="14" t="s">
        <v>6902</v>
      </c>
      <c r="K984" s="14" t="s">
        <v>140</v>
      </c>
      <c r="L984" s="14" t="s">
        <v>5642</v>
      </c>
      <c r="M984" s="14" t="s">
        <v>6903</v>
      </c>
      <c r="N984" s="14">
        <v>70.497</v>
      </c>
      <c r="O984" s="14" t="s">
        <v>6904</v>
      </c>
      <c r="P984" s="14" t="s">
        <v>6905</v>
      </c>
      <c r="Q984" s="14" t="s">
        <v>193</v>
      </c>
      <c r="R984" s="14" t="s">
        <v>6906</v>
      </c>
      <c r="S984" s="14" t="s">
        <v>195</v>
      </c>
      <c r="T984" s="14" t="s">
        <v>149</v>
      </c>
      <c r="U984" s="14" t="s">
        <v>113</v>
      </c>
      <c r="V984" s="48">
        <f>SUMIF(Data!$E:$E,$I984,Data!$AI:$AI)</f>
        <v>0</v>
      </c>
    </row>
    <row r="985" spans="1:22" ht="15.75" x14ac:dyDescent="0.3">
      <c r="A985" s="55" t="s">
        <v>5843</v>
      </c>
      <c r="B985" s="56" t="s">
        <v>123</v>
      </c>
      <c r="C985" s="57" t="s">
        <v>5830</v>
      </c>
      <c r="D985" s="58">
        <v>1.1476999999999999E-4</v>
      </c>
      <c r="E985" s="48">
        <f>SUMIF(Data!$E:$E,$C985,Data!$AI:$AI)</f>
        <v>0</v>
      </c>
      <c r="G985" s="14" t="s">
        <v>6907</v>
      </c>
      <c r="H985" s="14" t="s">
        <v>6908</v>
      </c>
      <c r="I985" s="14" t="s">
        <v>6909</v>
      </c>
      <c r="J985" s="14" t="s">
        <v>6910</v>
      </c>
      <c r="K985" s="14" t="s">
        <v>140</v>
      </c>
      <c r="L985" s="14" t="s">
        <v>5642</v>
      </c>
      <c r="M985" s="14" t="s">
        <v>4439</v>
      </c>
      <c r="N985" s="14">
        <v>534.74099999999999</v>
      </c>
      <c r="O985" s="14" t="s">
        <v>6911</v>
      </c>
      <c r="P985" s="14" t="s">
        <v>6912</v>
      </c>
      <c r="Q985" s="14" t="s">
        <v>419</v>
      </c>
      <c r="R985" s="14" t="s">
        <v>6913</v>
      </c>
      <c r="S985" s="14" t="s">
        <v>479</v>
      </c>
      <c r="T985" s="14" t="s">
        <v>480</v>
      </c>
      <c r="U985" s="14" t="s">
        <v>481</v>
      </c>
      <c r="V985" s="48">
        <f>SUMIF(Data!$E:$E,$I985,Data!$AI:$AI)</f>
        <v>0</v>
      </c>
    </row>
    <row r="986" spans="1:22" ht="15.75" x14ac:dyDescent="0.3">
      <c r="A986" s="55" t="s">
        <v>5843</v>
      </c>
      <c r="B986" s="56" t="s">
        <v>123</v>
      </c>
      <c r="C986" s="57" t="s">
        <v>4520</v>
      </c>
      <c r="D986" s="58">
        <v>4.4810199999999996E-3</v>
      </c>
      <c r="E986" s="48">
        <f>SUMIF(Data!$E:$E,$C986,Data!$AI:$AI)</f>
        <v>0</v>
      </c>
      <c r="G986" s="14" t="s">
        <v>6914</v>
      </c>
      <c r="H986" s="14" t="s">
        <v>6915</v>
      </c>
      <c r="I986" s="14" t="s">
        <v>6916</v>
      </c>
      <c r="J986" s="14" t="s">
        <v>6917</v>
      </c>
      <c r="K986" s="14" t="s">
        <v>140</v>
      </c>
      <c r="L986" s="14" t="s">
        <v>5642</v>
      </c>
      <c r="M986" s="14" t="s">
        <v>6918</v>
      </c>
      <c r="N986" s="14">
        <v>42.515999999999998</v>
      </c>
      <c r="O986" s="14" t="s">
        <v>6919</v>
      </c>
      <c r="P986" s="14" t="s">
        <v>6920</v>
      </c>
      <c r="Q986" s="14" t="s">
        <v>165</v>
      </c>
      <c r="R986" s="14" t="s">
        <v>6921</v>
      </c>
      <c r="S986" s="14" t="s">
        <v>563</v>
      </c>
      <c r="T986" s="14" t="s">
        <v>564</v>
      </c>
      <c r="U986" s="14" t="s">
        <v>528</v>
      </c>
      <c r="V986" s="48">
        <f>SUMIF(Data!$E:$E,$I986,Data!$AI:$AI)</f>
        <v>0</v>
      </c>
    </row>
    <row r="987" spans="1:22" ht="15.75" x14ac:dyDescent="0.3">
      <c r="A987" s="55" t="s">
        <v>5843</v>
      </c>
      <c r="B987" s="56" t="s">
        <v>123</v>
      </c>
      <c r="C987" s="57" t="s">
        <v>4900</v>
      </c>
      <c r="D987" s="58">
        <v>9.8295900000000009E-3</v>
      </c>
      <c r="E987" s="48">
        <f>SUMIF(Data!$E:$E,$C987,Data!$AI:$AI)</f>
        <v>0</v>
      </c>
      <c r="G987" s="14" t="s">
        <v>6922</v>
      </c>
      <c r="H987" s="14" t="s">
        <v>6923</v>
      </c>
      <c r="I987" s="14" t="s">
        <v>6924</v>
      </c>
      <c r="J987" s="14" t="s">
        <v>6925</v>
      </c>
      <c r="K987" s="14" t="s">
        <v>140</v>
      </c>
      <c r="L987" s="14" t="s">
        <v>5642</v>
      </c>
      <c r="M987" s="14" t="s">
        <v>6926</v>
      </c>
      <c r="N987" s="14">
        <v>171.64099999999999</v>
      </c>
      <c r="O987" s="14" t="s">
        <v>6927</v>
      </c>
      <c r="P987" s="14" t="s">
        <v>6928</v>
      </c>
      <c r="Q987" s="14" t="s">
        <v>211</v>
      </c>
      <c r="R987" s="14" t="s">
        <v>6929</v>
      </c>
      <c r="S987" s="14" t="s">
        <v>728</v>
      </c>
      <c r="T987" s="14" t="s">
        <v>729</v>
      </c>
      <c r="U987" s="14" t="s">
        <v>730</v>
      </c>
      <c r="V987" s="48">
        <f>SUMIF(Data!$E:$E,$I987,Data!$AI:$AI)</f>
        <v>0</v>
      </c>
    </row>
    <row r="988" spans="1:22" ht="15.75" x14ac:dyDescent="0.3">
      <c r="A988" s="55" t="s">
        <v>5843</v>
      </c>
      <c r="B988" s="56" t="s">
        <v>123</v>
      </c>
      <c r="C988" s="57" t="s">
        <v>4907</v>
      </c>
      <c r="D988" s="58">
        <v>1.812594E-2</v>
      </c>
      <c r="E988" s="48">
        <f>SUMIF(Data!$E:$E,$C988,Data!$AI:$AI)</f>
        <v>0</v>
      </c>
      <c r="G988" s="14" t="s">
        <v>6930</v>
      </c>
      <c r="H988" s="14" t="s">
        <v>6931</v>
      </c>
      <c r="I988" s="14" t="s">
        <v>6932</v>
      </c>
      <c r="J988" s="14" t="s">
        <v>6933</v>
      </c>
      <c r="K988" s="14" t="s">
        <v>140</v>
      </c>
      <c r="L988" s="14" t="s">
        <v>5642</v>
      </c>
      <c r="M988" s="14" t="s">
        <v>6934</v>
      </c>
      <c r="N988" s="14">
        <v>106.295</v>
      </c>
      <c r="O988" s="14" t="s">
        <v>6935</v>
      </c>
      <c r="P988" s="14" t="s">
        <v>6936</v>
      </c>
      <c r="Q988" s="14" t="s">
        <v>737</v>
      </c>
      <c r="R988" s="14" t="s">
        <v>6937</v>
      </c>
      <c r="S988" s="14" t="s">
        <v>728</v>
      </c>
      <c r="T988" s="14" t="s">
        <v>729</v>
      </c>
      <c r="U988" s="14" t="s">
        <v>730</v>
      </c>
      <c r="V988" s="48">
        <f>SUMIF(Data!$E:$E,$I988,Data!$AI:$AI)</f>
        <v>0</v>
      </c>
    </row>
    <row r="989" spans="1:22" ht="15.75" x14ac:dyDescent="0.3">
      <c r="A989" s="55" t="s">
        <v>5843</v>
      </c>
      <c r="B989" s="56" t="s">
        <v>123</v>
      </c>
      <c r="C989" s="57" t="s">
        <v>5368</v>
      </c>
      <c r="D989" s="58">
        <v>3.1535999999999999E-4</v>
      </c>
      <c r="E989" s="48">
        <f>SUMIF(Data!$E:$E,$C989,Data!$AI:$AI)</f>
        <v>0</v>
      </c>
      <c r="G989" s="14" t="s">
        <v>6938</v>
      </c>
      <c r="H989" s="14" t="s">
        <v>6939</v>
      </c>
      <c r="I989" s="14" t="s">
        <v>6940</v>
      </c>
      <c r="J989" s="14" t="s">
        <v>6941</v>
      </c>
      <c r="K989" s="14" t="s">
        <v>140</v>
      </c>
      <c r="L989" s="14" t="s">
        <v>5642</v>
      </c>
      <c r="M989" s="14" t="s">
        <v>6942</v>
      </c>
      <c r="N989" s="14">
        <v>15.314</v>
      </c>
      <c r="O989" s="14" t="s">
        <v>6943</v>
      </c>
      <c r="P989" s="14" t="s">
        <v>6944</v>
      </c>
      <c r="Q989" s="14" t="s">
        <v>146</v>
      </c>
      <c r="R989" s="14" t="s">
        <v>6945</v>
      </c>
      <c r="S989" s="14" t="s">
        <v>195</v>
      </c>
      <c r="T989" s="14" t="s">
        <v>149</v>
      </c>
      <c r="U989" s="14" t="s">
        <v>113</v>
      </c>
      <c r="V989" s="48">
        <f>SUMIF(Data!$E:$E,$I989,Data!$AI:$AI)</f>
        <v>0</v>
      </c>
    </row>
    <row r="990" spans="1:22" ht="15.75" x14ac:dyDescent="0.3">
      <c r="A990" s="55" t="s">
        <v>5843</v>
      </c>
      <c r="B990" s="56" t="s">
        <v>123</v>
      </c>
      <c r="C990" s="57" t="s">
        <v>5199</v>
      </c>
      <c r="D990" s="58">
        <v>1.74212E-3</v>
      </c>
      <c r="E990" s="48">
        <f>SUMIF(Data!$E:$E,$C990,Data!$AI:$AI)</f>
        <v>0.30542299256619226</v>
      </c>
      <c r="G990" s="14" t="s">
        <v>6946</v>
      </c>
      <c r="H990" s="14" t="s">
        <v>6947</v>
      </c>
      <c r="I990" s="14" t="s">
        <v>6948</v>
      </c>
      <c r="J990" s="14" t="s">
        <v>6949</v>
      </c>
      <c r="K990" s="14" t="s">
        <v>140</v>
      </c>
      <c r="L990" s="14" t="s">
        <v>5642</v>
      </c>
      <c r="M990" s="14" t="s">
        <v>6950</v>
      </c>
      <c r="N990" s="14" t="s">
        <v>6951</v>
      </c>
      <c r="O990" s="14" t="s">
        <v>6952</v>
      </c>
      <c r="P990" s="14" t="s">
        <v>6953</v>
      </c>
      <c r="Q990" s="14" t="s">
        <v>809</v>
      </c>
      <c r="R990" s="14" t="s">
        <v>6954</v>
      </c>
      <c r="S990" s="14" t="s">
        <v>850</v>
      </c>
      <c r="T990" s="14" t="s">
        <v>851</v>
      </c>
      <c r="U990" s="14" t="s">
        <v>852</v>
      </c>
      <c r="V990" s="48">
        <f>SUMIF(Data!$E:$E,$I990,Data!$AI:$AI)</f>
        <v>0</v>
      </c>
    </row>
    <row r="991" spans="1:22" ht="15.75" x14ac:dyDescent="0.3">
      <c r="A991" s="55" t="s">
        <v>5843</v>
      </c>
      <c r="B991" s="56" t="s">
        <v>123</v>
      </c>
      <c r="C991" s="57" t="s">
        <v>4484</v>
      </c>
      <c r="D991" s="58">
        <v>2.5829209999999998E-2</v>
      </c>
      <c r="E991" s="48">
        <f>SUMIF(Data!$E:$E,$C991,Data!$AI:$AI)</f>
        <v>0</v>
      </c>
      <c r="G991" s="14" t="s">
        <v>6955</v>
      </c>
      <c r="H991" s="14" t="s">
        <v>6956</v>
      </c>
      <c r="I991" s="14" t="s">
        <v>6957</v>
      </c>
      <c r="J991" s="14" t="s">
        <v>6958</v>
      </c>
      <c r="K991" s="14" t="s">
        <v>140</v>
      </c>
      <c r="L991" s="14" t="s">
        <v>5642</v>
      </c>
      <c r="M991" s="14" t="s">
        <v>6959</v>
      </c>
      <c r="N991" s="14">
        <v>308.63099999999997</v>
      </c>
      <c r="O991" s="14" t="s">
        <v>6960</v>
      </c>
      <c r="P991" s="14" t="s">
        <v>6961</v>
      </c>
      <c r="Q991" s="14" t="s">
        <v>697</v>
      </c>
      <c r="R991" s="14" t="s">
        <v>6962</v>
      </c>
      <c r="S991" s="14" t="s">
        <v>563</v>
      </c>
      <c r="T991" s="14" t="s">
        <v>564</v>
      </c>
      <c r="U991" s="14" t="s">
        <v>528</v>
      </c>
      <c r="V991" s="48">
        <f>SUMIF(Data!$E:$E,$I991,Data!$AI:$AI)</f>
        <v>0</v>
      </c>
    </row>
    <row r="992" spans="1:22" ht="15.75" x14ac:dyDescent="0.3">
      <c r="A992" s="55" t="s">
        <v>5843</v>
      </c>
      <c r="B992" s="56" t="s">
        <v>123</v>
      </c>
      <c r="C992" s="57" t="s">
        <v>1786</v>
      </c>
      <c r="D992" s="58">
        <v>1.55887E-3</v>
      </c>
      <c r="E992" s="48">
        <f>SUMIF(Data!$E:$E,$C992,Data!$AI:$AI)</f>
        <v>0.1705308312796065</v>
      </c>
      <c r="G992" s="14" t="s">
        <v>6963</v>
      </c>
      <c r="H992" s="14" t="s">
        <v>6964</v>
      </c>
      <c r="I992" s="14" t="s">
        <v>6965</v>
      </c>
      <c r="J992" s="14" t="s">
        <v>6966</v>
      </c>
      <c r="K992" s="14" t="s">
        <v>140</v>
      </c>
      <c r="L992" s="14" t="s">
        <v>5642</v>
      </c>
      <c r="M992" s="14" t="s">
        <v>6967</v>
      </c>
      <c r="N992" s="14">
        <v>207.58799999999999</v>
      </c>
      <c r="O992" s="14" t="s">
        <v>6968</v>
      </c>
      <c r="P992" s="14" t="s">
        <v>6969</v>
      </c>
      <c r="Q992" s="14" t="s">
        <v>419</v>
      </c>
      <c r="R992" s="14" t="s">
        <v>6970</v>
      </c>
      <c r="S992" s="14" t="s">
        <v>479</v>
      </c>
      <c r="T992" s="14" t="s">
        <v>480</v>
      </c>
      <c r="U992" s="14" t="s">
        <v>481</v>
      </c>
      <c r="V992" s="48">
        <f>SUMIF(Data!$E:$E,$I992,Data!$AI:$AI)</f>
        <v>0</v>
      </c>
    </row>
    <row r="993" spans="1:22" ht="15.75" x14ac:dyDescent="0.3">
      <c r="A993" s="55" t="s">
        <v>5843</v>
      </c>
      <c r="B993" s="56" t="s">
        <v>123</v>
      </c>
      <c r="C993" s="57" t="s">
        <v>4919</v>
      </c>
      <c r="D993" s="58">
        <v>4.8168400000000002E-3</v>
      </c>
      <c r="E993" s="48">
        <f>SUMIF(Data!$E:$E,$C993,Data!$AI:$AI)</f>
        <v>0.63880820904302782</v>
      </c>
      <c r="G993" s="14" t="s">
        <v>6971</v>
      </c>
      <c r="H993" s="14" t="s">
        <v>6972</v>
      </c>
      <c r="I993" s="14" t="s">
        <v>6973</v>
      </c>
      <c r="J993" s="14" t="s">
        <v>6974</v>
      </c>
      <c r="K993" s="14" t="s">
        <v>140</v>
      </c>
      <c r="L993" s="14" t="s">
        <v>5642</v>
      </c>
      <c r="M993" s="14" t="s">
        <v>6975</v>
      </c>
      <c r="N993" s="14">
        <v>30.83</v>
      </c>
      <c r="O993" s="14" t="s">
        <v>6976</v>
      </c>
      <c r="P993" s="14" t="s">
        <v>6977</v>
      </c>
      <c r="Q993" s="14" t="s">
        <v>211</v>
      </c>
      <c r="R993" s="14" t="s">
        <v>6978</v>
      </c>
      <c r="S993" s="14" t="s">
        <v>195</v>
      </c>
      <c r="T993" s="14" t="s">
        <v>149</v>
      </c>
      <c r="U993" s="14" t="s">
        <v>113</v>
      </c>
      <c r="V993" s="48">
        <f>SUMIF(Data!$E:$E,$I993,Data!$AI:$AI)</f>
        <v>0</v>
      </c>
    </row>
    <row r="994" spans="1:22" ht="15.75" x14ac:dyDescent="0.3">
      <c r="A994" s="55" t="s">
        <v>5843</v>
      </c>
      <c r="B994" s="56" t="s">
        <v>123</v>
      </c>
      <c r="C994" s="57" t="s">
        <v>1780</v>
      </c>
      <c r="D994" s="58">
        <v>6.5126000000000008E-4</v>
      </c>
      <c r="E994" s="48">
        <f>SUMIF(Data!$E:$E,$C994,Data!$AI:$AI)</f>
        <v>0</v>
      </c>
      <c r="G994" s="14" t="s">
        <v>6979</v>
      </c>
      <c r="H994" s="14" t="s">
        <v>6980</v>
      </c>
      <c r="I994" s="14" t="s">
        <v>6981</v>
      </c>
      <c r="J994" s="14" t="s">
        <v>6982</v>
      </c>
      <c r="K994" s="14" t="s">
        <v>140</v>
      </c>
      <c r="L994" s="14" t="s">
        <v>5642</v>
      </c>
      <c r="M994" s="14" t="s">
        <v>6983</v>
      </c>
      <c r="N994" s="14">
        <v>203.51499999999999</v>
      </c>
      <c r="O994" s="14" t="s">
        <v>6984</v>
      </c>
      <c r="P994" s="14" t="s">
        <v>6985</v>
      </c>
      <c r="Q994" s="14" t="s">
        <v>175</v>
      </c>
      <c r="R994" s="14" t="s">
        <v>6986</v>
      </c>
      <c r="S994" s="14" t="s">
        <v>195</v>
      </c>
      <c r="T994" s="14" t="s">
        <v>149</v>
      </c>
      <c r="U994" s="14" t="s">
        <v>113</v>
      </c>
      <c r="V994" s="48">
        <f>SUMIF(Data!$E:$E,$I994,Data!$AI:$AI)</f>
        <v>0</v>
      </c>
    </row>
    <row r="995" spans="1:22" ht="15.75" x14ac:dyDescent="0.3">
      <c r="A995" s="55" t="s">
        <v>5843</v>
      </c>
      <c r="B995" s="56" t="s">
        <v>123</v>
      </c>
      <c r="C995" s="57" t="s">
        <v>6987</v>
      </c>
      <c r="D995" s="58">
        <v>6.3810000000000006E-4</v>
      </c>
      <c r="E995" s="48">
        <f>SUMIF(Data!$E:$E,$C995,Data!$AI:$AI)</f>
        <v>0</v>
      </c>
      <c r="G995" s="14" t="s">
        <v>6988</v>
      </c>
      <c r="H995" s="14" t="s">
        <v>6989</v>
      </c>
      <c r="I995" s="14" t="s">
        <v>6990</v>
      </c>
      <c r="J995" s="14" t="s">
        <v>6991</v>
      </c>
      <c r="K995" s="14" t="s">
        <v>140</v>
      </c>
      <c r="L995" s="14" t="s">
        <v>5642</v>
      </c>
      <c r="M995" s="14" t="s">
        <v>6992</v>
      </c>
      <c r="N995" s="14">
        <v>174.66</v>
      </c>
      <c r="O995" s="14" t="s">
        <v>6993</v>
      </c>
      <c r="P995" s="14" t="s">
        <v>6994</v>
      </c>
      <c r="Q995" s="14" t="s">
        <v>263</v>
      </c>
      <c r="R995" s="14" t="s">
        <v>6995</v>
      </c>
      <c r="S995" s="14" t="s">
        <v>728</v>
      </c>
      <c r="T995" s="14" t="s">
        <v>729</v>
      </c>
      <c r="U995" s="14" t="s">
        <v>730</v>
      </c>
      <c r="V995" s="48">
        <f>SUMIF(Data!$E:$E,$I995,Data!$AI:$AI)</f>
        <v>0</v>
      </c>
    </row>
    <row r="996" spans="1:22" ht="15.75" x14ac:dyDescent="0.3">
      <c r="A996" s="55" t="s">
        <v>5843</v>
      </c>
      <c r="B996" s="56" t="s">
        <v>123</v>
      </c>
      <c r="C996" s="57" t="s">
        <v>5782</v>
      </c>
      <c r="D996" s="58">
        <v>1.4605999999999999E-4</v>
      </c>
      <c r="E996" s="48">
        <f>SUMIF(Data!$E:$E,$C996,Data!$AI:$AI)</f>
        <v>0</v>
      </c>
      <c r="G996" s="14" t="s">
        <v>6996</v>
      </c>
      <c r="H996" s="14" t="s">
        <v>6997</v>
      </c>
      <c r="I996" s="14" t="s">
        <v>6998</v>
      </c>
      <c r="J996" s="14" t="s">
        <v>6999</v>
      </c>
      <c r="K996" s="14" t="s">
        <v>140</v>
      </c>
      <c r="L996" s="14" t="s">
        <v>5642</v>
      </c>
      <c r="M996" s="14" t="s">
        <v>7000</v>
      </c>
      <c r="N996" s="14">
        <v>475.50400000000002</v>
      </c>
      <c r="O996" s="14" t="s">
        <v>7001</v>
      </c>
      <c r="P996" s="14" t="s">
        <v>7002</v>
      </c>
      <c r="Q996" s="14" t="s">
        <v>165</v>
      </c>
      <c r="R996" s="14" t="s">
        <v>7003</v>
      </c>
      <c r="S996" s="14" t="s">
        <v>479</v>
      </c>
      <c r="T996" s="14" t="s">
        <v>480</v>
      </c>
      <c r="U996" s="14" t="s">
        <v>481</v>
      </c>
      <c r="V996" s="48">
        <f>SUMIF(Data!$E:$E,$I996,Data!$AI:$AI)</f>
        <v>0</v>
      </c>
    </row>
    <row r="997" spans="1:22" ht="15.75" x14ac:dyDescent="0.3">
      <c r="A997" s="55" t="s">
        <v>5843</v>
      </c>
      <c r="B997" s="56" t="s">
        <v>123</v>
      </c>
      <c r="C997" s="57" t="s">
        <v>4368</v>
      </c>
      <c r="D997" s="58">
        <v>6.9264000000000001E-4</v>
      </c>
      <c r="E997" s="48">
        <f>SUMIF(Data!$E:$E,$C997,Data!$AI:$AI)</f>
        <v>0</v>
      </c>
      <c r="G997" s="14" t="s">
        <v>7004</v>
      </c>
      <c r="H997" s="14" t="s">
        <v>7005</v>
      </c>
      <c r="I997" s="14" t="s">
        <v>7006</v>
      </c>
      <c r="J997" s="14" t="s">
        <v>7007</v>
      </c>
      <c r="K997" s="14" t="s">
        <v>140</v>
      </c>
      <c r="L997" s="14" t="s">
        <v>5642</v>
      </c>
      <c r="M997" s="14" t="s">
        <v>7008</v>
      </c>
      <c r="N997" s="14">
        <v>71.793000000000006</v>
      </c>
      <c r="O997" s="14" t="s">
        <v>7009</v>
      </c>
      <c r="P997" s="14" t="s">
        <v>7010</v>
      </c>
      <c r="Q997" s="14" t="s">
        <v>193</v>
      </c>
      <c r="R997" s="14" t="s">
        <v>7011</v>
      </c>
      <c r="S997" s="14" t="s">
        <v>148</v>
      </c>
      <c r="T997" s="14" t="s">
        <v>149</v>
      </c>
      <c r="U997" s="14" t="s">
        <v>113</v>
      </c>
      <c r="V997" s="48">
        <f>SUMIF(Data!$E:$E,$I997,Data!$AI:$AI)</f>
        <v>0</v>
      </c>
    </row>
    <row r="998" spans="1:22" ht="15.75" x14ac:dyDescent="0.3">
      <c r="A998" s="55" t="s">
        <v>5843</v>
      </c>
      <c r="B998" s="56" t="s">
        <v>123</v>
      </c>
      <c r="C998" s="57" t="s">
        <v>5583</v>
      </c>
      <c r="D998" s="58">
        <v>2.2287999999999998E-4</v>
      </c>
      <c r="E998" s="48">
        <f>SUMIF(Data!$E:$E,$C998,Data!$AI:$AI)</f>
        <v>0</v>
      </c>
      <c r="G998" s="14" t="s">
        <v>7012</v>
      </c>
      <c r="H998" s="14" t="s">
        <v>7013</v>
      </c>
      <c r="I998" s="14" t="s">
        <v>7014</v>
      </c>
      <c r="J998" s="14" t="s">
        <v>7015</v>
      </c>
      <c r="K998" s="14" t="s">
        <v>140</v>
      </c>
      <c r="L998" s="14" t="s">
        <v>5642</v>
      </c>
      <c r="M998" s="14" t="s">
        <v>7016</v>
      </c>
      <c r="N998" s="14">
        <v>505.82</v>
      </c>
      <c r="O998" s="14" t="s">
        <v>7017</v>
      </c>
      <c r="P998" s="14" t="s">
        <v>7018</v>
      </c>
      <c r="Q998" s="14" t="s">
        <v>809</v>
      </c>
      <c r="R998" s="14" t="s">
        <v>7019</v>
      </c>
      <c r="S998" s="14" t="s">
        <v>195</v>
      </c>
      <c r="T998" s="14" t="s">
        <v>149</v>
      </c>
      <c r="U998" s="14" t="s">
        <v>113</v>
      </c>
      <c r="V998" s="48">
        <f>SUMIF(Data!$E:$E,$I998,Data!$AI:$AI)</f>
        <v>0</v>
      </c>
    </row>
    <row r="999" spans="1:22" ht="15.75" x14ac:dyDescent="0.3">
      <c r="A999" s="55" t="s">
        <v>5843</v>
      </c>
      <c r="B999" s="56" t="s">
        <v>123</v>
      </c>
      <c r="C999" s="57" t="s">
        <v>4926</v>
      </c>
      <c r="D999" s="58">
        <v>5.0898799999999998E-3</v>
      </c>
      <c r="E999" s="48">
        <f>SUMIF(Data!$E:$E,$C999,Data!$AI:$AI)</f>
        <v>0.52858464745473188</v>
      </c>
      <c r="G999" s="14" t="s">
        <v>7020</v>
      </c>
      <c r="H999" s="14" t="s">
        <v>7021</v>
      </c>
      <c r="I999" s="14">
        <v>9962</v>
      </c>
      <c r="J999" s="14" t="s">
        <v>7022</v>
      </c>
      <c r="K999" s="14" t="s">
        <v>140</v>
      </c>
      <c r="L999" s="14" t="s">
        <v>5642</v>
      </c>
      <c r="M999" s="14" t="s">
        <v>7023</v>
      </c>
      <c r="N999" s="14">
        <v>176.5</v>
      </c>
      <c r="O999" s="14" t="s">
        <v>7024</v>
      </c>
      <c r="P999" s="14" t="s">
        <v>7025</v>
      </c>
      <c r="Q999" s="14" t="s">
        <v>419</v>
      </c>
      <c r="R999" s="14" t="s">
        <v>7026</v>
      </c>
      <c r="S999" s="14" t="s">
        <v>444</v>
      </c>
      <c r="T999" s="14" t="s">
        <v>445</v>
      </c>
      <c r="U999" s="14" t="s">
        <v>446</v>
      </c>
      <c r="V999" s="48">
        <f>SUMIF(Data!$E:$E,$I999,Data!$AI:$AI)</f>
        <v>0</v>
      </c>
    </row>
    <row r="1000" spans="1:22" ht="15.75" x14ac:dyDescent="0.3">
      <c r="A1000" s="55" t="s">
        <v>5843</v>
      </c>
      <c r="B1000" s="56" t="s">
        <v>123</v>
      </c>
      <c r="C1000" s="57" t="s">
        <v>5706</v>
      </c>
      <c r="D1000" s="58">
        <v>1.1791799999999999E-3</v>
      </c>
      <c r="E1000" s="48">
        <f>SUMIF(Data!$E:$E,$C1000,Data!$AI:$AI)</f>
        <v>0.61622234783355101</v>
      </c>
      <c r="G1000" s="14" t="s">
        <v>7027</v>
      </c>
      <c r="H1000" s="14" t="s">
        <v>7028</v>
      </c>
      <c r="I1000" s="14" t="s">
        <v>7029</v>
      </c>
      <c r="J1000" s="14" t="s">
        <v>7030</v>
      </c>
      <c r="K1000" s="14" t="s">
        <v>140</v>
      </c>
      <c r="L1000" s="14" t="s">
        <v>5642</v>
      </c>
      <c r="M1000" s="14" t="s">
        <v>7031</v>
      </c>
      <c r="N1000" s="14">
        <v>103.57299999999999</v>
      </c>
      <c r="O1000" s="14" t="s">
        <v>7032</v>
      </c>
      <c r="P1000" s="14" t="s">
        <v>7033</v>
      </c>
      <c r="Q1000" s="14" t="s">
        <v>737</v>
      </c>
      <c r="R1000" s="14" t="s">
        <v>7034</v>
      </c>
      <c r="S1000" s="14" t="s">
        <v>526</v>
      </c>
      <c r="T1000" s="14" t="s">
        <v>527</v>
      </c>
      <c r="U1000" s="14" t="s">
        <v>528</v>
      </c>
      <c r="V1000" s="48">
        <f>SUMIF(Data!$E:$E,$I1000,Data!$AI:$AI)</f>
        <v>0</v>
      </c>
    </row>
    <row r="1001" spans="1:22" ht="15.75" x14ac:dyDescent="0.3">
      <c r="A1001" s="55" t="s">
        <v>5843</v>
      </c>
      <c r="B1001" s="56" t="s">
        <v>123</v>
      </c>
      <c r="C1001" s="57" t="s">
        <v>5590</v>
      </c>
      <c r="D1001" s="58">
        <v>7.7799999999999994E-5</v>
      </c>
      <c r="E1001" s="48">
        <f>SUMIF(Data!$E:$E,$C1001,Data!$AI:$AI)</f>
        <v>0</v>
      </c>
      <c r="G1001" s="14" t="s">
        <v>7035</v>
      </c>
      <c r="H1001" s="14" t="s">
        <v>7036</v>
      </c>
      <c r="I1001" s="14" t="s">
        <v>7037</v>
      </c>
      <c r="J1001" s="14" t="s">
        <v>7038</v>
      </c>
      <c r="K1001" s="14" t="s">
        <v>140</v>
      </c>
      <c r="L1001" s="14" t="s">
        <v>5642</v>
      </c>
      <c r="M1001" s="14" t="s">
        <v>7039</v>
      </c>
      <c r="N1001" s="14">
        <v>35.255000000000003</v>
      </c>
      <c r="O1001" s="14" t="s">
        <v>7040</v>
      </c>
      <c r="P1001" s="14" t="s">
        <v>7041</v>
      </c>
      <c r="Q1001" s="14" t="s">
        <v>193</v>
      </c>
      <c r="R1001" s="14" t="s">
        <v>7042</v>
      </c>
      <c r="S1001" s="14" t="s">
        <v>195</v>
      </c>
      <c r="T1001" s="14" t="s">
        <v>149</v>
      </c>
      <c r="U1001" s="14" t="s">
        <v>113</v>
      </c>
      <c r="V1001" s="48">
        <f>SUMIF(Data!$E:$E,$I1001,Data!$AI:$AI)</f>
        <v>0</v>
      </c>
    </row>
    <row r="1002" spans="1:22" ht="15.75" x14ac:dyDescent="0.3">
      <c r="A1002" s="55" t="s">
        <v>5843</v>
      </c>
      <c r="B1002" s="56" t="s">
        <v>123</v>
      </c>
      <c r="C1002" s="57" t="s">
        <v>4978</v>
      </c>
      <c r="D1002" s="58">
        <v>5.5432899999999993E-3</v>
      </c>
      <c r="E1002" s="48">
        <f>SUMIF(Data!$E:$E,$C1002,Data!$AI:$AI)</f>
        <v>0</v>
      </c>
      <c r="G1002" s="14" t="s">
        <v>7043</v>
      </c>
      <c r="H1002" s="14" t="s">
        <v>7044</v>
      </c>
      <c r="I1002" s="14" t="s">
        <v>7045</v>
      </c>
      <c r="J1002" s="14" t="s">
        <v>7046</v>
      </c>
      <c r="K1002" s="14" t="s">
        <v>140</v>
      </c>
      <c r="L1002" s="14" t="s">
        <v>5642</v>
      </c>
      <c r="M1002" s="14" t="s">
        <v>7047</v>
      </c>
      <c r="N1002" s="14">
        <v>134.28299999999999</v>
      </c>
      <c r="O1002" s="14" t="s">
        <v>7048</v>
      </c>
      <c r="P1002" s="14" t="s">
        <v>7049</v>
      </c>
      <c r="Q1002" s="14" t="s">
        <v>175</v>
      </c>
      <c r="R1002" s="14" t="s">
        <v>7050</v>
      </c>
      <c r="S1002" s="14" t="s">
        <v>195</v>
      </c>
      <c r="T1002" s="14" t="s">
        <v>149</v>
      </c>
      <c r="U1002" s="14" t="s">
        <v>113</v>
      </c>
      <c r="V1002" s="48">
        <f>SUMIF(Data!$E:$E,$I1002,Data!$AI:$AI)</f>
        <v>0</v>
      </c>
    </row>
    <row r="1003" spans="1:22" ht="15.75" x14ac:dyDescent="0.3">
      <c r="A1003" s="55" t="s">
        <v>5843</v>
      </c>
      <c r="B1003" s="56" t="s">
        <v>123</v>
      </c>
      <c r="C1003" s="57" t="s">
        <v>7051</v>
      </c>
      <c r="D1003" s="58">
        <v>3.1043999999999999E-4</v>
      </c>
      <c r="E1003" s="48">
        <f>SUMIF(Data!$E:$E,$C1003,Data!$AI:$AI)</f>
        <v>0</v>
      </c>
      <c r="G1003" s="14" t="s">
        <v>7052</v>
      </c>
      <c r="H1003" s="14" t="s">
        <v>7053</v>
      </c>
      <c r="I1003" s="14" t="s">
        <v>7054</v>
      </c>
      <c r="J1003" s="14" t="s">
        <v>7055</v>
      </c>
      <c r="K1003" s="14" t="s">
        <v>140</v>
      </c>
      <c r="L1003" s="14" t="s">
        <v>5642</v>
      </c>
      <c r="M1003" s="14" t="s">
        <v>7056</v>
      </c>
      <c r="N1003" s="14">
        <v>112.264</v>
      </c>
      <c r="O1003" s="14" t="s">
        <v>7057</v>
      </c>
      <c r="P1003" s="14" t="s">
        <v>7058</v>
      </c>
      <c r="Q1003" s="14" t="s">
        <v>165</v>
      </c>
      <c r="R1003" s="14" t="s">
        <v>7059</v>
      </c>
      <c r="S1003" s="14" t="s">
        <v>195</v>
      </c>
      <c r="T1003" s="14" t="s">
        <v>149</v>
      </c>
      <c r="U1003" s="14" t="s">
        <v>113</v>
      </c>
      <c r="V1003" s="48">
        <f>SUMIF(Data!$E:$E,$I1003,Data!$AI:$AI)</f>
        <v>0</v>
      </c>
    </row>
    <row r="1004" spans="1:22" ht="15.75" x14ac:dyDescent="0.3">
      <c r="A1004" s="55" t="s">
        <v>5843</v>
      </c>
      <c r="B1004" s="56" t="s">
        <v>123</v>
      </c>
      <c r="C1004" s="57" t="s">
        <v>5221</v>
      </c>
      <c r="D1004" s="58">
        <v>3.48205E-3</v>
      </c>
      <c r="E1004" s="48">
        <f>SUMIF(Data!$E:$E,$C1004,Data!$AI:$AI)</f>
        <v>0.14962264013625223</v>
      </c>
      <c r="G1004" s="14" t="s">
        <v>7060</v>
      </c>
      <c r="H1004" s="14" t="s">
        <v>7061</v>
      </c>
      <c r="I1004" s="14" t="s">
        <v>7062</v>
      </c>
      <c r="J1004" s="14" t="s">
        <v>7063</v>
      </c>
      <c r="K1004" s="14" t="s">
        <v>140</v>
      </c>
      <c r="L1004" s="14" t="s">
        <v>5642</v>
      </c>
      <c r="M1004" s="14" t="s">
        <v>7064</v>
      </c>
      <c r="N1004" s="14">
        <v>33.744999999999997</v>
      </c>
      <c r="O1004" s="14" t="s">
        <v>7065</v>
      </c>
      <c r="P1004" s="14" t="s">
        <v>7066</v>
      </c>
      <c r="Q1004" s="14" t="s">
        <v>193</v>
      </c>
      <c r="R1004" s="14" t="s">
        <v>7067</v>
      </c>
      <c r="S1004" s="14" t="s">
        <v>148</v>
      </c>
      <c r="T1004" s="14" t="s">
        <v>149</v>
      </c>
      <c r="U1004" s="14" t="s">
        <v>113</v>
      </c>
      <c r="V1004" s="48">
        <f>SUMIF(Data!$E:$E,$I1004,Data!$AI:$AI)</f>
        <v>0</v>
      </c>
    </row>
    <row r="1005" spans="1:22" ht="15.75" x14ac:dyDescent="0.3">
      <c r="A1005" s="55" t="s">
        <v>5843</v>
      </c>
      <c r="B1005" s="56" t="s">
        <v>123</v>
      </c>
      <c r="C1005" s="57" t="s">
        <v>5228</v>
      </c>
      <c r="D1005" s="58">
        <v>1.9397999999999998E-4</v>
      </c>
      <c r="E1005" s="48">
        <f>SUMIF(Data!$E:$E,$C1005,Data!$AI:$AI)</f>
        <v>0</v>
      </c>
      <c r="G1005" s="14" t="s">
        <v>7068</v>
      </c>
      <c r="H1005" s="14" t="s">
        <v>7069</v>
      </c>
      <c r="I1005" s="14" t="s">
        <v>7070</v>
      </c>
      <c r="J1005" s="14" t="s">
        <v>7071</v>
      </c>
      <c r="K1005" s="14" t="s">
        <v>140</v>
      </c>
      <c r="L1005" s="14" t="s">
        <v>5642</v>
      </c>
      <c r="M1005" s="14" t="s">
        <v>7072</v>
      </c>
      <c r="N1005" s="14">
        <v>42.582000000000001</v>
      </c>
      <c r="O1005" s="14" t="s">
        <v>7073</v>
      </c>
      <c r="P1005" s="14" t="s">
        <v>7074</v>
      </c>
      <c r="Q1005" s="14" t="s">
        <v>165</v>
      </c>
      <c r="R1005" s="14" t="s">
        <v>7075</v>
      </c>
      <c r="S1005" s="14" t="s">
        <v>728</v>
      </c>
      <c r="T1005" s="14" t="s">
        <v>729</v>
      </c>
      <c r="U1005" s="14" t="s">
        <v>730</v>
      </c>
      <c r="V1005" s="48">
        <f>SUMIF(Data!$E:$E,$I1005,Data!$AI:$AI)</f>
        <v>0</v>
      </c>
    </row>
    <row r="1006" spans="1:22" ht="15.75" x14ac:dyDescent="0.3">
      <c r="A1006" s="55" t="s">
        <v>5843</v>
      </c>
      <c r="B1006" s="56" t="s">
        <v>123</v>
      </c>
      <c r="C1006" s="57" t="s">
        <v>5598</v>
      </c>
      <c r="D1006" s="58">
        <v>5.3642000000000002E-4</v>
      </c>
      <c r="E1006" s="48">
        <f>SUMIF(Data!$E:$E,$C1006,Data!$AI:$AI)</f>
        <v>0</v>
      </c>
      <c r="G1006" s="14" t="s">
        <v>7076</v>
      </c>
      <c r="H1006" s="14" t="s">
        <v>7077</v>
      </c>
      <c r="I1006" s="14" t="s">
        <v>7078</v>
      </c>
      <c r="J1006" s="14" t="s">
        <v>7079</v>
      </c>
      <c r="K1006" s="14" t="s">
        <v>140</v>
      </c>
      <c r="L1006" s="14" t="s">
        <v>5642</v>
      </c>
      <c r="M1006" s="14" t="s">
        <v>7080</v>
      </c>
      <c r="N1006" s="14">
        <v>46.197000000000003</v>
      </c>
      <c r="O1006" s="14" t="s">
        <v>7081</v>
      </c>
      <c r="P1006" s="14" t="s">
        <v>7082</v>
      </c>
      <c r="Q1006" s="14" t="s">
        <v>211</v>
      </c>
      <c r="R1006" s="14" t="s">
        <v>7083</v>
      </c>
      <c r="S1006" s="14" t="s">
        <v>195</v>
      </c>
      <c r="T1006" s="14" t="s">
        <v>149</v>
      </c>
      <c r="U1006" s="14" t="s">
        <v>113</v>
      </c>
      <c r="V1006" s="48">
        <f>SUMIF(Data!$E:$E,$I1006,Data!$AI:$AI)</f>
        <v>0</v>
      </c>
    </row>
    <row r="1007" spans="1:22" ht="15.75" x14ac:dyDescent="0.3">
      <c r="A1007" s="55" t="s">
        <v>5843</v>
      </c>
      <c r="B1007" s="56" t="s">
        <v>123</v>
      </c>
      <c r="C1007" s="57" t="s">
        <v>3901</v>
      </c>
      <c r="D1007" s="58">
        <v>3.87894E-3</v>
      </c>
      <c r="E1007" s="48">
        <f>SUMIF(Data!$E:$E,$C1007,Data!$AI:$AI)</f>
        <v>0.4435083799971119</v>
      </c>
      <c r="G1007" s="14" t="s">
        <v>7084</v>
      </c>
      <c r="H1007" s="14" t="s">
        <v>7085</v>
      </c>
      <c r="I1007" s="14" t="s">
        <v>7086</v>
      </c>
      <c r="J1007" s="14" t="s">
        <v>7087</v>
      </c>
      <c r="K1007" s="14" t="s">
        <v>140</v>
      </c>
      <c r="L1007" s="14" t="s">
        <v>5642</v>
      </c>
      <c r="M1007" s="14" t="s">
        <v>7088</v>
      </c>
      <c r="N1007" s="14">
        <v>168.78200000000001</v>
      </c>
      <c r="O1007" s="14" t="s">
        <v>7089</v>
      </c>
      <c r="P1007" s="14" t="s">
        <v>7090</v>
      </c>
      <c r="Q1007" s="14" t="s">
        <v>165</v>
      </c>
      <c r="R1007" s="14" t="s">
        <v>7091</v>
      </c>
      <c r="S1007" s="14" t="s">
        <v>195</v>
      </c>
      <c r="T1007" s="14" t="s">
        <v>149</v>
      </c>
      <c r="U1007" s="14" t="s">
        <v>113</v>
      </c>
      <c r="V1007" s="48">
        <f>SUMIF(Data!$E:$E,$I1007,Data!$AI:$AI)</f>
        <v>0</v>
      </c>
    </row>
    <row r="1008" spans="1:22" ht="15.75" x14ac:dyDescent="0.3">
      <c r="A1008" s="55" t="s">
        <v>5843</v>
      </c>
      <c r="B1008" s="56" t="s">
        <v>123</v>
      </c>
      <c r="C1008" s="57" t="s">
        <v>5309</v>
      </c>
      <c r="D1008" s="58">
        <v>1.0078800000000001E-3</v>
      </c>
      <c r="E1008" s="48">
        <f>SUMIF(Data!$E:$E,$C1008,Data!$AI:$AI)</f>
        <v>0</v>
      </c>
      <c r="G1008" s="14" t="s">
        <v>7092</v>
      </c>
      <c r="H1008" s="14" t="s">
        <v>7093</v>
      </c>
      <c r="I1008" s="14" t="s">
        <v>7094</v>
      </c>
      <c r="J1008" s="14" t="s">
        <v>7095</v>
      </c>
      <c r="K1008" s="14" t="s">
        <v>140</v>
      </c>
      <c r="L1008" s="14" t="s">
        <v>5642</v>
      </c>
      <c r="M1008" s="14" t="s">
        <v>7096</v>
      </c>
      <c r="N1008" s="14">
        <v>85.361000000000004</v>
      </c>
      <c r="O1008" s="14" t="s">
        <v>7097</v>
      </c>
      <c r="P1008" s="14" t="s">
        <v>7098</v>
      </c>
      <c r="Q1008" s="14" t="s">
        <v>419</v>
      </c>
      <c r="R1008" s="14" t="s">
        <v>7099</v>
      </c>
      <c r="S1008" s="14" t="s">
        <v>195</v>
      </c>
      <c r="T1008" s="14" t="s">
        <v>149</v>
      </c>
      <c r="U1008" s="14" t="s">
        <v>113</v>
      </c>
      <c r="V1008" s="48">
        <f>SUMIF(Data!$E:$E,$I1008,Data!$AI:$AI)</f>
        <v>0</v>
      </c>
    </row>
    <row r="1009" spans="1:22" ht="15.75" x14ac:dyDescent="0.3">
      <c r="A1009" s="55" t="s">
        <v>5843</v>
      </c>
      <c r="B1009" s="56" t="s">
        <v>123</v>
      </c>
      <c r="C1009" s="57" t="s">
        <v>5241</v>
      </c>
      <c r="D1009" s="58">
        <v>2.1586800000000001E-3</v>
      </c>
      <c r="E1009" s="48">
        <f>SUMIF(Data!$E:$E,$C1009,Data!$AI:$AI)</f>
        <v>0.22226848933098653</v>
      </c>
      <c r="G1009" s="14" t="s">
        <v>7100</v>
      </c>
      <c r="H1009" s="14" t="s">
        <v>7101</v>
      </c>
      <c r="I1009" s="14" t="s">
        <v>7102</v>
      </c>
      <c r="J1009" s="14" t="s">
        <v>7103</v>
      </c>
      <c r="K1009" s="14" t="s">
        <v>140</v>
      </c>
      <c r="L1009" s="14" t="s">
        <v>5642</v>
      </c>
      <c r="M1009" s="14" t="s">
        <v>7104</v>
      </c>
      <c r="N1009" s="14">
        <v>43.292000000000002</v>
      </c>
      <c r="O1009" s="14" t="s">
        <v>7105</v>
      </c>
      <c r="P1009" s="14" t="s">
        <v>7106</v>
      </c>
      <c r="Q1009" s="14" t="s">
        <v>809</v>
      </c>
      <c r="R1009" s="14" t="s">
        <v>7107</v>
      </c>
      <c r="S1009" s="14" t="s">
        <v>195</v>
      </c>
      <c r="T1009" s="14" t="s">
        <v>149</v>
      </c>
      <c r="U1009" s="14" t="s">
        <v>113</v>
      </c>
      <c r="V1009" s="48">
        <f>SUMIF(Data!$E:$E,$I1009,Data!$AI:$AI)</f>
        <v>0</v>
      </c>
    </row>
    <row r="1010" spans="1:22" ht="15.75" x14ac:dyDescent="0.3">
      <c r="A1010" s="55" t="s">
        <v>5843</v>
      </c>
      <c r="B1010" s="56" t="s">
        <v>123</v>
      </c>
      <c r="C1010" s="57" t="s">
        <v>1469</v>
      </c>
      <c r="D1010" s="58">
        <v>9.346440000000001E-3</v>
      </c>
      <c r="E1010" s="48">
        <f>SUMIF(Data!$E:$E,$C1010,Data!$AI:$AI)</f>
        <v>0</v>
      </c>
      <c r="G1010" s="14" t="s">
        <v>7108</v>
      </c>
      <c r="H1010" s="14" t="s">
        <v>7109</v>
      </c>
      <c r="I1010" s="14" t="s">
        <v>7110</v>
      </c>
      <c r="J1010" s="14" t="s">
        <v>7111</v>
      </c>
      <c r="K1010" s="14" t="s">
        <v>140</v>
      </c>
      <c r="L1010" s="14" t="s">
        <v>5642</v>
      </c>
      <c r="M1010" s="14" t="s">
        <v>7112</v>
      </c>
      <c r="N1010" s="14">
        <v>29.4</v>
      </c>
      <c r="O1010" s="14" t="s">
        <v>7113</v>
      </c>
      <c r="P1010" s="14" t="s">
        <v>7114</v>
      </c>
      <c r="Q1010" s="14" t="s">
        <v>193</v>
      </c>
      <c r="R1010" s="14" t="s">
        <v>7115</v>
      </c>
      <c r="S1010" s="14" t="s">
        <v>195</v>
      </c>
      <c r="T1010" s="14" t="s">
        <v>149</v>
      </c>
      <c r="U1010" s="14" t="s">
        <v>113</v>
      </c>
      <c r="V1010" s="48">
        <f>SUMIF(Data!$E:$E,$I1010,Data!$AI:$AI)</f>
        <v>0</v>
      </c>
    </row>
    <row r="1011" spans="1:22" ht="15.75" x14ac:dyDescent="0.3">
      <c r="A1011" s="55" t="s">
        <v>5843</v>
      </c>
      <c r="B1011" s="56" t="s">
        <v>123</v>
      </c>
      <c r="C1011" s="57" t="s">
        <v>5605</v>
      </c>
      <c r="D1011" s="58">
        <v>8.0869999999999998E-4</v>
      </c>
      <c r="E1011" s="48">
        <f>SUMIF(Data!$E:$E,$C1011,Data!$AI:$AI)</f>
        <v>6.758252240413927E-2</v>
      </c>
      <c r="G1011" s="14" t="s">
        <v>7116</v>
      </c>
      <c r="H1011" s="14" t="s">
        <v>7117</v>
      </c>
      <c r="I1011" s="14" t="s">
        <v>7118</v>
      </c>
      <c r="J1011" s="14" t="s">
        <v>7119</v>
      </c>
      <c r="K1011" s="14" t="s">
        <v>140</v>
      </c>
      <c r="L1011" s="14" t="s">
        <v>5642</v>
      </c>
      <c r="M1011" s="14" t="s">
        <v>7120</v>
      </c>
      <c r="N1011" s="14">
        <v>59.841999999999999</v>
      </c>
      <c r="O1011" s="14" t="s">
        <v>7121</v>
      </c>
      <c r="P1011" s="14" t="s">
        <v>7122</v>
      </c>
      <c r="Q1011" s="14" t="s">
        <v>146</v>
      </c>
      <c r="R1011" s="14" t="s">
        <v>7123</v>
      </c>
      <c r="S1011" s="14" t="s">
        <v>148</v>
      </c>
      <c r="T1011" s="14" t="s">
        <v>149</v>
      </c>
      <c r="U1011" s="14" t="s">
        <v>113</v>
      </c>
      <c r="V1011" s="48">
        <f>SUMIF(Data!$E:$E,$I1011,Data!$AI:$AI)</f>
        <v>0</v>
      </c>
    </row>
    <row r="1012" spans="1:22" ht="15.75" x14ac:dyDescent="0.3">
      <c r="A1012" s="55" t="s">
        <v>5843</v>
      </c>
      <c r="B1012" s="56" t="s">
        <v>123</v>
      </c>
      <c r="C1012" s="57" t="s">
        <v>4938</v>
      </c>
      <c r="D1012" s="58">
        <v>6.0185400000000002E-3</v>
      </c>
      <c r="E1012" s="48">
        <f>SUMIF(Data!$E:$E,$C1012,Data!$AI:$AI)</f>
        <v>0</v>
      </c>
      <c r="G1012" s="14" t="s">
        <v>7124</v>
      </c>
      <c r="H1012" s="14" t="s">
        <v>7125</v>
      </c>
      <c r="I1012" s="14" t="s">
        <v>7126</v>
      </c>
      <c r="J1012" s="14" t="s">
        <v>7127</v>
      </c>
      <c r="K1012" s="14" t="s">
        <v>140</v>
      </c>
      <c r="L1012" s="14" t="s">
        <v>5642</v>
      </c>
      <c r="M1012" s="14" t="s">
        <v>7128</v>
      </c>
      <c r="N1012" s="14">
        <v>166.03</v>
      </c>
      <c r="O1012" s="14" t="s">
        <v>7129</v>
      </c>
      <c r="P1012" s="14" t="s">
        <v>7130</v>
      </c>
      <c r="Q1012" s="14" t="s">
        <v>697</v>
      </c>
      <c r="R1012" s="14" t="s">
        <v>7131</v>
      </c>
      <c r="S1012" s="14" t="s">
        <v>195</v>
      </c>
      <c r="T1012" s="14" t="s">
        <v>149</v>
      </c>
      <c r="U1012" s="14" t="s">
        <v>113</v>
      </c>
      <c r="V1012" s="48">
        <f>SUMIF(Data!$E:$E,$I1012,Data!$AI:$AI)</f>
        <v>0</v>
      </c>
    </row>
    <row r="1013" spans="1:22" ht="16.5" thickBot="1" x14ac:dyDescent="0.35">
      <c r="A1013" s="59" t="s">
        <v>5843</v>
      </c>
      <c r="B1013" s="60" t="s">
        <v>123</v>
      </c>
      <c r="C1013" s="61" t="s">
        <v>5612</v>
      </c>
      <c r="D1013" s="62">
        <v>4.4790000000000005E-4</v>
      </c>
      <c r="E1013" s="48">
        <f>SUMIF(Data!$E:$E,$C1013,Data!$AI:$AI)</f>
        <v>0</v>
      </c>
      <c r="G1013" s="14" t="s">
        <v>7132</v>
      </c>
      <c r="H1013" s="14" t="s">
        <v>7133</v>
      </c>
      <c r="I1013" s="14" t="s">
        <v>7134</v>
      </c>
      <c r="J1013" s="14" t="s">
        <v>7135</v>
      </c>
      <c r="K1013" s="14" t="s">
        <v>140</v>
      </c>
      <c r="L1013" s="14" t="s">
        <v>5642</v>
      </c>
      <c r="M1013" s="14" t="s">
        <v>7136</v>
      </c>
      <c r="N1013" s="14">
        <v>33.941000000000003</v>
      </c>
      <c r="O1013" s="14" t="s">
        <v>7137</v>
      </c>
      <c r="P1013" s="14" t="s">
        <v>7138</v>
      </c>
      <c r="Q1013" s="14" t="s">
        <v>146</v>
      </c>
      <c r="R1013" s="14" t="s">
        <v>7139</v>
      </c>
      <c r="S1013" s="14" t="s">
        <v>148</v>
      </c>
      <c r="T1013" s="14" t="s">
        <v>149</v>
      </c>
      <c r="U1013" s="14" t="s">
        <v>113</v>
      </c>
      <c r="V1013" s="48">
        <f>SUMIF(Data!$E:$E,$I1013,Data!$AI:$AI)</f>
        <v>0</v>
      </c>
    </row>
    <row r="1014" spans="1:22" x14ac:dyDescent="0.25">
      <c r="A1014" s="47" t="s">
        <v>7140</v>
      </c>
      <c r="B1014" s="47" t="s">
        <v>123</v>
      </c>
      <c r="C1014" s="47" t="s">
        <v>7141</v>
      </c>
      <c r="D1014" s="47">
        <v>2.6166589712781501</v>
      </c>
      <c r="E1014" s="48">
        <f>SUMIF(Data!$E:$E,$C1014,Data!$AI:$AI)</f>
        <v>0</v>
      </c>
      <c r="I1014" s="14" t="s">
        <v>7142</v>
      </c>
      <c r="J1014" s="14" t="s">
        <v>7143</v>
      </c>
      <c r="K1014" s="14" t="s">
        <v>140</v>
      </c>
      <c r="L1014" s="14" t="s">
        <v>5642</v>
      </c>
      <c r="M1014" s="14" t="s">
        <v>7144</v>
      </c>
      <c r="N1014" s="14">
        <v>30.702999999999999</v>
      </c>
      <c r="O1014" s="14" t="s">
        <v>7145</v>
      </c>
      <c r="P1014" s="14" t="s">
        <v>7146</v>
      </c>
      <c r="Q1014" s="14" t="s">
        <v>146</v>
      </c>
      <c r="R1014" s="14" t="s">
        <v>7147</v>
      </c>
      <c r="S1014" s="14" t="s">
        <v>148</v>
      </c>
      <c r="T1014" s="14" t="s">
        <v>149</v>
      </c>
      <c r="U1014" s="14" t="s">
        <v>113</v>
      </c>
      <c r="V1014" s="48">
        <f>SUMIF(Data!$E:$E,$I1014,Data!$AI:$AI)</f>
        <v>0</v>
      </c>
    </row>
    <row r="1015" spans="1:22" x14ac:dyDescent="0.25">
      <c r="A1015" s="47" t="s">
        <v>7140</v>
      </c>
      <c r="B1015" s="47" t="s">
        <v>123</v>
      </c>
      <c r="C1015" s="47" t="s">
        <v>7148</v>
      </c>
      <c r="D1015" s="47">
        <v>0.23003409054417001</v>
      </c>
      <c r="E1015" s="48">
        <f>SUMIF(Data!$E:$E,$C1015,Data!$AI:$AI)</f>
        <v>0</v>
      </c>
      <c r="I1015" s="14" t="s">
        <v>7149</v>
      </c>
      <c r="J1015" s="14" t="s">
        <v>7150</v>
      </c>
      <c r="K1015" s="14" t="s">
        <v>140</v>
      </c>
      <c r="L1015" s="14" t="s">
        <v>5642</v>
      </c>
      <c r="M1015" s="14" t="s">
        <v>7151</v>
      </c>
      <c r="N1015" s="14">
        <v>31.088999999999999</v>
      </c>
      <c r="O1015" s="14" t="s">
        <v>7152</v>
      </c>
      <c r="P1015" s="14" t="s">
        <v>7153</v>
      </c>
      <c r="Q1015" s="14" t="s">
        <v>211</v>
      </c>
      <c r="R1015" s="14" t="s">
        <v>7154</v>
      </c>
      <c r="S1015" s="14" t="s">
        <v>148</v>
      </c>
      <c r="T1015" s="14" t="s">
        <v>149</v>
      </c>
      <c r="U1015" s="14" t="s">
        <v>113</v>
      </c>
      <c r="V1015" s="48">
        <f>SUMIF(Data!$E:$E,$I1015,Data!$AI:$AI)</f>
        <v>0</v>
      </c>
    </row>
    <row r="1016" spans="1:22" x14ac:dyDescent="0.25">
      <c r="A1016" s="47" t="s">
        <v>7140</v>
      </c>
      <c r="B1016" s="47" t="s">
        <v>123</v>
      </c>
      <c r="C1016" s="47" t="s">
        <v>3247</v>
      </c>
      <c r="D1016" s="47">
        <v>0.47275521049378399</v>
      </c>
      <c r="E1016" s="48">
        <f>SUMIF(Data!$E:$E,$C1016,Data!$AI:$AI)</f>
        <v>0</v>
      </c>
      <c r="I1016" s="14" t="s">
        <v>7155</v>
      </c>
      <c r="J1016" s="14" t="s">
        <v>7156</v>
      </c>
      <c r="K1016" s="14" t="s">
        <v>140</v>
      </c>
      <c r="L1016" s="14" t="s">
        <v>5642</v>
      </c>
      <c r="M1016" s="14" t="s">
        <v>7157</v>
      </c>
      <c r="N1016" s="14">
        <v>236.96700000000001</v>
      </c>
      <c r="O1016" s="14" t="s">
        <v>7158</v>
      </c>
      <c r="P1016" s="14" t="s">
        <v>7159</v>
      </c>
      <c r="Q1016" s="14" t="s">
        <v>165</v>
      </c>
      <c r="R1016" s="14" t="s">
        <v>7160</v>
      </c>
      <c r="S1016" s="14" t="s">
        <v>148</v>
      </c>
      <c r="T1016" s="14" t="s">
        <v>149</v>
      </c>
      <c r="U1016" s="14" t="s">
        <v>113</v>
      </c>
      <c r="V1016" s="48">
        <f>SUMIF(Data!$E:$E,$I1016,Data!$AI:$AI)</f>
        <v>0</v>
      </c>
    </row>
    <row r="1017" spans="1:22" x14ac:dyDescent="0.25">
      <c r="A1017" s="47" t="s">
        <v>7140</v>
      </c>
      <c r="B1017" s="47" t="s">
        <v>123</v>
      </c>
      <c r="C1017" s="47" t="s">
        <v>7161</v>
      </c>
      <c r="D1017" s="47">
        <v>0.33437535285700698</v>
      </c>
      <c r="E1017" s="48">
        <f>SUMIF(Data!$E:$E,$C1017,Data!$AI:$AI)</f>
        <v>0</v>
      </c>
      <c r="I1017" s="14" t="s">
        <v>7162</v>
      </c>
      <c r="J1017" s="14" t="s">
        <v>7163</v>
      </c>
      <c r="K1017" s="14" t="s">
        <v>140</v>
      </c>
      <c r="L1017" s="14" t="s">
        <v>5642</v>
      </c>
      <c r="M1017" s="14" t="s">
        <v>7164</v>
      </c>
      <c r="N1017" s="14">
        <v>103.078</v>
      </c>
      <c r="O1017" s="14" t="s">
        <v>7165</v>
      </c>
      <c r="P1017" s="14" t="s">
        <v>7166</v>
      </c>
      <c r="Q1017" s="14" t="s">
        <v>697</v>
      </c>
      <c r="R1017" s="14" t="s">
        <v>7167</v>
      </c>
      <c r="S1017" s="14" t="s">
        <v>195</v>
      </c>
      <c r="T1017" s="14" t="s">
        <v>149</v>
      </c>
      <c r="U1017" s="14" t="s">
        <v>113</v>
      </c>
      <c r="V1017" s="48">
        <f>SUMIF(Data!$E:$E,$I1017,Data!$AI:$AI)</f>
        <v>0</v>
      </c>
    </row>
    <row r="1018" spans="1:22" x14ac:dyDescent="0.25">
      <c r="A1018" s="47" t="s">
        <v>7140</v>
      </c>
      <c r="B1018" s="47" t="s">
        <v>123</v>
      </c>
      <c r="C1018" s="47" t="s">
        <v>7168</v>
      </c>
      <c r="D1018" s="47">
        <v>0.89030308682582404</v>
      </c>
      <c r="E1018" s="48">
        <f>SUMIF(Data!$E:$E,$C1018,Data!$AI:$AI)</f>
        <v>0</v>
      </c>
      <c r="I1018" s="14" t="s">
        <v>7169</v>
      </c>
      <c r="J1018" s="14" t="s">
        <v>7170</v>
      </c>
      <c r="K1018" s="14" t="s">
        <v>140</v>
      </c>
      <c r="L1018" s="14" t="s">
        <v>5642</v>
      </c>
      <c r="M1018" s="14" t="s">
        <v>7171</v>
      </c>
      <c r="N1018" s="14">
        <v>364.71300000000002</v>
      </c>
      <c r="O1018" s="14" t="s">
        <v>7172</v>
      </c>
      <c r="P1018" s="14" t="s">
        <v>7173</v>
      </c>
      <c r="Q1018" s="14" t="s">
        <v>809</v>
      </c>
      <c r="R1018" s="14" t="s">
        <v>7174</v>
      </c>
      <c r="S1018" s="14" t="s">
        <v>479</v>
      </c>
      <c r="T1018" s="14" t="s">
        <v>480</v>
      </c>
      <c r="U1018" s="14" t="s">
        <v>481</v>
      </c>
      <c r="V1018" s="48">
        <f>SUMIF(Data!$E:$E,$I1018,Data!$AI:$AI)</f>
        <v>0</v>
      </c>
    </row>
    <row r="1019" spans="1:22" x14ac:dyDescent="0.25">
      <c r="A1019" s="47" t="s">
        <v>7140</v>
      </c>
      <c r="B1019" s="47" t="s">
        <v>123</v>
      </c>
      <c r="C1019" s="47" t="s">
        <v>7175</v>
      </c>
      <c r="D1019" s="47">
        <v>0.58103422266843396</v>
      </c>
      <c r="E1019" s="48">
        <f>SUMIF(Data!$E:$E,$C1019,Data!$AI:$AI)</f>
        <v>0</v>
      </c>
      <c r="I1019" s="14" t="s">
        <v>7176</v>
      </c>
      <c r="J1019" s="14" t="s">
        <v>7177</v>
      </c>
      <c r="K1019" s="14" t="s">
        <v>140</v>
      </c>
      <c r="L1019" s="14" t="s">
        <v>5642</v>
      </c>
      <c r="M1019" s="14" t="s">
        <v>7178</v>
      </c>
      <c r="N1019" s="14">
        <v>187.91800000000001</v>
      </c>
      <c r="O1019" s="14" t="s">
        <v>7179</v>
      </c>
      <c r="P1019" s="14" t="s">
        <v>7180</v>
      </c>
      <c r="Q1019" s="14" t="s">
        <v>146</v>
      </c>
      <c r="R1019" s="14" t="s">
        <v>7181</v>
      </c>
      <c r="S1019" s="14" t="s">
        <v>195</v>
      </c>
      <c r="T1019" s="14" t="s">
        <v>149</v>
      </c>
      <c r="U1019" s="14" t="s">
        <v>113</v>
      </c>
      <c r="V1019" s="48">
        <f>SUMIF(Data!$E:$E,$I1019,Data!$AI:$AI)</f>
        <v>0</v>
      </c>
    </row>
    <row r="1020" spans="1:22" x14ac:dyDescent="0.25">
      <c r="A1020" s="47" t="s">
        <v>7140</v>
      </c>
      <c r="B1020" s="47" t="s">
        <v>123</v>
      </c>
      <c r="C1020" s="47" t="s">
        <v>7182</v>
      </c>
      <c r="D1020" s="47">
        <v>7.7863251838373004E-2</v>
      </c>
      <c r="E1020" s="48">
        <f>SUMIF(Data!$E:$E,$C1020,Data!$AI:$AI)</f>
        <v>0</v>
      </c>
      <c r="I1020" s="14" t="s">
        <v>7183</v>
      </c>
      <c r="J1020" s="14" t="s">
        <v>7184</v>
      </c>
      <c r="K1020" s="14" t="s">
        <v>140</v>
      </c>
      <c r="L1020" s="14" t="s">
        <v>5642</v>
      </c>
      <c r="M1020" s="14" t="s">
        <v>7185</v>
      </c>
      <c r="N1020" s="14">
        <v>102.789</v>
      </c>
      <c r="O1020" s="14" t="s">
        <v>7186</v>
      </c>
      <c r="P1020" s="14" t="s">
        <v>7187</v>
      </c>
      <c r="Q1020" s="14" t="s">
        <v>697</v>
      </c>
      <c r="R1020" s="14" t="s">
        <v>7188</v>
      </c>
      <c r="S1020" s="14" t="s">
        <v>195</v>
      </c>
      <c r="T1020" s="14" t="s">
        <v>149</v>
      </c>
      <c r="U1020" s="14" t="s">
        <v>113</v>
      </c>
      <c r="V1020" s="48">
        <f>SUMIF(Data!$E:$E,$I1020,Data!$AI:$AI)</f>
        <v>0</v>
      </c>
    </row>
    <row r="1021" spans="1:22" x14ac:dyDescent="0.25">
      <c r="A1021" s="47" t="s">
        <v>7140</v>
      </c>
      <c r="B1021" s="47" t="s">
        <v>123</v>
      </c>
      <c r="C1021" s="47" t="s">
        <v>948</v>
      </c>
      <c r="D1021" s="47">
        <v>2.9348904204241602</v>
      </c>
      <c r="E1021" s="48">
        <f>SUMIF(Data!$E:$E,$C1021,Data!$AI:$AI)</f>
        <v>0</v>
      </c>
      <c r="I1021" s="14" t="s">
        <v>7189</v>
      </c>
      <c r="J1021" s="14" t="s">
        <v>7190</v>
      </c>
      <c r="K1021" s="14" t="s">
        <v>140</v>
      </c>
      <c r="L1021" s="14" t="s">
        <v>5642</v>
      </c>
      <c r="M1021" s="14" t="s">
        <v>7191</v>
      </c>
      <c r="N1021" s="14">
        <v>26.756</v>
      </c>
      <c r="O1021" s="14" t="s">
        <v>7192</v>
      </c>
      <c r="P1021" s="14" t="s">
        <v>7193</v>
      </c>
      <c r="Q1021" s="14" t="s">
        <v>419</v>
      </c>
      <c r="R1021" s="14" t="s">
        <v>7194</v>
      </c>
      <c r="S1021" s="14" t="s">
        <v>229</v>
      </c>
      <c r="T1021" s="14" t="s">
        <v>230</v>
      </c>
      <c r="U1021" s="14" t="s">
        <v>231</v>
      </c>
      <c r="V1021" s="48">
        <f>SUMIF(Data!$E:$E,$I1021,Data!$AI:$AI)</f>
        <v>0</v>
      </c>
    </row>
    <row r="1022" spans="1:22" x14ac:dyDescent="0.25">
      <c r="A1022" s="47" t="s">
        <v>7140</v>
      </c>
      <c r="B1022" s="47" t="s">
        <v>123</v>
      </c>
      <c r="C1022" s="47" t="s">
        <v>7195</v>
      </c>
      <c r="D1022" s="47">
        <v>0.51673074245486095</v>
      </c>
      <c r="E1022" s="48">
        <f>SUMIF(Data!$E:$E,$C1022,Data!$AI:$AI)</f>
        <v>0</v>
      </c>
      <c r="I1022" s="14">
        <v>17</v>
      </c>
      <c r="J1022" s="14" t="s">
        <v>7196</v>
      </c>
      <c r="K1022" s="14" t="s">
        <v>140</v>
      </c>
      <c r="L1022" s="14" t="s">
        <v>5642</v>
      </c>
      <c r="M1022" s="14" t="s">
        <v>7197</v>
      </c>
      <c r="N1022" s="14" t="s">
        <v>7198</v>
      </c>
      <c r="O1022" s="14" t="s">
        <v>7199</v>
      </c>
      <c r="P1022" s="14" t="s">
        <v>7200</v>
      </c>
      <c r="Q1022" s="14" t="s">
        <v>809</v>
      </c>
      <c r="R1022" s="14" t="s">
        <v>7201</v>
      </c>
      <c r="S1022" s="14" t="s">
        <v>552</v>
      </c>
      <c r="T1022" s="14" t="s">
        <v>553</v>
      </c>
      <c r="U1022" s="14" t="s">
        <v>554</v>
      </c>
      <c r="V1022" s="48">
        <f>SUMIF(Data!$E:$E,$I1022,Data!$AI:$AI)</f>
        <v>0</v>
      </c>
    </row>
    <row r="1023" spans="1:22" x14ac:dyDescent="0.25">
      <c r="A1023" s="47" t="s">
        <v>7140</v>
      </c>
      <c r="B1023" s="47" t="s">
        <v>123</v>
      </c>
      <c r="C1023" s="47" t="s">
        <v>7202</v>
      </c>
      <c r="D1023" s="47">
        <v>1.5964137429043099</v>
      </c>
      <c r="E1023" s="48">
        <f>SUMIF(Data!$E:$E,$C1023,Data!$AI:$AI)</f>
        <v>0</v>
      </c>
      <c r="I1023" s="14">
        <v>9613</v>
      </c>
      <c r="J1023" s="14" t="s">
        <v>7203</v>
      </c>
      <c r="K1023" s="14" t="s">
        <v>140</v>
      </c>
      <c r="L1023" s="14" t="s">
        <v>5642</v>
      </c>
      <c r="M1023" s="14" t="s">
        <v>7204</v>
      </c>
      <c r="N1023" s="14">
        <v>317.56</v>
      </c>
      <c r="O1023" s="14" t="s">
        <v>7205</v>
      </c>
      <c r="P1023" s="14" t="s">
        <v>7206</v>
      </c>
      <c r="Q1023" s="14" t="s">
        <v>146</v>
      </c>
      <c r="R1023" s="14" t="s">
        <v>7207</v>
      </c>
      <c r="S1023" s="14" t="s">
        <v>444</v>
      </c>
      <c r="T1023" s="14" t="s">
        <v>445</v>
      </c>
      <c r="U1023" s="14" t="s">
        <v>446</v>
      </c>
      <c r="V1023" s="48">
        <f>SUMIF(Data!$E:$E,$I1023,Data!$AI:$AI)</f>
        <v>0</v>
      </c>
    </row>
    <row r="1024" spans="1:22" x14ac:dyDescent="0.25">
      <c r="A1024" s="47" t="s">
        <v>7140</v>
      </c>
      <c r="B1024" s="47" t="s">
        <v>123</v>
      </c>
      <c r="C1024" s="47" t="s">
        <v>7208</v>
      </c>
      <c r="D1024" s="47">
        <v>1.39843610408857</v>
      </c>
      <c r="E1024" s="48">
        <f>SUMIF(Data!$E:$E,$C1024,Data!$AI:$AI)</f>
        <v>0</v>
      </c>
      <c r="I1024" s="14" t="s">
        <v>7209</v>
      </c>
      <c r="J1024" s="14" t="s">
        <v>7210</v>
      </c>
      <c r="K1024" s="14" t="s">
        <v>140</v>
      </c>
      <c r="L1024" s="14" t="s">
        <v>5642</v>
      </c>
      <c r="M1024" s="14" t="s">
        <v>7211</v>
      </c>
      <c r="N1024" s="14">
        <v>132.00800000000001</v>
      </c>
      <c r="O1024" s="14" t="s">
        <v>7212</v>
      </c>
      <c r="P1024" s="14" t="s">
        <v>7213</v>
      </c>
      <c r="Q1024" s="14" t="s">
        <v>419</v>
      </c>
      <c r="R1024" s="14" t="s">
        <v>7214</v>
      </c>
      <c r="S1024" s="14" t="s">
        <v>195</v>
      </c>
      <c r="T1024" s="14" t="s">
        <v>149</v>
      </c>
      <c r="U1024" s="14" t="s">
        <v>113</v>
      </c>
      <c r="V1024" s="48">
        <f>SUMIF(Data!$E:$E,$I1024,Data!$AI:$AI)</f>
        <v>0</v>
      </c>
    </row>
    <row r="1025" spans="1:22" x14ac:dyDescent="0.25">
      <c r="A1025" s="47" t="s">
        <v>7140</v>
      </c>
      <c r="B1025" s="47" t="s">
        <v>123</v>
      </c>
      <c r="C1025" s="47" t="s">
        <v>7215</v>
      </c>
      <c r="D1025" s="47">
        <v>3.6614911537043E-2</v>
      </c>
      <c r="E1025" s="48">
        <f>SUMIF(Data!$E:$E,$C1025,Data!$AI:$AI)</f>
        <v>0</v>
      </c>
      <c r="I1025" s="14" t="s">
        <v>7216</v>
      </c>
      <c r="J1025" s="14" t="s">
        <v>7217</v>
      </c>
      <c r="K1025" s="14" t="s">
        <v>140</v>
      </c>
      <c r="L1025" s="14" t="s">
        <v>5642</v>
      </c>
      <c r="M1025" s="14" t="s">
        <v>7218</v>
      </c>
      <c r="N1025" s="14">
        <v>126.875</v>
      </c>
      <c r="O1025" s="14" t="s">
        <v>7219</v>
      </c>
      <c r="P1025" s="14" t="s">
        <v>7220</v>
      </c>
      <c r="Q1025" s="14" t="s">
        <v>175</v>
      </c>
      <c r="R1025" s="14" t="s">
        <v>7221</v>
      </c>
      <c r="S1025" s="14" t="s">
        <v>148</v>
      </c>
      <c r="T1025" s="14" t="s">
        <v>149</v>
      </c>
      <c r="U1025" s="14" t="s">
        <v>113</v>
      </c>
      <c r="V1025" s="48">
        <f>SUMIF(Data!$E:$E,$I1025,Data!$AI:$AI)</f>
        <v>0</v>
      </c>
    </row>
    <row r="1026" spans="1:22" x14ac:dyDescent="0.25">
      <c r="A1026" s="47" t="s">
        <v>7140</v>
      </c>
      <c r="B1026" s="47" t="s">
        <v>123</v>
      </c>
      <c r="C1026" s="47" t="s">
        <v>7222</v>
      </c>
      <c r="D1026" s="47">
        <v>2.2190711044684401</v>
      </c>
      <c r="E1026" s="48">
        <f>SUMIF(Data!$E:$E,$C1026,Data!$AI:$AI)</f>
        <v>8.7735762017738403E-2</v>
      </c>
      <c r="I1026" s="14" t="s">
        <v>7223</v>
      </c>
      <c r="J1026" s="14" t="s">
        <v>7224</v>
      </c>
      <c r="K1026" s="14" t="s">
        <v>140</v>
      </c>
      <c r="L1026" s="14" t="s">
        <v>5642</v>
      </c>
      <c r="M1026" s="14" t="s">
        <v>7225</v>
      </c>
      <c r="N1026" s="14" t="s">
        <v>7226</v>
      </c>
      <c r="O1026" s="14" t="s">
        <v>7227</v>
      </c>
      <c r="P1026" s="14" t="s">
        <v>7228</v>
      </c>
      <c r="Q1026" s="14" t="s">
        <v>809</v>
      </c>
      <c r="R1026" s="14" t="s">
        <v>7229</v>
      </c>
      <c r="S1026" s="14" t="s">
        <v>2368</v>
      </c>
      <c r="T1026" s="14" t="s">
        <v>2369</v>
      </c>
      <c r="U1026" s="14" t="s">
        <v>2370</v>
      </c>
      <c r="V1026" s="48">
        <f>SUMIF(Data!$E:$E,$I1026,Data!$AI:$AI)</f>
        <v>0</v>
      </c>
    </row>
    <row r="1027" spans="1:22" x14ac:dyDescent="0.25">
      <c r="A1027" s="47" t="s">
        <v>7140</v>
      </c>
      <c r="B1027" s="47" t="s">
        <v>123</v>
      </c>
      <c r="C1027" s="47" t="s">
        <v>7230</v>
      </c>
      <c r="D1027" s="47">
        <v>0.82309125511438597</v>
      </c>
      <c r="E1027" s="48">
        <f>SUMIF(Data!$E:$E,$C1027,Data!$AI:$AI)</f>
        <v>0</v>
      </c>
      <c r="I1027" s="14" t="s">
        <v>7231</v>
      </c>
      <c r="J1027" s="14" t="s">
        <v>7232</v>
      </c>
      <c r="K1027" s="14" t="s">
        <v>140</v>
      </c>
      <c r="L1027" s="14" t="s">
        <v>5642</v>
      </c>
      <c r="M1027" s="14" t="s">
        <v>7233</v>
      </c>
      <c r="N1027" s="14">
        <v>382.27199999999999</v>
      </c>
      <c r="O1027" s="14" t="s">
        <v>7234</v>
      </c>
      <c r="P1027" s="14" t="s">
        <v>7235</v>
      </c>
      <c r="Q1027" s="14" t="s">
        <v>227</v>
      </c>
      <c r="R1027" s="14" t="s">
        <v>7236</v>
      </c>
      <c r="S1027" s="14" t="s">
        <v>850</v>
      </c>
      <c r="T1027" s="14" t="s">
        <v>851</v>
      </c>
      <c r="U1027" s="14" t="s">
        <v>852</v>
      </c>
      <c r="V1027" s="48">
        <f>SUMIF(Data!$E:$E,$I1027,Data!$AI:$AI)</f>
        <v>0</v>
      </c>
    </row>
    <row r="1028" spans="1:22" x14ac:dyDescent="0.25">
      <c r="A1028" s="47" t="s">
        <v>7140</v>
      </c>
      <c r="B1028" s="47" t="s">
        <v>123</v>
      </c>
      <c r="C1028" s="47" t="s">
        <v>7237</v>
      </c>
      <c r="D1028" s="47">
        <v>2.0448044184343899</v>
      </c>
      <c r="E1028" s="48">
        <f>SUMIF(Data!$E:$E,$C1028,Data!$AI:$AI)</f>
        <v>0</v>
      </c>
      <c r="I1028" s="14">
        <v>8473</v>
      </c>
      <c r="J1028" s="14" t="s">
        <v>7238</v>
      </c>
      <c r="K1028" s="14" t="s">
        <v>140</v>
      </c>
      <c r="L1028" s="14" t="s">
        <v>5642</v>
      </c>
      <c r="M1028" s="14" t="s">
        <v>5554</v>
      </c>
      <c r="N1028" s="14">
        <v>200.4</v>
      </c>
      <c r="O1028" s="14" t="s">
        <v>7239</v>
      </c>
      <c r="P1028" s="14" t="s">
        <v>7240</v>
      </c>
      <c r="Q1028" s="14" t="s">
        <v>193</v>
      </c>
      <c r="R1028" s="14" t="s">
        <v>7241</v>
      </c>
      <c r="S1028" s="14" t="s">
        <v>444</v>
      </c>
      <c r="T1028" s="14" t="s">
        <v>445</v>
      </c>
      <c r="U1028" s="14" t="s">
        <v>446</v>
      </c>
      <c r="V1028" s="48">
        <f>SUMIF(Data!$E:$E,$I1028,Data!$AI:$AI)</f>
        <v>0</v>
      </c>
    </row>
    <row r="1029" spans="1:22" x14ac:dyDescent="0.25">
      <c r="A1029" s="47" t="s">
        <v>7140</v>
      </c>
      <c r="B1029" s="47" t="s">
        <v>123</v>
      </c>
      <c r="C1029" s="47" t="s">
        <v>5700</v>
      </c>
      <c r="D1029" s="47">
        <v>0.17141323962066399</v>
      </c>
      <c r="E1029" s="48">
        <f>SUMIF(Data!$E:$E,$C1029,Data!$AI:$AI)</f>
        <v>0</v>
      </c>
      <c r="I1029" s="14" t="s">
        <v>7242</v>
      </c>
      <c r="J1029" s="14" t="s">
        <v>7243</v>
      </c>
      <c r="K1029" s="14" t="s">
        <v>140</v>
      </c>
      <c r="L1029" s="14" t="s">
        <v>5642</v>
      </c>
      <c r="M1029" s="14" t="s">
        <v>7244</v>
      </c>
      <c r="N1029" s="14" t="s">
        <v>7245</v>
      </c>
      <c r="O1029" s="14" t="s">
        <v>7246</v>
      </c>
      <c r="P1029" s="14" t="s">
        <v>7247</v>
      </c>
      <c r="Q1029" s="14" t="s">
        <v>193</v>
      </c>
      <c r="R1029" s="14" t="s">
        <v>7248</v>
      </c>
      <c r="S1029" s="14" t="s">
        <v>479</v>
      </c>
      <c r="T1029" s="14" t="s">
        <v>480</v>
      </c>
      <c r="U1029" s="14" t="s">
        <v>481</v>
      </c>
      <c r="V1029" s="48">
        <f>SUMIF(Data!$E:$E,$I1029,Data!$AI:$AI)</f>
        <v>0</v>
      </c>
    </row>
    <row r="1030" spans="1:22" x14ac:dyDescent="0.25">
      <c r="A1030" s="47" t="s">
        <v>7140</v>
      </c>
      <c r="B1030" s="47" t="s">
        <v>123</v>
      </c>
      <c r="C1030" s="47" t="s">
        <v>7249</v>
      </c>
      <c r="D1030" s="47">
        <v>1.7854067407901699</v>
      </c>
      <c r="E1030" s="48">
        <f>SUMIF(Data!$E:$E,$C1030,Data!$AI:$AI)</f>
        <v>0</v>
      </c>
      <c r="I1030" s="14" t="s">
        <v>7250</v>
      </c>
      <c r="J1030" s="14" t="s">
        <v>7251</v>
      </c>
      <c r="K1030" s="14" t="s">
        <v>140</v>
      </c>
      <c r="L1030" s="14" t="s">
        <v>5642</v>
      </c>
      <c r="M1030" s="14" t="s">
        <v>7252</v>
      </c>
      <c r="N1030" s="14">
        <v>66.97</v>
      </c>
      <c r="O1030" s="14" t="s">
        <v>7253</v>
      </c>
      <c r="P1030" s="14" t="s">
        <v>7254</v>
      </c>
      <c r="Q1030" s="14" t="s">
        <v>193</v>
      </c>
      <c r="R1030" s="14" t="s">
        <v>7255</v>
      </c>
      <c r="S1030" s="14" t="s">
        <v>728</v>
      </c>
      <c r="T1030" s="14" t="s">
        <v>729</v>
      </c>
      <c r="U1030" s="14" t="s">
        <v>730</v>
      </c>
      <c r="V1030" s="48">
        <f>SUMIF(Data!$E:$E,$I1030,Data!$AI:$AI)</f>
        <v>0</v>
      </c>
    </row>
    <row r="1031" spans="1:22" x14ac:dyDescent="0.25">
      <c r="A1031" s="47" t="s">
        <v>7140</v>
      </c>
      <c r="B1031" s="47" t="s">
        <v>123</v>
      </c>
      <c r="C1031" s="47" t="s">
        <v>7256</v>
      </c>
      <c r="D1031" s="47">
        <v>1.5582855847366199</v>
      </c>
      <c r="E1031" s="48">
        <f>SUMIF(Data!$E:$E,$C1031,Data!$AI:$AI)</f>
        <v>0</v>
      </c>
      <c r="I1031" s="14" t="s">
        <v>7257</v>
      </c>
      <c r="J1031" s="14" t="s">
        <v>7258</v>
      </c>
      <c r="K1031" s="14" t="s">
        <v>140</v>
      </c>
      <c r="L1031" s="14" t="s">
        <v>5642</v>
      </c>
      <c r="M1031" s="14" t="s">
        <v>7259</v>
      </c>
      <c r="N1031" s="14">
        <v>78.981999999999999</v>
      </c>
      <c r="O1031" s="14" t="s">
        <v>7260</v>
      </c>
      <c r="P1031" s="14" t="s">
        <v>7261</v>
      </c>
      <c r="Q1031" s="14" t="s">
        <v>263</v>
      </c>
      <c r="R1031" s="14" t="s">
        <v>7262</v>
      </c>
      <c r="S1031" s="14" t="s">
        <v>5891</v>
      </c>
      <c r="T1031" s="14" t="s">
        <v>5892</v>
      </c>
      <c r="U1031" s="14" t="s">
        <v>528</v>
      </c>
      <c r="V1031" s="48">
        <f>SUMIF(Data!$E:$E,$I1031,Data!$AI:$AI)</f>
        <v>0</v>
      </c>
    </row>
    <row r="1032" spans="1:22" x14ac:dyDescent="0.25">
      <c r="A1032" s="47" t="s">
        <v>7140</v>
      </c>
      <c r="B1032" s="47" t="s">
        <v>123</v>
      </c>
      <c r="C1032" s="47" t="s">
        <v>7263</v>
      </c>
      <c r="D1032" s="47">
        <v>0.92960473899219698</v>
      </c>
      <c r="E1032" s="48">
        <f>SUMIF(Data!$E:$E,$C1032,Data!$AI:$AI)</f>
        <v>0</v>
      </c>
      <c r="I1032" s="14" t="s">
        <v>7264</v>
      </c>
      <c r="J1032" s="14" t="s">
        <v>7265</v>
      </c>
      <c r="K1032" s="14" t="s">
        <v>140</v>
      </c>
      <c r="L1032" s="14" t="s">
        <v>5642</v>
      </c>
      <c r="M1032" s="14" t="s">
        <v>7266</v>
      </c>
      <c r="N1032" s="14">
        <v>254.40100000000001</v>
      </c>
      <c r="O1032" s="14" t="s">
        <v>7267</v>
      </c>
      <c r="P1032" s="14" t="s">
        <v>7268</v>
      </c>
      <c r="Q1032" s="14" t="s">
        <v>263</v>
      </c>
      <c r="R1032" s="14" t="s">
        <v>7269</v>
      </c>
      <c r="S1032" s="14" t="s">
        <v>195</v>
      </c>
      <c r="T1032" s="14" t="s">
        <v>149</v>
      </c>
      <c r="U1032" s="14" t="s">
        <v>113</v>
      </c>
      <c r="V1032" s="48">
        <f>SUMIF(Data!$E:$E,$I1032,Data!$AI:$AI)</f>
        <v>0</v>
      </c>
    </row>
    <row r="1033" spans="1:22" x14ac:dyDescent="0.25">
      <c r="A1033" s="47" t="s">
        <v>7140</v>
      </c>
      <c r="B1033" s="47" t="s">
        <v>123</v>
      </c>
      <c r="C1033" s="47" t="s">
        <v>7270</v>
      </c>
      <c r="D1033" s="47">
        <v>0.206408462711513</v>
      </c>
      <c r="E1033" s="48">
        <f>SUMIF(Data!$E:$E,$C1033,Data!$AI:$AI)</f>
        <v>0</v>
      </c>
      <c r="I1033" s="14" t="s">
        <v>7271</v>
      </c>
      <c r="J1033" s="14" t="s">
        <v>7272</v>
      </c>
      <c r="K1033" s="14" t="s">
        <v>140</v>
      </c>
      <c r="L1033" s="14" t="s">
        <v>5642</v>
      </c>
      <c r="M1033" s="14" t="s">
        <v>7273</v>
      </c>
      <c r="N1033" s="14">
        <v>217.64599999999999</v>
      </c>
      <c r="O1033" s="14" t="s">
        <v>7274</v>
      </c>
      <c r="P1033" s="14" t="s">
        <v>7275</v>
      </c>
      <c r="Q1033" s="14" t="s">
        <v>737</v>
      </c>
      <c r="R1033" s="14" t="s">
        <v>7276</v>
      </c>
      <c r="S1033" s="14" t="s">
        <v>850</v>
      </c>
      <c r="T1033" s="14" t="s">
        <v>851</v>
      </c>
      <c r="U1033" s="14" t="s">
        <v>852</v>
      </c>
      <c r="V1033" s="48">
        <f>SUMIF(Data!$E:$E,$I1033,Data!$AI:$AI)</f>
        <v>0</v>
      </c>
    </row>
    <row r="1034" spans="1:22" x14ac:dyDescent="0.25">
      <c r="A1034" s="47" t="s">
        <v>7140</v>
      </c>
      <c r="B1034" s="47" t="s">
        <v>123</v>
      </c>
      <c r="C1034" s="47" t="s">
        <v>7277</v>
      </c>
      <c r="D1034" s="47">
        <v>2.86556820445136</v>
      </c>
      <c r="E1034" s="48">
        <f>SUMIF(Data!$E:$E,$C1034,Data!$AI:$AI)</f>
        <v>0</v>
      </c>
      <c r="I1034" s="14" t="s">
        <v>7278</v>
      </c>
      <c r="J1034" s="14" t="s">
        <v>7279</v>
      </c>
      <c r="K1034" s="14" t="s">
        <v>140</v>
      </c>
      <c r="L1034" s="14" t="s">
        <v>5642</v>
      </c>
      <c r="M1034" s="14" t="s">
        <v>7280</v>
      </c>
      <c r="N1034" s="14" t="s">
        <v>7281</v>
      </c>
      <c r="O1034" s="14" t="s">
        <v>7282</v>
      </c>
      <c r="P1034" s="14" t="s">
        <v>7283</v>
      </c>
      <c r="Q1034" s="14" t="s">
        <v>809</v>
      </c>
      <c r="R1034" s="14" t="s">
        <v>3491</v>
      </c>
      <c r="S1034" s="14" t="s">
        <v>2368</v>
      </c>
      <c r="T1034" s="14" t="s">
        <v>2369</v>
      </c>
      <c r="U1034" s="14" t="s">
        <v>2370</v>
      </c>
      <c r="V1034" s="48">
        <f>SUMIF(Data!$E:$E,$I1034,Data!$AI:$AI)</f>
        <v>0</v>
      </c>
    </row>
    <row r="1035" spans="1:22" x14ac:dyDescent="0.25">
      <c r="A1035" s="47" t="s">
        <v>7140</v>
      </c>
      <c r="B1035" s="47" t="s">
        <v>123</v>
      </c>
      <c r="C1035" s="47" t="s">
        <v>7284</v>
      </c>
      <c r="D1035" s="47">
        <v>0.67001922792115198</v>
      </c>
      <c r="E1035" s="48">
        <f>SUMIF(Data!$E:$E,$C1035,Data!$AI:$AI)</f>
        <v>0</v>
      </c>
      <c r="I1035" s="14" t="s">
        <v>7285</v>
      </c>
      <c r="J1035" s="14" t="s">
        <v>7286</v>
      </c>
      <c r="K1035" s="14" t="s">
        <v>140</v>
      </c>
      <c r="L1035" s="14" t="s">
        <v>5642</v>
      </c>
      <c r="M1035" s="14" t="s">
        <v>7287</v>
      </c>
      <c r="N1035" s="14">
        <v>534.34400000000005</v>
      </c>
      <c r="O1035" s="14" t="s">
        <v>7288</v>
      </c>
      <c r="P1035" s="14" t="s">
        <v>7289</v>
      </c>
      <c r="Q1035" s="14" t="s">
        <v>809</v>
      </c>
      <c r="R1035" s="14" t="s">
        <v>7290</v>
      </c>
      <c r="S1035" s="14" t="s">
        <v>850</v>
      </c>
      <c r="T1035" s="14" t="s">
        <v>851</v>
      </c>
      <c r="U1035" s="14" t="s">
        <v>852</v>
      </c>
      <c r="V1035" s="48">
        <f>SUMIF(Data!$E:$E,$I1035,Data!$AI:$AI)</f>
        <v>0</v>
      </c>
    </row>
    <row r="1036" spans="1:22" x14ac:dyDescent="0.25">
      <c r="A1036" s="47" t="s">
        <v>7140</v>
      </c>
      <c r="B1036" s="47" t="s">
        <v>123</v>
      </c>
      <c r="C1036" s="47" t="s">
        <v>7155</v>
      </c>
      <c r="D1036" s="47">
        <v>0.71656481200480204</v>
      </c>
      <c r="E1036" s="48">
        <f>SUMIF(Data!$E:$E,$C1036,Data!$AI:$AI)</f>
        <v>0</v>
      </c>
      <c r="I1036" s="14">
        <v>1803</v>
      </c>
      <c r="J1036" s="14" t="s">
        <v>7291</v>
      </c>
      <c r="K1036" s="14" t="s">
        <v>140</v>
      </c>
      <c r="L1036" s="14" t="s">
        <v>5642</v>
      </c>
      <c r="M1036" s="14" t="s">
        <v>7292</v>
      </c>
      <c r="N1036" s="14">
        <v>429.22399999999999</v>
      </c>
      <c r="O1036" s="14" t="s">
        <v>7293</v>
      </c>
      <c r="P1036" s="14" t="s">
        <v>7294</v>
      </c>
      <c r="Q1036" s="14" t="s">
        <v>419</v>
      </c>
      <c r="R1036" s="14" t="s">
        <v>7295</v>
      </c>
      <c r="S1036" s="14" t="s">
        <v>444</v>
      </c>
      <c r="T1036" s="14" t="s">
        <v>445</v>
      </c>
      <c r="U1036" s="14" t="s">
        <v>446</v>
      </c>
      <c r="V1036" s="48">
        <f>SUMIF(Data!$E:$E,$I1036,Data!$AI:$AI)</f>
        <v>0</v>
      </c>
    </row>
    <row r="1037" spans="1:22" x14ac:dyDescent="0.25">
      <c r="A1037" s="47" t="s">
        <v>7140</v>
      </c>
      <c r="B1037" s="47" t="s">
        <v>123</v>
      </c>
      <c r="C1037" s="47" t="s">
        <v>7296</v>
      </c>
      <c r="D1037" s="47">
        <v>0.55543069555031299</v>
      </c>
      <c r="E1037" s="48">
        <f>SUMIF(Data!$E:$E,$C1037,Data!$AI:$AI)</f>
        <v>0</v>
      </c>
      <c r="I1037" s="14">
        <v>6952</v>
      </c>
      <c r="J1037" s="14" t="s">
        <v>7297</v>
      </c>
      <c r="K1037" s="14" t="s">
        <v>140</v>
      </c>
      <c r="L1037" s="14" t="s">
        <v>5642</v>
      </c>
      <c r="M1037" s="14" t="s">
        <v>7298</v>
      </c>
      <c r="N1037" s="14">
        <v>211.6</v>
      </c>
      <c r="O1037" s="14" t="s">
        <v>7299</v>
      </c>
      <c r="P1037" s="14" t="s">
        <v>7300</v>
      </c>
      <c r="Q1037" s="14" t="s">
        <v>165</v>
      </c>
      <c r="R1037" s="14" t="s">
        <v>7301</v>
      </c>
      <c r="S1037" s="14" t="s">
        <v>444</v>
      </c>
      <c r="T1037" s="14" t="s">
        <v>445</v>
      </c>
      <c r="U1037" s="14" t="s">
        <v>446</v>
      </c>
      <c r="V1037" s="48">
        <f>SUMIF(Data!$E:$E,$I1037,Data!$AI:$AI)</f>
        <v>0</v>
      </c>
    </row>
    <row r="1038" spans="1:22" x14ac:dyDescent="0.25">
      <c r="A1038" s="47" t="s">
        <v>7140</v>
      </c>
      <c r="B1038" s="47" t="s">
        <v>123</v>
      </c>
      <c r="C1038" s="47" t="s">
        <v>6185</v>
      </c>
      <c r="D1038" s="47">
        <v>0.576839922198917</v>
      </c>
      <c r="E1038" s="48">
        <f>SUMIF(Data!$E:$E,$C1038,Data!$AI:$AI)</f>
        <v>0</v>
      </c>
      <c r="I1038" s="14" t="s">
        <v>7302</v>
      </c>
      <c r="J1038" s="14" t="s">
        <v>7303</v>
      </c>
      <c r="K1038" s="14" t="s">
        <v>140</v>
      </c>
      <c r="L1038" s="14" t="s">
        <v>5642</v>
      </c>
      <c r="M1038" s="14" t="s">
        <v>7304</v>
      </c>
      <c r="N1038" s="14">
        <v>169.834</v>
      </c>
      <c r="O1038" s="14" t="s">
        <v>7305</v>
      </c>
      <c r="P1038" s="14" t="s">
        <v>7306</v>
      </c>
      <c r="Q1038" s="14" t="s">
        <v>193</v>
      </c>
      <c r="R1038" s="14" t="s">
        <v>7307</v>
      </c>
      <c r="S1038" s="14" t="s">
        <v>728</v>
      </c>
      <c r="T1038" s="14" t="s">
        <v>729</v>
      </c>
      <c r="U1038" s="14" t="s">
        <v>730</v>
      </c>
      <c r="V1038" s="48">
        <f>SUMIF(Data!$E:$E,$I1038,Data!$AI:$AI)</f>
        <v>0</v>
      </c>
    </row>
    <row r="1039" spans="1:22" x14ac:dyDescent="0.25">
      <c r="A1039" s="47" t="s">
        <v>7140</v>
      </c>
      <c r="B1039" s="47" t="s">
        <v>123</v>
      </c>
      <c r="C1039" s="47" t="s">
        <v>7308</v>
      </c>
      <c r="D1039" s="47">
        <v>0.227244099414039</v>
      </c>
      <c r="E1039" s="48">
        <f>SUMIF(Data!$E:$E,$C1039,Data!$AI:$AI)</f>
        <v>0</v>
      </c>
      <c r="I1039" s="14" t="s">
        <v>7309</v>
      </c>
      <c r="J1039" s="14" t="s">
        <v>7310</v>
      </c>
      <c r="K1039" s="14" t="s">
        <v>140</v>
      </c>
      <c r="L1039" s="14" t="s">
        <v>5642</v>
      </c>
      <c r="M1039" s="14" t="s">
        <v>7311</v>
      </c>
      <c r="N1039" s="14">
        <v>34.944000000000003</v>
      </c>
      <c r="O1039" s="14" t="s">
        <v>7312</v>
      </c>
      <c r="P1039" s="14" t="s">
        <v>7313</v>
      </c>
      <c r="Q1039" s="14" t="s">
        <v>809</v>
      </c>
      <c r="R1039" s="14" t="s">
        <v>7314</v>
      </c>
      <c r="S1039" s="14" t="s">
        <v>195</v>
      </c>
      <c r="T1039" s="14" t="s">
        <v>149</v>
      </c>
      <c r="U1039" s="14" t="s">
        <v>113</v>
      </c>
      <c r="V1039" s="48">
        <f>SUMIF(Data!$E:$E,$I1039,Data!$AI:$AI)</f>
        <v>0</v>
      </c>
    </row>
    <row r="1040" spans="1:22" x14ac:dyDescent="0.25">
      <c r="A1040" s="47" t="s">
        <v>7140</v>
      </c>
      <c r="B1040" s="47" t="s">
        <v>123</v>
      </c>
      <c r="C1040" s="47" t="s">
        <v>7315</v>
      </c>
      <c r="D1040" s="47">
        <v>0.122902102775525</v>
      </c>
      <c r="E1040" s="48">
        <f>SUMIF(Data!$E:$E,$C1040,Data!$AI:$AI)</f>
        <v>0</v>
      </c>
      <c r="I1040" s="14" t="s">
        <v>7316</v>
      </c>
      <c r="J1040" s="14" t="s">
        <v>7317</v>
      </c>
      <c r="K1040" s="14" t="s">
        <v>140</v>
      </c>
      <c r="L1040" s="14" t="s">
        <v>5642</v>
      </c>
      <c r="M1040" s="14" t="s">
        <v>7318</v>
      </c>
      <c r="N1040" s="14">
        <v>51.779000000000003</v>
      </c>
      <c r="O1040" s="14" t="s">
        <v>7319</v>
      </c>
      <c r="P1040" s="14" t="s">
        <v>7320</v>
      </c>
      <c r="Q1040" s="14" t="s">
        <v>419</v>
      </c>
      <c r="R1040" s="14" t="s">
        <v>7321</v>
      </c>
      <c r="S1040" s="14" t="s">
        <v>479</v>
      </c>
      <c r="T1040" s="14" t="s">
        <v>480</v>
      </c>
      <c r="U1040" s="14" t="s">
        <v>481</v>
      </c>
      <c r="V1040" s="48">
        <f>SUMIF(Data!$E:$E,$I1040,Data!$AI:$AI)</f>
        <v>0</v>
      </c>
    </row>
    <row r="1041" spans="1:22" x14ac:dyDescent="0.25">
      <c r="A1041" s="47" t="s">
        <v>7140</v>
      </c>
      <c r="B1041" s="47" t="s">
        <v>123</v>
      </c>
      <c r="C1041" s="47" t="s">
        <v>7322</v>
      </c>
      <c r="D1041" s="47">
        <v>0.77122843881109904</v>
      </c>
      <c r="E1041" s="48">
        <f>SUMIF(Data!$E:$E,$C1041,Data!$AI:$AI)</f>
        <v>0</v>
      </c>
      <c r="I1041" s="14" t="s">
        <v>7323</v>
      </c>
      <c r="J1041" s="14" t="s">
        <v>7324</v>
      </c>
      <c r="K1041" s="14" t="s">
        <v>140</v>
      </c>
      <c r="L1041" s="14" t="s">
        <v>5642</v>
      </c>
      <c r="M1041" s="14" t="s">
        <v>7325</v>
      </c>
      <c r="N1041" s="14">
        <v>360.76</v>
      </c>
      <c r="O1041" s="14" t="s">
        <v>7326</v>
      </c>
      <c r="P1041" s="14" t="s">
        <v>7327</v>
      </c>
      <c r="Q1041" s="14" t="s">
        <v>146</v>
      </c>
      <c r="R1041" s="14" t="s">
        <v>7328</v>
      </c>
      <c r="S1041" s="14" t="s">
        <v>850</v>
      </c>
      <c r="T1041" s="14" t="s">
        <v>851</v>
      </c>
      <c r="U1041" s="14" t="s">
        <v>852</v>
      </c>
      <c r="V1041" s="48">
        <f>SUMIF(Data!$E:$E,$I1041,Data!$AI:$AI)</f>
        <v>0</v>
      </c>
    </row>
    <row r="1042" spans="1:22" x14ac:dyDescent="0.25">
      <c r="A1042" s="47" t="s">
        <v>7140</v>
      </c>
      <c r="B1042" s="47" t="s">
        <v>123</v>
      </c>
      <c r="C1042" s="47" t="s">
        <v>7329</v>
      </c>
      <c r="D1042" s="47">
        <v>0.67315784824900304</v>
      </c>
      <c r="E1042" s="48">
        <f>SUMIF(Data!$E:$E,$C1042,Data!$AI:$AI)</f>
        <v>0</v>
      </c>
      <c r="I1042" s="14" t="s">
        <v>7330</v>
      </c>
      <c r="J1042" s="14" t="s">
        <v>7331</v>
      </c>
      <c r="K1042" s="14" t="s">
        <v>140</v>
      </c>
      <c r="L1042" s="14" t="s">
        <v>5642</v>
      </c>
      <c r="M1042" s="14" t="s">
        <v>7332</v>
      </c>
      <c r="N1042" s="14">
        <v>209.54599999999999</v>
      </c>
      <c r="O1042" s="14" t="s">
        <v>7333</v>
      </c>
      <c r="P1042" s="14" t="s">
        <v>7334</v>
      </c>
      <c r="Q1042" s="14" t="s">
        <v>211</v>
      </c>
      <c r="R1042" s="14" t="s">
        <v>7335</v>
      </c>
      <c r="S1042" s="14" t="s">
        <v>850</v>
      </c>
      <c r="T1042" s="14" t="s">
        <v>851</v>
      </c>
      <c r="U1042" s="14" t="s">
        <v>852</v>
      </c>
      <c r="V1042" s="48">
        <f>SUMIF(Data!$E:$E,$I1042,Data!$AI:$AI)</f>
        <v>0</v>
      </c>
    </row>
    <row r="1043" spans="1:22" x14ac:dyDescent="0.25">
      <c r="A1043" s="47" t="s">
        <v>7140</v>
      </c>
      <c r="B1043" s="47" t="s">
        <v>123</v>
      </c>
      <c r="C1043" s="47" t="s">
        <v>7336</v>
      </c>
      <c r="D1043" s="47">
        <v>0.131111152619276</v>
      </c>
      <c r="E1043" s="48">
        <f>SUMIF(Data!$E:$E,$C1043,Data!$AI:$AI)</f>
        <v>0</v>
      </c>
      <c r="I1043" s="14">
        <v>6201</v>
      </c>
      <c r="J1043" s="14" t="s">
        <v>7337</v>
      </c>
      <c r="K1043" s="14" t="s">
        <v>140</v>
      </c>
      <c r="L1043" s="14" t="s">
        <v>5642</v>
      </c>
      <c r="M1043" s="14" t="s">
        <v>7338</v>
      </c>
      <c r="N1043" s="14">
        <v>75.763000000000005</v>
      </c>
      <c r="O1043" s="14" t="s">
        <v>7339</v>
      </c>
      <c r="P1043" s="14" t="s">
        <v>7340</v>
      </c>
      <c r="Q1043" s="14" t="s">
        <v>165</v>
      </c>
      <c r="R1043" s="14" t="s">
        <v>7341</v>
      </c>
      <c r="S1043" s="14" t="s">
        <v>444</v>
      </c>
      <c r="T1043" s="14" t="s">
        <v>445</v>
      </c>
      <c r="U1043" s="14" t="s">
        <v>446</v>
      </c>
      <c r="V1043" s="48">
        <f>SUMIF(Data!$E:$E,$I1043,Data!$AI:$AI)</f>
        <v>0</v>
      </c>
    </row>
    <row r="1044" spans="1:22" x14ac:dyDescent="0.25">
      <c r="A1044" s="47" t="s">
        <v>7140</v>
      </c>
      <c r="B1044" s="47" t="s">
        <v>123</v>
      </c>
      <c r="C1044" s="47" t="s">
        <v>7342</v>
      </c>
      <c r="D1044" s="47">
        <v>2.2521488354127001E-2</v>
      </c>
      <c r="E1044" s="48">
        <f>SUMIF(Data!$E:$E,$C1044,Data!$AI:$AI)</f>
        <v>0</v>
      </c>
      <c r="I1044" s="14">
        <v>8953</v>
      </c>
      <c r="J1044" s="14" t="s">
        <v>7343</v>
      </c>
      <c r="K1044" s="14" t="s">
        <v>140</v>
      </c>
      <c r="L1044" s="14" t="s">
        <v>5642</v>
      </c>
      <c r="M1044" s="14" t="s">
        <v>7344</v>
      </c>
      <c r="N1044" s="14">
        <v>2.0739999999999998</v>
      </c>
      <c r="O1044" s="14" t="s">
        <v>7345</v>
      </c>
      <c r="P1044" s="14" t="s">
        <v>7346</v>
      </c>
      <c r="Q1044" s="14" t="s">
        <v>809</v>
      </c>
      <c r="R1044" s="14" t="s">
        <v>7347</v>
      </c>
      <c r="S1044" s="14" t="s">
        <v>444</v>
      </c>
      <c r="T1044" s="14" t="s">
        <v>445</v>
      </c>
      <c r="U1044" s="14" t="s">
        <v>446</v>
      </c>
      <c r="V1044" s="48">
        <f>SUMIF(Data!$E:$E,$I1044,Data!$AI:$AI)</f>
        <v>0</v>
      </c>
    </row>
    <row r="1045" spans="1:22" x14ac:dyDescent="0.25">
      <c r="A1045" s="47" t="s">
        <v>7140</v>
      </c>
      <c r="B1045" s="47" t="s">
        <v>123</v>
      </c>
      <c r="C1045" s="47" t="s">
        <v>7348</v>
      </c>
      <c r="D1045" s="47">
        <v>0.41252971017554202</v>
      </c>
      <c r="E1045" s="48">
        <f>SUMIF(Data!$E:$E,$C1045,Data!$AI:$AI)</f>
        <v>0</v>
      </c>
      <c r="I1045" s="14">
        <v>8952</v>
      </c>
      <c r="J1045" s="14" t="s">
        <v>7349</v>
      </c>
      <c r="K1045" s="14" t="s">
        <v>140</v>
      </c>
      <c r="L1045" s="14" t="s">
        <v>5642</v>
      </c>
      <c r="M1045" s="14" t="s">
        <v>7350</v>
      </c>
      <c r="N1045" s="14">
        <v>663</v>
      </c>
      <c r="O1045" s="14" t="s">
        <v>7351</v>
      </c>
      <c r="P1045" s="14" t="s">
        <v>7352</v>
      </c>
      <c r="Q1045" s="14" t="s">
        <v>809</v>
      </c>
      <c r="R1045" s="14" t="s">
        <v>7353</v>
      </c>
      <c r="S1045" s="14" t="s">
        <v>444</v>
      </c>
      <c r="T1045" s="14" t="s">
        <v>445</v>
      </c>
      <c r="U1045" s="14" t="s">
        <v>446</v>
      </c>
      <c r="V1045" s="48">
        <f>SUMIF(Data!$E:$E,$I1045,Data!$AI:$AI)</f>
        <v>0</v>
      </c>
    </row>
    <row r="1046" spans="1:22" x14ac:dyDescent="0.25">
      <c r="A1046" s="47" t="s">
        <v>7140</v>
      </c>
      <c r="B1046" s="47" t="s">
        <v>123</v>
      </c>
      <c r="C1046" s="47" t="s">
        <v>7354</v>
      </c>
      <c r="D1046" s="47">
        <v>0.640714280652112</v>
      </c>
      <c r="E1046" s="48">
        <f>SUMIF(Data!$E:$E,$C1046,Data!$AI:$AI)</f>
        <v>0</v>
      </c>
      <c r="I1046" s="14" t="s">
        <v>7355</v>
      </c>
      <c r="J1046" s="14" t="s">
        <v>7356</v>
      </c>
      <c r="K1046" s="14" t="s">
        <v>140</v>
      </c>
      <c r="L1046" s="14" t="s">
        <v>5642</v>
      </c>
      <c r="M1046" s="14" t="s">
        <v>7357</v>
      </c>
      <c r="N1046" s="14">
        <v>62.591999999999999</v>
      </c>
      <c r="O1046" s="14" t="s">
        <v>7358</v>
      </c>
      <c r="P1046" s="14" t="s">
        <v>7359</v>
      </c>
      <c r="Q1046" s="14" t="s">
        <v>419</v>
      </c>
      <c r="R1046" s="14" t="s">
        <v>7360</v>
      </c>
      <c r="S1046" s="14" t="s">
        <v>195</v>
      </c>
      <c r="T1046" s="14" t="s">
        <v>149</v>
      </c>
      <c r="U1046" s="14" t="s">
        <v>113</v>
      </c>
      <c r="V1046" s="48">
        <f>SUMIF(Data!$E:$E,$I1046,Data!$AI:$AI)</f>
        <v>0</v>
      </c>
    </row>
    <row r="1047" spans="1:22" x14ac:dyDescent="0.25">
      <c r="A1047" s="47" t="s">
        <v>7140</v>
      </c>
      <c r="B1047" s="47" t="s">
        <v>123</v>
      </c>
      <c r="C1047" s="47" t="s">
        <v>4535</v>
      </c>
      <c r="D1047" s="47">
        <v>4.4527512411265999E-2</v>
      </c>
      <c r="E1047" s="48">
        <f>SUMIF(Data!$E:$E,$C1047,Data!$AI:$AI)</f>
        <v>0</v>
      </c>
      <c r="I1047" s="14" t="s">
        <v>7361</v>
      </c>
      <c r="J1047" s="14" t="s">
        <v>7362</v>
      </c>
      <c r="K1047" s="14" t="s">
        <v>140</v>
      </c>
      <c r="L1047" s="14" t="s">
        <v>5642</v>
      </c>
      <c r="M1047" s="14" t="s">
        <v>7363</v>
      </c>
      <c r="N1047" s="14">
        <v>174.15899999999999</v>
      </c>
      <c r="O1047" s="14" t="s">
        <v>7364</v>
      </c>
      <c r="P1047" s="14" t="s">
        <v>7365</v>
      </c>
      <c r="Q1047" s="14" t="s">
        <v>193</v>
      </c>
      <c r="R1047" s="14" t="s">
        <v>7366</v>
      </c>
      <c r="S1047" s="14" t="s">
        <v>195</v>
      </c>
      <c r="T1047" s="14" t="s">
        <v>149</v>
      </c>
      <c r="U1047" s="14" t="s">
        <v>113</v>
      </c>
      <c r="V1047" s="48">
        <f>SUMIF(Data!$E:$E,$I1047,Data!$AI:$AI)</f>
        <v>0</v>
      </c>
    </row>
    <row r="1048" spans="1:22" x14ac:dyDescent="0.25">
      <c r="A1048" s="47" t="s">
        <v>7140</v>
      </c>
      <c r="B1048" s="47" t="s">
        <v>123</v>
      </c>
      <c r="C1048" s="47" t="s">
        <v>7367</v>
      </c>
      <c r="D1048" s="47">
        <v>0.41085833567000801</v>
      </c>
      <c r="E1048" s="48">
        <f>SUMIF(Data!$E:$E,$C1048,Data!$AI:$AI)</f>
        <v>0</v>
      </c>
      <c r="I1048" s="14" t="s">
        <v>7368</v>
      </c>
      <c r="J1048" s="14" t="s">
        <v>7369</v>
      </c>
      <c r="K1048" s="14" t="s">
        <v>140</v>
      </c>
      <c r="L1048" s="14" t="s">
        <v>5642</v>
      </c>
      <c r="M1048" s="14" t="s">
        <v>7370</v>
      </c>
      <c r="N1048" s="14">
        <v>65.948999999999998</v>
      </c>
      <c r="O1048" s="14" t="s">
        <v>7371</v>
      </c>
      <c r="P1048" s="14" t="s">
        <v>7372</v>
      </c>
      <c r="Q1048" s="14" t="s">
        <v>737</v>
      </c>
      <c r="R1048" s="14" t="s">
        <v>7373</v>
      </c>
      <c r="S1048" s="14" t="s">
        <v>479</v>
      </c>
      <c r="T1048" s="14" t="s">
        <v>480</v>
      </c>
      <c r="U1048" s="14" t="s">
        <v>481</v>
      </c>
      <c r="V1048" s="48">
        <f>SUMIF(Data!$E:$E,$I1048,Data!$AI:$AI)</f>
        <v>0</v>
      </c>
    </row>
    <row r="1049" spans="1:22" x14ac:dyDescent="0.25">
      <c r="A1049" s="47" t="s">
        <v>7140</v>
      </c>
      <c r="B1049" s="47" t="s">
        <v>123</v>
      </c>
      <c r="C1049" s="47" t="s">
        <v>7374</v>
      </c>
      <c r="D1049" s="47">
        <v>0.66342865650266603</v>
      </c>
      <c r="E1049" s="48">
        <f>SUMIF(Data!$E:$E,$C1049,Data!$AI:$AI)</f>
        <v>0</v>
      </c>
      <c r="I1049" s="14" t="s">
        <v>7375</v>
      </c>
      <c r="J1049" s="14" t="s">
        <v>7376</v>
      </c>
      <c r="K1049" s="14" t="s">
        <v>140</v>
      </c>
      <c r="L1049" s="14" t="s">
        <v>5642</v>
      </c>
      <c r="M1049" s="14" t="s">
        <v>7377</v>
      </c>
      <c r="N1049" s="14">
        <v>11.923999999999999</v>
      </c>
      <c r="O1049" s="14" t="s">
        <v>7378</v>
      </c>
      <c r="P1049" s="14" t="s">
        <v>7379</v>
      </c>
      <c r="Q1049" s="14" t="s">
        <v>419</v>
      </c>
      <c r="R1049" s="14" t="s">
        <v>7380</v>
      </c>
      <c r="S1049" s="14" t="s">
        <v>195</v>
      </c>
      <c r="T1049" s="14" t="s">
        <v>149</v>
      </c>
      <c r="U1049" s="14" t="s">
        <v>113</v>
      </c>
      <c r="V1049" s="48">
        <f>SUMIF(Data!$E:$E,$I1049,Data!$AI:$AI)</f>
        <v>0</v>
      </c>
    </row>
    <row r="1050" spans="1:22" x14ac:dyDescent="0.25">
      <c r="A1050" s="47" t="s">
        <v>7140</v>
      </c>
      <c r="B1050" s="47" t="s">
        <v>123</v>
      </c>
      <c r="C1050" s="47" t="s">
        <v>7381</v>
      </c>
      <c r="D1050" s="47">
        <v>0.39450527537712599</v>
      </c>
      <c r="E1050" s="48">
        <f>SUMIF(Data!$E:$E,$C1050,Data!$AI:$AI)</f>
        <v>0</v>
      </c>
      <c r="I1050" s="14" t="s">
        <v>7382</v>
      </c>
      <c r="J1050" s="14" t="s">
        <v>7383</v>
      </c>
      <c r="K1050" s="14" t="s">
        <v>140</v>
      </c>
      <c r="L1050" s="14" t="s">
        <v>5642</v>
      </c>
      <c r="M1050" s="14" t="s">
        <v>7384</v>
      </c>
      <c r="N1050" s="14">
        <v>64.177000000000007</v>
      </c>
      <c r="O1050" s="14" t="s">
        <v>7385</v>
      </c>
      <c r="P1050" s="14" t="s">
        <v>7386</v>
      </c>
      <c r="Q1050" s="14" t="s">
        <v>146</v>
      </c>
      <c r="R1050" s="14" t="s">
        <v>7387</v>
      </c>
      <c r="S1050" s="14" t="s">
        <v>148</v>
      </c>
      <c r="T1050" s="14" t="s">
        <v>149</v>
      </c>
      <c r="U1050" s="14" t="s">
        <v>113</v>
      </c>
      <c r="V1050" s="48">
        <f>SUMIF(Data!$E:$E,$I1050,Data!$AI:$AI)</f>
        <v>0</v>
      </c>
    </row>
    <row r="1051" spans="1:22" x14ac:dyDescent="0.25">
      <c r="A1051" s="47" t="s">
        <v>7140</v>
      </c>
      <c r="B1051" s="47" t="s">
        <v>123</v>
      </c>
      <c r="C1051" s="47" t="s">
        <v>7388</v>
      </c>
      <c r="D1051" s="47">
        <v>7.5103478902642004E-2</v>
      </c>
      <c r="E1051" s="48">
        <f>SUMIF(Data!$E:$E,$C1051,Data!$AI:$AI)</f>
        <v>0</v>
      </c>
      <c r="I1051" s="14">
        <v>4151</v>
      </c>
      <c r="J1051" s="14" t="s">
        <v>7389</v>
      </c>
      <c r="K1051" s="14" t="s">
        <v>140</v>
      </c>
      <c r="L1051" s="14" t="s">
        <v>5642</v>
      </c>
      <c r="M1051" s="14" t="s">
        <v>7390</v>
      </c>
      <c r="N1051" s="14">
        <v>178.31200000000001</v>
      </c>
      <c r="O1051" s="14" t="s">
        <v>7391</v>
      </c>
      <c r="P1051" s="14" t="s">
        <v>7392</v>
      </c>
      <c r="Q1051" s="14" t="s">
        <v>211</v>
      </c>
      <c r="R1051" s="14" t="s">
        <v>7393</v>
      </c>
      <c r="S1051" s="14" t="s">
        <v>444</v>
      </c>
      <c r="T1051" s="14" t="s">
        <v>445</v>
      </c>
      <c r="U1051" s="14" t="s">
        <v>446</v>
      </c>
      <c r="V1051" s="48">
        <f>SUMIF(Data!$E:$E,$I1051,Data!$AI:$AI)</f>
        <v>0</v>
      </c>
    </row>
    <row r="1052" spans="1:22" x14ac:dyDescent="0.25">
      <c r="A1052" s="47" t="s">
        <v>7140</v>
      </c>
      <c r="B1052" s="47" t="s">
        <v>123</v>
      </c>
      <c r="C1052" s="47" t="s">
        <v>7394</v>
      </c>
      <c r="D1052" s="47">
        <v>0.29478397149381702</v>
      </c>
      <c r="E1052" s="48">
        <f>SUMIF(Data!$E:$E,$C1052,Data!$AI:$AI)</f>
        <v>0</v>
      </c>
      <c r="I1052" s="14" t="s">
        <v>7395</v>
      </c>
      <c r="J1052" s="14" t="s">
        <v>7396</v>
      </c>
      <c r="K1052" s="14" t="s">
        <v>140</v>
      </c>
      <c r="L1052" s="14" t="s">
        <v>5642</v>
      </c>
      <c r="M1052" s="14" t="s">
        <v>7397</v>
      </c>
      <c r="N1052" s="14">
        <v>117.532</v>
      </c>
      <c r="O1052" s="14" t="s">
        <v>7398</v>
      </c>
      <c r="P1052" s="14" t="s">
        <v>7399</v>
      </c>
      <c r="Q1052" s="14" t="s">
        <v>737</v>
      </c>
      <c r="R1052" s="14" t="s">
        <v>7400</v>
      </c>
      <c r="S1052" s="14" t="s">
        <v>2413</v>
      </c>
      <c r="T1052" s="14" t="s">
        <v>1285</v>
      </c>
      <c r="U1052" s="14" t="s">
        <v>528</v>
      </c>
      <c r="V1052" s="48">
        <f>SUMIF(Data!$E:$E,$I1052,Data!$AI:$AI)</f>
        <v>0</v>
      </c>
    </row>
    <row r="1053" spans="1:22" x14ac:dyDescent="0.25">
      <c r="A1053" s="47" t="s">
        <v>7140</v>
      </c>
      <c r="B1053" s="47" t="s">
        <v>123</v>
      </c>
      <c r="C1053" s="47" t="s">
        <v>7401</v>
      </c>
      <c r="D1053" s="47">
        <v>1.62563066192056</v>
      </c>
      <c r="E1053" s="48">
        <f>SUMIF(Data!$E:$E,$C1053,Data!$AI:$AI)</f>
        <v>0</v>
      </c>
      <c r="I1053" s="14" t="s">
        <v>7402</v>
      </c>
      <c r="J1053" s="14" t="s">
        <v>7403</v>
      </c>
      <c r="K1053" s="14" t="s">
        <v>140</v>
      </c>
      <c r="L1053" s="14" t="s">
        <v>5642</v>
      </c>
      <c r="M1053" s="14" t="s">
        <v>7404</v>
      </c>
      <c r="N1053" s="14">
        <v>37.164999999999999</v>
      </c>
      <c r="O1053" s="14" t="s">
        <v>7405</v>
      </c>
      <c r="P1053" s="14" t="s">
        <v>7406</v>
      </c>
      <c r="Q1053" s="14" t="s">
        <v>419</v>
      </c>
      <c r="R1053" s="14" t="s">
        <v>7407</v>
      </c>
      <c r="S1053" s="14" t="s">
        <v>563</v>
      </c>
      <c r="T1053" s="14" t="s">
        <v>564</v>
      </c>
      <c r="U1053" s="14" t="s">
        <v>528</v>
      </c>
      <c r="V1053" s="48">
        <f>SUMIF(Data!$E:$E,$I1053,Data!$AI:$AI)</f>
        <v>0</v>
      </c>
    </row>
    <row r="1054" spans="1:22" x14ac:dyDescent="0.25">
      <c r="A1054" s="47" t="s">
        <v>7140</v>
      </c>
      <c r="B1054" s="47" t="s">
        <v>123</v>
      </c>
      <c r="C1054" s="47" t="s">
        <v>7408</v>
      </c>
      <c r="D1054" s="47">
        <v>0.33212188593009401</v>
      </c>
      <c r="E1054" s="48">
        <f>SUMIF(Data!$E:$E,$C1054,Data!$AI:$AI)</f>
        <v>0</v>
      </c>
      <c r="I1054" s="14">
        <v>9007</v>
      </c>
      <c r="J1054" s="14" t="s">
        <v>7409</v>
      </c>
      <c r="K1054" s="14" t="s">
        <v>140</v>
      </c>
      <c r="L1054" s="14" t="s">
        <v>5642</v>
      </c>
      <c r="M1054" s="14" t="s">
        <v>7410</v>
      </c>
      <c r="N1054" s="14">
        <v>185.00399999999999</v>
      </c>
      <c r="O1054" s="14" t="s">
        <v>7411</v>
      </c>
      <c r="P1054" s="14" t="s">
        <v>7412</v>
      </c>
      <c r="Q1054" s="14" t="s">
        <v>419</v>
      </c>
      <c r="R1054" s="14" t="s">
        <v>7413</v>
      </c>
      <c r="S1054" s="14" t="s">
        <v>444</v>
      </c>
      <c r="T1054" s="14" t="s">
        <v>445</v>
      </c>
      <c r="U1054" s="14" t="s">
        <v>446</v>
      </c>
      <c r="V1054" s="48">
        <f>SUMIF(Data!$E:$E,$I1054,Data!$AI:$AI)</f>
        <v>0</v>
      </c>
    </row>
    <row r="1055" spans="1:22" x14ac:dyDescent="0.25">
      <c r="A1055" s="47" t="s">
        <v>7140</v>
      </c>
      <c r="B1055" s="47" t="s">
        <v>123</v>
      </c>
      <c r="C1055" s="47" t="s">
        <v>7414</v>
      </c>
      <c r="D1055" s="47">
        <v>7.2034907394476003E-2</v>
      </c>
      <c r="E1055" s="48">
        <f>SUMIF(Data!$E:$E,$C1055,Data!$AI:$AI)</f>
        <v>0</v>
      </c>
      <c r="I1055" s="14" t="s">
        <v>7415</v>
      </c>
      <c r="J1055" s="14" t="s">
        <v>7416</v>
      </c>
      <c r="K1055" s="14" t="s">
        <v>140</v>
      </c>
      <c r="L1055" s="14" t="s">
        <v>5642</v>
      </c>
      <c r="M1055" s="14" t="s">
        <v>7417</v>
      </c>
      <c r="N1055" s="14">
        <v>274.68299999999999</v>
      </c>
      <c r="O1055" s="14" t="s">
        <v>7418</v>
      </c>
      <c r="P1055" s="14" t="s">
        <v>7419</v>
      </c>
      <c r="Q1055" s="14" t="s">
        <v>737</v>
      </c>
      <c r="R1055" s="14" t="s">
        <v>7420</v>
      </c>
      <c r="S1055" s="14" t="s">
        <v>850</v>
      </c>
      <c r="T1055" s="14" t="s">
        <v>851</v>
      </c>
      <c r="U1055" s="14" t="s">
        <v>852</v>
      </c>
      <c r="V1055" s="48">
        <f>SUMIF(Data!$E:$E,$I1055,Data!$AI:$AI)</f>
        <v>0</v>
      </c>
    </row>
    <row r="1056" spans="1:22" x14ac:dyDescent="0.25">
      <c r="A1056" s="47" t="s">
        <v>7140</v>
      </c>
      <c r="B1056" s="47" t="s">
        <v>123</v>
      </c>
      <c r="C1056" s="47" t="s">
        <v>1774</v>
      </c>
      <c r="D1056" s="47">
        <v>1.4805516173226001</v>
      </c>
      <c r="E1056" s="48">
        <f>SUMIF(Data!$E:$E,$C1056,Data!$AI:$AI)</f>
        <v>0</v>
      </c>
      <c r="I1056" s="14" t="s">
        <v>7421</v>
      </c>
      <c r="J1056" s="14" t="s">
        <v>7422</v>
      </c>
      <c r="K1056" s="14" t="s">
        <v>140</v>
      </c>
      <c r="L1056" s="14" t="s">
        <v>5642</v>
      </c>
      <c r="M1056" s="14" t="s">
        <v>7423</v>
      </c>
      <c r="N1056" s="14">
        <v>79.841999999999999</v>
      </c>
      <c r="O1056" s="14" t="s">
        <v>7424</v>
      </c>
      <c r="P1056" s="14" t="s">
        <v>7425</v>
      </c>
      <c r="Q1056" s="14" t="s">
        <v>146</v>
      </c>
      <c r="R1056" s="14" t="s">
        <v>7426</v>
      </c>
      <c r="S1056" s="14" t="s">
        <v>148</v>
      </c>
      <c r="T1056" s="14" t="s">
        <v>149</v>
      </c>
      <c r="U1056" s="14" t="s">
        <v>113</v>
      </c>
      <c r="V1056" s="48">
        <f>SUMIF(Data!$E:$E,$I1056,Data!$AI:$AI)</f>
        <v>0</v>
      </c>
    </row>
    <row r="1057" spans="1:22" x14ac:dyDescent="0.25">
      <c r="A1057" s="47" t="s">
        <v>7140</v>
      </c>
      <c r="B1057" s="47" t="s">
        <v>123</v>
      </c>
      <c r="C1057" s="47" t="s">
        <v>7427</v>
      </c>
      <c r="D1057" s="47">
        <v>7.0563358762369993E-2</v>
      </c>
      <c r="E1057" s="48">
        <f>SUMIF(Data!$E:$E,$C1057,Data!$AI:$AI)</f>
        <v>0</v>
      </c>
      <c r="I1057" s="14" t="s">
        <v>7428</v>
      </c>
      <c r="J1057" s="14" t="s">
        <v>7429</v>
      </c>
      <c r="K1057" s="14" t="s">
        <v>140</v>
      </c>
      <c r="L1057" s="14" t="s">
        <v>5642</v>
      </c>
      <c r="M1057" s="14" t="s">
        <v>7430</v>
      </c>
      <c r="N1057" s="14">
        <v>107.52200000000001</v>
      </c>
      <c r="O1057" s="14" t="s">
        <v>7431</v>
      </c>
      <c r="P1057" s="14" t="s">
        <v>7432</v>
      </c>
      <c r="Q1057" s="14" t="s">
        <v>419</v>
      </c>
      <c r="R1057" s="14" t="s">
        <v>7433</v>
      </c>
      <c r="S1057" s="14" t="s">
        <v>148</v>
      </c>
      <c r="T1057" s="14" t="s">
        <v>149</v>
      </c>
      <c r="U1057" s="14" t="s">
        <v>113</v>
      </c>
      <c r="V1057" s="48">
        <f>SUMIF(Data!$E:$E,$I1057,Data!$AI:$AI)</f>
        <v>0</v>
      </c>
    </row>
    <row r="1058" spans="1:22" x14ac:dyDescent="0.25">
      <c r="A1058" s="47" t="s">
        <v>7140</v>
      </c>
      <c r="B1058" s="47" t="s">
        <v>123</v>
      </c>
      <c r="C1058" s="47" t="s">
        <v>7434</v>
      </c>
      <c r="D1058" s="47">
        <v>1.13419309622882</v>
      </c>
      <c r="E1058" s="48">
        <f>SUMIF(Data!$E:$E,$C1058,Data!$AI:$AI)</f>
        <v>0</v>
      </c>
      <c r="I1058" s="14" t="s">
        <v>7435</v>
      </c>
      <c r="J1058" s="14" t="s">
        <v>7436</v>
      </c>
      <c r="K1058" s="14" t="s">
        <v>140</v>
      </c>
      <c r="L1058" s="14" t="s">
        <v>5642</v>
      </c>
      <c r="M1058" s="14" t="s">
        <v>7437</v>
      </c>
      <c r="N1058" s="14">
        <v>70.933000000000007</v>
      </c>
      <c r="O1058" s="14" t="s">
        <v>7438</v>
      </c>
      <c r="P1058" s="14" t="s">
        <v>7439</v>
      </c>
      <c r="Q1058" s="14" t="s">
        <v>419</v>
      </c>
      <c r="R1058" s="14" t="s">
        <v>7440</v>
      </c>
      <c r="S1058" s="14" t="s">
        <v>195</v>
      </c>
      <c r="T1058" s="14" t="s">
        <v>646</v>
      </c>
      <c r="U1058" s="14" t="s">
        <v>113</v>
      </c>
      <c r="V1058" s="48">
        <f>SUMIF(Data!$E:$E,$I1058,Data!$AI:$AI)</f>
        <v>0</v>
      </c>
    </row>
    <row r="1059" spans="1:22" x14ac:dyDescent="0.25">
      <c r="A1059" s="47" t="s">
        <v>7140</v>
      </c>
      <c r="B1059" s="47" t="s">
        <v>123</v>
      </c>
      <c r="C1059" s="47" t="s">
        <v>7441</v>
      </c>
      <c r="D1059" s="47">
        <v>0.242017668279117</v>
      </c>
      <c r="E1059" s="48">
        <f>SUMIF(Data!$E:$E,$C1059,Data!$AI:$AI)</f>
        <v>0</v>
      </c>
      <c r="I1059" s="14" t="s">
        <v>7442</v>
      </c>
      <c r="J1059" s="14" t="s">
        <v>7443</v>
      </c>
      <c r="K1059" s="14" t="s">
        <v>140</v>
      </c>
      <c r="L1059" s="14" t="s">
        <v>5642</v>
      </c>
      <c r="M1059" s="14" t="s">
        <v>7444</v>
      </c>
      <c r="N1059" s="14">
        <v>23.727</v>
      </c>
      <c r="O1059" s="14" t="s">
        <v>7445</v>
      </c>
      <c r="P1059" s="14" t="s">
        <v>7446</v>
      </c>
      <c r="Q1059" s="14" t="s">
        <v>193</v>
      </c>
      <c r="R1059" s="14" t="s">
        <v>7447</v>
      </c>
      <c r="S1059" s="14" t="s">
        <v>6417</v>
      </c>
      <c r="T1059" s="14" t="s">
        <v>230</v>
      </c>
      <c r="U1059" s="14" t="s">
        <v>231</v>
      </c>
      <c r="V1059" s="48">
        <f>SUMIF(Data!$E:$E,$I1059,Data!$AI:$AI)</f>
        <v>0</v>
      </c>
    </row>
    <row r="1060" spans="1:22" x14ac:dyDescent="0.25">
      <c r="A1060" s="47" t="s">
        <v>7140</v>
      </c>
      <c r="B1060" s="47" t="s">
        <v>123</v>
      </c>
      <c r="C1060" s="47" t="s">
        <v>7448</v>
      </c>
      <c r="D1060" s="47">
        <v>0.73960154451216098</v>
      </c>
      <c r="E1060" s="48">
        <f>SUMIF(Data!$E:$E,$C1060,Data!$AI:$AI)</f>
        <v>0</v>
      </c>
      <c r="I1060" s="14" t="s">
        <v>7449</v>
      </c>
      <c r="J1060" s="14" t="s">
        <v>7450</v>
      </c>
      <c r="K1060" s="14" t="s">
        <v>140</v>
      </c>
      <c r="L1060" s="14" t="s">
        <v>5642</v>
      </c>
      <c r="M1060" s="14" t="s">
        <v>5466</v>
      </c>
      <c r="N1060" s="14">
        <v>512.577</v>
      </c>
      <c r="O1060" s="14" t="s">
        <v>7451</v>
      </c>
      <c r="P1060" s="14" t="s">
        <v>7452</v>
      </c>
      <c r="Q1060" s="14" t="s">
        <v>193</v>
      </c>
      <c r="R1060" s="14" t="s">
        <v>7453</v>
      </c>
      <c r="S1060" s="14" t="s">
        <v>5739</v>
      </c>
      <c r="T1060" s="14" t="s">
        <v>4834</v>
      </c>
      <c r="U1060" s="14" t="s">
        <v>5740</v>
      </c>
      <c r="V1060" s="48">
        <f>SUMIF(Data!$E:$E,$I1060,Data!$AI:$AI)</f>
        <v>0</v>
      </c>
    </row>
    <row r="1061" spans="1:22" x14ac:dyDescent="0.25">
      <c r="A1061" s="47" t="s">
        <v>7140</v>
      </c>
      <c r="B1061" s="47" t="s">
        <v>123</v>
      </c>
      <c r="C1061" s="47" t="s">
        <v>7454</v>
      </c>
      <c r="D1061" s="47">
        <v>0.70455443061288403</v>
      </c>
      <c r="E1061" s="48">
        <f>SUMIF(Data!$E:$E,$C1061,Data!$AI:$AI)</f>
        <v>0</v>
      </c>
      <c r="I1061" s="14">
        <v>6448</v>
      </c>
      <c r="J1061" s="14" t="s">
        <v>7455</v>
      </c>
      <c r="K1061" s="14" t="s">
        <v>140</v>
      </c>
      <c r="L1061" s="14" t="s">
        <v>5642</v>
      </c>
      <c r="M1061" s="14" t="s">
        <v>7456</v>
      </c>
      <c r="N1061" s="14">
        <v>203</v>
      </c>
      <c r="O1061" s="14" t="s">
        <v>7457</v>
      </c>
      <c r="P1061" s="14" t="s">
        <v>7458</v>
      </c>
      <c r="Q1061" s="14" t="s">
        <v>146</v>
      </c>
      <c r="R1061" s="14" t="s">
        <v>7459</v>
      </c>
      <c r="S1061" s="14" t="s">
        <v>444</v>
      </c>
      <c r="T1061" s="14" t="s">
        <v>445</v>
      </c>
      <c r="U1061" s="14" t="s">
        <v>446</v>
      </c>
      <c r="V1061" s="48">
        <f>SUMIF(Data!$E:$E,$I1061,Data!$AI:$AI)</f>
        <v>0</v>
      </c>
    </row>
    <row r="1062" spans="1:22" x14ac:dyDescent="0.25">
      <c r="A1062" s="47" t="s">
        <v>7140</v>
      </c>
      <c r="B1062" s="47" t="s">
        <v>123</v>
      </c>
      <c r="C1062" s="47" t="s">
        <v>7460</v>
      </c>
      <c r="D1062" s="47">
        <v>0.90321126372028704</v>
      </c>
      <c r="E1062" s="48">
        <f>SUMIF(Data!$E:$E,$C1062,Data!$AI:$AI)</f>
        <v>0</v>
      </c>
      <c r="I1062" s="14" t="s">
        <v>7461</v>
      </c>
      <c r="J1062" s="14" t="s">
        <v>7462</v>
      </c>
      <c r="K1062" s="14" t="s">
        <v>140</v>
      </c>
      <c r="L1062" s="14" t="s">
        <v>5642</v>
      </c>
      <c r="M1062" s="14" t="s">
        <v>7463</v>
      </c>
      <c r="N1062" s="14">
        <v>33.725999999999999</v>
      </c>
      <c r="O1062" s="14" t="s">
        <v>7464</v>
      </c>
      <c r="P1062" s="14" t="s">
        <v>7465</v>
      </c>
      <c r="Q1062" s="14" t="s">
        <v>165</v>
      </c>
      <c r="R1062" s="14" t="s">
        <v>7466</v>
      </c>
      <c r="S1062" s="14" t="s">
        <v>195</v>
      </c>
      <c r="T1062" s="14" t="s">
        <v>149</v>
      </c>
      <c r="U1062" s="14" t="s">
        <v>113</v>
      </c>
      <c r="V1062" s="48">
        <f>SUMIF(Data!$E:$E,$I1062,Data!$AI:$AI)</f>
        <v>0</v>
      </c>
    </row>
    <row r="1063" spans="1:22" x14ac:dyDescent="0.25">
      <c r="A1063" s="47" t="s">
        <v>7140</v>
      </c>
      <c r="B1063" s="47" t="s">
        <v>123</v>
      </c>
      <c r="C1063" s="47" t="s">
        <v>5310</v>
      </c>
      <c r="D1063" s="47">
        <v>0.10927127551973199</v>
      </c>
      <c r="E1063" s="48">
        <f>SUMIF(Data!$E:$E,$C1063,Data!$AI:$AI)</f>
        <v>0</v>
      </c>
      <c r="I1063" s="14" t="s">
        <v>7467</v>
      </c>
      <c r="J1063" s="14" t="s">
        <v>7468</v>
      </c>
      <c r="K1063" s="14" t="s">
        <v>140</v>
      </c>
      <c r="L1063" s="14" t="s">
        <v>5642</v>
      </c>
      <c r="M1063" s="14" t="s">
        <v>7469</v>
      </c>
      <c r="N1063" s="14">
        <v>173.78</v>
      </c>
      <c r="O1063" s="14" t="s">
        <v>7470</v>
      </c>
      <c r="P1063" s="14" t="s">
        <v>7471</v>
      </c>
      <c r="Q1063" s="14" t="s">
        <v>697</v>
      </c>
      <c r="R1063" s="14" t="s">
        <v>7472</v>
      </c>
      <c r="S1063" s="14" t="s">
        <v>1167</v>
      </c>
      <c r="T1063" s="14" t="s">
        <v>1168</v>
      </c>
      <c r="U1063" s="14" t="s">
        <v>528</v>
      </c>
      <c r="V1063" s="48">
        <f>SUMIF(Data!$E:$E,$I1063,Data!$AI:$AI)</f>
        <v>0</v>
      </c>
    </row>
    <row r="1064" spans="1:22" x14ac:dyDescent="0.25">
      <c r="A1064" s="47" t="s">
        <v>7140</v>
      </c>
      <c r="B1064" s="47" t="s">
        <v>123</v>
      </c>
      <c r="C1064" s="47" t="s">
        <v>7473</v>
      </c>
      <c r="D1064" s="47">
        <v>4.3053266633275002E-2</v>
      </c>
      <c r="E1064" s="48">
        <f>SUMIF(Data!$E:$E,$C1064,Data!$AI:$AI)</f>
        <v>0</v>
      </c>
      <c r="I1064" s="14" t="s">
        <v>7474</v>
      </c>
      <c r="J1064" s="14" t="s">
        <v>7475</v>
      </c>
      <c r="K1064" s="14" t="s">
        <v>140</v>
      </c>
      <c r="L1064" s="14" t="s">
        <v>5642</v>
      </c>
      <c r="M1064" s="14" t="s">
        <v>7476</v>
      </c>
      <c r="N1064" s="14">
        <v>15.407999999999999</v>
      </c>
      <c r="O1064" s="14" t="s">
        <v>7477</v>
      </c>
      <c r="P1064" s="14" t="s">
        <v>7478</v>
      </c>
      <c r="Q1064" s="14" t="s">
        <v>165</v>
      </c>
      <c r="R1064" s="14" t="s">
        <v>7479</v>
      </c>
      <c r="S1064" s="14" t="s">
        <v>229</v>
      </c>
      <c r="T1064" s="14" t="s">
        <v>230</v>
      </c>
      <c r="U1064" s="14" t="s">
        <v>231</v>
      </c>
      <c r="V1064" s="48">
        <f>SUMIF(Data!$E:$E,$I1064,Data!$AI:$AI)</f>
        <v>0</v>
      </c>
    </row>
    <row r="1065" spans="1:22" x14ac:dyDescent="0.25">
      <c r="A1065" s="47" t="s">
        <v>7140</v>
      </c>
      <c r="B1065" s="47" t="s">
        <v>123</v>
      </c>
      <c r="C1065" s="47" t="s">
        <v>7480</v>
      </c>
      <c r="D1065" s="47">
        <v>0.44990527689153997</v>
      </c>
      <c r="E1065" s="48">
        <f>SUMIF(Data!$E:$E,$C1065,Data!$AI:$AI)</f>
        <v>0</v>
      </c>
      <c r="I1065" s="14" t="s">
        <v>112</v>
      </c>
      <c r="J1065" s="14" t="s">
        <v>7481</v>
      </c>
      <c r="K1065" s="14" t="s">
        <v>140</v>
      </c>
      <c r="L1065" s="14" t="s">
        <v>5642</v>
      </c>
      <c r="M1065" s="14" t="s">
        <v>7482</v>
      </c>
      <c r="N1065" s="14">
        <v>83.1</v>
      </c>
      <c r="O1065" s="14" t="s">
        <v>7483</v>
      </c>
      <c r="P1065" s="14" t="s">
        <v>7484</v>
      </c>
      <c r="Q1065" s="14" t="s">
        <v>419</v>
      </c>
      <c r="R1065" s="14" t="s">
        <v>7485</v>
      </c>
      <c r="S1065" s="14" t="s">
        <v>195</v>
      </c>
      <c r="T1065" s="14" t="s">
        <v>149</v>
      </c>
      <c r="U1065" s="14" t="s">
        <v>113</v>
      </c>
      <c r="V1065" s="48">
        <f>SUMIF(Data!$E:$E,$I1065,Data!$AI:$AI)</f>
        <v>0</v>
      </c>
    </row>
    <row r="1066" spans="1:22" x14ac:dyDescent="0.25">
      <c r="A1066" s="47" t="s">
        <v>7140</v>
      </c>
      <c r="B1066" s="47" t="s">
        <v>123</v>
      </c>
      <c r="C1066" s="47" t="s">
        <v>7486</v>
      </c>
      <c r="D1066" s="47">
        <v>1.2293548534399401</v>
      </c>
      <c r="E1066" s="48">
        <f>SUMIF(Data!$E:$E,$C1066,Data!$AI:$AI)</f>
        <v>0</v>
      </c>
      <c r="I1066" s="14">
        <v>9005</v>
      </c>
      <c r="J1066" s="14" t="s">
        <v>7487</v>
      </c>
      <c r="K1066" s="14" t="s">
        <v>140</v>
      </c>
      <c r="L1066" s="14" t="s">
        <v>5642</v>
      </c>
      <c r="M1066" s="14" t="s">
        <v>7488</v>
      </c>
      <c r="N1066" s="14">
        <v>237.191</v>
      </c>
      <c r="O1066" s="14" t="s">
        <v>7489</v>
      </c>
      <c r="P1066" s="14" t="s">
        <v>7490</v>
      </c>
      <c r="Q1066" s="14" t="s">
        <v>419</v>
      </c>
      <c r="R1066" s="14" t="s">
        <v>7491</v>
      </c>
      <c r="S1066" s="14" t="s">
        <v>444</v>
      </c>
      <c r="T1066" s="14" t="s">
        <v>445</v>
      </c>
      <c r="U1066" s="14" t="s">
        <v>446</v>
      </c>
      <c r="V1066" s="48">
        <f>SUMIF(Data!$E:$E,$I1066,Data!$AI:$AI)</f>
        <v>0</v>
      </c>
    </row>
    <row r="1067" spans="1:22" x14ac:dyDescent="0.25">
      <c r="A1067" s="47" t="s">
        <v>7140</v>
      </c>
      <c r="B1067" s="47" t="s">
        <v>123</v>
      </c>
      <c r="C1067" s="47" t="s">
        <v>7492</v>
      </c>
      <c r="D1067" s="47">
        <v>0.65966383648930005</v>
      </c>
      <c r="E1067" s="48">
        <f>SUMIF(Data!$E:$E,$C1067,Data!$AI:$AI)</f>
        <v>0</v>
      </c>
      <c r="I1067" s="14" t="s">
        <v>7493</v>
      </c>
      <c r="J1067" s="14" t="s">
        <v>7494</v>
      </c>
      <c r="K1067" s="14" t="s">
        <v>140</v>
      </c>
      <c r="L1067" s="14" t="s">
        <v>5642</v>
      </c>
      <c r="M1067" s="14" t="s">
        <v>7495</v>
      </c>
      <c r="N1067" s="14">
        <v>148.38</v>
      </c>
      <c r="O1067" s="14" t="s">
        <v>7496</v>
      </c>
      <c r="P1067" s="14" t="s">
        <v>7497</v>
      </c>
      <c r="Q1067" s="14" t="s">
        <v>211</v>
      </c>
      <c r="R1067" s="14" t="s">
        <v>7498</v>
      </c>
      <c r="S1067" s="14" t="s">
        <v>195</v>
      </c>
      <c r="T1067" s="14" t="s">
        <v>149</v>
      </c>
      <c r="U1067" s="14" t="s">
        <v>113</v>
      </c>
      <c r="V1067" s="48">
        <f>SUMIF(Data!$E:$E,$I1067,Data!$AI:$AI)</f>
        <v>0</v>
      </c>
    </row>
    <row r="1068" spans="1:22" x14ac:dyDescent="0.25">
      <c r="A1068" s="47" t="s">
        <v>7140</v>
      </c>
      <c r="B1068" s="47" t="s">
        <v>123</v>
      </c>
      <c r="C1068" s="47" t="s">
        <v>7499</v>
      </c>
      <c r="D1068" s="47">
        <v>0.21638835047319799</v>
      </c>
      <c r="E1068" s="48">
        <f>SUMIF(Data!$E:$E,$C1068,Data!$AI:$AI)</f>
        <v>0</v>
      </c>
      <c r="I1068" s="14" t="s">
        <v>7500</v>
      </c>
      <c r="J1068" s="14" t="s">
        <v>7501</v>
      </c>
      <c r="K1068" s="14" t="s">
        <v>140</v>
      </c>
      <c r="L1068" s="14" t="s">
        <v>5642</v>
      </c>
      <c r="M1068" s="14" t="s">
        <v>7502</v>
      </c>
      <c r="N1068" s="14">
        <v>89.613</v>
      </c>
      <c r="O1068" s="14" t="s">
        <v>7503</v>
      </c>
      <c r="P1068" s="14" t="s">
        <v>7504</v>
      </c>
      <c r="Q1068" s="14" t="s">
        <v>193</v>
      </c>
      <c r="R1068" s="14" t="s">
        <v>7505</v>
      </c>
      <c r="S1068" s="14" t="s">
        <v>195</v>
      </c>
      <c r="T1068" s="14" t="s">
        <v>149</v>
      </c>
      <c r="U1068" s="14" t="s">
        <v>113</v>
      </c>
      <c r="V1068" s="48">
        <f>SUMIF(Data!$E:$E,$I1068,Data!$AI:$AI)</f>
        <v>0</v>
      </c>
    </row>
    <row r="1069" spans="1:22" x14ac:dyDescent="0.25">
      <c r="A1069" s="47" t="s">
        <v>7140</v>
      </c>
      <c r="B1069" s="47" t="s">
        <v>123</v>
      </c>
      <c r="C1069" s="47" t="s">
        <v>7506</v>
      </c>
      <c r="D1069" s="47">
        <v>0.98138211026803501</v>
      </c>
      <c r="E1069" s="48">
        <f>SUMIF(Data!$E:$E,$C1069,Data!$AI:$AI)</f>
        <v>0</v>
      </c>
      <c r="I1069" s="14" t="s">
        <v>7507</v>
      </c>
      <c r="J1069" s="14" t="s">
        <v>7508</v>
      </c>
      <c r="K1069" s="14" t="s">
        <v>140</v>
      </c>
      <c r="L1069" s="14" t="s">
        <v>5642</v>
      </c>
      <c r="M1069" s="14" t="s">
        <v>7509</v>
      </c>
      <c r="N1069" s="14">
        <v>23.181999999999999</v>
      </c>
      <c r="O1069" s="14" t="s">
        <v>7510</v>
      </c>
      <c r="P1069" s="14" t="s">
        <v>7511</v>
      </c>
      <c r="Q1069" s="14" t="s">
        <v>809</v>
      </c>
      <c r="R1069" s="14" t="s">
        <v>7512</v>
      </c>
      <c r="S1069" s="14" t="s">
        <v>563</v>
      </c>
      <c r="T1069" s="14" t="s">
        <v>564</v>
      </c>
      <c r="U1069" s="14" t="s">
        <v>528</v>
      </c>
      <c r="V1069" s="48">
        <f>SUMIF(Data!$E:$E,$I1069,Data!$AI:$AI)</f>
        <v>0</v>
      </c>
    </row>
    <row r="1070" spans="1:22" x14ac:dyDescent="0.25">
      <c r="A1070" s="47" t="s">
        <v>7140</v>
      </c>
      <c r="B1070" s="47" t="s">
        <v>123</v>
      </c>
      <c r="C1070" s="47" t="s">
        <v>7513</v>
      </c>
      <c r="D1070" s="47">
        <v>3.1660328685859702</v>
      </c>
      <c r="E1070" s="48">
        <f>SUMIF(Data!$E:$E,$C1070,Data!$AI:$AI)</f>
        <v>0</v>
      </c>
      <c r="I1070" s="14" t="s">
        <v>7514</v>
      </c>
      <c r="J1070" s="14" t="s">
        <v>7515</v>
      </c>
      <c r="K1070" s="14" t="s">
        <v>140</v>
      </c>
      <c r="L1070" s="14" t="s">
        <v>5642</v>
      </c>
      <c r="M1070" s="14" t="s">
        <v>7516</v>
      </c>
      <c r="N1070" s="14">
        <v>116.452</v>
      </c>
      <c r="O1070" s="14" t="s">
        <v>7517</v>
      </c>
      <c r="P1070" s="14" t="s">
        <v>7518</v>
      </c>
      <c r="Q1070" s="14" t="s">
        <v>809</v>
      </c>
      <c r="R1070" s="14" t="s">
        <v>7519</v>
      </c>
      <c r="S1070" s="14" t="s">
        <v>563</v>
      </c>
      <c r="T1070" s="14" t="s">
        <v>564</v>
      </c>
      <c r="U1070" s="14" t="s">
        <v>528</v>
      </c>
      <c r="V1070" s="48">
        <f>SUMIF(Data!$E:$E,$I1070,Data!$AI:$AI)</f>
        <v>0</v>
      </c>
    </row>
    <row r="1071" spans="1:22" x14ac:dyDescent="0.25">
      <c r="A1071" s="47" t="s">
        <v>7140</v>
      </c>
      <c r="B1071" s="47" t="s">
        <v>123</v>
      </c>
      <c r="C1071" s="47" t="s">
        <v>7520</v>
      </c>
      <c r="D1071" s="47">
        <v>0.226306591825156</v>
      </c>
      <c r="E1071" s="48">
        <f>SUMIF(Data!$E:$E,$C1071,Data!$AI:$AI)</f>
        <v>0</v>
      </c>
      <c r="I1071" s="14" t="s">
        <v>7521</v>
      </c>
      <c r="J1071" s="14" t="s">
        <v>7522</v>
      </c>
      <c r="K1071" s="14" t="s">
        <v>140</v>
      </c>
      <c r="L1071" s="14" t="s">
        <v>5642</v>
      </c>
      <c r="M1071" s="14" t="s">
        <v>7523</v>
      </c>
      <c r="N1071" s="14">
        <v>82.186999999999998</v>
      </c>
      <c r="O1071" s="14" t="s">
        <v>7524</v>
      </c>
      <c r="P1071" s="14" t="s">
        <v>7525</v>
      </c>
      <c r="Q1071" s="14" t="s">
        <v>211</v>
      </c>
      <c r="R1071" s="14" t="s">
        <v>7526</v>
      </c>
      <c r="S1071" s="14" t="s">
        <v>850</v>
      </c>
      <c r="T1071" s="14" t="s">
        <v>851</v>
      </c>
      <c r="U1071" s="14" t="s">
        <v>852</v>
      </c>
      <c r="V1071" s="48">
        <f>SUMIF(Data!$E:$E,$I1071,Data!$AI:$AI)</f>
        <v>0</v>
      </c>
    </row>
    <row r="1072" spans="1:22" x14ac:dyDescent="0.25">
      <c r="A1072" s="47" t="s">
        <v>7140</v>
      </c>
      <c r="B1072" s="47" t="s">
        <v>123</v>
      </c>
      <c r="C1072" s="47" t="s">
        <v>7527</v>
      </c>
      <c r="D1072" s="47">
        <v>1.428044329402</v>
      </c>
      <c r="E1072" s="48">
        <f>SUMIF(Data!$E:$E,$C1072,Data!$AI:$AI)</f>
        <v>0</v>
      </c>
      <c r="I1072" s="14" t="s">
        <v>7528</v>
      </c>
      <c r="J1072" s="14" t="s">
        <v>7529</v>
      </c>
      <c r="K1072" s="14" t="s">
        <v>140</v>
      </c>
      <c r="L1072" s="14" t="s">
        <v>5642</v>
      </c>
      <c r="M1072" s="14" t="s">
        <v>7530</v>
      </c>
      <c r="N1072" s="14">
        <v>36.322000000000003</v>
      </c>
      <c r="O1072" s="14" t="s">
        <v>7531</v>
      </c>
      <c r="P1072" s="14" t="s">
        <v>7532</v>
      </c>
      <c r="Q1072" s="14" t="s">
        <v>809</v>
      </c>
      <c r="R1072" s="14" t="s">
        <v>7533</v>
      </c>
      <c r="S1072" s="14" t="s">
        <v>6417</v>
      </c>
      <c r="T1072" s="14" t="s">
        <v>230</v>
      </c>
      <c r="U1072" s="14" t="s">
        <v>231</v>
      </c>
      <c r="V1072" s="48">
        <f>SUMIF(Data!$E:$E,$I1072,Data!$AI:$AI)</f>
        <v>0</v>
      </c>
    </row>
    <row r="1073" spans="1:22" x14ac:dyDescent="0.25">
      <c r="A1073" s="47" t="s">
        <v>7140</v>
      </c>
      <c r="B1073" s="47" t="s">
        <v>123</v>
      </c>
      <c r="C1073" s="47" t="s">
        <v>7534</v>
      </c>
      <c r="D1073" s="47">
        <v>2.7879538859388102</v>
      </c>
      <c r="E1073" s="48">
        <f>SUMIF(Data!$E:$E,$C1073,Data!$AI:$AI)</f>
        <v>0</v>
      </c>
      <c r="I1073" s="14" t="s">
        <v>7535</v>
      </c>
      <c r="J1073" s="14" t="s">
        <v>7536</v>
      </c>
      <c r="K1073" s="14" t="s">
        <v>140</v>
      </c>
      <c r="L1073" s="14" t="s">
        <v>5642</v>
      </c>
      <c r="M1073" s="14" t="s">
        <v>7537</v>
      </c>
      <c r="N1073" s="14">
        <v>94.227999999999994</v>
      </c>
      <c r="O1073" s="14" t="s">
        <v>7538</v>
      </c>
      <c r="P1073" s="14" t="s">
        <v>7539</v>
      </c>
      <c r="Q1073" s="14" t="s">
        <v>165</v>
      </c>
      <c r="R1073" s="14" t="s">
        <v>7540</v>
      </c>
      <c r="S1073" s="14" t="s">
        <v>563</v>
      </c>
      <c r="T1073" s="14" t="s">
        <v>564</v>
      </c>
      <c r="U1073" s="14" t="s">
        <v>528</v>
      </c>
      <c r="V1073" s="48">
        <f>SUMIF(Data!$E:$E,$I1073,Data!$AI:$AI)</f>
        <v>0</v>
      </c>
    </row>
    <row r="1074" spans="1:22" x14ac:dyDescent="0.25">
      <c r="A1074" s="47" t="s">
        <v>7140</v>
      </c>
      <c r="B1074" s="47" t="s">
        <v>123</v>
      </c>
      <c r="C1074" s="47" t="s">
        <v>7541</v>
      </c>
      <c r="D1074" s="47">
        <v>0.95078983620453195</v>
      </c>
      <c r="E1074" s="48">
        <f>SUMIF(Data!$E:$E,$C1074,Data!$AI:$AI)</f>
        <v>0</v>
      </c>
      <c r="I1074" s="14" t="s">
        <v>7542</v>
      </c>
      <c r="J1074" s="14" t="s">
        <v>7543</v>
      </c>
      <c r="K1074" s="14" t="s">
        <v>140</v>
      </c>
      <c r="L1074" s="14" t="s">
        <v>5642</v>
      </c>
      <c r="M1074" s="14" t="s">
        <v>2124</v>
      </c>
      <c r="N1074" s="14">
        <v>162.21799999999999</v>
      </c>
      <c r="O1074" s="14" t="s">
        <v>7544</v>
      </c>
      <c r="P1074" s="14" t="s">
        <v>7545</v>
      </c>
      <c r="Q1074" s="14" t="s">
        <v>697</v>
      </c>
      <c r="R1074" s="14" t="s">
        <v>7546</v>
      </c>
      <c r="S1074" s="14" t="s">
        <v>1167</v>
      </c>
      <c r="T1074" s="14" t="s">
        <v>1168</v>
      </c>
      <c r="U1074" s="14" t="s">
        <v>528</v>
      </c>
      <c r="V1074" s="48">
        <f>SUMIF(Data!$E:$E,$I1074,Data!$AI:$AI)</f>
        <v>0</v>
      </c>
    </row>
    <row r="1075" spans="1:22" x14ac:dyDescent="0.25">
      <c r="A1075" s="47" t="s">
        <v>7140</v>
      </c>
      <c r="B1075" s="47" t="s">
        <v>123</v>
      </c>
      <c r="C1075" s="47" t="s">
        <v>7547</v>
      </c>
      <c r="D1075" s="47">
        <v>2.11424820456326</v>
      </c>
      <c r="E1075" s="48">
        <f>SUMIF(Data!$E:$E,$C1075,Data!$AI:$AI)</f>
        <v>0</v>
      </c>
      <c r="I1075" s="14" t="s">
        <v>7548</v>
      </c>
      <c r="J1075" s="14" t="s">
        <v>7549</v>
      </c>
      <c r="K1075" s="14" t="s">
        <v>140</v>
      </c>
      <c r="L1075" s="14" t="s">
        <v>5642</v>
      </c>
      <c r="M1075" s="14" t="s">
        <v>7550</v>
      </c>
      <c r="N1075" s="14">
        <v>85.355999999999995</v>
      </c>
      <c r="O1075" s="14" t="s">
        <v>7551</v>
      </c>
      <c r="P1075" s="14" t="s">
        <v>7552</v>
      </c>
      <c r="Q1075" s="14" t="s">
        <v>146</v>
      </c>
      <c r="R1075" s="14" t="s">
        <v>7553</v>
      </c>
      <c r="S1075" s="14" t="s">
        <v>195</v>
      </c>
      <c r="T1075" s="14" t="s">
        <v>149</v>
      </c>
      <c r="U1075" s="14" t="s">
        <v>113</v>
      </c>
      <c r="V1075" s="48">
        <f>SUMIF(Data!$E:$E,$I1075,Data!$AI:$AI)</f>
        <v>0</v>
      </c>
    </row>
    <row r="1076" spans="1:22" x14ac:dyDescent="0.25">
      <c r="A1076" s="47" t="s">
        <v>7140</v>
      </c>
      <c r="B1076" s="47" t="s">
        <v>123</v>
      </c>
      <c r="C1076" s="47" t="s">
        <v>4175</v>
      </c>
      <c r="D1076" s="47">
        <v>0.234301862068134</v>
      </c>
      <c r="E1076" s="48">
        <f>SUMIF(Data!$E:$E,$C1076,Data!$AI:$AI)</f>
        <v>0</v>
      </c>
      <c r="I1076" s="14" t="s">
        <v>7554</v>
      </c>
      <c r="J1076" s="14" t="s">
        <v>7555</v>
      </c>
      <c r="K1076" s="14" t="s">
        <v>140</v>
      </c>
      <c r="L1076" s="14" t="s">
        <v>5642</v>
      </c>
      <c r="M1076" s="14" t="s">
        <v>7556</v>
      </c>
      <c r="N1076" s="14">
        <v>129.131</v>
      </c>
      <c r="O1076" s="14" t="s">
        <v>7557</v>
      </c>
      <c r="P1076" s="14" t="s">
        <v>7558</v>
      </c>
      <c r="Q1076" s="14" t="s">
        <v>737</v>
      </c>
      <c r="R1076" s="14" t="s">
        <v>7559</v>
      </c>
      <c r="S1076" s="14" t="s">
        <v>148</v>
      </c>
      <c r="T1076" s="14" t="s">
        <v>149</v>
      </c>
      <c r="U1076" s="14" t="s">
        <v>113</v>
      </c>
      <c r="V1076" s="48">
        <f>SUMIF(Data!$E:$E,$I1076,Data!$AI:$AI)</f>
        <v>0</v>
      </c>
    </row>
    <row r="1077" spans="1:22" x14ac:dyDescent="0.25">
      <c r="A1077" s="47" t="s">
        <v>7140</v>
      </c>
      <c r="B1077" s="47" t="s">
        <v>123</v>
      </c>
      <c r="C1077" s="47" t="s">
        <v>7560</v>
      </c>
      <c r="D1077" s="47">
        <v>1.38480503513649</v>
      </c>
      <c r="E1077" s="48">
        <f>SUMIF(Data!$E:$E,$C1077,Data!$AI:$AI)</f>
        <v>0</v>
      </c>
      <c r="I1077" s="14" t="s">
        <v>7561</v>
      </c>
      <c r="J1077" s="14" t="s">
        <v>7562</v>
      </c>
      <c r="K1077" s="14" t="s">
        <v>140</v>
      </c>
      <c r="L1077" s="14" t="s">
        <v>5642</v>
      </c>
      <c r="M1077" s="14" t="s">
        <v>7563</v>
      </c>
      <c r="N1077" s="14">
        <v>295.09199999999998</v>
      </c>
      <c r="O1077" s="14" t="s">
        <v>7564</v>
      </c>
      <c r="P1077" s="14" t="s">
        <v>7565</v>
      </c>
      <c r="Q1077" s="14" t="s">
        <v>211</v>
      </c>
      <c r="R1077" s="14" t="s">
        <v>7566</v>
      </c>
      <c r="S1077" s="14" t="s">
        <v>7567</v>
      </c>
      <c r="T1077" s="14" t="s">
        <v>7568</v>
      </c>
      <c r="U1077" s="14" t="s">
        <v>7569</v>
      </c>
      <c r="V1077" s="48">
        <f>SUMIF(Data!$E:$E,$I1077,Data!$AI:$AI)</f>
        <v>0</v>
      </c>
    </row>
    <row r="1078" spans="1:22" x14ac:dyDescent="0.25">
      <c r="A1078" s="47" t="s">
        <v>7140</v>
      </c>
      <c r="B1078" s="47" t="s">
        <v>123</v>
      </c>
      <c r="C1078" s="47" t="s">
        <v>7570</v>
      </c>
      <c r="D1078" s="47">
        <v>0.69236310644766996</v>
      </c>
      <c r="E1078" s="48">
        <f>SUMIF(Data!$E:$E,$C1078,Data!$AI:$AI)</f>
        <v>0</v>
      </c>
      <c r="I1078" s="14" t="s">
        <v>7571</v>
      </c>
      <c r="J1078" s="14" t="s">
        <v>7572</v>
      </c>
      <c r="K1078" s="14" t="s">
        <v>140</v>
      </c>
      <c r="L1078" s="14" t="s">
        <v>5642</v>
      </c>
      <c r="M1078" s="14" t="s">
        <v>7573</v>
      </c>
      <c r="N1078" s="14">
        <v>92.915000000000006</v>
      </c>
      <c r="O1078" s="14" t="s">
        <v>7574</v>
      </c>
      <c r="P1078" s="14" t="s">
        <v>7575</v>
      </c>
      <c r="Q1078" s="14" t="s">
        <v>165</v>
      </c>
      <c r="R1078" s="14" t="s">
        <v>7576</v>
      </c>
      <c r="S1078" s="14" t="s">
        <v>1130</v>
      </c>
      <c r="T1078" s="14" t="s">
        <v>1131</v>
      </c>
      <c r="U1078" s="14" t="s">
        <v>528</v>
      </c>
      <c r="V1078" s="48">
        <f>SUMIF(Data!$E:$E,$I1078,Data!$AI:$AI)</f>
        <v>0</v>
      </c>
    </row>
    <row r="1079" spans="1:22" x14ac:dyDescent="0.25">
      <c r="A1079" s="47" t="s">
        <v>7140</v>
      </c>
      <c r="B1079" s="47" t="s">
        <v>123</v>
      </c>
      <c r="C1079" s="47" t="s">
        <v>4082</v>
      </c>
      <c r="D1079" s="47">
        <v>0.76664797078468705</v>
      </c>
      <c r="E1079" s="48">
        <f>SUMIF(Data!$E:$E,$C1079,Data!$AI:$AI)</f>
        <v>0</v>
      </c>
      <c r="I1079" s="14" t="s">
        <v>7577</v>
      </c>
      <c r="J1079" s="14" t="s">
        <v>7578</v>
      </c>
      <c r="K1079" s="14" t="s">
        <v>140</v>
      </c>
      <c r="L1079" s="14" t="s">
        <v>5642</v>
      </c>
      <c r="M1079" s="14" t="s">
        <v>7579</v>
      </c>
      <c r="N1079" s="14">
        <v>215.92699999999999</v>
      </c>
      <c r="O1079" s="14" t="s">
        <v>7580</v>
      </c>
      <c r="P1079" s="14" t="s">
        <v>7581</v>
      </c>
      <c r="Q1079" s="14" t="s">
        <v>809</v>
      </c>
      <c r="R1079" s="14" t="s">
        <v>7582</v>
      </c>
      <c r="S1079" s="14" t="s">
        <v>195</v>
      </c>
      <c r="T1079" s="14" t="s">
        <v>149</v>
      </c>
      <c r="U1079" s="14" t="s">
        <v>113</v>
      </c>
      <c r="V1079" s="48">
        <f>SUMIF(Data!$E:$E,$I1079,Data!$AI:$AI)</f>
        <v>0</v>
      </c>
    </row>
    <row r="1080" spans="1:22" x14ac:dyDescent="0.25">
      <c r="A1080" s="47" t="s">
        <v>7140</v>
      </c>
      <c r="B1080" s="47" t="s">
        <v>123</v>
      </c>
      <c r="C1080" s="47" t="s">
        <v>7583</v>
      </c>
      <c r="D1080" s="47">
        <v>0.50188734029545501</v>
      </c>
      <c r="E1080" s="48">
        <f>SUMIF(Data!$E:$E,$C1080,Data!$AI:$AI)</f>
        <v>0</v>
      </c>
      <c r="I1080" s="14" t="s">
        <v>7584</v>
      </c>
      <c r="J1080" s="14" t="s">
        <v>7585</v>
      </c>
      <c r="K1080" s="14" t="s">
        <v>140</v>
      </c>
      <c r="L1080" s="14" t="s">
        <v>5642</v>
      </c>
      <c r="M1080" s="14" t="s">
        <v>7586</v>
      </c>
      <c r="N1080" s="14">
        <v>140.37799999999999</v>
      </c>
      <c r="O1080" s="14" t="s">
        <v>7587</v>
      </c>
      <c r="P1080" s="14" t="s">
        <v>7588</v>
      </c>
      <c r="Q1080" s="14" t="s">
        <v>419</v>
      </c>
      <c r="R1080" s="14" t="s">
        <v>7589</v>
      </c>
      <c r="S1080" s="14" t="s">
        <v>728</v>
      </c>
      <c r="T1080" s="14" t="s">
        <v>729</v>
      </c>
      <c r="U1080" s="14" t="s">
        <v>730</v>
      </c>
      <c r="V1080" s="48">
        <f>SUMIF(Data!$E:$E,$I1080,Data!$AI:$AI)</f>
        <v>0</v>
      </c>
    </row>
    <row r="1081" spans="1:22" x14ac:dyDescent="0.25">
      <c r="A1081" s="47" t="s">
        <v>7140</v>
      </c>
      <c r="B1081" s="47" t="s">
        <v>123</v>
      </c>
      <c r="C1081" s="47" t="s">
        <v>7590</v>
      </c>
      <c r="D1081" s="47">
        <v>1.0149522150463599</v>
      </c>
      <c r="E1081" s="48">
        <f>SUMIF(Data!$E:$E,$C1081,Data!$AI:$AI)</f>
        <v>0</v>
      </c>
      <c r="I1081" s="14" t="s">
        <v>7591</v>
      </c>
      <c r="J1081" s="14" t="s">
        <v>7592</v>
      </c>
      <c r="K1081" s="14" t="s">
        <v>140</v>
      </c>
      <c r="L1081" s="14" t="s">
        <v>5642</v>
      </c>
      <c r="M1081" s="14" t="s">
        <v>7593</v>
      </c>
      <c r="N1081" s="14">
        <v>168.22900000000001</v>
      </c>
      <c r="O1081" s="14" t="s">
        <v>7594</v>
      </c>
      <c r="P1081" s="14" t="s">
        <v>7595</v>
      </c>
      <c r="Q1081" s="14" t="s">
        <v>165</v>
      </c>
      <c r="R1081" s="14" t="s">
        <v>7596</v>
      </c>
      <c r="S1081" s="14" t="s">
        <v>2931</v>
      </c>
      <c r="T1081" s="14" t="s">
        <v>2932</v>
      </c>
      <c r="U1081" s="14" t="s">
        <v>2933</v>
      </c>
      <c r="V1081" s="48">
        <f>SUMIF(Data!$E:$E,$I1081,Data!$AI:$AI)</f>
        <v>0</v>
      </c>
    </row>
    <row r="1082" spans="1:22" x14ac:dyDescent="0.25">
      <c r="A1082" s="47" t="s">
        <v>7140</v>
      </c>
      <c r="B1082" s="47" t="s">
        <v>123</v>
      </c>
      <c r="C1082" s="47" t="s">
        <v>7597</v>
      </c>
      <c r="D1082" s="47">
        <v>0.65427890621582696</v>
      </c>
      <c r="E1082" s="48">
        <f>SUMIF(Data!$E:$E,$C1082,Data!$AI:$AI)</f>
        <v>0</v>
      </c>
      <c r="I1082" s="14" t="s">
        <v>7598</v>
      </c>
      <c r="J1082" s="14" t="s">
        <v>7599</v>
      </c>
      <c r="K1082" s="14" t="s">
        <v>140</v>
      </c>
      <c r="L1082" s="14" t="s">
        <v>5642</v>
      </c>
      <c r="M1082" s="14" t="s">
        <v>7600</v>
      </c>
      <c r="N1082" s="14">
        <v>35.563000000000002</v>
      </c>
      <c r="O1082" s="14" t="s">
        <v>7601</v>
      </c>
      <c r="P1082" s="14" t="s">
        <v>7602</v>
      </c>
      <c r="Q1082" s="14" t="s">
        <v>419</v>
      </c>
      <c r="R1082" s="14" t="s">
        <v>7603</v>
      </c>
      <c r="S1082" s="14" t="s">
        <v>479</v>
      </c>
      <c r="T1082" s="14" t="s">
        <v>480</v>
      </c>
      <c r="U1082" s="14" t="s">
        <v>481</v>
      </c>
      <c r="V1082" s="48">
        <f>SUMIF(Data!$E:$E,$I1082,Data!$AI:$AI)</f>
        <v>0</v>
      </c>
    </row>
    <row r="1083" spans="1:22" x14ac:dyDescent="0.25">
      <c r="A1083" s="47" t="s">
        <v>7140</v>
      </c>
      <c r="B1083" s="47" t="s">
        <v>123</v>
      </c>
      <c r="C1083" s="47" t="s">
        <v>7604</v>
      </c>
      <c r="D1083" s="47">
        <v>1.40273905550853</v>
      </c>
      <c r="E1083" s="48">
        <f>SUMIF(Data!$E:$E,$C1083,Data!$AI:$AI)</f>
        <v>0</v>
      </c>
      <c r="I1083" s="14" t="s">
        <v>7605</v>
      </c>
      <c r="J1083" s="14" t="s">
        <v>7606</v>
      </c>
      <c r="K1083" s="14" t="s">
        <v>140</v>
      </c>
      <c r="L1083" s="14" t="s">
        <v>5642</v>
      </c>
      <c r="M1083" s="14" t="s">
        <v>7607</v>
      </c>
      <c r="N1083" s="14">
        <v>77.245000000000005</v>
      </c>
      <c r="O1083" s="14" t="s">
        <v>7608</v>
      </c>
      <c r="P1083" s="14" t="s">
        <v>7609</v>
      </c>
      <c r="Q1083" s="14" t="s">
        <v>809</v>
      </c>
      <c r="R1083" s="14" t="s">
        <v>7610</v>
      </c>
      <c r="S1083" s="14" t="s">
        <v>195</v>
      </c>
      <c r="T1083" s="14" t="s">
        <v>149</v>
      </c>
      <c r="U1083" s="14" t="s">
        <v>113</v>
      </c>
      <c r="V1083" s="48">
        <f>SUMIF(Data!$E:$E,$I1083,Data!$AI:$AI)</f>
        <v>0</v>
      </c>
    </row>
    <row r="1084" spans="1:22" x14ac:dyDescent="0.25">
      <c r="A1084" s="47" t="s">
        <v>7140</v>
      </c>
      <c r="B1084" s="47" t="s">
        <v>123</v>
      </c>
      <c r="C1084" s="47" t="s">
        <v>7611</v>
      </c>
      <c r="D1084" s="47">
        <v>0.65687523395824898</v>
      </c>
      <c r="E1084" s="48">
        <f>SUMIF(Data!$E:$E,$C1084,Data!$AI:$AI)</f>
        <v>0</v>
      </c>
      <c r="I1084" s="14" t="s">
        <v>7612</v>
      </c>
      <c r="J1084" s="14" t="s">
        <v>7613</v>
      </c>
      <c r="K1084" s="14" t="s">
        <v>140</v>
      </c>
      <c r="L1084" s="14" t="s">
        <v>5642</v>
      </c>
      <c r="M1084" s="14" t="s">
        <v>7614</v>
      </c>
      <c r="N1084" s="14">
        <v>18.504000000000001</v>
      </c>
      <c r="O1084" s="14" t="s">
        <v>7615</v>
      </c>
      <c r="P1084" s="14" t="s">
        <v>7616</v>
      </c>
      <c r="Q1084" s="14" t="s">
        <v>211</v>
      </c>
      <c r="R1084" s="14" t="s">
        <v>7617</v>
      </c>
      <c r="S1084" s="14" t="s">
        <v>526</v>
      </c>
      <c r="T1084" s="14" t="s">
        <v>527</v>
      </c>
      <c r="U1084" s="14" t="s">
        <v>528</v>
      </c>
      <c r="V1084" s="48">
        <f>SUMIF(Data!$E:$E,$I1084,Data!$AI:$AI)</f>
        <v>0</v>
      </c>
    </row>
    <row r="1085" spans="1:22" x14ac:dyDescent="0.25">
      <c r="A1085" s="47" t="s">
        <v>7140</v>
      </c>
      <c r="B1085" s="47" t="s">
        <v>123</v>
      </c>
      <c r="C1085" s="47" t="s">
        <v>7618</v>
      </c>
      <c r="D1085" s="47">
        <v>0.62894876685412604</v>
      </c>
      <c r="E1085" s="48">
        <f>SUMIF(Data!$E:$E,$C1085,Data!$AI:$AI)</f>
        <v>0</v>
      </c>
      <c r="I1085" s="14" t="s">
        <v>7619</v>
      </c>
      <c r="J1085" s="14" t="s">
        <v>7620</v>
      </c>
      <c r="K1085" s="14" t="s">
        <v>140</v>
      </c>
      <c r="L1085" s="14" t="s">
        <v>5642</v>
      </c>
      <c r="M1085" s="14" t="s">
        <v>7621</v>
      </c>
      <c r="N1085" s="14">
        <v>181.37200000000001</v>
      </c>
      <c r="O1085" s="14" t="s">
        <v>7622</v>
      </c>
      <c r="P1085" s="14" t="s">
        <v>7623</v>
      </c>
      <c r="Q1085" s="14" t="s">
        <v>697</v>
      </c>
      <c r="R1085" s="14" t="s">
        <v>7624</v>
      </c>
      <c r="S1085" s="14" t="s">
        <v>195</v>
      </c>
      <c r="T1085" s="14" t="s">
        <v>149</v>
      </c>
      <c r="U1085" s="14" t="s">
        <v>113</v>
      </c>
      <c r="V1085" s="48">
        <f>SUMIF(Data!$E:$E,$I1085,Data!$AI:$AI)</f>
        <v>0</v>
      </c>
    </row>
    <row r="1086" spans="1:22" x14ac:dyDescent="0.25">
      <c r="A1086" s="47" t="s">
        <v>7140</v>
      </c>
      <c r="B1086" s="47" t="s">
        <v>123</v>
      </c>
      <c r="C1086" s="47" t="s">
        <v>7625</v>
      </c>
      <c r="D1086" s="47">
        <v>9.4497184775399007E-2</v>
      </c>
      <c r="E1086" s="48">
        <f>SUMIF(Data!$E:$E,$C1086,Data!$AI:$AI)</f>
        <v>0</v>
      </c>
      <c r="I1086" s="14" t="s">
        <v>7626</v>
      </c>
      <c r="J1086" s="14" t="s">
        <v>7627</v>
      </c>
      <c r="K1086" s="14" t="s">
        <v>140</v>
      </c>
      <c r="L1086" s="14" t="s">
        <v>5642</v>
      </c>
      <c r="M1086" s="14" t="s">
        <v>7628</v>
      </c>
      <c r="N1086" s="14">
        <v>84.628</v>
      </c>
      <c r="O1086" s="14" t="s">
        <v>7629</v>
      </c>
      <c r="P1086" s="14" t="s">
        <v>7630</v>
      </c>
      <c r="Q1086" s="14" t="s">
        <v>263</v>
      </c>
      <c r="R1086" s="14" t="s">
        <v>7631</v>
      </c>
      <c r="S1086" s="14" t="s">
        <v>195</v>
      </c>
      <c r="T1086" s="14" t="s">
        <v>149</v>
      </c>
      <c r="U1086" s="14" t="s">
        <v>113</v>
      </c>
      <c r="V1086" s="48">
        <f>SUMIF(Data!$E:$E,$I1086,Data!$AI:$AI)</f>
        <v>0</v>
      </c>
    </row>
    <row r="1087" spans="1:22" x14ac:dyDescent="0.25">
      <c r="A1087" s="47" t="s">
        <v>7140</v>
      </c>
      <c r="B1087" s="47" t="s">
        <v>123</v>
      </c>
      <c r="C1087" s="47" t="s">
        <v>6987</v>
      </c>
      <c r="D1087" s="47">
        <v>5.0952557030974202</v>
      </c>
      <c r="E1087" s="48">
        <f>SUMIF(Data!$E:$E,$C1087,Data!$AI:$AI)</f>
        <v>0</v>
      </c>
      <c r="I1087" s="14" t="s">
        <v>7632</v>
      </c>
      <c r="J1087" s="14" t="s">
        <v>7633</v>
      </c>
      <c r="K1087" s="14" t="s">
        <v>140</v>
      </c>
      <c r="L1087" s="14" t="s">
        <v>5642</v>
      </c>
      <c r="M1087" s="14" t="s">
        <v>7634</v>
      </c>
      <c r="N1087" s="14" t="s">
        <v>7635</v>
      </c>
      <c r="O1087" s="14" t="s">
        <v>7636</v>
      </c>
      <c r="P1087" s="14" t="s">
        <v>7637</v>
      </c>
      <c r="Q1087" s="14" t="s">
        <v>809</v>
      </c>
      <c r="R1087" s="14" t="s">
        <v>7638</v>
      </c>
      <c r="S1087" s="14" t="s">
        <v>850</v>
      </c>
      <c r="T1087" s="14" t="s">
        <v>851</v>
      </c>
      <c r="U1087" s="14" t="s">
        <v>852</v>
      </c>
      <c r="V1087" s="48">
        <f>SUMIF(Data!$E:$E,$I1087,Data!$AI:$AI)</f>
        <v>0</v>
      </c>
    </row>
    <row r="1088" spans="1:22" x14ac:dyDescent="0.25">
      <c r="A1088" s="47" t="s">
        <v>7140</v>
      </c>
      <c r="B1088" s="47" t="s">
        <v>123</v>
      </c>
      <c r="C1088" s="47" t="s">
        <v>7639</v>
      </c>
      <c r="D1088" s="47">
        <v>1.0365817332404299</v>
      </c>
      <c r="E1088" s="48">
        <f>SUMIF(Data!$E:$E,$C1088,Data!$AI:$AI)</f>
        <v>0</v>
      </c>
      <c r="I1088" s="14" t="s">
        <v>7640</v>
      </c>
      <c r="J1088" s="14" t="s">
        <v>7641</v>
      </c>
      <c r="K1088" s="14" t="s">
        <v>140</v>
      </c>
      <c r="L1088" s="14" t="s">
        <v>5642</v>
      </c>
      <c r="M1088" s="14" t="s">
        <v>7642</v>
      </c>
      <c r="N1088" s="14">
        <v>21.722999999999999</v>
      </c>
      <c r="O1088" s="14" t="s">
        <v>7643</v>
      </c>
      <c r="P1088" s="14" t="s">
        <v>7644</v>
      </c>
      <c r="Q1088" s="14" t="s">
        <v>211</v>
      </c>
      <c r="R1088" s="14" t="s">
        <v>7645</v>
      </c>
      <c r="S1088" s="14" t="s">
        <v>148</v>
      </c>
      <c r="T1088" s="14" t="s">
        <v>149</v>
      </c>
      <c r="U1088" s="14" t="s">
        <v>113</v>
      </c>
      <c r="V1088" s="48">
        <f>SUMIF(Data!$E:$E,$I1088,Data!$AI:$AI)</f>
        <v>0</v>
      </c>
    </row>
    <row r="1089" spans="1:22" x14ac:dyDescent="0.25">
      <c r="A1089" s="47" t="s">
        <v>7140</v>
      </c>
      <c r="B1089" s="47" t="s">
        <v>123</v>
      </c>
      <c r="C1089" s="47" t="s">
        <v>7646</v>
      </c>
      <c r="D1089" s="47">
        <v>0.85085138590649401</v>
      </c>
      <c r="E1089" s="48">
        <f>SUMIF(Data!$E:$E,$C1089,Data!$AI:$AI)</f>
        <v>0</v>
      </c>
      <c r="I1089" s="14" t="s">
        <v>7647</v>
      </c>
      <c r="J1089" s="14" t="s">
        <v>7648</v>
      </c>
      <c r="K1089" s="14" t="s">
        <v>140</v>
      </c>
      <c r="L1089" s="14" t="s">
        <v>5642</v>
      </c>
      <c r="M1089" s="14" t="s">
        <v>7649</v>
      </c>
      <c r="N1089" s="14">
        <v>88.346000000000004</v>
      </c>
      <c r="O1089" s="14" t="s">
        <v>7650</v>
      </c>
      <c r="P1089" s="14" t="s">
        <v>7651</v>
      </c>
      <c r="Q1089" s="14" t="s">
        <v>165</v>
      </c>
      <c r="R1089" s="14" t="s">
        <v>7652</v>
      </c>
      <c r="S1089" s="14" t="s">
        <v>195</v>
      </c>
      <c r="T1089" s="14" t="s">
        <v>149</v>
      </c>
      <c r="U1089" s="14" t="s">
        <v>113</v>
      </c>
      <c r="V1089" s="48">
        <f>SUMIF(Data!$E:$E,$I1089,Data!$AI:$AI)</f>
        <v>0</v>
      </c>
    </row>
    <row r="1090" spans="1:22" x14ac:dyDescent="0.25">
      <c r="A1090" s="47" t="s">
        <v>7140</v>
      </c>
      <c r="B1090" s="47" t="s">
        <v>123</v>
      </c>
      <c r="C1090" s="47" t="s">
        <v>7653</v>
      </c>
      <c r="D1090" s="47">
        <v>1.94510556305639</v>
      </c>
      <c r="E1090" s="48">
        <f>SUMIF(Data!$E:$E,$C1090,Data!$AI:$AI)</f>
        <v>0</v>
      </c>
      <c r="I1090" s="14" t="s">
        <v>7654</v>
      </c>
      <c r="J1090" s="14" t="s">
        <v>7655</v>
      </c>
      <c r="K1090" s="14" t="s">
        <v>140</v>
      </c>
      <c r="L1090" s="14" t="s">
        <v>5642</v>
      </c>
      <c r="M1090" s="14" t="s">
        <v>7656</v>
      </c>
      <c r="N1090" s="14">
        <v>65.289000000000001</v>
      </c>
      <c r="O1090" s="14" t="s">
        <v>7657</v>
      </c>
      <c r="P1090" s="14" t="s">
        <v>7658</v>
      </c>
      <c r="Q1090" s="14" t="s">
        <v>211</v>
      </c>
      <c r="R1090" s="14" t="s">
        <v>7659</v>
      </c>
      <c r="S1090" s="14" t="s">
        <v>148</v>
      </c>
      <c r="T1090" s="14" t="s">
        <v>149</v>
      </c>
      <c r="U1090" s="14" t="s">
        <v>113</v>
      </c>
      <c r="V1090" s="48">
        <f>SUMIF(Data!$E:$E,$I1090,Data!$AI:$AI)</f>
        <v>0</v>
      </c>
    </row>
    <row r="1091" spans="1:22" x14ac:dyDescent="0.25">
      <c r="A1091" s="47" t="s">
        <v>7140</v>
      </c>
      <c r="B1091" s="47" t="s">
        <v>123</v>
      </c>
      <c r="C1091" s="47" t="s">
        <v>7660</v>
      </c>
      <c r="D1091" s="47">
        <v>1.5678036616992601</v>
      </c>
      <c r="E1091" s="48">
        <f>SUMIF(Data!$E:$E,$C1091,Data!$AI:$AI)</f>
        <v>0</v>
      </c>
      <c r="I1091" s="14" t="s">
        <v>7661</v>
      </c>
      <c r="J1091" s="14" t="s">
        <v>7662</v>
      </c>
      <c r="K1091" s="14" t="s">
        <v>140</v>
      </c>
      <c r="L1091" s="14" t="s">
        <v>5642</v>
      </c>
      <c r="M1091" s="14" t="s">
        <v>7663</v>
      </c>
      <c r="N1091" s="14">
        <v>36.188000000000002</v>
      </c>
      <c r="O1091" s="14" t="s">
        <v>7664</v>
      </c>
      <c r="P1091" s="14" t="s">
        <v>7665</v>
      </c>
      <c r="Q1091" s="14" t="s">
        <v>211</v>
      </c>
      <c r="R1091" s="14" t="s">
        <v>7666</v>
      </c>
      <c r="S1091" s="14" t="s">
        <v>148</v>
      </c>
      <c r="T1091" s="14" t="s">
        <v>149</v>
      </c>
      <c r="U1091" s="14" t="s">
        <v>113</v>
      </c>
      <c r="V1091" s="48">
        <f>SUMIF(Data!$E:$E,$I1091,Data!$AI:$AI)</f>
        <v>0</v>
      </c>
    </row>
    <row r="1092" spans="1:22" x14ac:dyDescent="0.25">
      <c r="A1092" s="47" t="s">
        <v>7140</v>
      </c>
      <c r="B1092" s="47" t="s">
        <v>123</v>
      </c>
      <c r="C1092" s="47" t="s">
        <v>7667</v>
      </c>
      <c r="D1092" s="47">
        <v>0.11977940669256</v>
      </c>
      <c r="E1092" s="48">
        <f>SUMIF(Data!$E:$E,$C1092,Data!$AI:$AI)</f>
        <v>0</v>
      </c>
      <c r="I1092" s="14" t="s">
        <v>7668</v>
      </c>
      <c r="J1092" s="14" t="s">
        <v>7669</v>
      </c>
      <c r="K1092" s="14" t="s">
        <v>140</v>
      </c>
      <c r="L1092" s="14" t="s">
        <v>5642</v>
      </c>
      <c r="M1092" s="14" t="s">
        <v>5879</v>
      </c>
      <c r="N1092" s="14">
        <v>84.814999999999998</v>
      </c>
      <c r="O1092" s="14" t="s">
        <v>7670</v>
      </c>
      <c r="P1092" s="14" t="s">
        <v>7671</v>
      </c>
      <c r="Q1092" s="14" t="s">
        <v>419</v>
      </c>
      <c r="R1092" s="14" t="s">
        <v>7672</v>
      </c>
      <c r="S1092" s="14" t="s">
        <v>563</v>
      </c>
      <c r="T1092" s="14" t="s">
        <v>564</v>
      </c>
      <c r="U1092" s="14" t="s">
        <v>528</v>
      </c>
      <c r="V1092" s="48">
        <f>SUMIF(Data!$E:$E,$I1092,Data!$AI:$AI)</f>
        <v>0</v>
      </c>
    </row>
    <row r="1093" spans="1:22" x14ac:dyDescent="0.25">
      <c r="A1093" s="47" t="s">
        <v>7140</v>
      </c>
      <c r="B1093" s="47" t="s">
        <v>123</v>
      </c>
      <c r="C1093" s="47" t="s">
        <v>7673</v>
      </c>
      <c r="D1093" s="47">
        <v>0.179457571132038</v>
      </c>
      <c r="E1093" s="48">
        <f>SUMIF(Data!$E:$E,$C1093,Data!$AI:$AI)</f>
        <v>0</v>
      </c>
      <c r="I1093" s="14" t="s">
        <v>7674</v>
      </c>
      <c r="J1093" s="14" t="s">
        <v>7675</v>
      </c>
      <c r="K1093" s="14" t="s">
        <v>140</v>
      </c>
      <c r="L1093" s="14" t="s">
        <v>5642</v>
      </c>
      <c r="M1093" s="14" t="s">
        <v>7676</v>
      </c>
      <c r="N1093" s="14">
        <v>80.114999999999995</v>
      </c>
      <c r="O1093" s="14" t="s">
        <v>7677</v>
      </c>
      <c r="P1093" s="14" t="s">
        <v>7678</v>
      </c>
      <c r="Q1093" s="14" t="s">
        <v>165</v>
      </c>
      <c r="R1093" s="14" t="s">
        <v>7679</v>
      </c>
      <c r="S1093" s="14" t="s">
        <v>526</v>
      </c>
      <c r="T1093" s="14" t="s">
        <v>527</v>
      </c>
      <c r="U1093" s="14" t="s">
        <v>528</v>
      </c>
      <c r="V1093" s="48">
        <f>SUMIF(Data!$E:$E,$I1093,Data!$AI:$AI)</f>
        <v>0</v>
      </c>
    </row>
    <row r="1094" spans="1:22" x14ac:dyDescent="0.25">
      <c r="A1094" s="47" t="s">
        <v>7140</v>
      </c>
      <c r="B1094" s="47" t="s">
        <v>123</v>
      </c>
      <c r="C1094" s="47" t="s">
        <v>7680</v>
      </c>
      <c r="D1094" s="47">
        <v>1.1423427657580201</v>
      </c>
      <c r="E1094" s="48">
        <f>SUMIF(Data!$E:$E,$C1094,Data!$AI:$AI)</f>
        <v>0</v>
      </c>
      <c r="I1094" s="14" t="s">
        <v>7681</v>
      </c>
      <c r="J1094" s="14" t="s">
        <v>7682</v>
      </c>
      <c r="K1094" s="14" t="s">
        <v>140</v>
      </c>
      <c r="L1094" s="14" t="s">
        <v>5642</v>
      </c>
      <c r="M1094" s="14" t="s">
        <v>7683</v>
      </c>
      <c r="N1094" s="14">
        <v>196.26400000000001</v>
      </c>
      <c r="O1094" s="14" t="s">
        <v>7684</v>
      </c>
      <c r="P1094" s="14" t="s">
        <v>7685</v>
      </c>
      <c r="Q1094" s="14" t="s">
        <v>737</v>
      </c>
      <c r="R1094" s="14" t="s">
        <v>7686</v>
      </c>
      <c r="S1094" s="14" t="s">
        <v>195</v>
      </c>
      <c r="T1094" s="14" t="s">
        <v>149</v>
      </c>
      <c r="U1094" s="14" t="s">
        <v>113</v>
      </c>
      <c r="V1094" s="48">
        <f>SUMIF(Data!$E:$E,$I1094,Data!$AI:$AI)</f>
        <v>0</v>
      </c>
    </row>
    <row r="1095" spans="1:22" x14ac:dyDescent="0.25">
      <c r="A1095" s="47" t="s">
        <v>7140</v>
      </c>
      <c r="B1095" s="47" t="s">
        <v>123</v>
      </c>
      <c r="C1095" s="47" t="s">
        <v>7687</v>
      </c>
      <c r="D1095" s="47">
        <v>4.0181783857303097</v>
      </c>
      <c r="E1095" s="48">
        <f>SUMIF(Data!$E:$E,$C1095,Data!$AI:$AI)</f>
        <v>0</v>
      </c>
      <c r="I1095" s="14" t="s">
        <v>7688</v>
      </c>
      <c r="J1095" s="14" t="s">
        <v>7689</v>
      </c>
      <c r="K1095" s="14" t="s">
        <v>140</v>
      </c>
      <c r="L1095" s="14" t="s">
        <v>5642</v>
      </c>
      <c r="M1095" s="14" t="s">
        <v>7690</v>
      </c>
      <c r="N1095" s="14">
        <v>131.32499999999999</v>
      </c>
      <c r="O1095" s="14" t="s">
        <v>7691</v>
      </c>
      <c r="P1095" s="14" t="s">
        <v>7692</v>
      </c>
      <c r="Q1095" s="14" t="s">
        <v>737</v>
      </c>
      <c r="R1095" s="14" t="s">
        <v>7693</v>
      </c>
      <c r="S1095" s="14" t="s">
        <v>195</v>
      </c>
      <c r="T1095" s="14" t="s">
        <v>149</v>
      </c>
      <c r="U1095" s="14" t="s">
        <v>113</v>
      </c>
      <c r="V1095" s="48">
        <f>SUMIF(Data!$E:$E,$I1095,Data!$AI:$AI)</f>
        <v>0</v>
      </c>
    </row>
    <row r="1096" spans="1:22" x14ac:dyDescent="0.25">
      <c r="A1096" s="47" t="s">
        <v>7140</v>
      </c>
      <c r="B1096" s="47" t="s">
        <v>123</v>
      </c>
      <c r="C1096" s="47" t="s">
        <v>7694</v>
      </c>
      <c r="D1096" s="47">
        <v>0.192079016171602</v>
      </c>
      <c r="E1096" s="48">
        <f>SUMIF(Data!$E:$E,$C1096,Data!$AI:$AI)</f>
        <v>0</v>
      </c>
      <c r="I1096" s="14" t="s">
        <v>7695</v>
      </c>
      <c r="J1096" s="14" t="s">
        <v>7696</v>
      </c>
      <c r="K1096" s="14" t="s">
        <v>140</v>
      </c>
      <c r="L1096" s="14" t="s">
        <v>5642</v>
      </c>
      <c r="M1096" s="14" t="s">
        <v>7697</v>
      </c>
      <c r="N1096" s="14">
        <v>111.709</v>
      </c>
      <c r="O1096" s="14" t="s">
        <v>7698</v>
      </c>
      <c r="P1096" s="14" t="s">
        <v>7699</v>
      </c>
      <c r="Q1096" s="14" t="s">
        <v>165</v>
      </c>
      <c r="R1096" s="14" t="s">
        <v>7700</v>
      </c>
      <c r="S1096" s="14" t="s">
        <v>563</v>
      </c>
      <c r="T1096" s="14" t="s">
        <v>564</v>
      </c>
      <c r="U1096" s="14" t="s">
        <v>528</v>
      </c>
      <c r="V1096" s="48">
        <f>SUMIF(Data!$E:$E,$I1096,Data!$AI:$AI)</f>
        <v>0</v>
      </c>
    </row>
    <row r="1097" spans="1:22" x14ac:dyDescent="0.25">
      <c r="A1097" s="47" t="s">
        <v>7140</v>
      </c>
      <c r="B1097" s="47" t="s">
        <v>123</v>
      </c>
      <c r="C1097" s="47" t="s">
        <v>7701</v>
      </c>
      <c r="D1097" s="47">
        <v>2.43474184787364</v>
      </c>
      <c r="E1097" s="48">
        <f>SUMIF(Data!$E:$E,$C1097,Data!$AI:$AI)</f>
        <v>0</v>
      </c>
      <c r="I1097" s="14" t="s">
        <v>7702</v>
      </c>
      <c r="J1097" s="14" t="s">
        <v>7703</v>
      </c>
      <c r="K1097" s="14" t="s">
        <v>140</v>
      </c>
      <c r="L1097" s="14" t="s">
        <v>5642</v>
      </c>
      <c r="M1097" s="14" t="s">
        <v>6983</v>
      </c>
      <c r="N1097" s="14">
        <v>174.52699999999999</v>
      </c>
      <c r="O1097" s="14" t="s">
        <v>7704</v>
      </c>
      <c r="P1097" s="14" t="s">
        <v>7705</v>
      </c>
      <c r="Q1097" s="14" t="s">
        <v>419</v>
      </c>
      <c r="R1097" s="14" t="s">
        <v>7706</v>
      </c>
      <c r="S1097" s="14" t="s">
        <v>2931</v>
      </c>
      <c r="T1097" s="14" t="s">
        <v>2932</v>
      </c>
      <c r="U1097" s="14" t="s">
        <v>2933</v>
      </c>
      <c r="V1097" s="48">
        <f>SUMIF(Data!$E:$E,$I1097,Data!$AI:$AI)</f>
        <v>0</v>
      </c>
    </row>
    <row r="1098" spans="1:22" x14ac:dyDescent="0.25">
      <c r="A1098" s="47" t="s">
        <v>7140</v>
      </c>
      <c r="B1098" s="47" t="s">
        <v>123</v>
      </c>
      <c r="C1098" s="47" t="s">
        <v>7707</v>
      </c>
      <c r="D1098" s="47">
        <v>0.24153102434064699</v>
      </c>
      <c r="E1098" s="48">
        <f>SUMIF(Data!$E:$E,$C1098,Data!$AI:$AI)</f>
        <v>0</v>
      </c>
      <c r="I1098" s="14" t="s">
        <v>7708</v>
      </c>
      <c r="J1098" s="14" t="s">
        <v>7709</v>
      </c>
      <c r="K1098" s="14" t="s">
        <v>140</v>
      </c>
      <c r="L1098" s="14" t="s">
        <v>5642</v>
      </c>
      <c r="M1098" s="14" t="s">
        <v>7710</v>
      </c>
      <c r="N1098" s="14">
        <v>158.899</v>
      </c>
      <c r="O1098" s="14" t="s">
        <v>7711</v>
      </c>
      <c r="P1098" s="14" t="s">
        <v>7712</v>
      </c>
      <c r="Q1098" s="14" t="s">
        <v>809</v>
      </c>
      <c r="R1098" s="14" t="s">
        <v>7713</v>
      </c>
      <c r="S1098" s="14" t="s">
        <v>195</v>
      </c>
      <c r="T1098" s="14" t="s">
        <v>149</v>
      </c>
      <c r="U1098" s="14" t="s">
        <v>113</v>
      </c>
      <c r="V1098" s="48">
        <f>SUMIF(Data!$E:$E,$I1098,Data!$AI:$AI)</f>
        <v>0</v>
      </c>
    </row>
    <row r="1099" spans="1:22" x14ac:dyDescent="0.25">
      <c r="A1099" s="47" t="s">
        <v>7140</v>
      </c>
      <c r="B1099" s="47" t="s">
        <v>123</v>
      </c>
      <c r="C1099" s="47" t="s">
        <v>7714</v>
      </c>
      <c r="D1099" s="47">
        <v>3.5828507282078998</v>
      </c>
      <c r="E1099" s="48">
        <f>SUMIF(Data!$E:$E,$C1099,Data!$AI:$AI)</f>
        <v>0</v>
      </c>
      <c r="I1099" s="14" t="s">
        <v>7715</v>
      </c>
      <c r="J1099" s="14" t="s">
        <v>7716</v>
      </c>
      <c r="K1099" s="14" t="s">
        <v>140</v>
      </c>
      <c r="L1099" s="14" t="s">
        <v>5642</v>
      </c>
      <c r="M1099" s="14" t="s">
        <v>7717</v>
      </c>
      <c r="N1099" s="14">
        <v>456.39600000000002</v>
      </c>
      <c r="O1099" s="14" t="s">
        <v>7718</v>
      </c>
      <c r="P1099" s="14" t="s">
        <v>7719</v>
      </c>
      <c r="Q1099" s="14" t="s">
        <v>809</v>
      </c>
      <c r="R1099" s="14" t="s">
        <v>7720</v>
      </c>
      <c r="S1099" s="14" t="s">
        <v>526</v>
      </c>
      <c r="T1099" s="14" t="s">
        <v>527</v>
      </c>
      <c r="U1099" s="14" t="s">
        <v>528</v>
      </c>
      <c r="V1099" s="48">
        <f>SUMIF(Data!$E:$E,$I1099,Data!$AI:$AI)</f>
        <v>0</v>
      </c>
    </row>
    <row r="1100" spans="1:22" x14ac:dyDescent="0.25">
      <c r="A1100" s="47" t="s">
        <v>7140</v>
      </c>
      <c r="B1100" s="47" t="s">
        <v>123</v>
      </c>
      <c r="C1100" s="47" t="s">
        <v>7721</v>
      </c>
      <c r="D1100" s="47">
        <v>1.30401931950782</v>
      </c>
      <c r="E1100" s="48">
        <f>SUMIF(Data!$E:$E,$C1100,Data!$AI:$AI)</f>
        <v>0</v>
      </c>
      <c r="I1100" s="14" t="s">
        <v>7722</v>
      </c>
      <c r="J1100" s="14" t="s">
        <v>7723</v>
      </c>
      <c r="K1100" s="14" t="s">
        <v>140</v>
      </c>
      <c r="L1100" s="14" t="s">
        <v>5642</v>
      </c>
      <c r="M1100" s="14" t="s">
        <v>7724</v>
      </c>
      <c r="N1100" s="14">
        <v>326.89699999999999</v>
      </c>
      <c r="O1100" s="14" t="s">
        <v>7725</v>
      </c>
      <c r="P1100" s="14" t="s">
        <v>7726</v>
      </c>
      <c r="Q1100" s="14" t="s">
        <v>419</v>
      </c>
      <c r="R1100" s="14" t="s">
        <v>7727</v>
      </c>
      <c r="S1100" s="14" t="s">
        <v>2931</v>
      </c>
      <c r="T1100" s="14" t="s">
        <v>2932</v>
      </c>
      <c r="U1100" s="14" t="s">
        <v>2933</v>
      </c>
      <c r="V1100" s="48">
        <f>SUMIF(Data!$E:$E,$I1100,Data!$AI:$AI)</f>
        <v>0</v>
      </c>
    </row>
    <row r="1101" spans="1:22" x14ac:dyDescent="0.25">
      <c r="A1101" s="47" t="s">
        <v>7140</v>
      </c>
      <c r="B1101" s="47" t="s">
        <v>123</v>
      </c>
      <c r="C1101" s="47" t="s">
        <v>7728</v>
      </c>
      <c r="D1101" s="47">
        <v>0.69299053154878199</v>
      </c>
      <c r="E1101" s="48">
        <f>SUMIF(Data!$E:$E,$C1101,Data!$AI:$AI)</f>
        <v>0</v>
      </c>
      <c r="I1101" s="14" t="s">
        <v>7729</v>
      </c>
      <c r="J1101" s="14" t="s">
        <v>7730</v>
      </c>
      <c r="K1101" s="14" t="s">
        <v>140</v>
      </c>
      <c r="L1101" s="14" t="s">
        <v>5642</v>
      </c>
      <c r="M1101" s="14" t="s">
        <v>7731</v>
      </c>
      <c r="N1101" s="14">
        <v>55.798999999999999</v>
      </c>
      <c r="O1101" s="14" t="s">
        <v>7732</v>
      </c>
      <c r="P1101" s="14" t="s">
        <v>7733</v>
      </c>
      <c r="Q1101" s="14" t="s">
        <v>737</v>
      </c>
      <c r="R1101" s="14" t="s">
        <v>7734</v>
      </c>
      <c r="S1101" s="14" t="s">
        <v>195</v>
      </c>
      <c r="T1101" s="14" t="s">
        <v>149</v>
      </c>
      <c r="U1101" s="14" t="s">
        <v>113</v>
      </c>
      <c r="V1101" s="48">
        <f>SUMIF(Data!$E:$E,$I1101,Data!$AI:$AI)</f>
        <v>0</v>
      </c>
    </row>
    <row r="1102" spans="1:22" x14ac:dyDescent="0.25">
      <c r="A1102" s="47" t="s">
        <v>7140</v>
      </c>
      <c r="B1102" s="47" t="s">
        <v>123</v>
      </c>
      <c r="C1102" s="47" t="s">
        <v>7735</v>
      </c>
      <c r="D1102" s="47">
        <v>0.94474900993039901</v>
      </c>
      <c r="E1102" s="48">
        <f>SUMIF(Data!$E:$E,$C1102,Data!$AI:$AI)</f>
        <v>0</v>
      </c>
      <c r="I1102" s="14" t="s">
        <v>7736</v>
      </c>
      <c r="J1102" s="14" t="s">
        <v>7737</v>
      </c>
      <c r="K1102" s="14" t="s">
        <v>140</v>
      </c>
      <c r="L1102" s="14" t="s">
        <v>5642</v>
      </c>
      <c r="M1102" s="14" t="s">
        <v>7738</v>
      </c>
      <c r="N1102" s="14">
        <v>7.39</v>
      </c>
      <c r="O1102" s="14" t="s">
        <v>7739</v>
      </c>
      <c r="P1102" s="14" t="s">
        <v>7740</v>
      </c>
      <c r="Q1102" s="14" t="s">
        <v>211</v>
      </c>
      <c r="R1102" s="14" t="s">
        <v>7741</v>
      </c>
      <c r="S1102" s="14" t="s">
        <v>563</v>
      </c>
      <c r="T1102" s="14" t="s">
        <v>564</v>
      </c>
      <c r="U1102" s="14" t="s">
        <v>528</v>
      </c>
      <c r="V1102" s="48">
        <f>SUMIF(Data!$E:$E,$I1102,Data!$AI:$AI)</f>
        <v>0</v>
      </c>
    </row>
    <row r="1103" spans="1:22" x14ac:dyDescent="0.25">
      <c r="A1103" s="47" t="s">
        <v>7140</v>
      </c>
      <c r="B1103" s="47" t="s">
        <v>123</v>
      </c>
      <c r="C1103" s="47" t="s">
        <v>7742</v>
      </c>
      <c r="D1103" s="47">
        <v>4.9568752096608E-2</v>
      </c>
      <c r="E1103" s="48">
        <f>SUMIF(Data!$E:$E,$C1103,Data!$AI:$AI)</f>
        <v>0</v>
      </c>
      <c r="I1103" s="14" t="s">
        <v>7743</v>
      </c>
      <c r="J1103" s="14" t="s">
        <v>7744</v>
      </c>
      <c r="K1103" s="14" t="s">
        <v>140</v>
      </c>
      <c r="L1103" s="14" t="s">
        <v>5642</v>
      </c>
      <c r="M1103" s="14" t="s">
        <v>7745</v>
      </c>
      <c r="N1103" s="14" t="s">
        <v>7746</v>
      </c>
      <c r="O1103" s="14" t="s">
        <v>7747</v>
      </c>
      <c r="P1103" s="14" t="s">
        <v>7748</v>
      </c>
      <c r="Q1103" s="14" t="s">
        <v>165</v>
      </c>
      <c r="R1103" s="14" t="s">
        <v>7749</v>
      </c>
      <c r="S1103" s="14" t="s">
        <v>479</v>
      </c>
      <c r="T1103" s="14" t="s">
        <v>480</v>
      </c>
      <c r="U1103" s="14" t="s">
        <v>481</v>
      </c>
      <c r="V1103" s="48">
        <f>SUMIF(Data!$E:$E,$I1103,Data!$AI:$AI)</f>
        <v>0</v>
      </c>
    </row>
    <row r="1104" spans="1:22" x14ac:dyDescent="0.25">
      <c r="A1104" s="47" t="s">
        <v>7140</v>
      </c>
      <c r="B1104" s="47" t="s">
        <v>123</v>
      </c>
      <c r="C1104" s="47" t="s">
        <v>7750</v>
      </c>
      <c r="D1104" s="47">
        <v>8.8107442962709996E-3</v>
      </c>
      <c r="E1104" s="48">
        <f>SUMIF(Data!$E:$E,$C1104,Data!$AI:$AI)</f>
        <v>0</v>
      </c>
      <c r="I1104" s="14">
        <v>4536</v>
      </c>
      <c r="J1104" s="14" t="s">
        <v>7751</v>
      </c>
      <c r="K1104" s="14" t="s">
        <v>140</v>
      </c>
      <c r="L1104" s="14" t="s">
        <v>5642</v>
      </c>
      <c r="M1104" s="14" t="s">
        <v>7752</v>
      </c>
      <c r="N1104" s="14">
        <v>204.244</v>
      </c>
      <c r="O1104" s="14" t="s">
        <v>7753</v>
      </c>
      <c r="P1104" s="14" t="s">
        <v>7754</v>
      </c>
      <c r="Q1104" s="14" t="s">
        <v>211</v>
      </c>
      <c r="R1104" s="14" t="s">
        <v>7755</v>
      </c>
      <c r="S1104" s="14" t="s">
        <v>444</v>
      </c>
      <c r="T1104" s="14" t="s">
        <v>445</v>
      </c>
      <c r="U1104" s="14" t="s">
        <v>446</v>
      </c>
      <c r="V1104" s="48">
        <f>SUMIF(Data!$E:$E,$I1104,Data!$AI:$AI)</f>
        <v>0</v>
      </c>
    </row>
    <row r="1105" spans="1:22" x14ac:dyDescent="0.25">
      <c r="A1105" s="47" t="s">
        <v>7140</v>
      </c>
      <c r="B1105" s="47" t="s">
        <v>123</v>
      </c>
      <c r="C1105" s="47" t="s">
        <v>7756</v>
      </c>
      <c r="D1105" s="47">
        <v>1.16638102150344</v>
      </c>
      <c r="E1105" s="48">
        <f>SUMIF(Data!$E:$E,$C1105,Data!$AI:$AI)</f>
        <v>0</v>
      </c>
      <c r="I1105" s="14">
        <v>5332</v>
      </c>
      <c r="J1105" s="14" t="s">
        <v>7757</v>
      </c>
      <c r="K1105" s="14" t="s">
        <v>140</v>
      </c>
      <c r="L1105" s="14" t="s">
        <v>5642</v>
      </c>
      <c r="M1105" s="14" t="s">
        <v>7758</v>
      </c>
      <c r="N1105" s="14">
        <v>93.057000000000002</v>
      </c>
      <c r="O1105" s="14" t="s">
        <v>7759</v>
      </c>
      <c r="P1105" s="14" t="s">
        <v>7760</v>
      </c>
      <c r="Q1105" s="14" t="s">
        <v>419</v>
      </c>
      <c r="R1105" s="14" t="s">
        <v>7761</v>
      </c>
      <c r="S1105" s="14" t="s">
        <v>444</v>
      </c>
      <c r="T1105" s="14" t="s">
        <v>445</v>
      </c>
      <c r="U1105" s="14" t="s">
        <v>446</v>
      </c>
      <c r="V1105" s="48">
        <f>SUMIF(Data!$E:$E,$I1105,Data!$AI:$AI)</f>
        <v>0</v>
      </c>
    </row>
    <row r="1106" spans="1:22" x14ac:dyDescent="0.25">
      <c r="A1106" s="47" t="s">
        <v>7140</v>
      </c>
      <c r="B1106" s="47" t="s">
        <v>123</v>
      </c>
      <c r="C1106" s="47" t="s">
        <v>7762</v>
      </c>
      <c r="D1106" s="47">
        <v>0.68160968586699899</v>
      </c>
      <c r="E1106" s="48">
        <f>SUMIF(Data!$E:$E,$C1106,Data!$AI:$AI)</f>
        <v>0</v>
      </c>
      <c r="I1106" s="14">
        <v>6479</v>
      </c>
      <c r="J1106" s="14" t="s">
        <v>7763</v>
      </c>
      <c r="K1106" s="14" t="s">
        <v>140</v>
      </c>
      <c r="L1106" s="14" t="s">
        <v>5642</v>
      </c>
      <c r="M1106" s="14" t="s">
        <v>7764</v>
      </c>
      <c r="N1106" s="14">
        <v>185.15</v>
      </c>
      <c r="O1106" s="14" t="s">
        <v>7765</v>
      </c>
      <c r="P1106" s="14" t="s">
        <v>7766</v>
      </c>
      <c r="Q1106" s="14" t="s">
        <v>419</v>
      </c>
      <c r="R1106" s="14" t="s">
        <v>7767</v>
      </c>
      <c r="S1106" s="14" t="s">
        <v>444</v>
      </c>
      <c r="T1106" s="14" t="s">
        <v>445</v>
      </c>
      <c r="U1106" s="14" t="s">
        <v>446</v>
      </c>
      <c r="V1106" s="48">
        <f>SUMIF(Data!$E:$E,$I1106,Data!$AI:$AI)</f>
        <v>0</v>
      </c>
    </row>
    <row r="1107" spans="1:22" x14ac:dyDescent="0.25">
      <c r="A1107" s="47" t="s">
        <v>7140</v>
      </c>
      <c r="B1107" s="47" t="s">
        <v>123</v>
      </c>
      <c r="C1107" s="47" t="s">
        <v>7768</v>
      </c>
      <c r="D1107" s="47">
        <v>3.9255152570782E-2</v>
      </c>
      <c r="E1107" s="48">
        <f>SUMIF(Data!$E:$E,$C1107,Data!$AI:$AI)</f>
        <v>0</v>
      </c>
      <c r="I1107" s="14">
        <v>9503</v>
      </c>
      <c r="J1107" s="14" t="s">
        <v>7769</v>
      </c>
      <c r="K1107" s="14" t="s">
        <v>140</v>
      </c>
      <c r="L1107" s="14" t="s">
        <v>5642</v>
      </c>
      <c r="M1107" s="14" t="s">
        <v>7770</v>
      </c>
      <c r="N1107" s="14">
        <v>353.48</v>
      </c>
      <c r="O1107" s="14" t="s">
        <v>7771</v>
      </c>
      <c r="P1107" s="14" t="s">
        <v>7772</v>
      </c>
      <c r="Q1107" s="14" t="s">
        <v>697</v>
      </c>
      <c r="R1107" s="14" t="s">
        <v>7773</v>
      </c>
      <c r="S1107" s="14" t="s">
        <v>444</v>
      </c>
      <c r="T1107" s="14" t="s">
        <v>445</v>
      </c>
      <c r="U1107" s="14" t="s">
        <v>446</v>
      </c>
      <c r="V1107" s="48">
        <f>SUMIF(Data!$E:$E,$I1107,Data!$AI:$AI)</f>
        <v>0</v>
      </c>
    </row>
    <row r="1108" spans="1:22" x14ac:dyDescent="0.25">
      <c r="A1108" s="47" t="s">
        <v>7140</v>
      </c>
      <c r="B1108" s="47" t="s">
        <v>123</v>
      </c>
      <c r="C1108" s="47" t="s">
        <v>7774</v>
      </c>
      <c r="D1108" s="47">
        <v>0.19386019930663201</v>
      </c>
      <c r="E1108" s="48">
        <f>SUMIF(Data!$E:$E,$C1108,Data!$AI:$AI)</f>
        <v>0</v>
      </c>
      <c r="I1108" s="14">
        <v>7752</v>
      </c>
      <c r="J1108" s="14" t="s">
        <v>7775</v>
      </c>
      <c r="K1108" s="14" t="s">
        <v>140</v>
      </c>
      <c r="L1108" s="14" t="s">
        <v>5642</v>
      </c>
      <c r="M1108" s="14" t="s">
        <v>7776</v>
      </c>
      <c r="N1108" s="14">
        <v>349.7</v>
      </c>
      <c r="O1108" s="14" t="s">
        <v>7777</v>
      </c>
      <c r="P1108" s="14" t="s">
        <v>7778</v>
      </c>
      <c r="Q1108" s="14" t="s">
        <v>146</v>
      </c>
      <c r="R1108" s="14" t="s">
        <v>7779</v>
      </c>
      <c r="S1108" s="14" t="s">
        <v>444</v>
      </c>
      <c r="T1108" s="14" t="s">
        <v>445</v>
      </c>
      <c r="U1108" s="14" t="s">
        <v>446</v>
      </c>
      <c r="V1108" s="48">
        <f>SUMIF(Data!$E:$E,$I1108,Data!$AI:$AI)</f>
        <v>0</v>
      </c>
    </row>
    <row r="1109" spans="1:22" x14ac:dyDescent="0.25">
      <c r="A1109" s="47" t="s">
        <v>7140</v>
      </c>
      <c r="B1109" s="47" t="s">
        <v>123</v>
      </c>
      <c r="C1109" s="47" t="s">
        <v>7780</v>
      </c>
      <c r="D1109" s="47">
        <v>1.0272403316490299</v>
      </c>
      <c r="E1109" s="48">
        <f>SUMIF(Data!$E:$E,$C1109,Data!$AI:$AI)</f>
        <v>0</v>
      </c>
      <c r="I1109" s="14" t="s">
        <v>7781</v>
      </c>
      <c r="J1109" s="14" t="s">
        <v>7782</v>
      </c>
      <c r="K1109" s="14" t="s">
        <v>140</v>
      </c>
      <c r="L1109" s="14" t="s">
        <v>5642</v>
      </c>
      <c r="M1109" s="14" t="s">
        <v>7783</v>
      </c>
      <c r="N1109" s="14">
        <v>45.506999999999998</v>
      </c>
      <c r="O1109" s="14" t="s">
        <v>7784</v>
      </c>
      <c r="P1109" s="14" t="s">
        <v>7785</v>
      </c>
      <c r="Q1109" s="14" t="s">
        <v>419</v>
      </c>
      <c r="R1109" s="14" t="s">
        <v>7786</v>
      </c>
      <c r="S1109" s="14" t="s">
        <v>148</v>
      </c>
      <c r="T1109" s="14" t="s">
        <v>149</v>
      </c>
      <c r="U1109" s="14" t="s">
        <v>113</v>
      </c>
      <c r="V1109" s="48">
        <f>SUMIF(Data!$E:$E,$I1109,Data!$AI:$AI)</f>
        <v>0</v>
      </c>
    </row>
    <row r="1110" spans="1:22" x14ac:dyDescent="0.25">
      <c r="A1110" s="47" t="s">
        <v>7140</v>
      </c>
      <c r="B1110" s="47" t="s">
        <v>123</v>
      </c>
      <c r="C1110" s="47" t="s">
        <v>7787</v>
      </c>
      <c r="D1110" s="47">
        <v>0.57270034207786302</v>
      </c>
      <c r="E1110" s="48">
        <f>SUMIF(Data!$E:$E,$C1110,Data!$AI:$AI)</f>
        <v>0</v>
      </c>
      <c r="I1110" s="14" t="s">
        <v>7788</v>
      </c>
      <c r="J1110" s="14" t="s">
        <v>7789</v>
      </c>
      <c r="K1110" s="14" t="s">
        <v>140</v>
      </c>
      <c r="L1110" s="14" t="s">
        <v>5642</v>
      </c>
      <c r="M1110" s="14" t="s">
        <v>7790</v>
      </c>
      <c r="N1110" s="14">
        <v>267.19299999999998</v>
      </c>
      <c r="O1110" s="14" t="s">
        <v>7791</v>
      </c>
      <c r="P1110" s="14" t="s">
        <v>7792</v>
      </c>
      <c r="Q1110" s="14" t="s">
        <v>193</v>
      </c>
      <c r="R1110" s="14" t="s">
        <v>7793</v>
      </c>
      <c r="S1110" s="14" t="s">
        <v>479</v>
      </c>
      <c r="T1110" s="14" t="s">
        <v>480</v>
      </c>
      <c r="U1110" s="14" t="s">
        <v>481</v>
      </c>
      <c r="V1110" s="48">
        <f>SUMIF(Data!$E:$E,$I1110,Data!$AI:$AI)</f>
        <v>0</v>
      </c>
    </row>
    <row r="1111" spans="1:22" x14ac:dyDescent="0.25">
      <c r="A1111" s="47" t="s">
        <v>7140</v>
      </c>
      <c r="B1111" s="47" t="s">
        <v>123</v>
      </c>
      <c r="C1111" s="47" t="s">
        <v>7794</v>
      </c>
      <c r="D1111" s="47">
        <v>1.7268371479542199</v>
      </c>
      <c r="E1111" s="48">
        <f>SUMIF(Data!$E:$E,$C1111,Data!$AI:$AI)</f>
        <v>0</v>
      </c>
      <c r="I1111" s="14" t="s">
        <v>7795</v>
      </c>
      <c r="J1111" s="14" t="s">
        <v>7796</v>
      </c>
      <c r="K1111" s="14" t="s">
        <v>140</v>
      </c>
      <c r="L1111" s="14" t="s">
        <v>5642</v>
      </c>
      <c r="M1111" s="14" t="s">
        <v>7797</v>
      </c>
      <c r="N1111" s="14">
        <v>23.289000000000001</v>
      </c>
      <c r="O1111" s="14" t="s">
        <v>7798</v>
      </c>
      <c r="P1111" s="14" t="s">
        <v>7799</v>
      </c>
      <c r="Q1111" s="14" t="s">
        <v>809</v>
      </c>
      <c r="R1111" s="14" t="s">
        <v>7800</v>
      </c>
      <c r="S1111" s="14" t="s">
        <v>195</v>
      </c>
      <c r="T1111" s="14" t="s">
        <v>149</v>
      </c>
      <c r="U1111" s="14" t="s">
        <v>113</v>
      </c>
      <c r="V1111" s="48">
        <f>SUMIF(Data!$E:$E,$I1111,Data!$AI:$AI)</f>
        <v>0</v>
      </c>
    </row>
    <row r="1112" spans="1:22" x14ac:dyDescent="0.25">
      <c r="A1112" s="47" t="s">
        <v>7140</v>
      </c>
      <c r="B1112" s="47" t="s">
        <v>123</v>
      </c>
      <c r="C1112" s="47" t="s">
        <v>7801</v>
      </c>
      <c r="D1112" s="47">
        <v>2.7752515280621499</v>
      </c>
      <c r="E1112" s="48">
        <f>SUMIF(Data!$E:$E,$C1112,Data!$AI:$AI)</f>
        <v>0</v>
      </c>
      <c r="I1112" s="14">
        <v>6586</v>
      </c>
      <c r="J1112" s="14" t="s">
        <v>7802</v>
      </c>
      <c r="K1112" s="14" t="s">
        <v>140</v>
      </c>
      <c r="L1112" s="14" t="s">
        <v>5642</v>
      </c>
      <c r="M1112" s="14" t="s">
        <v>7803</v>
      </c>
      <c r="N1112" s="14">
        <v>106.026</v>
      </c>
      <c r="O1112" s="14" t="s">
        <v>7804</v>
      </c>
      <c r="P1112" s="14" t="s">
        <v>7805</v>
      </c>
      <c r="Q1112" s="14" t="s">
        <v>419</v>
      </c>
      <c r="R1112" s="14" t="s">
        <v>7806</v>
      </c>
      <c r="S1112" s="14" t="s">
        <v>444</v>
      </c>
      <c r="T1112" s="14" t="s">
        <v>445</v>
      </c>
      <c r="U1112" s="14" t="s">
        <v>446</v>
      </c>
      <c r="V1112" s="48">
        <f>SUMIF(Data!$E:$E,$I1112,Data!$AI:$AI)</f>
        <v>0</v>
      </c>
    </row>
    <row r="1113" spans="1:22" x14ac:dyDescent="0.25">
      <c r="A1113" s="47" t="s">
        <v>7140</v>
      </c>
      <c r="B1113" s="47" t="s">
        <v>123</v>
      </c>
      <c r="C1113" s="47" t="s">
        <v>7807</v>
      </c>
      <c r="D1113" s="47">
        <v>0.83697877306936197</v>
      </c>
      <c r="E1113" s="48">
        <f>SUMIF(Data!$E:$E,$C1113,Data!$AI:$AI)</f>
        <v>0</v>
      </c>
      <c r="I1113" s="14">
        <v>2802</v>
      </c>
      <c r="J1113" s="14" t="s">
        <v>7808</v>
      </c>
      <c r="K1113" s="14" t="s">
        <v>140</v>
      </c>
      <c r="L1113" s="14" t="s">
        <v>5642</v>
      </c>
      <c r="M1113" s="14" t="s">
        <v>7809</v>
      </c>
      <c r="N1113" s="14">
        <v>238.39500000000001</v>
      </c>
      <c r="O1113" s="14" t="s">
        <v>7810</v>
      </c>
      <c r="P1113" s="14" t="s">
        <v>7811</v>
      </c>
      <c r="Q1113" s="14" t="s">
        <v>227</v>
      </c>
      <c r="R1113" s="14" t="s">
        <v>7812</v>
      </c>
      <c r="S1113" s="14" t="s">
        <v>444</v>
      </c>
      <c r="T1113" s="14" t="s">
        <v>445</v>
      </c>
      <c r="U1113" s="14" t="s">
        <v>446</v>
      </c>
      <c r="V1113" s="48">
        <f>SUMIF(Data!$E:$E,$I1113,Data!$AI:$AI)</f>
        <v>0</v>
      </c>
    </row>
    <row r="1114" spans="1:22" x14ac:dyDescent="0.25">
      <c r="A1114" s="47" t="s">
        <v>7140</v>
      </c>
      <c r="B1114" s="47" t="s">
        <v>123</v>
      </c>
      <c r="C1114" s="47" t="s">
        <v>5362</v>
      </c>
      <c r="D1114" s="47">
        <v>0.88470386123018996</v>
      </c>
      <c r="E1114" s="48">
        <f>SUMIF(Data!$E:$E,$C1114,Data!$AI:$AI)</f>
        <v>0</v>
      </c>
      <c r="I1114" s="14" t="s">
        <v>7813</v>
      </c>
      <c r="J1114" s="14" t="s">
        <v>7814</v>
      </c>
      <c r="K1114" s="14" t="s">
        <v>140</v>
      </c>
      <c r="L1114" s="14" t="s">
        <v>5642</v>
      </c>
      <c r="M1114" s="14" t="s">
        <v>7815</v>
      </c>
      <c r="N1114" s="14">
        <v>107.937</v>
      </c>
      <c r="O1114" s="14" t="s">
        <v>7816</v>
      </c>
      <c r="P1114" s="14" t="s">
        <v>7817</v>
      </c>
      <c r="Q1114" s="14" t="s">
        <v>146</v>
      </c>
      <c r="R1114" s="14" t="s">
        <v>7818</v>
      </c>
      <c r="S1114" s="14" t="s">
        <v>195</v>
      </c>
      <c r="T1114" s="14" t="s">
        <v>149</v>
      </c>
      <c r="U1114" s="14" t="s">
        <v>113</v>
      </c>
      <c r="V1114" s="48">
        <f>SUMIF(Data!$E:$E,$I1114,Data!$AI:$AI)</f>
        <v>0</v>
      </c>
    </row>
    <row r="1115" spans="1:22" x14ac:dyDescent="0.25">
      <c r="A1115" s="47" t="s">
        <v>7140</v>
      </c>
      <c r="B1115" s="47" t="s">
        <v>123</v>
      </c>
      <c r="C1115" s="47" t="s">
        <v>7819</v>
      </c>
      <c r="D1115" s="47">
        <v>2.8775085878259998E-2</v>
      </c>
      <c r="E1115" s="48">
        <f>SUMIF(Data!$E:$E,$C1115,Data!$AI:$AI)</f>
        <v>0</v>
      </c>
      <c r="I1115" s="14" t="s">
        <v>7820</v>
      </c>
      <c r="J1115" s="14" t="s">
        <v>7821</v>
      </c>
      <c r="K1115" s="14" t="s">
        <v>140</v>
      </c>
      <c r="L1115" s="14" t="s">
        <v>5642</v>
      </c>
      <c r="M1115" s="14" t="s">
        <v>7822</v>
      </c>
      <c r="N1115" s="14">
        <v>39.329000000000001</v>
      </c>
      <c r="O1115" s="14" t="s">
        <v>7823</v>
      </c>
      <c r="P1115" s="14" t="s">
        <v>7824</v>
      </c>
      <c r="Q1115" s="14" t="s">
        <v>165</v>
      </c>
      <c r="R1115" s="14" t="s">
        <v>7825</v>
      </c>
      <c r="S1115" s="14" t="s">
        <v>195</v>
      </c>
      <c r="T1115" s="14" t="s">
        <v>149</v>
      </c>
      <c r="U1115" s="14" t="s">
        <v>113</v>
      </c>
      <c r="V1115" s="48">
        <f>SUMIF(Data!$E:$E,$I1115,Data!$AI:$AI)</f>
        <v>0</v>
      </c>
    </row>
    <row r="1116" spans="1:22" x14ac:dyDescent="0.25">
      <c r="A1116" s="47" t="s">
        <v>7140</v>
      </c>
      <c r="B1116" s="47" t="s">
        <v>123</v>
      </c>
      <c r="C1116" s="47" t="s">
        <v>7826</v>
      </c>
      <c r="D1116" s="47">
        <v>0.100004197847401</v>
      </c>
      <c r="E1116" s="48">
        <f>SUMIF(Data!$E:$E,$C1116,Data!$AI:$AI)</f>
        <v>0</v>
      </c>
      <c r="I1116" s="14">
        <v>8795</v>
      </c>
      <c r="J1116" s="14" t="s">
        <v>7827</v>
      </c>
      <c r="K1116" s="14" t="s">
        <v>140</v>
      </c>
      <c r="L1116" s="14" t="s">
        <v>5642</v>
      </c>
      <c r="M1116" s="14" t="s">
        <v>7828</v>
      </c>
      <c r="N1116" s="14">
        <v>326.40499999999997</v>
      </c>
      <c r="O1116" s="14" t="s">
        <v>7829</v>
      </c>
      <c r="P1116" s="14" t="s">
        <v>7830</v>
      </c>
      <c r="Q1116" s="14" t="s">
        <v>193</v>
      </c>
      <c r="R1116" s="14" t="s">
        <v>7831</v>
      </c>
      <c r="S1116" s="14" t="s">
        <v>444</v>
      </c>
      <c r="T1116" s="14" t="s">
        <v>445</v>
      </c>
      <c r="U1116" s="14" t="s">
        <v>446</v>
      </c>
      <c r="V1116" s="48">
        <f>SUMIF(Data!$E:$E,$I1116,Data!$AI:$AI)</f>
        <v>0</v>
      </c>
    </row>
    <row r="1117" spans="1:22" x14ac:dyDescent="0.25">
      <c r="A1117" s="47" t="s">
        <v>7140</v>
      </c>
      <c r="B1117" s="47" t="s">
        <v>123</v>
      </c>
      <c r="C1117" s="47" t="s">
        <v>7832</v>
      </c>
      <c r="D1117" s="47">
        <v>0.47627257506947801</v>
      </c>
      <c r="E1117" s="48">
        <f>SUMIF(Data!$E:$E,$C1117,Data!$AI:$AI)</f>
        <v>0</v>
      </c>
      <c r="I1117" s="14">
        <v>7272</v>
      </c>
      <c r="J1117" s="14" t="s">
        <v>7833</v>
      </c>
      <c r="K1117" s="14" t="s">
        <v>140</v>
      </c>
      <c r="L1117" s="14" t="s">
        <v>5642</v>
      </c>
      <c r="M1117" s="14" t="s">
        <v>3553</v>
      </c>
      <c r="N1117" s="14">
        <v>201.6</v>
      </c>
      <c r="O1117" s="14" t="s">
        <v>7834</v>
      </c>
      <c r="P1117" s="14" t="s">
        <v>7835</v>
      </c>
      <c r="Q1117" s="14" t="s">
        <v>165</v>
      </c>
      <c r="R1117" s="14" t="s">
        <v>7836</v>
      </c>
      <c r="S1117" s="14" t="s">
        <v>444</v>
      </c>
      <c r="T1117" s="14" t="s">
        <v>445</v>
      </c>
      <c r="U1117" s="14" t="s">
        <v>446</v>
      </c>
      <c r="V1117" s="48">
        <f>SUMIF(Data!$E:$E,$I1117,Data!$AI:$AI)</f>
        <v>0</v>
      </c>
    </row>
    <row r="1118" spans="1:22" x14ac:dyDescent="0.25">
      <c r="A1118" s="47" t="s">
        <v>7140</v>
      </c>
      <c r="B1118" s="47" t="s">
        <v>123</v>
      </c>
      <c r="C1118" s="47" t="s">
        <v>7837</v>
      </c>
      <c r="D1118" s="47">
        <v>2.1870684909739001E-2</v>
      </c>
      <c r="E1118" s="48">
        <f>SUMIF(Data!$E:$E,$C1118,Data!$AI:$AI)</f>
        <v>0</v>
      </c>
      <c r="I1118" s="14" t="s">
        <v>7838</v>
      </c>
      <c r="J1118" s="14" t="s">
        <v>7839</v>
      </c>
      <c r="K1118" s="14" t="s">
        <v>140</v>
      </c>
      <c r="L1118" s="14" t="s">
        <v>5642</v>
      </c>
      <c r="M1118" s="14" t="s">
        <v>7840</v>
      </c>
      <c r="N1118" s="14">
        <v>237.31100000000001</v>
      </c>
      <c r="O1118" s="14" t="s">
        <v>7841</v>
      </c>
      <c r="P1118" s="14" t="s">
        <v>7842</v>
      </c>
      <c r="Q1118" s="14" t="s">
        <v>165</v>
      </c>
      <c r="R1118" s="14" t="s">
        <v>7843</v>
      </c>
      <c r="S1118" s="14" t="s">
        <v>479</v>
      </c>
      <c r="T1118" s="14" t="s">
        <v>480</v>
      </c>
      <c r="U1118" s="14" t="s">
        <v>481</v>
      </c>
      <c r="V1118" s="48">
        <f>SUMIF(Data!$E:$E,$I1118,Data!$AI:$AI)</f>
        <v>0</v>
      </c>
    </row>
    <row r="1119" spans="1:22" x14ac:dyDescent="0.25">
      <c r="A1119" s="47" t="s">
        <v>7140</v>
      </c>
      <c r="B1119" s="47" t="s">
        <v>123</v>
      </c>
      <c r="C1119" s="47" t="s">
        <v>7844</v>
      </c>
      <c r="D1119" s="47">
        <v>0.100139601652407</v>
      </c>
      <c r="E1119" s="48">
        <f>SUMIF(Data!$E:$E,$C1119,Data!$AI:$AI)</f>
        <v>0</v>
      </c>
      <c r="I1119" s="14">
        <v>2269</v>
      </c>
      <c r="J1119" s="14" t="s">
        <v>7845</v>
      </c>
      <c r="K1119" s="14" t="s">
        <v>140</v>
      </c>
      <c r="L1119" s="14" t="s">
        <v>5642</v>
      </c>
      <c r="M1119" s="14" t="s">
        <v>7846</v>
      </c>
      <c r="N1119" s="14">
        <v>56.7</v>
      </c>
      <c r="O1119" s="14" t="s">
        <v>7847</v>
      </c>
      <c r="P1119" s="14" t="s">
        <v>7848</v>
      </c>
      <c r="Q1119" s="14" t="s">
        <v>227</v>
      </c>
      <c r="R1119" s="14" t="s">
        <v>7849</v>
      </c>
      <c r="S1119" s="14" t="s">
        <v>444</v>
      </c>
      <c r="T1119" s="14" t="s">
        <v>445</v>
      </c>
      <c r="U1119" s="14" t="s">
        <v>446</v>
      </c>
      <c r="V1119" s="48">
        <f>SUMIF(Data!$E:$E,$I1119,Data!$AI:$AI)</f>
        <v>0</v>
      </c>
    </row>
    <row r="1120" spans="1:22" x14ac:dyDescent="0.25">
      <c r="A1120" s="47" t="s">
        <v>7140</v>
      </c>
      <c r="B1120" s="47" t="s">
        <v>123</v>
      </c>
      <c r="C1120" s="47" t="s">
        <v>2407</v>
      </c>
      <c r="D1120" s="47">
        <v>0.16177636970010401</v>
      </c>
      <c r="E1120" s="48">
        <f>SUMIF(Data!$E:$E,$C1120,Data!$AI:$AI)</f>
        <v>0</v>
      </c>
      <c r="I1120" s="14" t="s">
        <v>2754</v>
      </c>
      <c r="J1120" s="14" t="s">
        <v>7850</v>
      </c>
      <c r="K1120" s="14" t="s">
        <v>140</v>
      </c>
      <c r="L1120" s="14" t="s">
        <v>5642</v>
      </c>
      <c r="M1120" s="14" t="s">
        <v>7851</v>
      </c>
      <c r="N1120" s="14">
        <v>40.902000000000001</v>
      </c>
      <c r="O1120" s="14" t="s">
        <v>7852</v>
      </c>
      <c r="P1120" s="14" t="s">
        <v>7853</v>
      </c>
      <c r="Q1120" s="14" t="s">
        <v>419</v>
      </c>
      <c r="R1120" s="14" t="s">
        <v>7854</v>
      </c>
      <c r="S1120" s="14" t="s">
        <v>195</v>
      </c>
      <c r="T1120" s="14" t="s">
        <v>149</v>
      </c>
      <c r="U1120" s="14" t="s">
        <v>113</v>
      </c>
      <c r="V1120" s="48">
        <f>SUMIF(Data!$E:$E,$I1120,Data!$AI:$AI)</f>
        <v>0</v>
      </c>
    </row>
    <row r="1121" spans="1:22" x14ac:dyDescent="0.25">
      <c r="A1121" s="47" t="s">
        <v>7140</v>
      </c>
      <c r="B1121" s="47" t="s">
        <v>123</v>
      </c>
      <c r="C1121" s="47" t="s">
        <v>7855</v>
      </c>
      <c r="D1121" s="47">
        <v>0.19470223839953801</v>
      </c>
      <c r="E1121" s="48">
        <f>SUMIF(Data!$E:$E,$C1121,Data!$AI:$AI)</f>
        <v>0</v>
      </c>
      <c r="I1121" s="14" t="s">
        <v>7856</v>
      </c>
      <c r="J1121" s="14" t="s">
        <v>7857</v>
      </c>
      <c r="K1121" s="14" t="s">
        <v>140</v>
      </c>
      <c r="L1121" s="14" t="s">
        <v>5642</v>
      </c>
      <c r="M1121" s="14" t="s">
        <v>7858</v>
      </c>
      <c r="N1121" s="14">
        <v>34.124000000000002</v>
      </c>
      <c r="O1121" s="14" t="s">
        <v>7859</v>
      </c>
      <c r="P1121" s="14" t="s">
        <v>7860</v>
      </c>
      <c r="Q1121" s="14" t="s">
        <v>809</v>
      </c>
      <c r="R1121" s="14" t="s">
        <v>7861</v>
      </c>
      <c r="S1121" s="14" t="s">
        <v>563</v>
      </c>
      <c r="T1121" s="14" t="s">
        <v>564</v>
      </c>
      <c r="U1121" s="14" t="s">
        <v>528</v>
      </c>
      <c r="V1121" s="48">
        <f>SUMIF(Data!$E:$E,$I1121,Data!$AI:$AI)</f>
        <v>0</v>
      </c>
    </row>
    <row r="1122" spans="1:22" x14ac:dyDescent="0.25">
      <c r="A1122" s="47" t="s">
        <v>7140</v>
      </c>
      <c r="B1122" s="47" t="s">
        <v>123</v>
      </c>
      <c r="C1122" s="47" t="s">
        <v>7862</v>
      </c>
      <c r="D1122" s="47">
        <v>0.146119867345256</v>
      </c>
      <c r="E1122" s="48">
        <f>SUMIF(Data!$E:$E,$C1122,Data!$AI:$AI)</f>
        <v>0</v>
      </c>
      <c r="I1122" s="14" t="s">
        <v>7863</v>
      </c>
      <c r="J1122" s="14" t="s">
        <v>7864</v>
      </c>
      <c r="K1122" s="14" t="s">
        <v>140</v>
      </c>
      <c r="L1122" s="14" t="s">
        <v>5642</v>
      </c>
      <c r="M1122" s="14" t="s">
        <v>7865</v>
      </c>
      <c r="N1122" s="14">
        <v>53.573</v>
      </c>
      <c r="O1122" s="14" t="s">
        <v>7866</v>
      </c>
      <c r="P1122" s="14" t="s">
        <v>7867</v>
      </c>
      <c r="Q1122" s="14" t="s">
        <v>146</v>
      </c>
      <c r="R1122" s="14" t="s">
        <v>7868</v>
      </c>
      <c r="S1122" s="14" t="s">
        <v>563</v>
      </c>
      <c r="T1122" s="14" t="s">
        <v>564</v>
      </c>
      <c r="U1122" s="14" t="s">
        <v>528</v>
      </c>
      <c r="V1122" s="48">
        <f>SUMIF(Data!$E:$E,$I1122,Data!$AI:$AI)</f>
        <v>0</v>
      </c>
    </row>
    <row r="1123" spans="1:22" x14ac:dyDescent="0.25">
      <c r="A1123" s="47" t="s">
        <v>7140</v>
      </c>
      <c r="B1123" s="47" t="s">
        <v>123</v>
      </c>
      <c r="C1123" s="47" t="s">
        <v>7869</v>
      </c>
      <c r="D1123" s="47">
        <v>1.8089384903960001E-2</v>
      </c>
      <c r="E1123" s="48">
        <f>SUMIF(Data!$E:$E,$C1123,Data!$AI:$AI)</f>
        <v>0</v>
      </c>
      <c r="I1123" s="14" t="s">
        <v>7870</v>
      </c>
      <c r="J1123" s="14" t="s">
        <v>7871</v>
      </c>
      <c r="K1123" s="14" t="s">
        <v>140</v>
      </c>
      <c r="L1123" s="14" t="s">
        <v>5642</v>
      </c>
      <c r="M1123" s="14" t="s">
        <v>7872</v>
      </c>
      <c r="N1123" s="14">
        <v>36.831000000000003</v>
      </c>
      <c r="O1123" s="14" t="s">
        <v>7873</v>
      </c>
      <c r="P1123" s="14" t="s">
        <v>7874</v>
      </c>
      <c r="Q1123" s="14" t="s">
        <v>193</v>
      </c>
      <c r="R1123" s="14" t="s">
        <v>7875</v>
      </c>
      <c r="S1123" s="14" t="s">
        <v>1277</v>
      </c>
      <c r="T1123" s="14" t="s">
        <v>1278</v>
      </c>
      <c r="U1123" s="14" t="s">
        <v>528</v>
      </c>
      <c r="V1123" s="48">
        <f>SUMIF(Data!$E:$E,$I1123,Data!$AI:$AI)</f>
        <v>0</v>
      </c>
    </row>
    <row r="1124" spans="1:22" x14ac:dyDescent="0.25">
      <c r="A1124" s="47" t="s">
        <v>7140</v>
      </c>
      <c r="B1124" s="47" t="s">
        <v>123</v>
      </c>
      <c r="C1124" s="47" t="s">
        <v>7876</v>
      </c>
      <c r="D1124" s="47">
        <v>5.0305871906669998E-2</v>
      </c>
      <c r="E1124" s="48">
        <f>SUMIF(Data!$E:$E,$C1124,Data!$AI:$AI)</f>
        <v>0</v>
      </c>
      <c r="I1124" s="14">
        <v>1801</v>
      </c>
      <c r="J1124" s="14" t="s">
        <v>7877</v>
      </c>
      <c r="K1124" s="14" t="s">
        <v>140</v>
      </c>
      <c r="L1124" s="14" t="s">
        <v>5642</v>
      </c>
      <c r="M1124" s="14" t="s">
        <v>7878</v>
      </c>
      <c r="N1124" s="14">
        <v>94.197999999999993</v>
      </c>
      <c r="O1124" s="14" t="s">
        <v>7879</v>
      </c>
      <c r="P1124" s="14" t="s">
        <v>7880</v>
      </c>
      <c r="Q1124" s="14" t="s">
        <v>419</v>
      </c>
      <c r="R1124" s="14" t="s">
        <v>7881</v>
      </c>
      <c r="S1124" s="14" t="s">
        <v>444</v>
      </c>
      <c r="T1124" s="14" t="s">
        <v>445</v>
      </c>
      <c r="U1124" s="14" t="s">
        <v>446</v>
      </c>
      <c r="V1124" s="48">
        <f>SUMIF(Data!$E:$E,$I1124,Data!$AI:$AI)</f>
        <v>0</v>
      </c>
    </row>
    <row r="1125" spans="1:22" x14ac:dyDescent="0.25">
      <c r="A1125" s="47" t="s">
        <v>7140</v>
      </c>
      <c r="B1125" s="47" t="s">
        <v>123</v>
      </c>
      <c r="C1125" s="47" t="s">
        <v>7882</v>
      </c>
      <c r="D1125" s="47">
        <v>7.2521041769425004E-2</v>
      </c>
      <c r="E1125" s="48">
        <f>SUMIF(Data!$E:$E,$C1125,Data!$AI:$AI)</f>
        <v>0</v>
      </c>
      <c r="I1125" s="14" t="s">
        <v>7883</v>
      </c>
      <c r="J1125" s="14" t="s">
        <v>7884</v>
      </c>
      <c r="K1125" s="14" t="s">
        <v>140</v>
      </c>
      <c r="L1125" s="14" t="s">
        <v>5642</v>
      </c>
      <c r="M1125" s="14" t="s">
        <v>2731</v>
      </c>
      <c r="N1125" s="14">
        <v>54.503999999999998</v>
      </c>
      <c r="O1125" s="14" t="s">
        <v>7885</v>
      </c>
      <c r="P1125" s="14" t="s">
        <v>7886</v>
      </c>
      <c r="Q1125" s="14" t="s">
        <v>419</v>
      </c>
      <c r="R1125" s="14" t="s">
        <v>7887</v>
      </c>
      <c r="S1125" s="14" t="s">
        <v>728</v>
      </c>
      <c r="T1125" s="14" t="s">
        <v>729</v>
      </c>
      <c r="U1125" s="14" t="s">
        <v>730</v>
      </c>
      <c r="V1125" s="48">
        <f>SUMIF(Data!$E:$E,$I1125,Data!$AI:$AI)</f>
        <v>0</v>
      </c>
    </row>
    <row r="1126" spans="1:22" x14ac:dyDescent="0.25">
      <c r="A1126" s="47" t="s">
        <v>7140</v>
      </c>
      <c r="B1126" s="47" t="s">
        <v>123</v>
      </c>
      <c r="C1126" s="47" t="s">
        <v>7888</v>
      </c>
      <c r="D1126" s="47">
        <v>3.6138899156499003E-2</v>
      </c>
      <c r="E1126" s="48">
        <f>SUMIF(Data!$E:$E,$C1126,Data!$AI:$AI)</f>
        <v>0</v>
      </c>
      <c r="I1126" s="14" t="s">
        <v>7889</v>
      </c>
      <c r="J1126" s="14" t="s">
        <v>7890</v>
      </c>
      <c r="K1126" s="14" t="s">
        <v>140</v>
      </c>
      <c r="L1126" s="14" t="s">
        <v>5642</v>
      </c>
      <c r="M1126" s="14" t="s">
        <v>7891</v>
      </c>
      <c r="N1126" s="14" t="s">
        <v>7892</v>
      </c>
      <c r="O1126" s="14" t="s">
        <v>7893</v>
      </c>
      <c r="P1126" s="14" t="s">
        <v>7894</v>
      </c>
      <c r="Q1126" s="14" t="s">
        <v>175</v>
      </c>
      <c r="R1126" s="14" t="s">
        <v>7895</v>
      </c>
      <c r="S1126" s="14" t="s">
        <v>479</v>
      </c>
      <c r="T1126" s="14" t="s">
        <v>480</v>
      </c>
      <c r="U1126" s="14" t="s">
        <v>481</v>
      </c>
      <c r="V1126" s="48">
        <f>SUMIF(Data!$E:$E,$I1126,Data!$AI:$AI)</f>
        <v>0</v>
      </c>
    </row>
    <row r="1127" spans="1:22" x14ac:dyDescent="0.25">
      <c r="A1127" s="47" t="s">
        <v>7140</v>
      </c>
      <c r="B1127" s="47" t="s">
        <v>123</v>
      </c>
      <c r="C1127" s="47" t="s">
        <v>7896</v>
      </c>
      <c r="D1127" s="47">
        <v>6.5785164695285003E-2</v>
      </c>
      <c r="E1127" s="48">
        <f>SUMIF(Data!$E:$E,$C1127,Data!$AI:$AI)</f>
        <v>0</v>
      </c>
      <c r="I1127" s="14" t="s">
        <v>7897</v>
      </c>
      <c r="J1127" s="14" t="s">
        <v>7898</v>
      </c>
      <c r="K1127" s="14" t="s">
        <v>140</v>
      </c>
      <c r="L1127" s="14" t="s">
        <v>5642</v>
      </c>
      <c r="M1127" s="14" t="s">
        <v>7899</v>
      </c>
      <c r="N1127" s="14">
        <v>208.667</v>
      </c>
      <c r="O1127" s="14" t="s">
        <v>7900</v>
      </c>
      <c r="P1127" s="14" t="s">
        <v>7901</v>
      </c>
      <c r="Q1127" s="14" t="s">
        <v>193</v>
      </c>
      <c r="R1127" s="14" t="s">
        <v>7902</v>
      </c>
      <c r="S1127" s="14" t="s">
        <v>645</v>
      </c>
      <c r="T1127" s="14" t="s">
        <v>646</v>
      </c>
      <c r="U1127" s="14" t="s">
        <v>528</v>
      </c>
      <c r="V1127" s="48">
        <f>SUMIF(Data!$E:$E,$I1127,Data!$AI:$AI)</f>
        <v>0</v>
      </c>
    </row>
    <row r="1128" spans="1:22" x14ac:dyDescent="0.25">
      <c r="A1128" s="47" t="s">
        <v>7140</v>
      </c>
      <c r="B1128" s="47" t="s">
        <v>123</v>
      </c>
      <c r="C1128" s="47" t="s">
        <v>7903</v>
      </c>
      <c r="D1128" s="47">
        <v>0.48544540042462803</v>
      </c>
      <c r="E1128" s="48">
        <f>SUMIF(Data!$E:$E,$C1128,Data!$AI:$AI)</f>
        <v>0</v>
      </c>
      <c r="I1128" s="14" t="s">
        <v>7904</v>
      </c>
      <c r="J1128" s="14" t="s">
        <v>7905</v>
      </c>
      <c r="K1128" s="14" t="s">
        <v>140</v>
      </c>
      <c r="L1128" s="14" t="s">
        <v>5642</v>
      </c>
      <c r="M1128" s="14" t="s">
        <v>7906</v>
      </c>
      <c r="N1128" s="14">
        <v>69.298000000000002</v>
      </c>
      <c r="O1128" s="14" t="s">
        <v>7907</v>
      </c>
      <c r="P1128" s="14" t="s">
        <v>7908</v>
      </c>
      <c r="Q1128" s="14" t="s">
        <v>146</v>
      </c>
      <c r="R1128" s="14" t="s">
        <v>7909</v>
      </c>
      <c r="S1128" s="14" t="s">
        <v>148</v>
      </c>
      <c r="T1128" s="14" t="s">
        <v>149</v>
      </c>
      <c r="U1128" s="14" t="s">
        <v>113</v>
      </c>
      <c r="V1128" s="48">
        <f>SUMIF(Data!$E:$E,$I1128,Data!$AI:$AI)</f>
        <v>0</v>
      </c>
    </row>
    <row r="1129" spans="1:22" x14ac:dyDescent="0.25">
      <c r="A1129" s="47" t="s">
        <v>7140</v>
      </c>
      <c r="B1129" s="47" t="s">
        <v>123</v>
      </c>
      <c r="C1129" s="47" t="s">
        <v>7910</v>
      </c>
      <c r="D1129" s="47">
        <v>1.0840685257912E-2</v>
      </c>
      <c r="E1129" s="48">
        <f>SUMIF(Data!$E:$E,$C1129,Data!$AI:$AI)</f>
        <v>0</v>
      </c>
      <c r="I1129" s="14" t="s">
        <v>7911</v>
      </c>
      <c r="J1129" s="14" t="s">
        <v>7912</v>
      </c>
      <c r="K1129" s="14" t="s">
        <v>140</v>
      </c>
      <c r="L1129" s="14" t="s">
        <v>5642</v>
      </c>
      <c r="M1129" s="14" t="s">
        <v>7913</v>
      </c>
      <c r="N1129" s="14">
        <v>80.616</v>
      </c>
      <c r="O1129" s="14" t="s">
        <v>7914</v>
      </c>
      <c r="P1129" s="14" t="s">
        <v>7915</v>
      </c>
      <c r="Q1129" s="14" t="s">
        <v>419</v>
      </c>
      <c r="R1129" s="14" t="s">
        <v>7916</v>
      </c>
      <c r="S1129" s="14" t="s">
        <v>195</v>
      </c>
      <c r="T1129" s="14" t="s">
        <v>149</v>
      </c>
      <c r="U1129" s="14" t="s">
        <v>113</v>
      </c>
      <c r="V1129" s="48">
        <f>SUMIF(Data!$E:$E,$I1129,Data!$AI:$AI)</f>
        <v>0</v>
      </c>
    </row>
    <row r="1130" spans="1:22" x14ac:dyDescent="0.25">
      <c r="A1130" s="47" t="s">
        <v>7140</v>
      </c>
      <c r="B1130" s="47" t="s">
        <v>123</v>
      </c>
      <c r="C1130" s="47" t="s">
        <v>7917</v>
      </c>
      <c r="D1130" s="47">
        <v>5.0490866556660997E-2</v>
      </c>
      <c r="E1130" s="48">
        <f>SUMIF(Data!$E:$E,$C1130,Data!$AI:$AI)</f>
        <v>0</v>
      </c>
      <c r="I1130" s="14">
        <v>4005</v>
      </c>
      <c r="J1130" s="14" t="s">
        <v>7918</v>
      </c>
      <c r="K1130" s="14" t="s">
        <v>140</v>
      </c>
      <c r="L1130" s="14" t="s">
        <v>5642</v>
      </c>
      <c r="M1130" s="14" t="s">
        <v>7919</v>
      </c>
      <c r="N1130" s="14">
        <v>871.52300000000002</v>
      </c>
      <c r="O1130" s="14" t="s">
        <v>7920</v>
      </c>
      <c r="P1130" s="14" t="s">
        <v>7921</v>
      </c>
      <c r="Q1130" s="14" t="s">
        <v>737</v>
      </c>
      <c r="R1130" s="14" t="s">
        <v>7922</v>
      </c>
      <c r="S1130" s="14" t="s">
        <v>444</v>
      </c>
      <c r="T1130" s="14" t="s">
        <v>445</v>
      </c>
      <c r="U1130" s="14" t="s">
        <v>446</v>
      </c>
      <c r="V1130" s="48">
        <f>SUMIF(Data!$E:$E,$I1130,Data!$AI:$AI)</f>
        <v>0</v>
      </c>
    </row>
    <row r="1131" spans="1:22" x14ac:dyDescent="0.25">
      <c r="A1131" s="47" t="s">
        <v>7140</v>
      </c>
      <c r="B1131" s="47" t="s">
        <v>123</v>
      </c>
      <c r="C1131" s="47" t="s">
        <v>7923</v>
      </c>
      <c r="D1131" s="47">
        <v>4.0490465399470002E-2</v>
      </c>
      <c r="E1131" s="48">
        <f>SUMIF(Data!$E:$E,$C1131,Data!$AI:$AI)</f>
        <v>0</v>
      </c>
      <c r="I1131" s="14" t="s">
        <v>7924</v>
      </c>
      <c r="J1131" s="14" t="s">
        <v>7925</v>
      </c>
      <c r="K1131" s="14" t="s">
        <v>140</v>
      </c>
      <c r="L1131" s="14" t="s">
        <v>5642</v>
      </c>
      <c r="M1131" s="14" t="s">
        <v>7926</v>
      </c>
      <c r="N1131" s="14">
        <v>61.107999999999997</v>
      </c>
      <c r="O1131" s="14" t="s">
        <v>7927</v>
      </c>
      <c r="P1131" s="14" t="s">
        <v>7928</v>
      </c>
      <c r="Q1131" s="14" t="s">
        <v>165</v>
      </c>
      <c r="R1131" s="14" t="s">
        <v>7929</v>
      </c>
      <c r="S1131" s="14" t="s">
        <v>479</v>
      </c>
      <c r="T1131" s="14" t="s">
        <v>480</v>
      </c>
      <c r="U1131" s="14" t="s">
        <v>481</v>
      </c>
      <c r="V1131" s="48">
        <f>SUMIF(Data!$E:$E,$I1131,Data!$AI:$AI)</f>
        <v>0</v>
      </c>
    </row>
    <row r="1132" spans="1:22" x14ac:dyDescent="0.25">
      <c r="A1132" s="47" t="s">
        <v>7140</v>
      </c>
      <c r="B1132" s="47" t="s">
        <v>123</v>
      </c>
      <c r="C1132" s="47" t="s">
        <v>3569</v>
      </c>
      <c r="D1132" s="47">
        <v>6.1100488619703998E-2</v>
      </c>
      <c r="E1132" s="48">
        <f>SUMIF(Data!$E:$E,$C1132,Data!$AI:$AI)</f>
        <v>0</v>
      </c>
      <c r="I1132" s="14" t="s">
        <v>7930</v>
      </c>
      <c r="J1132" s="14" t="s">
        <v>7931</v>
      </c>
      <c r="K1132" s="14" t="s">
        <v>140</v>
      </c>
      <c r="L1132" s="14" t="s">
        <v>5642</v>
      </c>
      <c r="M1132" s="14" t="s">
        <v>7932</v>
      </c>
      <c r="N1132" s="14">
        <v>752.76</v>
      </c>
      <c r="O1132" s="14" t="s">
        <v>7933</v>
      </c>
      <c r="P1132" s="14" t="s">
        <v>7934</v>
      </c>
      <c r="Q1132" s="14" t="s">
        <v>419</v>
      </c>
      <c r="R1132" s="14" t="s">
        <v>7935</v>
      </c>
      <c r="S1132" s="14" t="s">
        <v>2368</v>
      </c>
      <c r="T1132" s="14" t="s">
        <v>2369</v>
      </c>
      <c r="U1132" s="14" t="s">
        <v>2370</v>
      </c>
      <c r="V1132" s="48">
        <f>SUMIF(Data!$E:$E,$I1132,Data!$AI:$AI)</f>
        <v>0</v>
      </c>
    </row>
    <row r="1133" spans="1:22" x14ac:dyDescent="0.25">
      <c r="A1133" s="47" t="s">
        <v>7140</v>
      </c>
      <c r="B1133" s="47" t="s">
        <v>123</v>
      </c>
      <c r="C1133" s="47" t="s">
        <v>1225</v>
      </c>
      <c r="D1133" s="47">
        <v>0.13105542699897499</v>
      </c>
      <c r="E1133" s="48">
        <f>SUMIF(Data!$E:$E,$C1133,Data!$AI:$AI)</f>
        <v>0</v>
      </c>
      <c r="I1133" s="14">
        <v>6841</v>
      </c>
      <c r="J1133" s="14" t="s">
        <v>7936</v>
      </c>
      <c r="K1133" s="14" t="s">
        <v>140</v>
      </c>
      <c r="L1133" s="14" t="s">
        <v>5642</v>
      </c>
      <c r="M1133" s="14" t="s">
        <v>7937</v>
      </c>
      <c r="N1133" s="14">
        <v>206.2</v>
      </c>
      <c r="O1133" s="14" t="s">
        <v>7938</v>
      </c>
      <c r="P1133" s="14" t="s">
        <v>7939</v>
      </c>
      <c r="Q1133" s="14" t="s">
        <v>146</v>
      </c>
      <c r="R1133" s="14" t="s">
        <v>7940</v>
      </c>
      <c r="S1133" s="14" t="s">
        <v>444</v>
      </c>
      <c r="T1133" s="14" t="s">
        <v>445</v>
      </c>
      <c r="U1133" s="14" t="s">
        <v>446</v>
      </c>
      <c r="V1133" s="48">
        <f>SUMIF(Data!$E:$E,$I1133,Data!$AI:$AI)</f>
        <v>0</v>
      </c>
    </row>
    <row r="1134" spans="1:22" x14ac:dyDescent="0.25">
      <c r="A1134" s="47" t="s">
        <v>7140</v>
      </c>
      <c r="B1134" s="47" t="s">
        <v>123</v>
      </c>
      <c r="C1134" s="47" t="s">
        <v>6420</v>
      </c>
      <c r="D1134" s="47">
        <v>1.5316906748484E-2</v>
      </c>
      <c r="E1134" s="48">
        <f>SUMIF(Data!$E:$E,$C1134,Data!$AI:$AI)</f>
        <v>0</v>
      </c>
      <c r="I1134" s="14" t="s">
        <v>7941</v>
      </c>
      <c r="J1134" s="14" t="s">
        <v>7942</v>
      </c>
      <c r="K1134" s="14" t="s">
        <v>140</v>
      </c>
      <c r="L1134" s="14" t="s">
        <v>5642</v>
      </c>
      <c r="M1134" s="14" t="s">
        <v>7943</v>
      </c>
      <c r="N1134" s="14">
        <v>58.884999999999998</v>
      </c>
      <c r="O1134" s="14" t="s">
        <v>7944</v>
      </c>
      <c r="P1134" s="14" t="s">
        <v>7945</v>
      </c>
      <c r="Q1134" s="14" t="s">
        <v>419</v>
      </c>
      <c r="R1134" s="14" t="s">
        <v>7946</v>
      </c>
      <c r="S1134" s="14" t="s">
        <v>195</v>
      </c>
      <c r="T1134" s="14" t="s">
        <v>149</v>
      </c>
      <c r="U1134" s="14" t="s">
        <v>113</v>
      </c>
      <c r="V1134" s="48">
        <f>SUMIF(Data!$E:$E,$I1134,Data!$AI:$AI)</f>
        <v>0</v>
      </c>
    </row>
    <row r="1135" spans="1:22" x14ac:dyDescent="0.25">
      <c r="A1135" s="47" t="s">
        <v>7140</v>
      </c>
      <c r="B1135" s="47" t="s">
        <v>123</v>
      </c>
      <c r="C1135" s="47" t="s">
        <v>7947</v>
      </c>
      <c r="D1135" s="47">
        <v>0.33336194801395203</v>
      </c>
      <c r="E1135" s="48">
        <f>SUMIF(Data!$E:$E,$C1135,Data!$AI:$AI)</f>
        <v>0</v>
      </c>
      <c r="I1135" s="14">
        <v>8960</v>
      </c>
      <c r="J1135" s="14" t="s">
        <v>7948</v>
      </c>
      <c r="K1135" s="14" t="s">
        <v>140</v>
      </c>
      <c r="L1135" s="14" t="s">
        <v>5642</v>
      </c>
      <c r="M1135" s="14" t="s">
        <v>7949</v>
      </c>
      <c r="N1135" s="14">
        <v>2.0529999999999999</v>
      </c>
      <c r="O1135" s="14" t="s">
        <v>7950</v>
      </c>
      <c r="P1135" s="14" t="s">
        <v>7951</v>
      </c>
      <c r="Q1135" s="14" t="s">
        <v>809</v>
      </c>
      <c r="R1135" s="14" t="s">
        <v>7952</v>
      </c>
      <c r="S1135" s="14" t="s">
        <v>444</v>
      </c>
      <c r="T1135" s="14" t="s">
        <v>445</v>
      </c>
      <c r="U1135" s="14" t="s">
        <v>446</v>
      </c>
      <c r="V1135" s="48">
        <f>SUMIF(Data!$E:$E,$I1135,Data!$AI:$AI)</f>
        <v>0</v>
      </c>
    </row>
    <row r="1136" spans="1:22" x14ac:dyDescent="0.25">
      <c r="A1136" s="47" t="s">
        <v>7140</v>
      </c>
      <c r="B1136" s="47" t="s">
        <v>123</v>
      </c>
      <c r="C1136" s="47" t="s">
        <v>7953</v>
      </c>
      <c r="D1136" s="47">
        <v>0.39642867291841699</v>
      </c>
      <c r="E1136" s="48">
        <f>SUMIF(Data!$E:$E,$C1136,Data!$AI:$AI)</f>
        <v>0</v>
      </c>
      <c r="I1136" s="14" t="s">
        <v>7954</v>
      </c>
      <c r="J1136" s="14" t="s">
        <v>7955</v>
      </c>
      <c r="K1136" s="14" t="s">
        <v>140</v>
      </c>
      <c r="L1136" s="14" t="s">
        <v>5642</v>
      </c>
      <c r="M1136" s="14" t="s">
        <v>7956</v>
      </c>
      <c r="N1136" s="14">
        <v>158.48400000000001</v>
      </c>
      <c r="O1136" s="14" t="s">
        <v>7957</v>
      </c>
      <c r="P1136" s="14" t="s">
        <v>7958</v>
      </c>
      <c r="Q1136" s="14" t="s">
        <v>193</v>
      </c>
      <c r="R1136" s="14" t="s">
        <v>7959</v>
      </c>
      <c r="S1136" s="14" t="s">
        <v>479</v>
      </c>
      <c r="T1136" s="14" t="s">
        <v>480</v>
      </c>
      <c r="U1136" s="14" t="s">
        <v>481</v>
      </c>
      <c r="V1136" s="48">
        <f>SUMIF(Data!$E:$E,$I1136,Data!$AI:$AI)</f>
        <v>0</v>
      </c>
    </row>
    <row r="1137" spans="1:22" x14ac:dyDescent="0.25">
      <c r="A1137" s="47" t="s">
        <v>7140</v>
      </c>
      <c r="B1137" s="47" t="s">
        <v>123</v>
      </c>
      <c r="C1137" s="47" t="s">
        <v>7960</v>
      </c>
      <c r="D1137" s="47">
        <v>0.29904629792360399</v>
      </c>
      <c r="E1137" s="48">
        <f>SUMIF(Data!$E:$E,$C1137,Data!$AI:$AI)</f>
        <v>0</v>
      </c>
      <c r="I1137" s="14" t="s">
        <v>7961</v>
      </c>
      <c r="J1137" s="14" t="s">
        <v>7962</v>
      </c>
      <c r="K1137" s="14" t="s">
        <v>140</v>
      </c>
      <c r="L1137" s="14" t="s">
        <v>5642</v>
      </c>
      <c r="M1137" s="14" t="s">
        <v>7963</v>
      </c>
      <c r="N1137" s="14">
        <v>111.191</v>
      </c>
      <c r="O1137" s="14" t="s">
        <v>7964</v>
      </c>
      <c r="P1137" s="14" t="s">
        <v>7965</v>
      </c>
      <c r="Q1137" s="14" t="s">
        <v>263</v>
      </c>
      <c r="R1137" s="14" t="s">
        <v>7966</v>
      </c>
      <c r="S1137" s="14" t="s">
        <v>2931</v>
      </c>
      <c r="T1137" s="14" t="s">
        <v>2932</v>
      </c>
      <c r="U1137" s="14" t="s">
        <v>2933</v>
      </c>
      <c r="V1137" s="48">
        <f>SUMIF(Data!$E:$E,$I1137,Data!$AI:$AI)</f>
        <v>0</v>
      </c>
    </row>
    <row r="1138" spans="1:22" x14ac:dyDescent="0.25">
      <c r="A1138" s="47" t="s">
        <v>7967</v>
      </c>
      <c r="B1138" s="47" t="s">
        <v>123</v>
      </c>
      <c r="C1138" s="47" t="s">
        <v>4578</v>
      </c>
      <c r="D1138" s="47">
        <v>5.7827346247927096</v>
      </c>
      <c r="E1138" s="48">
        <f>SUMIF(Data!$E:$E,$C1138,Data!$AI:$AI)</f>
        <v>0.82698926913975535</v>
      </c>
      <c r="I1138" s="14">
        <v>1878</v>
      </c>
      <c r="J1138" s="14" t="s">
        <v>7968</v>
      </c>
      <c r="K1138" s="14" t="s">
        <v>140</v>
      </c>
      <c r="L1138" s="14" t="s">
        <v>5642</v>
      </c>
      <c r="M1138" s="14" t="s">
        <v>7969</v>
      </c>
      <c r="N1138" s="14">
        <v>31.893999999999998</v>
      </c>
      <c r="O1138" s="14" t="s">
        <v>7970</v>
      </c>
      <c r="P1138" s="14" t="s">
        <v>7971</v>
      </c>
      <c r="Q1138" s="14" t="s">
        <v>809</v>
      </c>
      <c r="R1138" s="14" t="s">
        <v>7972</v>
      </c>
      <c r="S1138" s="14" t="s">
        <v>444</v>
      </c>
      <c r="T1138" s="14" t="s">
        <v>445</v>
      </c>
      <c r="U1138" s="14" t="s">
        <v>446</v>
      </c>
      <c r="V1138" s="48">
        <f>SUMIF(Data!$E:$E,$I1138,Data!$AI:$AI)</f>
        <v>0</v>
      </c>
    </row>
    <row r="1139" spans="1:22" x14ac:dyDescent="0.25">
      <c r="A1139" s="47" t="s">
        <v>7967</v>
      </c>
      <c r="B1139" s="47" t="s">
        <v>123</v>
      </c>
      <c r="C1139" s="47" t="s">
        <v>2017</v>
      </c>
      <c r="D1139" s="47">
        <v>0.53447287080163997</v>
      </c>
      <c r="E1139" s="48">
        <f>SUMIF(Data!$E:$E,$C1139,Data!$AI:$AI)</f>
        <v>0</v>
      </c>
      <c r="I1139" s="14" t="s">
        <v>7973</v>
      </c>
      <c r="J1139" s="14" t="s">
        <v>7974</v>
      </c>
      <c r="K1139" s="14" t="s">
        <v>140</v>
      </c>
      <c r="L1139" s="14" t="s">
        <v>5642</v>
      </c>
      <c r="M1139" s="14" t="s">
        <v>7975</v>
      </c>
      <c r="N1139" s="14">
        <v>177.76400000000001</v>
      </c>
      <c r="O1139" s="14" t="s">
        <v>7976</v>
      </c>
      <c r="P1139" s="14" t="s">
        <v>7977</v>
      </c>
      <c r="Q1139" s="14" t="s">
        <v>809</v>
      </c>
      <c r="R1139" s="14" t="s">
        <v>7978</v>
      </c>
      <c r="S1139" s="14" t="s">
        <v>195</v>
      </c>
      <c r="T1139" s="14" t="s">
        <v>149</v>
      </c>
      <c r="U1139" s="14" t="s">
        <v>113</v>
      </c>
      <c r="V1139" s="48">
        <f>SUMIF(Data!$E:$E,$I1139,Data!$AI:$AI)</f>
        <v>0</v>
      </c>
    </row>
    <row r="1140" spans="1:22" x14ac:dyDescent="0.25">
      <c r="A1140" s="47" t="s">
        <v>7967</v>
      </c>
      <c r="B1140" s="47" t="s">
        <v>123</v>
      </c>
      <c r="C1140" s="47" t="s">
        <v>4768</v>
      </c>
      <c r="D1140" s="47">
        <v>1.09599115241431</v>
      </c>
      <c r="E1140" s="48">
        <f>SUMIF(Data!$E:$E,$C1140,Data!$AI:$AI)</f>
        <v>0</v>
      </c>
      <c r="I1140" s="14" t="s">
        <v>7979</v>
      </c>
      <c r="J1140" s="14" t="s">
        <v>7980</v>
      </c>
      <c r="K1140" s="14" t="s">
        <v>140</v>
      </c>
      <c r="L1140" s="14" t="s">
        <v>5642</v>
      </c>
      <c r="M1140" s="14" t="s">
        <v>7981</v>
      </c>
      <c r="N1140" s="14">
        <v>993.65499999999997</v>
      </c>
      <c r="O1140" s="14" t="s">
        <v>7982</v>
      </c>
      <c r="P1140" s="14" t="s">
        <v>7983</v>
      </c>
      <c r="Q1140" s="14" t="s">
        <v>419</v>
      </c>
      <c r="R1140" s="14" t="s">
        <v>7984</v>
      </c>
      <c r="S1140" s="14" t="s">
        <v>850</v>
      </c>
      <c r="T1140" s="14" t="s">
        <v>851</v>
      </c>
      <c r="U1140" s="14" t="s">
        <v>852</v>
      </c>
      <c r="V1140" s="48">
        <f>SUMIF(Data!$E:$E,$I1140,Data!$AI:$AI)</f>
        <v>0</v>
      </c>
    </row>
    <row r="1141" spans="1:22" x14ac:dyDescent="0.25">
      <c r="A1141" s="47" t="s">
        <v>7967</v>
      </c>
      <c r="B1141" s="47" t="s">
        <v>123</v>
      </c>
      <c r="C1141" s="47" t="s">
        <v>4592</v>
      </c>
      <c r="D1141" s="47">
        <v>11.390123394208899</v>
      </c>
      <c r="E1141" s="48">
        <f>SUMIF(Data!$E:$E,$C1141,Data!$AI:$AI)</f>
        <v>0</v>
      </c>
      <c r="I1141" s="14">
        <v>8601</v>
      </c>
      <c r="J1141" s="14" t="s">
        <v>7985</v>
      </c>
      <c r="K1141" s="14" t="s">
        <v>140</v>
      </c>
      <c r="L1141" s="14" t="s">
        <v>5642</v>
      </c>
      <c r="M1141" s="14" t="s">
        <v>7986</v>
      </c>
      <c r="N1141" s="14">
        <v>725.27499999999998</v>
      </c>
      <c r="O1141" s="14" t="s">
        <v>7987</v>
      </c>
      <c r="P1141" s="14" t="s">
        <v>7988</v>
      </c>
      <c r="Q1141" s="14" t="s">
        <v>193</v>
      </c>
      <c r="R1141" s="14" t="s">
        <v>7989</v>
      </c>
      <c r="S1141" s="14" t="s">
        <v>444</v>
      </c>
      <c r="T1141" s="14" t="s">
        <v>445</v>
      </c>
      <c r="U1141" s="14" t="s">
        <v>446</v>
      </c>
      <c r="V1141" s="48">
        <f>SUMIF(Data!$E:$E,$I1141,Data!$AI:$AI)</f>
        <v>0</v>
      </c>
    </row>
    <row r="1142" spans="1:22" x14ac:dyDescent="0.25">
      <c r="A1142" s="47" t="s">
        <v>7967</v>
      </c>
      <c r="B1142" s="47" t="s">
        <v>123</v>
      </c>
      <c r="C1142" s="47" t="s">
        <v>4782</v>
      </c>
      <c r="D1142" s="47">
        <v>1.1481190314473599</v>
      </c>
      <c r="E1142" s="48">
        <f>SUMIF(Data!$E:$E,$C1142,Data!$AI:$AI)</f>
        <v>0</v>
      </c>
      <c r="I1142" s="14">
        <v>9001</v>
      </c>
      <c r="J1142" s="14" t="s">
        <v>7990</v>
      </c>
      <c r="K1142" s="14" t="s">
        <v>140</v>
      </c>
      <c r="L1142" s="14" t="s">
        <v>5642</v>
      </c>
      <c r="M1142" s="14" t="s">
        <v>7991</v>
      </c>
      <c r="N1142" s="14">
        <v>104.3</v>
      </c>
      <c r="O1142" s="14" t="s">
        <v>7992</v>
      </c>
      <c r="P1142" s="14" t="s">
        <v>7993</v>
      </c>
      <c r="Q1142" s="14" t="s">
        <v>419</v>
      </c>
      <c r="R1142" s="14" t="s">
        <v>7994</v>
      </c>
      <c r="S1142" s="14" t="s">
        <v>444</v>
      </c>
      <c r="T1142" s="14" t="s">
        <v>445</v>
      </c>
      <c r="U1142" s="14" t="s">
        <v>446</v>
      </c>
      <c r="V1142" s="48">
        <f>SUMIF(Data!$E:$E,$I1142,Data!$AI:$AI)</f>
        <v>0</v>
      </c>
    </row>
    <row r="1143" spans="1:22" x14ac:dyDescent="0.25">
      <c r="A1143" s="47" t="s">
        <v>7967</v>
      </c>
      <c r="B1143" s="47" t="s">
        <v>123</v>
      </c>
      <c r="C1143" s="47" t="s">
        <v>4789</v>
      </c>
      <c r="D1143" s="47">
        <v>0.93785397111314195</v>
      </c>
      <c r="E1143" s="48">
        <f>SUMIF(Data!$E:$E,$C1143,Data!$AI:$AI)</f>
        <v>0</v>
      </c>
      <c r="I1143" s="14" t="s">
        <v>7995</v>
      </c>
      <c r="J1143" s="14" t="s">
        <v>7996</v>
      </c>
      <c r="K1143" s="14" t="s">
        <v>140</v>
      </c>
      <c r="L1143" s="14" t="s">
        <v>5642</v>
      </c>
      <c r="M1143" s="14" t="s">
        <v>7997</v>
      </c>
      <c r="N1143" s="14">
        <v>20.193999999999999</v>
      </c>
      <c r="O1143" s="14" t="s">
        <v>7998</v>
      </c>
      <c r="P1143" s="14" t="s">
        <v>7999</v>
      </c>
      <c r="Q1143" s="14" t="s">
        <v>211</v>
      </c>
      <c r="R1143" s="14" t="s">
        <v>8000</v>
      </c>
      <c r="S1143" s="14" t="s">
        <v>229</v>
      </c>
      <c r="T1143" s="14" t="s">
        <v>230</v>
      </c>
      <c r="U1143" s="14" t="s">
        <v>231</v>
      </c>
      <c r="V1143" s="48">
        <f>SUMIF(Data!$E:$E,$I1143,Data!$AI:$AI)</f>
        <v>0</v>
      </c>
    </row>
    <row r="1144" spans="1:22" x14ac:dyDescent="0.25">
      <c r="A1144" s="47" t="s">
        <v>7967</v>
      </c>
      <c r="B1144" s="47" t="s">
        <v>123</v>
      </c>
      <c r="C1144" s="47" t="s">
        <v>3205</v>
      </c>
      <c r="D1144" s="47">
        <v>0.94329131292201995</v>
      </c>
      <c r="E1144" s="48">
        <f>SUMIF(Data!$E:$E,$C1144,Data!$AI:$AI)</f>
        <v>0</v>
      </c>
      <c r="I1144" s="14" t="s">
        <v>7330</v>
      </c>
      <c r="J1144" s="14" t="s">
        <v>8001</v>
      </c>
      <c r="K1144" s="14" t="s">
        <v>140</v>
      </c>
      <c r="L1144" s="14" t="s">
        <v>5642</v>
      </c>
      <c r="M1144" s="14" t="s">
        <v>8002</v>
      </c>
      <c r="N1144" s="14">
        <v>77.825999999999993</v>
      </c>
      <c r="O1144" s="14" t="s">
        <v>8003</v>
      </c>
      <c r="P1144" s="14" t="s">
        <v>8004</v>
      </c>
      <c r="Q1144" s="14" t="s">
        <v>211</v>
      </c>
      <c r="R1144" s="14" t="s">
        <v>8005</v>
      </c>
      <c r="S1144" s="14" t="s">
        <v>526</v>
      </c>
      <c r="T1144" s="14" t="s">
        <v>527</v>
      </c>
      <c r="U1144" s="14" t="s">
        <v>528</v>
      </c>
      <c r="V1144" s="48">
        <f>SUMIF(Data!$E:$E,$I1144,Data!$AI:$AI)</f>
        <v>0</v>
      </c>
    </row>
    <row r="1145" spans="1:22" x14ac:dyDescent="0.25">
      <c r="A1145" s="47" t="s">
        <v>7967</v>
      </c>
      <c r="B1145" s="47" t="s">
        <v>123</v>
      </c>
      <c r="C1145" s="47" t="s">
        <v>4801</v>
      </c>
      <c r="D1145" s="47">
        <v>3.5219550483850299</v>
      </c>
      <c r="E1145" s="48">
        <f>SUMIF(Data!$E:$E,$C1145,Data!$AI:$AI)</f>
        <v>0.9366848889291185</v>
      </c>
      <c r="I1145" s="14" t="s">
        <v>8006</v>
      </c>
      <c r="J1145" s="14" t="s">
        <v>8007</v>
      </c>
      <c r="K1145" s="14" t="s">
        <v>140</v>
      </c>
      <c r="L1145" s="14" t="s">
        <v>5642</v>
      </c>
      <c r="M1145" s="14" t="s">
        <v>8008</v>
      </c>
      <c r="N1145" s="14">
        <v>379.90800000000002</v>
      </c>
      <c r="O1145" s="14" t="s">
        <v>8009</v>
      </c>
      <c r="P1145" s="14" t="s">
        <v>8010</v>
      </c>
      <c r="Q1145" s="14" t="s">
        <v>227</v>
      </c>
      <c r="R1145" s="14" t="s">
        <v>8011</v>
      </c>
      <c r="S1145" s="14" t="s">
        <v>7567</v>
      </c>
      <c r="T1145" s="14" t="s">
        <v>7568</v>
      </c>
      <c r="U1145" s="14" t="s">
        <v>7569</v>
      </c>
      <c r="V1145" s="48">
        <f>SUMIF(Data!$E:$E,$I1145,Data!$AI:$AI)</f>
        <v>0</v>
      </c>
    </row>
    <row r="1146" spans="1:22" x14ac:dyDescent="0.25">
      <c r="A1146" s="47" t="s">
        <v>7967</v>
      </c>
      <c r="B1146" s="47" t="s">
        <v>123</v>
      </c>
      <c r="C1146" s="47" t="s">
        <v>3145</v>
      </c>
      <c r="D1146" s="47">
        <v>1.2181079295386299</v>
      </c>
      <c r="E1146" s="48">
        <f>SUMIF(Data!$E:$E,$C1146,Data!$AI:$AI)</f>
        <v>0</v>
      </c>
      <c r="I1146" s="14" t="s">
        <v>8012</v>
      </c>
      <c r="J1146" s="14" t="s">
        <v>8013</v>
      </c>
      <c r="K1146" s="14" t="s">
        <v>140</v>
      </c>
      <c r="L1146" s="14" t="s">
        <v>5642</v>
      </c>
      <c r="M1146" s="14" t="s">
        <v>8014</v>
      </c>
      <c r="N1146" s="14">
        <v>100.875</v>
      </c>
      <c r="O1146" s="14" t="s">
        <v>8015</v>
      </c>
      <c r="P1146" s="14" t="s">
        <v>8016</v>
      </c>
      <c r="Q1146" s="14" t="s">
        <v>419</v>
      </c>
      <c r="R1146" s="14" t="s">
        <v>8017</v>
      </c>
      <c r="S1146" s="14" t="s">
        <v>195</v>
      </c>
      <c r="T1146" s="14" t="s">
        <v>149</v>
      </c>
      <c r="U1146" s="14" t="s">
        <v>113</v>
      </c>
      <c r="V1146" s="48">
        <f>SUMIF(Data!$E:$E,$I1146,Data!$AI:$AI)</f>
        <v>0</v>
      </c>
    </row>
    <row r="1147" spans="1:22" x14ac:dyDescent="0.25">
      <c r="A1147" s="47" t="s">
        <v>7967</v>
      </c>
      <c r="B1147" s="47" t="s">
        <v>123</v>
      </c>
      <c r="C1147" s="47" t="s">
        <v>4814</v>
      </c>
      <c r="D1147" s="47">
        <v>0.49452046250920401</v>
      </c>
      <c r="E1147" s="48">
        <f>SUMIF(Data!$E:$E,$C1147,Data!$AI:$AI)</f>
        <v>0</v>
      </c>
      <c r="I1147" s="14" t="s">
        <v>8018</v>
      </c>
      <c r="J1147" s="14" t="s">
        <v>8019</v>
      </c>
      <c r="K1147" s="14" t="s">
        <v>140</v>
      </c>
      <c r="L1147" s="14" t="s">
        <v>5642</v>
      </c>
      <c r="M1147" s="14" t="s">
        <v>8020</v>
      </c>
      <c r="N1147" s="14">
        <v>272.02800000000002</v>
      </c>
      <c r="O1147" s="14" t="s">
        <v>8021</v>
      </c>
      <c r="P1147" s="14" t="s">
        <v>8022</v>
      </c>
      <c r="Q1147" s="14" t="s">
        <v>737</v>
      </c>
      <c r="R1147" s="14" t="s">
        <v>8023</v>
      </c>
      <c r="S1147" s="14" t="s">
        <v>3142</v>
      </c>
      <c r="T1147" s="14" t="s">
        <v>3143</v>
      </c>
      <c r="U1147" s="14" t="s">
        <v>528</v>
      </c>
      <c r="V1147" s="48">
        <f>SUMIF(Data!$E:$E,$I1147,Data!$AI:$AI)</f>
        <v>0</v>
      </c>
    </row>
    <row r="1148" spans="1:22" x14ac:dyDescent="0.25">
      <c r="A1148" s="47" t="s">
        <v>7967</v>
      </c>
      <c r="B1148" s="47" t="s">
        <v>123</v>
      </c>
      <c r="C1148" s="47" t="s">
        <v>4821</v>
      </c>
      <c r="D1148" s="47">
        <v>1.0785433608935799</v>
      </c>
      <c r="E1148" s="48">
        <f>SUMIF(Data!$E:$E,$C1148,Data!$AI:$AI)</f>
        <v>0</v>
      </c>
      <c r="I1148" s="14" t="s">
        <v>8024</v>
      </c>
      <c r="J1148" s="14" t="s">
        <v>8025</v>
      </c>
      <c r="K1148" s="14" t="s">
        <v>140</v>
      </c>
      <c r="L1148" s="14" t="s">
        <v>5642</v>
      </c>
      <c r="M1148" s="14" t="s">
        <v>474</v>
      </c>
      <c r="N1148" s="14">
        <v>488.27199999999999</v>
      </c>
      <c r="O1148" s="14" t="s">
        <v>8026</v>
      </c>
      <c r="P1148" s="14" t="s">
        <v>8027</v>
      </c>
      <c r="Q1148" s="14" t="s">
        <v>809</v>
      </c>
      <c r="R1148" s="14" t="s">
        <v>8028</v>
      </c>
      <c r="S1148" s="14" t="s">
        <v>479</v>
      </c>
      <c r="T1148" s="14" t="s">
        <v>480</v>
      </c>
      <c r="U1148" s="14" t="s">
        <v>481</v>
      </c>
      <c r="V1148" s="48">
        <f>SUMIF(Data!$E:$E,$I1148,Data!$AI:$AI)</f>
        <v>0</v>
      </c>
    </row>
    <row r="1149" spans="1:22" x14ac:dyDescent="0.25">
      <c r="A1149" s="47" t="s">
        <v>7967</v>
      </c>
      <c r="B1149" s="47" t="s">
        <v>123</v>
      </c>
      <c r="C1149" s="47" t="s">
        <v>4640</v>
      </c>
      <c r="D1149" s="47">
        <v>0.27548311575893802</v>
      </c>
      <c r="E1149" s="48">
        <f>SUMIF(Data!$E:$E,$C1149,Data!$AI:$AI)</f>
        <v>0.77394047546061229</v>
      </c>
      <c r="I1149" s="14">
        <v>4684</v>
      </c>
      <c r="J1149" s="14" t="s">
        <v>8029</v>
      </c>
      <c r="K1149" s="14" t="s">
        <v>140</v>
      </c>
      <c r="L1149" s="14" t="s">
        <v>5642</v>
      </c>
      <c r="M1149" s="14" t="s">
        <v>8030</v>
      </c>
      <c r="N1149" s="14">
        <v>26.024000000000001</v>
      </c>
      <c r="O1149" s="14" t="s">
        <v>8031</v>
      </c>
      <c r="P1149" s="14" t="s">
        <v>8032</v>
      </c>
      <c r="Q1149" s="14" t="s">
        <v>146</v>
      </c>
      <c r="R1149" s="14" t="s">
        <v>8033</v>
      </c>
      <c r="S1149" s="14" t="s">
        <v>444</v>
      </c>
      <c r="T1149" s="14" t="s">
        <v>445</v>
      </c>
      <c r="U1149" s="14" t="s">
        <v>446</v>
      </c>
      <c r="V1149" s="48">
        <f>SUMIF(Data!$E:$E,$I1149,Data!$AI:$AI)</f>
        <v>0</v>
      </c>
    </row>
    <row r="1150" spans="1:22" x14ac:dyDescent="0.25">
      <c r="A1150" s="47" t="s">
        <v>7967</v>
      </c>
      <c r="B1150" s="47" t="s">
        <v>123</v>
      </c>
      <c r="C1150" s="47" t="s">
        <v>4621</v>
      </c>
      <c r="D1150" s="47">
        <v>0.73420386660179005</v>
      </c>
      <c r="E1150" s="48">
        <f>SUMIF(Data!$E:$E,$C1150,Data!$AI:$AI)</f>
        <v>0</v>
      </c>
      <c r="I1150" s="14" t="s">
        <v>1346</v>
      </c>
      <c r="J1150" s="14" t="s">
        <v>8034</v>
      </c>
      <c r="K1150" s="14" t="s">
        <v>140</v>
      </c>
      <c r="L1150" s="14" t="s">
        <v>5642</v>
      </c>
      <c r="M1150" s="14" t="s">
        <v>8035</v>
      </c>
      <c r="N1150" s="14">
        <v>27.298999999999999</v>
      </c>
      <c r="O1150" s="14" t="s">
        <v>8036</v>
      </c>
      <c r="P1150" s="14" t="s">
        <v>8037</v>
      </c>
      <c r="Q1150" s="14" t="s">
        <v>419</v>
      </c>
      <c r="R1150" s="14" t="s">
        <v>8038</v>
      </c>
      <c r="S1150" s="14" t="s">
        <v>195</v>
      </c>
      <c r="T1150" s="14" t="s">
        <v>149</v>
      </c>
      <c r="U1150" s="14" t="s">
        <v>113</v>
      </c>
      <c r="V1150" s="48">
        <f>SUMIF(Data!$E:$E,$I1150,Data!$AI:$AI)</f>
        <v>0</v>
      </c>
    </row>
    <row r="1151" spans="1:22" x14ac:dyDescent="0.25">
      <c r="A1151" s="47" t="s">
        <v>7967</v>
      </c>
      <c r="B1151" s="47" t="s">
        <v>123</v>
      </c>
      <c r="C1151" s="47" t="s">
        <v>4628</v>
      </c>
      <c r="D1151" s="47">
        <v>2.2698945703847899</v>
      </c>
      <c r="E1151" s="48">
        <f>SUMIF(Data!$E:$E,$C1151,Data!$AI:$AI)</f>
        <v>0</v>
      </c>
      <c r="I1151" s="14">
        <v>4755</v>
      </c>
      <c r="J1151" s="14" t="s">
        <v>8039</v>
      </c>
      <c r="K1151" s="14" t="s">
        <v>140</v>
      </c>
      <c r="L1151" s="14" t="s">
        <v>5642</v>
      </c>
      <c r="M1151" s="14" t="s">
        <v>8040</v>
      </c>
      <c r="N1151" s="14">
        <v>439.512</v>
      </c>
      <c r="O1151" s="14" t="s">
        <v>8041</v>
      </c>
      <c r="P1151" s="14" t="s">
        <v>8042</v>
      </c>
      <c r="Q1151" s="14" t="s">
        <v>165</v>
      </c>
      <c r="R1151" s="14" t="s">
        <v>8043</v>
      </c>
      <c r="S1151" s="14" t="s">
        <v>444</v>
      </c>
      <c r="T1151" s="14" t="s">
        <v>445</v>
      </c>
      <c r="U1151" s="14" t="s">
        <v>446</v>
      </c>
      <c r="V1151" s="48">
        <f>SUMIF(Data!$E:$E,$I1151,Data!$AI:$AI)</f>
        <v>0</v>
      </c>
    </row>
    <row r="1152" spans="1:22" x14ac:dyDescent="0.25">
      <c r="A1152" s="47" t="s">
        <v>7967</v>
      </c>
      <c r="B1152" s="47" t="s">
        <v>123</v>
      </c>
      <c r="C1152" s="47" t="s">
        <v>4841</v>
      </c>
      <c r="D1152" s="47">
        <v>2.7296330487808298</v>
      </c>
      <c r="E1152" s="48">
        <f>SUMIF(Data!$E:$E,$C1152,Data!$AI:$AI)</f>
        <v>1.1368494141004637</v>
      </c>
      <c r="I1152" s="14" t="s">
        <v>8044</v>
      </c>
      <c r="J1152" s="14" t="s">
        <v>8045</v>
      </c>
      <c r="K1152" s="14" t="s">
        <v>140</v>
      </c>
      <c r="L1152" s="14" t="s">
        <v>5642</v>
      </c>
      <c r="M1152" s="14" t="s">
        <v>8046</v>
      </c>
      <c r="N1152" s="14">
        <v>170.11600000000001</v>
      </c>
      <c r="O1152" s="14" t="s">
        <v>8047</v>
      </c>
      <c r="P1152" s="14" t="s">
        <v>8048</v>
      </c>
      <c r="Q1152" s="14" t="s">
        <v>193</v>
      </c>
      <c r="R1152" s="14" t="s">
        <v>8049</v>
      </c>
      <c r="S1152" s="14" t="s">
        <v>195</v>
      </c>
      <c r="T1152" s="14" t="s">
        <v>149</v>
      </c>
      <c r="U1152" s="14" t="s">
        <v>113</v>
      </c>
      <c r="V1152" s="48">
        <f>SUMIF(Data!$E:$E,$I1152,Data!$AI:$AI)</f>
        <v>0</v>
      </c>
    </row>
    <row r="1153" spans="1:22" x14ac:dyDescent="0.25">
      <c r="A1153" s="47" t="s">
        <v>7967</v>
      </c>
      <c r="B1153" s="47" t="s">
        <v>123</v>
      </c>
      <c r="C1153" s="47" t="s">
        <v>4848</v>
      </c>
      <c r="D1153" s="47">
        <v>1.57751575283649</v>
      </c>
      <c r="E1153" s="48">
        <f>SUMIF(Data!$E:$E,$C1153,Data!$AI:$AI)</f>
        <v>0</v>
      </c>
      <c r="I1153" s="14" t="s">
        <v>8050</v>
      </c>
      <c r="J1153" s="14" t="s">
        <v>8051</v>
      </c>
      <c r="K1153" s="14" t="s">
        <v>140</v>
      </c>
      <c r="L1153" s="14" t="s">
        <v>5642</v>
      </c>
      <c r="M1153" s="14" t="s">
        <v>8052</v>
      </c>
      <c r="N1153" s="14">
        <v>494.798</v>
      </c>
      <c r="O1153" s="14" t="s">
        <v>8053</v>
      </c>
      <c r="P1153" s="14" t="s">
        <v>8054</v>
      </c>
      <c r="Q1153" s="14" t="s">
        <v>193</v>
      </c>
      <c r="R1153" s="14" t="s">
        <v>8055</v>
      </c>
      <c r="S1153" s="14" t="s">
        <v>479</v>
      </c>
      <c r="T1153" s="14" t="s">
        <v>480</v>
      </c>
      <c r="U1153" s="14" t="s">
        <v>481</v>
      </c>
      <c r="V1153" s="48">
        <f>SUMIF(Data!$E:$E,$I1153,Data!$AI:$AI)</f>
        <v>0</v>
      </c>
    </row>
    <row r="1154" spans="1:22" x14ac:dyDescent="0.25">
      <c r="A1154" s="47" t="s">
        <v>7967</v>
      </c>
      <c r="B1154" s="47" t="s">
        <v>123</v>
      </c>
      <c r="C1154" s="47" t="s">
        <v>4855</v>
      </c>
      <c r="D1154" s="47">
        <v>21.349564600042601</v>
      </c>
      <c r="E1154" s="48">
        <f>SUMIF(Data!$E:$E,$C1154,Data!$AI:$AI)</f>
        <v>1.0989645296635115</v>
      </c>
      <c r="I1154" s="14" t="s">
        <v>8056</v>
      </c>
      <c r="J1154" s="14" t="s">
        <v>8057</v>
      </c>
      <c r="K1154" s="14" t="s">
        <v>140</v>
      </c>
      <c r="L1154" s="14" t="s">
        <v>5642</v>
      </c>
      <c r="M1154" s="14" t="s">
        <v>4110</v>
      </c>
      <c r="N1154" s="14" t="s">
        <v>8058</v>
      </c>
      <c r="O1154" s="14" t="s">
        <v>8059</v>
      </c>
      <c r="P1154" s="14" t="s">
        <v>8060</v>
      </c>
      <c r="Q1154" s="14" t="s">
        <v>165</v>
      </c>
      <c r="R1154" s="14" t="s">
        <v>8061</v>
      </c>
      <c r="S1154" s="14" t="s">
        <v>479</v>
      </c>
      <c r="T1154" s="14" t="s">
        <v>480</v>
      </c>
      <c r="U1154" s="14" t="s">
        <v>481</v>
      </c>
      <c r="V1154" s="48">
        <f>SUMIF(Data!$E:$E,$I1154,Data!$AI:$AI)</f>
        <v>0</v>
      </c>
    </row>
    <row r="1155" spans="1:22" x14ac:dyDescent="0.25">
      <c r="A1155" s="47" t="s">
        <v>7967</v>
      </c>
      <c r="B1155" s="47" t="s">
        <v>123</v>
      </c>
      <c r="C1155" s="47" t="s">
        <v>6759</v>
      </c>
      <c r="D1155" s="47">
        <v>0.62757398238375195</v>
      </c>
      <c r="E1155" s="48">
        <f>SUMIF(Data!$E:$E,$C1155,Data!$AI:$AI)</f>
        <v>0.31941379215436855</v>
      </c>
      <c r="I1155" s="14" t="s">
        <v>8062</v>
      </c>
      <c r="J1155" s="14" t="s">
        <v>8063</v>
      </c>
      <c r="K1155" s="14" t="s">
        <v>140</v>
      </c>
      <c r="L1155" s="14" t="s">
        <v>5642</v>
      </c>
      <c r="M1155" s="14" t="s">
        <v>8064</v>
      </c>
      <c r="N1155" s="14">
        <v>244.905</v>
      </c>
      <c r="O1155" s="14" t="s">
        <v>8065</v>
      </c>
      <c r="P1155" s="14" t="s">
        <v>8066</v>
      </c>
      <c r="Q1155" s="14" t="s">
        <v>175</v>
      </c>
      <c r="R1155" s="14" t="s">
        <v>8067</v>
      </c>
      <c r="S1155" s="14" t="s">
        <v>2931</v>
      </c>
      <c r="T1155" s="14" t="s">
        <v>2932</v>
      </c>
      <c r="U1155" s="14" t="s">
        <v>2933</v>
      </c>
      <c r="V1155" s="48">
        <f>SUMIF(Data!$E:$E,$I1155,Data!$AI:$AI)</f>
        <v>0</v>
      </c>
    </row>
    <row r="1156" spans="1:22" x14ac:dyDescent="0.25">
      <c r="A1156" s="47" t="s">
        <v>7967</v>
      </c>
      <c r="B1156" s="47" t="s">
        <v>123</v>
      </c>
      <c r="C1156" s="47" t="s">
        <v>3160</v>
      </c>
      <c r="D1156" s="47">
        <v>0.917688292202124</v>
      </c>
      <c r="E1156" s="48">
        <f>SUMIF(Data!$E:$E,$C1156,Data!$AI:$AI)</f>
        <v>0.48939641738655321</v>
      </c>
      <c r="I1156" s="14">
        <v>3462</v>
      </c>
      <c r="J1156" s="14" t="s">
        <v>8068</v>
      </c>
      <c r="K1156" s="14" t="s">
        <v>140</v>
      </c>
      <c r="L1156" s="14" t="s">
        <v>8069</v>
      </c>
      <c r="M1156" s="14" t="s">
        <v>8070</v>
      </c>
      <c r="N1156" s="14">
        <v>2.1739999999999999</v>
      </c>
      <c r="O1156" s="14" t="s">
        <v>8071</v>
      </c>
      <c r="P1156" s="14" t="s">
        <v>8072</v>
      </c>
      <c r="Q1156" s="14" t="s">
        <v>809</v>
      </c>
      <c r="R1156" s="14" t="s">
        <v>8073</v>
      </c>
      <c r="S1156" s="14" t="s">
        <v>444</v>
      </c>
      <c r="T1156" s="14" t="s">
        <v>445</v>
      </c>
      <c r="U1156" s="14" t="s">
        <v>446</v>
      </c>
      <c r="V1156" s="48">
        <f>SUMIF(Data!$E:$E,$I1156,Data!$AI:$AI)</f>
        <v>0</v>
      </c>
    </row>
    <row r="1157" spans="1:22" x14ac:dyDescent="0.25">
      <c r="A1157" s="47" t="s">
        <v>7967</v>
      </c>
      <c r="B1157" s="47" t="s">
        <v>123</v>
      </c>
      <c r="C1157" s="47" t="s">
        <v>4873</v>
      </c>
      <c r="D1157" s="47">
        <v>1.7617803535119301</v>
      </c>
      <c r="E1157" s="48">
        <f>SUMIF(Data!$E:$E,$C1157,Data!$AI:$AI)</f>
        <v>0</v>
      </c>
      <c r="I1157" s="14" t="s">
        <v>8074</v>
      </c>
      <c r="J1157" s="14" t="s">
        <v>8075</v>
      </c>
      <c r="K1157" s="14" t="s">
        <v>140</v>
      </c>
      <c r="L1157" s="14" t="s">
        <v>8069</v>
      </c>
      <c r="M1157" s="14" t="s">
        <v>8076</v>
      </c>
      <c r="N1157" s="14">
        <v>140.24199999999999</v>
      </c>
      <c r="O1157" s="14" t="s">
        <v>8077</v>
      </c>
      <c r="P1157" s="14" t="s">
        <v>8078</v>
      </c>
      <c r="Q1157" s="14" t="s">
        <v>193</v>
      </c>
      <c r="R1157" s="14" t="s">
        <v>8079</v>
      </c>
      <c r="S1157" s="14" t="s">
        <v>728</v>
      </c>
      <c r="T1157" s="14" t="s">
        <v>729</v>
      </c>
      <c r="U1157" s="14" t="s">
        <v>730</v>
      </c>
      <c r="V1157" s="48">
        <f>SUMIF(Data!$E:$E,$I1157,Data!$AI:$AI)</f>
        <v>0</v>
      </c>
    </row>
    <row r="1158" spans="1:22" x14ac:dyDescent="0.25">
      <c r="A1158" s="47" t="s">
        <v>7967</v>
      </c>
      <c r="B1158" s="47" t="s">
        <v>123</v>
      </c>
      <c r="C1158" s="47" t="s">
        <v>4880</v>
      </c>
      <c r="D1158" s="47">
        <v>0.83052555376328996</v>
      </c>
      <c r="E1158" s="48">
        <f>SUMIF(Data!$E:$E,$C1158,Data!$AI:$AI)</f>
        <v>0</v>
      </c>
      <c r="I1158" s="14" t="s">
        <v>8080</v>
      </c>
      <c r="J1158" s="14" t="s">
        <v>6437</v>
      </c>
      <c r="K1158" s="14" t="s">
        <v>140</v>
      </c>
      <c r="L1158" s="14" t="s">
        <v>8069</v>
      </c>
      <c r="M1158" s="14" t="s">
        <v>8081</v>
      </c>
      <c r="N1158" s="14">
        <v>453</v>
      </c>
      <c r="O1158" s="14" t="s">
        <v>8082</v>
      </c>
      <c r="P1158" s="14" t="s">
        <v>8083</v>
      </c>
      <c r="Q1158" s="14" t="s">
        <v>227</v>
      </c>
      <c r="R1158" s="14" t="s">
        <v>8084</v>
      </c>
      <c r="S1158" s="14" t="s">
        <v>6417</v>
      </c>
      <c r="T1158" s="14" t="s">
        <v>230</v>
      </c>
      <c r="U1158" s="14" t="s">
        <v>231</v>
      </c>
      <c r="V1158" s="48">
        <f>SUMIF(Data!$E:$E,$I1158,Data!$AI:$AI)</f>
        <v>0</v>
      </c>
    </row>
    <row r="1159" spans="1:22" x14ac:dyDescent="0.25">
      <c r="A1159" s="47" t="s">
        <v>7967</v>
      </c>
      <c r="B1159" s="47" t="s">
        <v>123</v>
      </c>
      <c r="C1159" s="47" t="s">
        <v>520</v>
      </c>
      <c r="D1159" s="47">
        <v>0.82071246281851995</v>
      </c>
      <c r="E1159" s="48">
        <f>SUMIF(Data!$E:$E,$C1159,Data!$AI:$AI)</f>
        <v>0.42534541896463962</v>
      </c>
      <c r="I1159" s="14" t="s">
        <v>8085</v>
      </c>
      <c r="J1159" s="14" t="s">
        <v>8086</v>
      </c>
      <c r="K1159" s="14" t="s">
        <v>140</v>
      </c>
      <c r="L1159" s="14" t="s">
        <v>8069</v>
      </c>
      <c r="M1159" s="14" t="s">
        <v>8087</v>
      </c>
      <c r="N1159" s="14">
        <v>32.386000000000003</v>
      </c>
      <c r="O1159" s="14" t="s">
        <v>8088</v>
      </c>
      <c r="P1159" s="14" t="s">
        <v>8089</v>
      </c>
      <c r="Q1159" s="14" t="s">
        <v>146</v>
      </c>
      <c r="R1159" s="14" t="s">
        <v>8090</v>
      </c>
      <c r="S1159" s="14" t="s">
        <v>195</v>
      </c>
      <c r="T1159" s="14" t="s">
        <v>149</v>
      </c>
      <c r="U1159" s="14" t="s">
        <v>113</v>
      </c>
      <c r="V1159" s="48">
        <f>SUMIF(Data!$E:$E,$I1159,Data!$AI:$AI)</f>
        <v>0</v>
      </c>
    </row>
    <row r="1160" spans="1:22" x14ac:dyDescent="0.25">
      <c r="A1160" s="47" t="s">
        <v>7967</v>
      </c>
      <c r="B1160" s="47" t="s">
        <v>123</v>
      </c>
      <c r="C1160" s="47" t="s">
        <v>4893</v>
      </c>
      <c r="D1160" s="47">
        <v>3.73873990386309</v>
      </c>
      <c r="E1160" s="48">
        <f>SUMIF(Data!$E:$E,$C1160,Data!$AI:$AI)</f>
        <v>0.14807872778681458</v>
      </c>
      <c r="I1160" s="14" t="s">
        <v>8091</v>
      </c>
      <c r="J1160" s="14" t="s">
        <v>8092</v>
      </c>
      <c r="K1160" s="14" t="s">
        <v>140</v>
      </c>
      <c r="L1160" s="14" t="s">
        <v>8069</v>
      </c>
      <c r="M1160" s="14" t="s">
        <v>8093</v>
      </c>
      <c r="N1160" s="14">
        <v>663.82600000000002</v>
      </c>
      <c r="O1160" s="14" t="s">
        <v>8094</v>
      </c>
      <c r="P1160" s="14" t="s">
        <v>8095</v>
      </c>
      <c r="Q1160" s="14" t="s">
        <v>263</v>
      </c>
      <c r="R1160" s="14" t="s">
        <v>8096</v>
      </c>
      <c r="S1160" s="14" t="s">
        <v>850</v>
      </c>
      <c r="T1160" s="14" t="s">
        <v>851</v>
      </c>
      <c r="U1160" s="14" t="s">
        <v>852</v>
      </c>
      <c r="V1160" s="48">
        <f>SUMIF(Data!$E:$E,$I1160,Data!$AI:$AI)</f>
        <v>0</v>
      </c>
    </row>
    <row r="1161" spans="1:22" x14ac:dyDescent="0.25">
      <c r="A1161" s="47" t="s">
        <v>7967</v>
      </c>
      <c r="B1161" s="47" t="s">
        <v>123</v>
      </c>
      <c r="C1161" s="47" t="s">
        <v>4900</v>
      </c>
      <c r="D1161" s="47">
        <v>1.5039692592115099</v>
      </c>
      <c r="E1161" s="48">
        <f>SUMIF(Data!$E:$E,$C1161,Data!$AI:$AI)</f>
        <v>0</v>
      </c>
      <c r="I1161" s="14" t="s">
        <v>8097</v>
      </c>
      <c r="J1161" s="14" t="s">
        <v>8098</v>
      </c>
      <c r="K1161" s="14" t="s">
        <v>140</v>
      </c>
      <c r="L1161" s="14" t="s">
        <v>8069</v>
      </c>
      <c r="M1161" s="14" t="s">
        <v>8099</v>
      </c>
      <c r="N1161" s="14">
        <v>48.622</v>
      </c>
      <c r="O1161" s="14" t="s">
        <v>8100</v>
      </c>
      <c r="P1161" s="14" t="s">
        <v>8101</v>
      </c>
      <c r="Q1161" s="14" t="s">
        <v>146</v>
      </c>
      <c r="R1161" s="14" t="s">
        <v>8102</v>
      </c>
      <c r="S1161" s="14" t="s">
        <v>148</v>
      </c>
      <c r="T1161" s="14" t="s">
        <v>149</v>
      </c>
      <c r="U1161" s="14" t="s">
        <v>113</v>
      </c>
      <c r="V1161" s="48">
        <f>SUMIF(Data!$E:$E,$I1161,Data!$AI:$AI)</f>
        <v>0</v>
      </c>
    </row>
    <row r="1162" spans="1:22" x14ac:dyDescent="0.25">
      <c r="A1162" s="47" t="s">
        <v>7967</v>
      </c>
      <c r="B1162" s="47" t="s">
        <v>123</v>
      </c>
      <c r="C1162" s="47" t="s">
        <v>4907</v>
      </c>
      <c r="D1162" s="47">
        <v>2.2229019143813602</v>
      </c>
      <c r="E1162" s="48">
        <f>SUMIF(Data!$E:$E,$C1162,Data!$AI:$AI)</f>
        <v>0</v>
      </c>
      <c r="I1162" s="14" t="s">
        <v>8103</v>
      </c>
      <c r="J1162" s="14" t="s">
        <v>8104</v>
      </c>
      <c r="K1162" s="14" t="s">
        <v>140</v>
      </c>
      <c r="L1162" s="14" t="s">
        <v>8069</v>
      </c>
      <c r="M1162" s="14" t="s">
        <v>4260</v>
      </c>
      <c r="N1162" s="14">
        <v>76.903000000000006</v>
      </c>
      <c r="O1162" s="14" t="s">
        <v>8105</v>
      </c>
      <c r="P1162" s="14" t="s">
        <v>8106</v>
      </c>
      <c r="Q1162" s="14" t="s">
        <v>193</v>
      </c>
      <c r="R1162" s="14" t="s">
        <v>8107</v>
      </c>
      <c r="S1162" s="14" t="s">
        <v>148</v>
      </c>
      <c r="T1162" s="14" t="s">
        <v>149</v>
      </c>
      <c r="U1162" s="14" t="s">
        <v>113</v>
      </c>
      <c r="V1162" s="48">
        <f>SUMIF(Data!$E:$E,$I1162,Data!$AI:$AI)</f>
        <v>0</v>
      </c>
    </row>
    <row r="1163" spans="1:22" x14ac:dyDescent="0.25">
      <c r="A1163" s="47" t="s">
        <v>7967</v>
      </c>
      <c r="B1163" s="47" t="s">
        <v>123</v>
      </c>
      <c r="C1163" s="47" t="s">
        <v>4484</v>
      </c>
      <c r="D1163" s="47">
        <v>5.0200410565804701</v>
      </c>
      <c r="E1163" s="48">
        <f>SUMIF(Data!$E:$E,$C1163,Data!$AI:$AI)</f>
        <v>0</v>
      </c>
      <c r="I1163" s="14">
        <v>4185</v>
      </c>
      <c r="J1163" s="14" t="s">
        <v>8108</v>
      </c>
      <c r="K1163" s="14" t="s">
        <v>140</v>
      </c>
      <c r="L1163" s="14" t="s">
        <v>8069</v>
      </c>
      <c r="M1163" s="14" t="s">
        <v>8109</v>
      </c>
      <c r="N1163" s="14">
        <v>196.5</v>
      </c>
      <c r="O1163" s="14" t="s">
        <v>8110</v>
      </c>
      <c r="P1163" s="14" t="s">
        <v>8111</v>
      </c>
      <c r="Q1163" s="14" t="s">
        <v>737</v>
      </c>
      <c r="R1163" s="14" t="s">
        <v>8112</v>
      </c>
      <c r="S1163" s="14" t="s">
        <v>444</v>
      </c>
      <c r="T1163" s="14" t="s">
        <v>445</v>
      </c>
      <c r="U1163" s="14" t="s">
        <v>446</v>
      </c>
      <c r="V1163" s="48">
        <f>SUMIF(Data!$E:$E,$I1163,Data!$AI:$AI)</f>
        <v>0</v>
      </c>
    </row>
    <row r="1164" spans="1:22" x14ac:dyDescent="0.25">
      <c r="A1164" s="47" t="s">
        <v>7967</v>
      </c>
      <c r="B1164" s="47" t="s">
        <v>123</v>
      </c>
      <c r="C1164" s="47" t="s">
        <v>4926</v>
      </c>
      <c r="D1164" s="47">
        <v>0.73980768707104705</v>
      </c>
      <c r="E1164" s="48">
        <f>SUMIF(Data!$E:$E,$C1164,Data!$AI:$AI)</f>
        <v>0.52858464745473188</v>
      </c>
      <c r="I1164" s="14" t="s">
        <v>8113</v>
      </c>
      <c r="J1164" s="14" t="s">
        <v>8114</v>
      </c>
      <c r="K1164" s="14" t="s">
        <v>140</v>
      </c>
      <c r="L1164" s="14" t="s">
        <v>8069</v>
      </c>
      <c r="M1164" s="14" t="s">
        <v>8115</v>
      </c>
      <c r="N1164" s="14">
        <v>145.29</v>
      </c>
      <c r="O1164" s="14" t="s">
        <v>8116</v>
      </c>
      <c r="P1164" s="14" t="s">
        <v>8117</v>
      </c>
      <c r="Q1164" s="14" t="s">
        <v>419</v>
      </c>
      <c r="R1164" s="14" t="s">
        <v>8118</v>
      </c>
      <c r="S1164" s="14" t="s">
        <v>2931</v>
      </c>
      <c r="T1164" s="14" t="s">
        <v>2932</v>
      </c>
      <c r="U1164" s="14" t="s">
        <v>2933</v>
      </c>
      <c r="V1164" s="48">
        <f>SUMIF(Data!$E:$E,$I1164,Data!$AI:$AI)</f>
        <v>0</v>
      </c>
    </row>
    <row r="1165" spans="1:22" x14ac:dyDescent="0.25">
      <c r="A1165" s="47" t="s">
        <v>7967</v>
      </c>
      <c r="B1165" s="47" t="s">
        <v>123</v>
      </c>
      <c r="C1165" s="47" t="s">
        <v>4938</v>
      </c>
      <c r="D1165" s="47">
        <v>0.843293679053568</v>
      </c>
      <c r="E1165" s="48">
        <f>SUMIF(Data!$E:$E,$C1165,Data!$AI:$AI)</f>
        <v>0</v>
      </c>
      <c r="I1165" s="14" t="s">
        <v>8119</v>
      </c>
      <c r="J1165" s="14" t="s">
        <v>8120</v>
      </c>
      <c r="K1165" s="14" t="s">
        <v>140</v>
      </c>
      <c r="L1165" s="14" t="s">
        <v>8069</v>
      </c>
      <c r="M1165" s="14" t="s">
        <v>8121</v>
      </c>
      <c r="N1165" s="14">
        <v>36.210999999999999</v>
      </c>
      <c r="O1165" s="14" t="s">
        <v>8122</v>
      </c>
      <c r="P1165" s="14" t="s">
        <v>8123</v>
      </c>
      <c r="Q1165" s="14" t="s">
        <v>737</v>
      </c>
      <c r="R1165" s="14" t="s">
        <v>8124</v>
      </c>
      <c r="S1165" s="14" t="s">
        <v>563</v>
      </c>
      <c r="T1165" s="14" t="s">
        <v>564</v>
      </c>
      <c r="U1165" s="14" t="s">
        <v>528</v>
      </c>
      <c r="V1165" s="48">
        <f>SUMIF(Data!$E:$E,$I1165,Data!$AI:$AI)</f>
        <v>0</v>
      </c>
    </row>
    <row r="1166" spans="1:22" x14ac:dyDescent="0.25">
      <c r="A1166" s="47" t="s">
        <v>7967</v>
      </c>
      <c r="B1166" s="47" t="s">
        <v>123</v>
      </c>
      <c r="C1166" s="47" t="s">
        <v>1942</v>
      </c>
      <c r="D1166" s="47">
        <v>9.6756897146175493</v>
      </c>
      <c r="E1166" s="48">
        <f>SUMIF(Data!$E:$E,$C1166,Data!$AI:$AI)</f>
        <v>0</v>
      </c>
      <c r="I1166" s="14" t="s">
        <v>8125</v>
      </c>
      <c r="J1166" s="14" t="s">
        <v>8126</v>
      </c>
      <c r="K1166" s="14" t="s">
        <v>140</v>
      </c>
      <c r="L1166" s="14" t="s">
        <v>8069</v>
      </c>
      <c r="M1166" s="14" t="s">
        <v>8127</v>
      </c>
      <c r="N1166" s="14">
        <v>47.198999999999998</v>
      </c>
      <c r="O1166" s="14" t="s">
        <v>8128</v>
      </c>
      <c r="P1166" s="14" t="s">
        <v>8129</v>
      </c>
      <c r="Q1166" s="14" t="s">
        <v>737</v>
      </c>
      <c r="R1166" s="14" t="s">
        <v>8130</v>
      </c>
      <c r="S1166" s="14" t="s">
        <v>771</v>
      </c>
      <c r="T1166" s="14" t="s">
        <v>772</v>
      </c>
      <c r="U1166" s="14" t="s">
        <v>773</v>
      </c>
      <c r="V1166" s="48">
        <f>SUMIF(Data!$E:$E,$I1166,Data!$AI:$AI)</f>
        <v>0</v>
      </c>
    </row>
    <row r="1167" spans="1:22" x14ac:dyDescent="0.25">
      <c r="A1167" s="47" t="s">
        <v>7967</v>
      </c>
      <c r="B1167" s="47" t="s">
        <v>123</v>
      </c>
      <c r="C1167" s="47" t="s">
        <v>4951</v>
      </c>
      <c r="D1167" s="47">
        <v>2.8813542652778601</v>
      </c>
      <c r="E1167" s="48">
        <f>SUMIF(Data!$E:$E,$C1167,Data!$AI:$AI)</f>
        <v>0</v>
      </c>
      <c r="I1167" s="14" t="s">
        <v>8131</v>
      </c>
      <c r="J1167" s="14" t="s">
        <v>8132</v>
      </c>
      <c r="K1167" s="14" t="s">
        <v>140</v>
      </c>
      <c r="L1167" s="14" t="s">
        <v>8069</v>
      </c>
      <c r="M1167" s="14" t="s">
        <v>8133</v>
      </c>
      <c r="N1167" s="14">
        <v>367.565</v>
      </c>
      <c r="O1167" s="14" t="s">
        <v>8134</v>
      </c>
      <c r="P1167" s="14" t="s">
        <v>8135</v>
      </c>
      <c r="Q1167" s="14" t="s">
        <v>227</v>
      </c>
      <c r="R1167" s="14" t="s">
        <v>8136</v>
      </c>
      <c r="S1167" s="14" t="s">
        <v>3714</v>
      </c>
      <c r="T1167" s="14" t="s">
        <v>3715</v>
      </c>
      <c r="U1167" s="14" t="s">
        <v>3716</v>
      </c>
      <c r="V1167" s="48">
        <f>SUMIF(Data!$E:$E,$I1167,Data!$AI:$AI)</f>
        <v>0</v>
      </c>
    </row>
    <row r="1168" spans="1:22" x14ac:dyDescent="0.25">
      <c r="A1168" s="47" t="s">
        <v>7967</v>
      </c>
      <c r="B1168" s="47" t="s">
        <v>123</v>
      </c>
      <c r="C1168" s="47" t="s">
        <v>1469</v>
      </c>
      <c r="D1168" s="47">
        <v>1.29145723000421</v>
      </c>
      <c r="E1168" s="48">
        <f>SUMIF(Data!$E:$E,$C1168,Data!$AI:$AI)</f>
        <v>0</v>
      </c>
      <c r="I1168" s="14">
        <v>9532</v>
      </c>
      <c r="J1168" s="14" t="s">
        <v>8137</v>
      </c>
      <c r="K1168" s="14" t="s">
        <v>140</v>
      </c>
      <c r="L1168" s="14" t="s">
        <v>8069</v>
      </c>
      <c r="M1168" s="14" t="s">
        <v>8138</v>
      </c>
      <c r="N1168" s="14">
        <v>197.31100000000001</v>
      </c>
      <c r="O1168" s="14" t="s">
        <v>8139</v>
      </c>
      <c r="P1168" s="14" t="s">
        <v>8140</v>
      </c>
      <c r="Q1168" s="14" t="s">
        <v>697</v>
      </c>
      <c r="R1168" s="14" t="s">
        <v>8141</v>
      </c>
      <c r="S1168" s="14" t="s">
        <v>444</v>
      </c>
      <c r="T1168" s="14" t="s">
        <v>445</v>
      </c>
      <c r="U1168" s="14" t="s">
        <v>446</v>
      </c>
      <c r="V1168" s="48">
        <f>SUMIF(Data!$E:$E,$I1168,Data!$AI:$AI)</f>
        <v>0</v>
      </c>
    </row>
    <row r="1169" spans="1:22" x14ac:dyDescent="0.25">
      <c r="A1169" s="47" t="s">
        <v>7967</v>
      </c>
      <c r="B1169" s="47" t="s">
        <v>123</v>
      </c>
      <c r="C1169" s="47" t="s">
        <v>6850</v>
      </c>
      <c r="D1169" s="47">
        <v>0.44788679511471002</v>
      </c>
      <c r="E1169" s="48">
        <f>SUMIF(Data!$E:$E,$C1169,Data!$AI:$AI)</f>
        <v>0.7318861193221331</v>
      </c>
      <c r="I1169" s="14" t="s">
        <v>8142</v>
      </c>
      <c r="J1169" s="14" t="s">
        <v>8143</v>
      </c>
      <c r="K1169" s="14" t="s">
        <v>140</v>
      </c>
      <c r="L1169" s="14" t="s">
        <v>8069</v>
      </c>
      <c r="M1169" s="14" t="s">
        <v>8144</v>
      </c>
      <c r="N1169" s="14">
        <v>72.489000000000004</v>
      </c>
      <c r="O1169" s="14" t="s">
        <v>8145</v>
      </c>
      <c r="P1169" s="14" t="s">
        <v>8146</v>
      </c>
      <c r="Q1169" s="14" t="s">
        <v>211</v>
      </c>
      <c r="R1169" s="14" t="s">
        <v>8147</v>
      </c>
      <c r="S1169" s="14" t="s">
        <v>195</v>
      </c>
      <c r="T1169" s="14" t="s">
        <v>149</v>
      </c>
      <c r="U1169" s="14" t="s">
        <v>113</v>
      </c>
      <c r="V1169" s="48">
        <f>SUMIF(Data!$E:$E,$I1169,Data!$AI:$AI)</f>
        <v>0</v>
      </c>
    </row>
    <row r="1170" spans="1:22" x14ac:dyDescent="0.25">
      <c r="A1170" s="47" t="s">
        <v>7967</v>
      </c>
      <c r="B1170" s="47" t="s">
        <v>123</v>
      </c>
      <c r="C1170" s="47" t="s">
        <v>4605</v>
      </c>
      <c r="D1170" s="47">
        <v>0.50485172435771697</v>
      </c>
      <c r="E1170" s="48">
        <f>SUMIF(Data!$E:$E,$C1170,Data!$AI:$AI)</f>
        <v>0</v>
      </c>
      <c r="I1170" s="14" t="s">
        <v>8148</v>
      </c>
      <c r="J1170" s="14" t="s">
        <v>8149</v>
      </c>
      <c r="K1170" s="14" t="s">
        <v>140</v>
      </c>
      <c r="L1170" s="14" t="s">
        <v>8069</v>
      </c>
      <c r="M1170" s="14" t="s">
        <v>8150</v>
      </c>
      <c r="N1170" s="14">
        <v>103.375</v>
      </c>
      <c r="O1170" s="14" t="s">
        <v>8151</v>
      </c>
      <c r="P1170" s="14" t="s">
        <v>8152</v>
      </c>
      <c r="Q1170" s="14" t="s">
        <v>165</v>
      </c>
      <c r="R1170" s="14" t="s">
        <v>8153</v>
      </c>
      <c r="S1170" s="14" t="s">
        <v>195</v>
      </c>
      <c r="T1170" s="14" t="s">
        <v>149</v>
      </c>
      <c r="U1170" s="14" t="s">
        <v>113</v>
      </c>
      <c r="V1170" s="48">
        <f>SUMIF(Data!$E:$E,$I1170,Data!$AI:$AI)</f>
        <v>0</v>
      </c>
    </row>
    <row r="1171" spans="1:22" x14ac:dyDescent="0.25">
      <c r="A1171" s="47" t="s">
        <v>7967</v>
      </c>
      <c r="B1171" s="47" t="s">
        <v>123</v>
      </c>
      <c r="C1171" s="47" t="s">
        <v>4613</v>
      </c>
      <c r="D1171" s="47">
        <v>0.187685386286154</v>
      </c>
      <c r="E1171" s="48">
        <f>SUMIF(Data!$E:$E,$C1171,Data!$AI:$AI)</f>
        <v>0</v>
      </c>
      <c r="I1171" s="14" t="s">
        <v>8154</v>
      </c>
      <c r="J1171" s="14" t="s">
        <v>8155</v>
      </c>
      <c r="K1171" s="14" t="s">
        <v>140</v>
      </c>
      <c r="L1171" s="14" t="s">
        <v>8069</v>
      </c>
      <c r="M1171" s="14" t="s">
        <v>8156</v>
      </c>
      <c r="N1171" s="14">
        <v>137.97499999999999</v>
      </c>
      <c r="O1171" s="14" t="s">
        <v>8157</v>
      </c>
      <c r="P1171" s="14" t="s">
        <v>8158</v>
      </c>
      <c r="Q1171" s="14" t="s">
        <v>419</v>
      </c>
      <c r="R1171" s="14" t="s">
        <v>8159</v>
      </c>
      <c r="S1171" s="14" t="s">
        <v>563</v>
      </c>
      <c r="T1171" s="14" t="s">
        <v>564</v>
      </c>
      <c r="U1171" s="14" t="s">
        <v>528</v>
      </c>
      <c r="V1171" s="48">
        <f>SUMIF(Data!$E:$E,$I1171,Data!$AI:$AI)</f>
        <v>0</v>
      </c>
    </row>
    <row r="1172" spans="1:22" x14ac:dyDescent="0.25">
      <c r="A1172" s="47" t="s">
        <v>7967</v>
      </c>
      <c r="B1172" s="47" t="s">
        <v>123</v>
      </c>
      <c r="C1172" s="47" t="s">
        <v>4984</v>
      </c>
      <c r="D1172" s="47">
        <v>1.0420704241215</v>
      </c>
      <c r="E1172" s="48">
        <f>SUMIF(Data!$E:$E,$C1172,Data!$AI:$AI)</f>
        <v>0</v>
      </c>
      <c r="I1172" s="14" t="s">
        <v>8160</v>
      </c>
      <c r="J1172" s="14" t="s">
        <v>8161</v>
      </c>
      <c r="K1172" s="14" t="s">
        <v>140</v>
      </c>
      <c r="L1172" s="14" t="s">
        <v>8069</v>
      </c>
      <c r="M1172" s="14" t="s">
        <v>8162</v>
      </c>
      <c r="N1172" s="14">
        <v>46.881</v>
      </c>
      <c r="O1172" s="14" t="s">
        <v>8163</v>
      </c>
      <c r="P1172" s="14" t="s">
        <v>8164</v>
      </c>
      <c r="Q1172" s="14" t="s">
        <v>146</v>
      </c>
      <c r="R1172" s="14" t="s">
        <v>8165</v>
      </c>
      <c r="S1172" s="14" t="s">
        <v>195</v>
      </c>
      <c r="T1172" s="14" t="s">
        <v>149</v>
      </c>
      <c r="U1172" s="14" t="s">
        <v>113</v>
      </c>
      <c r="V1172" s="48">
        <f>SUMIF(Data!$E:$E,$I1172,Data!$AI:$AI)</f>
        <v>0</v>
      </c>
    </row>
    <row r="1173" spans="1:22" x14ac:dyDescent="0.25">
      <c r="A1173" s="47" t="s">
        <v>7967</v>
      </c>
      <c r="B1173" s="47" t="s">
        <v>123</v>
      </c>
      <c r="C1173" s="47" t="s">
        <v>4991</v>
      </c>
      <c r="D1173" s="47">
        <v>0.59680376505184596</v>
      </c>
      <c r="E1173" s="48">
        <f>SUMIF(Data!$E:$E,$C1173,Data!$AI:$AI)</f>
        <v>0.38077996000694508</v>
      </c>
      <c r="I1173" s="14" t="s">
        <v>8166</v>
      </c>
      <c r="J1173" s="14" t="s">
        <v>8167</v>
      </c>
      <c r="K1173" s="14" t="s">
        <v>140</v>
      </c>
      <c r="L1173" s="14" t="s">
        <v>8069</v>
      </c>
      <c r="M1173" s="14" t="s">
        <v>8168</v>
      </c>
      <c r="N1173" s="14">
        <v>561.64300000000003</v>
      </c>
      <c r="O1173" s="14" t="s">
        <v>8169</v>
      </c>
      <c r="P1173" s="14" t="s">
        <v>8170</v>
      </c>
      <c r="Q1173" s="14" t="s">
        <v>193</v>
      </c>
      <c r="R1173" s="14" t="s">
        <v>8171</v>
      </c>
      <c r="S1173" s="14" t="s">
        <v>526</v>
      </c>
      <c r="T1173" s="14" t="s">
        <v>527</v>
      </c>
      <c r="U1173" s="14" t="s">
        <v>528</v>
      </c>
      <c r="V1173" s="48">
        <f>SUMIF(Data!$E:$E,$I1173,Data!$AI:$AI)</f>
        <v>0</v>
      </c>
    </row>
    <row r="1174" spans="1:22" x14ac:dyDescent="0.25">
      <c r="A1174" s="47" t="s">
        <v>7967</v>
      </c>
      <c r="B1174" s="47" t="s">
        <v>123</v>
      </c>
      <c r="C1174" s="47" t="s">
        <v>4998</v>
      </c>
      <c r="D1174" s="47">
        <v>1.63764354043343</v>
      </c>
      <c r="E1174" s="48">
        <f>SUMIF(Data!$E:$E,$C1174,Data!$AI:$AI)</f>
        <v>0</v>
      </c>
      <c r="I1174" s="14" t="s">
        <v>8172</v>
      </c>
      <c r="J1174" s="14" t="s">
        <v>8173</v>
      </c>
      <c r="K1174" s="14" t="s">
        <v>140</v>
      </c>
      <c r="L1174" s="14" t="s">
        <v>8069</v>
      </c>
      <c r="M1174" s="14" t="s">
        <v>8174</v>
      </c>
      <c r="N1174" s="14">
        <v>132.893</v>
      </c>
      <c r="O1174" s="14" t="s">
        <v>8175</v>
      </c>
      <c r="P1174" s="14" t="s">
        <v>8176</v>
      </c>
      <c r="Q1174" s="14" t="s">
        <v>193</v>
      </c>
      <c r="R1174" s="14" t="s">
        <v>8177</v>
      </c>
      <c r="S1174" s="14" t="s">
        <v>728</v>
      </c>
      <c r="T1174" s="14" t="s">
        <v>729</v>
      </c>
      <c r="U1174" s="14" t="s">
        <v>730</v>
      </c>
      <c r="V1174" s="48">
        <f>SUMIF(Data!$E:$E,$I1174,Data!$AI:$AI)</f>
        <v>0</v>
      </c>
    </row>
    <row r="1175" spans="1:22" x14ac:dyDescent="0.25">
      <c r="A1175" s="47" t="s">
        <v>7967</v>
      </c>
      <c r="B1175" s="47" t="s">
        <v>123</v>
      </c>
      <c r="C1175" s="47" t="s">
        <v>6338</v>
      </c>
      <c r="D1175" s="47">
        <v>0.18027515793301899</v>
      </c>
      <c r="E1175" s="48">
        <f>SUMIF(Data!$E:$E,$C1175,Data!$AI:$AI)</f>
        <v>0</v>
      </c>
      <c r="I1175" s="14" t="s">
        <v>8178</v>
      </c>
      <c r="J1175" s="14" t="s">
        <v>8179</v>
      </c>
      <c r="K1175" s="14" t="s">
        <v>140</v>
      </c>
      <c r="L1175" s="14" t="s">
        <v>8069</v>
      </c>
      <c r="M1175" s="14" t="s">
        <v>8180</v>
      </c>
      <c r="N1175" s="14">
        <v>32.484000000000002</v>
      </c>
      <c r="O1175" s="14" t="s">
        <v>8181</v>
      </c>
      <c r="P1175" s="14" t="s">
        <v>8182</v>
      </c>
      <c r="Q1175" s="14" t="s">
        <v>193</v>
      </c>
      <c r="R1175" s="14" t="s">
        <v>8183</v>
      </c>
      <c r="S1175" s="14" t="s">
        <v>195</v>
      </c>
      <c r="T1175" s="14" t="s">
        <v>149</v>
      </c>
      <c r="U1175" s="14" t="s">
        <v>113</v>
      </c>
      <c r="V1175" s="48">
        <f>SUMIF(Data!$E:$E,$I1175,Data!$AI:$AI)</f>
        <v>0</v>
      </c>
    </row>
    <row r="1176" spans="1:22" x14ac:dyDescent="0.25">
      <c r="A1176" s="47" t="s">
        <v>7967</v>
      </c>
      <c r="B1176" s="47" t="s">
        <v>123</v>
      </c>
      <c r="C1176" s="47" t="s">
        <v>5005</v>
      </c>
      <c r="D1176" s="47">
        <v>0.77436055631376499</v>
      </c>
      <c r="E1176" s="48">
        <f>SUMIF(Data!$E:$E,$C1176,Data!$AI:$AI)</f>
        <v>0</v>
      </c>
      <c r="I1176" s="14" t="s">
        <v>8184</v>
      </c>
      <c r="J1176" s="14" t="s">
        <v>8185</v>
      </c>
      <c r="K1176" s="14" t="s">
        <v>140</v>
      </c>
      <c r="L1176" s="14" t="s">
        <v>8069</v>
      </c>
      <c r="M1176" s="14" t="s">
        <v>8186</v>
      </c>
      <c r="N1176" s="14">
        <v>5.5579999999999998</v>
      </c>
      <c r="O1176" s="14" t="s">
        <v>8187</v>
      </c>
      <c r="P1176" s="14" t="s">
        <v>8188</v>
      </c>
      <c r="Q1176" s="14" t="s">
        <v>737</v>
      </c>
      <c r="R1176" s="14" t="s">
        <v>8189</v>
      </c>
      <c r="S1176" s="14" t="s">
        <v>6417</v>
      </c>
      <c r="T1176" s="14" t="s">
        <v>230</v>
      </c>
      <c r="U1176" s="14" t="s">
        <v>231</v>
      </c>
      <c r="V1176" s="48">
        <f>SUMIF(Data!$E:$E,$I1176,Data!$AI:$AI)</f>
        <v>0</v>
      </c>
    </row>
    <row r="1177" spans="1:22" x14ac:dyDescent="0.25">
      <c r="A1177" s="47" t="s">
        <v>7967</v>
      </c>
      <c r="B1177" s="47" t="s">
        <v>123</v>
      </c>
      <c r="C1177" s="47" t="s">
        <v>5012</v>
      </c>
      <c r="D1177" s="47">
        <v>0.62370846213032405</v>
      </c>
      <c r="E1177" s="48">
        <f>SUMIF(Data!$E:$E,$C1177,Data!$AI:$AI)</f>
        <v>0.77934157011859584</v>
      </c>
      <c r="I1177" s="14" t="s">
        <v>8190</v>
      </c>
      <c r="J1177" s="14" t="s">
        <v>8191</v>
      </c>
      <c r="K1177" s="14" t="s">
        <v>140</v>
      </c>
      <c r="L1177" s="14" t="s">
        <v>8069</v>
      </c>
      <c r="M1177" s="14" t="s">
        <v>8192</v>
      </c>
      <c r="N1177" s="14">
        <v>123.69799999999999</v>
      </c>
      <c r="O1177" s="14" t="s">
        <v>8193</v>
      </c>
      <c r="P1177" s="14" t="s">
        <v>8194</v>
      </c>
      <c r="Q1177" s="14" t="s">
        <v>193</v>
      </c>
      <c r="R1177" s="14" t="s">
        <v>8195</v>
      </c>
      <c r="S1177" s="14" t="s">
        <v>195</v>
      </c>
      <c r="T1177" s="14" t="s">
        <v>149</v>
      </c>
      <c r="U1177" s="14" t="s">
        <v>113</v>
      </c>
      <c r="V1177" s="48">
        <f>SUMIF(Data!$E:$E,$I1177,Data!$AI:$AI)</f>
        <v>0</v>
      </c>
    </row>
    <row r="1178" spans="1:22" x14ac:dyDescent="0.25">
      <c r="A1178" s="47" t="s">
        <v>7967</v>
      </c>
      <c r="B1178" s="47" t="s">
        <v>123</v>
      </c>
      <c r="C1178" s="47" t="s">
        <v>5019</v>
      </c>
      <c r="D1178" s="47">
        <v>1.96529991418901</v>
      </c>
      <c r="E1178" s="48">
        <f>SUMIF(Data!$E:$E,$C1178,Data!$AI:$AI)</f>
        <v>0</v>
      </c>
      <c r="I1178" s="14" t="s">
        <v>8196</v>
      </c>
      <c r="J1178" s="14" t="s">
        <v>8197</v>
      </c>
      <c r="K1178" s="14" t="s">
        <v>140</v>
      </c>
      <c r="L1178" s="14" t="s">
        <v>8069</v>
      </c>
      <c r="M1178" s="14" t="s">
        <v>8198</v>
      </c>
      <c r="N1178" s="14">
        <v>157.74700000000001</v>
      </c>
      <c r="O1178" s="14" t="s">
        <v>8199</v>
      </c>
      <c r="P1178" s="14" t="s">
        <v>8200</v>
      </c>
      <c r="Q1178" s="14" t="s">
        <v>146</v>
      </c>
      <c r="R1178" s="14" t="s">
        <v>8201</v>
      </c>
      <c r="S1178" s="14" t="s">
        <v>148</v>
      </c>
      <c r="T1178" s="14" t="s">
        <v>149</v>
      </c>
      <c r="U1178" s="14" t="s">
        <v>113</v>
      </c>
      <c r="V1178" s="48">
        <f>SUMIF(Data!$E:$E,$I1178,Data!$AI:$AI)</f>
        <v>0</v>
      </c>
    </row>
    <row r="1179" spans="1:22" x14ac:dyDescent="0.25">
      <c r="A1179" s="47" t="s">
        <v>7967</v>
      </c>
      <c r="B1179" s="47" t="s">
        <v>123</v>
      </c>
      <c r="C1179" s="47" t="s">
        <v>5026</v>
      </c>
      <c r="D1179" s="47">
        <v>1.8782620790704601</v>
      </c>
      <c r="E1179" s="48">
        <f>SUMIF(Data!$E:$E,$C1179,Data!$AI:$AI)</f>
        <v>0</v>
      </c>
      <c r="I1179" s="14" t="s">
        <v>8202</v>
      </c>
      <c r="J1179" s="14" t="s">
        <v>8203</v>
      </c>
      <c r="K1179" s="14" t="s">
        <v>140</v>
      </c>
      <c r="L1179" s="14" t="s">
        <v>8069</v>
      </c>
      <c r="M1179" s="14" t="s">
        <v>8204</v>
      </c>
      <c r="N1179" s="14">
        <v>63.695999999999998</v>
      </c>
      <c r="O1179" s="14" t="s">
        <v>8205</v>
      </c>
      <c r="P1179" s="14" t="s">
        <v>8206</v>
      </c>
      <c r="Q1179" s="14" t="s">
        <v>227</v>
      </c>
      <c r="R1179" s="14" t="s">
        <v>8207</v>
      </c>
      <c r="S1179" s="14" t="s">
        <v>195</v>
      </c>
      <c r="T1179" s="14" t="s">
        <v>149</v>
      </c>
      <c r="U1179" s="14" t="s">
        <v>113</v>
      </c>
      <c r="V1179" s="48">
        <f>SUMIF(Data!$E:$E,$I1179,Data!$AI:$AI)</f>
        <v>0</v>
      </c>
    </row>
    <row r="1180" spans="1:22" x14ac:dyDescent="0.25">
      <c r="A1180" s="47" t="s">
        <v>7967</v>
      </c>
      <c r="B1180" s="47" t="s">
        <v>123</v>
      </c>
      <c r="C1180" s="47" t="s">
        <v>6750</v>
      </c>
      <c r="D1180" s="47">
        <v>0.2036087268258</v>
      </c>
      <c r="E1180" s="48">
        <f>SUMIF(Data!$E:$E,$C1180,Data!$AI:$AI)</f>
        <v>0.68951282351564869</v>
      </c>
      <c r="I1180" s="14">
        <v>4324</v>
      </c>
      <c r="J1180" s="14" t="s">
        <v>8208</v>
      </c>
      <c r="K1180" s="14" t="s">
        <v>140</v>
      </c>
      <c r="L1180" s="14" t="s">
        <v>8069</v>
      </c>
      <c r="M1180" s="14" t="s">
        <v>8209</v>
      </c>
      <c r="N1180" s="14">
        <v>102.6</v>
      </c>
      <c r="O1180" s="14" t="s">
        <v>8210</v>
      </c>
      <c r="P1180" s="14" t="s">
        <v>8211</v>
      </c>
      <c r="Q1180" s="14" t="s">
        <v>175</v>
      </c>
      <c r="R1180" s="14" t="s">
        <v>8212</v>
      </c>
      <c r="S1180" s="14" t="s">
        <v>444</v>
      </c>
      <c r="T1180" s="14" t="s">
        <v>445</v>
      </c>
      <c r="U1180" s="14" t="s">
        <v>446</v>
      </c>
      <c r="V1180" s="48">
        <f>SUMIF(Data!$E:$E,$I1180,Data!$AI:$AI)</f>
        <v>0</v>
      </c>
    </row>
    <row r="1181" spans="1:22" x14ac:dyDescent="0.25">
      <c r="A1181" s="47" t="s">
        <v>8213</v>
      </c>
      <c r="B1181" s="47" t="s">
        <v>123</v>
      </c>
      <c r="C1181" s="47" t="s">
        <v>4464</v>
      </c>
      <c r="D1181" s="47">
        <v>0.16502255363851001</v>
      </c>
      <c r="E1181" s="48">
        <f>SUMIF(Data!$E:$E,$C1181,Data!$AI:$AI)</f>
        <v>0.16778694604010902</v>
      </c>
      <c r="I1181" s="14" t="s">
        <v>8214</v>
      </c>
      <c r="J1181" s="14" t="s">
        <v>8215</v>
      </c>
      <c r="K1181" s="14" t="s">
        <v>140</v>
      </c>
      <c r="L1181" s="14" t="s">
        <v>8069</v>
      </c>
      <c r="M1181" s="14" t="s">
        <v>8216</v>
      </c>
      <c r="N1181" s="14">
        <v>1.6319999999999999</v>
      </c>
      <c r="O1181" s="14" t="s">
        <v>8217</v>
      </c>
      <c r="P1181" s="14" t="s">
        <v>8218</v>
      </c>
      <c r="Q1181" s="14" t="s">
        <v>227</v>
      </c>
      <c r="R1181" s="14" t="s">
        <v>8219</v>
      </c>
      <c r="S1181" s="14" t="s">
        <v>6417</v>
      </c>
      <c r="T1181" s="14" t="s">
        <v>230</v>
      </c>
      <c r="U1181" s="14" t="s">
        <v>231</v>
      </c>
      <c r="V1181" s="48">
        <f>SUMIF(Data!$E:$E,$I1181,Data!$AI:$AI)</f>
        <v>0</v>
      </c>
    </row>
    <row r="1182" spans="1:22" x14ac:dyDescent="0.25">
      <c r="A1182" s="47" t="s">
        <v>8213</v>
      </c>
      <c r="B1182" s="47" t="s">
        <v>123</v>
      </c>
      <c r="C1182" s="47" t="s">
        <v>4578</v>
      </c>
      <c r="D1182" s="47">
        <v>4.9026783965477803</v>
      </c>
      <c r="E1182" s="48">
        <f>SUMIF(Data!$E:$E,$C1182,Data!$AI:$AI)</f>
        <v>0.82698926913975535</v>
      </c>
      <c r="I1182" s="14">
        <v>7259</v>
      </c>
      <c r="J1182" s="14" t="s">
        <v>8220</v>
      </c>
      <c r="K1182" s="14" t="s">
        <v>140</v>
      </c>
      <c r="L1182" s="14" t="s">
        <v>8069</v>
      </c>
      <c r="M1182" s="14" t="s">
        <v>8221</v>
      </c>
      <c r="N1182" s="14">
        <v>99.397999999999996</v>
      </c>
      <c r="O1182" s="14" t="s">
        <v>8222</v>
      </c>
      <c r="P1182" s="14" t="s">
        <v>8223</v>
      </c>
      <c r="Q1182" s="14" t="s">
        <v>165</v>
      </c>
      <c r="R1182" s="14" t="s">
        <v>8224</v>
      </c>
      <c r="S1182" s="14" t="s">
        <v>444</v>
      </c>
      <c r="T1182" s="14" t="s">
        <v>445</v>
      </c>
      <c r="U1182" s="14" t="s">
        <v>446</v>
      </c>
      <c r="V1182" s="48">
        <f>SUMIF(Data!$E:$E,$I1182,Data!$AI:$AI)</f>
        <v>0</v>
      </c>
    </row>
    <row r="1183" spans="1:22" x14ac:dyDescent="0.25">
      <c r="A1183" s="47" t="s">
        <v>8213</v>
      </c>
      <c r="B1183" s="47" t="s">
        <v>123</v>
      </c>
      <c r="C1183" s="47" t="s">
        <v>2017</v>
      </c>
      <c r="D1183" s="47">
        <v>0.45313312251710097</v>
      </c>
      <c r="E1183" s="48">
        <f>SUMIF(Data!$E:$E,$C1183,Data!$AI:$AI)</f>
        <v>0</v>
      </c>
      <c r="I1183" s="14">
        <v>4704</v>
      </c>
      <c r="J1183" s="14" t="s">
        <v>8225</v>
      </c>
      <c r="K1183" s="14" t="s">
        <v>140</v>
      </c>
      <c r="L1183" s="14" t="s">
        <v>8069</v>
      </c>
      <c r="M1183" s="14" t="s">
        <v>8226</v>
      </c>
      <c r="N1183" s="14">
        <v>68.078999999999994</v>
      </c>
      <c r="O1183" s="14" t="s">
        <v>8227</v>
      </c>
      <c r="P1183" s="14" t="s">
        <v>8228</v>
      </c>
      <c r="Q1183" s="14" t="s">
        <v>146</v>
      </c>
      <c r="R1183" s="14" t="s">
        <v>8229</v>
      </c>
      <c r="S1183" s="14" t="s">
        <v>444</v>
      </c>
      <c r="T1183" s="14" t="s">
        <v>445</v>
      </c>
      <c r="U1183" s="14" t="s">
        <v>446</v>
      </c>
      <c r="V1183" s="48">
        <f>SUMIF(Data!$E:$E,$I1183,Data!$AI:$AI)</f>
        <v>0</v>
      </c>
    </row>
    <row r="1184" spans="1:22" x14ac:dyDescent="0.25">
      <c r="A1184" s="47" t="s">
        <v>8213</v>
      </c>
      <c r="B1184" s="47" t="s">
        <v>123</v>
      </c>
      <c r="C1184" s="47" t="s">
        <v>4492</v>
      </c>
      <c r="D1184" s="47">
        <v>0.91640493047468397</v>
      </c>
      <c r="E1184" s="48">
        <f>SUMIF(Data!$E:$E,$C1184,Data!$AI:$AI)</f>
        <v>0</v>
      </c>
      <c r="I1184" s="14" t="s">
        <v>8230</v>
      </c>
      <c r="J1184" s="14" t="s">
        <v>8231</v>
      </c>
      <c r="K1184" s="14" t="s">
        <v>140</v>
      </c>
      <c r="L1184" s="14" t="s">
        <v>8069</v>
      </c>
      <c r="M1184" s="14" t="s">
        <v>8232</v>
      </c>
      <c r="N1184" s="14">
        <v>310.39800000000002</v>
      </c>
      <c r="O1184" s="14" t="s">
        <v>8233</v>
      </c>
      <c r="P1184" s="14" t="s">
        <v>8234</v>
      </c>
      <c r="Q1184" s="14" t="s">
        <v>193</v>
      </c>
      <c r="R1184" s="14" t="s">
        <v>8235</v>
      </c>
      <c r="S1184" s="14" t="s">
        <v>1130</v>
      </c>
      <c r="T1184" s="14" t="s">
        <v>1131</v>
      </c>
      <c r="U1184" s="14" t="s">
        <v>528</v>
      </c>
      <c r="V1184" s="48">
        <f>SUMIF(Data!$E:$E,$I1184,Data!$AI:$AI)</f>
        <v>0</v>
      </c>
    </row>
    <row r="1185" spans="1:22" x14ac:dyDescent="0.25">
      <c r="A1185" s="47" t="s">
        <v>8213</v>
      </c>
      <c r="B1185" s="47" t="s">
        <v>123</v>
      </c>
      <c r="C1185" s="47" t="s">
        <v>4768</v>
      </c>
      <c r="D1185" s="47">
        <v>0.929195699680193</v>
      </c>
      <c r="E1185" s="48">
        <f>SUMIF(Data!$E:$E,$C1185,Data!$AI:$AI)</f>
        <v>0</v>
      </c>
      <c r="I1185" s="14" t="s">
        <v>8236</v>
      </c>
      <c r="J1185" s="14" t="s">
        <v>8237</v>
      </c>
      <c r="K1185" s="14" t="s">
        <v>140</v>
      </c>
      <c r="L1185" s="14" t="s">
        <v>8069</v>
      </c>
      <c r="M1185" s="14" t="s">
        <v>8238</v>
      </c>
      <c r="N1185" s="14">
        <v>322.04500000000002</v>
      </c>
      <c r="O1185" s="14" t="s">
        <v>8239</v>
      </c>
      <c r="P1185" s="14" t="s">
        <v>8240</v>
      </c>
      <c r="Q1185" s="14" t="s">
        <v>697</v>
      </c>
      <c r="R1185" s="14" t="s">
        <v>8241</v>
      </c>
      <c r="S1185" s="14" t="s">
        <v>563</v>
      </c>
      <c r="T1185" s="14" t="s">
        <v>564</v>
      </c>
      <c r="U1185" s="14" t="s">
        <v>528</v>
      </c>
      <c r="V1185" s="48">
        <f>SUMIF(Data!$E:$E,$I1185,Data!$AI:$AI)</f>
        <v>0</v>
      </c>
    </row>
    <row r="1186" spans="1:22" x14ac:dyDescent="0.25">
      <c r="A1186" s="47" t="s">
        <v>8213</v>
      </c>
      <c r="B1186" s="47" t="s">
        <v>123</v>
      </c>
      <c r="C1186" s="47" t="s">
        <v>4585</v>
      </c>
      <c r="D1186" s="47">
        <v>0.19988494639677301</v>
      </c>
      <c r="E1186" s="48">
        <f>SUMIF(Data!$E:$E,$C1186,Data!$AI:$AI)</f>
        <v>0.50254664386636194</v>
      </c>
      <c r="I1186" s="14" t="s">
        <v>8242</v>
      </c>
      <c r="J1186" s="14" t="s">
        <v>8243</v>
      </c>
      <c r="K1186" s="14" t="s">
        <v>140</v>
      </c>
      <c r="L1186" s="14" t="s">
        <v>8069</v>
      </c>
      <c r="M1186" s="14" t="s">
        <v>8244</v>
      </c>
      <c r="N1186" s="14">
        <v>48.136000000000003</v>
      </c>
      <c r="O1186" s="14" t="s">
        <v>8245</v>
      </c>
      <c r="P1186" s="14" t="s">
        <v>8246</v>
      </c>
      <c r="Q1186" s="14" t="s">
        <v>165</v>
      </c>
      <c r="R1186" s="14" t="s">
        <v>8247</v>
      </c>
      <c r="S1186" s="14" t="s">
        <v>526</v>
      </c>
      <c r="T1186" s="14" t="s">
        <v>527</v>
      </c>
      <c r="U1186" s="14" t="s">
        <v>528</v>
      </c>
      <c r="V1186" s="48">
        <f>SUMIF(Data!$E:$E,$I1186,Data!$AI:$AI)</f>
        <v>0</v>
      </c>
    </row>
    <row r="1187" spans="1:22" x14ac:dyDescent="0.25">
      <c r="A1187" s="47" t="s">
        <v>8213</v>
      </c>
      <c r="B1187" s="47" t="s">
        <v>123</v>
      </c>
      <c r="C1187" s="47" t="s">
        <v>5051</v>
      </c>
      <c r="D1187" s="47">
        <v>0.49794460656164302</v>
      </c>
      <c r="E1187" s="48">
        <f>SUMIF(Data!$E:$E,$C1187,Data!$AI:$AI)</f>
        <v>0.40847619001243751</v>
      </c>
      <c r="I1187" s="14" t="s">
        <v>8248</v>
      </c>
      <c r="J1187" s="14" t="s">
        <v>8249</v>
      </c>
      <c r="K1187" s="14" t="s">
        <v>140</v>
      </c>
      <c r="L1187" s="14" t="s">
        <v>8069</v>
      </c>
      <c r="M1187" s="14" t="s">
        <v>8250</v>
      </c>
      <c r="N1187" s="14">
        <v>48.188000000000002</v>
      </c>
      <c r="O1187" s="14" t="s">
        <v>8251</v>
      </c>
      <c r="P1187" s="14" t="s">
        <v>8252</v>
      </c>
      <c r="Q1187" s="14" t="s">
        <v>175</v>
      </c>
      <c r="R1187" s="14" t="s">
        <v>8253</v>
      </c>
      <c r="S1187" s="14" t="s">
        <v>563</v>
      </c>
      <c r="T1187" s="14" t="s">
        <v>564</v>
      </c>
      <c r="U1187" s="14" t="s">
        <v>528</v>
      </c>
      <c r="V1187" s="48">
        <f>SUMIF(Data!$E:$E,$I1187,Data!$AI:$AI)</f>
        <v>0</v>
      </c>
    </row>
    <row r="1188" spans="1:22" x14ac:dyDescent="0.25">
      <c r="A1188" s="47" t="s">
        <v>8213</v>
      </c>
      <c r="B1188" s="47" t="s">
        <v>123</v>
      </c>
      <c r="C1188" s="47" t="s">
        <v>5058</v>
      </c>
      <c r="D1188" s="47">
        <v>0.17966103231042099</v>
      </c>
      <c r="E1188" s="48">
        <f>SUMIF(Data!$E:$E,$C1188,Data!$AI:$AI)</f>
        <v>0</v>
      </c>
      <c r="I1188" s="14" t="s">
        <v>8254</v>
      </c>
      <c r="J1188" s="14" t="s">
        <v>8255</v>
      </c>
      <c r="K1188" s="14" t="s">
        <v>140</v>
      </c>
      <c r="L1188" s="14" t="s">
        <v>8069</v>
      </c>
      <c r="M1188" s="14" t="s">
        <v>8256</v>
      </c>
      <c r="N1188" s="14">
        <v>804.524</v>
      </c>
      <c r="O1188" s="14" t="s">
        <v>8257</v>
      </c>
      <c r="P1188" s="14" t="s">
        <v>8258</v>
      </c>
      <c r="Q1188" s="14" t="s">
        <v>263</v>
      </c>
      <c r="R1188" s="14" t="s">
        <v>8259</v>
      </c>
      <c r="S1188" s="14" t="s">
        <v>728</v>
      </c>
      <c r="T1188" s="14" t="s">
        <v>729</v>
      </c>
      <c r="U1188" s="14" t="s">
        <v>730</v>
      </c>
      <c r="V1188" s="48">
        <f>SUMIF(Data!$E:$E,$I1188,Data!$AI:$AI)</f>
        <v>0</v>
      </c>
    </row>
    <row r="1189" spans="1:22" x14ac:dyDescent="0.25">
      <c r="A1189" s="47" t="s">
        <v>8213</v>
      </c>
      <c r="B1189" s="47" t="s">
        <v>123</v>
      </c>
      <c r="C1189" s="47" t="s">
        <v>5065</v>
      </c>
      <c r="D1189" s="47">
        <v>0.38742584204121899</v>
      </c>
      <c r="E1189" s="48">
        <f>SUMIF(Data!$E:$E,$C1189,Data!$AI:$AI)</f>
        <v>0.49255800486170526</v>
      </c>
      <c r="I1189" s="14" t="s">
        <v>5115</v>
      </c>
      <c r="J1189" s="14" t="s">
        <v>8260</v>
      </c>
      <c r="K1189" s="14" t="s">
        <v>140</v>
      </c>
      <c r="L1189" s="14" t="s">
        <v>8069</v>
      </c>
      <c r="M1189" s="14" t="s">
        <v>8261</v>
      </c>
      <c r="N1189" s="14">
        <v>204.595</v>
      </c>
      <c r="O1189" s="14" t="s">
        <v>8262</v>
      </c>
      <c r="P1189" s="14" t="s">
        <v>8263</v>
      </c>
      <c r="Q1189" s="14" t="s">
        <v>263</v>
      </c>
      <c r="R1189" s="14" t="s">
        <v>8264</v>
      </c>
      <c r="S1189" s="14" t="s">
        <v>728</v>
      </c>
      <c r="T1189" s="14" t="s">
        <v>729</v>
      </c>
      <c r="U1189" s="14" t="s">
        <v>730</v>
      </c>
      <c r="V1189" s="48">
        <f>SUMIF(Data!$E:$E,$I1189,Data!$AI:$AI)</f>
        <v>0</v>
      </c>
    </row>
    <row r="1190" spans="1:22" x14ac:dyDescent="0.25">
      <c r="A1190" s="47" t="s">
        <v>8213</v>
      </c>
      <c r="B1190" s="47" t="s">
        <v>123</v>
      </c>
      <c r="C1190" s="47" t="s">
        <v>4592</v>
      </c>
      <c r="D1190" s="47">
        <v>9.6566962729684906</v>
      </c>
      <c r="E1190" s="48">
        <f>SUMIF(Data!$E:$E,$C1190,Data!$AI:$AI)</f>
        <v>0</v>
      </c>
      <c r="I1190" s="14">
        <v>2002</v>
      </c>
      <c r="J1190" s="14" t="s">
        <v>8265</v>
      </c>
      <c r="K1190" s="14" t="s">
        <v>140</v>
      </c>
      <c r="L1190" s="14" t="s">
        <v>8069</v>
      </c>
      <c r="M1190" s="14" t="s">
        <v>8266</v>
      </c>
      <c r="N1190" s="14">
        <v>201.4</v>
      </c>
      <c r="O1190" s="14" t="s">
        <v>8267</v>
      </c>
      <c r="P1190" s="14" t="s">
        <v>8268</v>
      </c>
      <c r="Q1190" s="14" t="s">
        <v>227</v>
      </c>
      <c r="R1190" s="14" t="s">
        <v>8269</v>
      </c>
      <c r="S1190" s="14" t="s">
        <v>444</v>
      </c>
      <c r="T1190" s="14" t="s">
        <v>445</v>
      </c>
      <c r="U1190" s="14" t="s">
        <v>446</v>
      </c>
      <c r="V1190" s="48">
        <f>SUMIF(Data!$E:$E,$I1190,Data!$AI:$AI)</f>
        <v>0</v>
      </c>
    </row>
    <row r="1191" spans="1:22" x14ac:dyDescent="0.25">
      <c r="A1191" s="47" t="s">
        <v>8213</v>
      </c>
      <c r="B1191" s="47" t="s">
        <v>123</v>
      </c>
      <c r="C1191" s="47" t="s">
        <v>4782</v>
      </c>
      <c r="D1191" s="47">
        <v>0.97339040045333802</v>
      </c>
      <c r="E1191" s="48">
        <f>SUMIF(Data!$E:$E,$C1191,Data!$AI:$AI)</f>
        <v>0</v>
      </c>
      <c r="I1191" s="14" t="s">
        <v>8270</v>
      </c>
      <c r="J1191" s="14" t="s">
        <v>8271</v>
      </c>
      <c r="K1191" s="14" t="s">
        <v>140</v>
      </c>
      <c r="L1191" s="14" t="s">
        <v>8069</v>
      </c>
      <c r="M1191" s="14" t="s">
        <v>8272</v>
      </c>
      <c r="N1191" s="14">
        <v>570.476</v>
      </c>
      <c r="O1191" s="14" t="s">
        <v>8273</v>
      </c>
      <c r="P1191" s="14" t="s">
        <v>8274</v>
      </c>
      <c r="Q1191" s="14" t="s">
        <v>419</v>
      </c>
      <c r="R1191" s="14" t="s">
        <v>8275</v>
      </c>
      <c r="S1191" s="14" t="s">
        <v>850</v>
      </c>
      <c r="T1191" s="14" t="s">
        <v>851</v>
      </c>
      <c r="U1191" s="14" t="s">
        <v>852</v>
      </c>
      <c r="V1191" s="48">
        <f>SUMIF(Data!$E:$E,$I1191,Data!$AI:$AI)</f>
        <v>0</v>
      </c>
    </row>
    <row r="1192" spans="1:22" x14ac:dyDescent="0.25">
      <c r="A1192" s="47" t="s">
        <v>8213</v>
      </c>
      <c r="B1192" s="47" t="s">
        <v>123</v>
      </c>
      <c r="C1192" s="47" t="s">
        <v>5072</v>
      </c>
      <c r="D1192" s="47">
        <v>0.19449346882112101</v>
      </c>
      <c r="E1192" s="48">
        <f>SUMIF(Data!$E:$E,$C1192,Data!$AI:$AI)</f>
        <v>0.26629035811338408</v>
      </c>
      <c r="I1192" s="14">
        <v>4732</v>
      </c>
      <c r="J1192" s="14" t="s">
        <v>8276</v>
      </c>
      <c r="K1192" s="14" t="s">
        <v>140</v>
      </c>
      <c r="L1192" s="14" t="s">
        <v>8069</v>
      </c>
      <c r="M1192" s="14" t="s">
        <v>8277</v>
      </c>
      <c r="N1192" s="14">
        <v>187.3</v>
      </c>
      <c r="O1192" s="14" t="s">
        <v>8278</v>
      </c>
      <c r="P1192" s="14" t="s">
        <v>8279</v>
      </c>
      <c r="Q1192" s="14" t="s">
        <v>165</v>
      </c>
      <c r="R1192" s="14" t="s">
        <v>8280</v>
      </c>
      <c r="S1192" s="14" t="s">
        <v>444</v>
      </c>
      <c r="T1192" s="14" t="s">
        <v>445</v>
      </c>
      <c r="U1192" s="14" t="s">
        <v>446</v>
      </c>
      <c r="V1192" s="48">
        <f>SUMIF(Data!$E:$E,$I1192,Data!$AI:$AI)</f>
        <v>0</v>
      </c>
    </row>
    <row r="1193" spans="1:22" x14ac:dyDescent="0.25">
      <c r="A1193" s="47" t="s">
        <v>8213</v>
      </c>
      <c r="B1193" s="47" t="s">
        <v>123</v>
      </c>
      <c r="C1193" s="47" t="s">
        <v>4789</v>
      </c>
      <c r="D1193" s="47">
        <v>0.79512491954578801</v>
      </c>
      <c r="E1193" s="48">
        <f>SUMIF(Data!$E:$E,$C1193,Data!$AI:$AI)</f>
        <v>0</v>
      </c>
      <c r="I1193" s="14">
        <v>7202</v>
      </c>
      <c r="J1193" s="14" t="s">
        <v>8281</v>
      </c>
      <c r="K1193" s="14" t="s">
        <v>140</v>
      </c>
      <c r="L1193" s="14" t="s">
        <v>8069</v>
      </c>
      <c r="M1193" s="14" t="s">
        <v>8282</v>
      </c>
      <c r="N1193" s="14">
        <v>310.89999999999998</v>
      </c>
      <c r="O1193" s="14" t="s">
        <v>8283</v>
      </c>
      <c r="P1193" s="14" t="s">
        <v>8284</v>
      </c>
      <c r="Q1193" s="14" t="s">
        <v>165</v>
      </c>
      <c r="R1193" s="14" t="s">
        <v>8285</v>
      </c>
      <c r="S1193" s="14" t="s">
        <v>444</v>
      </c>
      <c r="T1193" s="14" t="s">
        <v>445</v>
      </c>
      <c r="U1193" s="14" t="s">
        <v>446</v>
      </c>
      <c r="V1193" s="48">
        <f>SUMIF(Data!$E:$E,$I1193,Data!$AI:$AI)</f>
        <v>0</v>
      </c>
    </row>
    <row r="1194" spans="1:22" x14ac:dyDescent="0.25">
      <c r="A1194" s="47" t="s">
        <v>8213</v>
      </c>
      <c r="B1194" s="47" t="s">
        <v>123</v>
      </c>
      <c r="C1194" s="47" t="s">
        <v>3205</v>
      </c>
      <c r="D1194" s="47">
        <v>0.79973476937474997</v>
      </c>
      <c r="E1194" s="48">
        <f>SUMIF(Data!$E:$E,$C1194,Data!$AI:$AI)</f>
        <v>0</v>
      </c>
      <c r="I1194" s="14">
        <v>8253</v>
      </c>
      <c r="J1194" s="14" t="s">
        <v>8286</v>
      </c>
      <c r="K1194" s="14" t="s">
        <v>140</v>
      </c>
      <c r="L1194" s="14" t="s">
        <v>8069</v>
      </c>
      <c r="M1194" s="14" t="s">
        <v>8287</v>
      </c>
      <c r="N1194" s="14">
        <v>198.5</v>
      </c>
      <c r="O1194" s="14" t="s">
        <v>8288</v>
      </c>
      <c r="P1194" s="14" t="s">
        <v>8289</v>
      </c>
      <c r="Q1194" s="14" t="s">
        <v>193</v>
      </c>
      <c r="R1194" s="14" t="s">
        <v>8290</v>
      </c>
      <c r="S1194" s="14" t="s">
        <v>444</v>
      </c>
      <c r="T1194" s="14" t="s">
        <v>445</v>
      </c>
      <c r="U1194" s="14" t="s">
        <v>446</v>
      </c>
      <c r="V1194" s="48">
        <f>SUMIF(Data!$E:$E,$I1194,Data!$AI:$AI)</f>
        <v>0</v>
      </c>
    </row>
    <row r="1195" spans="1:22" x14ac:dyDescent="0.25">
      <c r="A1195" s="47" t="s">
        <v>8213</v>
      </c>
      <c r="B1195" s="47" t="s">
        <v>123</v>
      </c>
      <c r="C1195" s="47" t="s">
        <v>4527</v>
      </c>
      <c r="D1195" s="47">
        <v>0.57019811136765697</v>
      </c>
      <c r="E1195" s="48">
        <f>SUMIF(Data!$E:$E,$C1195,Data!$AI:$AI)</f>
        <v>0</v>
      </c>
      <c r="I1195" s="14">
        <v>9064</v>
      </c>
      <c r="J1195" s="14" t="s">
        <v>8291</v>
      </c>
      <c r="K1195" s="14" t="s">
        <v>140</v>
      </c>
      <c r="L1195" s="14" t="s">
        <v>8069</v>
      </c>
      <c r="M1195" s="14" t="s">
        <v>8292</v>
      </c>
      <c r="N1195" s="14">
        <v>202.76400000000001</v>
      </c>
      <c r="O1195" s="14" t="s">
        <v>8293</v>
      </c>
      <c r="P1195" s="14" t="s">
        <v>8294</v>
      </c>
      <c r="Q1195" s="14" t="s">
        <v>419</v>
      </c>
      <c r="R1195" s="14" t="s">
        <v>8295</v>
      </c>
      <c r="S1195" s="14" t="s">
        <v>444</v>
      </c>
      <c r="T1195" s="14" t="s">
        <v>445</v>
      </c>
      <c r="U1195" s="14" t="s">
        <v>446</v>
      </c>
      <c r="V1195" s="48">
        <f>SUMIF(Data!$E:$E,$I1195,Data!$AI:$AI)</f>
        <v>0</v>
      </c>
    </row>
    <row r="1196" spans="1:22" x14ac:dyDescent="0.25">
      <c r="A1196" s="47" t="s">
        <v>8213</v>
      </c>
      <c r="B1196" s="47" t="s">
        <v>123</v>
      </c>
      <c r="C1196" s="47" t="s">
        <v>5085</v>
      </c>
      <c r="D1196" s="47">
        <v>0.12836444387937501</v>
      </c>
      <c r="E1196" s="48">
        <f>SUMIF(Data!$E:$E,$C1196,Data!$AI:$AI)</f>
        <v>0</v>
      </c>
      <c r="I1196" s="14" t="s">
        <v>8296</v>
      </c>
      <c r="J1196" s="14" t="s">
        <v>8297</v>
      </c>
      <c r="K1196" s="14" t="s">
        <v>140</v>
      </c>
      <c r="L1196" s="14" t="s">
        <v>8069</v>
      </c>
      <c r="M1196" s="14" t="s">
        <v>8298</v>
      </c>
      <c r="N1196" s="14">
        <v>274.27100000000002</v>
      </c>
      <c r="O1196" s="14" t="s">
        <v>8299</v>
      </c>
      <c r="P1196" s="14" t="s">
        <v>8300</v>
      </c>
      <c r="Q1196" s="14" t="s">
        <v>809</v>
      </c>
      <c r="R1196" s="14" t="s">
        <v>8301</v>
      </c>
      <c r="S1196" s="14" t="s">
        <v>850</v>
      </c>
      <c r="T1196" s="14" t="s">
        <v>851</v>
      </c>
      <c r="U1196" s="14" t="s">
        <v>852</v>
      </c>
      <c r="V1196" s="48">
        <f>SUMIF(Data!$E:$E,$I1196,Data!$AI:$AI)</f>
        <v>0</v>
      </c>
    </row>
    <row r="1197" spans="1:22" x14ac:dyDescent="0.25">
      <c r="A1197" s="47" t="s">
        <v>8213</v>
      </c>
      <c r="B1197" s="47" t="s">
        <v>123</v>
      </c>
      <c r="C1197" s="47" t="s">
        <v>4801</v>
      </c>
      <c r="D1197" s="47">
        <v>2.9859597663879698</v>
      </c>
      <c r="E1197" s="48">
        <f>SUMIF(Data!$E:$E,$C1197,Data!$AI:$AI)</f>
        <v>0.9366848889291185</v>
      </c>
      <c r="I1197" s="14" t="s">
        <v>8302</v>
      </c>
      <c r="J1197" s="14" t="s">
        <v>8303</v>
      </c>
      <c r="K1197" s="14" t="s">
        <v>140</v>
      </c>
      <c r="L1197" s="14" t="s">
        <v>8069</v>
      </c>
      <c r="M1197" s="14" t="s">
        <v>8304</v>
      </c>
      <c r="N1197" s="14">
        <v>2.5819999999999999</v>
      </c>
      <c r="O1197" s="14" t="s">
        <v>8305</v>
      </c>
      <c r="P1197" s="14" t="s">
        <v>8306</v>
      </c>
      <c r="Q1197" s="14" t="s">
        <v>419</v>
      </c>
      <c r="R1197" s="14" t="s">
        <v>8307</v>
      </c>
      <c r="S1197" s="14" t="s">
        <v>771</v>
      </c>
      <c r="T1197" s="14" t="s">
        <v>772</v>
      </c>
      <c r="U1197" s="14" t="s">
        <v>773</v>
      </c>
      <c r="V1197" s="48">
        <f>SUMIF(Data!$E:$E,$I1197,Data!$AI:$AI)</f>
        <v>0</v>
      </c>
    </row>
    <row r="1198" spans="1:22" x14ac:dyDescent="0.25">
      <c r="A1198" s="47" t="s">
        <v>8213</v>
      </c>
      <c r="B1198" s="47" t="s">
        <v>123</v>
      </c>
      <c r="C1198" s="47" t="s">
        <v>4499</v>
      </c>
      <c r="D1198" s="47">
        <v>0.52029743350199598</v>
      </c>
      <c r="E1198" s="48">
        <f>SUMIF(Data!$E:$E,$C1198,Data!$AI:$AI)</f>
        <v>0</v>
      </c>
      <c r="I1198" s="14" t="s">
        <v>8308</v>
      </c>
      <c r="J1198" s="14" t="s">
        <v>8309</v>
      </c>
      <c r="K1198" s="14" t="s">
        <v>140</v>
      </c>
      <c r="L1198" s="14" t="s">
        <v>8069</v>
      </c>
      <c r="M1198" s="14" t="s">
        <v>8310</v>
      </c>
      <c r="N1198" s="14">
        <v>865.14099999999996</v>
      </c>
      <c r="O1198" s="14" t="s">
        <v>8311</v>
      </c>
      <c r="P1198" s="14" t="s">
        <v>8312</v>
      </c>
      <c r="Q1198" s="14" t="s">
        <v>809</v>
      </c>
      <c r="R1198" s="14" t="s">
        <v>8313</v>
      </c>
      <c r="S1198" s="14" t="s">
        <v>850</v>
      </c>
      <c r="T1198" s="14" t="s">
        <v>851</v>
      </c>
      <c r="U1198" s="14" t="s">
        <v>852</v>
      </c>
      <c r="V1198" s="48">
        <f>SUMIF(Data!$E:$E,$I1198,Data!$AI:$AI)</f>
        <v>0</v>
      </c>
    </row>
    <row r="1199" spans="1:22" x14ac:dyDescent="0.25">
      <c r="A1199" s="47" t="s">
        <v>8213</v>
      </c>
      <c r="B1199" s="47" t="s">
        <v>123</v>
      </c>
      <c r="C1199" s="47" t="s">
        <v>3145</v>
      </c>
      <c r="D1199" s="47">
        <v>1.0327279078670599</v>
      </c>
      <c r="E1199" s="48">
        <f>SUMIF(Data!$E:$E,$C1199,Data!$AI:$AI)</f>
        <v>0</v>
      </c>
      <c r="I1199" s="14">
        <v>4307</v>
      </c>
      <c r="J1199" s="14" t="s">
        <v>8314</v>
      </c>
      <c r="K1199" s="14" t="s">
        <v>140</v>
      </c>
      <c r="L1199" s="14" t="s">
        <v>8069</v>
      </c>
      <c r="M1199" s="14" t="s">
        <v>3936</v>
      </c>
      <c r="N1199" s="14">
        <v>159.31</v>
      </c>
      <c r="O1199" s="14" t="s">
        <v>8315</v>
      </c>
      <c r="P1199" s="14" t="s">
        <v>8316</v>
      </c>
      <c r="Q1199" s="14" t="s">
        <v>146</v>
      </c>
      <c r="R1199" s="14" t="s">
        <v>8317</v>
      </c>
      <c r="S1199" s="14" t="s">
        <v>444</v>
      </c>
      <c r="T1199" s="14" t="s">
        <v>445</v>
      </c>
      <c r="U1199" s="14" t="s">
        <v>446</v>
      </c>
      <c r="V1199" s="48">
        <f>SUMIF(Data!$E:$E,$I1199,Data!$AI:$AI)</f>
        <v>0</v>
      </c>
    </row>
    <row r="1200" spans="1:22" x14ac:dyDescent="0.25">
      <c r="A1200" s="47" t="s">
        <v>8213</v>
      </c>
      <c r="B1200" s="47" t="s">
        <v>123</v>
      </c>
      <c r="C1200" s="47" t="s">
        <v>4506</v>
      </c>
      <c r="D1200" s="47">
        <v>0.21095997481663001</v>
      </c>
      <c r="E1200" s="48">
        <f>SUMIF(Data!$E:$E,$C1200,Data!$AI:$AI)</f>
        <v>0.35312037204807345</v>
      </c>
      <c r="I1200" s="14" t="s">
        <v>8318</v>
      </c>
      <c r="J1200" s="14" t="s">
        <v>8319</v>
      </c>
      <c r="K1200" s="14" t="s">
        <v>140</v>
      </c>
      <c r="L1200" s="14" t="s">
        <v>8069</v>
      </c>
      <c r="M1200" s="14" t="s">
        <v>8320</v>
      </c>
      <c r="N1200" s="14">
        <v>54.853000000000002</v>
      </c>
      <c r="O1200" s="14" t="s">
        <v>8321</v>
      </c>
      <c r="P1200" s="14" t="s">
        <v>8322</v>
      </c>
      <c r="Q1200" s="14" t="s">
        <v>419</v>
      </c>
      <c r="R1200" s="14" t="s">
        <v>8323</v>
      </c>
      <c r="S1200" s="14" t="s">
        <v>195</v>
      </c>
      <c r="T1200" s="14" t="s">
        <v>149</v>
      </c>
      <c r="U1200" s="14" t="s">
        <v>113</v>
      </c>
      <c r="V1200" s="48">
        <f>SUMIF(Data!$E:$E,$I1200,Data!$AI:$AI)</f>
        <v>0</v>
      </c>
    </row>
    <row r="1201" spans="1:22" x14ac:dyDescent="0.25">
      <c r="A1201" s="47" t="s">
        <v>8213</v>
      </c>
      <c r="B1201" s="47" t="s">
        <v>123</v>
      </c>
      <c r="C1201" s="47" t="s">
        <v>3152</v>
      </c>
      <c r="D1201" s="47">
        <v>0.35553742521703602</v>
      </c>
      <c r="E1201" s="48">
        <f>SUMIF(Data!$E:$E,$C1201,Data!$AI:$AI)</f>
        <v>0.13519946439795033</v>
      </c>
      <c r="I1201" s="14" t="s">
        <v>8324</v>
      </c>
      <c r="J1201" s="14" t="s">
        <v>8325</v>
      </c>
      <c r="K1201" s="14" t="s">
        <v>140</v>
      </c>
      <c r="L1201" s="14" t="s">
        <v>8069</v>
      </c>
      <c r="M1201" s="14" t="s">
        <v>8326</v>
      </c>
      <c r="N1201" s="14">
        <v>281.923</v>
      </c>
      <c r="O1201" s="14" t="s">
        <v>8327</v>
      </c>
      <c r="P1201" s="14" t="s">
        <v>8328</v>
      </c>
      <c r="Q1201" s="14" t="s">
        <v>165</v>
      </c>
      <c r="R1201" s="14" t="s">
        <v>8329</v>
      </c>
      <c r="S1201" s="14" t="s">
        <v>479</v>
      </c>
      <c r="T1201" s="14" t="s">
        <v>480</v>
      </c>
      <c r="U1201" s="14" t="s">
        <v>481</v>
      </c>
      <c r="V1201" s="48">
        <f>SUMIF(Data!$E:$E,$I1201,Data!$AI:$AI)</f>
        <v>0</v>
      </c>
    </row>
    <row r="1202" spans="1:22" x14ac:dyDescent="0.25">
      <c r="A1202" s="47" t="s">
        <v>8213</v>
      </c>
      <c r="B1202" s="47" t="s">
        <v>123</v>
      </c>
      <c r="C1202" s="47" t="s">
        <v>4549</v>
      </c>
      <c r="D1202" s="47">
        <v>0.26509532140004799</v>
      </c>
      <c r="E1202" s="48">
        <f>SUMIF(Data!$E:$E,$C1202,Data!$AI:$AI)</f>
        <v>0</v>
      </c>
      <c r="I1202" s="14" t="s">
        <v>8330</v>
      </c>
      <c r="J1202" s="14" t="s">
        <v>8331</v>
      </c>
      <c r="K1202" s="14" t="s">
        <v>140</v>
      </c>
      <c r="L1202" s="14" t="s">
        <v>8069</v>
      </c>
      <c r="M1202" s="14" t="s">
        <v>8156</v>
      </c>
      <c r="N1202" s="14">
        <v>132.042</v>
      </c>
      <c r="O1202" s="14" t="s">
        <v>8332</v>
      </c>
      <c r="P1202" s="14" t="s">
        <v>8333</v>
      </c>
      <c r="Q1202" s="14" t="s">
        <v>737</v>
      </c>
      <c r="R1202" s="14" t="s">
        <v>8334</v>
      </c>
      <c r="S1202" s="14" t="s">
        <v>2931</v>
      </c>
      <c r="T1202" s="14" t="s">
        <v>2932</v>
      </c>
      <c r="U1202" s="14" t="s">
        <v>2933</v>
      </c>
      <c r="V1202" s="48">
        <f>SUMIF(Data!$E:$E,$I1202,Data!$AI:$AI)</f>
        <v>0</v>
      </c>
    </row>
    <row r="1203" spans="1:22" x14ac:dyDescent="0.25">
      <c r="A1203" s="47" t="s">
        <v>8213</v>
      </c>
      <c r="B1203" s="47" t="s">
        <v>123</v>
      </c>
      <c r="C1203" s="47" t="s">
        <v>4814</v>
      </c>
      <c r="D1203" s="47">
        <v>0.41926094581620199</v>
      </c>
      <c r="E1203" s="48">
        <f>SUMIF(Data!$E:$E,$C1203,Data!$AI:$AI)</f>
        <v>0</v>
      </c>
      <c r="I1203" s="14" t="s">
        <v>8335</v>
      </c>
      <c r="J1203" s="14" t="s">
        <v>8336</v>
      </c>
      <c r="K1203" s="14" t="s">
        <v>140</v>
      </c>
      <c r="L1203" s="14" t="s">
        <v>8069</v>
      </c>
      <c r="M1203" s="14" t="s">
        <v>8337</v>
      </c>
      <c r="N1203" s="14">
        <v>56.591999999999999</v>
      </c>
      <c r="O1203" s="14" t="s">
        <v>8338</v>
      </c>
      <c r="P1203" s="14" t="s">
        <v>8339</v>
      </c>
      <c r="Q1203" s="14" t="s">
        <v>165</v>
      </c>
      <c r="R1203" s="14" t="s">
        <v>8340</v>
      </c>
      <c r="S1203" s="14" t="s">
        <v>479</v>
      </c>
      <c r="T1203" s="14" t="s">
        <v>480</v>
      </c>
      <c r="U1203" s="14" t="s">
        <v>481</v>
      </c>
      <c r="V1203" s="48">
        <f>SUMIF(Data!$E:$E,$I1203,Data!$AI:$AI)</f>
        <v>0</v>
      </c>
    </row>
    <row r="1204" spans="1:22" x14ac:dyDescent="0.25">
      <c r="A1204" s="47" t="s">
        <v>8213</v>
      </c>
      <c r="B1204" s="47" t="s">
        <v>123</v>
      </c>
      <c r="C1204" s="47" t="s">
        <v>4821</v>
      </c>
      <c r="D1204" s="47">
        <v>0.91440323277544799</v>
      </c>
      <c r="E1204" s="48">
        <f>SUMIF(Data!$E:$E,$C1204,Data!$AI:$AI)</f>
        <v>0</v>
      </c>
      <c r="I1204" s="14">
        <v>5938</v>
      </c>
      <c r="J1204" s="14" t="s">
        <v>8341</v>
      </c>
      <c r="K1204" s="14" t="s">
        <v>140</v>
      </c>
      <c r="L1204" s="14" t="s">
        <v>8069</v>
      </c>
      <c r="M1204" s="14" t="s">
        <v>6690</v>
      </c>
      <c r="N1204" s="14">
        <v>200.5</v>
      </c>
      <c r="O1204" s="14" t="s">
        <v>8342</v>
      </c>
      <c r="P1204" s="14" t="s">
        <v>8343</v>
      </c>
      <c r="Q1204" s="14" t="s">
        <v>419</v>
      </c>
      <c r="R1204" s="14" t="s">
        <v>8344</v>
      </c>
      <c r="S1204" s="14" t="s">
        <v>444</v>
      </c>
      <c r="T1204" s="14" t="s">
        <v>445</v>
      </c>
      <c r="U1204" s="14" t="s">
        <v>446</v>
      </c>
      <c r="V1204" s="48">
        <f>SUMIF(Data!$E:$E,$I1204,Data!$AI:$AI)</f>
        <v>0</v>
      </c>
    </row>
    <row r="1205" spans="1:22" x14ac:dyDescent="0.25">
      <c r="A1205" s="47" t="s">
        <v>8213</v>
      </c>
      <c r="B1205" s="47" t="s">
        <v>123</v>
      </c>
      <c r="C1205" s="47" t="s">
        <v>5115</v>
      </c>
      <c r="D1205" s="47">
        <v>0.39757138057830399</v>
      </c>
      <c r="E1205" s="48">
        <f>SUMIF(Data!$E:$E,$C1205,Data!$AI:$AI)</f>
        <v>0</v>
      </c>
      <c r="I1205" s="14">
        <v>5201</v>
      </c>
      <c r="J1205" s="14" t="s">
        <v>8345</v>
      </c>
      <c r="K1205" s="14" t="s">
        <v>140</v>
      </c>
      <c r="L1205" s="14" t="s">
        <v>8069</v>
      </c>
      <c r="M1205" s="14" t="s">
        <v>8346</v>
      </c>
      <c r="N1205" s="14">
        <v>96.811999999999998</v>
      </c>
      <c r="O1205" s="14" t="s">
        <v>8347</v>
      </c>
      <c r="P1205" s="14" t="s">
        <v>8348</v>
      </c>
      <c r="Q1205" s="14" t="s">
        <v>419</v>
      </c>
      <c r="R1205" s="14" t="s">
        <v>8349</v>
      </c>
      <c r="S1205" s="14" t="s">
        <v>444</v>
      </c>
      <c r="T1205" s="14" t="s">
        <v>445</v>
      </c>
      <c r="U1205" s="14" t="s">
        <v>446</v>
      </c>
      <c r="V1205" s="48">
        <f>SUMIF(Data!$E:$E,$I1205,Data!$AI:$AI)</f>
        <v>0</v>
      </c>
    </row>
    <row r="1206" spans="1:22" x14ac:dyDescent="0.25">
      <c r="A1206" s="47" t="s">
        <v>8213</v>
      </c>
      <c r="B1206" s="47" t="s">
        <v>123</v>
      </c>
      <c r="C1206" s="47" t="s">
        <v>5121</v>
      </c>
      <c r="D1206" s="47">
        <v>0.203361558399305</v>
      </c>
      <c r="E1206" s="48">
        <f>SUMIF(Data!$E:$E,$C1206,Data!$AI:$AI)</f>
        <v>0.13075341077842323</v>
      </c>
      <c r="I1206" s="14" t="s">
        <v>8350</v>
      </c>
      <c r="J1206" s="14" t="s">
        <v>8351</v>
      </c>
      <c r="K1206" s="14" t="s">
        <v>140</v>
      </c>
      <c r="L1206" s="14" t="s">
        <v>8069</v>
      </c>
      <c r="M1206" s="14" t="s">
        <v>8352</v>
      </c>
      <c r="N1206" s="14">
        <v>42.915999999999997</v>
      </c>
      <c r="O1206" s="14" t="s">
        <v>8353</v>
      </c>
      <c r="P1206" s="14" t="s">
        <v>8354</v>
      </c>
      <c r="Q1206" s="14" t="s">
        <v>227</v>
      </c>
      <c r="R1206" s="14" t="s">
        <v>8355</v>
      </c>
      <c r="S1206" s="14" t="s">
        <v>728</v>
      </c>
      <c r="T1206" s="14" t="s">
        <v>729</v>
      </c>
      <c r="U1206" s="14" t="s">
        <v>730</v>
      </c>
      <c r="V1206" s="48">
        <f>SUMIF(Data!$E:$E,$I1206,Data!$AI:$AI)</f>
        <v>0</v>
      </c>
    </row>
    <row r="1207" spans="1:22" x14ac:dyDescent="0.25">
      <c r="A1207" s="47" t="s">
        <v>8213</v>
      </c>
      <c r="B1207" s="47" t="s">
        <v>123</v>
      </c>
      <c r="C1207" s="47" t="s">
        <v>5127</v>
      </c>
      <c r="D1207" s="47">
        <v>0.215490628747153</v>
      </c>
      <c r="E1207" s="48">
        <f>SUMIF(Data!$E:$E,$C1207,Data!$AI:$AI)</f>
        <v>0.26351671474520016</v>
      </c>
      <c r="I1207" s="14" t="s">
        <v>520</v>
      </c>
      <c r="J1207" s="14" t="s">
        <v>8356</v>
      </c>
      <c r="K1207" s="14" t="s">
        <v>140</v>
      </c>
      <c r="L1207" s="14" t="s">
        <v>8069</v>
      </c>
      <c r="M1207" s="14" t="s">
        <v>4459</v>
      </c>
      <c r="N1207" s="14">
        <v>113.51600000000001</v>
      </c>
      <c r="O1207" s="14" t="s">
        <v>8357</v>
      </c>
      <c r="P1207" s="14" t="s">
        <v>8358</v>
      </c>
      <c r="Q1207" s="14" t="s">
        <v>227</v>
      </c>
      <c r="R1207" s="14" t="s">
        <v>8359</v>
      </c>
      <c r="S1207" s="14" t="s">
        <v>728</v>
      </c>
      <c r="T1207" s="14" t="s">
        <v>729</v>
      </c>
      <c r="U1207" s="14" t="s">
        <v>730</v>
      </c>
      <c r="V1207" s="48">
        <f>SUMIF(Data!$E:$E,$I1207,Data!$AI:$AI)</f>
        <v>0.42534541896463962</v>
      </c>
    </row>
    <row r="1208" spans="1:22" x14ac:dyDescent="0.25">
      <c r="A1208" s="47" t="s">
        <v>8213</v>
      </c>
      <c r="B1208" s="47" t="s">
        <v>123</v>
      </c>
      <c r="C1208" s="47" t="s">
        <v>4640</v>
      </c>
      <c r="D1208" s="47">
        <v>0.23355820522257301</v>
      </c>
      <c r="E1208" s="48">
        <f>SUMIF(Data!$E:$E,$C1208,Data!$AI:$AI)</f>
        <v>0.77394047546061229</v>
      </c>
      <c r="I1208" s="14" t="s">
        <v>8360</v>
      </c>
      <c r="J1208" s="14" t="s">
        <v>8361</v>
      </c>
      <c r="K1208" s="14" t="s">
        <v>140</v>
      </c>
      <c r="L1208" s="14" t="s">
        <v>8069</v>
      </c>
      <c r="M1208" s="14" t="s">
        <v>8362</v>
      </c>
      <c r="N1208" s="14">
        <v>174.41</v>
      </c>
      <c r="O1208" s="14" t="s">
        <v>8363</v>
      </c>
      <c r="P1208" s="14" t="s">
        <v>8364</v>
      </c>
      <c r="Q1208" s="14" t="s">
        <v>697</v>
      </c>
      <c r="R1208" s="14" t="s">
        <v>8365</v>
      </c>
      <c r="S1208" s="14" t="s">
        <v>728</v>
      </c>
      <c r="T1208" s="14" t="s">
        <v>729</v>
      </c>
      <c r="U1208" s="14" t="s">
        <v>730</v>
      </c>
      <c r="V1208" s="48">
        <f>SUMIF(Data!$E:$E,$I1208,Data!$AI:$AI)</f>
        <v>0</v>
      </c>
    </row>
    <row r="1209" spans="1:22" x14ac:dyDescent="0.25">
      <c r="A1209" s="47" t="s">
        <v>8213</v>
      </c>
      <c r="B1209" s="47" t="s">
        <v>123</v>
      </c>
      <c r="C1209" s="47" t="s">
        <v>5134</v>
      </c>
      <c r="D1209" s="47">
        <v>0.19119298436558199</v>
      </c>
      <c r="E1209" s="48">
        <f>SUMIF(Data!$E:$E,$C1209,Data!$AI:$AI)</f>
        <v>0</v>
      </c>
      <c r="I1209" s="14" t="s">
        <v>8366</v>
      </c>
      <c r="J1209" s="14" t="s">
        <v>8367</v>
      </c>
      <c r="K1209" s="14" t="s">
        <v>140</v>
      </c>
      <c r="L1209" s="14" t="s">
        <v>8069</v>
      </c>
      <c r="M1209" s="14" t="s">
        <v>8368</v>
      </c>
      <c r="N1209" s="14">
        <v>631.70899999999995</v>
      </c>
      <c r="O1209" s="14" t="s">
        <v>8369</v>
      </c>
      <c r="P1209" s="14" t="s">
        <v>8370</v>
      </c>
      <c r="Q1209" s="14" t="s">
        <v>193</v>
      </c>
      <c r="R1209" s="14" t="s">
        <v>8371</v>
      </c>
      <c r="S1209" s="14" t="s">
        <v>2413</v>
      </c>
      <c r="T1209" s="14" t="s">
        <v>1285</v>
      </c>
      <c r="U1209" s="14" t="s">
        <v>528</v>
      </c>
      <c r="V1209" s="48">
        <f>SUMIF(Data!$E:$E,$I1209,Data!$AI:$AI)</f>
        <v>0</v>
      </c>
    </row>
    <row r="1210" spans="1:22" x14ac:dyDescent="0.25">
      <c r="A1210" s="47" t="s">
        <v>8213</v>
      </c>
      <c r="B1210" s="47" t="s">
        <v>123</v>
      </c>
      <c r="C1210" s="47" t="s">
        <v>4621</v>
      </c>
      <c r="D1210" s="47">
        <v>0.62246768510140205</v>
      </c>
      <c r="E1210" s="48">
        <f>SUMIF(Data!$E:$E,$C1210,Data!$AI:$AI)</f>
        <v>0</v>
      </c>
      <c r="I1210" s="14" t="s">
        <v>8372</v>
      </c>
      <c r="J1210" s="14" t="s">
        <v>8373</v>
      </c>
      <c r="K1210" s="14" t="s">
        <v>140</v>
      </c>
      <c r="L1210" s="14" t="s">
        <v>8069</v>
      </c>
      <c r="M1210" s="14" t="s">
        <v>8374</v>
      </c>
      <c r="N1210" s="14">
        <v>24.631</v>
      </c>
      <c r="O1210" s="14" t="s">
        <v>8375</v>
      </c>
      <c r="P1210" s="14" t="s">
        <v>8376</v>
      </c>
      <c r="Q1210" s="14" t="s">
        <v>146</v>
      </c>
      <c r="R1210" s="14" t="s">
        <v>8377</v>
      </c>
      <c r="S1210" s="14" t="s">
        <v>148</v>
      </c>
      <c r="T1210" s="14" t="s">
        <v>4834</v>
      </c>
      <c r="U1210" s="14" t="s">
        <v>113</v>
      </c>
      <c r="V1210" s="48">
        <f>SUMIF(Data!$E:$E,$I1210,Data!$AI:$AI)</f>
        <v>0</v>
      </c>
    </row>
    <row r="1211" spans="1:22" x14ac:dyDescent="0.25">
      <c r="A1211" s="47" t="s">
        <v>8213</v>
      </c>
      <c r="B1211" s="47" t="s">
        <v>123</v>
      </c>
      <c r="C1211" s="47" t="s">
        <v>4628</v>
      </c>
      <c r="D1211" s="47">
        <v>1.92444644181913</v>
      </c>
      <c r="E1211" s="48">
        <f>SUMIF(Data!$E:$E,$C1211,Data!$AI:$AI)</f>
        <v>0</v>
      </c>
      <c r="I1211" s="14" t="s">
        <v>8378</v>
      </c>
      <c r="J1211" s="14" t="s">
        <v>8379</v>
      </c>
      <c r="K1211" s="14" t="s">
        <v>140</v>
      </c>
      <c r="L1211" s="14" t="s">
        <v>8069</v>
      </c>
      <c r="M1211" s="14" t="s">
        <v>6243</v>
      </c>
      <c r="N1211" s="14">
        <v>453.38799999999998</v>
      </c>
      <c r="O1211" s="14" t="s">
        <v>8380</v>
      </c>
      <c r="P1211" s="14" t="s">
        <v>8381</v>
      </c>
      <c r="Q1211" s="14" t="s">
        <v>175</v>
      </c>
      <c r="R1211" s="14" t="s">
        <v>8382</v>
      </c>
      <c r="S1211" s="14" t="s">
        <v>479</v>
      </c>
      <c r="T1211" s="14" t="s">
        <v>480</v>
      </c>
      <c r="U1211" s="14" t="s">
        <v>481</v>
      </c>
      <c r="V1211" s="48">
        <f>SUMIF(Data!$E:$E,$I1211,Data!$AI:$AI)</f>
        <v>0</v>
      </c>
    </row>
    <row r="1212" spans="1:22" x14ac:dyDescent="0.25">
      <c r="A1212" s="47" t="s">
        <v>8213</v>
      </c>
      <c r="B1212" s="47" t="s">
        <v>123</v>
      </c>
      <c r="C1212" s="47" t="s">
        <v>5141</v>
      </c>
      <c r="D1212" s="47">
        <v>0.14612583750592301</v>
      </c>
      <c r="E1212" s="48">
        <f>SUMIF(Data!$E:$E,$C1212,Data!$AI:$AI)</f>
        <v>0</v>
      </c>
      <c r="I1212" s="14" t="s">
        <v>8383</v>
      </c>
      <c r="J1212" s="14" t="s">
        <v>8384</v>
      </c>
      <c r="K1212" s="14" t="s">
        <v>140</v>
      </c>
      <c r="L1212" s="14" t="s">
        <v>8069</v>
      </c>
      <c r="M1212" s="14" t="s">
        <v>8385</v>
      </c>
      <c r="N1212" s="14">
        <v>106.7</v>
      </c>
      <c r="O1212" s="14" t="s">
        <v>8386</v>
      </c>
      <c r="P1212" s="14" t="s">
        <v>8387</v>
      </c>
      <c r="Q1212" s="14" t="s">
        <v>419</v>
      </c>
      <c r="R1212" s="14" t="s">
        <v>8388</v>
      </c>
      <c r="S1212" s="14" t="s">
        <v>2368</v>
      </c>
      <c r="T1212" s="14" t="s">
        <v>553</v>
      </c>
      <c r="U1212" s="14" t="s">
        <v>113</v>
      </c>
      <c r="V1212" s="48">
        <f>SUMIF(Data!$E:$E,$I1212,Data!$AI:$AI)</f>
        <v>0</v>
      </c>
    </row>
    <row r="1213" spans="1:22" x14ac:dyDescent="0.25">
      <c r="A1213" s="47" t="s">
        <v>8213</v>
      </c>
      <c r="B1213" s="47" t="s">
        <v>123</v>
      </c>
      <c r="C1213" s="47" t="s">
        <v>4841</v>
      </c>
      <c r="D1213" s="47">
        <v>2.3142187644898802</v>
      </c>
      <c r="E1213" s="48">
        <f>SUMIF(Data!$E:$E,$C1213,Data!$AI:$AI)</f>
        <v>1.1368494141004637</v>
      </c>
      <c r="I1213" s="14">
        <v>5411</v>
      </c>
      <c r="J1213" s="14" t="s">
        <v>8389</v>
      </c>
      <c r="K1213" s="14" t="s">
        <v>140</v>
      </c>
      <c r="L1213" s="14" t="s">
        <v>8069</v>
      </c>
      <c r="M1213" s="14" t="s">
        <v>8390</v>
      </c>
      <c r="N1213" s="14">
        <v>256.68700000000001</v>
      </c>
      <c r="O1213" s="14" t="s">
        <v>8391</v>
      </c>
      <c r="P1213" s="14" t="s">
        <v>8392</v>
      </c>
      <c r="Q1213" s="14" t="s">
        <v>737</v>
      </c>
      <c r="R1213" s="14" t="s">
        <v>8393</v>
      </c>
      <c r="S1213" s="14" t="s">
        <v>444</v>
      </c>
      <c r="T1213" s="14" t="s">
        <v>445</v>
      </c>
      <c r="U1213" s="14" t="s">
        <v>446</v>
      </c>
      <c r="V1213" s="48">
        <f>SUMIF(Data!$E:$E,$I1213,Data!$AI:$AI)</f>
        <v>0</v>
      </c>
    </row>
    <row r="1214" spans="1:22" x14ac:dyDescent="0.25">
      <c r="A1214" s="47" t="s">
        <v>8213</v>
      </c>
      <c r="B1214" s="47" t="s">
        <v>123</v>
      </c>
      <c r="C1214" s="47" t="s">
        <v>4848</v>
      </c>
      <c r="D1214" s="47">
        <v>1.3374385828612201</v>
      </c>
      <c r="E1214" s="48">
        <f>SUMIF(Data!$E:$E,$C1214,Data!$AI:$AI)</f>
        <v>0</v>
      </c>
      <c r="I1214" s="14" t="s">
        <v>8394</v>
      </c>
      <c r="J1214" s="14" t="s">
        <v>8395</v>
      </c>
      <c r="K1214" s="14" t="s">
        <v>140</v>
      </c>
      <c r="L1214" s="14" t="s">
        <v>8069</v>
      </c>
      <c r="M1214" s="14" t="s">
        <v>8396</v>
      </c>
      <c r="N1214" s="14">
        <v>252.792</v>
      </c>
      <c r="O1214" s="14" t="s">
        <v>8397</v>
      </c>
      <c r="P1214" s="14" t="s">
        <v>8398</v>
      </c>
      <c r="Q1214" s="14" t="s">
        <v>737</v>
      </c>
      <c r="R1214" s="14" t="s">
        <v>8399</v>
      </c>
      <c r="S1214" s="14" t="s">
        <v>526</v>
      </c>
      <c r="T1214" s="14" t="s">
        <v>527</v>
      </c>
      <c r="U1214" s="14" t="s">
        <v>528</v>
      </c>
      <c r="V1214" s="48">
        <f>SUMIF(Data!$E:$E,$I1214,Data!$AI:$AI)</f>
        <v>0</v>
      </c>
    </row>
    <row r="1215" spans="1:22" x14ac:dyDescent="0.25">
      <c r="A1215" s="47" t="s">
        <v>8213</v>
      </c>
      <c r="B1215" s="47" t="s">
        <v>123</v>
      </c>
      <c r="C1215" s="47" t="s">
        <v>4563</v>
      </c>
      <c r="D1215" s="47">
        <v>0.22125780827918701</v>
      </c>
      <c r="E1215" s="48">
        <f>SUMIF(Data!$E:$E,$C1215,Data!$AI:$AI)</f>
        <v>0</v>
      </c>
      <c r="I1215" s="14">
        <v>7532</v>
      </c>
      <c r="J1215" s="14" t="s">
        <v>8400</v>
      </c>
      <c r="K1215" s="14" t="s">
        <v>140</v>
      </c>
      <c r="L1215" s="14" t="s">
        <v>8069</v>
      </c>
      <c r="M1215" s="14" t="s">
        <v>8401</v>
      </c>
      <c r="N1215" s="14">
        <v>188.74</v>
      </c>
      <c r="O1215" s="14" t="s">
        <v>8402</v>
      </c>
      <c r="P1215" s="14" t="s">
        <v>8403</v>
      </c>
      <c r="Q1215" s="14" t="s">
        <v>165</v>
      </c>
      <c r="R1215" s="14" t="s">
        <v>8404</v>
      </c>
      <c r="S1215" s="14" t="s">
        <v>444</v>
      </c>
      <c r="T1215" s="14" t="s">
        <v>445</v>
      </c>
      <c r="U1215" s="14" t="s">
        <v>446</v>
      </c>
      <c r="V1215" s="48">
        <f>SUMIF(Data!$E:$E,$I1215,Data!$AI:$AI)</f>
        <v>0</v>
      </c>
    </row>
    <row r="1216" spans="1:22" x14ac:dyDescent="0.25">
      <c r="A1216" s="47" t="s">
        <v>8213</v>
      </c>
      <c r="B1216" s="47" t="s">
        <v>123</v>
      </c>
      <c r="C1216" s="47" t="s">
        <v>5153</v>
      </c>
      <c r="D1216" s="47">
        <v>0.14355826961131299</v>
      </c>
      <c r="E1216" s="48">
        <f>SUMIF(Data!$E:$E,$C1216,Data!$AI:$AI)</f>
        <v>0</v>
      </c>
      <c r="I1216" s="14" t="s">
        <v>8405</v>
      </c>
      <c r="J1216" s="14" t="s">
        <v>8406</v>
      </c>
      <c r="K1216" s="14" t="s">
        <v>140</v>
      </c>
      <c r="L1216" s="14" t="s">
        <v>8069</v>
      </c>
      <c r="M1216" s="14" t="s">
        <v>8407</v>
      </c>
      <c r="N1216" s="14">
        <v>128.56899999999999</v>
      </c>
      <c r="O1216" s="14" t="s">
        <v>8408</v>
      </c>
      <c r="P1216" s="14" t="s">
        <v>8409</v>
      </c>
      <c r="Q1216" s="14" t="s">
        <v>193</v>
      </c>
      <c r="R1216" s="14" t="s">
        <v>8410</v>
      </c>
      <c r="S1216" s="14" t="s">
        <v>195</v>
      </c>
      <c r="T1216" s="14" t="s">
        <v>149</v>
      </c>
      <c r="U1216" s="14" t="s">
        <v>113</v>
      </c>
      <c r="V1216" s="48">
        <f>SUMIF(Data!$E:$E,$I1216,Data!$AI:$AI)</f>
        <v>0</v>
      </c>
    </row>
    <row r="1217" spans="1:22" x14ac:dyDescent="0.25">
      <c r="A1217" s="47" t="s">
        <v>8213</v>
      </c>
      <c r="B1217" s="47" t="s">
        <v>123</v>
      </c>
      <c r="C1217" s="47" t="s">
        <v>4855</v>
      </c>
      <c r="D1217" s="47">
        <v>18.100441388330498</v>
      </c>
      <c r="E1217" s="48">
        <f>SUMIF(Data!$E:$E,$C1217,Data!$AI:$AI)</f>
        <v>1.0989645296635115</v>
      </c>
      <c r="I1217" s="14">
        <v>3659</v>
      </c>
      <c r="J1217" s="14" t="s">
        <v>8411</v>
      </c>
      <c r="K1217" s="14" t="s">
        <v>140</v>
      </c>
      <c r="L1217" s="14" t="s">
        <v>8069</v>
      </c>
      <c r="M1217" s="14" t="s">
        <v>8412</v>
      </c>
      <c r="N1217" s="14">
        <v>228.84200000000001</v>
      </c>
      <c r="O1217" s="14" t="s">
        <v>8413</v>
      </c>
      <c r="P1217" s="14" t="s">
        <v>8414</v>
      </c>
      <c r="Q1217" s="14" t="s">
        <v>175</v>
      </c>
      <c r="R1217" s="14" t="s">
        <v>8415</v>
      </c>
      <c r="S1217" s="14" t="s">
        <v>444</v>
      </c>
      <c r="T1217" s="14" t="s">
        <v>445</v>
      </c>
      <c r="U1217" s="14" t="s">
        <v>446</v>
      </c>
      <c r="V1217" s="48">
        <f>SUMIF(Data!$E:$E,$I1217,Data!$AI:$AI)</f>
        <v>0</v>
      </c>
    </row>
    <row r="1218" spans="1:22" x14ac:dyDescent="0.25">
      <c r="A1218" s="47" t="s">
        <v>8213</v>
      </c>
      <c r="B1218" s="47" t="s">
        <v>123</v>
      </c>
      <c r="C1218" s="47" t="s">
        <v>4862</v>
      </c>
      <c r="D1218" s="47">
        <v>0.54131023446295201</v>
      </c>
      <c r="E1218" s="48">
        <f>SUMIF(Data!$E:$E,$C1218,Data!$AI:$AI)</f>
        <v>0.397519933142436</v>
      </c>
      <c r="I1218" s="14">
        <v>6723</v>
      </c>
      <c r="J1218" s="14" t="s">
        <v>8416</v>
      </c>
      <c r="K1218" s="14" t="s">
        <v>140</v>
      </c>
      <c r="L1218" s="14" t="s">
        <v>8069</v>
      </c>
      <c r="M1218" s="14" t="s">
        <v>5832</v>
      </c>
      <c r="N1218" s="14">
        <v>442.1</v>
      </c>
      <c r="O1218" s="14" t="s">
        <v>8417</v>
      </c>
      <c r="P1218" s="14" t="s">
        <v>8418</v>
      </c>
      <c r="Q1218" s="14" t="s">
        <v>146</v>
      </c>
      <c r="R1218" s="14" t="s">
        <v>8419</v>
      </c>
      <c r="S1218" s="14" t="s">
        <v>444</v>
      </c>
      <c r="T1218" s="14" t="s">
        <v>445</v>
      </c>
      <c r="U1218" s="14" t="s">
        <v>446</v>
      </c>
      <c r="V1218" s="48">
        <f>SUMIF(Data!$E:$E,$I1218,Data!$AI:$AI)</f>
        <v>0</v>
      </c>
    </row>
    <row r="1219" spans="1:22" x14ac:dyDescent="0.25">
      <c r="A1219" s="47" t="s">
        <v>8213</v>
      </c>
      <c r="B1219" s="47" t="s">
        <v>123</v>
      </c>
      <c r="C1219" s="47" t="s">
        <v>5166</v>
      </c>
      <c r="D1219" s="47">
        <v>4.7177516153286997E-2</v>
      </c>
      <c r="E1219" s="48">
        <f>SUMIF(Data!$E:$E,$C1219,Data!$AI:$AI)</f>
        <v>0</v>
      </c>
      <c r="I1219" s="14" t="s">
        <v>4471</v>
      </c>
      <c r="J1219" s="14" t="s">
        <v>8420</v>
      </c>
      <c r="K1219" s="14" t="s">
        <v>140</v>
      </c>
      <c r="L1219" s="14" t="s">
        <v>8069</v>
      </c>
      <c r="M1219" s="14" t="s">
        <v>8421</v>
      </c>
      <c r="N1219" s="14">
        <v>25.326000000000001</v>
      </c>
      <c r="O1219" s="14" t="s">
        <v>8422</v>
      </c>
      <c r="P1219" s="14" t="s">
        <v>8423</v>
      </c>
      <c r="Q1219" s="14" t="s">
        <v>211</v>
      </c>
      <c r="R1219" s="14" t="s">
        <v>8424</v>
      </c>
      <c r="S1219" s="14" t="s">
        <v>526</v>
      </c>
      <c r="T1219" s="14" t="s">
        <v>527</v>
      </c>
      <c r="U1219" s="14" t="s">
        <v>528</v>
      </c>
      <c r="V1219" s="48">
        <f>SUMIF(Data!$E:$E,$I1219,Data!$AI:$AI)</f>
        <v>0</v>
      </c>
    </row>
    <row r="1220" spans="1:22" x14ac:dyDescent="0.25">
      <c r="A1220" s="47" t="s">
        <v>8213</v>
      </c>
      <c r="B1220" s="47" t="s">
        <v>123</v>
      </c>
      <c r="C1220" s="47" t="s">
        <v>5173</v>
      </c>
      <c r="D1220" s="47">
        <v>0.34741334524487</v>
      </c>
      <c r="E1220" s="48">
        <f>SUMIF(Data!$E:$E,$C1220,Data!$AI:$AI)</f>
        <v>0.32269220108453256</v>
      </c>
      <c r="I1220" s="14">
        <v>5333</v>
      </c>
      <c r="J1220" s="14" t="s">
        <v>8425</v>
      </c>
      <c r="K1220" s="14" t="s">
        <v>140</v>
      </c>
      <c r="L1220" s="14" t="s">
        <v>8069</v>
      </c>
      <c r="M1220" s="14" t="s">
        <v>8426</v>
      </c>
      <c r="N1220" s="14">
        <v>184.8</v>
      </c>
      <c r="O1220" s="14" t="s">
        <v>8427</v>
      </c>
      <c r="P1220" s="14" t="s">
        <v>8428</v>
      </c>
      <c r="Q1220" s="14" t="s">
        <v>419</v>
      </c>
      <c r="R1220" s="14" t="s">
        <v>8429</v>
      </c>
      <c r="S1220" s="14" t="s">
        <v>444</v>
      </c>
      <c r="T1220" s="14" t="s">
        <v>445</v>
      </c>
      <c r="U1220" s="14" t="s">
        <v>446</v>
      </c>
      <c r="V1220" s="48">
        <f>SUMIF(Data!$E:$E,$I1220,Data!$AI:$AI)</f>
        <v>0</v>
      </c>
    </row>
    <row r="1221" spans="1:22" x14ac:dyDescent="0.25">
      <c r="A1221" s="47" t="s">
        <v>8213</v>
      </c>
      <c r="B1221" s="47" t="s">
        <v>123</v>
      </c>
      <c r="C1221" s="47" t="s">
        <v>6759</v>
      </c>
      <c r="D1221" s="47">
        <v>0.53206546820892198</v>
      </c>
      <c r="E1221" s="48">
        <f>SUMIF(Data!$E:$E,$C1221,Data!$AI:$AI)</f>
        <v>0.31941379215436855</v>
      </c>
      <c r="I1221" s="14" t="s">
        <v>8430</v>
      </c>
      <c r="J1221" s="14" t="s">
        <v>8431</v>
      </c>
      <c r="K1221" s="14" t="s">
        <v>140</v>
      </c>
      <c r="L1221" s="14" t="s">
        <v>8069</v>
      </c>
      <c r="M1221" s="14" t="s">
        <v>8432</v>
      </c>
      <c r="N1221" s="14">
        <v>104.294</v>
      </c>
      <c r="O1221" s="14" t="s">
        <v>8433</v>
      </c>
      <c r="P1221" s="14" t="s">
        <v>8434</v>
      </c>
      <c r="Q1221" s="14" t="s">
        <v>697</v>
      </c>
      <c r="R1221" s="14" t="s">
        <v>8435</v>
      </c>
      <c r="S1221" s="14" t="s">
        <v>526</v>
      </c>
      <c r="T1221" s="14" t="s">
        <v>527</v>
      </c>
      <c r="U1221" s="14" t="s">
        <v>528</v>
      </c>
      <c r="V1221" s="48">
        <f>SUMIF(Data!$E:$E,$I1221,Data!$AI:$AI)</f>
        <v>0</v>
      </c>
    </row>
    <row r="1222" spans="1:22" x14ac:dyDescent="0.25">
      <c r="A1222" s="47" t="s">
        <v>8213</v>
      </c>
      <c r="B1222" s="47" t="s">
        <v>123</v>
      </c>
      <c r="C1222" s="47" t="s">
        <v>3160</v>
      </c>
      <c r="D1222" s="47">
        <v>0.77802819200015805</v>
      </c>
      <c r="E1222" s="48">
        <f>SUMIF(Data!$E:$E,$C1222,Data!$AI:$AI)</f>
        <v>0.48939641738655321</v>
      </c>
      <c r="I1222" s="14" t="s">
        <v>8436</v>
      </c>
      <c r="J1222" s="14" t="s">
        <v>8437</v>
      </c>
      <c r="K1222" s="14" t="s">
        <v>140</v>
      </c>
      <c r="L1222" s="14" t="s">
        <v>8069</v>
      </c>
      <c r="M1222" s="14" t="s">
        <v>8438</v>
      </c>
      <c r="N1222" s="14">
        <v>85.665000000000006</v>
      </c>
      <c r="O1222" s="14" t="s">
        <v>8439</v>
      </c>
      <c r="P1222" s="14" t="s">
        <v>8440</v>
      </c>
      <c r="Q1222" s="14" t="s">
        <v>737</v>
      </c>
      <c r="R1222" s="14" t="s">
        <v>8441</v>
      </c>
      <c r="S1222" s="14" t="s">
        <v>479</v>
      </c>
      <c r="T1222" s="14" t="s">
        <v>480</v>
      </c>
      <c r="U1222" s="14" t="s">
        <v>481</v>
      </c>
      <c r="V1222" s="48">
        <f>SUMIF(Data!$E:$E,$I1222,Data!$AI:$AI)</f>
        <v>0</v>
      </c>
    </row>
    <row r="1223" spans="1:22" x14ac:dyDescent="0.25">
      <c r="A1223" s="47" t="s">
        <v>8213</v>
      </c>
      <c r="B1223" s="47" t="s">
        <v>123</v>
      </c>
      <c r="C1223" s="47" t="s">
        <v>4873</v>
      </c>
      <c r="D1223" s="47">
        <v>1.4936605324396801</v>
      </c>
      <c r="E1223" s="48">
        <f>SUMIF(Data!$E:$E,$C1223,Data!$AI:$AI)</f>
        <v>0</v>
      </c>
      <c r="I1223" s="14" t="s">
        <v>8442</v>
      </c>
      <c r="J1223" s="14" t="s">
        <v>8443</v>
      </c>
      <c r="K1223" s="14" t="s">
        <v>140</v>
      </c>
      <c r="L1223" s="14" t="s">
        <v>8069</v>
      </c>
      <c r="M1223" s="14" t="s">
        <v>8444</v>
      </c>
      <c r="N1223" s="14">
        <v>400.02699999999999</v>
      </c>
      <c r="O1223" s="14" t="s">
        <v>8445</v>
      </c>
      <c r="P1223" s="14" t="s">
        <v>8446</v>
      </c>
      <c r="Q1223" s="14" t="s">
        <v>175</v>
      </c>
      <c r="R1223" s="14" t="s">
        <v>8447</v>
      </c>
      <c r="S1223" s="14" t="s">
        <v>479</v>
      </c>
      <c r="T1223" s="14" t="s">
        <v>480</v>
      </c>
      <c r="U1223" s="14" t="s">
        <v>481</v>
      </c>
      <c r="V1223" s="48">
        <f>SUMIF(Data!$E:$E,$I1223,Data!$AI:$AI)</f>
        <v>0</v>
      </c>
    </row>
    <row r="1224" spans="1:22" x14ac:dyDescent="0.25">
      <c r="A1224" s="47" t="s">
        <v>8213</v>
      </c>
      <c r="B1224" s="47" t="s">
        <v>123</v>
      </c>
      <c r="C1224" s="47" t="s">
        <v>3167</v>
      </c>
      <c r="D1224" s="47">
        <v>0.221017087611145</v>
      </c>
      <c r="E1224" s="48">
        <f>SUMIF(Data!$E:$E,$C1224,Data!$AI:$AI)</f>
        <v>0.45612845361825383</v>
      </c>
      <c r="I1224" s="14" t="s">
        <v>8448</v>
      </c>
      <c r="J1224" s="14" t="s">
        <v>8449</v>
      </c>
      <c r="K1224" s="14" t="s">
        <v>140</v>
      </c>
      <c r="L1224" s="14" t="s">
        <v>8069</v>
      </c>
      <c r="M1224" s="14" t="s">
        <v>8450</v>
      </c>
      <c r="N1224" s="14">
        <v>69.832999999999998</v>
      </c>
      <c r="O1224" s="14" t="s">
        <v>8451</v>
      </c>
      <c r="P1224" s="14" t="s">
        <v>8452</v>
      </c>
      <c r="Q1224" s="14" t="s">
        <v>697</v>
      </c>
      <c r="R1224" s="14" t="s">
        <v>8453</v>
      </c>
      <c r="S1224" s="14" t="s">
        <v>195</v>
      </c>
      <c r="T1224" s="14" t="s">
        <v>149</v>
      </c>
      <c r="U1224" s="14" t="s">
        <v>113</v>
      </c>
      <c r="V1224" s="48">
        <f>SUMIF(Data!$E:$E,$I1224,Data!$AI:$AI)</f>
        <v>0</v>
      </c>
    </row>
    <row r="1225" spans="1:22" x14ac:dyDescent="0.25">
      <c r="A1225" s="47" t="s">
        <v>8213</v>
      </c>
      <c r="B1225" s="47" t="s">
        <v>123</v>
      </c>
      <c r="C1225" s="47" t="s">
        <v>5186</v>
      </c>
      <c r="D1225" s="47">
        <v>0.17555691682333599</v>
      </c>
      <c r="E1225" s="48">
        <f>SUMIF(Data!$E:$E,$C1225,Data!$AI:$AI)</f>
        <v>0.12898798215585272</v>
      </c>
      <c r="I1225" s="14" t="s">
        <v>8454</v>
      </c>
      <c r="J1225" s="14" t="s">
        <v>8455</v>
      </c>
      <c r="K1225" s="14" t="s">
        <v>140</v>
      </c>
      <c r="L1225" s="14" t="s">
        <v>8069</v>
      </c>
      <c r="M1225" s="14" t="s">
        <v>8456</v>
      </c>
      <c r="N1225" s="14" t="s">
        <v>8457</v>
      </c>
      <c r="O1225" s="14" t="s">
        <v>8458</v>
      </c>
      <c r="P1225" s="14" t="s">
        <v>8459</v>
      </c>
      <c r="Q1225" s="14" t="s">
        <v>419</v>
      </c>
      <c r="R1225" s="14" t="s">
        <v>8460</v>
      </c>
      <c r="S1225" s="14" t="s">
        <v>2368</v>
      </c>
      <c r="T1225" s="14" t="s">
        <v>2369</v>
      </c>
      <c r="U1225" s="14" t="s">
        <v>2370</v>
      </c>
      <c r="V1225" s="48">
        <f>SUMIF(Data!$E:$E,$I1225,Data!$AI:$AI)</f>
        <v>0</v>
      </c>
    </row>
    <row r="1226" spans="1:22" x14ac:dyDescent="0.25">
      <c r="A1226" s="47" t="s">
        <v>8213</v>
      </c>
      <c r="B1226" s="47" t="s">
        <v>123</v>
      </c>
      <c r="C1226" s="47" t="s">
        <v>4880</v>
      </c>
      <c r="D1226" s="47">
        <v>0.70413047708585197</v>
      </c>
      <c r="E1226" s="48">
        <f>SUMIF(Data!$E:$E,$C1226,Data!$AI:$AI)</f>
        <v>0</v>
      </c>
      <c r="I1226" s="14" t="s">
        <v>8461</v>
      </c>
      <c r="J1226" s="14" t="s">
        <v>8462</v>
      </c>
      <c r="K1226" s="14" t="s">
        <v>140</v>
      </c>
      <c r="L1226" s="14" t="s">
        <v>8069</v>
      </c>
      <c r="M1226" s="14" t="s">
        <v>8463</v>
      </c>
      <c r="N1226" s="14" t="s">
        <v>8464</v>
      </c>
      <c r="O1226" s="14" t="s">
        <v>8465</v>
      </c>
      <c r="P1226" s="14" t="s">
        <v>8466</v>
      </c>
      <c r="Q1226" s="14" t="s">
        <v>193</v>
      </c>
      <c r="R1226" s="14" t="s">
        <v>8467</v>
      </c>
      <c r="S1226" s="14" t="s">
        <v>1167</v>
      </c>
      <c r="T1226" s="14" t="s">
        <v>1168</v>
      </c>
      <c r="U1226" s="14" t="s">
        <v>528</v>
      </c>
      <c r="V1226" s="48">
        <f>SUMIF(Data!$E:$E,$I1226,Data!$AI:$AI)</f>
        <v>0</v>
      </c>
    </row>
    <row r="1227" spans="1:22" x14ac:dyDescent="0.25">
      <c r="A1227" s="47" t="s">
        <v>8213</v>
      </c>
      <c r="B1227" s="47" t="s">
        <v>123</v>
      </c>
      <c r="C1227" s="47" t="s">
        <v>5192</v>
      </c>
      <c r="D1227" s="47">
        <v>0.15131755836168501</v>
      </c>
      <c r="E1227" s="48">
        <f>SUMIF(Data!$E:$E,$C1227,Data!$AI:$AI)</f>
        <v>0</v>
      </c>
      <c r="I1227" s="14" t="s">
        <v>8468</v>
      </c>
      <c r="J1227" s="14" t="s">
        <v>8469</v>
      </c>
      <c r="K1227" s="14" t="s">
        <v>140</v>
      </c>
      <c r="L1227" s="14" t="s">
        <v>8069</v>
      </c>
      <c r="M1227" s="14" t="s">
        <v>8470</v>
      </c>
      <c r="N1227" s="14" t="s">
        <v>8471</v>
      </c>
      <c r="O1227" s="14" t="s">
        <v>8472</v>
      </c>
      <c r="P1227" s="14" t="s">
        <v>8473</v>
      </c>
      <c r="Q1227" s="14" t="s">
        <v>227</v>
      </c>
      <c r="R1227" s="14" t="s">
        <v>8474</v>
      </c>
      <c r="S1227" s="14" t="s">
        <v>479</v>
      </c>
      <c r="T1227" s="14" t="s">
        <v>480</v>
      </c>
      <c r="U1227" s="14" t="s">
        <v>481</v>
      </c>
      <c r="V1227" s="48">
        <f>SUMIF(Data!$E:$E,$I1227,Data!$AI:$AI)</f>
        <v>0</v>
      </c>
    </row>
    <row r="1228" spans="1:22" x14ac:dyDescent="0.25">
      <c r="A1228" s="47" t="s">
        <v>8213</v>
      </c>
      <c r="B1228" s="47" t="s">
        <v>123</v>
      </c>
      <c r="C1228" s="47" t="s">
        <v>520</v>
      </c>
      <c r="D1228" s="47">
        <v>0.69581080964477404</v>
      </c>
      <c r="E1228" s="48">
        <f>SUMIF(Data!$E:$E,$C1228,Data!$AI:$AI)</f>
        <v>0.42534541896463962</v>
      </c>
      <c r="I1228" s="14" t="s">
        <v>8475</v>
      </c>
      <c r="J1228" s="14" t="s">
        <v>8475</v>
      </c>
      <c r="K1228" s="14" t="s">
        <v>140</v>
      </c>
      <c r="L1228" s="14" t="s">
        <v>8069</v>
      </c>
      <c r="M1228" s="14" t="s">
        <v>8476</v>
      </c>
      <c r="N1228" s="14">
        <v>104.575</v>
      </c>
      <c r="O1228" s="14" t="s">
        <v>8477</v>
      </c>
      <c r="P1228" s="14" t="s">
        <v>8478</v>
      </c>
      <c r="Q1228" s="14" t="s">
        <v>211</v>
      </c>
      <c r="R1228" s="14" t="s">
        <v>8479</v>
      </c>
      <c r="S1228" s="14" t="s">
        <v>771</v>
      </c>
      <c r="T1228" s="14" t="s">
        <v>772</v>
      </c>
      <c r="U1228" s="14" t="s">
        <v>773</v>
      </c>
      <c r="V1228" s="48">
        <f>SUMIF(Data!$E:$E,$I1228,Data!$AI:$AI)</f>
        <v>0</v>
      </c>
    </row>
    <row r="1229" spans="1:22" x14ac:dyDescent="0.25">
      <c r="A1229" s="47" t="s">
        <v>8213</v>
      </c>
      <c r="B1229" s="47" t="s">
        <v>123</v>
      </c>
      <c r="C1229" s="47" t="s">
        <v>4893</v>
      </c>
      <c r="D1229" s="47">
        <v>3.1697528152846499</v>
      </c>
      <c r="E1229" s="48">
        <f>SUMIF(Data!$E:$E,$C1229,Data!$AI:$AI)</f>
        <v>0.14807872778681458</v>
      </c>
      <c r="I1229" s="14">
        <v>2433</v>
      </c>
      <c r="J1229" s="14" t="s">
        <v>8480</v>
      </c>
      <c r="K1229" s="14" t="s">
        <v>140</v>
      </c>
      <c r="L1229" s="14" t="s">
        <v>8069</v>
      </c>
      <c r="M1229" s="14" t="s">
        <v>8481</v>
      </c>
      <c r="N1229" s="14">
        <v>204.1</v>
      </c>
      <c r="O1229" s="14" t="s">
        <v>8482</v>
      </c>
      <c r="P1229" s="14" t="s">
        <v>8483</v>
      </c>
      <c r="Q1229" s="14" t="s">
        <v>175</v>
      </c>
      <c r="R1229" s="14" t="s">
        <v>8484</v>
      </c>
      <c r="S1229" s="14" t="s">
        <v>444</v>
      </c>
      <c r="T1229" s="14" t="s">
        <v>445</v>
      </c>
      <c r="U1229" s="14" t="s">
        <v>446</v>
      </c>
      <c r="V1229" s="48">
        <f>SUMIF(Data!$E:$E,$I1229,Data!$AI:$AI)</f>
        <v>0</v>
      </c>
    </row>
    <row r="1230" spans="1:22" x14ac:dyDescent="0.25">
      <c r="A1230" s="47" t="s">
        <v>8213</v>
      </c>
      <c r="B1230" s="47" t="s">
        <v>123</v>
      </c>
      <c r="C1230" s="47" t="s">
        <v>4900</v>
      </c>
      <c r="D1230" s="47">
        <v>1.27508489920936</v>
      </c>
      <c r="E1230" s="48">
        <f>SUMIF(Data!$E:$E,$C1230,Data!$AI:$AI)</f>
        <v>0</v>
      </c>
      <c r="I1230" s="14" t="s">
        <v>8485</v>
      </c>
      <c r="J1230" s="14" t="s">
        <v>8486</v>
      </c>
      <c r="K1230" s="14" t="s">
        <v>140</v>
      </c>
      <c r="L1230" s="14" t="s">
        <v>8069</v>
      </c>
      <c r="M1230" s="14" t="s">
        <v>289</v>
      </c>
      <c r="N1230" s="14" t="s">
        <v>8487</v>
      </c>
      <c r="O1230" s="14" t="s">
        <v>8488</v>
      </c>
      <c r="P1230" s="14" t="s">
        <v>8489</v>
      </c>
      <c r="Q1230" s="14" t="s">
        <v>175</v>
      </c>
      <c r="R1230" s="14" t="s">
        <v>8490</v>
      </c>
      <c r="S1230" s="14" t="s">
        <v>1130</v>
      </c>
      <c r="T1230" s="14" t="s">
        <v>1131</v>
      </c>
      <c r="U1230" s="14" t="s">
        <v>528</v>
      </c>
      <c r="V1230" s="48">
        <f>SUMIF(Data!$E:$E,$I1230,Data!$AI:$AI)</f>
        <v>0</v>
      </c>
    </row>
    <row r="1231" spans="1:22" x14ac:dyDescent="0.25">
      <c r="A1231" s="47" t="s">
        <v>8213</v>
      </c>
      <c r="B1231" s="47" t="s">
        <v>123</v>
      </c>
      <c r="C1231" s="47" t="s">
        <v>4907</v>
      </c>
      <c r="D1231" s="47">
        <v>1.88460545060424</v>
      </c>
      <c r="E1231" s="48">
        <f>SUMIF(Data!$E:$E,$C1231,Data!$AI:$AI)</f>
        <v>0</v>
      </c>
      <c r="I1231" s="14">
        <v>8015</v>
      </c>
      <c r="J1231" s="14" t="s">
        <v>8491</v>
      </c>
      <c r="K1231" s="14" t="s">
        <v>140</v>
      </c>
      <c r="L1231" s="14" t="s">
        <v>8069</v>
      </c>
      <c r="M1231" s="14" t="s">
        <v>8492</v>
      </c>
      <c r="N1231" s="14">
        <v>93</v>
      </c>
      <c r="O1231" s="14" t="s">
        <v>8493</v>
      </c>
      <c r="P1231" s="14" t="s">
        <v>8494</v>
      </c>
      <c r="Q1231" s="14" t="s">
        <v>419</v>
      </c>
      <c r="R1231" s="14" t="s">
        <v>8495</v>
      </c>
      <c r="S1231" s="14" t="s">
        <v>444</v>
      </c>
      <c r="T1231" s="14" t="s">
        <v>445</v>
      </c>
      <c r="U1231" s="14" t="s">
        <v>446</v>
      </c>
      <c r="V1231" s="48">
        <f>SUMIF(Data!$E:$E,$I1231,Data!$AI:$AI)</f>
        <v>0</v>
      </c>
    </row>
    <row r="1232" spans="1:22" x14ac:dyDescent="0.25">
      <c r="A1232" s="47" t="s">
        <v>8213</v>
      </c>
      <c r="B1232" s="47" t="s">
        <v>123</v>
      </c>
      <c r="C1232" s="47" t="s">
        <v>5199</v>
      </c>
      <c r="D1232" s="47">
        <v>0.18736811603884701</v>
      </c>
      <c r="E1232" s="48">
        <f>SUMIF(Data!$E:$E,$C1232,Data!$AI:$AI)</f>
        <v>0.30542299256619226</v>
      </c>
      <c r="I1232" s="14" t="s">
        <v>8496</v>
      </c>
      <c r="J1232" s="14" t="s">
        <v>8497</v>
      </c>
      <c r="K1232" s="14" t="s">
        <v>140</v>
      </c>
      <c r="L1232" s="14" t="s">
        <v>8069</v>
      </c>
      <c r="M1232" s="14" t="s">
        <v>8498</v>
      </c>
      <c r="N1232" s="14">
        <v>131.066</v>
      </c>
      <c r="O1232" s="14" t="s">
        <v>8499</v>
      </c>
      <c r="P1232" s="14" t="s">
        <v>8500</v>
      </c>
      <c r="Q1232" s="14" t="s">
        <v>263</v>
      </c>
      <c r="R1232" s="14" t="s">
        <v>8501</v>
      </c>
      <c r="S1232" s="14" t="s">
        <v>850</v>
      </c>
      <c r="T1232" s="14" t="s">
        <v>851</v>
      </c>
      <c r="U1232" s="14" t="s">
        <v>852</v>
      </c>
      <c r="V1232" s="48">
        <f>SUMIF(Data!$E:$E,$I1232,Data!$AI:$AI)</f>
        <v>0</v>
      </c>
    </row>
    <row r="1233" spans="1:22" x14ac:dyDescent="0.25">
      <c r="A1233" s="47" t="s">
        <v>8213</v>
      </c>
      <c r="B1233" s="47" t="s">
        <v>123</v>
      </c>
      <c r="C1233" s="47" t="s">
        <v>4484</v>
      </c>
      <c r="D1233" s="47">
        <v>4.2560567680835302</v>
      </c>
      <c r="E1233" s="48">
        <f>SUMIF(Data!$E:$E,$C1233,Data!$AI:$AI)</f>
        <v>0</v>
      </c>
      <c r="I1233" s="14">
        <v>6963</v>
      </c>
      <c r="J1233" s="14" t="s">
        <v>8502</v>
      </c>
      <c r="K1233" s="14" t="s">
        <v>140</v>
      </c>
      <c r="L1233" s="14" t="s">
        <v>8069</v>
      </c>
      <c r="M1233" s="14" t="s">
        <v>8503</v>
      </c>
      <c r="N1233" s="14">
        <v>39.75</v>
      </c>
      <c r="O1233" s="14" t="s">
        <v>8504</v>
      </c>
      <c r="P1233" s="14" t="s">
        <v>8505</v>
      </c>
      <c r="Q1233" s="14" t="s">
        <v>146</v>
      </c>
      <c r="R1233" s="14" t="s">
        <v>8506</v>
      </c>
      <c r="S1233" s="14" t="s">
        <v>444</v>
      </c>
      <c r="T1233" s="14" t="s">
        <v>445</v>
      </c>
      <c r="U1233" s="14" t="s">
        <v>446</v>
      </c>
      <c r="V1233" s="48">
        <f>SUMIF(Data!$E:$E,$I1233,Data!$AI:$AI)</f>
        <v>0</v>
      </c>
    </row>
    <row r="1234" spans="1:22" x14ac:dyDescent="0.25">
      <c r="A1234" s="47" t="s">
        <v>8213</v>
      </c>
      <c r="B1234" s="47" t="s">
        <v>123</v>
      </c>
      <c r="C1234" s="47" t="s">
        <v>1786</v>
      </c>
      <c r="D1234" s="47">
        <v>0.20668318450223</v>
      </c>
      <c r="E1234" s="48">
        <f>SUMIF(Data!$E:$E,$C1234,Data!$AI:$AI)</f>
        <v>0.1705308312796065</v>
      </c>
      <c r="I1234" s="14" t="s">
        <v>8507</v>
      </c>
      <c r="J1234" s="14" t="s">
        <v>8508</v>
      </c>
      <c r="K1234" s="14" t="s">
        <v>140</v>
      </c>
      <c r="L1234" s="14" t="s">
        <v>8069</v>
      </c>
      <c r="M1234" s="14" t="s">
        <v>8509</v>
      </c>
      <c r="N1234" s="14">
        <v>67.534000000000006</v>
      </c>
      <c r="O1234" s="14" t="s">
        <v>8510</v>
      </c>
      <c r="P1234" s="14" t="s">
        <v>8511</v>
      </c>
      <c r="Q1234" s="14" t="s">
        <v>175</v>
      </c>
      <c r="R1234" s="14" t="s">
        <v>8512</v>
      </c>
      <c r="S1234" s="14" t="s">
        <v>148</v>
      </c>
      <c r="T1234" s="14" t="s">
        <v>149</v>
      </c>
      <c r="U1234" s="14" t="s">
        <v>113</v>
      </c>
      <c r="V1234" s="48">
        <f>SUMIF(Data!$E:$E,$I1234,Data!$AI:$AI)</f>
        <v>0</v>
      </c>
    </row>
    <row r="1235" spans="1:22" x14ac:dyDescent="0.25">
      <c r="A1235" s="47" t="s">
        <v>8213</v>
      </c>
      <c r="B1235" s="47" t="s">
        <v>123</v>
      </c>
      <c r="C1235" s="47" t="s">
        <v>4919</v>
      </c>
      <c r="D1235" s="47">
        <v>0.50505329107668295</v>
      </c>
      <c r="E1235" s="48">
        <f>SUMIF(Data!$E:$E,$C1235,Data!$AI:$AI)</f>
        <v>0.63880820904302782</v>
      </c>
      <c r="I1235" s="14" t="s">
        <v>8513</v>
      </c>
      <c r="J1235" s="14" t="s">
        <v>8514</v>
      </c>
      <c r="K1235" s="14" t="s">
        <v>140</v>
      </c>
      <c r="L1235" s="14" t="s">
        <v>8069</v>
      </c>
      <c r="M1235" s="14" t="s">
        <v>5371</v>
      </c>
      <c r="N1235" s="14">
        <v>92.56</v>
      </c>
      <c r="O1235" s="14" t="s">
        <v>8515</v>
      </c>
      <c r="P1235" s="14" t="s">
        <v>8516</v>
      </c>
      <c r="Q1235" s="14" t="s">
        <v>175</v>
      </c>
      <c r="R1235" s="14" t="s">
        <v>8517</v>
      </c>
      <c r="S1235" s="14" t="s">
        <v>526</v>
      </c>
      <c r="T1235" s="14" t="s">
        <v>527</v>
      </c>
      <c r="U1235" s="14" t="s">
        <v>528</v>
      </c>
      <c r="V1235" s="48">
        <f>SUMIF(Data!$E:$E,$I1235,Data!$AI:$AI)</f>
        <v>0</v>
      </c>
    </row>
    <row r="1236" spans="1:22" x14ac:dyDescent="0.25">
      <c r="A1236" s="47" t="s">
        <v>8213</v>
      </c>
      <c r="B1236" s="47" t="s">
        <v>123</v>
      </c>
      <c r="C1236" s="47" t="s">
        <v>4926</v>
      </c>
      <c r="D1236" s="47">
        <v>0.62721867772606299</v>
      </c>
      <c r="E1236" s="48">
        <f>SUMIF(Data!$E:$E,$C1236,Data!$AI:$AI)</f>
        <v>0.52858464745473188</v>
      </c>
      <c r="I1236" s="14" t="s">
        <v>8518</v>
      </c>
      <c r="J1236" s="14" t="s">
        <v>8519</v>
      </c>
      <c r="K1236" s="14" t="s">
        <v>140</v>
      </c>
      <c r="L1236" s="14" t="s">
        <v>8069</v>
      </c>
      <c r="M1236" s="14" t="s">
        <v>8520</v>
      </c>
      <c r="N1236" s="14">
        <v>73.962000000000003</v>
      </c>
      <c r="O1236" s="14" t="s">
        <v>8521</v>
      </c>
      <c r="P1236" s="14" t="s">
        <v>8522</v>
      </c>
      <c r="Q1236" s="14" t="s">
        <v>737</v>
      </c>
      <c r="R1236" s="14" t="s">
        <v>8523</v>
      </c>
      <c r="S1236" s="14" t="s">
        <v>728</v>
      </c>
      <c r="T1236" s="14" t="s">
        <v>729</v>
      </c>
      <c r="U1236" s="14" t="s">
        <v>730</v>
      </c>
      <c r="V1236" s="48">
        <f>SUMIF(Data!$E:$E,$I1236,Data!$AI:$AI)</f>
        <v>0</v>
      </c>
    </row>
    <row r="1237" spans="1:22" x14ac:dyDescent="0.25">
      <c r="A1237" s="47" t="s">
        <v>8213</v>
      </c>
      <c r="B1237" s="47" t="s">
        <v>123</v>
      </c>
      <c r="C1237" s="47" t="s">
        <v>5221</v>
      </c>
      <c r="D1237" s="47">
        <v>0.23355720896294599</v>
      </c>
      <c r="E1237" s="48">
        <f>SUMIF(Data!$E:$E,$C1237,Data!$AI:$AI)</f>
        <v>0.14962264013625223</v>
      </c>
      <c r="I1237" s="14" t="s">
        <v>8524</v>
      </c>
      <c r="J1237" s="14" t="s">
        <v>8525</v>
      </c>
      <c r="K1237" s="14" t="s">
        <v>140</v>
      </c>
      <c r="L1237" s="14" t="s">
        <v>8069</v>
      </c>
      <c r="M1237" s="14" t="s">
        <v>8526</v>
      </c>
      <c r="N1237" s="14">
        <v>29.402000000000001</v>
      </c>
      <c r="O1237" s="14" t="s">
        <v>8527</v>
      </c>
      <c r="P1237" s="14" t="s">
        <v>8528</v>
      </c>
      <c r="Q1237" s="14" t="s">
        <v>419</v>
      </c>
      <c r="R1237" s="14" t="s">
        <v>8529</v>
      </c>
      <c r="S1237" s="14" t="s">
        <v>148</v>
      </c>
      <c r="T1237" s="14" t="s">
        <v>149</v>
      </c>
      <c r="U1237" s="14" t="s">
        <v>113</v>
      </c>
      <c r="V1237" s="48">
        <f>SUMIF(Data!$E:$E,$I1237,Data!$AI:$AI)</f>
        <v>0</v>
      </c>
    </row>
    <row r="1238" spans="1:22" x14ac:dyDescent="0.25">
      <c r="A1238" s="47" t="s">
        <v>8213</v>
      </c>
      <c r="B1238" s="47" t="s">
        <v>123</v>
      </c>
      <c r="C1238" s="47" t="s">
        <v>5228</v>
      </c>
      <c r="D1238" s="47">
        <v>9.5906245797004006E-2</v>
      </c>
      <c r="E1238" s="48">
        <f>SUMIF(Data!$E:$E,$C1238,Data!$AI:$AI)</f>
        <v>0</v>
      </c>
      <c r="I1238" s="14" t="s">
        <v>8530</v>
      </c>
      <c r="J1238" s="14" t="s">
        <v>8531</v>
      </c>
      <c r="K1238" s="14" t="s">
        <v>140</v>
      </c>
      <c r="L1238" s="14" t="s">
        <v>8069</v>
      </c>
      <c r="M1238" s="14" t="s">
        <v>8532</v>
      </c>
      <c r="N1238" s="14" t="s">
        <v>8533</v>
      </c>
      <c r="O1238" s="14" t="s">
        <v>8534</v>
      </c>
      <c r="P1238" s="14" t="s">
        <v>8535</v>
      </c>
      <c r="Q1238" s="14" t="s">
        <v>193</v>
      </c>
      <c r="R1238" s="14" t="s">
        <v>8536</v>
      </c>
      <c r="S1238" s="14" t="s">
        <v>850</v>
      </c>
      <c r="T1238" s="14" t="s">
        <v>851</v>
      </c>
      <c r="U1238" s="14" t="s">
        <v>852</v>
      </c>
      <c r="V1238" s="48">
        <f>SUMIF(Data!$E:$E,$I1238,Data!$AI:$AI)</f>
        <v>0</v>
      </c>
    </row>
    <row r="1239" spans="1:22" x14ac:dyDescent="0.25">
      <c r="A1239" s="47" t="s">
        <v>8213</v>
      </c>
      <c r="B1239" s="47" t="s">
        <v>123</v>
      </c>
      <c r="C1239" s="47" t="s">
        <v>3901</v>
      </c>
      <c r="D1239" s="47">
        <v>0.53640590131028998</v>
      </c>
      <c r="E1239" s="48">
        <f>SUMIF(Data!$E:$E,$C1239,Data!$AI:$AI)</f>
        <v>0.4435083799971119</v>
      </c>
      <c r="I1239" s="14" t="s">
        <v>8537</v>
      </c>
      <c r="J1239" s="14" t="s">
        <v>8538</v>
      </c>
      <c r="K1239" s="14" t="s">
        <v>140</v>
      </c>
      <c r="L1239" s="14" t="s">
        <v>8069</v>
      </c>
      <c r="M1239" s="14" t="s">
        <v>8539</v>
      </c>
      <c r="N1239" s="14">
        <v>328.858</v>
      </c>
      <c r="O1239" s="14" t="s">
        <v>8540</v>
      </c>
      <c r="P1239" s="14" t="s">
        <v>8541</v>
      </c>
      <c r="Q1239" s="14" t="s">
        <v>737</v>
      </c>
      <c r="R1239" s="14" t="s">
        <v>8542</v>
      </c>
      <c r="S1239" s="14" t="s">
        <v>728</v>
      </c>
      <c r="T1239" s="14" t="s">
        <v>729</v>
      </c>
      <c r="U1239" s="14" t="s">
        <v>730</v>
      </c>
      <c r="V1239" s="48">
        <f>SUMIF(Data!$E:$E,$I1239,Data!$AI:$AI)</f>
        <v>0</v>
      </c>
    </row>
    <row r="1240" spans="1:22" x14ac:dyDescent="0.25">
      <c r="A1240" s="47" t="s">
        <v>8213</v>
      </c>
      <c r="B1240" s="47" t="s">
        <v>123</v>
      </c>
      <c r="C1240" s="47" t="s">
        <v>5241</v>
      </c>
      <c r="D1240" s="47">
        <v>0.23138599662426099</v>
      </c>
      <c r="E1240" s="48">
        <f>SUMIF(Data!$E:$E,$C1240,Data!$AI:$AI)</f>
        <v>0.22226848933098653</v>
      </c>
      <c r="I1240" s="14" t="s">
        <v>8543</v>
      </c>
      <c r="J1240" s="14" t="s">
        <v>8544</v>
      </c>
      <c r="K1240" s="14" t="s">
        <v>140</v>
      </c>
      <c r="L1240" s="14" t="s">
        <v>8069</v>
      </c>
      <c r="M1240" s="14" t="s">
        <v>8545</v>
      </c>
      <c r="N1240" s="14">
        <v>88.718999999999994</v>
      </c>
      <c r="O1240" s="14" t="s">
        <v>8546</v>
      </c>
      <c r="P1240" s="14" t="s">
        <v>8547</v>
      </c>
      <c r="Q1240" s="14" t="s">
        <v>165</v>
      </c>
      <c r="R1240" s="14" t="s">
        <v>8548</v>
      </c>
      <c r="S1240" s="14" t="s">
        <v>195</v>
      </c>
      <c r="T1240" s="14" t="s">
        <v>149</v>
      </c>
      <c r="U1240" s="14" t="s">
        <v>113</v>
      </c>
      <c r="V1240" s="48">
        <f>SUMIF(Data!$E:$E,$I1240,Data!$AI:$AI)</f>
        <v>0</v>
      </c>
    </row>
    <row r="1241" spans="1:22" x14ac:dyDescent="0.25">
      <c r="A1241" s="47" t="s">
        <v>8213</v>
      </c>
      <c r="B1241" s="47" t="s">
        <v>123</v>
      </c>
      <c r="C1241" s="47" t="s">
        <v>4938</v>
      </c>
      <c r="D1241" s="47">
        <v>0.71495546147242195</v>
      </c>
      <c r="E1241" s="48">
        <f>SUMIF(Data!$E:$E,$C1241,Data!$AI:$AI)</f>
        <v>0</v>
      </c>
      <c r="I1241" s="14" t="s">
        <v>8549</v>
      </c>
      <c r="J1241" s="14" t="s">
        <v>8550</v>
      </c>
      <c r="K1241" s="14" t="s">
        <v>140</v>
      </c>
      <c r="L1241" s="14" t="s">
        <v>8069</v>
      </c>
      <c r="M1241" s="14" t="s">
        <v>8551</v>
      </c>
      <c r="N1241" s="14">
        <v>297.21800000000002</v>
      </c>
      <c r="O1241" s="14" t="s">
        <v>8552</v>
      </c>
      <c r="P1241" s="14" t="s">
        <v>8553</v>
      </c>
      <c r="Q1241" s="14" t="s">
        <v>737</v>
      </c>
      <c r="R1241" s="14" t="s">
        <v>8554</v>
      </c>
      <c r="S1241" s="14" t="s">
        <v>850</v>
      </c>
      <c r="T1241" s="14" t="s">
        <v>851</v>
      </c>
      <c r="U1241" s="14" t="s">
        <v>852</v>
      </c>
      <c r="V1241" s="48">
        <f>SUMIF(Data!$E:$E,$I1241,Data!$AI:$AI)</f>
        <v>0</v>
      </c>
    </row>
    <row r="1242" spans="1:22" x14ac:dyDescent="0.25">
      <c r="A1242" s="47" t="s">
        <v>8213</v>
      </c>
      <c r="B1242" s="47" t="s">
        <v>123</v>
      </c>
      <c r="C1242" s="47" t="s">
        <v>5248</v>
      </c>
      <c r="D1242" s="47">
        <v>9.4407887894034995E-2</v>
      </c>
      <c r="E1242" s="48">
        <f>SUMIF(Data!$E:$E,$C1242,Data!$AI:$AI)</f>
        <v>0</v>
      </c>
      <c r="I1242" s="14" t="s">
        <v>8555</v>
      </c>
      <c r="J1242" s="14" t="s">
        <v>8556</v>
      </c>
      <c r="K1242" s="14" t="s">
        <v>140</v>
      </c>
      <c r="L1242" s="14" t="s">
        <v>8069</v>
      </c>
      <c r="M1242" s="14" t="s">
        <v>8557</v>
      </c>
      <c r="N1242" s="14">
        <v>75.477999999999994</v>
      </c>
      <c r="O1242" s="14" t="s">
        <v>8558</v>
      </c>
      <c r="P1242" s="14" t="s">
        <v>8559</v>
      </c>
      <c r="Q1242" s="14" t="s">
        <v>193</v>
      </c>
      <c r="R1242" s="14" t="s">
        <v>8560</v>
      </c>
      <c r="S1242" s="14" t="s">
        <v>563</v>
      </c>
      <c r="T1242" s="14" t="s">
        <v>564</v>
      </c>
      <c r="U1242" s="14" t="s">
        <v>528</v>
      </c>
      <c r="V1242" s="48">
        <f>SUMIF(Data!$E:$E,$I1242,Data!$AI:$AI)</f>
        <v>0</v>
      </c>
    </row>
    <row r="1243" spans="1:22" x14ac:dyDescent="0.25">
      <c r="A1243" s="47" t="s">
        <v>8213</v>
      </c>
      <c r="B1243" s="47" t="s">
        <v>123</v>
      </c>
      <c r="C1243" s="47" t="s">
        <v>4009</v>
      </c>
      <c r="D1243" s="47">
        <v>0.18259170316044901</v>
      </c>
      <c r="E1243" s="48">
        <f>SUMIF(Data!$E:$E,$C1243,Data!$AI:$AI)</f>
        <v>0</v>
      </c>
      <c r="I1243" s="14" t="s">
        <v>8561</v>
      </c>
      <c r="J1243" s="14" t="s">
        <v>8562</v>
      </c>
      <c r="K1243" s="14" t="s">
        <v>140</v>
      </c>
      <c r="L1243" s="14" t="s">
        <v>8069</v>
      </c>
      <c r="M1243" s="14" t="s">
        <v>8563</v>
      </c>
      <c r="N1243" s="14">
        <v>226.22300000000001</v>
      </c>
      <c r="O1243" s="14" t="s">
        <v>8564</v>
      </c>
      <c r="P1243" s="14" t="s">
        <v>8565</v>
      </c>
      <c r="Q1243" s="14" t="s">
        <v>175</v>
      </c>
      <c r="R1243" s="14" t="s">
        <v>8566</v>
      </c>
      <c r="S1243" s="14" t="s">
        <v>563</v>
      </c>
      <c r="T1243" s="14" t="s">
        <v>564</v>
      </c>
      <c r="U1243" s="14" t="s">
        <v>528</v>
      </c>
      <c r="V1243" s="48">
        <f>SUMIF(Data!$E:$E,$I1243,Data!$AI:$AI)</f>
        <v>0</v>
      </c>
    </row>
    <row r="1244" spans="1:22" x14ac:dyDescent="0.25">
      <c r="A1244" s="47" t="s">
        <v>8213</v>
      </c>
      <c r="B1244" s="47" t="s">
        <v>123</v>
      </c>
      <c r="C1244" s="47" t="s">
        <v>4598</v>
      </c>
      <c r="D1244" s="47">
        <v>0.16993656639639401</v>
      </c>
      <c r="E1244" s="48">
        <f>SUMIF(Data!$E:$E,$C1244,Data!$AI:$AI)</f>
        <v>0</v>
      </c>
      <c r="I1244" s="14" t="s">
        <v>8567</v>
      </c>
      <c r="J1244" s="14" t="s">
        <v>8568</v>
      </c>
      <c r="K1244" s="14" t="s">
        <v>140</v>
      </c>
      <c r="L1244" s="14" t="s">
        <v>8069</v>
      </c>
      <c r="M1244" s="14" t="s">
        <v>6666</v>
      </c>
      <c r="N1244" s="14" t="s">
        <v>8569</v>
      </c>
      <c r="O1244" s="14" t="s">
        <v>8570</v>
      </c>
      <c r="P1244" s="14" t="s">
        <v>8571</v>
      </c>
      <c r="Q1244" s="14" t="s">
        <v>697</v>
      </c>
      <c r="R1244" s="14" t="s">
        <v>8572</v>
      </c>
      <c r="S1244" s="14" t="s">
        <v>479</v>
      </c>
      <c r="T1244" s="14" t="s">
        <v>480</v>
      </c>
      <c r="U1244" s="14" t="s">
        <v>481</v>
      </c>
      <c r="V1244" s="48">
        <f>SUMIF(Data!$E:$E,$I1244,Data!$AI:$AI)</f>
        <v>0</v>
      </c>
    </row>
    <row r="1245" spans="1:22" x14ac:dyDescent="0.25">
      <c r="A1245" s="47" t="s">
        <v>8213</v>
      </c>
      <c r="B1245" s="47" t="s">
        <v>123</v>
      </c>
      <c r="C1245" s="47" t="s">
        <v>1942</v>
      </c>
      <c r="D1245" s="47">
        <v>8.20317687278542</v>
      </c>
      <c r="E1245" s="48">
        <f>SUMIF(Data!$E:$E,$C1245,Data!$AI:$AI)</f>
        <v>0</v>
      </c>
      <c r="I1245" s="14" t="s">
        <v>8573</v>
      </c>
      <c r="J1245" s="14" t="s">
        <v>8574</v>
      </c>
      <c r="K1245" s="14" t="s">
        <v>140</v>
      </c>
      <c r="L1245" s="14" t="s">
        <v>8069</v>
      </c>
      <c r="M1245" s="14" t="s">
        <v>8575</v>
      </c>
      <c r="N1245" s="14">
        <v>97.387</v>
      </c>
      <c r="O1245" s="14" t="s">
        <v>8576</v>
      </c>
      <c r="P1245" s="14" t="s">
        <v>8577</v>
      </c>
      <c r="Q1245" s="14" t="s">
        <v>419</v>
      </c>
      <c r="R1245" s="14" t="s">
        <v>8578</v>
      </c>
      <c r="S1245" s="14" t="s">
        <v>526</v>
      </c>
      <c r="T1245" s="14" t="s">
        <v>527</v>
      </c>
      <c r="U1245" s="14" t="s">
        <v>528</v>
      </c>
      <c r="V1245" s="48">
        <f>SUMIF(Data!$E:$E,$I1245,Data!$AI:$AI)</f>
        <v>0</v>
      </c>
    </row>
    <row r="1246" spans="1:22" x14ac:dyDescent="0.25">
      <c r="A1246" s="47" t="s">
        <v>8213</v>
      </c>
      <c r="B1246" s="47" t="s">
        <v>123</v>
      </c>
      <c r="C1246" s="47" t="s">
        <v>4951</v>
      </c>
      <c r="D1246" s="47">
        <v>2.4428500053614299</v>
      </c>
      <c r="E1246" s="48">
        <f>SUMIF(Data!$E:$E,$C1246,Data!$AI:$AI)</f>
        <v>0</v>
      </c>
      <c r="I1246" s="14">
        <v>4204</v>
      </c>
      <c r="J1246" s="14" t="s">
        <v>8579</v>
      </c>
      <c r="K1246" s="14" t="s">
        <v>140</v>
      </c>
      <c r="L1246" s="14" t="s">
        <v>8069</v>
      </c>
      <c r="M1246" s="14" t="s">
        <v>1348</v>
      </c>
      <c r="N1246" s="14">
        <v>184.22399999999999</v>
      </c>
      <c r="O1246" s="14" t="s">
        <v>8580</v>
      </c>
      <c r="P1246" s="14" t="s">
        <v>8581</v>
      </c>
      <c r="Q1246" s="14" t="s">
        <v>165</v>
      </c>
      <c r="R1246" s="14" t="s">
        <v>8582</v>
      </c>
      <c r="S1246" s="14" t="s">
        <v>444</v>
      </c>
      <c r="T1246" s="14" t="s">
        <v>445</v>
      </c>
      <c r="U1246" s="14" t="s">
        <v>446</v>
      </c>
      <c r="V1246" s="48">
        <f>SUMIF(Data!$E:$E,$I1246,Data!$AI:$AI)</f>
        <v>0</v>
      </c>
    </row>
    <row r="1247" spans="1:22" x14ac:dyDescent="0.25">
      <c r="A1247" s="47" t="s">
        <v>8213</v>
      </c>
      <c r="B1247" s="47" t="s">
        <v>123</v>
      </c>
      <c r="C1247" s="47" t="s">
        <v>1469</v>
      </c>
      <c r="D1247" s="47">
        <v>1.0949144085673901</v>
      </c>
      <c r="E1247" s="48">
        <f>SUMIF(Data!$E:$E,$C1247,Data!$AI:$AI)</f>
        <v>0</v>
      </c>
      <c r="I1247" s="14" t="s">
        <v>8583</v>
      </c>
      <c r="J1247" s="14" t="s">
        <v>8584</v>
      </c>
      <c r="K1247" s="14" t="s">
        <v>140</v>
      </c>
      <c r="L1247" s="14" t="s">
        <v>8069</v>
      </c>
      <c r="M1247" s="14" t="s">
        <v>8585</v>
      </c>
      <c r="N1247" s="14">
        <v>285.791</v>
      </c>
      <c r="O1247" s="14" t="s">
        <v>8586</v>
      </c>
      <c r="P1247" s="14" t="s">
        <v>8587</v>
      </c>
      <c r="Q1247" s="14" t="s">
        <v>419</v>
      </c>
      <c r="R1247" s="14" t="s">
        <v>8588</v>
      </c>
      <c r="S1247" s="14" t="s">
        <v>3142</v>
      </c>
      <c r="T1247" s="14" t="s">
        <v>3143</v>
      </c>
      <c r="U1247" s="14" t="s">
        <v>528</v>
      </c>
      <c r="V1247" s="48">
        <f>SUMIF(Data!$E:$E,$I1247,Data!$AI:$AI)</f>
        <v>0</v>
      </c>
    </row>
    <row r="1248" spans="1:22" x14ac:dyDescent="0.25">
      <c r="A1248" s="47" t="s">
        <v>8213</v>
      </c>
      <c r="B1248" s="47" t="s">
        <v>123</v>
      </c>
      <c r="C1248" s="47" t="s">
        <v>4964</v>
      </c>
      <c r="D1248" s="47">
        <v>0.59298435568697005</v>
      </c>
      <c r="E1248" s="48">
        <f>SUMIF(Data!$E:$E,$C1248,Data!$AI:$AI)</f>
        <v>0</v>
      </c>
      <c r="I1248" s="14" t="s">
        <v>8589</v>
      </c>
      <c r="J1248" s="14" t="s">
        <v>8590</v>
      </c>
      <c r="K1248" s="14" t="s">
        <v>140</v>
      </c>
      <c r="L1248" s="14" t="s">
        <v>8069</v>
      </c>
      <c r="M1248" s="14" t="s">
        <v>8591</v>
      </c>
      <c r="N1248" s="14">
        <v>19.169</v>
      </c>
      <c r="O1248" s="14" t="s">
        <v>8592</v>
      </c>
      <c r="P1248" s="14" t="s">
        <v>8593</v>
      </c>
      <c r="Q1248" s="14" t="s">
        <v>211</v>
      </c>
      <c r="R1248" s="14" t="s">
        <v>8594</v>
      </c>
      <c r="S1248" s="14" t="s">
        <v>148</v>
      </c>
      <c r="T1248" s="14" t="s">
        <v>553</v>
      </c>
      <c r="U1248" s="14" t="s">
        <v>113</v>
      </c>
      <c r="V1248" s="48">
        <f>SUMIF(Data!$E:$E,$I1248,Data!$AI:$AI)</f>
        <v>0</v>
      </c>
    </row>
    <row r="1249" spans="1:22" x14ac:dyDescent="0.25">
      <c r="A1249" s="47" t="s">
        <v>8213</v>
      </c>
      <c r="B1249" s="47" t="s">
        <v>123</v>
      </c>
      <c r="C1249" s="47" t="s">
        <v>5271</v>
      </c>
      <c r="D1249" s="47">
        <v>8.6488976341125998E-2</v>
      </c>
      <c r="E1249" s="48">
        <f>SUMIF(Data!$E:$E,$C1249,Data!$AI:$AI)</f>
        <v>0.14326299409755411</v>
      </c>
      <c r="I1249" s="14" t="s">
        <v>8595</v>
      </c>
      <c r="J1249" s="14" t="s">
        <v>8596</v>
      </c>
      <c r="K1249" s="14" t="s">
        <v>140</v>
      </c>
      <c r="L1249" s="14" t="s">
        <v>8069</v>
      </c>
      <c r="M1249" s="14" t="s">
        <v>8597</v>
      </c>
      <c r="N1249" s="14">
        <v>972.63599999999997</v>
      </c>
      <c r="O1249" s="14" t="s">
        <v>8598</v>
      </c>
      <c r="P1249" s="14" t="s">
        <v>8599</v>
      </c>
      <c r="Q1249" s="14" t="s">
        <v>165</v>
      </c>
      <c r="R1249" s="14" t="s">
        <v>8600</v>
      </c>
      <c r="S1249" s="14" t="s">
        <v>850</v>
      </c>
      <c r="T1249" s="14" t="s">
        <v>851</v>
      </c>
      <c r="U1249" s="14" t="s">
        <v>852</v>
      </c>
      <c r="V1249" s="48">
        <f>SUMIF(Data!$E:$E,$I1249,Data!$AI:$AI)</f>
        <v>0</v>
      </c>
    </row>
    <row r="1250" spans="1:22" x14ac:dyDescent="0.25">
      <c r="A1250" s="47" t="s">
        <v>8213</v>
      </c>
      <c r="B1250" s="47" t="s">
        <v>123</v>
      </c>
      <c r="C1250" s="47" t="s">
        <v>5277</v>
      </c>
      <c r="D1250" s="47">
        <v>0.276222252568255</v>
      </c>
      <c r="E1250" s="48">
        <f>SUMIF(Data!$E:$E,$C1250,Data!$AI:$AI)</f>
        <v>0.33919062734131172</v>
      </c>
      <c r="I1250" s="14">
        <v>9501</v>
      </c>
      <c r="J1250" s="14" t="s">
        <v>8601</v>
      </c>
      <c r="K1250" s="14" t="s">
        <v>140</v>
      </c>
      <c r="L1250" s="14" t="s">
        <v>8069</v>
      </c>
      <c r="M1250" s="14" t="s">
        <v>8602</v>
      </c>
      <c r="N1250" s="14">
        <v>771.1</v>
      </c>
      <c r="O1250" s="14" t="s">
        <v>8603</v>
      </c>
      <c r="P1250" s="14" t="s">
        <v>8604</v>
      </c>
      <c r="Q1250" s="14" t="s">
        <v>697</v>
      </c>
      <c r="R1250" s="14" t="s">
        <v>8605</v>
      </c>
      <c r="S1250" s="14" t="s">
        <v>444</v>
      </c>
      <c r="T1250" s="14" t="s">
        <v>445</v>
      </c>
      <c r="U1250" s="14" t="s">
        <v>446</v>
      </c>
      <c r="V1250" s="48">
        <f>SUMIF(Data!$E:$E,$I1250,Data!$AI:$AI)</f>
        <v>0</v>
      </c>
    </row>
    <row r="1251" spans="1:22" x14ac:dyDescent="0.25">
      <c r="A1251" s="47" t="s">
        <v>8213</v>
      </c>
      <c r="B1251" s="47" t="s">
        <v>123</v>
      </c>
      <c r="C1251" s="47" t="s">
        <v>5284</v>
      </c>
      <c r="D1251" s="47">
        <v>0.25010805366759897</v>
      </c>
      <c r="E1251" s="48">
        <f>SUMIF(Data!$E:$E,$C1251,Data!$AI:$AI)</f>
        <v>0.14335552808713869</v>
      </c>
      <c r="I1251" s="14" t="s">
        <v>8606</v>
      </c>
      <c r="J1251" s="14" t="s">
        <v>8607</v>
      </c>
      <c r="K1251" s="14" t="s">
        <v>140</v>
      </c>
      <c r="L1251" s="14" t="s">
        <v>8069</v>
      </c>
      <c r="M1251" s="14" t="s">
        <v>8608</v>
      </c>
      <c r="N1251" s="14">
        <v>109.761</v>
      </c>
      <c r="O1251" s="14" t="s">
        <v>8609</v>
      </c>
      <c r="P1251" s="14" t="s">
        <v>8610</v>
      </c>
      <c r="Q1251" s="14" t="s">
        <v>165</v>
      </c>
      <c r="R1251" s="14" t="s">
        <v>8611</v>
      </c>
      <c r="S1251" s="14" t="s">
        <v>728</v>
      </c>
      <c r="T1251" s="14" t="s">
        <v>729</v>
      </c>
      <c r="U1251" s="14" t="s">
        <v>730</v>
      </c>
      <c r="V1251" s="48">
        <f>SUMIF(Data!$E:$E,$I1251,Data!$AI:$AI)</f>
        <v>0</v>
      </c>
    </row>
    <row r="1252" spans="1:22" x14ac:dyDescent="0.25">
      <c r="A1252" s="47" t="s">
        <v>8213</v>
      </c>
      <c r="B1252" s="47" t="s">
        <v>123</v>
      </c>
      <c r="C1252" s="47" t="s">
        <v>4971</v>
      </c>
      <c r="D1252" s="47">
        <v>0.50983470827784405</v>
      </c>
      <c r="E1252" s="48">
        <f>SUMIF(Data!$E:$E,$C1252,Data!$AI:$AI)</f>
        <v>0.51478348043038158</v>
      </c>
      <c r="I1252" s="14">
        <v>5019</v>
      </c>
      <c r="J1252" s="14" t="s">
        <v>8612</v>
      </c>
      <c r="K1252" s="14" t="s">
        <v>140</v>
      </c>
      <c r="L1252" s="14" t="s">
        <v>8069</v>
      </c>
      <c r="M1252" s="14" t="s">
        <v>8613</v>
      </c>
      <c r="N1252" s="14">
        <v>112.514</v>
      </c>
      <c r="O1252" s="14" t="s">
        <v>8614</v>
      </c>
      <c r="P1252" s="14" t="s">
        <v>8615</v>
      </c>
      <c r="Q1252" s="14" t="s">
        <v>263</v>
      </c>
      <c r="R1252" s="14" t="s">
        <v>8616</v>
      </c>
      <c r="S1252" s="14" t="s">
        <v>444</v>
      </c>
      <c r="T1252" s="14" t="s">
        <v>445</v>
      </c>
      <c r="U1252" s="14" t="s">
        <v>446</v>
      </c>
      <c r="V1252" s="48">
        <f>SUMIF(Data!$E:$E,$I1252,Data!$AI:$AI)</f>
        <v>0</v>
      </c>
    </row>
    <row r="1253" spans="1:22" x14ac:dyDescent="0.25">
      <c r="A1253" s="47" t="s">
        <v>8213</v>
      </c>
      <c r="B1253" s="47" t="s">
        <v>123</v>
      </c>
      <c r="C1253" s="47" t="s">
        <v>4978</v>
      </c>
      <c r="D1253" s="47">
        <v>0.58846165735995903</v>
      </c>
      <c r="E1253" s="48">
        <f>SUMIF(Data!$E:$E,$C1253,Data!$AI:$AI)</f>
        <v>0</v>
      </c>
      <c r="I1253" s="14" t="s">
        <v>8617</v>
      </c>
      <c r="J1253" s="14" t="s">
        <v>8618</v>
      </c>
      <c r="K1253" s="14" t="s">
        <v>140</v>
      </c>
      <c r="L1253" s="14" t="s">
        <v>8069</v>
      </c>
      <c r="M1253" s="14" t="s">
        <v>6397</v>
      </c>
      <c r="N1253" s="14">
        <v>129.494</v>
      </c>
      <c r="O1253" s="14" t="s">
        <v>8619</v>
      </c>
      <c r="P1253" s="14" t="s">
        <v>8620</v>
      </c>
      <c r="Q1253" s="14" t="s">
        <v>419</v>
      </c>
      <c r="R1253" s="14" t="s">
        <v>8621</v>
      </c>
      <c r="S1253" s="14" t="s">
        <v>1130</v>
      </c>
      <c r="T1253" s="14" t="s">
        <v>1131</v>
      </c>
      <c r="U1253" s="14" t="s">
        <v>528</v>
      </c>
      <c r="V1253" s="48">
        <f>SUMIF(Data!$E:$E,$I1253,Data!$AI:$AI)</f>
        <v>0</v>
      </c>
    </row>
    <row r="1254" spans="1:22" x14ac:dyDescent="0.25">
      <c r="A1254" s="47" t="s">
        <v>8213</v>
      </c>
      <c r="B1254" s="47" t="s">
        <v>123</v>
      </c>
      <c r="C1254" s="47" t="s">
        <v>5302</v>
      </c>
      <c r="D1254" s="47">
        <v>0.26993294681539798</v>
      </c>
      <c r="E1254" s="48">
        <f>SUMIF(Data!$E:$E,$C1254,Data!$AI:$AI)</f>
        <v>0</v>
      </c>
      <c r="I1254" s="14" t="s">
        <v>1305</v>
      </c>
      <c r="J1254" s="14" t="s">
        <v>8622</v>
      </c>
      <c r="K1254" s="14" t="s">
        <v>140</v>
      </c>
      <c r="L1254" s="14" t="s">
        <v>8069</v>
      </c>
      <c r="M1254" s="14" t="s">
        <v>8623</v>
      </c>
      <c r="N1254" s="14">
        <v>27.431999999999999</v>
      </c>
      <c r="O1254" s="14" t="s">
        <v>8624</v>
      </c>
      <c r="P1254" s="14" t="s">
        <v>8625</v>
      </c>
      <c r="Q1254" s="14" t="s">
        <v>146</v>
      </c>
      <c r="R1254" s="14" t="s">
        <v>8626</v>
      </c>
      <c r="S1254" s="14" t="s">
        <v>195</v>
      </c>
      <c r="T1254" s="14" t="s">
        <v>149</v>
      </c>
      <c r="U1254" s="14" t="s">
        <v>113</v>
      </c>
      <c r="V1254" s="48">
        <f>SUMIF(Data!$E:$E,$I1254,Data!$AI:$AI)</f>
        <v>0</v>
      </c>
    </row>
    <row r="1255" spans="1:22" x14ac:dyDescent="0.25">
      <c r="A1255" s="47" t="s">
        <v>8213</v>
      </c>
      <c r="B1255" s="47" t="s">
        <v>123</v>
      </c>
      <c r="C1255" s="47" t="s">
        <v>6850</v>
      </c>
      <c r="D1255" s="47">
        <v>0.37972430986085998</v>
      </c>
      <c r="E1255" s="48">
        <f>SUMIF(Data!$E:$E,$C1255,Data!$AI:$AI)</f>
        <v>0.7318861193221331</v>
      </c>
      <c r="I1255" s="14" t="s">
        <v>8627</v>
      </c>
      <c r="J1255" s="14" t="s">
        <v>8628</v>
      </c>
      <c r="K1255" s="14" t="s">
        <v>140</v>
      </c>
      <c r="L1255" s="14" t="s">
        <v>8069</v>
      </c>
      <c r="M1255" s="14" t="s">
        <v>8629</v>
      </c>
      <c r="N1255" s="14">
        <v>8</v>
      </c>
      <c r="O1255" s="14" t="s">
        <v>8630</v>
      </c>
      <c r="P1255" s="14" t="s">
        <v>8631</v>
      </c>
      <c r="Q1255" s="14" t="s">
        <v>211</v>
      </c>
      <c r="R1255" s="14" t="s">
        <v>8632</v>
      </c>
      <c r="S1255" s="14" t="s">
        <v>195</v>
      </c>
      <c r="T1255" s="14" t="s">
        <v>149</v>
      </c>
      <c r="U1255" s="14" t="s">
        <v>113</v>
      </c>
      <c r="V1255" s="48">
        <f>SUMIF(Data!$E:$E,$I1255,Data!$AI:$AI)</f>
        <v>0</v>
      </c>
    </row>
    <row r="1256" spans="1:22" x14ac:dyDescent="0.25">
      <c r="A1256" s="47" t="s">
        <v>8213</v>
      </c>
      <c r="B1256" s="47" t="s">
        <v>123</v>
      </c>
      <c r="C1256" s="47" t="s">
        <v>5309</v>
      </c>
      <c r="D1256" s="47">
        <v>0.16193532345182701</v>
      </c>
      <c r="E1256" s="48">
        <f>SUMIF(Data!$E:$E,$C1256,Data!$AI:$AI)</f>
        <v>0</v>
      </c>
      <c r="I1256" s="14">
        <v>4912</v>
      </c>
      <c r="J1256" s="14" t="s">
        <v>8633</v>
      </c>
      <c r="K1256" s="14" t="s">
        <v>140</v>
      </c>
      <c r="L1256" s="14" t="s">
        <v>8069</v>
      </c>
      <c r="M1256" s="14" t="s">
        <v>8634</v>
      </c>
      <c r="N1256" s="14">
        <v>160.30000000000001</v>
      </c>
      <c r="O1256" s="14" t="s">
        <v>8635</v>
      </c>
      <c r="P1256" s="14" t="s">
        <v>8636</v>
      </c>
      <c r="Q1256" s="14" t="s">
        <v>227</v>
      </c>
      <c r="R1256" s="14" t="s">
        <v>8637</v>
      </c>
      <c r="S1256" s="14" t="s">
        <v>444</v>
      </c>
      <c r="T1256" s="14" t="s">
        <v>445</v>
      </c>
      <c r="U1256" s="14" t="s">
        <v>446</v>
      </c>
      <c r="V1256" s="48">
        <f>SUMIF(Data!$E:$E,$I1256,Data!$AI:$AI)</f>
        <v>0</v>
      </c>
    </row>
    <row r="1257" spans="1:22" x14ac:dyDescent="0.25">
      <c r="A1257" s="47" t="s">
        <v>8213</v>
      </c>
      <c r="B1257" s="47" t="s">
        <v>123</v>
      </c>
      <c r="C1257" s="47" t="s">
        <v>5316</v>
      </c>
      <c r="D1257" s="47">
        <v>7.1448732439595999E-2</v>
      </c>
      <c r="E1257" s="48">
        <f>SUMIF(Data!$E:$E,$C1257,Data!$AI:$AI)</f>
        <v>0</v>
      </c>
      <c r="I1257" s="14" t="s">
        <v>8638</v>
      </c>
      <c r="J1257" s="14" t="s">
        <v>8639</v>
      </c>
      <c r="K1257" s="14" t="s">
        <v>140</v>
      </c>
      <c r="L1257" s="14" t="s">
        <v>8069</v>
      </c>
      <c r="M1257" s="14" t="s">
        <v>8640</v>
      </c>
      <c r="N1257" s="14" t="s">
        <v>8641</v>
      </c>
      <c r="O1257" s="14" t="s">
        <v>8642</v>
      </c>
      <c r="P1257" s="14" t="s">
        <v>8643</v>
      </c>
      <c r="Q1257" s="14" t="s">
        <v>809</v>
      </c>
      <c r="R1257" s="14" t="s">
        <v>8644</v>
      </c>
      <c r="S1257" s="14" t="s">
        <v>850</v>
      </c>
      <c r="T1257" s="14" t="s">
        <v>851</v>
      </c>
      <c r="U1257" s="14" t="s">
        <v>852</v>
      </c>
      <c r="V1257" s="48">
        <f>SUMIF(Data!$E:$E,$I1257,Data!$AI:$AI)</f>
        <v>0</v>
      </c>
    </row>
    <row r="1258" spans="1:22" x14ac:dyDescent="0.25">
      <c r="A1258" s="47" t="s">
        <v>8213</v>
      </c>
      <c r="B1258" s="47" t="s">
        <v>123</v>
      </c>
      <c r="C1258" s="47" t="s">
        <v>3174</v>
      </c>
      <c r="D1258" s="47">
        <v>0.19669113396517701</v>
      </c>
      <c r="E1258" s="48">
        <f>SUMIF(Data!$E:$E,$C1258,Data!$AI:$AI)</f>
        <v>0</v>
      </c>
      <c r="I1258" s="14" t="s">
        <v>8645</v>
      </c>
      <c r="J1258" s="14" t="s">
        <v>8646</v>
      </c>
      <c r="K1258" s="14" t="s">
        <v>140</v>
      </c>
      <c r="L1258" s="14" t="s">
        <v>8069</v>
      </c>
      <c r="M1258" s="14" t="s">
        <v>8647</v>
      </c>
      <c r="N1258" s="14">
        <v>75.528000000000006</v>
      </c>
      <c r="O1258" s="14" t="s">
        <v>8648</v>
      </c>
      <c r="P1258" s="14" t="s">
        <v>8649</v>
      </c>
      <c r="Q1258" s="14" t="s">
        <v>193</v>
      </c>
      <c r="R1258" s="14" t="s">
        <v>8650</v>
      </c>
      <c r="S1258" s="14" t="s">
        <v>195</v>
      </c>
      <c r="T1258" s="14" t="s">
        <v>149</v>
      </c>
      <c r="U1258" s="14" t="s">
        <v>113</v>
      </c>
      <c r="V1258" s="48">
        <f>SUMIF(Data!$E:$E,$I1258,Data!$AI:$AI)</f>
        <v>0</v>
      </c>
    </row>
    <row r="1259" spans="1:22" x14ac:dyDescent="0.25">
      <c r="A1259" s="47" t="s">
        <v>8213</v>
      </c>
      <c r="B1259" s="47" t="s">
        <v>123</v>
      </c>
      <c r="C1259" s="47" t="s">
        <v>4520</v>
      </c>
      <c r="D1259" s="47">
        <v>0.34859644366369502</v>
      </c>
      <c r="E1259" s="48">
        <f>SUMIF(Data!$E:$E,$C1259,Data!$AI:$AI)</f>
        <v>0</v>
      </c>
      <c r="I1259" s="14" t="s">
        <v>8651</v>
      </c>
      <c r="J1259" s="14" t="s">
        <v>8652</v>
      </c>
      <c r="K1259" s="14" t="s">
        <v>140</v>
      </c>
      <c r="L1259" s="14" t="s">
        <v>8069</v>
      </c>
      <c r="M1259" s="14" t="s">
        <v>8653</v>
      </c>
      <c r="N1259" s="14">
        <v>426.67099999999999</v>
      </c>
      <c r="O1259" s="14" t="s">
        <v>8654</v>
      </c>
      <c r="P1259" s="14" t="s">
        <v>8655</v>
      </c>
      <c r="Q1259" s="14" t="s">
        <v>193</v>
      </c>
      <c r="R1259" s="14" t="s">
        <v>8656</v>
      </c>
      <c r="S1259" s="14" t="s">
        <v>1167</v>
      </c>
      <c r="T1259" s="14" t="s">
        <v>1168</v>
      </c>
      <c r="U1259" s="14" t="s">
        <v>528</v>
      </c>
      <c r="V1259" s="48">
        <f>SUMIF(Data!$E:$E,$I1259,Data!$AI:$AI)</f>
        <v>0</v>
      </c>
    </row>
    <row r="1260" spans="1:22" x14ac:dyDescent="0.25">
      <c r="A1260" s="47" t="s">
        <v>8213</v>
      </c>
      <c r="B1260" s="47" t="s">
        <v>123</v>
      </c>
      <c r="C1260" s="47" t="s">
        <v>5335</v>
      </c>
      <c r="D1260" s="47">
        <v>0.46014454326611698</v>
      </c>
      <c r="E1260" s="48">
        <f>SUMIF(Data!$E:$E,$C1260,Data!$AI:$AI)</f>
        <v>0</v>
      </c>
      <c r="I1260" s="14" t="s">
        <v>8657</v>
      </c>
      <c r="J1260" s="14" t="s">
        <v>8658</v>
      </c>
      <c r="K1260" s="14" t="s">
        <v>140</v>
      </c>
      <c r="L1260" s="14" t="s">
        <v>8069</v>
      </c>
      <c r="M1260" s="14" t="s">
        <v>8659</v>
      </c>
      <c r="N1260" s="14">
        <v>671.06700000000001</v>
      </c>
      <c r="O1260" s="14" t="s">
        <v>8660</v>
      </c>
      <c r="P1260" s="14" t="s">
        <v>8661</v>
      </c>
      <c r="Q1260" s="14" t="s">
        <v>193</v>
      </c>
      <c r="R1260" s="14" t="s">
        <v>8662</v>
      </c>
      <c r="S1260" s="14" t="s">
        <v>5739</v>
      </c>
      <c r="T1260" s="14" t="s">
        <v>4834</v>
      </c>
      <c r="U1260" s="14" t="s">
        <v>5740</v>
      </c>
      <c r="V1260" s="48">
        <f>SUMIF(Data!$E:$E,$I1260,Data!$AI:$AI)</f>
        <v>0</v>
      </c>
    </row>
    <row r="1261" spans="1:22" x14ac:dyDescent="0.25">
      <c r="A1261" s="47" t="s">
        <v>8213</v>
      </c>
      <c r="B1261" s="47" t="s">
        <v>123</v>
      </c>
      <c r="C1261" s="47" t="s">
        <v>3581</v>
      </c>
      <c r="D1261" s="47">
        <v>5.6963304531776997E-2</v>
      </c>
      <c r="E1261" s="48">
        <f>SUMIF(Data!$E:$E,$C1261,Data!$AI:$AI)</f>
        <v>0</v>
      </c>
      <c r="I1261" s="14">
        <v>7261</v>
      </c>
      <c r="J1261" s="14" t="s">
        <v>8663</v>
      </c>
      <c r="K1261" s="14" t="s">
        <v>140</v>
      </c>
      <c r="L1261" s="14" t="s">
        <v>8069</v>
      </c>
      <c r="M1261" s="14" t="s">
        <v>8664</v>
      </c>
      <c r="N1261" s="14">
        <v>347.7</v>
      </c>
      <c r="O1261" s="14" t="s">
        <v>8665</v>
      </c>
      <c r="P1261" s="14" t="s">
        <v>8666</v>
      </c>
      <c r="Q1261" s="14" t="s">
        <v>165</v>
      </c>
      <c r="R1261" s="14" t="s">
        <v>8667</v>
      </c>
      <c r="S1261" s="14" t="s">
        <v>444</v>
      </c>
      <c r="T1261" s="14" t="s">
        <v>445</v>
      </c>
      <c r="U1261" s="14" t="s">
        <v>446</v>
      </c>
      <c r="V1261" s="48">
        <f>SUMIF(Data!$E:$E,$I1261,Data!$AI:$AI)</f>
        <v>0</v>
      </c>
    </row>
    <row r="1262" spans="1:22" x14ac:dyDescent="0.25">
      <c r="A1262" s="47" t="s">
        <v>8213</v>
      </c>
      <c r="B1262" s="47" t="s">
        <v>123</v>
      </c>
      <c r="C1262" s="47" t="s">
        <v>5348</v>
      </c>
      <c r="D1262" s="47">
        <v>0.16261200441333401</v>
      </c>
      <c r="E1262" s="48">
        <f>SUMIF(Data!$E:$E,$C1262,Data!$AI:$AI)</f>
        <v>0</v>
      </c>
      <c r="I1262" s="14" t="s">
        <v>8668</v>
      </c>
      <c r="J1262" s="14" t="s">
        <v>8669</v>
      </c>
      <c r="K1262" s="14" t="s">
        <v>140</v>
      </c>
      <c r="L1262" s="14" t="s">
        <v>8069</v>
      </c>
      <c r="M1262" s="14" t="s">
        <v>8670</v>
      </c>
      <c r="N1262" s="14">
        <v>535.75099999999998</v>
      </c>
      <c r="O1262" s="14" t="s">
        <v>8671</v>
      </c>
      <c r="P1262" s="14" t="s">
        <v>8672</v>
      </c>
      <c r="Q1262" s="14" t="s">
        <v>809</v>
      </c>
      <c r="R1262" s="14" t="s">
        <v>8673</v>
      </c>
      <c r="S1262" s="14" t="s">
        <v>2368</v>
      </c>
      <c r="T1262" s="14" t="s">
        <v>553</v>
      </c>
      <c r="U1262" s="14" t="s">
        <v>113</v>
      </c>
      <c r="V1262" s="48">
        <f>SUMIF(Data!$E:$E,$I1262,Data!$AI:$AI)</f>
        <v>0</v>
      </c>
    </row>
    <row r="1263" spans="1:22" x14ac:dyDescent="0.25">
      <c r="A1263" s="47" t="s">
        <v>8213</v>
      </c>
      <c r="B1263" s="47" t="s">
        <v>123</v>
      </c>
      <c r="C1263" s="47" t="s">
        <v>5354</v>
      </c>
      <c r="D1263" s="47">
        <v>8.7416028350549999E-2</v>
      </c>
      <c r="E1263" s="48">
        <f>SUMIF(Data!$E:$E,$C1263,Data!$AI:$AI)</f>
        <v>0</v>
      </c>
      <c r="I1263" s="14" t="s">
        <v>8674</v>
      </c>
      <c r="J1263" s="14" t="s">
        <v>8675</v>
      </c>
      <c r="K1263" s="14" t="s">
        <v>140</v>
      </c>
      <c r="L1263" s="14" t="s">
        <v>8069</v>
      </c>
      <c r="M1263" s="14" t="s">
        <v>8676</v>
      </c>
      <c r="N1263" s="14">
        <v>820.05700000000002</v>
      </c>
      <c r="O1263" s="14" t="s">
        <v>8677</v>
      </c>
      <c r="P1263" s="14" t="s">
        <v>8678</v>
      </c>
      <c r="Q1263" s="14" t="s">
        <v>737</v>
      </c>
      <c r="R1263" s="14" t="s">
        <v>8679</v>
      </c>
      <c r="S1263" s="14" t="s">
        <v>3714</v>
      </c>
      <c r="T1263" s="14" t="s">
        <v>3715</v>
      </c>
      <c r="U1263" s="14" t="s">
        <v>3716</v>
      </c>
      <c r="V1263" s="48">
        <f>SUMIF(Data!$E:$E,$I1263,Data!$AI:$AI)</f>
        <v>0</v>
      </c>
    </row>
    <row r="1264" spans="1:22" x14ac:dyDescent="0.25">
      <c r="A1264" s="47" t="s">
        <v>8213</v>
      </c>
      <c r="B1264" s="47" t="s">
        <v>123</v>
      </c>
      <c r="C1264" s="47" t="s">
        <v>4605</v>
      </c>
      <c r="D1264" s="47">
        <v>0.42801992535792699</v>
      </c>
      <c r="E1264" s="48">
        <f>SUMIF(Data!$E:$E,$C1264,Data!$AI:$AI)</f>
        <v>0</v>
      </c>
      <c r="I1264" s="14">
        <v>7951</v>
      </c>
      <c r="J1264" s="14" t="s">
        <v>8680</v>
      </c>
      <c r="K1264" s="14" t="s">
        <v>140</v>
      </c>
      <c r="L1264" s="14" t="s">
        <v>8069</v>
      </c>
      <c r="M1264" s="14" t="s">
        <v>8681</v>
      </c>
      <c r="N1264" s="14">
        <v>52.8</v>
      </c>
      <c r="O1264" s="14" t="s">
        <v>8682</v>
      </c>
      <c r="P1264" s="14" t="s">
        <v>8683</v>
      </c>
      <c r="Q1264" s="14" t="s">
        <v>165</v>
      </c>
      <c r="R1264" s="14" t="s">
        <v>8684</v>
      </c>
      <c r="S1264" s="14" t="s">
        <v>444</v>
      </c>
      <c r="T1264" s="14" t="s">
        <v>445</v>
      </c>
      <c r="U1264" s="14" t="s">
        <v>446</v>
      </c>
      <c r="V1264" s="48">
        <f>SUMIF(Data!$E:$E,$I1264,Data!$AI:$AI)</f>
        <v>0</v>
      </c>
    </row>
    <row r="1265" spans="1:22" x14ac:dyDescent="0.25">
      <c r="A1265" s="47" t="s">
        <v>8213</v>
      </c>
      <c r="B1265" s="47" t="s">
        <v>123</v>
      </c>
      <c r="C1265" s="47" t="s">
        <v>5361</v>
      </c>
      <c r="D1265" s="47">
        <v>5.8734708517543997E-2</v>
      </c>
      <c r="E1265" s="48">
        <f>SUMIF(Data!$E:$E,$C1265,Data!$AI:$AI)</f>
        <v>0</v>
      </c>
      <c r="I1265" s="14">
        <v>522</v>
      </c>
      <c r="J1265" s="14" t="s">
        <v>8685</v>
      </c>
      <c r="K1265" s="14" t="s">
        <v>140</v>
      </c>
      <c r="L1265" s="14" t="s">
        <v>8069</v>
      </c>
      <c r="M1265" s="14" t="s">
        <v>8686</v>
      </c>
      <c r="N1265" s="14">
        <v>201.6</v>
      </c>
      <c r="O1265" s="14" t="s">
        <v>8687</v>
      </c>
      <c r="P1265" s="14" t="s">
        <v>8688</v>
      </c>
      <c r="Q1265" s="14" t="s">
        <v>146</v>
      </c>
      <c r="R1265" s="14" t="s">
        <v>8689</v>
      </c>
      <c r="S1265" s="14" t="s">
        <v>552</v>
      </c>
      <c r="T1265" s="14" t="s">
        <v>553</v>
      </c>
      <c r="U1265" s="14" t="s">
        <v>554</v>
      </c>
      <c r="V1265" s="48">
        <f>SUMIF(Data!$E:$E,$I1265,Data!$AI:$AI)</f>
        <v>0</v>
      </c>
    </row>
    <row r="1266" spans="1:22" x14ac:dyDescent="0.25">
      <c r="A1266" s="47" t="s">
        <v>8213</v>
      </c>
      <c r="B1266" s="47" t="s">
        <v>123</v>
      </c>
      <c r="C1266" s="47" t="s">
        <v>4613</v>
      </c>
      <c r="D1266" s="47">
        <v>0.15912213656628499</v>
      </c>
      <c r="E1266" s="48">
        <f>SUMIF(Data!$E:$E,$C1266,Data!$AI:$AI)</f>
        <v>0</v>
      </c>
      <c r="I1266" s="14">
        <v>12</v>
      </c>
      <c r="J1266" s="14" t="s">
        <v>8690</v>
      </c>
      <c r="K1266" s="14" t="s">
        <v>140</v>
      </c>
      <c r="L1266" s="14" t="s">
        <v>8069</v>
      </c>
      <c r="M1266" s="14" t="s">
        <v>8691</v>
      </c>
      <c r="N1266" s="14">
        <v>609.83000000000004</v>
      </c>
      <c r="O1266" s="14" t="s">
        <v>8692</v>
      </c>
      <c r="P1266" s="14" t="s">
        <v>8693</v>
      </c>
      <c r="Q1266" s="14" t="s">
        <v>809</v>
      </c>
      <c r="R1266" s="14" t="s">
        <v>8694</v>
      </c>
      <c r="S1266" s="14" t="s">
        <v>552</v>
      </c>
      <c r="T1266" s="14" t="s">
        <v>553</v>
      </c>
      <c r="U1266" s="14" t="s">
        <v>554</v>
      </c>
      <c r="V1266" s="48">
        <f>SUMIF(Data!$E:$E,$I1266,Data!$AI:$AI)</f>
        <v>0</v>
      </c>
    </row>
    <row r="1267" spans="1:22" x14ac:dyDescent="0.25">
      <c r="A1267" s="47" t="s">
        <v>8213</v>
      </c>
      <c r="B1267" s="47" t="s">
        <v>123</v>
      </c>
      <c r="C1267" s="47" t="s">
        <v>4984</v>
      </c>
      <c r="D1267" s="47">
        <v>0.88348099774767397</v>
      </c>
      <c r="E1267" s="48">
        <f>SUMIF(Data!$E:$E,$C1267,Data!$AI:$AI)</f>
        <v>0</v>
      </c>
      <c r="I1267" s="14">
        <v>2587</v>
      </c>
      <c r="J1267" s="14" t="s">
        <v>8695</v>
      </c>
      <c r="K1267" s="14" t="s">
        <v>140</v>
      </c>
      <c r="L1267" s="14" t="s">
        <v>8069</v>
      </c>
      <c r="M1267" s="14" t="s">
        <v>8696</v>
      </c>
      <c r="N1267" s="14">
        <v>71.900000000000006</v>
      </c>
      <c r="O1267" s="14" t="s">
        <v>8697</v>
      </c>
      <c r="P1267" s="14" t="s">
        <v>8698</v>
      </c>
      <c r="Q1267" s="14" t="s">
        <v>227</v>
      </c>
      <c r="R1267" s="14" t="s">
        <v>8699</v>
      </c>
      <c r="S1267" s="14" t="s">
        <v>444</v>
      </c>
      <c r="T1267" s="14" t="s">
        <v>445</v>
      </c>
      <c r="U1267" s="14" t="s">
        <v>446</v>
      </c>
      <c r="V1267" s="48">
        <f>SUMIF(Data!$E:$E,$I1267,Data!$AI:$AI)</f>
        <v>0</v>
      </c>
    </row>
    <row r="1268" spans="1:22" x14ac:dyDescent="0.25">
      <c r="A1268" s="47" t="s">
        <v>8213</v>
      </c>
      <c r="B1268" s="47" t="s">
        <v>123</v>
      </c>
      <c r="C1268" s="47" t="s">
        <v>5368</v>
      </c>
      <c r="D1268" s="47">
        <v>7.3907469840515994E-2</v>
      </c>
      <c r="E1268" s="48">
        <f>SUMIF(Data!$E:$E,$C1268,Data!$AI:$AI)</f>
        <v>0</v>
      </c>
      <c r="I1268" s="14" t="s">
        <v>7454</v>
      </c>
      <c r="J1268" s="14" t="s">
        <v>8700</v>
      </c>
      <c r="K1268" s="14" t="s">
        <v>140</v>
      </c>
      <c r="L1268" s="14" t="s">
        <v>8069</v>
      </c>
      <c r="M1268" s="14" t="s">
        <v>8701</v>
      </c>
      <c r="N1268" s="14">
        <v>27.34</v>
      </c>
      <c r="O1268" s="14" t="s">
        <v>8702</v>
      </c>
      <c r="P1268" s="14" t="s">
        <v>8703</v>
      </c>
      <c r="Q1268" s="14" t="s">
        <v>146</v>
      </c>
      <c r="R1268" s="14" t="s">
        <v>8704</v>
      </c>
      <c r="S1268" s="14" t="s">
        <v>563</v>
      </c>
      <c r="T1268" s="14" t="s">
        <v>564</v>
      </c>
      <c r="U1268" s="14" t="s">
        <v>528</v>
      </c>
      <c r="V1268" s="48">
        <f>SUMIF(Data!$E:$E,$I1268,Data!$AI:$AI)</f>
        <v>0</v>
      </c>
    </row>
    <row r="1269" spans="1:22" x14ac:dyDescent="0.25">
      <c r="A1269" s="47" t="s">
        <v>8213</v>
      </c>
      <c r="B1269" s="47" t="s">
        <v>123</v>
      </c>
      <c r="C1269" s="47" t="s">
        <v>4991</v>
      </c>
      <c r="D1269" s="47">
        <v>0.50597807365281799</v>
      </c>
      <c r="E1269" s="48">
        <f>SUMIF(Data!$E:$E,$C1269,Data!$AI:$AI)</f>
        <v>0.38077996000694508</v>
      </c>
      <c r="I1269" s="14" t="s">
        <v>8705</v>
      </c>
      <c r="J1269" s="14" t="s">
        <v>8706</v>
      </c>
      <c r="K1269" s="14" t="s">
        <v>140</v>
      </c>
      <c r="L1269" s="14" t="s">
        <v>8069</v>
      </c>
      <c r="M1269" s="14" t="s">
        <v>8707</v>
      </c>
      <c r="N1269" s="14">
        <v>57.838000000000001</v>
      </c>
      <c r="O1269" s="14" t="s">
        <v>8708</v>
      </c>
      <c r="P1269" s="14" t="s">
        <v>8709</v>
      </c>
      <c r="Q1269" s="14" t="s">
        <v>165</v>
      </c>
      <c r="R1269" s="14" t="s">
        <v>8710</v>
      </c>
      <c r="S1269" s="14" t="s">
        <v>771</v>
      </c>
      <c r="T1269" s="14" t="s">
        <v>772</v>
      </c>
      <c r="U1269" s="14" t="s">
        <v>773</v>
      </c>
      <c r="V1269" s="48">
        <f>SUMIF(Data!$E:$E,$I1269,Data!$AI:$AI)</f>
        <v>0</v>
      </c>
    </row>
    <row r="1270" spans="1:22" x14ac:dyDescent="0.25">
      <c r="A1270" s="47" t="s">
        <v>8213</v>
      </c>
      <c r="B1270" s="47" t="s">
        <v>123</v>
      </c>
      <c r="C1270" s="47" t="s">
        <v>4998</v>
      </c>
      <c r="D1270" s="47">
        <v>1.38841571122881</v>
      </c>
      <c r="E1270" s="48">
        <f>SUMIF(Data!$E:$E,$C1270,Data!$AI:$AI)</f>
        <v>0</v>
      </c>
      <c r="I1270" s="14" t="s">
        <v>8711</v>
      </c>
      <c r="J1270" s="14" t="s">
        <v>8712</v>
      </c>
      <c r="K1270" s="14" t="s">
        <v>140</v>
      </c>
      <c r="L1270" s="14" t="s">
        <v>8069</v>
      </c>
      <c r="M1270" s="14" t="s">
        <v>8713</v>
      </c>
      <c r="N1270" s="14">
        <v>70.031999999999996</v>
      </c>
      <c r="O1270" s="14" t="s">
        <v>8714</v>
      </c>
      <c r="P1270" s="14" t="s">
        <v>8715</v>
      </c>
      <c r="Q1270" s="14" t="s">
        <v>809</v>
      </c>
      <c r="R1270" s="14" t="s">
        <v>8716</v>
      </c>
      <c r="S1270" s="14" t="s">
        <v>195</v>
      </c>
      <c r="T1270" s="14" t="s">
        <v>149</v>
      </c>
      <c r="U1270" s="14" t="s">
        <v>113</v>
      </c>
      <c r="V1270" s="48">
        <f>SUMIF(Data!$E:$E,$I1270,Data!$AI:$AI)</f>
        <v>0</v>
      </c>
    </row>
    <row r="1271" spans="1:22" x14ac:dyDescent="0.25">
      <c r="A1271" s="47" t="s">
        <v>8213</v>
      </c>
      <c r="B1271" s="47" t="s">
        <v>123</v>
      </c>
      <c r="C1271" s="47" t="s">
        <v>5375</v>
      </c>
      <c r="D1271" s="47">
        <v>0.106198898455904</v>
      </c>
      <c r="E1271" s="48">
        <f>SUMIF(Data!$E:$E,$C1271,Data!$AI:$AI)</f>
        <v>0</v>
      </c>
      <c r="I1271" s="14" t="s">
        <v>8717</v>
      </c>
      <c r="J1271" s="14" t="s">
        <v>8718</v>
      </c>
      <c r="K1271" s="14" t="s">
        <v>140</v>
      </c>
      <c r="L1271" s="14" t="s">
        <v>8069</v>
      </c>
      <c r="M1271" s="14" t="s">
        <v>8719</v>
      </c>
      <c r="N1271" s="14">
        <v>34.938000000000002</v>
      </c>
      <c r="O1271" s="14" t="s">
        <v>8720</v>
      </c>
      <c r="P1271" s="14" t="s">
        <v>8721</v>
      </c>
      <c r="Q1271" s="14" t="s">
        <v>146</v>
      </c>
      <c r="R1271" s="14" t="s">
        <v>8722</v>
      </c>
      <c r="S1271" s="14" t="s">
        <v>195</v>
      </c>
      <c r="T1271" s="14" t="s">
        <v>149</v>
      </c>
      <c r="U1271" s="14" t="s">
        <v>113</v>
      </c>
      <c r="V1271" s="48">
        <f>SUMIF(Data!$E:$E,$I1271,Data!$AI:$AI)</f>
        <v>0</v>
      </c>
    </row>
    <row r="1272" spans="1:22" x14ac:dyDescent="0.25">
      <c r="A1272" s="47" t="s">
        <v>8213</v>
      </c>
      <c r="B1272" s="47" t="s">
        <v>123</v>
      </c>
      <c r="C1272" s="47" t="s">
        <v>6338</v>
      </c>
      <c r="D1272" s="47">
        <v>0.152839647602562</v>
      </c>
      <c r="E1272" s="48">
        <f>SUMIF(Data!$E:$E,$C1272,Data!$AI:$AI)</f>
        <v>0</v>
      </c>
      <c r="I1272" s="14" t="s">
        <v>8723</v>
      </c>
      <c r="J1272" s="14" t="s">
        <v>8724</v>
      </c>
      <c r="K1272" s="14" t="s">
        <v>140</v>
      </c>
      <c r="L1272" s="14" t="s">
        <v>8069</v>
      </c>
      <c r="M1272" s="14" t="s">
        <v>8725</v>
      </c>
      <c r="N1272" s="14">
        <v>29.954999999999998</v>
      </c>
      <c r="O1272" s="14" t="s">
        <v>8726</v>
      </c>
      <c r="P1272" s="14" t="s">
        <v>8727</v>
      </c>
      <c r="Q1272" s="14" t="s">
        <v>419</v>
      </c>
      <c r="R1272" s="14" t="s">
        <v>8728</v>
      </c>
      <c r="S1272" s="14" t="s">
        <v>195</v>
      </c>
      <c r="T1272" s="14" t="s">
        <v>149</v>
      </c>
      <c r="U1272" s="14" t="s">
        <v>113</v>
      </c>
      <c r="V1272" s="48">
        <f>SUMIF(Data!$E:$E,$I1272,Data!$AI:$AI)</f>
        <v>0</v>
      </c>
    </row>
    <row r="1273" spans="1:22" x14ac:dyDescent="0.25">
      <c r="A1273" s="47" t="s">
        <v>8213</v>
      </c>
      <c r="B1273" s="47" t="s">
        <v>123</v>
      </c>
      <c r="C1273" s="47" t="s">
        <v>5382</v>
      </c>
      <c r="D1273" s="47">
        <v>0.10185863529451999</v>
      </c>
      <c r="E1273" s="48">
        <f>SUMIF(Data!$E:$E,$C1273,Data!$AI:$AI)</f>
        <v>0</v>
      </c>
      <c r="I1273" s="14">
        <v>7912</v>
      </c>
      <c r="J1273" s="14" t="s">
        <v>8729</v>
      </c>
      <c r="K1273" s="14" t="s">
        <v>140</v>
      </c>
      <c r="L1273" s="14" t="s">
        <v>8069</v>
      </c>
      <c r="M1273" s="14" t="s">
        <v>8613</v>
      </c>
      <c r="N1273" s="14">
        <v>106.443</v>
      </c>
      <c r="O1273" s="14" t="s">
        <v>8730</v>
      </c>
      <c r="P1273" s="14" t="s">
        <v>8731</v>
      </c>
      <c r="Q1273" s="14" t="s">
        <v>419</v>
      </c>
      <c r="R1273" s="14" t="s">
        <v>8732</v>
      </c>
      <c r="S1273" s="14" t="s">
        <v>444</v>
      </c>
      <c r="T1273" s="14" t="s">
        <v>445</v>
      </c>
      <c r="U1273" s="14" t="s">
        <v>446</v>
      </c>
      <c r="V1273" s="48">
        <f>SUMIF(Data!$E:$E,$I1273,Data!$AI:$AI)</f>
        <v>0</v>
      </c>
    </row>
    <row r="1274" spans="1:22" x14ac:dyDescent="0.25">
      <c r="A1274" s="47" t="s">
        <v>8213</v>
      </c>
      <c r="B1274" s="47" t="s">
        <v>123</v>
      </c>
      <c r="C1274" s="47" t="s">
        <v>5389</v>
      </c>
      <c r="D1274" s="47">
        <v>0.17572868504635</v>
      </c>
      <c r="E1274" s="48">
        <f>SUMIF(Data!$E:$E,$C1274,Data!$AI:$AI)</f>
        <v>0.2843976266541573</v>
      </c>
      <c r="I1274" s="14" t="s">
        <v>8733</v>
      </c>
      <c r="J1274" s="14" t="s">
        <v>8734</v>
      </c>
      <c r="K1274" s="14" t="s">
        <v>140</v>
      </c>
      <c r="L1274" s="14" t="s">
        <v>8069</v>
      </c>
      <c r="M1274" s="14" t="s">
        <v>8735</v>
      </c>
      <c r="N1274" s="14">
        <v>31.988</v>
      </c>
      <c r="O1274" s="14" t="s">
        <v>8736</v>
      </c>
      <c r="P1274" s="14" t="s">
        <v>8737</v>
      </c>
      <c r="Q1274" s="14" t="s">
        <v>227</v>
      </c>
      <c r="R1274" s="14" t="s">
        <v>8738</v>
      </c>
      <c r="S1274" s="14" t="s">
        <v>195</v>
      </c>
      <c r="T1274" s="14" t="s">
        <v>149</v>
      </c>
      <c r="U1274" s="14" t="s">
        <v>113</v>
      </c>
      <c r="V1274" s="48">
        <f>SUMIF(Data!$E:$E,$I1274,Data!$AI:$AI)</f>
        <v>0</v>
      </c>
    </row>
    <row r="1275" spans="1:22" x14ac:dyDescent="0.25">
      <c r="A1275" s="47" t="s">
        <v>8213</v>
      </c>
      <c r="B1275" s="47" t="s">
        <v>123</v>
      </c>
      <c r="C1275" s="47" t="s">
        <v>5005</v>
      </c>
      <c r="D1275" s="47">
        <v>0.65651305427392104</v>
      </c>
      <c r="E1275" s="48">
        <f>SUMIF(Data!$E:$E,$C1275,Data!$AI:$AI)</f>
        <v>0</v>
      </c>
      <c r="I1275" s="14">
        <v>2897</v>
      </c>
      <c r="J1275" s="14" t="s">
        <v>8739</v>
      </c>
      <c r="K1275" s="14" t="s">
        <v>140</v>
      </c>
      <c r="L1275" s="14" t="s">
        <v>8069</v>
      </c>
      <c r="M1275" s="14" t="s">
        <v>8740</v>
      </c>
      <c r="N1275" s="14">
        <v>39.5</v>
      </c>
      <c r="O1275" s="14" t="s">
        <v>8741</v>
      </c>
      <c r="P1275" s="14" t="s">
        <v>8742</v>
      </c>
      <c r="Q1275" s="14" t="s">
        <v>227</v>
      </c>
      <c r="R1275" s="14" t="s">
        <v>8743</v>
      </c>
      <c r="S1275" s="14" t="s">
        <v>444</v>
      </c>
      <c r="T1275" s="14" t="s">
        <v>445</v>
      </c>
      <c r="U1275" s="14" t="s">
        <v>446</v>
      </c>
      <c r="V1275" s="48">
        <f>SUMIF(Data!$E:$E,$I1275,Data!$AI:$AI)</f>
        <v>0</v>
      </c>
    </row>
    <row r="1276" spans="1:22" x14ac:dyDescent="0.25">
      <c r="A1276" s="47" t="s">
        <v>8213</v>
      </c>
      <c r="B1276" s="47" t="s">
        <v>123</v>
      </c>
      <c r="C1276" s="47" t="s">
        <v>5012</v>
      </c>
      <c r="D1276" s="47">
        <v>0.52878822934745895</v>
      </c>
      <c r="E1276" s="48">
        <f>SUMIF(Data!$E:$E,$C1276,Data!$AI:$AI)</f>
        <v>0.77934157011859584</v>
      </c>
      <c r="I1276" s="14">
        <v>3391</v>
      </c>
      <c r="J1276" s="14" t="s">
        <v>8744</v>
      </c>
      <c r="K1276" s="14" t="s">
        <v>140</v>
      </c>
      <c r="L1276" s="14" t="s">
        <v>8069</v>
      </c>
      <c r="M1276" s="14" t="s">
        <v>8745</v>
      </c>
      <c r="N1276" s="14">
        <v>23</v>
      </c>
      <c r="O1276" s="14" t="s">
        <v>8746</v>
      </c>
      <c r="P1276" s="14" t="s">
        <v>8747</v>
      </c>
      <c r="Q1276" s="14" t="s">
        <v>227</v>
      </c>
      <c r="R1276" s="14" t="s">
        <v>8748</v>
      </c>
      <c r="S1276" s="14" t="s">
        <v>444</v>
      </c>
      <c r="T1276" s="14" t="s">
        <v>445</v>
      </c>
      <c r="U1276" s="14" t="s">
        <v>446</v>
      </c>
      <c r="V1276" s="48">
        <f>SUMIF(Data!$E:$E,$I1276,Data!$AI:$AI)</f>
        <v>0</v>
      </c>
    </row>
    <row r="1277" spans="1:22" x14ac:dyDescent="0.25">
      <c r="A1277" s="47" t="s">
        <v>8213</v>
      </c>
      <c r="B1277" s="47" t="s">
        <v>123</v>
      </c>
      <c r="C1277" s="47" t="s">
        <v>5396</v>
      </c>
      <c r="D1277" s="47">
        <v>1.2118395766439E-2</v>
      </c>
      <c r="E1277" s="48">
        <f>SUMIF(Data!$E:$E,$C1277,Data!$AI:$AI)</f>
        <v>0</v>
      </c>
      <c r="I1277" s="14" t="s">
        <v>8749</v>
      </c>
      <c r="J1277" s="14" t="s">
        <v>8750</v>
      </c>
      <c r="K1277" s="14" t="s">
        <v>140</v>
      </c>
      <c r="L1277" s="14" t="s">
        <v>8069</v>
      </c>
      <c r="M1277" s="14" t="s">
        <v>8751</v>
      </c>
      <c r="N1277" s="14" t="s">
        <v>8752</v>
      </c>
      <c r="O1277" s="14" t="s">
        <v>8753</v>
      </c>
      <c r="P1277" s="14" t="s">
        <v>8754</v>
      </c>
      <c r="Q1277" s="14" t="s">
        <v>165</v>
      </c>
      <c r="R1277" s="14" t="s">
        <v>8755</v>
      </c>
      <c r="S1277" s="14" t="s">
        <v>479</v>
      </c>
      <c r="T1277" s="14" t="s">
        <v>480</v>
      </c>
      <c r="U1277" s="14" t="s">
        <v>481</v>
      </c>
      <c r="V1277" s="48">
        <f>SUMIF(Data!$E:$E,$I1277,Data!$AI:$AI)</f>
        <v>0</v>
      </c>
    </row>
    <row r="1278" spans="1:22" x14ac:dyDescent="0.25">
      <c r="A1278" s="47" t="s">
        <v>8213</v>
      </c>
      <c r="B1278" s="47" t="s">
        <v>123</v>
      </c>
      <c r="C1278" s="47" t="s">
        <v>5402</v>
      </c>
      <c r="D1278" s="47">
        <v>0.12712977189167199</v>
      </c>
      <c r="E1278" s="48">
        <f>SUMIF(Data!$E:$E,$C1278,Data!$AI:$AI)</f>
        <v>0.2044484818987839</v>
      </c>
      <c r="I1278" s="14" t="s">
        <v>8756</v>
      </c>
      <c r="J1278" s="14" t="s">
        <v>8757</v>
      </c>
      <c r="K1278" s="14" t="s">
        <v>140</v>
      </c>
      <c r="L1278" s="14" t="s">
        <v>8069</v>
      </c>
      <c r="M1278" s="14" t="s">
        <v>8758</v>
      </c>
      <c r="N1278" s="14">
        <v>15.436999999999999</v>
      </c>
      <c r="O1278" s="14" t="s">
        <v>8759</v>
      </c>
      <c r="P1278" s="14" t="s">
        <v>8760</v>
      </c>
      <c r="Q1278" s="14" t="s">
        <v>193</v>
      </c>
      <c r="R1278" s="14" t="s">
        <v>8761</v>
      </c>
      <c r="S1278" s="14" t="s">
        <v>195</v>
      </c>
      <c r="T1278" s="14" t="s">
        <v>149</v>
      </c>
      <c r="U1278" s="14" t="s">
        <v>113</v>
      </c>
      <c r="V1278" s="48">
        <f>SUMIF(Data!$E:$E,$I1278,Data!$AI:$AI)</f>
        <v>0</v>
      </c>
    </row>
    <row r="1279" spans="1:22" x14ac:dyDescent="0.25">
      <c r="A1279" s="47" t="s">
        <v>8213</v>
      </c>
      <c r="B1279" s="47" t="s">
        <v>123</v>
      </c>
      <c r="C1279" s="47" t="s">
        <v>5019</v>
      </c>
      <c r="D1279" s="47">
        <v>1.6662070901060999</v>
      </c>
      <c r="E1279" s="48">
        <f>SUMIF(Data!$E:$E,$C1279,Data!$AI:$AI)</f>
        <v>0</v>
      </c>
      <c r="I1279" s="14" t="s">
        <v>790</v>
      </c>
      <c r="J1279" s="14" t="s">
        <v>8762</v>
      </c>
      <c r="K1279" s="14" t="s">
        <v>140</v>
      </c>
      <c r="L1279" s="14" t="s">
        <v>8069</v>
      </c>
      <c r="M1279" s="14" t="s">
        <v>8763</v>
      </c>
      <c r="N1279" s="14">
        <v>36.718000000000004</v>
      </c>
      <c r="O1279" s="14" t="s">
        <v>8764</v>
      </c>
      <c r="P1279" s="14" t="s">
        <v>8765</v>
      </c>
      <c r="Q1279" s="14" t="s">
        <v>165</v>
      </c>
      <c r="R1279" s="14" t="s">
        <v>8766</v>
      </c>
      <c r="S1279" s="14" t="s">
        <v>195</v>
      </c>
      <c r="T1279" s="14" t="s">
        <v>149</v>
      </c>
      <c r="U1279" s="14" t="s">
        <v>113</v>
      </c>
      <c r="V1279" s="48">
        <f>SUMIF(Data!$E:$E,$I1279,Data!$AI:$AI)</f>
        <v>0</v>
      </c>
    </row>
    <row r="1280" spans="1:22" x14ac:dyDescent="0.25">
      <c r="A1280" s="47" t="s">
        <v>8213</v>
      </c>
      <c r="B1280" s="47" t="s">
        <v>123</v>
      </c>
      <c r="C1280" s="47" t="s">
        <v>5409</v>
      </c>
      <c r="D1280" s="47">
        <v>0.40623171230958099</v>
      </c>
      <c r="E1280" s="48">
        <f>SUMIF(Data!$E:$E,$C1280,Data!$AI:$AI)</f>
        <v>0.58444404567070329</v>
      </c>
      <c r="I1280" s="14" t="s">
        <v>8767</v>
      </c>
      <c r="J1280" s="14" t="s">
        <v>8768</v>
      </c>
      <c r="K1280" s="14" t="s">
        <v>140</v>
      </c>
      <c r="L1280" s="14" t="s">
        <v>8069</v>
      </c>
      <c r="M1280" s="14" t="s">
        <v>8769</v>
      </c>
      <c r="N1280" s="14">
        <v>349.82400000000001</v>
      </c>
      <c r="O1280" s="14" t="s">
        <v>8770</v>
      </c>
      <c r="P1280" s="14" t="s">
        <v>8771</v>
      </c>
      <c r="Q1280" s="14" t="s">
        <v>165</v>
      </c>
      <c r="R1280" s="14" t="s">
        <v>8772</v>
      </c>
      <c r="S1280" s="14" t="s">
        <v>2931</v>
      </c>
      <c r="T1280" s="14" t="s">
        <v>2932</v>
      </c>
      <c r="U1280" s="14" t="s">
        <v>2933</v>
      </c>
      <c r="V1280" s="48">
        <f>SUMIF(Data!$E:$E,$I1280,Data!$AI:$AI)</f>
        <v>0</v>
      </c>
    </row>
    <row r="1281" spans="1:22" x14ac:dyDescent="0.25">
      <c r="A1281" s="47" t="s">
        <v>8213</v>
      </c>
      <c r="B1281" s="47" t="s">
        <v>123</v>
      </c>
      <c r="C1281" s="47" t="s">
        <v>5026</v>
      </c>
      <c r="D1281" s="47">
        <v>1.59241526986788</v>
      </c>
      <c r="E1281" s="48">
        <f>SUMIF(Data!$E:$E,$C1281,Data!$AI:$AI)</f>
        <v>0</v>
      </c>
      <c r="I1281" s="14">
        <v>20</v>
      </c>
      <c r="J1281" s="14" t="s">
        <v>8773</v>
      </c>
      <c r="K1281" s="14" t="s">
        <v>140</v>
      </c>
      <c r="L1281" s="14" t="s">
        <v>8069</v>
      </c>
      <c r="M1281" s="14" t="s">
        <v>8774</v>
      </c>
      <c r="N1281" s="14">
        <v>419.428</v>
      </c>
      <c r="O1281" s="14" t="s">
        <v>8775</v>
      </c>
      <c r="P1281" s="14" t="s">
        <v>8776</v>
      </c>
      <c r="Q1281" s="14" t="s">
        <v>809</v>
      </c>
      <c r="R1281" s="14" t="s">
        <v>8777</v>
      </c>
      <c r="S1281" s="14" t="s">
        <v>552</v>
      </c>
      <c r="T1281" s="14" t="s">
        <v>553</v>
      </c>
      <c r="U1281" s="14" t="s">
        <v>554</v>
      </c>
      <c r="V1281" s="48">
        <f>SUMIF(Data!$E:$E,$I1281,Data!$AI:$AI)</f>
        <v>0</v>
      </c>
    </row>
    <row r="1282" spans="1:22" x14ac:dyDescent="0.25">
      <c r="A1282" s="47" t="s">
        <v>8213</v>
      </c>
      <c r="B1282" s="47" t="s">
        <v>123</v>
      </c>
      <c r="C1282" s="47" t="s">
        <v>6750</v>
      </c>
      <c r="D1282" s="47">
        <v>0.17262215389889701</v>
      </c>
      <c r="E1282" s="48">
        <f>SUMIF(Data!$E:$E,$C1282,Data!$AI:$AI)</f>
        <v>0.68951282351564869</v>
      </c>
      <c r="I1282" s="14">
        <v>3283</v>
      </c>
      <c r="J1282" s="14" t="s">
        <v>8778</v>
      </c>
      <c r="K1282" s="14" t="s">
        <v>140</v>
      </c>
      <c r="L1282" s="14" t="s">
        <v>8069</v>
      </c>
      <c r="M1282" s="14" t="s">
        <v>8779</v>
      </c>
      <c r="N1282" s="14">
        <v>1.1359999999999999</v>
      </c>
      <c r="O1282" s="14" t="s">
        <v>8780</v>
      </c>
      <c r="P1282" s="14" t="s">
        <v>8781</v>
      </c>
      <c r="Q1282" s="14" t="s">
        <v>809</v>
      </c>
      <c r="R1282" s="14" t="s">
        <v>8782</v>
      </c>
      <c r="S1282" s="14" t="s">
        <v>444</v>
      </c>
      <c r="T1282" s="14" t="s">
        <v>445</v>
      </c>
      <c r="U1282" s="14" t="s">
        <v>446</v>
      </c>
      <c r="V1282" s="48">
        <f>SUMIF(Data!$E:$E,$I1282,Data!$AI:$AI)</f>
        <v>0</v>
      </c>
    </row>
    <row r="1283" spans="1:22" x14ac:dyDescent="0.25">
      <c r="A1283" s="47" t="s">
        <v>8783</v>
      </c>
      <c r="B1283" s="47" t="s">
        <v>123</v>
      </c>
      <c r="C1283" s="47" t="s">
        <v>4578</v>
      </c>
      <c r="D1283" s="47">
        <v>19.652999059635999</v>
      </c>
      <c r="E1283" s="48">
        <f>SUMIF(Data!$E:$E,$C1283,Data!$AI:$AI)</f>
        <v>0.82698926913975535</v>
      </c>
      <c r="I1283" s="14" t="s">
        <v>279</v>
      </c>
      <c r="J1283" s="14" t="s">
        <v>8784</v>
      </c>
      <c r="K1283" s="14" t="s">
        <v>140</v>
      </c>
      <c r="L1283" s="14" t="s">
        <v>8069</v>
      </c>
      <c r="M1283" s="14" t="s">
        <v>8785</v>
      </c>
      <c r="N1283" s="14">
        <v>75.063999999999993</v>
      </c>
      <c r="O1283" s="14" t="s">
        <v>8786</v>
      </c>
      <c r="P1283" s="14" t="s">
        <v>8787</v>
      </c>
      <c r="Q1283" s="14" t="s">
        <v>175</v>
      </c>
      <c r="R1283" s="14" t="s">
        <v>8788</v>
      </c>
      <c r="S1283" s="14" t="s">
        <v>728</v>
      </c>
      <c r="T1283" s="14" t="s">
        <v>729</v>
      </c>
      <c r="U1283" s="14" t="s">
        <v>730</v>
      </c>
      <c r="V1283" s="48">
        <f>SUMIF(Data!$E:$E,$I1283,Data!$AI:$AI)</f>
        <v>0</v>
      </c>
    </row>
    <row r="1284" spans="1:22" x14ac:dyDescent="0.25">
      <c r="A1284" s="47" t="s">
        <v>8783</v>
      </c>
      <c r="B1284" s="47" t="s">
        <v>123</v>
      </c>
      <c r="C1284" s="47" t="s">
        <v>2017</v>
      </c>
      <c r="D1284" s="47">
        <v>1.81644075144501</v>
      </c>
      <c r="E1284" s="48">
        <f>SUMIF(Data!$E:$E,$C1284,Data!$AI:$AI)</f>
        <v>0</v>
      </c>
      <c r="I1284" s="14" t="s">
        <v>8789</v>
      </c>
      <c r="J1284" s="14" t="s">
        <v>8790</v>
      </c>
      <c r="K1284" s="14" t="s">
        <v>140</v>
      </c>
      <c r="L1284" s="14" t="s">
        <v>8069</v>
      </c>
      <c r="M1284" s="14" t="s">
        <v>8791</v>
      </c>
      <c r="N1284" s="14">
        <v>125.732</v>
      </c>
      <c r="O1284" s="14" t="s">
        <v>8792</v>
      </c>
      <c r="P1284" s="14" t="s">
        <v>8793</v>
      </c>
      <c r="Q1284" s="14" t="s">
        <v>165</v>
      </c>
      <c r="R1284" s="14" t="s">
        <v>8794</v>
      </c>
      <c r="S1284" s="14" t="s">
        <v>148</v>
      </c>
      <c r="T1284" s="14" t="s">
        <v>553</v>
      </c>
      <c r="U1284" s="14" t="s">
        <v>113</v>
      </c>
      <c r="V1284" s="48">
        <f>SUMIF(Data!$E:$E,$I1284,Data!$AI:$AI)</f>
        <v>0</v>
      </c>
    </row>
    <row r="1285" spans="1:22" x14ac:dyDescent="0.25">
      <c r="A1285" s="47" t="s">
        <v>8783</v>
      </c>
      <c r="B1285" s="47" t="s">
        <v>123</v>
      </c>
      <c r="C1285" s="47" t="s">
        <v>4492</v>
      </c>
      <c r="D1285" s="47">
        <v>3.6735236905497399</v>
      </c>
      <c r="E1285" s="48">
        <f>SUMIF(Data!$E:$E,$C1285,Data!$AI:$AI)</f>
        <v>0</v>
      </c>
      <c r="I1285" s="14" t="s">
        <v>6027</v>
      </c>
      <c r="J1285" s="14" t="s">
        <v>8795</v>
      </c>
      <c r="K1285" s="14" t="s">
        <v>140</v>
      </c>
      <c r="L1285" s="14" t="s">
        <v>8069</v>
      </c>
      <c r="M1285" s="14" t="s">
        <v>8796</v>
      </c>
      <c r="N1285" s="14">
        <v>24.015999999999998</v>
      </c>
      <c r="O1285" s="14" t="s">
        <v>8797</v>
      </c>
      <c r="P1285" s="14" t="s">
        <v>8798</v>
      </c>
      <c r="Q1285" s="14" t="s">
        <v>419</v>
      </c>
      <c r="R1285" s="14" t="s">
        <v>8799</v>
      </c>
      <c r="S1285" s="14" t="s">
        <v>195</v>
      </c>
      <c r="T1285" s="14" t="s">
        <v>149</v>
      </c>
      <c r="U1285" s="14" t="s">
        <v>113</v>
      </c>
      <c r="V1285" s="48">
        <f>SUMIF(Data!$E:$E,$I1285,Data!$AI:$AI)</f>
        <v>0</v>
      </c>
    </row>
    <row r="1286" spans="1:22" x14ac:dyDescent="0.25">
      <c r="A1286" s="47" t="s">
        <v>8783</v>
      </c>
      <c r="B1286" s="47" t="s">
        <v>123</v>
      </c>
      <c r="C1286" s="47" t="s">
        <v>4592</v>
      </c>
      <c r="D1286" s="47">
        <v>38.710073845650399</v>
      </c>
      <c r="E1286" s="48">
        <f>SUMIF(Data!$E:$E,$C1286,Data!$AI:$AI)</f>
        <v>0</v>
      </c>
      <c r="I1286" s="14">
        <v>7181</v>
      </c>
      <c r="J1286" s="14" t="s">
        <v>8800</v>
      </c>
      <c r="K1286" s="14" t="s">
        <v>140</v>
      </c>
      <c r="L1286" s="14" t="s">
        <v>8069</v>
      </c>
      <c r="M1286" s="14" t="s">
        <v>2648</v>
      </c>
      <c r="N1286" s="14">
        <v>160.4</v>
      </c>
      <c r="O1286" s="14" t="s">
        <v>8801</v>
      </c>
      <c r="P1286" s="14" t="s">
        <v>8802</v>
      </c>
      <c r="Q1286" s="14" t="s">
        <v>193</v>
      </c>
      <c r="R1286" s="14" t="s">
        <v>8803</v>
      </c>
      <c r="S1286" s="14" t="s">
        <v>444</v>
      </c>
      <c r="T1286" s="14" t="s">
        <v>445</v>
      </c>
      <c r="U1286" s="14" t="s">
        <v>446</v>
      </c>
      <c r="V1286" s="48">
        <f>SUMIF(Data!$E:$E,$I1286,Data!$AI:$AI)</f>
        <v>0</v>
      </c>
    </row>
    <row r="1287" spans="1:22" x14ac:dyDescent="0.25">
      <c r="A1287" s="47" t="s">
        <v>8783</v>
      </c>
      <c r="B1287" s="47" t="s">
        <v>123</v>
      </c>
      <c r="C1287" s="47" t="s">
        <v>4527</v>
      </c>
      <c r="D1287" s="47">
        <v>2.28571038932628</v>
      </c>
      <c r="E1287" s="48">
        <f>SUMIF(Data!$E:$E,$C1287,Data!$AI:$AI)</f>
        <v>0</v>
      </c>
      <c r="I1287" s="14" t="s">
        <v>2694</v>
      </c>
      <c r="J1287" s="14" t="s">
        <v>8804</v>
      </c>
      <c r="K1287" s="14" t="s">
        <v>140</v>
      </c>
      <c r="L1287" s="14" t="s">
        <v>8069</v>
      </c>
      <c r="M1287" s="14" t="s">
        <v>8805</v>
      </c>
      <c r="N1287" s="14">
        <v>95.200999999999993</v>
      </c>
      <c r="O1287" s="14" t="s">
        <v>8806</v>
      </c>
      <c r="P1287" s="14" t="s">
        <v>8807</v>
      </c>
      <c r="Q1287" s="14" t="s">
        <v>193</v>
      </c>
      <c r="R1287" s="14" t="s">
        <v>8808</v>
      </c>
      <c r="S1287" s="14" t="s">
        <v>479</v>
      </c>
      <c r="T1287" s="14" t="s">
        <v>480</v>
      </c>
      <c r="U1287" s="14" t="s">
        <v>481</v>
      </c>
      <c r="V1287" s="48">
        <f>SUMIF(Data!$E:$E,$I1287,Data!$AI:$AI)</f>
        <v>0</v>
      </c>
    </row>
    <row r="1288" spans="1:22" x14ac:dyDescent="0.25">
      <c r="A1288" s="47" t="s">
        <v>8783</v>
      </c>
      <c r="B1288" s="47" t="s">
        <v>123</v>
      </c>
      <c r="C1288" s="47" t="s">
        <v>4499</v>
      </c>
      <c r="D1288" s="47">
        <v>2.0856772858170598</v>
      </c>
      <c r="E1288" s="48">
        <f>SUMIF(Data!$E:$E,$C1288,Data!$AI:$AI)</f>
        <v>0</v>
      </c>
      <c r="I1288" s="14">
        <v>6823</v>
      </c>
      <c r="J1288" s="14" t="s">
        <v>8809</v>
      </c>
      <c r="K1288" s="14" t="s">
        <v>140</v>
      </c>
      <c r="L1288" s="14" t="s">
        <v>8069</v>
      </c>
      <c r="M1288" s="14" t="s">
        <v>8810</v>
      </c>
      <c r="N1288" s="14" t="s">
        <v>8811</v>
      </c>
      <c r="O1288" s="14" t="s">
        <v>8812</v>
      </c>
      <c r="P1288" s="14" t="s">
        <v>8813</v>
      </c>
      <c r="Q1288" s="14" t="s">
        <v>175</v>
      </c>
      <c r="R1288" s="14" t="s">
        <v>8814</v>
      </c>
      <c r="S1288" s="14" t="s">
        <v>552</v>
      </c>
      <c r="T1288" s="14" t="s">
        <v>553</v>
      </c>
      <c r="U1288" s="14" t="s">
        <v>554</v>
      </c>
      <c r="V1288" s="48">
        <f>SUMIF(Data!$E:$E,$I1288,Data!$AI:$AI)</f>
        <v>0</v>
      </c>
    </row>
    <row r="1289" spans="1:22" x14ac:dyDescent="0.25">
      <c r="A1289" s="47" t="s">
        <v>8783</v>
      </c>
      <c r="B1289" s="47" t="s">
        <v>123</v>
      </c>
      <c r="C1289" s="47" t="s">
        <v>4621</v>
      </c>
      <c r="D1289" s="47">
        <v>2.4952395079729799</v>
      </c>
      <c r="E1289" s="48">
        <f>SUMIF(Data!$E:$E,$C1289,Data!$AI:$AI)</f>
        <v>0</v>
      </c>
      <c r="I1289" s="14" t="s">
        <v>8815</v>
      </c>
      <c r="J1289" s="14" t="s">
        <v>8816</v>
      </c>
      <c r="K1289" s="14" t="s">
        <v>140</v>
      </c>
      <c r="L1289" s="14" t="s">
        <v>8069</v>
      </c>
      <c r="M1289" s="14" t="s">
        <v>8817</v>
      </c>
      <c r="N1289" s="14">
        <v>68.061999999999998</v>
      </c>
      <c r="O1289" s="14" t="s">
        <v>8818</v>
      </c>
      <c r="P1289" s="14" t="s">
        <v>8819</v>
      </c>
      <c r="Q1289" s="14" t="s">
        <v>165</v>
      </c>
      <c r="R1289" s="14" t="s">
        <v>8820</v>
      </c>
      <c r="S1289" s="14" t="s">
        <v>195</v>
      </c>
      <c r="T1289" s="14" t="s">
        <v>149</v>
      </c>
      <c r="U1289" s="14" t="s">
        <v>113</v>
      </c>
      <c r="V1289" s="48">
        <f>SUMIF(Data!$E:$E,$I1289,Data!$AI:$AI)</f>
        <v>0</v>
      </c>
    </row>
    <row r="1290" spans="1:22" x14ac:dyDescent="0.25">
      <c r="A1290" s="47" t="s">
        <v>8783</v>
      </c>
      <c r="B1290" s="47" t="s">
        <v>123</v>
      </c>
      <c r="C1290" s="47" t="s">
        <v>4628</v>
      </c>
      <c r="D1290" s="47">
        <v>7.7143840677012001</v>
      </c>
      <c r="E1290" s="48">
        <f>SUMIF(Data!$E:$E,$C1290,Data!$AI:$AI)</f>
        <v>0</v>
      </c>
      <c r="I1290" s="14">
        <v>4612</v>
      </c>
      <c r="J1290" s="14" t="s">
        <v>8821</v>
      </c>
      <c r="K1290" s="14" t="s">
        <v>140</v>
      </c>
      <c r="L1290" s="14" t="s">
        <v>8069</v>
      </c>
      <c r="M1290" s="14" t="s">
        <v>8822</v>
      </c>
      <c r="N1290" s="14">
        <v>55.9</v>
      </c>
      <c r="O1290" s="14" t="s">
        <v>8823</v>
      </c>
      <c r="P1290" s="14" t="s">
        <v>8824</v>
      </c>
      <c r="Q1290" s="14" t="s">
        <v>737</v>
      </c>
      <c r="R1290" s="14" t="s">
        <v>8825</v>
      </c>
      <c r="S1290" s="14" t="s">
        <v>444</v>
      </c>
      <c r="T1290" s="14" t="s">
        <v>445</v>
      </c>
      <c r="U1290" s="14" t="s">
        <v>446</v>
      </c>
      <c r="V1290" s="48">
        <f>SUMIF(Data!$E:$E,$I1290,Data!$AI:$AI)</f>
        <v>0</v>
      </c>
    </row>
    <row r="1291" spans="1:22" x14ac:dyDescent="0.25">
      <c r="A1291" s="47" t="s">
        <v>8783</v>
      </c>
      <c r="B1291" s="47" t="s">
        <v>123</v>
      </c>
      <c r="C1291" s="47" t="s">
        <v>520</v>
      </c>
      <c r="D1291" s="47">
        <v>2.7892445886849</v>
      </c>
      <c r="E1291" s="48">
        <f>SUMIF(Data!$E:$E,$C1291,Data!$AI:$AI)</f>
        <v>0.42534541896463962</v>
      </c>
      <c r="I1291" s="14" t="s">
        <v>8826</v>
      </c>
      <c r="J1291" s="14" t="s">
        <v>8827</v>
      </c>
      <c r="K1291" s="14" t="s">
        <v>140</v>
      </c>
      <c r="L1291" s="14" t="s">
        <v>8069</v>
      </c>
      <c r="M1291" s="14" t="s">
        <v>8828</v>
      </c>
      <c r="N1291" s="14">
        <v>146.923</v>
      </c>
      <c r="O1291" s="14" t="s">
        <v>8829</v>
      </c>
      <c r="P1291" s="14" t="s">
        <v>8830</v>
      </c>
      <c r="Q1291" s="14" t="s">
        <v>697</v>
      </c>
      <c r="R1291" s="14" t="s">
        <v>8831</v>
      </c>
      <c r="S1291" s="14" t="s">
        <v>1167</v>
      </c>
      <c r="T1291" s="14" t="s">
        <v>1168</v>
      </c>
      <c r="U1291" s="14" t="s">
        <v>528</v>
      </c>
      <c r="V1291" s="48">
        <f>SUMIF(Data!$E:$E,$I1291,Data!$AI:$AI)</f>
        <v>0</v>
      </c>
    </row>
    <row r="1292" spans="1:22" x14ac:dyDescent="0.25">
      <c r="A1292" s="47" t="s">
        <v>8783</v>
      </c>
      <c r="B1292" s="47" t="s">
        <v>123</v>
      </c>
      <c r="C1292" s="47" t="s">
        <v>4484</v>
      </c>
      <c r="D1292" s="47">
        <v>17.060935451079299</v>
      </c>
      <c r="E1292" s="48">
        <f>SUMIF(Data!$E:$E,$C1292,Data!$AI:$AI)</f>
        <v>0</v>
      </c>
      <c r="I1292" s="14" t="s">
        <v>8832</v>
      </c>
      <c r="J1292" s="14" t="s">
        <v>8833</v>
      </c>
      <c r="K1292" s="14" t="s">
        <v>140</v>
      </c>
      <c r="L1292" s="14" t="s">
        <v>8069</v>
      </c>
      <c r="M1292" s="14" t="s">
        <v>8834</v>
      </c>
      <c r="N1292" s="14">
        <v>73.56</v>
      </c>
      <c r="O1292" s="14" t="s">
        <v>8835</v>
      </c>
      <c r="P1292" s="14" t="s">
        <v>8836</v>
      </c>
      <c r="Q1292" s="14" t="s">
        <v>737</v>
      </c>
      <c r="R1292" s="14" t="s">
        <v>8837</v>
      </c>
      <c r="S1292" s="14" t="s">
        <v>195</v>
      </c>
      <c r="T1292" s="14" t="s">
        <v>149</v>
      </c>
      <c r="U1292" s="14" t="s">
        <v>113</v>
      </c>
      <c r="V1292" s="48">
        <f>SUMIF(Data!$E:$E,$I1292,Data!$AI:$AI)</f>
        <v>0</v>
      </c>
    </row>
    <row r="1293" spans="1:22" x14ac:dyDescent="0.25">
      <c r="A1293" s="47" t="s">
        <v>8783</v>
      </c>
      <c r="B1293" s="47" t="s">
        <v>123</v>
      </c>
      <c r="C1293" s="47" t="s">
        <v>4605</v>
      </c>
      <c r="D1293" s="47">
        <v>1.71577136213707</v>
      </c>
      <c r="E1293" s="48">
        <f>SUMIF(Data!$E:$E,$C1293,Data!$AI:$AI)</f>
        <v>0</v>
      </c>
      <c r="I1293" s="14" t="s">
        <v>8838</v>
      </c>
      <c r="J1293" s="14" t="s">
        <v>8839</v>
      </c>
      <c r="K1293" s="14" t="s">
        <v>140</v>
      </c>
      <c r="L1293" s="14" t="s">
        <v>8069</v>
      </c>
      <c r="M1293" s="14" t="s">
        <v>8840</v>
      </c>
      <c r="N1293" s="14">
        <v>100.631</v>
      </c>
      <c r="O1293" s="14" t="s">
        <v>8841</v>
      </c>
      <c r="P1293" s="14" t="s">
        <v>8842</v>
      </c>
      <c r="Q1293" s="14" t="s">
        <v>175</v>
      </c>
      <c r="R1293" s="14" t="s">
        <v>8843</v>
      </c>
      <c r="S1293" s="14" t="s">
        <v>1277</v>
      </c>
      <c r="T1293" s="14" t="s">
        <v>1278</v>
      </c>
      <c r="U1293" s="14" t="s">
        <v>528</v>
      </c>
      <c r="V1293" s="48">
        <f>SUMIF(Data!$E:$E,$I1293,Data!$AI:$AI)</f>
        <v>0</v>
      </c>
    </row>
    <row r="1294" spans="1:22" x14ac:dyDescent="0.25">
      <c r="A1294" s="47" t="s">
        <v>8844</v>
      </c>
      <c r="B1294" s="47" t="s">
        <v>123</v>
      </c>
      <c r="C1294" s="47" t="s">
        <v>4768</v>
      </c>
      <c r="D1294" s="47">
        <v>2.0184996420080701</v>
      </c>
      <c r="E1294" s="48">
        <f>SUMIF(Data!$E:$E,$C1294,Data!$AI:$AI)</f>
        <v>0</v>
      </c>
      <c r="I1294" s="14">
        <v>6724</v>
      </c>
      <c r="J1294" s="14" t="s">
        <v>8845</v>
      </c>
      <c r="K1294" s="14" t="s">
        <v>140</v>
      </c>
      <c r="L1294" s="14" t="s">
        <v>8069</v>
      </c>
      <c r="M1294" s="14" t="s">
        <v>8846</v>
      </c>
      <c r="N1294" s="14">
        <v>190.2</v>
      </c>
      <c r="O1294" s="14" t="s">
        <v>8847</v>
      </c>
      <c r="P1294" s="14" t="s">
        <v>8848</v>
      </c>
      <c r="Q1294" s="14" t="s">
        <v>146</v>
      </c>
      <c r="R1294" s="14" t="s">
        <v>8849</v>
      </c>
      <c r="S1294" s="14" t="s">
        <v>444</v>
      </c>
      <c r="T1294" s="14" t="s">
        <v>445</v>
      </c>
      <c r="U1294" s="14" t="s">
        <v>446</v>
      </c>
      <c r="V1294" s="48">
        <f>SUMIF(Data!$E:$E,$I1294,Data!$AI:$AI)</f>
        <v>0</v>
      </c>
    </row>
    <row r="1295" spans="1:22" x14ac:dyDescent="0.25">
      <c r="A1295" s="47" t="s">
        <v>8844</v>
      </c>
      <c r="B1295" s="47" t="s">
        <v>123</v>
      </c>
      <c r="C1295" s="47" t="s">
        <v>5051</v>
      </c>
      <c r="D1295" s="47">
        <v>1.0816892614015099</v>
      </c>
      <c r="E1295" s="48">
        <f>SUMIF(Data!$E:$E,$C1295,Data!$AI:$AI)</f>
        <v>0.40847619001243751</v>
      </c>
      <c r="I1295" s="14" t="s">
        <v>8850</v>
      </c>
      <c r="J1295" s="14" t="s">
        <v>8851</v>
      </c>
      <c r="K1295" s="14" t="s">
        <v>140</v>
      </c>
      <c r="L1295" s="14" t="s">
        <v>8069</v>
      </c>
      <c r="M1295" s="14" t="s">
        <v>8852</v>
      </c>
      <c r="N1295" s="14">
        <v>56.432000000000002</v>
      </c>
      <c r="O1295" s="14" t="s">
        <v>8853</v>
      </c>
      <c r="P1295" s="14" t="s">
        <v>8854</v>
      </c>
      <c r="Q1295" s="14" t="s">
        <v>419</v>
      </c>
      <c r="R1295" s="14" t="s">
        <v>8855</v>
      </c>
      <c r="S1295" s="14" t="s">
        <v>195</v>
      </c>
      <c r="T1295" s="14" t="s">
        <v>149</v>
      </c>
      <c r="U1295" s="14" t="s">
        <v>113</v>
      </c>
      <c r="V1295" s="48">
        <f>SUMIF(Data!$E:$E,$I1295,Data!$AI:$AI)</f>
        <v>0</v>
      </c>
    </row>
    <row r="1296" spans="1:22" x14ac:dyDescent="0.25">
      <c r="A1296" s="47" t="s">
        <v>8844</v>
      </c>
      <c r="B1296" s="47" t="s">
        <v>123</v>
      </c>
      <c r="C1296" s="47" t="s">
        <v>5065</v>
      </c>
      <c r="D1296" s="47">
        <v>0.84160841869374603</v>
      </c>
      <c r="E1296" s="48">
        <f>SUMIF(Data!$E:$E,$C1296,Data!$AI:$AI)</f>
        <v>0.49255800486170526</v>
      </c>
      <c r="I1296" s="14" t="s">
        <v>8856</v>
      </c>
      <c r="J1296" s="14" t="s">
        <v>8857</v>
      </c>
      <c r="K1296" s="14" t="s">
        <v>140</v>
      </c>
      <c r="L1296" s="14" t="s">
        <v>8069</v>
      </c>
      <c r="M1296" s="14" t="s">
        <v>8858</v>
      </c>
      <c r="N1296" s="14">
        <v>80.915000000000006</v>
      </c>
      <c r="O1296" s="14" t="s">
        <v>8859</v>
      </c>
      <c r="P1296" s="14" t="s">
        <v>8860</v>
      </c>
      <c r="Q1296" s="14" t="s">
        <v>419</v>
      </c>
      <c r="R1296" s="14" t="s">
        <v>8861</v>
      </c>
      <c r="S1296" s="14" t="s">
        <v>195</v>
      </c>
      <c r="T1296" s="14" t="s">
        <v>149</v>
      </c>
      <c r="U1296" s="14" t="s">
        <v>113</v>
      </c>
      <c r="V1296" s="48">
        <f>SUMIF(Data!$E:$E,$I1296,Data!$AI:$AI)</f>
        <v>0</v>
      </c>
    </row>
    <row r="1297" spans="1:22" x14ac:dyDescent="0.25">
      <c r="A1297" s="47" t="s">
        <v>8844</v>
      </c>
      <c r="B1297" s="47" t="s">
        <v>123</v>
      </c>
      <c r="C1297" s="47" t="s">
        <v>4782</v>
      </c>
      <c r="D1297" s="47">
        <v>2.1145041626057801</v>
      </c>
      <c r="E1297" s="48">
        <f>SUMIF(Data!$E:$E,$C1297,Data!$AI:$AI)</f>
        <v>0</v>
      </c>
      <c r="I1297" s="14" t="s">
        <v>8862</v>
      </c>
      <c r="J1297" s="14" t="s">
        <v>8863</v>
      </c>
      <c r="K1297" s="14" t="s">
        <v>140</v>
      </c>
      <c r="L1297" s="14" t="s">
        <v>8069</v>
      </c>
      <c r="M1297" s="14" t="s">
        <v>8864</v>
      </c>
      <c r="N1297" s="14">
        <v>38.439</v>
      </c>
      <c r="O1297" s="14" t="s">
        <v>8865</v>
      </c>
      <c r="P1297" s="14" t="s">
        <v>8866</v>
      </c>
      <c r="Q1297" s="14" t="s">
        <v>737</v>
      </c>
      <c r="R1297" s="14" t="s">
        <v>8867</v>
      </c>
      <c r="S1297" s="14" t="s">
        <v>195</v>
      </c>
      <c r="T1297" s="14" t="s">
        <v>149</v>
      </c>
      <c r="U1297" s="14" t="s">
        <v>113</v>
      </c>
      <c r="V1297" s="48">
        <f>SUMIF(Data!$E:$E,$I1297,Data!$AI:$AI)</f>
        <v>0</v>
      </c>
    </row>
    <row r="1298" spans="1:22" x14ac:dyDescent="0.25">
      <c r="A1298" s="47" t="s">
        <v>8844</v>
      </c>
      <c r="B1298" s="47" t="s">
        <v>123</v>
      </c>
      <c r="C1298" s="47" t="s">
        <v>5115</v>
      </c>
      <c r="D1298" s="47">
        <v>0.86364765748072403</v>
      </c>
      <c r="E1298" s="48">
        <f>SUMIF(Data!$E:$E,$C1298,Data!$AI:$AI)</f>
        <v>0</v>
      </c>
      <c r="I1298" s="14" t="s">
        <v>8868</v>
      </c>
      <c r="J1298" s="14" t="s">
        <v>8869</v>
      </c>
      <c r="K1298" s="14" t="s">
        <v>140</v>
      </c>
      <c r="L1298" s="14" t="s">
        <v>8069</v>
      </c>
      <c r="M1298" s="14" t="s">
        <v>8870</v>
      </c>
      <c r="N1298" s="14">
        <v>167.804</v>
      </c>
      <c r="O1298" s="14" t="s">
        <v>8871</v>
      </c>
      <c r="P1298" s="14" t="s">
        <v>8872</v>
      </c>
      <c r="Q1298" s="14" t="s">
        <v>227</v>
      </c>
      <c r="R1298" s="14" t="s">
        <v>8873</v>
      </c>
      <c r="S1298" s="14" t="s">
        <v>5207</v>
      </c>
      <c r="T1298" s="14" t="s">
        <v>5208</v>
      </c>
      <c r="U1298" s="14" t="s">
        <v>528</v>
      </c>
      <c r="V1298" s="48">
        <f>SUMIF(Data!$E:$E,$I1298,Data!$AI:$AI)</f>
        <v>0</v>
      </c>
    </row>
    <row r="1299" spans="1:22" x14ac:dyDescent="0.25">
      <c r="A1299" s="47" t="s">
        <v>8844</v>
      </c>
      <c r="B1299" s="47" t="s">
        <v>123</v>
      </c>
      <c r="C1299" s="47" t="s">
        <v>4841</v>
      </c>
      <c r="D1299" s="47">
        <v>5.0271969072380696</v>
      </c>
      <c r="E1299" s="48">
        <f>SUMIF(Data!$E:$E,$C1299,Data!$AI:$AI)</f>
        <v>1.1368494141004637</v>
      </c>
      <c r="I1299" s="14" t="s">
        <v>8874</v>
      </c>
      <c r="J1299" s="14" t="s">
        <v>8875</v>
      </c>
      <c r="K1299" s="14" t="s">
        <v>140</v>
      </c>
      <c r="L1299" s="14" t="s">
        <v>8069</v>
      </c>
      <c r="M1299" s="14" t="s">
        <v>8876</v>
      </c>
      <c r="N1299" s="14">
        <v>242.648</v>
      </c>
      <c r="O1299" s="14" t="s">
        <v>8877</v>
      </c>
      <c r="P1299" s="14" t="s">
        <v>8878</v>
      </c>
      <c r="Q1299" s="14" t="s">
        <v>263</v>
      </c>
      <c r="R1299" s="14" t="s">
        <v>8879</v>
      </c>
      <c r="S1299" s="14" t="s">
        <v>1130</v>
      </c>
      <c r="T1299" s="14" t="s">
        <v>1131</v>
      </c>
      <c r="U1299" s="14" t="s">
        <v>528</v>
      </c>
      <c r="V1299" s="48">
        <f>SUMIF(Data!$E:$E,$I1299,Data!$AI:$AI)</f>
        <v>0</v>
      </c>
    </row>
    <row r="1300" spans="1:22" x14ac:dyDescent="0.25">
      <c r="A1300" s="47" t="s">
        <v>8844</v>
      </c>
      <c r="B1300" s="47" t="s">
        <v>123</v>
      </c>
      <c r="C1300" s="47" t="s">
        <v>4855</v>
      </c>
      <c r="D1300" s="47">
        <v>39.319741229009097</v>
      </c>
      <c r="E1300" s="48">
        <f>SUMIF(Data!$E:$E,$C1300,Data!$AI:$AI)</f>
        <v>1.0989645296635115</v>
      </c>
      <c r="I1300" s="14" t="s">
        <v>8880</v>
      </c>
      <c r="J1300" s="14" t="s">
        <v>8881</v>
      </c>
      <c r="K1300" s="14" t="s">
        <v>140</v>
      </c>
      <c r="L1300" s="14" t="s">
        <v>8069</v>
      </c>
      <c r="M1300" s="14" t="s">
        <v>8882</v>
      </c>
      <c r="N1300" s="14">
        <v>29.286999999999999</v>
      </c>
      <c r="O1300" s="14" t="s">
        <v>8883</v>
      </c>
      <c r="P1300" s="14" t="s">
        <v>8884</v>
      </c>
      <c r="Q1300" s="14" t="s">
        <v>165</v>
      </c>
      <c r="R1300" s="14" t="s">
        <v>8885</v>
      </c>
      <c r="S1300" s="14" t="s">
        <v>195</v>
      </c>
      <c r="T1300" s="14" t="s">
        <v>149</v>
      </c>
      <c r="U1300" s="14" t="s">
        <v>113</v>
      </c>
      <c r="V1300" s="48">
        <f>SUMIF(Data!$E:$E,$I1300,Data!$AI:$AI)</f>
        <v>0</v>
      </c>
    </row>
    <row r="1301" spans="1:22" x14ac:dyDescent="0.25">
      <c r="A1301" s="47" t="s">
        <v>8844</v>
      </c>
      <c r="B1301" s="47" t="s">
        <v>123</v>
      </c>
      <c r="C1301" s="47" t="s">
        <v>4862</v>
      </c>
      <c r="D1301" s="47">
        <v>1.1758927800191401</v>
      </c>
      <c r="E1301" s="48">
        <f>SUMIF(Data!$E:$E,$C1301,Data!$AI:$AI)</f>
        <v>0.397519933142436</v>
      </c>
      <c r="I1301" s="14" t="s">
        <v>8886</v>
      </c>
      <c r="J1301" s="14" t="s">
        <v>8887</v>
      </c>
      <c r="K1301" s="14" t="s">
        <v>140</v>
      </c>
      <c r="L1301" s="14" t="s">
        <v>8069</v>
      </c>
      <c r="M1301" s="14" t="s">
        <v>8888</v>
      </c>
      <c r="N1301" s="14">
        <v>59.082999999999998</v>
      </c>
      <c r="O1301" s="14" t="s">
        <v>8889</v>
      </c>
      <c r="P1301" s="14" t="s">
        <v>8890</v>
      </c>
      <c r="Q1301" s="14" t="s">
        <v>193</v>
      </c>
      <c r="R1301" s="14" t="s">
        <v>8891</v>
      </c>
      <c r="S1301" s="14" t="s">
        <v>195</v>
      </c>
      <c r="T1301" s="14" t="s">
        <v>149</v>
      </c>
      <c r="U1301" s="14" t="s">
        <v>113</v>
      </c>
      <c r="V1301" s="48">
        <f>SUMIF(Data!$E:$E,$I1301,Data!$AI:$AI)</f>
        <v>0</v>
      </c>
    </row>
    <row r="1302" spans="1:22" x14ac:dyDescent="0.25">
      <c r="A1302" s="47" t="s">
        <v>8844</v>
      </c>
      <c r="B1302" s="47" t="s">
        <v>123</v>
      </c>
      <c r="C1302" s="47" t="s">
        <v>5173</v>
      </c>
      <c r="D1302" s="47">
        <v>0.75468893500793499</v>
      </c>
      <c r="E1302" s="48">
        <f>SUMIF(Data!$E:$E,$C1302,Data!$AI:$AI)</f>
        <v>0.32269220108453256</v>
      </c>
      <c r="I1302" s="14" t="s">
        <v>8892</v>
      </c>
      <c r="J1302" s="14" t="s">
        <v>8893</v>
      </c>
      <c r="K1302" s="14" t="s">
        <v>140</v>
      </c>
      <c r="L1302" s="14" t="s">
        <v>8069</v>
      </c>
      <c r="M1302" s="14" t="s">
        <v>8894</v>
      </c>
      <c r="N1302" s="14">
        <v>77.122</v>
      </c>
      <c r="O1302" s="14" t="s">
        <v>8895</v>
      </c>
      <c r="P1302" s="14" t="s">
        <v>8896</v>
      </c>
      <c r="Q1302" s="14" t="s">
        <v>175</v>
      </c>
      <c r="R1302" s="14" t="s">
        <v>8897</v>
      </c>
      <c r="S1302" s="14" t="s">
        <v>148</v>
      </c>
      <c r="T1302" s="14" t="s">
        <v>149</v>
      </c>
      <c r="U1302" s="14" t="s">
        <v>113</v>
      </c>
      <c r="V1302" s="48">
        <f>SUMIF(Data!$E:$E,$I1302,Data!$AI:$AI)</f>
        <v>0</v>
      </c>
    </row>
    <row r="1303" spans="1:22" x14ac:dyDescent="0.25">
      <c r="A1303" s="47" t="s">
        <v>8844</v>
      </c>
      <c r="B1303" s="47" t="s">
        <v>123</v>
      </c>
      <c r="C1303" s="47" t="s">
        <v>4873</v>
      </c>
      <c r="D1303" s="47">
        <v>3.24469135086265</v>
      </c>
      <c r="E1303" s="48">
        <f>SUMIF(Data!$E:$E,$C1303,Data!$AI:$AI)</f>
        <v>0</v>
      </c>
      <c r="I1303" s="14" t="s">
        <v>8898</v>
      </c>
      <c r="J1303" s="14" t="s">
        <v>8899</v>
      </c>
      <c r="K1303" s="14" t="s">
        <v>140</v>
      </c>
      <c r="L1303" s="14" t="s">
        <v>8069</v>
      </c>
      <c r="M1303" s="14" t="s">
        <v>8900</v>
      </c>
      <c r="N1303" s="14">
        <v>34.627000000000002</v>
      </c>
      <c r="O1303" s="14" t="s">
        <v>8901</v>
      </c>
      <c r="P1303" s="14" t="s">
        <v>8902</v>
      </c>
      <c r="Q1303" s="14" t="s">
        <v>165</v>
      </c>
      <c r="R1303" s="14" t="s">
        <v>8903</v>
      </c>
      <c r="S1303" s="14" t="s">
        <v>526</v>
      </c>
      <c r="T1303" s="14" t="s">
        <v>527</v>
      </c>
      <c r="U1303" s="14" t="s">
        <v>528</v>
      </c>
      <c r="V1303" s="48">
        <f>SUMIF(Data!$E:$E,$I1303,Data!$AI:$AI)</f>
        <v>0</v>
      </c>
    </row>
    <row r="1304" spans="1:22" x14ac:dyDescent="0.25">
      <c r="A1304" s="47" t="s">
        <v>8844</v>
      </c>
      <c r="B1304" s="47" t="s">
        <v>123</v>
      </c>
      <c r="C1304" s="47" t="s">
        <v>4900</v>
      </c>
      <c r="D1304" s="47">
        <v>2.7698776624448498</v>
      </c>
      <c r="E1304" s="48">
        <f>SUMIF(Data!$E:$E,$C1304,Data!$AI:$AI)</f>
        <v>0</v>
      </c>
      <c r="I1304" s="14">
        <v>1802</v>
      </c>
      <c r="J1304" s="14" t="s">
        <v>8904</v>
      </c>
      <c r="K1304" s="14" t="s">
        <v>140</v>
      </c>
      <c r="L1304" s="14" t="s">
        <v>8069</v>
      </c>
      <c r="M1304" s="14" t="s">
        <v>8905</v>
      </c>
      <c r="N1304" s="14">
        <v>248.172</v>
      </c>
      <c r="O1304" s="14" t="s">
        <v>8906</v>
      </c>
      <c r="P1304" s="14" t="s">
        <v>8907</v>
      </c>
      <c r="Q1304" s="14" t="s">
        <v>419</v>
      </c>
      <c r="R1304" s="14" t="s">
        <v>8908</v>
      </c>
      <c r="S1304" s="14" t="s">
        <v>444</v>
      </c>
      <c r="T1304" s="14" t="s">
        <v>445</v>
      </c>
      <c r="U1304" s="14" t="s">
        <v>446</v>
      </c>
      <c r="V1304" s="48">
        <f>SUMIF(Data!$E:$E,$I1304,Data!$AI:$AI)</f>
        <v>0</v>
      </c>
    </row>
    <row r="1305" spans="1:22" x14ac:dyDescent="0.25">
      <c r="A1305" s="47" t="s">
        <v>8844</v>
      </c>
      <c r="B1305" s="47" t="s">
        <v>123</v>
      </c>
      <c r="C1305" s="47" t="s">
        <v>4919</v>
      </c>
      <c r="D1305" s="47">
        <v>1.09713151662686</v>
      </c>
      <c r="E1305" s="48">
        <f>SUMIF(Data!$E:$E,$C1305,Data!$AI:$AI)</f>
        <v>0.63880820904302782</v>
      </c>
      <c r="I1305" s="14" t="s">
        <v>8909</v>
      </c>
      <c r="J1305" s="14" t="s">
        <v>8910</v>
      </c>
      <c r="K1305" s="14" t="s">
        <v>140</v>
      </c>
      <c r="L1305" s="14" t="s">
        <v>8069</v>
      </c>
      <c r="M1305" s="14" t="s">
        <v>8911</v>
      </c>
      <c r="N1305" s="14">
        <v>115.039</v>
      </c>
      <c r="O1305" s="14" t="s">
        <v>8912</v>
      </c>
      <c r="P1305" s="14" t="s">
        <v>8913</v>
      </c>
      <c r="Q1305" s="14" t="s">
        <v>193</v>
      </c>
      <c r="R1305" s="14" t="s">
        <v>8914</v>
      </c>
      <c r="S1305" s="14" t="s">
        <v>2931</v>
      </c>
      <c r="T1305" s="14" t="s">
        <v>2932</v>
      </c>
      <c r="U1305" s="14" t="s">
        <v>2933</v>
      </c>
      <c r="V1305" s="48">
        <f>SUMIF(Data!$E:$E,$I1305,Data!$AI:$AI)</f>
        <v>0</v>
      </c>
    </row>
    <row r="1306" spans="1:22" x14ac:dyDescent="0.25">
      <c r="A1306" s="47" t="s">
        <v>8844</v>
      </c>
      <c r="B1306" s="47" t="s">
        <v>123</v>
      </c>
      <c r="C1306" s="47" t="s">
        <v>4926</v>
      </c>
      <c r="D1306" s="47">
        <v>1.36251241464696</v>
      </c>
      <c r="E1306" s="48">
        <f>SUMIF(Data!$E:$E,$C1306,Data!$AI:$AI)</f>
        <v>0.52858464745473188</v>
      </c>
      <c r="I1306" s="14">
        <v>2801</v>
      </c>
      <c r="J1306" s="14" t="s">
        <v>8915</v>
      </c>
      <c r="K1306" s="14" t="s">
        <v>140</v>
      </c>
      <c r="L1306" s="14" t="s">
        <v>8069</v>
      </c>
      <c r="M1306" s="14" t="s">
        <v>8916</v>
      </c>
      <c r="N1306" s="14">
        <v>55.5</v>
      </c>
      <c r="O1306" s="14" t="s">
        <v>8917</v>
      </c>
      <c r="P1306" s="14" t="s">
        <v>8918</v>
      </c>
      <c r="Q1306" s="14" t="s">
        <v>227</v>
      </c>
      <c r="R1306" s="14" t="s">
        <v>8919</v>
      </c>
      <c r="S1306" s="14" t="s">
        <v>444</v>
      </c>
      <c r="T1306" s="14" t="s">
        <v>445</v>
      </c>
      <c r="U1306" s="14" t="s">
        <v>446</v>
      </c>
      <c r="V1306" s="48">
        <f>SUMIF(Data!$E:$E,$I1306,Data!$AI:$AI)</f>
        <v>0</v>
      </c>
    </row>
    <row r="1307" spans="1:22" x14ac:dyDescent="0.25">
      <c r="A1307" s="47" t="s">
        <v>8844</v>
      </c>
      <c r="B1307" s="47" t="s">
        <v>123</v>
      </c>
      <c r="C1307" s="47" t="s">
        <v>3901</v>
      </c>
      <c r="D1307" s="47">
        <v>1.1652390558183701</v>
      </c>
      <c r="E1307" s="48">
        <f>SUMIF(Data!$E:$E,$C1307,Data!$AI:$AI)</f>
        <v>0.4435083799971119</v>
      </c>
      <c r="I1307" s="14" t="s">
        <v>8920</v>
      </c>
      <c r="J1307" s="14" t="s">
        <v>8921</v>
      </c>
      <c r="K1307" s="14" t="s">
        <v>140</v>
      </c>
      <c r="L1307" s="14" t="s">
        <v>8069</v>
      </c>
      <c r="M1307" s="14" t="s">
        <v>8922</v>
      </c>
      <c r="N1307" s="14">
        <v>191.76599999999999</v>
      </c>
      <c r="O1307" s="14" t="s">
        <v>8923</v>
      </c>
      <c r="P1307" s="14" t="s">
        <v>8924</v>
      </c>
      <c r="Q1307" s="14" t="s">
        <v>175</v>
      </c>
      <c r="R1307" s="14" t="s">
        <v>8925</v>
      </c>
      <c r="S1307" s="14" t="s">
        <v>148</v>
      </c>
      <c r="T1307" s="14" t="s">
        <v>149</v>
      </c>
      <c r="U1307" s="14" t="s">
        <v>113</v>
      </c>
      <c r="V1307" s="48">
        <f>SUMIF(Data!$E:$E,$I1307,Data!$AI:$AI)</f>
        <v>0</v>
      </c>
    </row>
    <row r="1308" spans="1:22" x14ac:dyDescent="0.25">
      <c r="A1308" s="47" t="s">
        <v>8844</v>
      </c>
      <c r="B1308" s="47" t="s">
        <v>123</v>
      </c>
      <c r="C1308" s="47" t="s">
        <v>4938</v>
      </c>
      <c r="D1308" s="47">
        <v>1.5531037687007101</v>
      </c>
      <c r="E1308" s="48">
        <f>SUMIF(Data!$E:$E,$C1308,Data!$AI:$AI)</f>
        <v>0</v>
      </c>
      <c r="I1308" s="14" t="s">
        <v>8926</v>
      </c>
      <c r="J1308" s="14" t="s">
        <v>8927</v>
      </c>
      <c r="K1308" s="14" t="s">
        <v>140</v>
      </c>
      <c r="L1308" s="14" t="s">
        <v>8069</v>
      </c>
      <c r="M1308" s="14" t="s">
        <v>8928</v>
      </c>
      <c r="N1308" s="14">
        <v>643.06100000000004</v>
      </c>
      <c r="O1308" s="14" t="s">
        <v>8929</v>
      </c>
      <c r="P1308" s="14" t="s">
        <v>8930</v>
      </c>
      <c r="Q1308" s="14" t="s">
        <v>193</v>
      </c>
      <c r="R1308" s="14" t="s">
        <v>8931</v>
      </c>
      <c r="S1308" s="14" t="s">
        <v>479</v>
      </c>
      <c r="T1308" s="14" t="s">
        <v>480</v>
      </c>
      <c r="U1308" s="14" t="s">
        <v>481</v>
      </c>
      <c r="V1308" s="48">
        <f>SUMIF(Data!$E:$E,$I1308,Data!$AI:$AI)</f>
        <v>0</v>
      </c>
    </row>
    <row r="1309" spans="1:22" x14ac:dyDescent="0.25">
      <c r="A1309" s="47" t="s">
        <v>8844</v>
      </c>
      <c r="B1309" s="47" t="s">
        <v>123</v>
      </c>
      <c r="C1309" s="47" t="s">
        <v>4009</v>
      </c>
      <c r="D1309" s="47">
        <v>0.39664549415140499</v>
      </c>
      <c r="E1309" s="48">
        <f>SUMIF(Data!$E:$E,$C1309,Data!$AI:$AI)</f>
        <v>0</v>
      </c>
      <c r="I1309" s="14">
        <v>5233</v>
      </c>
      <c r="J1309" s="14" t="s">
        <v>8932</v>
      </c>
      <c r="K1309" s="14" t="s">
        <v>140</v>
      </c>
      <c r="L1309" s="14" t="s">
        <v>8069</v>
      </c>
      <c r="M1309" s="14" t="s">
        <v>8933</v>
      </c>
      <c r="N1309" s="14">
        <v>94.8</v>
      </c>
      <c r="O1309" s="14" t="s">
        <v>8934</v>
      </c>
      <c r="P1309" s="14" t="s">
        <v>8935</v>
      </c>
      <c r="Q1309" s="14" t="s">
        <v>737</v>
      </c>
      <c r="R1309" s="14" t="s">
        <v>8936</v>
      </c>
      <c r="S1309" s="14" t="s">
        <v>444</v>
      </c>
      <c r="T1309" s="14" t="s">
        <v>445</v>
      </c>
      <c r="U1309" s="14" t="s">
        <v>446</v>
      </c>
      <c r="V1309" s="48">
        <f>SUMIF(Data!$E:$E,$I1309,Data!$AI:$AI)</f>
        <v>0</v>
      </c>
    </row>
    <row r="1310" spans="1:22" x14ac:dyDescent="0.25">
      <c r="A1310" s="47" t="s">
        <v>8844</v>
      </c>
      <c r="B1310" s="47" t="s">
        <v>123</v>
      </c>
      <c r="C1310" s="47" t="s">
        <v>1942</v>
      </c>
      <c r="D1310" s="47">
        <v>17.819830189426401</v>
      </c>
      <c r="E1310" s="48">
        <f>SUMIF(Data!$E:$E,$C1310,Data!$AI:$AI)</f>
        <v>0</v>
      </c>
      <c r="I1310" s="14" t="s">
        <v>4168</v>
      </c>
      <c r="J1310" s="14" t="s">
        <v>8937</v>
      </c>
      <c r="K1310" s="14" t="s">
        <v>140</v>
      </c>
      <c r="L1310" s="14" t="s">
        <v>8069</v>
      </c>
      <c r="M1310" s="14" t="s">
        <v>8938</v>
      </c>
      <c r="N1310" s="14">
        <v>600.64700000000005</v>
      </c>
      <c r="O1310" s="14" t="s">
        <v>8939</v>
      </c>
      <c r="P1310" s="14" t="s">
        <v>8940</v>
      </c>
      <c r="Q1310" s="14" t="s">
        <v>737</v>
      </c>
      <c r="R1310" s="14" t="s">
        <v>8941</v>
      </c>
      <c r="S1310" s="14" t="s">
        <v>728</v>
      </c>
      <c r="T1310" s="14" t="s">
        <v>729</v>
      </c>
      <c r="U1310" s="14" t="s">
        <v>730</v>
      </c>
      <c r="V1310" s="48">
        <f>SUMIF(Data!$E:$E,$I1310,Data!$AI:$AI)</f>
        <v>0</v>
      </c>
    </row>
    <row r="1311" spans="1:22" x14ac:dyDescent="0.25">
      <c r="A1311" s="47" t="s">
        <v>8844</v>
      </c>
      <c r="B1311" s="47" t="s">
        <v>123</v>
      </c>
      <c r="C1311" s="47" t="s">
        <v>4951</v>
      </c>
      <c r="D1311" s="47">
        <v>5.3066236348258604</v>
      </c>
      <c r="E1311" s="48">
        <f>SUMIF(Data!$E:$E,$C1311,Data!$AI:$AI)</f>
        <v>0</v>
      </c>
      <c r="I1311" s="14" t="s">
        <v>114</v>
      </c>
      <c r="J1311" s="14" t="s">
        <v>8942</v>
      </c>
      <c r="K1311" s="14" t="s">
        <v>140</v>
      </c>
      <c r="L1311" s="14" t="s">
        <v>8069</v>
      </c>
      <c r="M1311" s="14" t="s">
        <v>8943</v>
      </c>
      <c r="N1311" s="14">
        <v>123.539</v>
      </c>
      <c r="O1311" s="14" t="s">
        <v>8944</v>
      </c>
      <c r="P1311" s="14" t="s">
        <v>8945</v>
      </c>
      <c r="Q1311" s="14" t="s">
        <v>737</v>
      </c>
      <c r="R1311" s="14" t="s">
        <v>8946</v>
      </c>
      <c r="S1311" s="14" t="s">
        <v>229</v>
      </c>
      <c r="T1311" s="14" t="s">
        <v>230</v>
      </c>
      <c r="U1311" s="14" t="s">
        <v>231</v>
      </c>
      <c r="V1311" s="48">
        <f>SUMIF(Data!$E:$E,$I1311,Data!$AI:$AI)</f>
        <v>0</v>
      </c>
    </row>
    <row r="1312" spans="1:22" x14ac:dyDescent="0.25">
      <c r="A1312" s="47" t="s">
        <v>8844</v>
      </c>
      <c r="B1312" s="47" t="s">
        <v>123</v>
      </c>
      <c r="C1312" s="47" t="s">
        <v>1469</v>
      </c>
      <c r="D1312" s="47">
        <v>2.3784917886333599</v>
      </c>
      <c r="E1312" s="48">
        <f>SUMIF(Data!$E:$E,$C1312,Data!$AI:$AI)</f>
        <v>0</v>
      </c>
      <c r="I1312" s="14" t="s">
        <v>8947</v>
      </c>
      <c r="J1312" s="14" t="s">
        <v>8948</v>
      </c>
      <c r="K1312" s="14" t="s">
        <v>140</v>
      </c>
      <c r="L1312" s="14" t="s">
        <v>8069</v>
      </c>
      <c r="M1312" s="14" t="s">
        <v>8949</v>
      </c>
      <c r="N1312" s="14">
        <v>301.57100000000003</v>
      </c>
      <c r="O1312" s="14" t="s">
        <v>8950</v>
      </c>
      <c r="P1312" s="14" t="s">
        <v>8951</v>
      </c>
      <c r="Q1312" s="14" t="s">
        <v>227</v>
      </c>
      <c r="R1312" s="14" t="s">
        <v>8952</v>
      </c>
      <c r="S1312" s="14" t="s">
        <v>1130</v>
      </c>
      <c r="T1312" s="14" t="s">
        <v>1131</v>
      </c>
      <c r="U1312" s="14" t="s">
        <v>528</v>
      </c>
      <c r="V1312" s="48">
        <f>SUMIF(Data!$E:$E,$I1312,Data!$AI:$AI)</f>
        <v>0</v>
      </c>
    </row>
    <row r="1313" spans="1:22" x14ac:dyDescent="0.25">
      <c r="A1313" s="47" t="s">
        <v>8844</v>
      </c>
      <c r="B1313" s="47" t="s">
        <v>123</v>
      </c>
      <c r="C1313" s="47" t="s">
        <v>4964</v>
      </c>
      <c r="D1313" s="47">
        <v>1.28814490863711</v>
      </c>
      <c r="E1313" s="48">
        <f>SUMIF(Data!$E:$E,$C1313,Data!$AI:$AI)</f>
        <v>0</v>
      </c>
      <c r="I1313" s="14" t="s">
        <v>8953</v>
      </c>
      <c r="J1313" s="14" t="s">
        <v>8954</v>
      </c>
      <c r="K1313" s="14" t="s">
        <v>140</v>
      </c>
      <c r="L1313" s="14" t="s">
        <v>8069</v>
      </c>
      <c r="M1313" s="14" t="s">
        <v>8955</v>
      </c>
      <c r="N1313" s="14" t="s">
        <v>8956</v>
      </c>
      <c r="O1313" s="14" t="s">
        <v>8957</v>
      </c>
      <c r="P1313" s="14" t="s">
        <v>8958</v>
      </c>
      <c r="Q1313" s="14" t="s">
        <v>737</v>
      </c>
      <c r="R1313" s="14" t="s">
        <v>8959</v>
      </c>
      <c r="S1313" s="14" t="s">
        <v>850</v>
      </c>
      <c r="T1313" s="14" t="s">
        <v>851</v>
      </c>
      <c r="U1313" s="14" t="s">
        <v>852</v>
      </c>
      <c r="V1313" s="48">
        <f>SUMIF(Data!$E:$E,$I1313,Data!$AI:$AI)</f>
        <v>0</v>
      </c>
    </row>
    <row r="1314" spans="1:22" x14ac:dyDescent="0.25">
      <c r="A1314" s="47" t="s">
        <v>8844</v>
      </c>
      <c r="B1314" s="47" t="s">
        <v>123</v>
      </c>
      <c r="C1314" s="47" t="s">
        <v>4971</v>
      </c>
      <c r="D1314" s="47">
        <v>1.10751822947126</v>
      </c>
      <c r="E1314" s="48">
        <f>SUMIF(Data!$E:$E,$C1314,Data!$AI:$AI)</f>
        <v>0.51478348043038158</v>
      </c>
      <c r="I1314" s="14">
        <v>4042</v>
      </c>
      <c r="J1314" s="14" t="s">
        <v>8960</v>
      </c>
      <c r="K1314" s="14" t="s">
        <v>140</v>
      </c>
      <c r="L1314" s="14" t="s">
        <v>8069</v>
      </c>
      <c r="M1314" s="14" t="s">
        <v>8961</v>
      </c>
      <c r="N1314" s="14">
        <v>178.1</v>
      </c>
      <c r="O1314" s="14" t="s">
        <v>8962</v>
      </c>
      <c r="P1314" s="14" t="s">
        <v>8963</v>
      </c>
      <c r="Q1314" s="14" t="s">
        <v>737</v>
      </c>
      <c r="R1314" s="14" t="s">
        <v>8964</v>
      </c>
      <c r="S1314" s="14" t="s">
        <v>444</v>
      </c>
      <c r="T1314" s="14" t="s">
        <v>445</v>
      </c>
      <c r="U1314" s="14" t="s">
        <v>446</v>
      </c>
      <c r="V1314" s="48">
        <f>SUMIF(Data!$E:$E,$I1314,Data!$AI:$AI)</f>
        <v>0</v>
      </c>
    </row>
    <row r="1315" spans="1:22" x14ac:dyDescent="0.25">
      <c r="A1315" s="47" t="s">
        <v>8844</v>
      </c>
      <c r="B1315" s="47" t="s">
        <v>123</v>
      </c>
      <c r="C1315" s="47" t="s">
        <v>4978</v>
      </c>
      <c r="D1315" s="47">
        <v>1.27832021298137</v>
      </c>
      <c r="E1315" s="48">
        <f>SUMIF(Data!$E:$E,$C1315,Data!$AI:$AI)</f>
        <v>0</v>
      </c>
      <c r="I1315" s="14" t="s">
        <v>8965</v>
      </c>
      <c r="J1315" s="14" t="s">
        <v>8966</v>
      </c>
      <c r="K1315" s="14" t="s">
        <v>140</v>
      </c>
      <c r="L1315" s="14" t="s">
        <v>8069</v>
      </c>
      <c r="M1315" s="14" t="s">
        <v>8967</v>
      </c>
      <c r="N1315" s="14">
        <v>901.03099999999995</v>
      </c>
      <c r="O1315" s="14" t="s">
        <v>8968</v>
      </c>
      <c r="P1315" s="14" t="s">
        <v>8969</v>
      </c>
      <c r="Q1315" s="14" t="s">
        <v>175</v>
      </c>
      <c r="R1315" s="14" t="s">
        <v>8970</v>
      </c>
      <c r="S1315" s="14" t="s">
        <v>7567</v>
      </c>
      <c r="T1315" s="14" t="s">
        <v>7568</v>
      </c>
      <c r="U1315" s="14" t="s">
        <v>7569</v>
      </c>
      <c r="V1315" s="48">
        <f>SUMIF(Data!$E:$E,$I1315,Data!$AI:$AI)</f>
        <v>0</v>
      </c>
    </row>
    <row r="1316" spans="1:22" x14ac:dyDescent="0.25">
      <c r="A1316" s="47" t="s">
        <v>8844</v>
      </c>
      <c r="B1316" s="47" t="s">
        <v>123</v>
      </c>
      <c r="C1316" s="47" t="s">
        <v>4984</v>
      </c>
      <c r="D1316" s="47">
        <v>1.91919321009383</v>
      </c>
      <c r="E1316" s="48">
        <f>SUMIF(Data!$E:$E,$C1316,Data!$AI:$AI)</f>
        <v>0</v>
      </c>
      <c r="I1316" s="14">
        <v>9504</v>
      </c>
      <c r="J1316" s="14" t="s">
        <v>8971</v>
      </c>
      <c r="K1316" s="14" t="s">
        <v>140</v>
      </c>
      <c r="L1316" s="14" t="s">
        <v>8069</v>
      </c>
      <c r="M1316" s="14" t="s">
        <v>8390</v>
      </c>
      <c r="N1316" s="14">
        <v>205.87799999999999</v>
      </c>
      <c r="O1316" s="14" t="s">
        <v>8972</v>
      </c>
      <c r="P1316" s="14" t="s">
        <v>8973</v>
      </c>
      <c r="Q1316" s="14" t="s">
        <v>697</v>
      </c>
      <c r="R1316" s="14" t="s">
        <v>8974</v>
      </c>
      <c r="S1316" s="14" t="s">
        <v>444</v>
      </c>
      <c r="T1316" s="14" t="s">
        <v>445</v>
      </c>
      <c r="U1316" s="14" t="s">
        <v>446</v>
      </c>
      <c r="V1316" s="48">
        <f>SUMIF(Data!$E:$E,$I1316,Data!$AI:$AI)</f>
        <v>0</v>
      </c>
    </row>
    <row r="1317" spans="1:22" x14ac:dyDescent="0.25">
      <c r="A1317" s="47" t="s">
        <v>8844</v>
      </c>
      <c r="B1317" s="47" t="s">
        <v>123</v>
      </c>
      <c r="C1317" s="47" t="s">
        <v>4991</v>
      </c>
      <c r="D1317" s="47">
        <v>1.0991404296034299</v>
      </c>
      <c r="E1317" s="48">
        <f>SUMIF(Data!$E:$E,$C1317,Data!$AI:$AI)</f>
        <v>0.38077996000694508</v>
      </c>
      <c r="I1317" s="14" t="s">
        <v>8975</v>
      </c>
      <c r="J1317" s="14" t="s">
        <v>8976</v>
      </c>
      <c r="K1317" s="14" t="s">
        <v>140</v>
      </c>
      <c r="L1317" s="14" t="s">
        <v>8069</v>
      </c>
      <c r="M1317" s="14" t="s">
        <v>8977</v>
      </c>
      <c r="N1317" s="14">
        <v>451.69799999999998</v>
      </c>
      <c r="O1317" s="14" t="s">
        <v>8978</v>
      </c>
      <c r="P1317" s="14" t="s">
        <v>8979</v>
      </c>
      <c r="Q1317" s="14" t="s">
        <v>419</v>
      </c>
      <c r="R1317" s="14" t="s">
        <v>8980</v>
      </c>
      <c r="S1317" s="14" t="s">
        <v>7567</v>
      </c>
      <c r="T1317" s="14" t="s">
        <v>7568</v>
      </c>
      <c r="U1317" s="14" t="s">
        <v>7569</v>
      </c>
      <c r="V1317" s="48">
        <f>SUMIF(Data!$E:$E,$I1317,Data!$AI:$AI)</f>
        <v>0</v>
      </c>
    </row>
    <row r="1318" spans="1:22" x14ac:dyDescent="0.25">
      <c r="A1318" s="47" t="s">
        <v>8844</v>
      </c>
      <c r="B1318" s="47" t="s">
        <v>123</v>
      </c>
      <c r="C1318" s="47" t="s">
        <v>4998</v>
      </c>
      <c r="D1318" s="47">
        <v>3.0160671396114802</v>
      </c>
      <c r="E1318" s="48">
        <f>SUMIF(Data!$E:$E,$C1318,Data!$AI:$AI)</f>
        <v>0</v>
      </c>
      <c r="I1318" s="14" t="s">
        <v>8981</v>
      </c>
      <c r="J1318" s="14" t="s">
        <v>8982</v>
      </c>
      <c r="K1318" s="14" t="s">
        <v>140</v>
      </c>
      <c r="L1318" s="14" t="s">
        <v>8069</v>
      </c>
      <c r="M1318" s="14" t="s">
        <v>8983</v>
      </c>
      <c r="N1318" s="14" t="s">
        <v>8984</v>
      </c>
      <c r="O1318" s="14" t="s">
        <v>8985</v>
      </c>
      <c r="P1318" s="14" t="s">
        <v>8986</v>
      </c>
      <c r="Q1318" s="14" t="s">
        <v>809</v>
      </c>
      <c r="R1318" s="14" t="s">
        <v>8987</v>
      </c>
      <c r="S1318" s="14" t="s">
        <v>2368</v>
      </c>
      <c r="T1318" s="14" t="s">
        <v>2369</v>
      </c>
      <c r="U1318" s="14" t="s">
        <v>2370</v>
      </c>
      <c r="V1318" s="48">
        <f>SUMIF(Data!$E:$E,$I1318,Data!$AI:$AI)</f>
        <v>0</v>
      </c>
    </row>
    <row r="1319" spans="1:22" x14ac:dyDescent="0.25">
      <c r="A1319" s="47" t="s">
        <v>8988</v>
      </c>
      <c r="B1319" s="47" t="s">
        <v>123</v>
      </c>
      <c r="C1319" s="47" t="s">
        <v>4789</v>
      </c>
      <c r="D1319" s="47">
        <v>4.0163592824213801</v>
      </c>
      <c r="E1319" s="48">
        <f>SUMIF(Data!$E:$E,$C1319,Data!$AI:$AI)</f>
        <v>0</v>
      </c>
      <c r="I1319" s="14" t="s">
        <v>8989</v>
      </c>
      <c r="J1319" s="14" t="s">
        <v>8990</v>
      </c>
      <c r="K1319" s="14" t="s">
        <v>140</v>
      </c>
      <c r="L1319" s="14" t="s">
        <v>8069</v>
      </c>
      <c r="M1319" s="14" t="s">
        <v>8991</v>
      </c>
      <c r="N1319" s="14">
        <v>218.977</v>
      </c>
      <c r="O1319" s="14" t="s">
        <v>8992</v>
      </c>
      <c r="P1319" s="14" t="s">
        <v>8993</v>
      </c>
      <c r="Q1319" s="14" t="s">
        <v>165</v>
      </c>
      <c r="R1319" s="14" t="s">
        <v>8994</v>
      </c>
      <c r="S1319" s="14" t="s">
        <v>479</v>
      </c>
      <c r="T1319" s="14" t="s">
        <v>480</v>
      </c>
      <c r="U1319" s="14" t="s">
        <v>481</v>
      </c>
      <c r="V1319" s="48">
        <f>SUMIF(Data!$E:$E,$I1319,Data!$AI:$AI)</f>
        <v>0</v>
      </c>
    </row>
    <row r="1320" spans="1:22" x14ac:dyDescent="0.25">
      <c r="A1320" s="47" t="s">
        <v>8988</v>
      </c>
      <c r="B1320" s="47" t="s">
        <v>123</v>
      </c>
      <c r="C1320" s="47" t="s">
        <v>3205</v>
      </c>
      <c r="D1320" s="47">
        <v>4.0396446966952801</v>
      </c>
      <c r="E1320" s="48">
        <f>SUMIF(Data!$E:$E,$C1320,Data!$AI:$AI)</f>
        <v>0</v>
      </c>
      <c r="I1320" s="14">
        <v>8729</v>
      </c>
      <c r="J1320" s="14" t="s">
        <v>8995</v>
      </c>
      <c r="K1320" s="14" t="s">
        <v>140</v>
      </c>
      <c r="L1320" s="14" t="s">
        <v>8069</v>
      </c>
      <c r="M1320" s="14" t="s">
        <v>8996</v>
      </c>
      <c r="N1320" s="14">
        <v>109.9</v>
      </c>
      <c r="O1320" s="14" t="s">
        <v>8997</v>
      </c>
      <c r="P1320" s="14" t="s">
        <v>8998</v>
      </c>
      <c r="Q1320" s="14" t="s">
        <v>193</v>
      </c>
      <c r="R1320" s="14" t="s">
        <v>8999</v>
      </c>
      <c r="S1320" s="14" t="s">
        <v>444</v>
      </c>
      <c r="T1320" s="14" t="s">
        <v>445</v>
      </c>
      <c r="U1320" s="14" t="s">
        <v>446</v>
      </c>
      <c r="V1320" s="48">
        <f>SUMIF(Data!$E:$E,$I1320,Data!$AI:$AI)</f>
        <v>0</v>
      </c>
    </row>
    <row r="1321" spans="1:22" x14ac:dyDescent="0.25">
      <c r="A1321" s="47" t="s">
        <v>8988</v>
      </c>
      <c r="B1321" s="47" t="s">
        <v>123</v>
      </c>
      <c r="C1321" s="47" t="s">
        <v>4801</v>
      </c>
      <c r="D1321" s="47">
        <v>15.082771184583001</v>
      </c>
      <c r="E1321" s="48">
        <f>SUMIF(Data!$E:$E,$C1321,Data!$AI:$AI)</f>
        <v>0.9366848889291185</v>
      </c>
      <c r="I1321" s="14" t="s">
        <v>1077</v>
      </c>
      <c r="J1321" s="14" t="s">
        <v>9000</v>
      </c>
      <c r="K1321" s="14" t="s">
        <v>140</v>
      </c>
      <c r="L1321" s="14" t="s">
        <v>8069</v>
      </c>
      <c r="M1321" s="14" t="s">
        <v>9001</v>
      </c>
      <c r="N1321" s="14">
        <v>13.622999999999999</v>
      </c>
      <c r="O1321" s="14" t="s">
        <v>9002</v>
      </c>
      <c r="P1321" s="14" t="s">
        <v>9003</v>
      </c>
      <c r="Q1321" s="14" t="s">
        <v>419</v>
      </c>
      <c r="R1321" s="14" t="s">
        <v>9004</v>
      </c>
      <c r="S1321" s="14" t="s">
        <v>563</v>
      </c>
      <c r="T1321" s="14" t="s">
        <v>564</v>
      </c>
      <c r="U1321" s="14" t="s">
        <v>528</v>
      </c>
      <c r="V1321" s="48">
        <f>SUMIF(Data!$E:$E,$I1321,Data!$AI:$AI)</f>
        <v>0</v>
      </c>
    </row>
    <row r="1322" spans="1:22" x14ac:dyDescent="0.25">
      <c r="A1322" s="47" t="s">
        <v>8988</v>
      </c>
      <c r="B1322" s="47" t="s">
        <v>123</v>
      </c>
      <c r="C1322" s="47" t="s">
        <v>3145</v>
      </c>
      <c r="D1322" s="47">
        <v>5.2165467551273599</v>
      </c>
      <c r="E1322" s="48">
        <f>SUMIF(Data!$E:$E,$C1322,Data!$AI:$AI)</f>
        <v>0</v>
      </c>
      <c r="I1322" s="14" t="s">
        <v>9005</v>
      </c>
      <c r="J1322" s="14" t="s">
        <v>9006</v>
      </c>
      <c r="K1322" s="14" t="s">
        <v>140</v>
      </c>
      <c r="L1322" s="14" t="s">
        <v>8069</v>
      </c>
      <c r="M1322" s="14" t="s">
        <v>9007</v>
      </c>
      <c r="N1322" s="14">
        <v>40.676000000000002</v>
      </c>
      <c r="O1322" s="14" t="s">
        <v>9008</v>
      </c>
      <c r="P1322" s="14" t="s">
        <v>9009</v>
      </c>
      <c r="Q1322" s="14" t="s">
        <v>146</v>
      </c>
      <c r="R1322" s="14" t="s">
        <v>9010</v>
      </c>
      <c r="S1322" s="14" t="s">
        <v>195</v>
      </c>
      <c r="T1322" s="14" t="s">
        <v>149</v>
      </c>
      <c r="U1322" s="14" t="s">
        <v>113</v>
      </c>
      <c r="V1322" s="48">
        <f>SUMIF(Data!$E:$E,$I1322,Data!$AI:$AI)</f>
        <v>0</v>
      </c>
    </row>
    <row r="1323" spans="1:22" x14ac:dyDescent="0.25">
      <c r="A1323" s="47" t="s">
        <v>8988</v>
      </c>
      <c r="B1323" s="47" t="s">
        <v>123</v>
      </c>
      <c r="C1323" s="47" t="s">
        <v>4814</v>
      </c>
      <c r="D1323" s="47">
        <v>2.11778369673987</v>
      </c>
      <c r="E1323" s="48">
        <f>SUMIF(Data!$E:$E,$C1323,Data!$AI:$AI)</f>
        <v>0</v>
      </c>
      <c r="I1323" s="14">
        <v>1997</v>
      </c>
      <c r="J1323" s="14" t="s">
        <v>9011</v>
      </c>
      <c r="K1323" s="14" t="s">
        <v>140</v>
      </c>
      <c r="L1323" s="14" t="s">
        <v>8069</v>
      </c>
      <c r="M1323" s="14" t="s">
        <v>5708</v>
      </c>
      <c r="N1323" s="14">
        <v>441.59</v>
      </c>
      <c r="O1323" s="14" t="s">
        <v>9012</v>
      </c>
      <c r="P1323" s="14" t="s">
        <v>9013</v>
      </c>
      <c r="Q1323" s="14" t="s">
        <v>809</v>
      </c>
      <c r="R1323" s="14" t="s">
        <v>9014</v>
      </c>
      <c r="S1323" s="14" t="s">
        <v>552</v>
      </c>
      <c r="T1323" s="14" t="s">
        <v>553</v>
      </c>
      <c r="U1323" s="14" t="s">
        <v>554</v>
      </c>
      <c r="V1323" s="48">
        <f>SUMIF(Data!$E:$E,$I1323,Data!$AI:$AI)</f>
        <v>0</v>
      </c>
    </row>
    <row r="1324" spans="1:22" x14ac:dyDescent="0.25">
      <c r="A1324" s="47" t="s">
        <v>8988</v>
      </c>
      <c r="B1324" s="47" t="s">
        <v>123</v>
      </c>
      <c r="C1324" s="47" t="s">
        <v>4821</v>
      </c>
      <c r="D1324" s="47">
        <v>4.6188615418212899</v>
      </c>
      <c r="E1324" s="48">
        <f>SUMIF(Data!$E:$E,$C1324,Data!$AI:$AI)</f>
        <v>0</v>
      </c>
      <c r="I1324" s="14" t="s">
        <v>9015</v>
      </c>
      <c r="J1324" s="14" t="s">
        <v>9016</v>
      </c>
      <c r="K1324" s="14" t="s">
        <v>140</v>
      </c>
      <c r="L1324" s="14" t="s">
        <v>8069</v>
      </c>
      <c r="M1324" s="14" t="s">
        <v>9017</v>
      </c>
      <c r="N1324" s="14">
        <v>60.645000000000003</v>
      </c>
      <c r="O1324" s="14" t="s">
        <v>9018</v>
      </c>
      <c r="P1324" s="14" t="s">
        <v>9019</v>
      </c>
      <c r="Q1324" s="14" t="s">
        <v>193</v>
      </c>
      <c r="R1324" s="14" t="s">
        <v>9020</v>
      </c>
      <c r="S1324" s="14" t="s">
        <v>850</v>
      </c>
      <c r="T1324" s="14" t="s">
        <v>851</v>
      </c>
      <c r="U1324" s="14" t="s">
        <v>852</v>
      </c>
      <c r="V1324" s="48">
        <f>SUMIF(Data!$E:$E,$I1324,Data!$AI:$AI)</f>
        <v>0</v>
      </c>
    </row>
    <row r="1325" spans="1:22" x14ac:dyDescent="0.25">
      <c r="A1325" s="47" t="s">
        <v>8988</v>
      </c>
      <c r="B1325" s="47" t="s">
        <v>123</v>
      </c>
      <c r="C1325" s="47" t="s">
        <v>4848</v>
      </c>
      <c r="D1325" s="47">
        <v>6.7557106247049603</v>
      </c>
      <c r="E1325" s="48">
        <f>SUMIF(Data!$E:$E,$C1325,Data!$AI:$AI)</f>
        <v>0</v>
      </c>
      <c r="I1325" s="14">
        <v>3086</v>
      </c>
      <c r="J1325" s="14" t="s">
        <v>9021</v>
      </c>
      <c r="K1325" s="14" t="s">
        <v>140</v>
      </c>
      <c r="L1325" s="14" t="s">
        <v>8069</v>
      </c>
      <c r="M1325" s="14" t="s">
        <v>9022</v>
      </c>
      <c r="N1325" s="14">
        <v>185.6</v>
      </c>
      <c r="O1325" s="14" t="s">
        <v>9023</v>
      </c>
      <c r="P1325" s="14" t="s">
        <v>9024</v>
      </c>
      <c r="Q1325" s="14" t="s">
        <v>165</v>
      </c>
      <c r="R1325" s="14" t="s">
        <v>9025</v>
      </c>
      <c r="S1325" s="14" t="s">
        <v>444</v>
      </c>
      <c r="T1325" s="14" t="s">
        <v>445</v>
      </c>
      <c r="U1325" s="14" t="s">
        <v>446</v>
      </c>
      <c r="V1325" s="48">
        <f>SUMIF(Data!$E:$E,$I1325,Data!$AI:$AI)</f>
        <v>0</v>
      </c>
    </row>
    <row r="1326" spans="1:22" x14ac:dyDescent="0.25">
      <c r="A1326" s="47" t="s">
        <v>8988</v>
      </c>
      <c r="B1326" s="47" t="s">
        <v>123</v>
      </c>
      <c r="C1326" s="47" t="s">
        <v>6759</v>
      </c>
      <c r="D1326" s="47">
        <v>2.6875853461082801</v>
      </c>
      <c r="E1326" s="48">
        <f>SUMIF(Data!$E:$E,$C1326,Data!$AI:$AI)</f>
        <v>0.31941379215436855</v>
      </c>
      <c r="I1326" s="14" t="s">
        <v>9026</v>
      </c>
      <c r="J1326" s="14" t="s">
        <v>9027</v>
      </c>
      <c r="K1326" s="14" t="s">
        <v>140</v>
      </c>
      <c r="L1326" s="14" t="s">
        <v>8069</v>
      </c>
      <c r="M1326" s="14" t="s">
        <v>9028</v>
      </c>
      <c r="N1326" s="14">
        <v>210.821</v>
      </c>
      <c r="O1326" s="14" t="s">
        <v>9029</v>
      </c>
      <c r="P1326" s="14" t="s">
        <v>9030</v>
      </c>
      <c r="Q1326" s="14" t="s">
        <v>193</v>
      </c>
      <c r="R1326" s="14" t="s">
        <v>9031</v>
      </c>
      <c r="S1326" s="14" t="s">
        <v>1130</v>
      </c>
      <c r="T1326" s="14" t="s">
        <v>1131</v>
      </c>
      <c r="U1326" s="14" t="s">
        <v>528</v>
      </c>
      <c r="V1326" s="48">
        <f>SUMIF(Data!$E:$E,$I1326,Data!$AI:$AI)</f>
        <v>0</v>
      </c>
    </row>
    <row r="1327" spans="1:22" x14ac:dyDescent="0.25">
      <c r="A1327" s="47" t="s">
        <v>8988</v>
      </c>
      <c r="B1327" s="47" t="s">
        <v>123</v>
      </c>
      <c r="C1327" s="47" t="s">
        <v>3160</v>
      </c>
      <c r="D1327" s="47">
        <v>3.92999976998634</v>
      </c>
      <c r="E1327" s="48">
        <f>SUMIF(Data!$E:$E,$C1327,Data!$AI:$AI)</f>
        <v>0.48939641738655321</v>
      </c>
      <c r="I1327" s="14" t="s">
        <v>9032</v>
      </c>
      <c r="J1327" s="14" t="s">
        <v>9033</v>
      </c>
      <c r="K1327" s="14" t="s">
        <v>140</v>
      </c>
      <c r="L1327" s="14" t="s">
        <v>8069</v>
      </c>
      <c r="M1327" s="14" t="s">
        <v>9034</v>
      </c>
      <c r="N1327" s="14">
        <v>40.793999999999997</v>
      </c>
      <c r="O1327" s="14" t="s">
        <v>9035</v>
      </c>
      <c r="P1327" s="14" t="s">
        <v>9036</v>
      </c>
      <c r="Q1327" s="14" t="s">
        <v>737</v>
      </c>
      <c r="R1327" s="14" t="s">
        <v>9037</v>
      </c>
      <c r="S1327" s="14" t="s">
        <v>526</v>
      </c>
      <c r="T1327" s="14" t="s">
        <v>527</v>
      </c>
      <c r="U1327" s="14" t="s">
        <v>528</v>
      </c>
      <c r="V1327" s="48">
        <f>SUMIF(Data!$E:$E,$I1327,Data!$AI:$AI)</f>
        <v>0</v>
      </c>
    </row>
    <row r="1328" spans="1:22" x14ac:dyDescent="0.25">
      <c r="A1328" s="47" t="s">
        <v>8988</v>
      </c>
      <c r="B1328" s="47" t="s">
        <v>123</v>
      </c>
      <c r="C1328" s="47" t="s">
        <v>4880</v>
      </c>
      <c r="D1328" s="47">
        <v>3.5567253750455499</v>
      </c>
      <c r="E1328" s="48">
        <f>SUMIF(Data!$E:$E,$C1328,Data!$AI:$AI)</f>
        <v>0</v>
      </c>
      <c r="I1328" s="14" t="s">
        <v>9038</v>
      </c>
      <c r="J1328" s="14" t="s">
        <v>9039</v>
      </c>
      <c r="K1328" s="14" t="s">
        <v>140</v>
      </c>
      <c r="L1328" s="14" t="s">
        <v>8069</v>
      </c>
      <c r="M1328" s="14" t="s">
        <v>8298</v>
      </c>
      <c r="N1328" s="14">
        <v>207.48500000000001</v>
      </c>
      <c r="O1328" s="14" t="s">
        <v>9040</v>
      </c>
      <c r="P1328" s="14" t="s">
        <v>9041</v>
      </c>
      <c r="Q1328" s="14" t="s">
        <v>146</v>
      </c>
      <c r="R1328" s="14" t="s">
        <v>9042</v>
      </c>
      <c r="S1328" s="14" t="s">
        <v>148</v>
      </c>
      <c r="T1328" s="14" t="s">
        <v>149</v>
      </c>
      <c r="U1328" s="14" t="s">
        <v>113</v>
      </c>
      <c r="V1328" s="48">
        <f>SUMIF(Data!$E:$E,$I1328,Data!$AI:$AI)</f>
        <v>0</v>
      </c>
    </row>
    <row r="1329" spans="1:22" x14ac:dyDescent="0.25">
      <c r="A1329" s="47" t="s">
        <v>8988</v>
      </c>
      <c r="B1329" s="47" t="s">
        <v>123</v>
      </c>
      <c r="C1329" s="47" t="s">
        <v>4893</v>
      </c>
      <c r="D1329" s="47">
        <v>16.0111522475264</v>
      </c>
      <c r="E1329" s="48">
        <f>SUMIF(Data!$E:$E,$C1329,Data!$AI:$AI)</f>
        <v>0.14807872778681458</v>
      </c>
      <c r="I1329" s="14" t="s">
        <v>9043</v>
      </c>
      <c r="J1329" s="14" t="s">
        <v>9044</v>
      </c>
      <c r="K1329" s="14" t="s">
        <v>140</v>
      </c>
      <c r="L1329" s="14" t="s">
        <v>8069</v>
      </c>
      <c r="M1329" s="14" t="s">
        <v>9045</v>
      </c>
      <c r="N1329" s="14">
        <v>15.409000000000001</v>
      </c>
      <c r="O1329" s="14" t="s">
        <v>9046</v>
      </c>
      <c r="P1329" s="14" t="s">
        <v>9047</v>
      </c>
      <c r="Q1329" s="14" t="s">
        <v>211</v>
      </c>
      <c r="R1329" s="14" t="s">
        <v>9048</v>
      </c>
      <c r="S1329" s="14" t="s">
        <v>563</v>
      </c>
      <c r="T1329" s="14" t="s">
        <v>564</v>
      </c>
      <c r="U1329" s="14" t="s">
        <v>528</v>
      </c>
      <c r="V1329" s="48">
        <f>SUMIF(Data!$E:$E,$I1329,Data!$AI:$AI)</f>
        <v>0</v>
      </c>
    </row>
    <row r="1330" spans="1:22" x14ac:dyDescent="0.25">
      <c r="A1330" s="47" t="s">
        <v>8988</v>
      </c>
      <c r="B1330" s="47" t="s">
        <v>123</v>
      </c>
      <c r="C1330" s="47" t="s">
        <v>4907</v>
      </c>
      <c r="D1330" s="47">
        <v>9.5195766214448305</v>
      </c>
      <c r="E1330" s="48">
        <f>SUMIF(Data!$E:$E,$C1330,Data!$AI:$AI)</f>
        <v>0</v>
      </c>
      <c r="I1330" s="14" t="s">
        <v>9049</v>
      </c>
      <c r="J1330" s="14" t="s">
        <v>9050</v>
      </c>
      <c r="K1330" s="14" t="s">
        <v>140</v>
      </c>
      <c r="L1330" s="14" t="s">
        <v>8069</v>
      </c>
      <c r="M1330" s="14" t="s">
        <v>9051</v>
      </c>
      <c r="N1330" s="14">
        <v>19.37</v>
      </c>
      <c r="O1330" s="14" t="s">
        <v>9052</v>
      </c>
      <c r="P1330" s="14" t="s">
        <v>9053</v>
      </c>
      <c r="Q1330" s="14" t="s">
        <v>146</v>
      </c>
      <c r="R1330" s="14" t="s">
        <v>9054</v>
      </c>
      <c r="S1330" s="14" t="s">
        <v>148</v>
      </c>
      <c r="T1330" s="14" t="s">
        <v>149</v>
      </c>
      <c r="U1330" s="14" t="s">
        <v>113</v>
      </c>
      <c r="V1330" s="48">
        <f>SUMIF(Data!$E:$E,$I1330,Data!$AI:$AI)</f>
        <v>0</v>
      </c>
    </row>
    <row r="1331" spans="1:22" x14ac:dyDescent="0.25">
      <c r="A1331" s="47" t="s">
        <v>8988</v>
      </c>
      <c r="B1331" s="47" t="s">
        <v>123</v>
      </c>
      <c r="C1331" s="47" t="s">
        <v>5005</v>
      </c>
      <c r="D1331" s="47">
        <v>3.3161987943606799</v>
      </c>
      <c r="E1331" s="48">
        <f>SUMIF(Data!$E:$E,$C1331,Data!$AI:$AI)</f>
        <v>0</v>
      </c>
      <c r="I1331" s="14" t="s">
        <v>9055</v>
      </c>
      <c r="J1331" s="14" t="s">
        <v>9056</v>
      </c>
      <c r="K1331" s="14" t="s">
        <v>140</v>
      </c>
      <c r="L1331" s="14" t="s">
        <v>8069</v>
      </c>
      <c r="M1331" s="14" t="s">
        <v>9057</v>
      </c>
      <c r="N1331" s="14">
        <v>159.958</v>
      </c>
      <c r="O1331" s="14" t="s">
        <v>9058</v>
      </c>
      <c r="P1331" s="14" t="s">
        <v>9059</v>
      </c>
      <c r="Q1331" s="14" t="s">
        <v>193</v>
      </c>
      <c r="R1331" s="14" t="s">
        <v>9060</v>
      </c>
      <c r="S1331" s="14" t="s">
        <v>148</v>
      </c>
      <c r="T1331" s="14" t="s">
        <v>149</v>
      </c>
      <c r="U1331" s="14" t="s">
        <v>113</v>
      </c>
      <c r="V1331" s="48">
        <f>SUMIF(Data!$E:$E,$I1331,Data!$AI:$AI)</f>
        <v>0</v>
      </c>
    </row>
    <row r="1332" spans="1:22" x14ac:dyDescent="0.25">
      <c r="A1332" s="47" t="s">
        <v>8988</v>
      </c>
      <c r="B1332" s="47" t="s">
        <v>123</v>
      </c>
      <c r="C1332" s="47" t="s">
        <v>5012</v>
      </c>
      <c r="D1332" s="47">
        <v>2.6710312570608998</v>
      </c>
      <c r="E1332" s="48">
        <f>SUMIF(Data!$E:$E,$C1332,Data!$AI:$AI)</f>
        <v>0.77934157011859584</v>
      </c>
      <c r="I1332" s="14">
        <v>7276</v>
      </c>
      <c r="J1332" s="14" t="s">
        <v>9061</v>
      </c>
      <c r="K1332" s="14" t="s">
        <v>140</v>
      </c>
      <c r="L1332" s="14" t="s">
        <v>8069</v>
      </c>
      <c r="M1332" s="14" t="s">
        <v>9062</v>
      </c>
      <c r="N1332" s="14">
        <v>57.2</v>
      </c>
      <c r="O1332" s="14" t="s">
        <v>9063</v>
      </c>
      <c r="P1332" s="14" t="s">
        <v>9064</v>
      </c>
      <c r="Q1332" s="14" t="s">
        <v>165</v>
      </c>
      <c r="R1332" s="14" t="s">
        <v>9065</v>
      </c>
      <c r="S1332" s="14" t="s">
        <v>444</v>
      </c>
      <c r="T1332" s="14" t="s">
        <v>445</v>
      </c>
      <c r="U1332" s="14" t="s">
        <v>446</v>
      </c>
      <c r="V1332" s="48">
        <f>SUMIF(Data!$E:$E,$I1332,Data!$AI:$AI)</f>
        <v>0</v>
      </c>
    </row>
    <row r="1333" spans="1:22" x14ac:dyDescent="0.25">
      <c r="A1333" s="47" t="s">
        <v>8988</v>
      </c>
      <c r="B1333" s="47" t="s">
        <v>123</v>
      </c>
      <c r="C1333" s="47" t="s">
        <v>5019</v>
      </c>
      <c r="D1333" s="47">
        <v>8.4163961514459906</v>
      </c>
      <c r="E1333" s="48">
        <f>SUMIF(Data!$E:$E,$C1333,Data!$AI:$AI)</f>
        <v>0</v>
      </c>
      <c r="I1333" s="14">
        <v>880</v>
      </c>
      <c r="J1333" s="14" t="s">
        <v>9066</v>
      </c>
      <c r="K1333" s="14" t="s">
        <v>140</v>
      </c>
      <c r="L1333" s="14" t="s">
        <v>8069</v>
      </c>
      <c r="M1333" s="14" t="s">
        <v>9067</v>
      </c>
      <c r="N1333" s="14" t="s">
        <v>9068</v>
      </c>
      <c r="O1333" s="14" t="s">
        <v>9069</v>
      </c>
      <c r="P1333" s="14" t="s">
        <v>9070</v>
      </c>
      <c r="Q1333" s="14" t="s">
        <v>165</v>
      </c>
      <c r="R1333" s="14" t="s">
        <v>9071</v>
      </c>
      <c r="S1333" s="14" t="s">
        <v>552</v>
      </c>
      <c r="T1333" s="14" t="s">
        <v>553</v>
      </c>
      <c r="U1333" s="14" t="s">
        <v>554</v>
      </c>
      <c r="V1333" s="48">
        <f>SUMIF(Data!$E:$E,$I1333,Data!$AI:$AI)</f>
        <v>0</v>
      </c>
    </row>
    <row r="1334" spans="1:22" x14ac:dyDescent="0.25">
      <c r="A1334" s="47" t="s">
        <v>8988</v>
      </c>
      <c r="B1334" s="47" t="s">
        <v>123</v>
      </c>
      <c r="C1334" s="47" t="s">
        <v>5026</v>
      </c>
      <c r="D1334" s="47">
        <v>8.0436566549278208</v>
      </c>
      <c r="E1334" s="48">
        <f>SUMIF(Data!$E:$E,$C1334,Data!$AI:$AI)</f>
        <v>0</v>
      </c>
      <c r="I1334" s="14" t="s">
        <v>9072</v>
      </c>
      <c r="J1334" s="14" t="s">
        <v>9073</v>
      </c>
      <c r="K1334" s="14" t="s">
        <v>140</v>
      </c>
      <c r="L1334" s="14" t="s">
        <v>8069</v>
      </c>
      <c r="M1334" s="14" t="s">
        <v>9074</v>
      </c>
      <c r="N1334" s="14">
        <v>21.335000000000001</v>
      </c>
      <c r="O1334" s="14" t="s">
        <v>9075</v>
      </c>
      <c r="P1334" s="14" t="s">
        <v>9076</v>
      </c>
      <c r="Q1334" s="14" t="s">
        <v>419</v>
      </c>
      <c r="R1334" s="14" t="s">
        <v>9077</v>
      </c>
      <c r="S1334" s="14" t="s">
        <v>195</v>
      </c>
      <c r="T1334" s="14" t="s">
        <v>149</v>
      </c>
      <c r="U1334" s="14" t="s">
        <v>113</v>
      </c>
      <c r="V1334" s="48">
        <f>SUMIF(Data!$E:$E,$I1334,Data!$AI:$AI)</f>
        <v>0</v>
      </c>
    </row>
    <row r="1335" spans="1:22" x14ac:dyDescent="0.25">
      <c r="A1335" s="47" t="s">
        <v>9078</v>
      </c>
      <c r="B1335" s="47" t="s">
        <v>123</v>
      </c>
      <c r="C1335" s="47" t="s">
        <v>4768</v>
      </c>
      <c r="D1335" s="47">
        <v>1.5132219638237701</v>
      </c>
      <c r="E1335" s="48">
        <f>SUMIF(Data!$E:$E,$C1335,Data!$AI:$AI)</f>
        <v>0</v>
      </c>
      <c r="I1335" s="14" t="s">
        <v>9079</v>
      </c>
      <c r="J1335" s="14" t="s">
        <v>9080</v>
      </c>
      <c r="K1335" s="14" t="s">
        <v>140</v>
      </c>
      <c r="L1335" s="14" t="s">
        <v>8069</v>
      </c>
      <c r="M1335" s="14" t="s">
        <v>9081</v>
      </c>
      <c r="N1335" s="14">
        <v>2.0329999999999999</v>
      </c>
      <c r="O1335" s="14" t="s">
        <v>9082</v>
      </c>
      <c r="P1335" s="14" t="s">
        <v>9083</v>
      </c>
      <c r="Q1335" s="14" t="s">
        <v>419</v>
      </c>
      <c r="R1335" s="14" t="s">
        <v>9084</v>
      </c>
      <c r="S1335" s="14" t="s">
        <v>771</v>
      </c>
      <c r="T1335" s="14" t="s">
        <v>772</v>
      </c>
      <c r="U1335" s="14" t="s">
        <v>773</v>
      </c>
      <c r="V1335" s="48">
        <f>SUMIF(Data!$E:$E,$I1335,Data!$AI:$AI)</f>
        <v>0</v>
      </c>
    </row>
    <row r="1336" spans="1:22" x14ac:dyDescent="0.25">
      <c r="A1336" s="47" t="s">
        <v>9078</v>
      </c>
      <c r="B1336" s="47" t="s">
        <v>123</v>
      </c>
      <c r="C1336" s="47" t="s">
        <v>4782</v>
      </c>
      <c r="D1336" s="47">
        <v>1.5851943071283701</v>
      </c>
      <c r="E1336" s="48">
        <f>SUMIF(Data!$E:$E,$C1336,Data!$AI:$AI)</f>
        <v>0</v>
      </c>
      <c r="I1336" s="14">
        <v>2267</v>
      </c>
      <c r="J1336" s="14" t="s">
        <v>9085</v>
      </c>
      <c r="K1336" s="14" t="s">
        <v>140</v>
      </c>
      <c r="L1336" s="14" t="s">
        <v>8069</v>
      </c>
      <c r="M1336" s="14" t="s">
        <v>9086</v>
      </c>
      <c r="N1336" s="14">
        <v>46.9</v>
      </c>
      <c r="O1336" s="14" t="s">
        <v>9087</v>
      </c>
      <c r="P1336" s="14" t="s">
        <v>9088</v>
      </c>
      <c r="Q1336" s="14" t="s">
        <v>227</v>
      </c>
      <c r="R1336" s="14" t="s">
        <v>9089</v>
      </c>
      <c r="S1336" s="14" t="s">
        <v>444</v>
      </c>
      <c r="T1336" s="14" t="s">
        <v>445</v>
      </c>
      <c r="U1336" s="14" t="s">
        <v>446</v>
      </c>
      <c r="V1336" s="48">
        <f>SUMIF(Data!$E:$E,$I1336,Data!$AI:$AI)</f>
        <v>0</v>
      </c>
    </row>
    <row r="1337" spans="1:22" x14ac:dyDescent="0.25">
      <c r="A1337" s="47" t="s">
        <v>9078</v>
      </c>
      <c r="B1337" s="47" t="s">
        <v>123</v>
      </c>
      <c r="C1337" s="47" t="s">
        <v>4789</v>
      </c>
      <c r="D1337" s="47">
        <v>1.2948838362622701</v>
      </c>
      <c r="E1337" s="48">
        <f>SUMIF(Data!$E:$E,$C1337,Data!$AI:$AI)</f>
        <v>0</v>
      </c>
      <c r="I1337" s="14" t="s">
        <v>9090</v>
      </c>
      <c r="J1337" s="14" t="s">
        <v>9091</v>
      </c>
      <c r="K1337" s="14" t="s">
        <v>140</v>
      </c>
      <c r="L1337" s="14" t="s">
        <v>8069</v>
      </c>
      <c r="M1337" s="14" t="s">
        <v>9092</v>
      </c>
      <c r="N1337" s="14">
        <v>183.94300000000001</v>
      </c>
      <c r="O1337" s="14" t="s">
        <v>9093</v>
      </c>
      <c r="P1337" s="14" t="s">
        <v>9094</v>
      </c>
      <c r="Q1337" s="14" t="s">
        <v>146</v>
      </c>
      <c r="R1337" s="14" t="s">
        <v>9095</v>
      </c>
      <c r="S1337" s="14" t="s">
        <v>479</v>
      </c>
      <c r="T1337" s="14" t="s">
        <v>480</v>
      </c>
      <c r="U1337" s="14" t="s">
        <v>481</v>
      </c>
      <c r="V1337" s="48">
        <f>SUMIF(Data!$E:$E,$I1337,Data!$AI:$AI)</f>
        <v>0</v>
      </c>
    </row>
    <row r="1338" spans="1:22" x14ac:dyDescent="0.25">
      <c r="A1338" s="47" t="s">
        <v>9078</v>
      </c>
      <c r="B1338" s="47" t="s">
        <v>123</v>
      </c>
      <c r="C1338" s="47" t="s">
        <v>3205</v>
      </c>
      <c r="D1338" s="47">
        <v>1.3023911095024701</v>
      </c>
      <c r="E1338" s="48">
        <f>SUMIF(Data!$E:$E,$C1338,Data!$AI:$AI)</f>
        <v>0</v>
      </c>
      <c r="I1338" s="14" t="s">
        <v>9096</v>
      </c>
      <c r="J1338" s="14" t="s">
        <v>9097</v>
      </c>
      <c r="K1338" s="14" t="s">
        <v>140</v>
      </c>
      <c r="L1338" s="14" t="s">
        <v>8069</v>
      </c>
      <c r="M1338" s="14" t="s">
        <v>9098</v>
      </c>
      <c r="N1338" s="14">
        <v>60.231000000000002</v>
      </c>
      <c r="O1338" s="14" t="s">
        <v>9099</v>
      </c>
      <c r="P1338" s="14" t="s">
        <v>9100</v>
      </c>
      <c r="Q1338" s="14" t="s">
        <v>193</v>
      </c>
      <c r="R1338" s="14" t="s">
        <v>9101</v>
      </c>
      <c r="S1338" s="14" t="s">
        <v>479</v>
      </c>
      <c r="T1338" s="14" t="s">
        <v>480</v>
      </c>
      <c r="U1338" s="14" t="s">
        <v>481</v>
      </c>
      <c r="V1338" s="48">
        <f>SUMIF(Data!$E:$E,$I1338,Data!$AI:$AI)</f>
        <v>0</v>
      </c>
    </row>
    <row r="1339" spans="1:22" x14ac:dyDescent="0.25">
      <c r="A1339" s="47" t="s">
        <v>9078</v>
      </c>
      <c r="B1339" s="47" t="s">
        <v>123</v>
      </c>
      <c r="C1339" s="47" t="s">
        <v>4801</v>
      </c>
      <c r="D1339" s="47">
        <v>4.8627214946727699</v>
      </c>
      <c r="E1339" s="48">
        <f>SUMIF(Data!$E:$E,$C1339,Data!$AI:$AI)</f>
        <v>0.9366848889291185</v>
      </c>
      <c r="I1339" s="14" t="s">
        <v>9102</v>
      </c>
      <c r="J1339" s="14" t="s">
        <v>9103</v>
      </c>
      <c r="K1339" s="14" t="s">
        <v>140</v>
      </c>
      <c r="L1339" s="14" t="s">
        <v>8069</v>
      </c>
      <c r="M1339" s="14" t="s">
        <v>9104</v>
      </c>
      <c r="N1339" s="14" t="s">
        <v>9105</v>
      </c>
      <c r="O1339" s="14" t="s">
        <v>9106</v>
      </c>
      <c r="P1339" s="14" t="s">
        <v>9107</v>
      </c>
      <c r="Q1339" s="14" t="s">
        <v>809</v>
      </c>
      <c r="R1339" s="14" t="s">
        <v>9108</v>
      </c>
      <c r="S1339" s="14" t="s">
        <v>2368</v>
      </c>
      <c r="T1339" s="14" t="s">
        <v>2369</v>
      </c>
      <c r="U1339" s="14" t="s">
        <v>2370</v>
      </c>
      <c r="V1339" s="48">
        <f>SUMIF(Data!$E:$E,$I1339,Data!$AI:$AI)</f>
        <v>0</v>
      </c>
    </row>
    <row r="1340" spans="1:22" x14ac:dyDescent="0.25">
      <c r="A1340" s="47" t="s">
        <v>9078</v>
      </c>
      <c r="B1340" s="47" t="s">
        <v>123</v>
      </c>
      <c r="C1340" s="47" t="s">
        <v>3145</v>
      </c>
      <c r="D1340" s="47">
        <v>1.6818271472587201</v>
      </c>
      <c r="E1340" s="48">
        <f>SUMIF(Data!$E:$E,$C1340,Data!$AI:$AI)</f>
        <v>0</v>
      </c>
      <c r="I1340" s="14">
        <v>23</v>
      </c>
      <c r="J1340" s="14" t="s">
        <v>9109</v>
      </c>
      <c r="K1340" s="14" t="s">
        <v>140</v>
      </c>
      <c r="L1340" s="14" t="s">
        <v>8069</v>
      </c>
      <c r="M1340" s="14" t="s">
        <v>6950</v>
      </c>
      <c r="N1340" s="14" t="s">
        <v>9110</v>
      </c>
      <c r="O1340" s="14" t="s">
        <v>9111</v>
      </c>
      <c r="P1340" s="14" t="s">
        <v>9112</v>
      </c>
      <c r="Q1340" s="14" t="s">
        <v>193</v>
      </c>
      <c r="R1340" s="14" t="s">
        <v>9113</v>
      </c>
      <c r="S1340" s="14" t="s">
        <v>552</v>
      </c>
      <c r="T1340" s="14" t="s">
        <v>553</v>
      </c>
      <c r="U1340" s="14" t="s">
        <v>554</v>
      </c>
      <c r="V1340" s="48">
        <f>SUMIF(Data!$E:$E,$I1340,Data!$AI:$AI)</f>
        <v>0</v>
      </c>
    </row>
    <row r="1341" spans="1:22" x14ac:dyDescent="0.25">
      <c r="A1341" s="47" t="s">
        <v>9078</v>
      </c>
      <c r="B1341" s="47" t="s">
        <v>123</v>
      </c>
      <c r="C1341" s="47" t="s">
        <v>4814</v>
      </c>
      <c r="D1341" s="47">
        <v>0.68277852771053804</v>
      </c>
      <c r="E1341" s="48">
        <f>SUMIF(Data!$E:$E,$C1341,Data!$AI:$AI)</f>
        <v>0</v>
      </c>
      <c r="I1341" s="14" t="s">
        <v>9114</v>
      </c>
      <c r="J1341" s="14" t="s">
        <v>9115</v>
      </c>
      <c r="K1341" s="14" t="s">
        <v>140</v>
      </c>
      <c r="L1341" s="14" t="s">
        <v>8069</v>
      </c>
      <c r="M1341" s="14" t="s">
        <v>9116</v>
      </c>
      <c r="N1341" s="14">
        <v>124.36499999999999</v>
      </c>
      <c r="O1341" s="14" t="s">
        <v>9117</v>
      </c>
      <c r="P1341" s="14" t="s">
        <v>9118</v>
      </c>
      <c r="Q1341" s="14" t="s">
        <v>175</v>
      </c>
      <c r="R1341" s="14" t="s">
        <v>9119</v>
      </c>
      <c r="S1341" s="14" t="s">
        <v>148</v>
      </c>
      <c r="T1341" s="14" t="s">
        <v>149</v>
      </c>
      <c r="U1341" s="14" t="s">
        <v>113</v>
      </c>
      <c r="V1341" s="48">
        <f>SUMIF(Data!$E:$E,$I1341,Data!$AI:$AI)</f>
        <v>0</v>
      </c>
    </row>
    <row r="1342" spans="1:22" x14ac:dyDescent="0.25">
      <c r="A1342" s="47" t="s">
        <v>9078</v>
      </c>
      <c r="B1342" s="47" t="s">
        <v>123</v>
      </c>
      <c r="C1342" s="47" t="s">
        <v>4821</v>
      </c>
      <c r="D1342" s="47">
        <v>1.4891320053499</v>
      </c>
      <c r="E1342" s="48">
        <f>SUMIF(Data!$E:$E,$C1342,Data!$AI:$AI)</f>
        <v>0</v>
      </c>
      <c r="I1342" s="14">
        <v>83</v>
      </c>
      <c r="J1342" s="14" t="s">
        <v>9120</v>
      </c>
      <c r="K1342" s="14" t="s">
        <v>140</v>
      </c>
      <c r="L1342" s="14" t="s">
        <v>8069</v>
      </c>
      <c r="M1342" s="14" t="s">
        <v>9121</v>
      </c>
      <c r="N1342" s="14" t="s">
        <v>9122</v>
      </c>
      <c r="O1342" s="14" t="s">
        <v>9123</v>
      </c>
      <c r="P1342" s="14" t="s">
        <v>9124</v>
      </c>
      <c r="Q1342" s="14" t="s">
        <v>809</v>
      </c>
      <c r="R1342" s="14" t="s">
        <v>9125</v>
      </c>
      <c r="S1342" s="14" t="s">
        <v>552</v>
      </c>
      <c r="T1342" s="14" t="s">
        <v>553</v>
      </c>
      <c r="U1342" s="14" t="s">
        <v>554</v>
      </c>
      <c r="V1342" s="48">
        <f>SUMIF(Data!$E:$E,$I1342,Data!$AI:$AI)</f>
        <v>0</v>
      </c>
    </row>
    <row r="1343" spans="1:22" x14ac:dyDescent="0.25">
      <c r="A1343" s="47" t="s">
        <v>9078</v>
      </c>
      <c r="B1343" s="47" t="s">
        <v>123</v>
      </c>
      <c r="C1343" s="47" t="s">
        <v>4841</v>
      </c>
      <c r="D1343" s="47">
        <v>3.7687719225610699</v>
      </c>
      <c r="E1343" s="48">
        <f>SUMIF(Data!$E:$E,$C1343,Data!$AI:$AI)</f>
        <v>1.1368494141004637</v>
      </c>
      <c r="I1343" s="14" t="s">
        <v>9126</v>
      </c>
      <c r="J1343" s="14" t="s">
        <v>9127</v>
      </c>
      <c r="K1343" s="14" t="s">
        <v>140</v>
      </c>
      <c r="L1343" s="14" t="s">
        <v>8069</v>
      </c>
      <c r="M1343" s="14" t="s">
        <v>9128</v>
      </c>
      <c r="N1343" s="14">
        <v>150.559</v>
      </c>
      <c r="O1343" s="14" t="s">
        <v>9129</v>
      </c>
      <c r="P1343" s="14" t="s">
        <v>9130</v>
      </c>
      <c r="Q1343" s="14" t="s">
        <v>419</v>
      </c>
      <c r="R1343" s="14" t="s">
        <v>9131</v>
      </c>
      <c r="S1343" s="14" t="s">
        <v>2931</v>
      </c>
      <c r="T1343" s="14" t="s">
        <v>2932</v>
      </c>
      <c r="U1343" s="14" t="s">
        <v>2933</v>
      </c>
      <c r="V1343" s="48">
        <f>SUMIF(Data!$E:$E,$I1343,Data!$AI:$AI)</f>
        <v>0</v>
      </c>
    </row>
    <row r="1344" spans="1:22" x14ac:dyDescent="0.25">
      <c r="A1344" s="47" t="s">
        <v>9078</v>
      </c>
      <c r="B1344" s="47" t="s">
        <v>123</v>
      </c>
      <c r="C1344" s="47" t="s">
        <v>4848</v>
      </c>
      <c r="D1344" s="47">
        <v>2.1780572591408802</v>
      </c>
      <c r="E1344" s="48">
        <f>SUMIF(Data!$E:$E,$C1344,Data!$AI:$AI)</f>
        <v>0</v>
      </c>
      <c r="I1344" s="14">
        <v>7731</v>
      </c>
      <c r="J1344" s="14" t="s">
        <v>9132</v>
      </c>
      <c r="K1344" s="14" t="s">
        <v>140</v>
      </c>
      <c r="L1344" s="14" t="s">
        <v>8069</v>
      </c>
      <c r="M1344" s="14" t="s">
        <v>9133</v>
      </c>
      <c r="N1344" s="14">
        <v>203.11099999999999</v>
      </c>
      <c r="O1344" s="14" t="s">
        <v>9134</v>
      </c>
      <c r="P1344" s="14" t="s">
        <v>9135</v>
      </c>
      <c r="Q1344" s="14" t="s">
        <v>165</v>
      </c>
      <c r="R1344" s="14" t="s">
        <v>9136</v>
      </c>
      <c r="S1344" s="14" t="s">
        <v>444</v>
      </c>
      <c r="T1344" s="14" t="s">
        <v>445</v>
      </c>
      <c r="U1344" s="14" t="s">
        <v>446</v>
      </c>
      <c r="V1344" s="48">
        <f>SUMIF(Data!$E:$E,$I1344,Data!$AI:$AI)</f>
        <v>0</v>
      </c>
    </row>
    <row r="1345" spans="1:22" x14ac:dyDescent="0.25">
      <c r="A1345" s="47" t="s">
        <v>9078</v>
      </c>
      <c r="B1345" s="47" t="s">
        <v>123</v>
      </c>
      <c r="C1345" s="47" t="s">
        <v>4855</v>
      </c>
      <c r="D1345" s="47">
        <v>29.4770902116245</v>
      </c>
      <c r="E1345" s="48">
        <f>SUMIF(Data!$E:$E,$C1345,Data!$AI:$AI)</f>
        <v>1.0989645296635115</v>
      </c>
      <c r="I1345" s="14" t="s">
        <v>5672</v>
      </c>
      <c r="J1345" s="14" t="s">
        <v>9137</v>
      </c>
      <c r="K1345" s="14" t="s">
        <v>140</v>
      </c>
      <c r="L1345" s="14" t="s">
        <v>8069</v>
      </c>
      <c r="M1345" s="14" t="s">
        <v>9138</v>
      </c>
      <c r="N1345" s="14">
        <v>45.298000000000002</v>
      </c>
      <c r="O1345" s="14" t="s">
        <v>9139</v>
      </c>
      <c r="P1345" s="14" t="s">
        <v>9140</v>
      </c>
      <c r="Q1345" s="14" t="s">
        <v>193</v>
      </c>
      <c r="R1345" s="14" t="s">
        <v>9141</v>
      </c>
      <c r="S1345" s="14" t="s">
        <v>728</v>
      </c>
      <c r="T1345" s="14" t="s">
        <v>729</v>
      </c>
      <c r="U1345" s="14" t="s">
        <v>730</v>
      </c>
      <c r="V1345" s="48">
        <f>SUMIF(Data!$E:$E,$I1345,Data!$AI:$AI)</f>
        <v>0</v>
      </c>
    </row>
    <row r="1346" spans="1:22" x14ac:dyDescent="0.25">
      <c r="A1346" s="47" t="s">
        <v>9078</v>
      </c>
      <c r="B1346" s="47" t="s">
        <v>123</v>
      </c>
      <c r="C1346" s="47" t="s">
        <v>4862</v>
      </c>
      <c r="D1346" s="47">
        <v>0.881539310087053</v>
      </c>
      <c r="E1346" s="48">
        <f>SUMIF(Data!$E:$E,$C1346,Data!$AI:$AI)</f>
        <v>0.397519933142436</v>
      </c>
      <c r="I1346" s="14" t="s">
        <v>9142</v>
      </c>
      <c r="J1346" s="14" t="s">
        <v>9143</v>
      </c>
      <c r="K1346" s="14" t="s">
        <v>140</v>
      </c>
      <c r="L1346" s="14" t="s">
        <v>8069</v>
      </c>
      <c r="M1346" s="14" t="s">
        <v>9144</v>
      </c>
      <c r="N1346" s="14">
        <v>27.51</v>
      </c>
      <c r="O1346" s="14" t="s">
        <v>9145</v>
      </c>
      <c r="P1346" s="14" t="s">
        <v>9146</v>
      </c>
      <c r="Q1346" s="14" t="s">
        <v>165</v>
      </c>
      <c r="R1346" s="14" t="s">
        <v>9147</v>
      </c>
      <c r="S1346" s="14" t="s">
        <v>195</v>
      </c>
      <c r="T1346" s="14" t="s">
        <v>149</v>
      </c>
      <c r="U1346" s="14" t="s">
        <v>113</v>
      </c>
      <c r="V1346" s="48">
        <f>SUMIF(Data!$E:$E,$I1346,Data!$AI:$AI)</f>
        <v>0</v>
      </c>
    </row>
    <row r="1347" spans="1:22" x14ac:dyDescent="0.25">
      <c r="A1347" s="47" t="s">
        <v>9078</v>
      </c>
      <c r="B1347" s="47" t="s">
        <v>123</v>
      </c>
      <c r="C1347" s="47" t="s">
        <v>3160</v>
      </c>
      <c r="D1347" s="47">
        <v>1.2670413229569899</v>
      </c>
      <c r="E1347" s="48">
        <f>SUMIF(Data!$E:$E,$C1347,Data!$AI:$AI)</f>
        <v>0.48939641738655321</v>
      </c>
      <c r="I1347" s="14" t="s">
        <v>9148</v>
      </c>
      <c r="J1347" s="14" t="s">
        <v>9149</v>
      </c>
      <c r="K1347" s="14" t="s">
        <v>140</v>
      </c>
      <c r="L1347" s="14" t="s">
        <v>8069</v>
      </c>
      <c r="M1347" s="14" t="s">
        <v>9150</v>
      </c>
      <c r="N1347" s="14">
        <v>59.509</v>
      </c>
      <c r="O1347" s="14" t="s">
        <v>9151</v>
      </c>
      <c r="P1347" s="14" t="s">
        <v>9152</v>
      </c>
      <c r="Q1347" s="14" t="s">
        <v>419</v>
      </c>
      <c r="R1347" s="14" t="s">
        <v>9153</v>
      </c>
      <c r="S1347" s="14" t="s">
        <v>5891</v>
      </c>
      <c r="T1347" s="14" t="s">
        <v>5892</v>
      </c>
      <c r="U1347" s="14" t="s">
        <v>528</v>
      </c>
      <c r="V1347" s="48">
        <f>SUMIF(Data!$E:$E,$I1347,Data!$AI:$AI)</f>
        <v>0</v>
      </c>
    </row>
    <row r="1348" spans="1:22" x14ac:dyDescent="0.25">
      <c r="A1348" s="47" t="s">
        <v>9078</v>
      </c>
      <c r="B1348" s="47" t="s">
        <v>123</v>
      </c>
      <c r="C1348" s="47" t="s">
        <v>4873</v>
      </c>
      <c r="D1348" s="47">
        <v>2.4324692042401401</v>
      </c>
      <c r="E1348" s="48">
        <f>SUMIF(Data!$E:$E,$C1348,Data!$AI:$AI)</f>
        <v>0</v>
      </c>
      <c r="I1348" s="14">
        <v>1812</v>
      </c>
      <c r="J1348" s="14" t="s">
        <v>9154</v>
      </c>
      <c r="K1348" s="14" t="s">
        <v>140</v>
      </c>
      <c r="L1348" s="14" t="s">
        <v>8069</v>
      </c>
      <c r="M1348" s="14" t="s">
        <v>9155</v>
      </c>
      <c r="N1348" s="14">
        <v>193.267</v>
      </c>
      <c r="O1348" s="14" t="s">
        <v>9156</v>
      </c>
      <c r="P1348" s="14" t="s">
        <v>9157</v>
      </c>
      <c r="Q1348" s="14" t="s">
        <v>419</v>
      </c>
      <c r="R1348" s="14" t="s">
        <v>9158</v>
      </c>
      <c r="S1348" s="14" t="s">
        <v>444</v>
      </c>
      <c r="T1348" s="14" t="s">
        <v>445</v>
      </c>
      <c r="U1348" s="14" t="s">
        <v>446</v>
      </c>
      <c r="V1348" s="48">
        <f>SUMIF(Data!$E:$E,$I1348,Data!$AI:$AI)</f>
        <v>0</v>
      </c>
    </row>
    <row r="1349" spans="1:22" x14ac:dyDescent="0.25">
      <c r="A1349" s="47" t="s">
        <v>9078</v>
      </c>
      <c r="B1349" s="47" t="s">
        <v>123</v>
      </c>
      <c r="C1349" s="47" t="s">
        <v>4880</v>
      </c>
      <c r="D1349" s="47">
        <v>1.14669676548303</v>
      </c>
      <c r="E1349" s="48">
        <f>SUMIF(Data!$E:$E,$C1349,Data!$AI:$AI)</f>
        <v>0</v>
      </c>
      <c r="I1349" s="14">
        <v>3003</v>
      </c>
      <c r="J1349" s="14" t="s">
        <v>9159</v>
      </c>
      <c r="K1349" s="14" t="s">
        <v>140</v>
      </c>
      <c r="L1349" s="14" t="s">
        <v>8069</v>
      </c>
      <c r="M1349" s="14" t="s">
        <v>9160</v>
      </c>
      <c r="N1349" s="14">
        <v>206.334</v>
      </c>
      <c r="O1349" s="14" t="s">
        <v>9161</v>
      </c>
      <c r="P1349" s="14" t="s">
        <v>9162</v>
      </c>
      <c r="Q1349" s="14" t="s">
        <v>809</v>
      </c>
      <c r="R1349" s="14" t="s">
        <v>9163</v>
      </c>
      <c r="S1349" s="14" t="s">
        <v>444</v>
      </c>
      <c r="T1349" s="14" t="s">
        <v>445</v>
      </c>
      <c r="U1349" s="14" t="s">
        <v>446</v>
      </c>
      <c r="V1349" s="48">
        <f>SUMIF(Data!$E:$E,$I1349,Data!$AI:$AI)</f>
        <v>0</v>
      </c>
    </row>
    <row r="1350" spans="1:22" x14ac:dyDescent="0.25">
      <c r="A1350" s="47" t="s">
        <v>9078</v>
      </c>
      <c r="B1350" s="47" t="s">
        <v>123</v>
      </c>
      <c r="C1350" s="47" t="s">
        <v>4893</v>
      </c>
      <c r="D1350" s="47">
        <v>5.1620337692391596</v>
      </c>
      <c r="E1350" s="48">
        <f>SUMIF(Data!$E:$E,$C1350,Data!$AI:$AI)</f>
        <v>0.14807872778681458</v>
      </c>
      <c r="I1350" s="14" t="s">
        <v>9164</v>
      </c>
      <c r="J1350" s="14" t="s">
        <v>9165</v>
      </c>
      <c r="K1350" s="14" t="s">
        <v>140</v>
      </c>
      <c r="L1350" s="14" t="s">
        <v>8069</v>
      </c>
      <c r="M1350" s="14" t="s">
        <v>9166</v>
      </c>
      <c r="N1350" s="14">
        <v>19.02</v>
      </c>
      <c r="O1350" s="14" t="s">
        <v>9167</v>
      </c>
      <c r="P1350" s="14" t="s">
        <v>9168</v>
      </c>
      <c r="Q1350" s="14" t="s">
        <v>193</v>
      </c>
      <c r="R1350" s="14" t="s">
        <v>9169</v>
      </c>
      <c r="S1350" s="14" t="s">
        <v>563</v>
      </c>
      <c r="T1350" s="14" t="s">
        <v>564</v>
      </c>
      <c r="U1350" s="14" t="s">
        <v>528</v>
      </c>
      <c r="V1350" s="48">
        <f>SUMIF(Data!$E:$E,$I1350,Data!$AI:$AI)</f>
        <v>0</v>
      </c>
    </row>
    <row r="1351" spans="1:22" x14ac:dyDescent="0.25">
      <c r="A1351" s="47" t="s">
        <v>9078</v>
      </c>
      <c r="B1351" s="47" t="s">
        <v>123</v>
      </c>
      <c r="C1351" s="47" t="s">
        <v>4900</v>
      </c>
      <c r="D1351" s="47">
        <v>2.0765124891211801</v>
      </c>
      <c r="E1351" s="48">
        <f>SUMIF(Data!$E:$E,$C1351,Data!$AI:$AI)</f>
        <v>0</v>
      </c>
      <c r="I1351" s="14">
        <v>4217</v>
      </c>
      <c r="J1351" s="14" t="s">
        <v>9170</v>
      </c>
      <c r="K1351" s="14" t="s">
        <v>140</v>
      </c>
      <c r="L1351" s="14" t="s">
        <v>8069</v>
      </c>
      <c r="M1351" s="14" t="s">
        <v>9171</v>
      </c>
      <c r="N1351" s="14">
        <v>59.7</v>
      </c>
      <c r="O1351" s="14" t="s">
        <v>9172</v>
      </c>
      <c r="P1351" s="14" t="s">
        <v>9173</v>
      </c>
      <c r="Q1351" s="14" t="s">
        <v>737</v>
      </c>
      <c r="R1351" s="14" t="s">
        <v>9174</v>
      </c>
      <c r="S1351" s="14" t="s">
        <v>444</v>
      </c>
      <c r="T1351" s="14" t="s">
        <v>445</v>
      </c>
      <c r="U1351" s="14" t="s">
        <v>446</v>
      </c>
      <c r="V1351" s="48">
        <f>SUMIF(Data!$E:$E,$I1351,Data!$AI:$AI)</f>
        <v>0</v>
      </c>
    </row>
    <row r="1352" spans="1:22" x14ac:dyDescent="0.25">
      <c r="A1352" s="47" t="s">
        <v>9078</v>
      </c>
      <c r="B1352" s="47" t="s">
        <v>123</v>
      </c>
      <c r="C1352" s="47" t="s">
        <v>4907</v>
      </c>
      <c r="D1352" s="47">
        <v>3.0691342652337599</v>
      </c>
      <c r="E1352" s="48">
        <f>SUMIF(Data!$E:$E,$C1352,Data!$AI:$AI)</f>
        <v>0</v>
      </c>
      <c r="I1352" s="14">
        <v>8028</v>
      </c>
      <c r="J1352" s="14" t="s">
        <v>9175</v>
      </c>
      <c r="K1352" s="14" t="s">
        <v>140</v>
      </c>
      <c r="L1352" s="14" t="s">
        <v>8069</v>
      </c>
      <c r="M1352" s="14" t="s">
        <v>9176</v>
      </c>
      <c r="N1352" s="14">
        <v>104</v>
      </c>
      <c r="O1352" s="14" t="s">
        <v>9177</v>
      </c>
      <c r="P1352" s="14" t="s">
        <v>9178</v>
      </c>
      <c r="Q1352" s="14" t="s">
        <v>227</v>
      </c>
      <c r="R1352" s="14" t="s">
        <v>9179</v>
      </c>
      <c r="S1352" s="14" t="s">
        <v>444</v>
      </c>
      <c r="T1352" s="14" t="s">
        <v>445</v>
      </c>
      <c r="U1352" s="14" t="s">
        <v>446</v>
      </c>
      <c r="V1352" s="48">
        <f>SUMIF(Data!$E:$E,$I1352,Data!$AI:$AI)</f>
        <v>0</v>
      </c>
    </row>
    <row r="1353" spans="1:22" x14ac:dyDescent="0.25">
      <c r="A1353" s="47" t="s">
        <v>9078</v>
      </c>
      <c r="B1353" s="47" t="s">
        <v>123</v>
      </c>
      <c r="C1353" s="47" t="s">
        <v>4919</v>
      </c>
      <c r="D1353" s="47">
        <v>0.82249383334614701</v>
      </c>
      <c r="E1353" s="48">
        <f>SUMIF(Data!$E:$E,$C1353,Data!$AI:$AI)</f>
        <v>0.63880820904302782</v>
      </c>
      <c r="I1353" s="14" t="s">
        <v>9180</v>
      </c>
      <c r="J1353" s="14" t="s">
        <v>9181</v>
      </c>
      <c r="K1353" s="14" t="s">
        <v>140</v>
      </c>
      <c r="L1353" s="14" t="s">
        <v>8069</v>
      </c>
      <c r="M1353" s="14" t="s">
        <v>9182</v>
      </c>
      <c r="N1353" s="14">
        <v>36.533999999999999</v>
      </c>
      <c r="O1353" s="14" t="s">
        <v>9183</v>
      </c>
      <c r="P1353" s="14" t="s">
        <v>9184</v>
      </c>
      <c r="Q1353" s="14" t="s">
        <v>419</v>
      </c>
      <c r="R1353" s="14" t="s">
        <v>9185</v>
      </c>
      <c r="S1353" s="14" t="s">
        <v>526</v>
      </c>
      <c r="T1353" s="14" t="s">
        <v>527</v>
      </c>
      <c r="U1353" s="14" t="s">
        <v>528</v>
      </c>
      <c r="V1353" s="48">
        <f>SUMIF(Data!$E:$E,$I1353,Data!$AI:$AI)</f>
        <v>0</v>
      </c>
    </row>
    <row r="1354" spans="1:22" x14ac:dyDescent="0.25">
      <c r="A1354" s="47" t="s">
        <v>9078</v>
      </c>
      <c r="B1354" s="47" t="s">
        <v>123</v>
      </c>
      <c r="C1354" s="47" t="s">
        <v>4926</v>
      </c>
      <c r="D1354" s="47">
        <v>1.02144368466433</v>
      </c>
      <c r="E1354" s="48">
        <f>SUMIF(Data!$E:$E,$C1354,Data!$AI:$AI)</f>
        <v>0.52858464745473188</v>
      </c>
      <c r="I1354" s="14" t="s">
        <v>9186</v>
      </c>
      <c r="J1354" s="14" t="s">
        <v>9187</v>
      </c>
      <c r="K1354" s="14" t="s">
        <v>140</v>
      </c>
      <c r="L1354" s="14" t="s">
        <v>8069</v>
      </c>
      <c r="M1354" s="14" t="s">
        <v>9188</v>
      </c>
      <c r="N1354" s="14">
        <v>77.509</v>
      </c>
      <c r="O1354" s="14" t="s">
        <v>9189</v>
      </c>
      <c r="P1354" s="14" t="s">
        <v>9190</v>
      </c>
      <c r="Q1354" s="14" t="s">
        <v>175</v>
      </c>
      <c r="R1354" s="14" t="s">
        <v>9191</v>
      </c>
      <c r="S1354" s="14" t="s">
        <v>148</v>
      </c>
      <c r="T1354" s="14" t="s">
        <v>149</v>
      </c>
      <c r="U1354" s="14" t="s">
        <v>113</v>
      </c>
      <c r="V1354" s="48">
        <f>SUMIF(Data!$E:$E,$I1354,Data!$AI:$AI)</f>
        <v>0</v>
      </c>
    </row>
    <row r="1355" spans="1:22" x14ac:dyDescent="0.25">
      <c r="A1355" s="47" t="s">
        <v>9078</v>
      </c>
      <c r="B1355" s="47" t="s">
        <v>123</v>
      </c>
      <c r="C1355" s="47" t="s">
        <v>4938</v>
      </c>
      <c r="D1355" s="47">
        <v>1.1643255643866901</v>
      </c>
      <c r="E1355" s="48">
        <f>SUMIF(Data!$E:$E,$C1355,Data!$AI:$AI)</f>
        <v>0</v>
      </c>
      <c r="I1355" s="14">
        <v>8252</v>
      </c>
      <c r="J1355" s="14" t="s">
        <v>9192</v>
      </c>
      <c r="K1355" s="14" t="s">
        <v>140</v>
      </c>
      <c r="L1355" s="14" t="s">
        <v>8069</v>
      </c>
      <c r="M1355" s="14" t="s">
        <v>9193</v>
      </c>
      <c r="N1355" s="14">
        <v>97.4</v>
      </c>
      <c r="O1355" s="14" t="s">
        <v>9194</v>
      </c>
      <c r="P1355" s="14" t="s">
        <v>9195</v>
      </c>
      <c r="Q1355" s="14" t="s">
        <v>165</v>
      </c>
      <c r="R1355" s="14" t="s">
        <v>9196</v>
      </c>
      <c r="S1355" s="14" t="s">
        <v>444</v>
      </c>
      <c r="T1355" s="14" t="s">
        <v>445</v>
      </c>
      <c r="U1355" s="14" t="s">
        <v>446</v>
      </c>
      <c r="V1355" s="48">
        <f>SUMIF(Data!$E:$E,$I1355,Data!$AI:$AI)</f>
        <v>0</v>
      </c>
    </row>
    <row r="1356" spans="1:22" x14ac:dyDescent="0.25">
      <c r="A1356" s="47" t="s">
        <v>9078</v>
      </c>
      <c r="B1356" s="47" t="s">
        <v>123</v>
      </c>
      <c r="C1356" s="47" t="s">
        <v>1942</v>
      </c>
      <c r="D1356" s="47">
        <v>13.3591098423103</v>
      </c>
      <c r="E1356" s="48">
        <f>SUMIF(Data!$E:$E,$C1356,Data!$AI:$AI)</f>
        <v>0</v>
      </c>
      <c r="I1356" s="14" t="s">
        <v>9197</v>
      </c>
      <c r="J1356" s="14" t="s">
        <v>9198</v>
      </c>
      <c r="K1356" s="14" t="s">
        <v>140</v>
      </c>
      <c r="L1356" s="14" t="s">
        <v>8069</v>
      </c>
      <c r="M1356" s="14" t="s">
        <v>9199</v>
      </c>
      <c r="N1356" s="14">
        <v>52.591999999999999</v>
      </c>
      <c r="O1356" s="14" t="s">
        <v>9200</v>
      </c>
      <c r="P1356" s="14" t="s">
        <v>9201</v>
      </c>
      <c r="Q1356" s="14" t="s">
        <v>175</v>
      </c>
      <c r="R1356" s="14" t="s">
        <v>9202</v>
      </c>
      <c r="S1356" s="14" t="s">
        <v>2931</v>
      </c>
      <c r="T1356" s="14" t="s">
        <v>2932</v>
      </c>
      <c r="U1356" s="14" t="s">
        <v>2933</v>
      </c>
      <c r="V1356" s="48">
        <f>SUMIF(Data!$E:$E,$I1356,Data!$AI:$AI)</f>
        <v>0</v>
      </c>
    </row>
    <row r="1357" spans="1:22" x14ac:dyDescent="0.25">
      <c r="A1357" s="47" t="s">
        <v>9078</v>
      </c>
      <c r="B1357" s="47" t="s">
        <v>123</v>
      </c>
      <c r="C1357" s="47" t="s">
        <v>4951</v>
      </c>
      <c r="D1357" s="47">
        <v>3.9782516037388098</v>
      </c>
      <c r="E1357" s="48">
        <f>SUMIF(Data!$E:$E,$C1357,Data!$AI:$AI)</f>
        <v>0</v>
      </c>
      <c r="I1357" s="14" t="s">
        <v>9203</v>
      </c>
      <c r="J1357" s="14" t="s">
        <v>9204</v>
      </c>
      <c r="K1357" s="14" t="s">
        <v>140</v>
      </c>
      <c r="L1357" s="14" t="s">
        <v>8069</v>
      </c>
      <c r="M1357" s="14" t="s">
        <v>9205</v>
      </c>
      <c r="N1357" s="14">
        <v>178.023</v>
      </c>
      <c r="O1357" s="14" t="s">
        <v>9206</v>
      </c>
      <c r="P1357" s="14" t="s">
        <v>9207</v>
      </c>
      <c r="Q1357" s="14" t="s">
        <v>165</v>
      </c>
      <c r="R1357" s="14" t="s">
        <v>9208</v>
      </c>
      <c r="S1357" s="14" t="s">
        <v>195</v>
      </c>
      <c r="T1357" s="14" t="s">
        <v>149</v>
      </c>
      <c r="U1357" s="14" t="s">
        <v>113</v>
      </c>
      <c r="V1357" s="48">
        <f>SUMIF(Data!$E:$E,$I1357,Data!$AI:$AI)</f>
        <v>0</v>
      </c>
    </row>
    <row r="1358" spans="1:22" x14ac:dyDescent="0.25">
      <c r="A1358" s="47" t="s">
        <v>9078</v>
      </c>
      <c r="B1358" s="47" t="s">
        <v>123</v>
      </c>
      <c r="C1358" s="47" t="s">
        <v>1469</v>
      </c>
      <c r="D1358" s="47">
        <v>1.78309965502589</v>
      </c>
      <c r="E1358" s="48">
        <f>SUMIF(Data!$E:$E,$C1358,Data!$AI:$AI)</f>
        <v>0</v>
      </c>
      <c r="I1358" s="14" t="s">
        <v>9209</v>
      </c>
      <c r="J1358" s="14" t="s">
        <v>9210</v>
      </c>
      <c r="K1358" s="14" t="s">
        <v>140</v>
      </c>
      <c r="L1358" s="14" t="s">
        <v>8069</v>
      </c>
      <c r="M1358" s="14" t="s">
        <v>9211</v>
      </c>
      <c r="N1358" s="14">
        <v>118.289</v>
      </c>
      <c r="O1358" s="14" t="s">
        <v>9212</v>
      </c>
      <c r="P1358" s="14" t="s">
        <v>9213</v>
      </c>
      <c r="Q1358" s="14" t="s">
        <v>193</v>
      </c>
      <c r="R1358" s="14" t="s">
        <v>9214</v>
      </c>
      <c r="S1358" s="14" t="s">
        <v>3714</v>
      </c>
      <c r="T1358" s="14" t="s">
        <v>3715</v>
      </c>
      <c r="U1358" s="14" t="s">
        <v>3716</v>
      </c>
      <c r="V1358" s="48">
        <f>SUMIF(Data!$E:$E,$I1358,Data!$AI:$AI)</f>
        <v>0</v>
      </c>
    </row>
    <row r="1359" spans="1:22" x14ac:dyDescent="0.25">
      <c r="A1359" s="47" t="s">
        <v>9078</v>
      </c>
      <c r="B1359" s="47" t="s">
        <v>123</v>
      </c>
      <c r="C1359" s="47" t="s">
        <v>4964</v>
      </c>
      <c r="D1359" s="47">
        <v>0.965692105051977</v>
      </c>
      <c r="E1359" s="48">
        <f>SUMIF(Data!$E:$E,$C1359,Data!$AI:$AI)</f>
        <v>0</v>
      </c>
      <c r="I1359" s="14" t="s">
        <v>9215</v>
      </c>
      <c r="J1359" s="14" t="s">
        <v>9216</v>
      </c>
      <c r="K1359" s="14" t="s">
        <v>140</v>
      </c>
      <c r="L1359" s="14" t="s">
        <v>8069</v>
      </c>
      <c r="M1359" s="14" t="s">
        <v>9217</v>
      </c>
      <c r="N1359" s="14">
        <v>94.786000000000001</v>
      </c>
      <c r="O1359" s="14" t="s">
        <v>9218</v>
      </c>
      <c r="P1359" s="14" t="s">
        <v>9219</v>
      </c>
      <c r="Q1359" s="14" t="s">
        <v>165</v>
      </c>
      <c r="R1359" s="14" t="s">
        <v>9220</v>
      </c>
      <c r="S1359" s="14" t="s">
        <v>728</v>
      </c>
      <c r="T1359" s="14" t="s">
        <v>729</v>
      </c>
      <c r="U1359" s="14" t="s">
        <v>730</v>
      </c>
      <c r="V1359" s="48">
        <f>SUMIF(Data!$E:$E,$I1359,Data!$AI:$AI)</f>
        <v>0</v>
      </c>
    </row>
    <row r="1360" spans="1:22" x14ac:dyDescent="0.25">
      <c r="A1360" s="47" t="s">
        <v>9078</v>
      </c>
      <c r="B1360" s="47" t="s">
        <v>123</v>
      </c>
      <c r="C1360" s="47" t="s">
        <v>4978</v>
      </c>
      <c r="D1360" s="47">
        <v>0.95832676054323995</v>
      </c>
      <c r="E1360" s="48">
        <f>SUMIF(Data!$E:$E,$C1360,Data!$AI:$AI)</f>
        <v>0</v>
      </c>
      <c r="I1360" s="14" t="s">
        <v>9221</v>
      </c>
      <c r="J1360" s="14" t="s">
        <v>9222</v>
      </c>
      <c r="K1360" s="14" t="s">
        <v>140</v>
      </c>
      <c r="L1360" s="14" t="s">
        <v>8069</v>
      </c>
      <c r="M1360" s="14" t="s">
        <v>9223</v>
      </c>
      <c r="N1360" s="14">
        <v>137.74100000000001</v>
      </c>
      <c r="O1360" s="14" t="s">
        <v>9224</v>
      </c>
      <c r="P1360" s="14" t="s">
        <v>9225</v>
      </c>
      <c r="Q1360" s="14" t="s">
        <v>165</v>
      </c>
      <c r="R1360" s="14" t="s">
        <v>9226</v>
      </c>
      <c r="S1360" s="14" t="s">
        <v>195</v>
      </c>
      <c r="T1360" s="14" t="s">
        <v>149</v>
      </c>
      <c r="U1360" s="14" t="s">
        <v>113</v>
      </c>
      <c r="V1360" s="48">
        <f>SUMIF(Data!$E:$E,$I1360,Data!$AI:$AI)</f>
        <v>0</v>
      </c>
    </row>
    <row r="1361" spans="1:22" x14ac:dyDescent="0.25">
      <c r="A1361" s="47" t="s">
        <v>9078</v>
      </c>
      <c r="B1361" s="47" t="s">
        <v>123</v>
      </c>
      <c r="C1361" s="47" t="s">
        <v>4984</v>
      </c>
      <c r="D1361" s="47">
        <v>1.4387742548451801</v>
      </c>
      <c r="E1361" s="48">
        <f>SUMIF(Data!$E:$E,$C1361,Data!$AI:$AI)</f>
        <v>0</v>
      </c>
      <c r="I1361" s="14" t="s">
        <v>9227</v>
      </c>
      <c r="J1361" s="14" t="s">
        <v>9228</v>
      </c>
      <c r="K1361" s="14" t="s">
        <v>140</v>
      </c>
      <c r="L1361" s="14" t="s">
        <v>8069</v>
      </c>
      <c r="M1361" s="14" t="s">
        <v>9229</v>
      </c>
      <c r="N1361" s="14">
        <v>852.96199999999999</v>
      </c>
      <c r="O1361" s="14" t="s">
        <v>9230</v>
      </c>
      <c r="P1361" s="14" t="s">
        <v>9231</v>
      </c>
      <c r="Q1361" s="14" t="s">
        <v>227</v>
      </c>
      <c r="R1361" s="14" t="s">
        <v>9232</v>
      </c>
      <c r="S1361" s="14" t="s">
        <v>479</v>
      </c>
      <c r="T1361" s="14" t="s">
        <v>480</v>
      </c>
      <c r="U1361" s="14" t="s">
        <v>481</v>
      </c>
      <c r="V1361" s="48">
        <f>SUMIF(Data!$E:$E,$I1361,Data!$AI:$AI)</f>
        <v>0</v>
      </c>
    </row>
    <row r="1362" spans="1:22" x14ac:dyDescent="0.25">
      <c r="A1362" s="47" t="s">
        <v>9078</v>
      </c>
      <c r="B1362" s="47" t="s">
        <v>123</v>
      </c>
      <c r="C1362" s="47" t="s">
        <v>4998</v>
      </c>
      <c r="D1362" s="47">
        <v>2.2610749811611699</v>
      </c>
      <c r="E1362" s="48">
        <f>SUMIF(Data!$E:$E,$C1362,Data!$AI:$AI)</f>
        <v>0</v>
      </c>
      <c r="I1362" s="14" t="s">
        <v>9233</v>
      </c>
      <c r="J1362" s="14" t="s">
        <v>9234</v>
      </c>
      <c r="K1362" s="14" t="s">
        <v>140</v>
      </c>
      <c r="L1362" s="14" t="s">
        <v>8069</v>
      </c>
      <c r="M1362" s="14" t="s">
        <v>9235</v>
      </c>
      <c r="N1362" s="14">
        <v>31.248999999999999</v>
      </c>
      <c r="O1362" s="14" t="s">
        <v>9236</v>
      </c>
      <c r="P1362" s="14" t="s">
        <v>9237</v>
      </c>
      <c r="Q1362" s="14" t="s">
        <v>193</v>
      </c>
      <c r="R1362" s="14" t="s">
        <v>9238</v>
      </c>
      <c r="S1362" s="14" t="s">
        <v>563</v>
      </c>
      <c r="T1362" s="14" t="s">
        <v>564</v>
      </c>
      <c r="U1362" s="14" t="s">
        <v>528</v>
      </c>
      <c r="V1362" s="48">
        <f>SUMIF(Data!$E:$E,$I1362,Data!$AI:$AI)</f>
        <v>0</v>
      </c>
    </row>
    <row r="1363" spans="1:22" x14ac:dyDescent="0.25">
      <c r="A1363" s="47" t="s">
        <v>9078</v>
      </c>
      <c r="B1363" s="47" t="s">
        <v>123</v>
      </c>
      <c r="C1363" s="47" t="s">
        <v>5005</v>
      </c>
      <c r="D1363" s="47">
        <v>1.0691504207415601</v>
      </c>
      <c r="E1363" s="48">
        <f>SUMIF(Data!$E:$E,$C1363,Data!$AI:$AI)</f>
        <v>0</v>
      </c>
      <c r="I1363" s="14" t="s">
        <v>9239</v>
      </c>
      <c r="J1363" s="14" t="s">
        <v>9240</v>
      </c>
      <c r="K1363" s="14" t="s">
        <v>140</v>
      </c>
      <c r="L1363" s="14" t="s">
        <v>8069</v>
      </c>
      <c r="M1363" s="14" t="s">
        <v>9241</v>
      </c>
      <c r="N1363" s="14">
        <v>10.054</v>
      </c>
      <c r="O1363" s="14" t="s">
        <v>9242</v>
      </c>
      <c r="P1363" s="14" t="s">
        <v>9243</v>
      </c>
      <c r="Q1363" s="14" t="s">
        <v>419</v>
      </c>
      <c r="R1363" s="14" t="s">
        <v>9244</v>
      </c>
      <c r="S1363" s="14" t="s">
        <v>6417</v>
      </c>
      <c r="T1363" s="14" t="s">
        <v>230</v>
      </c>
      <c r="U1363" s="14" t="s">
        <v>231</v>
      </c>
      <c r="V1363" s="48">
        <f>SUMIF(Data!$E:$E,$I1363,Data!$AI:$AI)</f>
        <v>0</v>
      </c>
    </row>
    <row r="1364" spans="1:22" x14ac:dyDescent="0.25">
      <c r="A1364" s="47" t="s">
        <v>9078</v>
      </c>
      <c r="B1364" s="47" t="s">
        <v>123</v>
      </c>
      <c r="C1364" s="47" t="s">
        <v>5019</v>
      </c>
      <c r="D1364" s="47">
        <v>2.7134662438657799</v>
      </c>
      <c r="E1364" s="48">
        <f>SUMIF(Data!$E:$E,$C1364,Data!$AI:$AI)</f>
        <v>0</v>
      </c>
      <c r="I1364" s="14" t="s">
        <v>9245</v>
      </c>
      <c r="J1364" s="14" t="s">
        <v>9246</v>
      </c>
      <c r="K1364" s="14" t="s">
        <v>140</v>
      </c>
      <c r="L1364" s="14" t="s">
        <v>8069</v>
      </c>
      <c r="M1364" s="14" t="s">
        <v>9247</v>
      </c>
      <c r="N1364" s="14">
        <v>46.186</v>
      </c>
      <c r="O1364" s="14" t="s">
        <v>9248</v>
      </c>
      <c r="P1364" s="14" t="s">
        <v>9249</v>
      </c>
      <c r="Q1364" s="14" t="s">
        <v>165</v>
      </c>
      <c r="R1364" s="14" t="s">
        <v>9250</v>
      </c>
      <c r="S1364" s="14" t="s">
        <v>195</v>
      </c>
      <c r="T1364" s="14" t="s">
        <v>149</v>
      </c>
      <c r="U1364" s="14" t="s">
        <v>113</v>
      </c>
      <c r="V1364" s="48">
        <f>SUMIF(Data!$E:$E,$I1364,Data!$AI:$AI)</f>
        <v>0</v>
      </c>
    </row>
    <row r="1365" spans="1:22" x14ac:dyDescent="0.25">
      <c r="A1365" s="47" t="s">
        <v>9078</v>
      </c>
      <c r="B1365" s="47" t="s">
        <v>123</v>
      </c>
      <c r="C1365" s="47" t="s">
        <v>5026</v>
      </c>
      <c r="D1365" s="47">
        <v>2.5932941389222899</v>
      </c>
      <c r="E1365" s="48">
        <f>SUMIF(Data!$E:$E,$C1365,Data!$AI:$AI)</f>
        <v>0</v>
      </c>
      <c r="I1365" s="14" t="s">
        <v>9251</v>
      </c>
      <c r="J1365" s="14" t="s">
        <v>9252</v>
      </c>
      <c r="K1365" s="14" t="s">
        <v>140</v>
      </c>
      <c r="L1365" s="14" t="s">
        <v>8069</v>
      </c>
      <c r="M1365" s="14" t="s">
        <v>9253</v>
      </c>
      <c r="N1365" s="14">
        <v>27.5</v>
      </c>
      <c r="O1365" s="14" t="s">
        <v>9254</v>
      </c>
      <c r="P1365" s="14" t="s">
        <v>9255</v>
      </c>
      <c r="Q1365" s="14" t="s">
        <v>175</v>
      </c>
      <c r="R1365" s="14" t="s">
        <v>9256</v>
      </c>
      <c r="S1365" s="14" t="s">
        <v>148</v>
      </c>
      <c r="T1365" s="14" t="s">
        <v>149</v>
      </c>
      <c r="U1365" s="14" t="s">
        <v>113</v>
      </c>
      <c r="V1365" s="48">
        <f>SUMIF(Data!$E:$E,$I1365,Data!$AI:$AI)</f>
        <v>0</v>
      </c>
    </row>
    <row r="1366" spans="1:22" x14ac:dyDescent="0.25">
      <c r="A1366" s="47" t="s">
        <v>9257</v>
      </c>
      <c r="B1366" s="47" t="s">
        <v>123</v>
      </c>
      <c r="C1366" s="47" t="s">
        <v>9258</v>
      </c>
      <c r="D1366" s="47">
        <v>100</v>
      </c>
      <c r="E1366" s="48">
        <f>SUMIF(Data!$E:$E,$C1366,Data!$AI:$AI)</f>
        <v>0</v>
      </c>
      <c r="I1366" s="14" t="s">
        <v>9259</v>
      </c>
      <c r="J1366" s="14" t="s">
        <v>9260</v>
      </c>
      <c r="K1366" s="14" t="s">
        <v>140</v>
      </c>
      <c r="L1366" s="14" t="s">
        <v>8069</v>
      </c>
      <c r="M1366" s="14" t="s">
        <v>9261</v>
      </c>
      <c r="N1366" s="14">
        <v>51.573</v>
      </c>
      <c r="O1366" s="14" t="s">
        <v>9262</v>
      </c>
      <c r="P1366" s="14" t="s">
        <v>9263</v>
      </c>
      <c r="Q1366" s="14" t="s">
        <v>211</v>
      </c>
      <c r="R1366" s="14" t="s">
        <v>9264</v>
      </c>
      <c r="S1366" s="14" t="s">
        <v>3142</v>
      </c>
      <c r="T1366" s="14" t="s">
        <v>3143</v>
      </c>
      <c r="U1366" s="14" t="s">
        <v>528</v>
      </c>
      <c r="V1366" s="48">
        <f>SUMIF(Data!$E:$E,$I1366,Data!$AI:$AI)</f>
        <v>0</v>
      </c>
    </row>
    <row r="1367" spans="1:22" x14ac:dyDescent="0.25">
      <c r="A1367" s="47" t="s">
        <v>9265</v>
      </c>
      <c r="B1367" s="47" t="s">
        <v>123</v>
      </c>
      <c r="C1367" s="47" t="s">
        <v>9266</v>
      </c>
      <c r="D1367" s="47">
        <v>100</v>
      </c>
      <c r="E1367" s="48">
        <f>SUMIF(Data!$E:$E,$C1367,Data!$AI:$AI)</f>
        <v>0</v>
      </c>
      <c r="I1367" s="14" t="s">
        <v>9267</v>
      </c>
      <c r="J1367" s="14" t="s">
        <v>9268</v>
      </c>
      <c r="K1367" s="14" t="s">
        <v>140</v>
      </c>
      <c r="L1367" s="14" t="s">
        <v>8069</v>
      </c>
      <c r="M1367" s="14" t="s">
        <v>9269</v>
      </c>
      <c r="N1367" s="14">
        <v>707.827</v>
      </c>
      <c r="O1367" s="14" t="s">
        <v>9270</v>
      </c>
      <c r="P1367" s="14" t="s">
        <v>9271</v>
      </c>
      <c r="Q1367" s="14" t="s">
        <v>737</v>
      </c>
      <c r="R1367" s="14" t="s">
        <v>9272</v>
      </c>
      <c r="S1367" s="14" t="s">
        <v>7567</v>
      </c>
      <c r="T1367" s="14" t="s">
        <v>7568</v>
      </c>
      <c r="U1367" s="14" t="s">
        <v>7569</v>
      </c>
      <c r="V1367" s="48">
        <f>SUMIF(Data!$E:$E,$I1367,Data!$AI:$AI)</f>
        <v>0</v>
      </c>
    </row>
    <row r="1368" spans="1:22" x14ac:dyDescent="0.25">
      <c r="A1368" s="47" t="s">
        <v>9273</v>
      </c>
      <c r="B1368" s="47" t="s">
        <v>123</v>
      </c>
      <c r="C1368" s="47" t="s">
        <v>9274</v>
      </c>
      <c r="D1368" s="47">
        <v>1.2648801336414199</v>
      </c>
      <c r="E1368" s="48">
        <f>SUMIF(Data!$E:$E,$C1368,Data!$AI:$AI)</f>
        <v>0</v>
      </c>
      <c r="I1368" s="14" t="s">
        <v>9275</v>
      </c>
      <c r="J1368" s="14" t="s">
        <v>9276</v>
      </c>
      <c r="K1368" s="14" t="s">
        <v>140</v>
      </c>
      <c r="L1368" s="14" t="s">
        <v>8069</v>
      </c>
      <c r="M1368" s="14" t="s">
        <v>9277</v>
      </c>
      <c r="N1368" s="14">
        <v>48.414999999999999</v>
      </c>
      <c r="O1368" s="14" t="s">
        <v>9278</v>
      </c>
      <c r="P1368" s="14" t="s">
        <v>9279</v>
      </c>
      <c r="Q1368" s="14" t="s">
        <v>165</v>
      </c>
      <c r="R1368" s="14" t="s">
        <v>9280</v>
      </c>
      <c r="S1368" s="14" t="s">
        <v>195</v>
      </c>
      <c r="T1368" s="14" t="s">
        <v>149</v>
      </c>
      <c r="U1368" s="14" t="s">
        <v>113</v>
      </c>
      <c r="V1368" s="48">
        <f>SUMIF(Data!$E:$E,$I1368,Data!$AI:$AI)</f>
        <v>0</v>
      </c>
    </row>
    <row r="1369" spans="1:22" x14ac:dyDescent="0.25">
      <c r="A1369" s="47" t="s">
        <v>9273</v>
      </c>
      <c r="B1369" s="47" t="s">
        <v>123</v>
      </c>
      <c r="C1369" s="47" t="s">
        <v>9281</v>
      </c>
      <c r="D1369" s="47">
        <v>2.4920431710220599</v>
      </c>
      <c r="E1369" s="48">
        <f>SUMIF(Data!$E:$E,$C1369,Data!$AI:$AI)</f>
        <v>0</v>
      </c>
      <c r="I1369" s="14">
        <v>9048</v>
      </c>
      <c r="J1369" s="14" t="s">
        <v>9282</v>
      </c>
      <c r="K1369" s="14" t="s">
        <v>140</v>
      </c>
      <c r="L1369" s="14" t="s">
        <v>8069</v>
      </c>
      <c r="M1369" s="14" t="s">
        <v>9283</v>
      </c>
      <c r="N1369" s="14">
        <v>77.406000000000006</v>
      </c>
      <c r="O1369" s="14" t="s">
        <v>9284</v>
      </c>
      <c r="P1369" s="14" t="s">
        <v>9285</v>
      </c>
      <c r="Q1369" s="14" t="s">
        <v>419</v>
      </c>
      <c r="R1369" s="14" t="s">
        <v>9286</v>
      </c>
      <c r="S1369" s="14" t="s">
        <v>444</v>
      </c>
      <c r="T1369" s="14" t="s">
        <v>445</v>
      </c>
      <c r="U1369" s="14" t="s">
        <v>446</v>
      </c>
      <c r="V1369" s="48">
        <f>SUMIF(Data!$E:$E,$I1369,Data!$AI:$AI)</f>
        <v>0</v>
      </c>
    </row>
    <row r="1370" spans="1:22" x14ac:dyDescent="0.25">
      <c r="A1370" s="47" t="s">
        <v>9273</v>
      </c>
      <c r="B1370" s="47" t="s">
        <v>123</v>
      </c>
      <c r="C1370" s="47" t="s">
        <v>9287</v>
      </c>
      <c r="D1370" s="47">
        <v>1.31408966729801</v>
      </c>
      <c r="E1370" s="48">
        <f>SUMIF(Data!$E:$E,$C1370,Data!$AI:$AI)</f>
        <v>0</v>
      </c>
      <c r="I1370" s="14" t="s">
        <v>9288</v>
      </c>
      <c r="J1370" s="14" t="s">
        <v>9289</v>
      </c>
      <c r="K1370" s="14" t="s">
        <v>140</v>
      </c>
      <c r="L1370" s="14" t="s">
        <v>8069</v>
      </c>
      <c r="M1370" s="14" t="s">
        <v>9290</v>
      </c>
      <c r="N1370" s="14">
        <v>78.501000000000005</v>
      </c>
      <c r="O1370" s="14" t="s">
        <v>9291</v>
      </c>
      <c r="P1370" s="14" t="s">
        <v>9292</v>
      </c>
      <c r="Q1370" s="14" t="s">
        <v>697</v>
      </c>
      <c r="R1370" s="14" t="s">
        <v>9293</v>
      </c>
      <c r="S1370" s="14" t="s">
        <v>728</v>
      </c>
      <c r="T1370" s="14" t="s">
        <v>729</v>
      </c>
      <c r="U1370" s="14" t="s">
        <v>730</v>
      </c>
      <c r="V1370" s="48">
        <f>SUMIF(Data!$E:$E,$I1370,Data!$AI:$AI)</f>
        <v>0</v>
      </c>
    </row>
    <row r="1371" spans="1:22" x14ac:dyDescent="0.25">
      <c r="A1371" s="47" t="s">
        <v>9273</v>
      </c>
      <c r="B1371" s="47" t="s">
        <v>123</v>
      </c>
      <c r="C1371" s="47" t="s">
        <v>9294</v>
      </c>
      <c r="D1371" s="47">
        <v>12.143517363253901</v>
      </c>
      <c r="E1371" s="48">
        <f>SUMIF(Data!$E:$E,$C1371,Data!$AI:$AI)</f>
        <v>0</v>
      </c>
      <c r="I1371" s="14">
        <v>4021</v>
      </c>
      <c r="J1371" s="14" t="s">
        <v>9295</v>
      </c>
      <c r="K1371" s="14" t="s">
        <v>140</v>
      </c>
      <c r="L1371" s="14" t="s">
        <v>8069</v>
      </c>
      <c r="M1371" s="14" t="s">
        <v>9296</v>
      </c>
      <c r="N1371" s="14">
        <v>55.7</v>
      </c>
      <c r="O1371" s="14" t="s">
        <v>9297</v>
      </c>
      <c r="P1371" s="14" t="s">
        <v>9298</v>
      </c>
      <c r="Q1371" s="14" t="s">
        <v>737</v>
      </c>
      <c r="R1371" s="14" t="s">
        <v>9299</v>
      </c>
      <c r="S1371" s="14" t="s">
        <v>444</v>
      </c>
      <c r="T1371" s="14" t="s">
        <v>445</v>
      </c>
      <c r="U1371" s="14" t="s">
        <v>446</v>
      </c>
      <c r="V1371" s="48">
        <f>SUMIF(Data!$E:$E,$I1371,Data!$AI:$AI)</f>
        <v>0</v>
      </c>
    </row>
    <row r="1372" spans="1:22" x14ac:dyDescent="0.25">
      <c r="A1372" s="47" t="s">
        <v>9273</v>
      </c>
      <c r="B1372" s="47" t="s">
        <v>123</v>
      </c>
      <c r="C1372" s="47" t="s">
        <v>9300</v>
      </c>
      <c r="D1372" s="47">
        <v>24.1573902862037</v>
      </c>
      <c r="E1372" s="48">
        <f>SUMIF(Data!$E:$E,$C1372,Data!$AI:$AI)</f>
        <v>0</v>
      </c>
      <c r="I1372" s="14">
        <v>3289</v>
      </c>
      <c r="J1372" s="14" t="s">
        <v>9301</v>
      </c>
      <c r="K1372" s="14" t="s">
        <v>140</v>
      </c>
      <c r="L1372" s="14" t="s">
        <v>8069</v>
      </c>
      <c r="M1372" s="14" t="s">
        <v>9302</v>
      </c>
      <c r="N1372" s="14">
        <v>353.94400000000002</v>
      </c>
      <c r="O1372" s="14" t="s">
        <v>9303</v>
      </c>
      <c r="P1372" s="14" t="s">
        <v>9304</v>
      </c>
      <c r="Q1372" s="14" t="s">
        <v>809</v>
      </c>
      <c r="R1372" s="14" t="s">
        <v>9305</v>
      </c>
      <c r="S1372" s="14" t="s">
        <v>444</v>
      </c>
      <c r="T1372" s="14" t="s">
        <v>445</v>
      </c>
      <c r="U1372" s="14" t="s">
        <v>446</v>
      </c>
      <c r="V1372" s="48">
        <f>SUMIF(Data!$E:$E,$I1372,Data!$AI:$AI)</f>
        <v>0</v>
      </c>
    </row>
    <row r="1373" spans="1:22" x14ac:dyDescent="0.25">
      <c r="A1373" s="47" t="s">
        <v>9273</v>
      </c>
      <c r="B1373" s="47" t="s">
        <v>123</v>
      </c>
      <c r="C1373" s="47" t="s">
        <v>9306</v>
      </c>
      <c r="D1373" s="47">
        <v>5.2247890746902401</v>
      </c>
      <c r="E1373" s="48">
        <f>SUMIF(Data!$E:$E,$C1373,Data!$AI:$AI)</f>
        <v>0</v>
      </c>
      <c r="I1373" s="14">
        <v>3405</v>
      </c>
      <c r="J1373" s="14" t="s">
        <v>9307</v>
      </c>
      <c r="K1373" s="14" t="s">
        <v>140</v>
      </c>
      <c r="L1373" s="14" t="s">
        <v>8069</v>
      </c>
      <c r="M1373" s="14" t="s">
        <v>9308</v>
      </c>
      <c r="N1373" s="14">
        <v>201</v>
      </c>
      <c r="O1373" s="14" t="s">
        <v>9309</v>
      </c>
      <c r="P1373" s="14" t="s">
        <v>9310</v>
      </c>
      <c r="Q1373" s="14" t="s">
        <v>737</v>
      </c>
      <c r="R1373" s="14" t="s">
        <v>9311</v>
      </c>
      <c r="S1373" s="14" t="s">
        <v>444</v>
      </c>
      <c r="T1373" s="14" t="s">
        <v>445</v>
      </c>
      <c r="U1373" s="14" t="s">
        <v>446</v>
      </c>
      <c r="V1373" s="48">
        <f>SUMIF(Data!$E:$E,$I1373,Data!$AI:$AI)</f>
        <v>0</v>
      </c>
    </row>
    <row r="1374" spans="1:22" x14ac:dyDescent="0.25">
      <c r="A1374" s="47" t="s">
        <v>9273</v>
      </c>
      <c r="B1374" s="47" t="s">
        <v>123</v>
      </c>
      <c r="C1374" s="47" t="s">
        <v>9312</v>
      </c>
      <c r="D1374" s="47">
        <v>1.97459900044753</v>
      </c>
      <c r="E1374" s="48">
        <f>SUMIF(Data!$E:$E,$C1374,Data!$AI:$AI)</f>
        <v>0</v>
      </c>
      <c r="I1374" s="14">
        <v>4183</v>
      </c>
      <c r="J1374" s="14" t="s">
        <v>9313</v>
      </c>
      <c r="K1374" s="14" t="s">
        <v>140</v>
      </c>
      <c r="L1374" s="14" t="s">
        <v>8069</v>
      </c>
      <c r="M1374" s="14" t="s">
        <v>9314</v>
      </c>
      <c r="N1374" s="14">
        <v>100.1</v>
      </c>
      <c r="O1374" s="14" t="s">
        <v>9315</v>
      </c>
      <c r="P1374" s="14" t="s">
        <v>9316</v>
      </c>
      <c r="Q1374" s="14" t="s">
        <v>737</v>
      </c>
      <c r="R1374" s="14" t="s">
        <v>9317</v>
      </c>
      <c r="S1374" s="14" t="s">
        <v>444</v>
      </c>
      <c r="T1374" s="14" t="s">
        <v>445</v>
      </c>
      <c r="U1374" s="14" t="s">
        <v>446</v>
      </c>
      <c r="V1374" s="48">
        <f>SUMIF(Data!$E:$E,$I1374,Data!$AI:$AI)</f>
        <v>0</v>
      </c>
    </row>
    <row r="1375" spans="1:22" x14ac:dyDescent="0.25">
      <c r="A1375" s="47" t="s">
        <v>9273</v>
      </c>
      <c r="B1375" s="47" t="s">
        <v>123</v>
      </c>
      <c r="C1375" s="47" t="s">
        <v>9318</v>
      </c>
      <c r="D1375" s="47">
        <v>1.6862213473811001</v>
      </c>
      <c r="E1375" s="48">
        <f>SUMIF(Data!$E:$E,$C1375,Data!$AI:$AI)</f>
        <v>0</v>
      </c>
      <c r="I1375" s="14" t="s">
        <v>9319</v>
      </c>
      <c r="J1375" s="14" t="s">
        <v>9320</v>
      </c>
      <c r="K1375" s="14" t="s">
        <v>140</v>
      </c>
      <c r="L1375" s="14" t="s">
        <v>8069</v>
      </c>
      <c r="M1375" s="14" t="s">
        <v>5343</v>
      </c>
      <c r="N1375" s="14">
        <v>536.30200000000002</v>
      </c>
      <c r="O1375" s="14" t="s">
        <v>9321</v>
      </c>
      <c r="P1375" s="14" t="s">
        <v>9322</v>
      </c>
      <c r="Q1375" s="14" t="s">
        <v>193</v>
      </c>
      <c r="R1375" s="14" t="s">
        <v>9323</v>
      </c>
      <c r="S1375" s="14" t="s">
        <v>563</v>
      </c>
      <c r="T1375" s="14" t="s">
        <v>564</v>
      </c>
      <c r="U1375" s="14" t="s">
        <v>528</v>
      </c>
      <c r="V1375" s="48">
        <f>SUMIF(Data!$E:$E,$I1375,Data!$AI:$AI)</f>
        <v>0</v>
      </c>
    </row>
    <row r="1376" spans="1:22" x14ac:dyDescent="0.25">
      <c r="A1376" s="47" t="s">
        <v>9273</v>
      </c>
      <c r="B1376" s="47" t="s">
        <v>123</v>
      </c>
      <c r="C1376" s="47" t="s">
        <v>9324</v>
      </c>
      <c r="D1376" s="47">
        <v>0.36004950698302501</v>
      </c>
      <c r="E1376" s="48">
        <f>SUMIF(Data!$E:$E,$C1376,Data!$AI:$AI)</f>
        <v>0</v>
      </c>
      <c r="I1376" s="14" t="s">
        <v>2554</v>
      </c>
      <c r="J1376" s="14" t="s">
        <v>9325</v>
      </c>
      <c r="K1376" s="14" t="s">
        <v>140</v>
      </c>
      <c r="L1376" s="14" t="s">
        <v>8069</v>
      </c>
      <c r="M1376" s="14" t="s">
        <v>6579</v>
      </c>
      <c r="N1376" s="14">
        <v>86.096000000000004</v>
      </c>
      <c r="O1376" s="14" t="s">
        <v>9326</v>
      </c>
      <c r="P1376" s="14" t="s">
        <v>9327</v>
      </c>
      <c r="Q1376" s="14" t="s">
        <v>419</v>
      </c>
      <c r="R1376" s="14" t="s">
        <v>9328</v>
      </c>
      <c r="S1376" s="14" t="s">
        <v>148</v>
      </c>
      <c r="T1376" s="14" t="s">
        <v>149</v>
      </c>
      <c r="U1376" s="14" t="s">
        <v>113</v>
      </c>
      <c r="V1376" s="48">
        <f>SUMIF(Data!$E:$E,$I1376,Data!$AI:$AI)</f>
        <v>0</v>
      </c>
    </row>
    <row r="1377" spans="1:22" x14ac:dyDescent="0.25">
      <c r="A1377" s="47" t="s">
        <v>9273</v>
      </c>
      <c r="B1377" s="47" t="s">
        <v>123</v>
      </c>
      <c r="C1377" s="47" t="s">
        <v>9329</v>
      </c>
      <c r="D1377" s="47">
        <v>1.41118307372972</v>
      </c>
      <c r="E1377" s="48">
        <f>SUMIF(Data!$E:$E,$C1377,Data!$AI:$AI)</f>
        <v>0</v>
      </c>
      <c r="I1377" s="14">
        <v>6770</v>
      </c>
      <c r="J1377" s="14" t="s">
        <v>9330</v>
      </c>
      <c r="K1377" s="14" t="s">
        <v>140</v>
      </c>
      <c r="L1377" s="14" t="s">
        <v>8069</v>
      </c>
      <c r="M1377" s="14" t="s">
        <v>1669</v>
      </c>
      <c r="N1377" s="14">
        <v>100.877</v>
      </c>
      <c r="O1377" s="14" t="s">
        <v>9331</v>
      </c>
      <c r="P1377" s="14" t="s">
        <v>9332</v>
      </c>
      <c r="Q1377" s="14" t="s">
        <v>146</v>
      </c>
      <c r="R1377" s="14" t="s">
        <v>9333</v>
      </c>
      <c r="S1377" s="14" t="s">
        <v>444</v>
      </c>
      <c r="T1377" s="14" t="s">
        <v>445</v>
      </c>
      <c r="U1377" s="14" t="s">
        <v>446</v>
      </c>
      <c r="V1377" s="48">
        <f>SUMIF(Data!$E:$E,$I1377,Data!$AI:$AI)</f>
        <v>0</v>
      </c>
    </row>
    <row r="1378" spans="1:22" x14ac:dyDescent="0.25">
      <c r="A1378" s="47" t="s">
        <v>9273</v>
      </c>
      <c r="B1378" s="47" t="s">
        <v>123</v>
      </c>
      <c r="C1378" s="47" t="s">
        <v>9334</v>
      </c>
      <c r="D1378" s="47">
        <v>2.1686168185117198</v>
      </c>
      <c r="E1378" s="48">
        <f>SUMIF(Data!$E:$E,$C1378,Data!$AI:$AI)</f>
        <v>0</v>
      </c>
      <c r="I1378" s="14">
        <v>6113</v>
      </c>
      <c r="J1378" s="14" t="s">
        <v>9335</v>
      </c>
      <c r="K1378" s="14" t="s">
        <v>140</v>
      </c>
      <c r="L1378" s="14" t="s">
        <v>8069</v>
      </c>
      <c r="M1378" s="14" t="s">
        <v>9336</v>
      </c>
      <c r="N1378" s="14">
        <v>202.8</v>
      </c>
      <c r="O1378" s="14" t="s">
        <v>9337</v>
      </c>
      <c r="P1378" s="14" t="s">
        <v>9338</v>
      </c>
      <c r="Q1378" s="14" t="s">
        <v>419</v>
      </c>
      <c r="R1378" s="14" t="s">
        <v>9339</v>
      </c>
      <c r="S1378" s="14" t="s">
        <v>444</v>
      </c>
      <c r="T1378" s="14" t="s">
        <v>445</v>
      </c>
      <c r="U1378" s="14" t="s">
        <v>446</v>
      </c>
      <c r="V1378" s="48">
        <f>SUMIF(Data!$E:$E,$I1378,Data!$AI:$AI)</f>
        <v>0</v>
      </c>
    </row>
    <row r="1379" spans="1:22" x14ac:dyDescent="0.25">
      <c r="A1379" s="47" t="s">
        <v>9273</v>
      </c>
      <c r="B1379" s="47" t="s">
        <v>123</v>
      </c>
      <c r="C1379" s="47" t="s">
        <v>9340</v>
      </c>
      <c r="D1379" s="47">
        <v>0.43634073215466201</v>
      </c>
      <c r="E1379" s="48">
        <f>SUMIF(Data!$E:$E,$C1379,Data!$AI:$AI)</f>
        <v>0</v>
      </c>
      <c r="I1379" s="14" t="s">
        <v>9341</v>
      </c>
      <c r="J1379" s="14" t="s">
        <v>9342</v>
      </c>
      <c r="K1379" s="14" t="s">
        <v>140</v>
      </c>
      <c r="L1379" s="14" t="s">
        <v>8069</v>
      </c>
      <c r="M1379" s="14" t="s">
        <v>9343</v>
      </c>
      <c r="N1379" s="14">
        <v>189.887</v>
      </c>
      <c r="O1379" s="14" t="s">
        <v>9344</v>
      </c>
      <c r="P1379" s="14" t="s">
        <v>9345</v>
      </c>
      <c r="Q1379" s="14" t="s">
        <v>737</v>
      </c>
      <c r="R1379" s="14" t="s">
        <v>9346</v>
      </c>
      <c r="S1379" s="14" t="s">
        <v>479</v>
      </c>
      <c r="T1379" s="14" t="s">
        <v>480</v>
      </c>
      <c r="U1379" s="14" t="s">
        <v>481</v>
      </c>
      <c r="V1379" s="48">
        <f>SUMIF(Data!$E:$E,$I1379,Data!$AI:$AI)</f>
        <v>0</v>
      </c>
    </row>
    <row r="1380" spans="1:22" x14ac:dyDescent="0.25">
      <c r="A1380" s="47" t="s">
        <v>9273</v>
      </c>
      <c r="B1380" s="47" t="s">
        <v>123</v>
      </c>
      <c r="C1380" s="47" t="s">
        <v>9347</v>
      </c>
      <c r="D1380" s="47">
        <v>7.0030275596750999E-2</v>
      </c>
      <c r="E1380" s="48">
        <f>SUMIF(Data!$E:$E,$C1380,Data!$AI:$AI)</f>
        <v>0</v>
      </c>
      <c r="I1380" s="14" t="s">
        <v>9348</v>
      </c>
      <c r="J1380" s="14" t="s">
        <v>9349</v>
      </c>
      <c r="K1380" s="14" t="s">
        <v>140</v>
      </c>
      <c r="L1380" s="14" t="s">
        <v>8069</v>
      </c>
      <c r="M1380" s="14" t="s">
        <v>9350</v>
      </c>
      <c r="N1380" s="14">
        <v>54.253999999999998</v>
      </c>
      <c r="O1380" s="14" t="s">
        <v>9351</v>
      </c>
      <c r="P1380" s="14" t="s">
        <v>9352</v>
      </c>
      <c r="Q1380" s="14" t="s">
        <v>211</v>
      </c>
      <c r="R1380" s="14" t="s">
        <v>9353</v>
      </c>
      <c r="S1380" s="14" t="s">
        <v>1130</v>
      </c>
      <c r="T1380" s="14" t="s">
        <v>1131</v>
      </c>
      <c r="U1380" s="14" t="s">
        <v>528</v>
      </c>
      <c r="V1380" s="48">
        <f>SUMIF(Data!$E:$E,$I1380,Data!$AI:$AI)</f>
        <v>0</v>
      </c>
    </row>
    <row r="1381" spans="1:22" x14ac:dyDescent="0.25">
      <c r="A1381" s="47" t="s">
        <v>9273</v>
      </c>
      <c r="B1381" s="47" t="s">
        <v>123</v>
      </c>
      <c r="C1381" s="47" t="s">
        <v>2337</v>
      </c>
      <c r="D1381" s="47">
        <v>0.62690987167225498</v>
      </c>
      <c r="E1381" s="48">
        <f>SUMIF(Data!$E:$E,$C1381,Data!$AI:$AI)</f>
        <v>0</v>
      </c>
      <c r="I1381" s="14">
        <v>5110</v>
      </c>
      <c r="J1381" s="14" t="s">
        <v>9354</v>
      </c>
      <c r="K1381" s="14" t="s">
        <v>140</v>
      </c>
      <c r="L1381" s="14" t="s">
        <v>8069</v>
      </c>
      <c r="M1381" s="14" t="s">
        <v>9355</v>
      </c>
      <c r="N1381" s="14">
        <v>198.7</v>
      </c>
      <c r="O1381" s="14" t="s">
        <v>9356</v>
      </c>
      <c r="P1381" s="14" t="s">
        <v>9357</v>
      </c>
      <c r="Q1381" s="14" t="s">
        <v>165</v>
      </c>
      <c r="R1381" s="14" t="s">
        <v>9358</v>
      </c>
      <c r="S1381" s="14" t="s">
        <v>444</v>
      </c>
      <c r="T1381" s="14" t="s">
        <v>445</v>
      </c>
      <c r="U1381" s="14" t="s">
        <v>446</v>
      </c>
      <c r="V1381" s="48">
        <f>SUMIF(Data!$E:$E,$I1381,Data!$AI:$AI)</f>
        <v>0</v>
      </c>
    </row>
    <row r="1382" spans="1:22" x14ac:dyDescent="0.25">
      <c r="A1382" s="47" t="s">
        <v>9273</v>
      </c>
      <c r="B1382" s="47" t="s">
        <v>123</v>
      </c>
      <c r="C1382" s="47" t="s">
        <v>9359</v>
      </c>
      <c r="D1382" s="47">
        <v>7.0466277934135998E-2</v>
      </c>
      <c r="E1382" s="48">
        <f>SUMIF(Data!$E:$E,$C1382,Data!$AI:$AI)</f>
        <v>0</v>
      </c>
      <c r="I1382" s="14">
        <v>8955</v>
      </c>
      <c r="J1382" s="14" t="s">
        <v>9360</v>
      </c>
      <c r="K1382" s="14" t="s">
        <v>140</v>
      </c>
      <c r="L1382" s="14" t="s">
        <v>8069</v>
      </c>
      <c r="M1382" s="14" t="s">
        <v>9361</v>
      </c>
      <c r="N1382" s="14">
        <v>539</v>
      </c>
      <c r="O1382" s="14" t="s">
        <v>9362</v>
      </c>
      <c r="P1382" s="14" t="s">
        <v>9363</v>
      </c>
      <c r="Q1382" s="14" t="s">
        <v>809</v>
      </c>
      <c r="R1382" s="14" t="s">
        <v>9364</v>
      </c>
      <c r="S1382" s="14" t="s">
        <v>444</v>
      </c>
      <c r="T1382" s="14" t="s">
        <v>445</v>
      </c>
      <c r="U1382" s="14" t="s">
        <v>446</v>
      </c>
      <c r="V1382" s="48">
        <f>SUMIF(Data!$E:$E,$I1382,Data!$AI:$AI)</f>
        <v>0</v>
      </c>
    </row>
    <row r="1383" spans="1:22" x14ac:dyDescent="0.25">
      <c r="A1383" s="47" t="s">
        <v>9273</v>
      </c>
      <c r="B1383" s="47" t="s">
        <v>123</v>
      </c>
      <c r="C1383" s="47" t="s">
        <v>9365</v>
      </c>
      <c r="D1383" s="47">
        <v>0.32007011078109998</v>
      </c>
      <c r="E1383" s="48">
        <f>SUMIF(Data!$E:$E,$C1383,Data!$AI:$AI)</f>
        <v>0</v>
      </c>
      <c r="I1383" s="14" t="s">
        <v>2975</v>
      </c>
      <c r="J1383" s="14" t="s">
        <v>9366</v>
      </c>
      <c r="K1383" s="14" t="s">
        <v>140</v>
      </c>
      <c r="L1383" s="14" t="s">
        <v>8069</v>
      </c>
      <c r="M1383" s="14" t="s">
        <v>9367</v>
      </c>
      <c r="N1383" s="14" t="s">
        <v>9368</v>
      </c>
      <c r="O1383" s="14" t="s">
        <v>9369</v>
      </c>
      <c r="P1383" s="14" t="s">
        <v>9370</v>
      </c>
      <c r="Q1383" s="14" t="s">
        <v>193</v>
      </c>
      <c r="R1383" s="14" t="s">
        <v>9371</v>
      </c>
      <c r="S1383" s="14" t="s">
        <v>850</v>
      </c>
      <c r="T1383" s="14" t="s">
        <v>851</v>
      </c>
      <c r="U1383" s="14" t="s">
        <v>852</v>
      </c>
      <c r="V1383" s="48">
        <f>SUMIF(Data!$E:$E,$I1383,Data!$AI:$AI)</f>
        <v>0</v>
      </c>
    </row>
    <row r="1384" spans="1:22" x14ac:dyDescent="0.25">
      <c r="A1384" s="47" t="s">
        <v>9273</v>
      </c>
      <c r="B1384" s="47" t="s">
        <v>123</v>
      </c>
      <c r="C1384" s="47" t="s">
        <v>9372</v>
      </c>
      <c r="D1384" s="47">
        <v>6.9816847069617993E-2</v>
      </c>
      <c r="E1384" s="48">
        <f>SUMIF(Data!$E:$E,$C1384,Data!$AI:$AI)</f>
        <v>0</v>
      </c>
      <c r="I1384" s="14">
        <v>9602</v>
      </c>
      <c r="J1384" s="14" t="s">
        <v>9373</v>
      </c>
      <c r="K1384" s="14" t="s">
        <v>140</v>
      </c>
      <c r="L1384" s="14" t="s">
        <v>8069</v>
      </c>
      <c r="M1384" s="14" t="s">
        <v>9374</v>
      </c>
      <c r="N1384" s="14">
        <v>56.9</v>
      </c>
      <c r="O1384" s="14" t="s">
        <v>9375</v>
      </c>
      <c r="P1384" s="14" t="s">
        <v>9376</v>
      </c>
      <c r="Q1384" s="14" t="s">
        <v>175</v>
      </c>
      <c r="R1384" s="14" t="s">
        <v>9377</v>
      </c>
      <c r="S1384" s="14" t="s">
        <v>444</v>
      </c>
      <c r="T1384" s="14" t="s">
        <v>445</v>
      </c>
      <c r="U1384" s="14" t="s">
        <v>446</v>
      </c>
      <c r="V1384" s="48">
        <f>SUMIF(Data!$E:$E,$I1384,Data!$AI:$AI)</f>
        <v>0</v>
      </c>
    </row>
    <row r="1385" spans="1:22" x14ac:dyDescent="0.25">
      <c r="A1385" s="47" t="s">
        <v>9273</v>
      </c>
      <c r="B1385" s="47" t="s">
        <v>123</v>
      </c>
      <c r="C1385" s="47" t="s">
        <v>9378</v>
      </c>
      <c r="D1385" s="47">
        <v>1.0476558509615099</v>
      </c>
      <c r="E1385" s="48">
        <f>SUMIF(Data!$E:$E,$C1385,Data!$AI:$AI)</f>
        <v>0</v>
      </c>
      <c r="I1385" s="14" t="s">
        <v>9379</v>
      </c>
      <c r="J1385" s="14" t="s">
        <v>9380</v>
      </c>
      <c r="K1385" s="14" t="s">
        <v>140</v>
      </c>
      <c r="L1385" s="14" t="s">
        <v>8069</v>
      </c>
      <c r="M1385" s="14" t="s">
        <v>7197</v>
      </c>
      <c r="N1385" s="14" t="s">
        <v>9381</v>
      </c>
      <c r="O1385" s="14" t="s">
        <v>9382</v>
      </c>
      <c r="P1385" s="14" t="s">
        <v>9383</v>
      </c>
      <c r="Q1385" s="14" t="s">
        <v>809</v>
      </c>
      <c r="R1385" s="14" t="s">
        <v>9384</v>
      </c>
      <c r="S1385" s="14" t="s">
        <v>2368</v>
      </c>
      <c r="T1385" s="14" t="s">
        <v>2369</v>
      </c>
      <c r="U1385" s="14" t="s">
        <v>2370</v>
      </c>
      <c r="V1385" s="48">
        <f>SUMIF(Data!$E:$E,$I1385,Data!$AI:$AI)</f>
        <v>0</v>
      </c>
    </row>
    <row r="1386" spans="1:22" x14ac:dyDescent="0.25">
      <c r="A1386" s="47" t="s">
        <v>9273</v>
      </c>
      <c r="B1386" s="47" t="s">
        <v>123</v>
      </c>
      <c r="C1386" s="47" t="s">
        <v>9385</v>
      </c>
      <c r="D1386" s="47">
        <v>6.8946957193333898</v>
      </c>
      <c r="E1386" s="48">
        <f>SUMIF(Data!$E:$E,$C1386,Data!$AI:$AI)</f>
        <v>0</v>
      </c>
      <c r="I1386" s="14">
        <v>4516</v>
      </c>
      <c r="J1386" s="14" t="s">
        <v>9386</v>
      </c>
      <c r="K1386" s="14" t="s">
        <v>140</v>
      </c>
      <c r="L1386" s="14" t="s">
        <v>8069</v>
      </c>
      <c r="M1386" s="14" t="s">
        <v>9387</v>
      </c>
      <c r="N1386" s="14">
        <v>25.7</v>
      </c>
      <c r="O1386" s="14" t="s">
        <v>9388</v>
      </c>
      <c r="P1386" s="14" t="s">
        <v>9389</v>
      </c>
      <c r="Q1386" s="14" t="s">
        <v>211</v>
      </c>
      <c r="R1386" s="14" t="s">
        <v>9390</v>
      </c>
      <c r="S1386" s="14" t="s">
        <v>444</v>
      </c>
      <c r="T1386" s="14" t="s">
        <v>445</v>
      </c>
      <c r="U1386" s="14" t="s">
        <v>446</v>
      </c>
      <c r="V1386" s="48">
        <f>SUMIF(Data!$E:$E,$I1386,Data!$AI:$AI)</f>
        <v>0</v>
      </c>
    </row>
    <row r="1387" spans="1:22" x14ac:dyDescent="0.25">
      <c r="A1387" s="47" t="s">
        <v>9273</v>
      </c>
      <c r="B1387" s="47" t="s">
        <v>123</v>
      </c>
      <c r="C1387" s="47" t="s">
        <v>9391</v>
      </c>
      <c r="D1387" s="47">
        <v>0.180339310713725</v>
      </c>
      <c r="E1387" s="48">
        <f>SUMIF(Data!$E:$E,$C1387,Data!$AI:$AI)</f>
        <v>0</v>
      </c>
      <c r="I1387" s="14" t="s">
        <v>7014</v>
      </c>
      <c r="J1387" s="14" t="s">
        <v>9392</v>
      </c>
      <c r="K1387" s="14" t="s">
        <v>140</v>
      </c>
      <c r="L1387" s="14" t="s">
        <v>8069</v>
      </c>
      <c r="M1387" s="14" t="s">
        <v>9393</v>
      </c>
      <c r="N1387" s="14">
        <v>47.112000000000002</v>
      </c>
      <c r="O1387" s="14" t="s">
        <v>9394</v>
      </c>
      <c r="P1387" s="14" t="s">
        <v>9395</v>
      </c>
      <c r="Q1387" s="14" t="s">
        <v>697</v>
      </c>
      <c r="R1387" s="14" t="s">
        <v>9396</v>
      </c>
      <c r="S1387" s="14" t="s">
        <v>5891</v>
      </c>
      <c r="T1387" s="14" t="s">
        <v>5892</v>
      </c>
      <c r="U1387" s="14" t="s">
        <v>528</v>
      </c>
      <c r="V1387" s="48">
        <f>SUMIF(Data!$E:$E,$I1387,Data!$AI:$AI)</f>
        <v>0</v>
      </c>
    </row>
    <row r="1388" spans="1:22" x14ac:dyDescent="0.25">
      <c r="A1388" s="47" t="s">
        <v>9273</v>
      </c>
      <c r="B1388" s="47" t="s">
        <v>123</v>
      </c>
      <c r="C1388" s="47" t="s">
        <v>9397</v>
      </c>
      <c r="D1388" s="47">
        <v>0.235433872645014</v>
      </c>
      <c r="E1388" s="48">
        <f>SUMIF(Data!$E:$E,$C1388,Data!$AI:$AI)</f>
        <v>0</v>
      </c>
      <c r="I1388" s="14" t="s">
        <v>9398</v>
      </c>
      <c r="J1388" s="14" t="s">
        <v>9399</v>
      </c>
      <c r="K1388" s="14" t="s">
        <v>140</v>
      </c>
      <c r="L1388" s="14" t="s">
        <v>8069</v>
      </c>
      <c r="M1388" s="14" t="s">
        <v>9400</v>
      </c>
      <c r="N1388" s="14">
        <v>153.59399999999999</v>
      </c>
      <c r="O1388" s="14" t="s">
        <v>9401</v>
      </c>
      <c r="P1388" s="14" t="s">
        <v>9402</v>
      </c>
      <c r="Q1388" s="14" t="s">
        <v>697</v>
      </c>
      <c r="R1388" s="14" t="s">
        <v>9403</v>
      </c>
      <c r="S1388" s="14" t="s">
        <v>728</v>
      </c>
      <c r="T1388" s="14" t="s">
        <v>729</v>
      </c>
      <c r="U1388" s="14" t="s">
        <v>730</v>
      </c>
      <c r="V1388" s="48">
        <f>SUMIF(Data!$E:$E,$I1388,Data!$AI:$AI)</f>
        <v>0</v>
      </c>
    </row>
    <row r="1389" spans="1:22" x14ac:dyDescent="0.25">
      <c r="A1389" s="47" t="s">
        <v>9273</v>
      </c>
      <c r="B1389" s="47" t="s">
        <v>123</v>
      </c>
      <c r="C1389" s="47" t="s">
        <v>9404</v>
      </c>
      <c r="D1389" s="47">
        <v>1.53797816023312</v>
      </c>
      <c r="E1389" s="48">
        <f>SUMIF(Data!$E:$E,$C1389,Data!$AI:$AI)</f>
        <v>0</v>
      </c>
      <c r="I1389" s="14">
        <v>6473</v>
      </c>
      <c r="J1389" s="14" t="s">
        <v>9405</v>
      </c>
      <c r="K1389" s="14" t="s">
        <v>140</v>
      </c>
      <c r="L1389" s="14" t="s">
        <v>8069</v>
      </c>
      <c r="M1389" s="14" t="s">
        <v>9355</v>
      </c>
      <c r="N1389" s="14">
        <v>194.6</v>
      </c>
      <c r="O1389" s="14" t="s">
        <v>9406</v>
      </c>
      <c r="P1389" s="14" t="s">
        <v>9407</v>
      </c>
      <c r="Q1389" s="14" t="s">
        <v>419</v>
      </c>
      <c r="R1389" s="14" t="s">
        <v>9408</v>
      </c>
      <c r="S1389" s="14" t="s">
        <v>444</v>
      </c>
      <c r="T1389" s="14" t="s">
        <v>445</v>
      </c>
      <c r="U1389" s="14" t="s">
        <v>446</v>
      </c>
      <c r="V1389" s="48">
        <f>SUMIF(Data!$E:$E,$I1389,Data!$AI:$AI)</f>
        <v>0</v>
      </c>
    </row>
    <row r="1390" spans="1:22" x14ac:dyDescent="0.25">
      <c r="A1390" s="47" t="s">
        <v>9273</v>
      </c>
      <c r="B1390" s="47" t="s">
        <v>123</v>
      </c>
      <c r="C1390" s="47" t="s">
        <v>9409</v>
      </c>
      <c r="D1390" s="47">
        <v>18.652749065342999</v>
      </c>
      <c r="E1390" s="48">
        <f>SUMIF(Data!$E:$E,$C1390,Data!$AI:$AI)</f>
        <v>0</v>
      </c>
      <c r="I1390" s="14" t="s">
        <v>9410</v>
      </c>
      <c r="J1390" s="14" t="s">
        <v>9411</v>
      </c>
      <c r="K1390" s="14" t="s">
        <v>140</v>
      </c>
      <c r="L1390" s="14" t="s">
        <v>8069</v>
      </c>
      <c r="M1390" s="14" t="s">
        <v>9412</v>
      </c>
      <c r="N1390" s="14">
        <v>20.986000000000001</v>
      </c>
      <c r="O1390" s="14" t="s">
        <v>9413</v>
      </c>
      <c r="P1390" s="14" t="s">
        <v>9414</v>
      </c>
      <c r="Q1390" s="14" t="s">
        <v>809</v>
      </c>
      <c r="R1390" s="14" t="s">
        <v>9415</v>
      </c>
      <c r="S1390" s="14" t="s">
        <v>563</v>
      </c>
      <c r="T1390" s="14" t="s">
        <v>564</v>
      </c>
      <c r="U1390" s="14" t="s">
        <v>528</v>
      </c>
      <c r="V1390" s="48">
        <f>SUMIF(Data!$E:$E,$I1390,Data!$AI:$AI)</f>
        <v>0</v>
      </c>
    </row>
    <row r="1391" spans="1:22" x14ac:dyDescent="0.25">
      <c r="A1391" s="47" t="s">
        <v>9273</v>
      </c>
      <c r="B1391" s="47" t="s">
        <v>123</v>
      </c>
      <c r="C1391" s="47" t="s">
        <v>9416</v>
      </c>
      <c r="D1391" s="47">
        <v>0.53326118854865801</v>
      </c>
      <c r="E1391" s="48">
        <f>SUMIF(Data!$E:$E,$C1391,Data!$AI:$AI)</f>
        <v>0</v>
      </c>
      <c r="I1391" s="14" t="s">
        <v>9417</v>
      </c>
      <c r="J1391" s="14" t="s">
        <v>9418</v>
      </c>
      <c r="K1391" s="14" t="s">
        <v>140</v>
      </c>
      <c r="L1391" s="14" t="s">
        <v>8069</v>
      </c>
      <c r="M1391" s="14" t="s">
        <v>9419</v>
      </c>
      <c r="N1391" s="14">
        <v>189.762</v>
      </c>
      <c r="O1391" s="14" t="s">
        <v>9420</v>
      </c>
      <c r="P1391" s="14" t="s">
        <v>9421</v>
      </c>
      <c r="Q1391" s="14" t="s">
        <v>419</v>
      </c>
      <c r="R1391" s="14" t="s">
        <v>9422</v>
      </c>
      <c r="S1391" s="14" t="s">
        <v>2931</v>
      </c>
      <c r="T1391" s="14" t="s">
        <v>2932</v>
      </c>
      <c r="U1391" s="14" t="s">
        <v>2933</v>
      </c>
      <c r="V1391" s="48">
        <f>SUMIF(Data!$E:$E,$I1391,Data!$AI:$AI)</f>
        <v>0</v>
      </c>
    </row>
    <row r="1392" spans="1:22" x14ac:dyDescent="0.25">
      <c r="A1392" s="47" t="s">
        <v>9273</v>
      </c>
      <c r="B1392" s="47" t="s">
        <v>123</v>
      </c>
      <c r="C1392" s="47" t="s">
        <v>9423</v>
      </c>
      <c r="D1392" s="47">
        <v>11.2678041218276</v>
      </c>
      <c r="E1392" s="48">
        <f>SUMIF(Data!$E:$E,$C1392,Data!$AI:$AI)</f>
        <v>0</v>
      </c>
      <c r="I1392" s="14" t="s">
        <v>9424</v>
      </c>
      <c r="J1392" s="14" t="s">
        <v>9425</v>
      </c>
      <c r="K1392" s="14" t="s">
        <v>140</v>
      </c>
      <c r="L1392" s="14" t="s">
        <v>8069</v>
      </c>
      <c r="M1392" s="14" t="s">
        <v>9426</v>
      </c>
      <c r="N1392" s="14">
        <v>853.04300000000001</v>
      </c>
      <c r="O1392" s="14" t="s">
        <v>9427</v>
      </c>
      <c r="P1392" s="14" t="s">
        <v>9428</v>
      </c>
      <c r="Q1392" s="14" t="s">
        <v>419</v>
      </c>
      <c r="R1392" s="14" t="s">
        <v>9429</v>
      </c>
      <c r="S1392" s="14" t="s">
        <v>479</v>
      </c>
      <c r="T1392" s="14" t="s">
        <v>480</v>
      </c>
      <c r="U1392" s="14" t="s">
        <v>481</v>
      </c>
      <c r="V1392" s="48">
        <f>SUMIF(Data!$E:$E,$I1392,Data!$AI:$AI)</f>
        <v>0</v>
      </c>
    </row>
    <row r="1393" spans="1:22" x14ac:dyDescent="0.25">
      <c r="A1393" s="47" t="s">
        <v>9273</v>
      </c>
      <c r="B1393" s="47" t="s">
        <v>123</v>
      </c>
      <c r="C1393" s="47" t="s">
        <v>9430</v>
      </c>
      <c r="D1393" s="47">
        <v>4.1387885565311998E-2</v>
      </c>
      <c r="E1393" s="48">
        <f>SUMIF(Data!$E:$E,$C1393,Data!$AI:$AI)</f>
        <v>0</v>
      </c>
      <c r="I1393" s="14" t="s">
        <v>5284</v>
      </c>
      <c r="J1393" s="14" t="s">
        <v>9431</v>
      </c>
      <c r="K1393" s="14" t="s">
        <v>140</v>
      </c>
      <c r="L1393" s="14" t="s">
        <v>8069</v>
      </c>
      <c r="M1393" s="14" t="s">
        <v>9432</v>
      </c>
      <c r="N1393" s="14">
        <v>252.001</v>
      </c>
      <c r="O1393" s="14" t="s">
        <v>9433</v>
      </c>
      <c r="P1393" s="14" t="s">
        <v>9434</v>
      </c>
      <c r="Q1393" s="14" t="s">
        <v>263</v>
      </c>
      <c r="R1393" s="14" t="s">
        <v>9435</v>
      </c>
      <c r="S1393" s="14" t="s">
        <v>728</v>
      </c>
      <c r="T1393" s="14" t="s">
        <v>729</v>
      </c>
      <c r="U1393" s="14" t="s">
        <v>730</v>
      </c>
      <c r="V1393" s="48">
        <f>SUMIF(Data!$E:$E,$I1393,Data!$AI:$AI)</f>
        <v>0.14335552808713869</v>
      </c>
    </row>
    <row r="1394" spans="1:22" x14ac:dyDescent="0.25">
      <c r="A1394" s="47" t="s">
        <v>9273</v>
      </c>
      <c r="B1394" s="47" t="s">
        <v>123</v>
      </c>
      <c r="C1394" s="47" t="s">
        <v>9436</v>
      </c>
      <c r="D1394" s="47">
        <v>2.0367938907344798</v>
      </c>
      <c r="E1394" s="48">
        <f>SUMIF(Data!$E:$E,$C1394,Data!$AI:$AI)</f>
        <v>0</v>
      </c>
      <c r="I1394" s="14" t="s">
        <v>9437</v>
      </c>
      <c r="J1394" s="14" t="s">
        <v>9438</v>
      </c>
      <c r="K1394" s="14" t="s">
        <v>140</v>
      </c>
      <c r="L1394" s="14" t="s">
        <v>8069</v>
      </c>
      <c r="M1394" s="14" t="s">
        <v>234</v>
      </c>
      <c r="N1394" s="14" t="s">
        <v>9439</v>
      </c>
      <c r="O1394" s="14" t="s">
        <v>9440</v>
      </c>
      <c r="P1394" s="14" t="s">
        <v>9441</v>
      </c>
      <c r="Q1394" s="14" t="s">
        <v>165</v>
      </c>
      <c r="R1394" s="14" t="s">
        <v>9442</v>
      </c>
      <c r="S1394" s="14" t="s">
        <v>2368</v>
      </c>
      <c r="T1394" s="14" t="s">
        <v>2369</v>
      </c>
      <c r="U1394" s="14" t="s">
        <v>2370</v>
      </c>
      <c r="V1394" s="48">
        <f>SUMIF(Data!$E:$E,$I1394,Data!$AI:$AI)</f>
        <v>0</v>
      </c>
    </row>
    <row r="1395" spans="1:22" x14ac:dyDescent="0.25">
      <c r="A1395" s="47" t="s">
        <v>9273</v>
      </c>
      <c r="B1395" s="47" t="s">
        <v>123</v>
      </c>
      <c r="C1395" s="47" t="s">
        <v>9443</v>
      </c>
      <c r="D1395" s="47">
        <v>6.7122635086485E-2</v>
      </c>
      <c r="E1395" s="48">
        <f>SUMIF(Data!$E:$E,$C1395,Data!$AI:$AI)</f>
        <v>0</v>
      </c>
      <c r="I1395" s="14" t="s">
        <v>3551</v>
      </c>
      <c r="J1395" s="14" t="s">
        <v>9444</v>
      </c>
      <c r="K1395" s="14" t="s">
        <v>140</v>
      </c>
      <c r="L1395" s="14" t="s">
        <v>8069</v>
      </c>
      <c r="M1395" s="14" t="s">
        <v>9445</v>
      </c>
      <c r="N1395" s="14">
        <v>84.626000000000005</v>
      </c>
      <c r="O1395" s="14" t="s">
        <v>9446</v>
      </c>
      <c r="P1395" s="14" t="s">
        <v>9447</v>
      </c>
      <c r="Q1395" s="14" t="s">
        <v>263</v>
      </c>
      <c r="R1395" s="14" t="s">
        <v>9448</v>
      </c>
      <c r="S1395" s="14" t="s">
        <v>728</v>
      </c>
      <c r="T1395" s="14" t="s">
        <v>729</v>
      </c>
      <c r="U1395" s="14" t="s">
        <v>730</v>
      </c>
      <c r="V1395" s="48">
        <f>SUMIF(Data!$E:$E,$I1395,Data!$AI:$AI)</f>
        <v>0</v>
      </c>
    </row>
    <row r="1396" spans="1:22" x14ac:dyDescent="0.25">
      <c r="A1396" s="47" t="s">
        <v>9273</v>
      </c>
      <c r="B1396" s="47" t="s">
        <v>123</v>
      </c>
      <c r="C1396" s="47" t="s">
        <v>9449</v>
      </c>
      <c r="D1396" s="47">
        <v>1.71376474063672</v>
      </c>
      <c r="E1396" s="48">
        <f>SUMIF(Data!$E:$E,$C1396,Data!$AI:$AI)</f>
        <v>0</v>
      </c>
      <c r="I1396" s="14">
        <v>9435</v>
      </c>
      <c r="J1396" s="14" t="s">
        <v>9450</v>
      </c>
      <c r="K1396" s="14" t="s">
        <v>140</v>
      </c>
      <c r="L1396" s="14" t="s">
        <v>8069</v>
      </c>
      <c r="M1396" s="14" t="s">
        <v>9451</v>
      </c>
      <c r="N1396" s="14">
        <v>8.9</v>
      </c>
      <c r="O1396" s="14" t="s">
        <v>9452</v>
      </c>
      <c r="P1396" s="14" t="s">
        <v>9453</v>
      </c>
      <c r="Q1396" s="14" t="s">
        <v>165</v>
      </c>
      <c r="R1396" s="14" t="s">
        <v>9454</v>
      </c>
      <c r="S1396" s="14" t="s">
        <v>444</v>
      </c>
      <c r="T1396" s="14" t="s">
        <v>445</v>
      </c>
      <c r="U1396" s="14" t="s">
        <v>446</v>
      </c>
      <c r="V1396" s="48">
        <f>SUMIF(Data!$E:$E,$I1396,Data!$AI:$AI)</f>
        <v>0</v>
      </c>
    </row>
    <row r="1397" spans="1:22" x14ac:dyDescent="0.25">
      <c r="A1397" s="47" t="s">
        <v>9455</v>
      </c>
      <c r="B1397" s="47" t="s">
        <v>123</v>
      </c>
      <c r="C1397" s="47" t="s">
        <v>9274</v>
      </c>
      <c r="D1397" s="47">
        <v>4.1530496618181001</v>
      </c>
      <c r="E1397" s="48">
        <f>SUMIF(Data!$E:$E,$C1397,Data!$AI:$AI)</f>
        <v>0</v>
      </c>
      <c r="I1397" s="14" t="s">
        <v>7535</v>
      </c>
      <c r="J1397" s="14" t="s">
        <v>9456</v>
      </c>
      <c r="K1397" s="14" t="s">
        <v>140</v>
      </c>
      <c r="L1397" s="14" t="s">
        <v>8069</v>
      </c>
      <c r="M1397" s="14" t="s">
        <v>9457</v>
      </c>
      <c r="N1397" s="14">
        <v>57.015000000000001</v>
      </c>
      <c r="O1397" s="14" t="s">
        <v>9458</v>
      </c>
      <c r="P1397" s="14" t="s">
        <v>9459</v>
      </c>
      <c r="Q1397" s="14" t="s">
        <v>419</v>
      </c>
      <c r="R1397" s="14" t="s">
        <v>9460</v>
      </c>
      <c r="S1397" s="14" t="s">
        <v>728</v>
      </c>
      <c r="T1397" s="14" t="s">
        <v>729</v>
      </c>
      <c r="U1397" s="14" t="s">
        <v>730</v>
      </c>
      <c r="V1397" s="48">
        <f>SUMIF(Data!$E:$E,$I1397,Data!$AI:$AI)</f>
        <v>0</v>
      </c>
    </row>
    <row r="1398" spans="1:22" x14ac:dyDescent="0.25">
      <c r="A1398" s="47" t="s">
        <v>9455</v>
      </c>
      <c r="B1398" s="47" t="s">
        <v>123</v>
      </c>
      <c r="C1398" s="47" t="s">
        <v>9281</v>
      </c>
      <c r="D1398" s="47">
        <v>8.1822607323701408</v>
      </c>
      <c r="E1398" s="48">
        <f>SUMIF(Data!$E:$E,$C1398,Data!$AI:$AI)</f>
        <v>0</v>
      </c>
      <c r="I1398" s="14">
        <v>6965</v>
      </c>
      <c r="J1398" s="14" t="s">
        <v>9461</v>
      </c>
      <c r="K1398" s="14" t="s">
        <v>140</v>
      </c>
      <c r="L1398" s="14" t="s">
        <v>8069</v>
      </c>
      <c r="M1398" s="14" t="s">
        <v>9462</v>
      </c>
      <c r="N1398" s="14">
        <v>53.7</v>
      </c>
      <c r="O1398" s="14" t="s">
        <v>9463</v>
      </c>
      <c r="P1398" s="14" t="s">
        <v>9464</v>
      </c>
      <c r="Q1398" s="14" t="s">
        <v>146</v>
      </c>
      <c r="R1398" s="14" t="s">
        <v>9465</v>
      </c>
      <c r="S1398" s="14" t="s">
        <v>444</v>
      </c>
      <c r="T1398" s="14" t="s">
        <v>445</v>
      </c>
      <c r="U1398" s="14" t="s">
        <v>446</v>
      </c>
      <c r="V1398" s="48">
        <f>SUMIF(Data!$E:$E,$I1398,Data!$AI:$AI)</f>
        <v>0</v>
      </c>
    </row>
    <row r="1399" spans="1:22" x14ac:dyDescent="0.25">
      <c r="A1399" s="47" t="s">
        <v>9455</v>
      </c>
      <c r="B1399" s="47" t="s">
        <v>123</v>
      </c>
      <c r="C1399" s="47" t="s">
        <v>9287</v>
      </c>
      <c r="D1399" s="47">
        <v>4.31462199715265</v>
      </c>
      <c r="E1399" s="48">
        <f>SUMIF(Data!$E:$E,$C1399,Data!$AI:$AI)</f>
        <v>0</v>
      </c>
      <c r="I1399" s="14">
        <v>9009</v>
      </c>
      <c r="J1399" s="14" t="s">
        <v>9466</v>
      </c>
      <c r="K1399" s="14" t="s">
        <v>140</v>
      </c>
      <c r="L1399" s="14" t="s">
        <v>8069</v>
      </c>
      <c r="M1399" s="14" t="s">
        <v>9467</v>
      </c>
      <c r="N1399" s="14">
        <v>56.01</v>
      </c>
      <c r="O1399" s="14" t="s">
        <v>9468</v>
      </c>
      <c r="P1399" s="14" t="s">
        <v>9469</v>
      </c>
      <c r="Q1399" s="14" t="s">
        <v>419</v>
      </c>
      <c r="R1399" s="14" t="s">
        <v>9470</v>
      </c>
      <c r="S1399" s="14" t="s">
        <v>444</v>
      </c>
      <c r="T1399" s="14" t="s">
        <v>445</v>
      </c>
      <c r="U1399" s="14" t="s">
        <v>446</v>
      </c>
      <c r="V1399" s="48">
        <f>SUMIF(Data!$E:$E,$I1399,Data!$AI:$AI)</f>
        <v>0</v>
      </c>
    </row>
    <row r="1400" spans="1:22" x14ac:dyDescent="0.25">
      <c r="A1400" s="47" t="s">
        <v>9455</v>
      </c>
      <c r="B1400" s="47" t="s">
        <v>123</v>
      </c>
      <c r="C1400" s="47" t="s">
        <v>9294</v>
      </c>
      <c r="D1400" s="47">
        <v>39.871470297786402</v>
      </c>
      <c r="E1400" s="48">
        <f>SUMIF(Data!$E:$E,$C1400,Data!$AI:$AI)</f>
        <v>0</v>
      </c>
      <c r="I1400" s="14">
        <v>9766</v>
      </c>
      <c r="J1400" s="14" t="s">
        <v>9471</v>
      </c>
      <c r="K1400" s="14" t="s">
        <v>140</v>
      </c>
      <c r="L1400" s="14" t="s">
        <v>8069</v>
      </c>
      <c r="M1400" s="14" t="s">
        <v>9472</v>
      </c>
      <c r="N1400" s="14">
        <v>53.773000000000003</v>
      </c>
      <c r="O1400" s="14" t="s">
        <v>9473</v>
      </c>
      <c r="P1400" s="14" t="s">
        <v>9474</v>
      </c>
      <c r="Q1400" s="14" t="s">
        <v>175</v>
      </c>
      <c r="R1400" s="14" t="s">
        <v>9475</v>
      </c>
      <c r="S1400" s="14" t="s">
        <v>444</v>
      </c>
      <c r="T1400" s="14" t="s">
        <v>445</v>
      </c>
      <c r="U1400" s="14" t="s">
        <v>446</v>
      </c>
      <c r="V1400" s="48">
        <f>SUMIF(Data!$E:$E,$I1400,Data!$AI:$AI)</f>
        <v>0</v>
      </c>
    </row>
    <row r="1401" spans="1:22" x14ac:dyDescent="0.25">
      <c r="A1401" s="47" t="s">
        <v>9455</v>
      </c>
      <c r="B1401" s="47" t="s">
        <v>123</v>
      </c>
      <c r="C1401" s="47" t="s">
        <v>9306</v>
      </c>
      <c r="D1401" s="47">
        <v>17.1548338238543</v>
      </c>
      <c r="E1401" s="48">
        <f>SUMIF(Data!$E:$E,$C1401,Data!$AI:$AI)</f>
        <v>0</v>
      </c>
      <c r="I1401" s="14">
        <v>9045</v>
      </c>
      <c r="J1401" s="14" t="s">
        <v>9476</v>
      </c>
      <c r="K1401" s="14" t="s">
        <v>140</v>
      </c>
      <c r="L1401" s="14" t="s">
        <v>8069</v>
      </c>
      <c r="M1401" s="14" t="s">
        <v>9477</v>
      </c>
      <c r="N1401" s="14">
        <v>44.988999999999997</v>
      </c>
      <c r="O1401" s="14" t="s">
        <v>9478</v>
      </c>
      <c r="P1401" s="14" t="s">
        <v>9479</v>
      </c>
      <c r="Q1401" s="14" t="s">
        <v>419</v>
      </c>
      <c r="R1401" s="14" t="s">
        <v>9480</v>
      </c>
      <c r="S1401" s="14" t="s">
        <v>444</v>
      </c>
      <c r="T1401" s="14" t="s">
        <v>445</v>
      </c>
      <c r="U1401" s="14" t="s">
        <v>446</v>
      </c>
      <c r="V1401" s="48">
        <f>SUMIF(Data!$E:$E,$I1401,Data!$AI:$AI)</f>
        <v>0</v>
      </c>
    </row>
    <row r="1402" spans="1:22" x14ac:dyDescent="0.25">
      <c r="A1402" s="47" t="s">
        <v>9455</v>
      </c>
      <c r="B1402" s="47" t="s">
        <v>123</v>
      </c>
      <c r="C1402" s="47" t="s">
        <v>9312</v>
      </c>
      <c r="D1402" s="47">
        <v>6.4833081751600599</v>
      </c>
      <c r="E1402" s="48">
        <f>SUMIF(Data!$E:$E,$C1402,Data!$AI:$AI)</f>
        <v>0</v>
      </c>
      <c r="I1402" s="14">
        <v>8954</v>
      </c>
      <c r="J1402" s="14" t="s">
        <v>9481</v>
      </c>
      <c r="K1402" s="14" t="s">
        <v>140</v>
      </c>
      <c r="L1402" s="14" t="s">
        <v>8069</v>
      </c>
      <c r="M1402" s="14" t="s">
        <v>9482</v>
      </c>
      <c r="N1402" s="14">
        <v>1.0089999999999999</v>
      </c>
      <c r="O1402" s="14" t="s">
        <v>9483</v>
      </c>
      <c r="P1402" s="14" t="s">
        <v>9484</v>
      </c>
      <c r="Q1402" s="14" t="s">
        <v>809</v>
      </c>
      <c r="R1402" s="14" t="s">
        <v>9485</v>
      </c>
      <c r="S1402" s="14" t="s">
        <v>444</v>
      </c>
      <c r="T1402" s="14" t="s">
        <v>445</v>
      </c>
      <c r="U1402" s="14" t="s">
        <v>446</v>
      </c>
      <c r="V1402" s="48">
        <f>SUMIF(Data!$E:$E,$I1402,Data!$AI:$AI)</f>
        <v>0</v>
      </c>
    </row>
    <row r="1403" spans="1:22" x14ac:dyDescent="0.25">
      <c r="A1403" s="47" t="s">
        <v>9455</v>
      </c>
      <c r="B1403" s="47" t="s">
        <v>123</v>
      </c>
      <c r="C1403" s="47" t="s">
        <v>9318</v>
      </c>
      <c r="D1403" s="47">
        <v>5.5364621597233397</v>
      </c>
      <c r="E1403" s="48">
        <f>SUMIF(Data!$E:$E,$C1403,Data!$AI:$AI)</f>
        <v>0</v>
      </c>
      <c r="I1403" s="14">
        <v>7186</v>
      </c>
      <c r="J1403" s="14" t="s">
        <v>9486</v>
      </c>
      <c r="K1403" s="14" t="s">
        <v>140</v>
      </c>
      <c r="L1403" s="14" t="s">
        <v>8069</v>
      </c>
      <c r="M1403" s="14" t="s">
        <v>8310</v>
      </c>
      <c r="N1403" s="14">
        <v>541.29999999999995</v>
      </c>
      <c r="O1403" s="14" t="s">
        <v>9487</v>
      </c>
      <c r="P1403" s="14" t="s">
        <v>9488</v>
      </c>
      <c r="Q1403" s="14" t="s">
        <v>193</v>
      </c>
      <c r="R1403" s="14" t="s">
        <v>9489</v>
      </c>
      <c r="S1403" s="14" t="s">
        <v>444</v>
      </c>
      <c r="T1403" s="14" t="s">
        <v>445</v>
      </c>
      <c r="U1403" s="14" t="s">
        <v>446</v>
      </c>
      <c r="V1403" s="48">
        <f>SUMIF(Data!$E:$E,$I1403,Data!$AI:$AI)</f>
        <v>0</v>
      </c>
    </row>
    <row r="1404" spans="1:22" x14ac:dyDescent="0.25">
      <c r="A1404" s="47" t="s">
        <v>9455</v>
      </c>
      <c r="B1404" s="47" t="s">
        <v>123</v>
      </c>
      <c r="C1404" s="47" t="s">
        <v>9324</v>
      </c>
      <c r="D1404" s="47">
        <v>1.1821701072249799</v>
      </c>
      <c r="E1404" s="48">
        <f>SUMIF(Data!$E:$E,$C1404,Data!$AI:$AI)</f>
        <v>0</v>
      </c>
      <c r="I1404" s="14">
        <v>6383</v>
      </c>
      <c r="J1404" s="14" t="s">
        <v>9490</v>
      </c>
      <c r="K1404" s="14" t="s">
        <v>140</v>
      </c>
      <c r="L1404" s="14" t="s">
        <v>8069</v>
      </c>
      <c r="M1404" s="14" t="s">
        <v>9491</v>
      </c>
      <c r="N1404" s="14">
        <v>32.799999999999997</v>
      </c>
      <c r="O1404" s="14" t="s">
        <v>9492</v>
      </c>
      <c r="P1404" s="14" t="s">
        <v>9493</v>
      </c>
      <c r="Q1404" s="14" t="s">
        <v>419</v>
      </c>
      <c r="R1404" s="14" t="s">
        <v>9494</v>
      </c>
      <c r="S1404" s="14" t="s">
        <v>444</v>
      </c>
      <c r="T1404" s="14" t="s">
        <v>445</v>
      </c>
      <c r="U1404" s="14" t="s">
        <v>446</v>
      </c>
      <c r="V1404" s="48">
        <f>SUMIF(Data!$E:$E,$I1404,Data!$AI:$AI)</f>
        <v>0</v>
      </c>
    </row>
    <row r="1405" spans="1:22" x14ac:dyDescent="0.25">
      <c r="A1405" s="47" t="s">
        <v>9455</v>
      </c>
      <c r="B1405" s="47" t="s">
        <v>123</v>
      </c>
      <c r="C1405" s="47" t="s">
        <v>9329</v>
      </c>
      <c r="D1405" s="47">
        <v>4.6334140534284796</v>
      </c>
      <c r="E1405" s="48">
        <f>SUMIF(Data!$E:$E,$C1405,Data!$AI:$AI)</f>
        <v>0</v>
      </c>
      <c r="I1405" s="14">
        <v>4587</v>
      </c>
      <c r="J1405" s="14" t="s">
        <v>9495</v>
      </c>
      <c r="K1405" s="14" t="s">
        <v>140</v>
      </c>
      <c r="L1405" s="14" t="s">
        <v>8069</v>
      </c>
      <c r="M1405" s="14" t="s">
        <v>1765</v>
      </c>
      <c r="N1405" s="14">
        <v>41.5</v>
      </c>
      <c r="O1405" s="14" t="s">
        <v>9496</v>
      </c>
      <c r="P1405" s="14" t="s">
        <v>9497</v>
      </c>
      <c r="Q1405" s="14" t="s">
        <v>211</v>
      </c>
      <c r="R1405" s="14" t="s">
        <v>9498</v>
      </c>
      <c r="S1405" s="14" t="s">
        <v>444</v>
      </c>
      <c r="T1405" s="14" t="s">
        <v>445</v>
      </c>
      <c r="U1405" s="14" t="s">
        <v>446</v>
      </c>
      <c r="V1405" s="48">
        <f>SUMIF(Data!$E:$E,$I1405,Data!$AI:$AI)</f>
        <v>0</v>
      </c>
    </row>
    <row r="1406" spans="1:22" x14ac:dyDescent="0.25">
      <c r="A1406" s="47" t="s">
        <v>9455</v>
      </c>
      <c r="B1406" s="47" t="s">
        <v>123</v>
      </c>
      <c r="C1406" s="47" t="s">
        <v>9334</v>
      </c>
      <c r="D1406" s="47">
        <v>7.1203374179061401</v>
      </c>
      <c r="E1406" s="48">
        <f>SUMIF(Data!$E:$E,$C1406,Data!$AI:$AI)</f>
        <v>0</v>
      </c>
      <c r="I1406" s="14">
        <v>1128</v>
      </c>
      <c r="J1406" s="14" t="s">
        <v>9499</v>
      </c>
      <c r="K1406" s="14" t="s">
        <v>140</v>
      </c>
      <c r="L1406" s="14" t="s">
        <v>8069</v>
      </c>
      <c r="M1406" s="14" t="s">
        <v>7745</v>
      </c>
      <c r="N1406" s="14">
        <v>835.2</v>
      </c>
      <c r="O1406" s="14" t="s">
        <v>9500</v>
      </c>
      <c r="P1406" s="14" t="s">
        <v>9501</v>
      </c>
      <c r="Q1406" s="14" t="s">
        <v>165</v>
      </c>
      <c r="R1406" s="14" t="s">
        <v>9502</v>
      </c>
      <c r="S1406" s="14" t="s">
        <v>552</v>
      </c>
      <c r="T1406" s="14" t="s">
        <v>553</v>
      </c>
      <c r="U1406" s="14" t="s">
        <v>554</v>
      </c>
      <c r="V1406" s="48">
        <f>SUMIF(Data!$E:$E,$I1406,Data!$AI:$AI)</f>
        <v>0</v>
      </c>
    </row>
    <row r="1407" spans="1:22" x14ac:dyDescent="0.25">
      <c r="A1407" s="47" t="s">
        <v>9455</v>
      </c>
      <c r="B1407" s="47" t="s">
        <v>123</v>
      </c>
      <c r="C1407" s="47" t="s">
        <v>9347</v>
      </c>
      <c r="D1407" s="47">
        <v>0.22993420850624799</v>
      </c>
      <c r="E1407" s="48">
        <f>SUMIF(Data!$E:$E,$C1407,Data!$AI:$AI)</f>
        <v>0</v>
      </c>
      <c r="I1407" s="14" t="s">
        <v>9503</v>
      </c>
      <c r="J1407" s="14" t="s">
        <v>9504</v>
      </c>
      <c r="K1407" s="14" t="s">
        <v>140</v>
      </c>
      <c r="L1407" s="14" t="s">
        <v>8069</v>
      </c>
      <c r="M1407" s="14" t="s">
        <v>9505</v>
      </c>
      <c r="N1407" s="14">
        <v>325.25200000000001</v>
      </c>
      <c r="O1407" s="14" t="s">
        <v>9506</v>
      </c>
      <c r="P1407" s="14" t="s">
        <v>9507</v>
      </c>
      <c r="Q1407" s="14" t="s">
        <v>175</v>
      </c>
      <c r="R1407" s="14" t="s">
        <v>9508</v>
      </c>
      <c r="S1407" s="14" t="s">
        <v>645</v>
      </c>
      <c r="T1407" s="14" t="s">
        <v>646</v>
      </c>
      <c r="U1407" s="14" t="s">
        <v>528</v>
      </c>
      <c r="V1407" s="48">
        <f>SUMIF(Data!$E:$E,$I1407,Data!$AI:$AI)</f>
        <v>0</v>
      </c>
    </row>
    <row r="1408" spans="1:22" x14ac:dyDescent="0.25">
      <c r="A1408" s="47" t="s">
        <v>9455</v>
      </c>
      <c r="B1408" s="47" t="s">
        <v>123</v>
      </c>
      <c r="C1408" s="47" t="s">
        <v>9372</v>
      </c>
      <c r="D1408" s="47">
        <v>0.229233447027861</v>
      </c>
      <c r="E1408" s="48">
        <f>SUMIF(Data!$E:$E,$C1408,Data!$AI:$AI)</f>
        <v>0</v>
      </c>
      <c r="I1408" s="14">
        <v>9506</v>
      </c>
      <c r="J1408" s="14" t="s">
        <v>9509</v>
      </c>
      <c r="K1408" s="14" t="s">
        <v>140</v>
      </c>
      <c r="L1408" s="14" t="s">
        <v>8069</v>
      </c>
      <c r="M1408" s="14" t="s">
        <v>9510</v>
      </c>
      <c r="N1408" s="14">
        <v>225.767</v>
      </c>
      <c r="O1408" s="14" t="s">
        <v>9511</v>
      </c>
      <c r="P1408" s="14" t="s">
        <v>9512</v>
      </c>
      <c r="Q1408" s="14" t="s">
        <v>697</v>
      </c>
      <c r="R1408" s="14" t="s">
        <v>9513</v>
      </c>
      <c r="S1408" s="14" t="s">
        <v>444</v>
      </c>
      <c r="T1408" s="14" t="s">
        <v>445</v>
      </c>
      <c r="U1408" s="14" t="s">
        <v>446</v>
      </c>
      <c r="V1408" s="48">
        <f>SUMIF(Data!$E:$E,$I1408,Data!$AI:$AI)</f>
        <v>0</v>
      </c>
    </row>
    <row r="1409" spans="1:22" x14ac:dyDescent="0.25">
      <c r="A1409" s="47" t="s">
        <v>9455</v>
      </c>
      <c r="B1409" s="47" t="s">
        <v>123</v>
      </c>
      <c r="C1409" s="47" t="s">
        <v>9397</v>
      </c>
      <c r="D1409" s="47">
        <v>0.77301282482320099</v>
      </c>
      <c r="E1409" s="48">
        <f>SUMIF(Data!$E:$E,$C1409,Data!$AI:$AI)</f>
        <v>0</v>
      </c>
      <c r="I1409" s="14" t="s">
        <v>4061</v>
      </c>
      <c r="J1409" s="14" t="s">
        <v>9514</v>
      </c>
      <c r="K1409" s="14" t="s">
        <v>140</v>
      </c>
      <c r="L1409" s="14" t="s">
        <v>8069</v>
      </c>
      <c r="M1409" s="14" t="s">
        <v>9515</v>
      </c>
      <c r="N1409" s="14">
        <v>265.233</v>
      </c>
      <c r="O1409" s="14" t="s">
        <v>9516</v>
      </c>
      <c r="P1409" s="14" t="s">
        <v>9517</v>
      </c>
      <c r="Q1409" s="14" t="s">
        <v>227</v>
      </c>
      <c r="R1409" s="14" t="s">
        <v>9518</v>
      </c>
      <c r="S1409" s="14" t="s">
        <v>850</v>
      </c>
      <c r="T1409" s="14" t="s">
        <v>851</v>
      </c>
      <c r="U1409" s="14" t="s">
        <v>852</v>
      </c>
      <c r="V1409" s="48">
        <f>SUMIF(Data!$E:$E,$I1409,Data!$AI:$AI)</f>
        <v>0</v>
      </c>
    </row>
    <row r="1410" spans="1:22" x14ac:dyDescent="0.25">
      <c r="A1410" s="47" t="s">
        <v>9455</v>
      </c>
      <c r="B1410" s="47" t="s">
        <v>123</v>
      </c>
      <c r="C1410" s="47" t="s">
        <v>9430</v>
      </c>
      <c r="D1410" s="47">
        <v>0.135891093218098</v>
      </c>
      <c r="E1410" s="48">
        <f>SUMIF(Data!$E:$E,$C1410,Data!$AI:$AI)</f>
        <v>0</v>
      </c>
      <c r="I1410" s="14" t="s">
        <v>9519</v>
      </c>
      <c r="J1410" s="14" t="s">
        <v>9520</v>
      </c>
      <c r="K1410" s="14" t="s">
        <v>140</v>
      </c>
      <c r="L1410" s="14" t="s">
        <v>8069</v>
      </c>
      <c r="M1410" s="14" t="s">
        <v>9521</v>
      </c>
      <c r="N1410" s="14">
        <v>76.015000000000001</v>
      </c>
      <c r="O1410" s="14" t="s">
        <v>9522</v>
      </c>
      <c r="P1410" s="14" t="s">
        <v>9523</v>
      </c>
      <c r="Q1410" s="14" t="s">
        <v>175</v>
      </c>
      <c r="R1410" s="14" t="s">
        <v>9524</v>
      </c>
      <c r="S1410" s="14" t="s">
        <v>195</v>
      </c>
      <c r="T1410" s="14" t="s">
        <v>149</v>
      </c>
      <c r="U1410" s="14" t="s">
        <v>113</v>
      </c>
      <c r="V1410" s="48">
        <f>SUMIF(Data!$E:$E,$I1410,Data!$AI:$AI)</f>
        <v>0</v>
      </c>
    </row>
    <row r="1411" spans="1:22" x14ac:dyDescent="0.25">
      <c r="A1411" s="47" t="s">
        <v>9525</v>
      </c>
      <c r="B1411" s="47" t="s">
        <v>123</v>
      </c>
      <c r="C1411" s="47" t="s">
        <v>5431</v>
      </c>
      <c r="D1411" s="47">
        <v>10.0111671642748</v>
      </c>
      <c r="E1411" s="48">
        <f>SUMIF(Data!$E:$E,$C1411,Data!$AI:$AI)</f>
        <v>0</v>
      </c>
      <c r="I1411" s="14">
        <v>9008</v>
      </c>
      <c r="J1411" s="14" t="s">
        <v>9526</v>
      </c>
      <c r="K1411" s="14" t="s">
        <v>140</v>
      </c>
      <c r="L1411" s="14" t="s">
        <v>8069</v>
      </c>
      <c r="M1411" s="14" t="s">
        <v>3775</v>
      </c>
      <c r="N1411" s="14">
        <v>35.387</v>
      </c>
      <c r="O1411" s="14" t="s">
        <v>9527</v>
      </c>
      <c r="P1411" s="14" t="s">
        <v>9528</v>
      </c>
      <c r="Q1411" s="14" t="s">
        <v>419</v>
      </c>
      <c r="R1411" s="14" t="s">
        <v>9529</v>
      </c>
      <c r="S1411" s="14" t="s">
        <v>444</v>
      </c>
      <c r="T1411" s="14" t="s">
        <v>445</v>
      </c>
      <c r="U1411" s="14" t="s">
        <v>446</v>
      </c>
      <c r="V1411" s="48">
        <f>SUMIF(Data!$E:$E,$I1411,Data!$AI:$AI)</f>
        <v>0</v>
      </c>
    </row>
    <row r="1412" spans="1:22" x14ac:dyDescent="0.25">
      <c r="A1412" s="47" t="s">
        <v>9525</v>
      </c>
      <c r="B1412" s="47" t="s">
        <v>123</v>
      </c>
      <c r="C1412" s="47" t="s">
        <v>5563</v>
      </c>
      <c r="D1412" s="47">
        <v>40.098043088554803</v>
      </c>
      <c r="E1412" s="48">
        <f>SUMIF(Data!$E:$E,$C1412,Data!$AI:$AI)</f>
        <v>0</v>
      </c>
      <c r="I1412" s="14" t="s">
        <v>9530</v>
      </c>
      <c r="J1412" s="14" t="s">
        <v>9531</v>
      </c>
      <c r="K1412" s="14" t="s">
        <v>140</v>
      </c>
      <c r="L1412" s="14" t="s">
        <v>8069</v>
      </c>
      <c r="M1412" s="14" t="s">
        <v>9532</v>
      </c>
      <c r="N1412" s="14">
        <v>120.053</v>
      </c>
      <c r="O1412" s="14" t="s">
        <v>9533</v>
      </c>
      <c r="P1412" s="14" t="s">
        <v>9534</v>
      </c>
      <c r="Q1412" s="14" t="s">
        <v>193</v>
      </c>
      <c r="R1412" s="14" t="s">
        <v>9535</v>
      </c>
      <c r="S1412" s="14" t="s">
        <v>728</v>
      </c>
      <c r="T1412" s="14" t="s">
        <v>729</v>
      </c>
      <c r="U1412" s="14" t="s">
        <v>730</v>
      </c>
      <c r="V1412" s="48">
        <f>SUMIF(Data!$E:$E,$I1412,Data!$AI:$AI)</f>
        <v>0</v>
      </c>
    </row>
    <row r="1413" spans="1:22" x14ac:dyDescent="0.25">
      <c r="A1413" s="47" t="s">
        <v>9525</v>
      </c>
      <c r="B1413" s="47" t="s">
        <v>123</v>
      </c>
      <c r="C1413" s="47" t="s">
        <v>5570</v>
      </c>
      <c r="D1413" s="47">
        <v>13.657097431267401</v>
      </c>
      <c r="E1413" s="48">
        <f>SUMIF(Data!$E:$E,$C1413,Data!$AI:$AI)</f>
        <v>0</v>
      </c>
      <c r="I1413" s="14">
        <v>2784</v>
      </c>
      <c r="J1413" s="14" t="s">
        <v>9536</v>
      </c>
      <c r="K1413" s="14" t="s">
        <v>140</v>
      </c>
      <c r="L1413" s="14" t="s">
        <v>8069</v>
      </c>
      <c r="M1413" s="14" t="s">
        <v>9537</v>
      </c>
      <c r="N1413" s="14">
        <v>105.095</v>
      </c>
      <c r="O1413" s="14" t="s">
        <v>9538</v>
      </c>
      <c r="P1413" s="14" t="s">
        <v>9539</v>
      </c>
      <c r="Q1413" s="14" t="s">
        <v>211</v>
      </c>
      <c r="R1413" s="14" t="s">
        <v>9540</v>
      </c>
      <c r="S1413" s="14" t="s">
        <v>444</v>
      </c>
      <c r="T1413" s="14" t="s">
        <v>445</v>
      </c>
      <c r="U1413" s="14" t="s">
        <v>446</v>
      </c>
      <c r="V1413" s="48">
        <f>SUMIF(Data!$E:$E,$I1413,Data!$AI:$AI)</f>
        <v>0</v>
      </c>
    </row>
    <row r="1414" spans="1:22" x14ac:dyDescent="0.25">
      <c r="A1414" s="47" t="s">
        <v>9525</v>
      </c>
      <c r="B1414" s="47" t="s">
        <v>123</v>
      </c>
      <c r="C1414" s="47" t="s">
        <v>5605</v>
      </c>
      <c r="D1414" s="47">
        <v>36.2336923159029</v>
      </c>
      <c r="E1414" s="48">
        <f>SUMIF(Data!$E:$E,$C1414,Data!$AI:$AI)</f>
        <v>6.758252240413927E-2</v>
      </c>
      <c r="I1414" s="14">
        <v>6146</v>
      </c>
      <c r="J1414" s="14" t="s">
        <v>9541</v>
      </c>
      <c r="K1414" s="14" t="s">
        <v>140</v>
      </c>
      <c r="L1414" s="14" t="s">
        <v>8069</v>
      </c>
      <c r="M1414" s="14" t="s">
        <v>9542</v>
      </c>
      <c r="N1414" s="14">
        <v>8.6</v>
      </c>
      <c r="O1414" s="14" t="s">
        <v>9543</v>
      </c>
      <c r="P1414" s="14" t="s">
        <v>9544</v>
      </c>
      <c r="Q1414" s="14" t="s">
        <v>146</v>
      </c>
      <c r="R1414" s="14" t="s">
        <v>9545</v>
      </c>
      <c r="S1414" s="14" t="s">
        <v>444</v>
      </c>
      <c r="T1414" s="14" t="s">
        <v>445</v>
      </c>
      <c r="U1414" s="14" t="s">
        <v>446</v>
      </c>
      <c r="V1414" s="48">
        <f>SUMIF(Data!$E:$E,$I1414,Data!$AI:$AI)</f>
        <v>0</v>
      </c>
    </row>
    <row r="1415" spans="1:22" x14ac:dyDescent="0.25">
      <c r="A1415" s="47" t="s">
        <v>9546</v>
      </c>
      <c r="B1415" s="47" t="s">
        <v>123</v>
      </c>
      <c r="C1415" s="47" t="s">
        <v>5417</v>
      </c>
      <c r="D1415" s="47">
        <v>2.2184611815327999E-2</v>
      </c>
      <c r="E1415" s="48">
        <f>SUMIF(Data!$E:$E,$C1415,Data!$AI:$AI)</f>
        <v>0</v>
      </c>
      <c r="I1415" s="14" t="s">
        <v>2933</v>
      </c>
      <c r="J1415" s="14" t="s">
        <v>9547</v>
      </c>
      <c r="K1415" s="14" t="s">
        <v>758</v>
      </c>
      <c r="L1415" s="14" t="s">
        <v>8069</v>
      </c>
      <c r="M1415" s="14" t="s">
        <v>9548</v>
      </c>
      <c r="N1415" s="14" t="s">
        <v>9549</v>
      </c>
      <c r="O1415" s="14" t="s">
        <v>9550</v>
      </c>
      <c r="P1415" s="14" t="s">
        <v>9551</v>
      </c>
      <c r="Q1415" s="14" t="s">
        <v>762</v>
      </c>
      <c r="R1415" s="14" t="s">
        <v>763</v>
      </c>
      <c r="S1415" s="14" t="s">
        <v>763</v>
      </c>
      <c r="T1415" s="14" t="s">
        <v>2932</v>
      </c>
      <c r="U1415" s="14" t="s">
        <v>2933</v>
      </c>
      <c r="V1415" s="48">
        <f>SUMIF(Data!$E:$E,$I1415,Data!$AI:$AI)</f>
        <v>0</v>
      </c>
    </row>
    <row r="1416" spans="1:22" x14ac:dyDescent="0.25">
      <c r="A1416" s="47" t="s">
        <v>9546</v>
      </c>
      <c r="B1416" s="47" t="s">
        <v>123</v>
      </c>
      <c r="C1416" s="47" t="s">
        <v>5424</v>
      </c>
      <c r="D1416" s="47">
        <v>0.152386143963404</v>
      </c>
      <c r="E1416" s="48">
        <f>SUMIF(Data!$E:$E,$C1416,Data!$AI:$AI)</f>
        <v>0.14993036494457632</v>
      </c>
      <c r="I1416" s="14" t="s">
        <v>9552</v>
      </c>
      <c r="J1416" s="14" t="s">
        <v>9553</v>
      </c>
      <c r="K1416" s="14" t="s">
        <v>140</v>
      </c>
      <c r="L1416" s="14" t="s">
        <v>8069</v>
      </c>
      <c r="M1416" s="14" t="s">
        <v>9554</v>
      </c>
      <c r="N1416" s="14">
        <v>124.654</v>
      </c>
      <c r="O1416" s="14" t="s">
        <v>9555</v>
      </c>
      <c r="P1416" s="14" t="s">
        <v>9556</v>
      </c>
      <c r="Q1416" s="14" t="s">
        <v>419</v>
      </c>
      <c r="R1416" s="14" t="s">
        <v>9557</v>
      </c>
      <c r="S1416" s="14" t="s">
        <v>1167</v>
      </c>
      <c r="T1416" s="14" t="s">
        <v>1168</v>
      </c>
      <c r="U1416" s="14" t="s">
        <v>528</v>
      </c>
      <c r="V1416" s="48">
        <f>SUMIF(Data!$E:$E,$I1416,Data!$AI:$AI)</f>
        <v>0</v>
      </c>
    </row>
    <row r="1417" spans="1:22" x14ac:dyDescent="0.25">
      <c r="A1417" s="47" t="s">
        <v>9546</v>
      </c>
      <c r="B1417" s="47" t="s">
        <v>123</v>
      </c>
      <c r="C1417" s="47" t="s">
        <v>5431</v>
      </c>
      <c r="D1417" s="47">
        <v>4.2375635709966997E-2</v>
      </c>
      <c r="E1417" s="48">
        <f>SUMIF(Data!$E:$E,$C1417,Data!$AI:$AI)</f>
        <v>0</v>
      </c>
      <c r="I1417" s="14" t="s">
        <v>9558</v>
      </c>
      <c r="J1417" s="14" t="s">
        <v>9559</v>
      </c>
      <c r="K1417" s="14" t="s">
        <v>140</v>
      </c>
      <c r="L1417" s="14" t="s">
        <v>8069</v>
      </c>
      <c r="M1417" s="14" t="s">
        <v>9560</v>
      </c>
      <c r="N1417" s="14">
        <v>39.353000000000002</v>
      </c>
      <c r="O1417" s="14" t="s">
        <v>9561</v>
      </c>
      <c r="P1417" s="14" t="s">
        <v>9562</v>
      </c>
      <c r="Q1417" s="14" t="s">
        <v>165</v>
      </c>
      <c r="R1417" s="14" t="s">
        <v>9563</v>
      </c>
      <c r="S1417" s="14" t="s">
        <v>563</v>
      </c>
      <c r="T1417" s="14" t="s">
        <v>564</v>
      </c>
      <c r="U1417" s="14" t="s">
        <v>528</v>
      </c>
      <c r="V1417" s="48">
        <f>SUMIF(Data!$E:$E,$I1417,Data!$AI:$AI)</f>
        <v>0</v>
      </c>
    </row>
    <row r="1418" spans="1:22" x14ac:dyDescent="0.25">
      <c r="A1418" s="47" t="s">
        <v>9546</v>
      </c>
      <c r="B1418" s="47" t="s">
        <v>123</v>
      </c>
      <c r="C1418" s="47" t="s">
        <v>4768</v>
      </c>
      <c r="D1418" s="47">
        <v>1.2170761386051101</v>
      </c>
      <c r="E1418" s="48">
        <f>SUMIF(Data!$E:$E,$C1418,Data!$AI:$AI)</f>
        <v>0</v>
      </c>
      <c r="I1418" s="14">
        <v>3401</v>
      </c>
      <c r="J1418" s="14" t="s">
        <v>9564</v>
      </c>
      <c r="K1418" s="14" t="s">
        <v>140</v>
      </c>
      <c r="L1418" s="14" t="s">
        <v>8069</v>
      </c>
      <c r="M1418" s="14" t="s">
        <v>9565</v>
      </c>
      <c r="N1418" s="14">
        <v>114</v>
      </c>
      <c r="O1418" s="14" t="s">
        <v>9566</v>
      </c>
      <c r="P1418" s="14" t="s">
        <v>9567</v>
      </c>
      <c r="Q1418" s="14" t="s">
        <v>737</v>
      </c>
      <c r="R1418" s="14" t="s">
        <v>9568</v>
      </c>
      <c r="S1418" s="14" t="s">
        <v>444</v>
      </c>
      <c r="T1418" s="14" t="s">
        <v>445</v>
      </c>
      <c r="U1418" s="14" t="s">
        <v>446</v>
      </c>
      <c r="V1418" s="48">
        <f>SUMIF(Data!$E:$E,$I1418,Data!$AI:$AI)</f>
        <v>0</v>
      </c>
    </row>
    <row r="1419" spans="1:22" x14ac:dyDescent="0.25">
      <c r="A1419" s="47" t="s">
        <v>9546</v>
      </c>
      <c r="B1419" s="47" t="s">
        <v>123</v>
      </c>
      <c r="C1419" s="47" t="s">
        <v>5444</v>
      </c>
      <c r="D1419" s="47">
        <v>0.17062944023216201</v>
      </c>
      <c r="E1419" s="48">
        <f>SUMIF(Data!$E:$E,$C1419,Data!$AI:$AI)</f>
        <v>0.13053515410881558</v>
      </c>
      <c r="I1419" s="14" t="s">
        <v>9569</v>
      </c>
      <c r="J1419" s="14" t="s">
        <v>9570</v>
      </c>
      <c r="K1419" s="14" t="s">
        <v>140</v>
      </c>
      <c r="L1419" s="14" t="s">
        <v>8069</v>
      </c>
      <c r="M1419" s="14" t="s">
        <v>9571</v>
      </c>
      <c r="N1419" s="14">
        <v>10.183</v>
      </c>
      <c r="O1419" s="14" t="s">
        <v>9572</v>
      </c>
      <c r="P1419" s="14" t="s">
        <v>9573</v>
      </c>
      <c r="Q1419" s="14" t="s">
        <v>165</v>
      </c>
      <c r="R1419" s="14" t="s">
        <v>9574</v>
      </c>
      <c r="S1419" s="14" t="s">
        <v>526</v>
      </c>
      <c r="T1419" s="14" t="s">
        <v>527</v>
      </c>
      <c r="U1419" s="14" t="s">
        <v>528</v>
      </c>
      <c r="V1419" s="48">
        <f>SUMIF(Data!$E:$E,$I1419,Data!$AI:$AI)</f>
        <v>0</v>
      </c>
    </row>
    <row r="1420" spans="1:22" x14ac:dyDescent="0.25">
      <c r="A1420" s="47" t="s">
        <v>9546</v>
      </c>
      <c r="B1420" s="47" t="s">
        <v>123</v>
      </c>
      <c r="C1420" s="47" t="s">
        <v>5051</v>
      </c>
      <c r="D1420" s="47">
        <v>0.652216211506217</v>
      </c>
      <c r="E1420" s="48">
        <f>SUMIF(Data!$E:$E,$C1420,Data!$AI:$AI)</f>
        <v>0.40847619001243751</v>
      </c>
      <c r="I1420" s="14">
        <v>1876</v>
      </c>
      <c r="J1420" s="14" t="s">
        <v>9575</v>
      </c>
      <c r="K1420" s="14" t="s">
        <v>140</v>
      </c>
      <c r="L1420" s="14" t="s">
        <v>8069</v>
      </c>
      <c r="M1420" s="14" t="s">
        <v>9576</v>
      </c>
      <c r="N1420" s="14">
        <v>629.6</v>
      </c>
      <c r="O1420" s="14" t="s">
        <v>9577</v>
      </c>
      <c r="P1420" s="14" t="s">
        <v>9578</v>
      </c>
      <c r="Q1420" s="14" t="s">
        <v>227</v>
      </c>
      <c r="R1420" s="14" t="s">
        <v>9579</v>
      </c>
      <c r="S1420" s="14" t="s">
        <v>552</v>
      </c>
      <c r="T1420" s="14" t="s">
        <v>553</v>
      </c>
      <c r="U1420" s="14" t="s">
        <v>554</v>
      </c>
      <c r="V1420" s="48">
        <f>SUMIF(Data!$E:$E,$I1420,Data!$AI:$AI)</f>
        <v>0</v>
      </c>
    </row>
    <row r="1421" spans="1:22" x14ac:dyDescent="0.25">
      <c r="A1421" s="47" t="s">
        <v>9546</v>
      </c>
      <c r="B1421" s="47" t="s">
        <v>123</v>
      </c>
      <c r="C1421" s="47" t="s">
        <v>5058</v>
      </c>
      <c r="D1421" s="47">
        <v>0.235323038556284</v>
      </c>
      <c r="E1421" s="48">
        <f>SUMIF(Data!$E:$E,$C1421,Data!$AI:$AI)</f>
        <v>0</v>
      </c>
      <c r="I1421" s="14" t="s">
        <v>9580</v>
      </c>
      <c r="J1421" s="14" t="s">
        <v>9581</v>
      </c>
      <c r="K1421" s="14" t="s">
        <v>140</v>
      </c>
      <c r="L1421" s="14" t="s">
        <v>8069</v>
      </c>
      <c r="M1421" s="14" t="s">
        <v>9582</v>
      </c>
      <c r="N1421" s="14">
        <v>69.573999999999998</v>
      </c>
      <c r="O1421" s="14" t="s">
        <v>9583</v>
      </c>
      <c r="P1421" s="14" t="s">
        <v>9584</v>
      </c>
      <c r="Q1421" s="14" t="s">
        <v>737</v>
      </c>
      <c r="R1421" s="14" t="s">
        <v>9585</v>
      </c>
      <c r="S1421" s="14" t="s">
        <v>526</v>
      </c>
      <c r="T1421" s="14" t="s">
        <v>527</v>
      </c>
      <c r="U1421" s="14" t="s">
        <v>528</v>
      </c>
      <c r="V1421" s="48">
        <f>SUMIF(Data!$E:$E,$I1421,Data!$AI:$AI)</f>
        <v>0</v>
      </c>
    </row>
    <row r="1422" spans="1:22" x14ac:dyDescent="0.25">
      <c r="A1422" s="47" t="s">
        <v>9546</v>
      </c>
      <c r="B1422" s="47" t="s">
        <v>123</v>
      </c>
      <c r="C1422" s="47" t="s">
        <v>5065</v>
      </c>
      <c r="D1422" s="47">
        <v>0.50745687694168895</v>
      </c>
      <c r="E1422" s="48">
        <f>SUMIF(Data!$E:$E,$C1422,Data!$AI:$AI)</f>
        <v>0.49255800486170526</v>
      </c>
      <c r="I1422" s="14" t="s">
        <v>9586</v>
      </c>
      <c r="J1422" s="14" t="s">
        <v>9587</v>
      </c>
      <c r="K1422" s="14" t="s">
        <v>140</v>
      </c>
      <c r="L1422" s="14" t="s">
        <v>8069</v>
      </c>
      <c r="M1422" s="14" t="s">
        <v>9588</v>
      </c>
      <c r="N1422" s="14">
        <v>20.109000000000002</v>
      </c>
      <c r="O1422" s="14" t="s">
        <v>9589</v>
      </c>
      <c r="P1422" s="14" t="s">
        <v>9590</v>
      </c>
      <c r="Q1422" s="14" t="s">
        <v>419</v>
      </c>
      <c r="R1422" s="14" t="s">
        <v>9591</v>
      </c>
      <c r="S1422" s="14" t="s">
        <v>526</v>
      </c>
      <c r="T1422" s="14" t="s">
        <v>527</v>
      </c>
      <c r="U1422" s="14" t="s">
        <v>528</v>
      </c>
      <c r="V1422" s="48">
        <f>SUMIF(Data!$E:$E,$I1422,Data!$AI:$AI)</f>
        <v>0</v>
      </c>
    </row>
    <row r="1423" spans="1:22" x14ac:dyDescent="0.25">
      <c r="A1423" s="47" t="s">
        <v>9546</v>
      </c>
      <c r="B1423" s="47" t="s">
        <v>123</v>
      </c>
      <c r="C1423" s="47" t="s">
        <v>5451</v>
      </c>
      <c r="D1423" s="47">
        <v>2.6973539030120001E-2</v>
      </c>
      <c r="E1423" s="48">
        <f>SUMIF(Data!$E:$E,$C1423,Data!$AI:$AI)</f>
        <v>0</v>
      </c>
      <c r="I1423" s="14" t="s">
        <v>9592</v>
      </c>
      <c r="J1423" s="14" t="s">
        <v>9593</v>
      </c>
      <c r="K1423" s="14" t="s">
        <v>140</v>
      </c>
      <c r="L1423" s="14" t="s">
        <v>8069</v>
      </c>
      <c r="M1423" s="14" t="s">
        <v>9594</v>
      </c>
      <c r="N1423" s="14">
        <v>189.39400000000001</v>
      </c>
      <c r="O1423" s="14" t="s">
        <v>9595</v>
      </c>
      <c r="P1423" s="14" t="s">
        <v>9596</v>
      </c>
      <c r="Q1423" s="14" t="s">
        <v>165</v>
      </c>
      <c r="R1423" s="14" t="s">
        <v>9597</v>
      </c>
      <c r="S1423" s="14" t="s">
        <v>479</v>
      </c>
      <c r="T1423" s="14" t="s">
        <v>480</v>
      </c>
      <c r="U1423" s="14" t="s">
        <v>481</v>
      </c>
      <c r="V1423" s="48">
        <f>SUMIF(Data!$E:$E,$I1423,Data!$AI:$AI)</f>
        <v>0</v>
      </c>
    </row>
    <row r="1424" spans="1:22" x14ac:dyDescent="0.25">
      <c r="A1424" s="47" t="s">
        <v>9546</v>
      </c>
      <c r="B1424" s="47" t="s">
        <v>123</v>
      </c>
      <c r="C1424" s="47" t="s">
        <v>4782</v>
      </c>
      <c r="D1424" s="47">
        <v>1.2749631001809101</v>
      </c>
      <c r="E1424" s="48">
        <f>SUMIF(Data!$E:$E,$C1424,Data!$AI:$AI)</f>
        <v>0</v>
      </c>
      <c r="I1424" s="14">
        <v>7453</v>
      </c>
      <c r="J1424" s="14" t="s">
        <v>9598</v>
      </c>
      <c r="K1424" s="14" t="s">
        <v>140</v>
      </c>
      <c r="L1424" s="14" t="s">
        <v>8069</v>
      </c>
      <c r="M1424" s="14" t="s">
        <v>9599</v>
      </c>
      <c r="N1424" s="14">
        <v>85.55</v>
      </c>
      <c r="O1424" s="14" t="s">
        <v>9600</v>
      </c>
      <c r="P1424" s="14" t="s">
        <v>9601</v>
      </c>
      <c r="Q1424" s="14" t="s">
        <v>165</v>
      </c>
      <c r="R1424" s="14" t="s">
        <v>9602</v>
      </c>
      <c r="S1424" s="14" t="s">
        <v>444</v>
      </c>
      <c r="T1424" s="14" t="s">
        <v>445</v>
      </c>
      <c r="U1424" s="14" t="s">
        <v>446</v>
      </c>
      <c r="V1424" s="48">
        <f>SUMIF(Data!$E:$E,$I1424,Data!$AI:$AI)</f>
        <v>0</v>
      </c>
    </row>
    <row r="1425" spans="1:22" x14ac:dyDescent="0.25">
      <c r="A1425" s="47" t="s">
        <v>9546</v>
      </c>
      <c r="B1425" s="47" t="s">
        <v>123</v>
      </c>
      <c r="C1425" s="47" t="s">
        <v>5457</v>
      </c>
      <c r="D1425" s="47">
        <v>8.7869901051298993E-2</v>
      </c>
      <c r="E1425" s="48">
        <f>SUMIF(Data!$E:$E,$C1425,Data!$AI:$AI)</f>
        <v>0</v>
      </c>
      <c r="I1425" s="14" t="s">
        <v>9603</v>
      </c>
      <c r="J1425" s="14" t="s">
        <v>9604</v>
      </c>
      <c r="K1425" s="14" t="s">
        <v>140</v>
      </c>
      <c r="L1425" s="14" t="s">
        <v>8069</v>
      </c>
      <c r="M1425" s="14" t="s">
        <v>9605</v>
      </c>
      <c r="N1425" s="14">
        <v>166.9</v>
      </c>
      <c r="O1425" s="14" t="s">
        <v>9606</v>
      </c>
      <c r="P1425" s="14" t="s">
        <v>9607</v>
      </c>
      <c r="Q1425" s="14" t="s">
        <v>146</v>
      </c>
      <c r="R1425" s="14" t="s">
        <v>9608</v>
      </c>
      <c r="S1425" s="14" t="s">
        <v>2368</v>
      </c>
      <c r="T1425" s="14" t="s">
        <v>2369</v>
      </c>
      <c r="U1425" s="14" t="s">
        <v>2370</v>
      </c>
      <c r="V1425" s="48">
        <f>SUMIF(Data!$E:$E,$I1425,Data!$AI:$AI)</f>
        <v>0</v>
      </c>
    </row>
    <row r="1426" spans="1:22" x14ac:dyDescent="0.25">
      <c r="A1426" s="47" t="s">
        <v>9546</v>
      </c>
      <c r="B1426" s="47" t="s">
        <v>123</v>
      </c>
      <c r="C1426" s="47" t="s">
        <v>5072</v>
      </c>
      <c r="D1426" s="47">
        <v>0.25475081309372599</v>
      </c>
      <c r="E1426" s="48">
        <f>SUMIF(Data!$E:$E,$C1426,Data!$AI:$AI)</f>
        <v>0.26629035811338408</v>
      </c>
      <c r="I1426" s="14">
        <v>4922</v>
      </c>
      <c r="J1426" s="14" t="s">
        <v>9609</v>
      </c>
      <c r="K1426" s="14" t="s">
        <v>140</v>
      </c>
      <c r="L1426" s="14" t="s">
        <v>8069</v>
      </c>
      <c r="M1426" s="14" t="s">
        <v>9610</v>
      </c>
      <c r="N1426" s="14">
        <v>12.7</v>
      </c>
      <c r="O1426" s="14" t="s">
        <v>9611</v>
      </c>
      <c r="P1426" s="14" t="s">
        <v>9612</v>
      </c>
      <c r="Q1426" s="14" t="s">
        <v>227</v>
      </c>
      <c r="R1426" s="14" t="s">
        <v>9613</v>
      </c>
      <c r="S1426" s="14" t="s">
        <v>444</v>
      </c>
      <c r="T1426" s="14" t="s">
        <v>445</v>
      </c>
      <c r="U1426" s="14" t="s">
        <v>446</v>
      </c>
      <c r="V1426" s="48">
        <f>SUMIF(Data!$E:$E,$I1426,Data!$AI:$AI)</f>
        <v>0</v>
      </c>
    </row>
    <row r="1427" spans="1:22" x14ac:dyDescent="0.25">
      <c r="A1427" s="47" t="s">
        <v>9546</v>
      </c>
      <c r="B1427" s="47" t="s">
        <v>123</v>
      </c>
      <c r="C1427" s="47" t="s">
        <v>4789</v>
      </c>
      <c r="D1427" s="47">
        <v>1.04146797829839</v>
      </c>
      <c r="E1427" s="48">
        <f>SUMIF(Data!$E:$E,$C1427,Data!$AI:$AI)</f>
        <v>0</v>
      </c>
      <c r="I1427" s="14" t="s">
        <v>9614</v>
      </c>
      <c r="J1427" s="14" t="s">
        <v>9615</v>
      </c>
      <c r="K1427" s="14" t="s">
        <v>140</v>
      </c>
      <c r="L1427" s="14" t="s">
        <v>8069</v>
      </c>
      <c r="M1427" s="14" t="s">
        <v>9616</v>
      </c>
      <c r="N1427" s="14">
        <v>345.05500000000001</v>
      </c>
      <c r="O1427" s="14" t="s">
        <v>9617</v>
      </c>
      <c r="P1427" s="14" t="s">
        <v>9618</v>
      </c>
      <c r="Q1427" s="14" t="s">
        <v>737</v>
      </c>
      <c r="R1427" s="14" t="s">
        <v>9619</v>
      </c>
      <c r="S1427" s="14" t="s">
        <v>728</v>
      </c>
      <c r="T1427" s="14" t="s">
        <v>729</v>
      </c>
      <c r="U1427" s="14" t="s">
        <v>730</v>
      </c>
      <c r="V1427" s="48">
        <f>SUMIF(Data!$E:$E,$I1427,Data!$AI:$AI)</f>
        <v>0</v>
      </c>
    </row>
    <row r="1428" spans="1:22" x14ac:dyDescent="0.25">
      <c r="A1428" s="47" t="s">
        <v>9546</v>
      </c>
      <c r="B1428" s="47" t="s">
        <v>123</v>
      </c>
      <c r="C1428" s="47" t="s">
        <v>5463</v>
      </c>
      <c r="D1428" s="47">
        <v>0.11895545856895801</v>
      </c>
      <c r="E1428" s="48">
        <f>SUMIF(Data!$E:$E,$C1428,Data!$AI:$AI)</f>
        <v>0</v>
      </c>
      <c r="I1428" s="14" t="s">
        <v>9620</v>
      </c>
      <c r="J1428" s="14" t="s">
        <v>9621</v>
      </c>
      <c r="K1428" s="14" t="s">
        <v>140</v>
      </c>
      <c r="L1428" s="14" t="s">
        <v>8069</v>
      </c>
      <c r="M1428" s="14" t="s">
        <v>9622</v>
      </c>
      <c r="N1428" s="14">
        <v>417.113</v>
      </c>
      <c r="O1428" s="14" t="s">
        <v>9623</v>
      </c>
      <c r="P1428" s="14" t="s">
        <v>9624</v>
      </c>
      <c r="Q1428" s="14" t="s">
        <v>175</v>
      </c>
      <c r="R1428" s="14" t="s">
        <v>9625</v>
      </c>
      <c r="S1428" s="14" t="s">
        <v>195</v>
      </c>
      <c r="T1428" s="14" t="s">
        <v>149</v>
      </c>
      <c r="U1428" s="14" t="s">
        <v>113</v>
      </c>
      <c r="V1428" s="48">
        <f>SUMIF(Data!$E:$E,$I1428,Data!$AI:$AI)</f>
        <v>0</v>
      </c>
    </row>
    <row r="1429" spans="1:22" x14ac:dyDescent="0.25">
      <c r="A1429" s="47" t="s">
        <v>9546</v>
      </c>
      <c r="B1429" s="47" t="s">
        <v>123</v>
      </c>
      <c r="C1429" s="47" t="s">
        <v>3205</v>
      </c>
      <c r="D1429" s="47">
        <v>1.0475060370531899</v>
      </c>
      <c r="E1429" s="48">
        <f>SUMIF(Data!$E:$E,$C1429,Data!$AI:$AI)</f>
        <v>0</v>
      </c>
      <c r="I1429" s="14" t="s">
        <v>9626</v>
      </c>
      <c r="J1429" s="14" t="s">
        <v>9627</v>
      </c>
      <c r="K1429" s="14" t="s">
        <v>140</v>
      </c>
      <c r="L1429" s="14" t="s">
        <v>8069</v>
      </c>
      <c r="M1429" s="14" t="s">
        <v>7634</v>
      </c>
      <c r="N1429" s="14">
        <v>607.17200000000003</v>
      </c>
      <c r="O1429" s="14" t="s">
        <v>9628</v>
      </c>
      <c r="P1429" s="14" t="s">
        <v>9629</v>
      </c>
      <c r="Q1429" s="14" t="s">
        <v>737</v>
      </c>
      <c r="R1429" s="14" t="s">
        <v>9630</v>
      </c>
      <c r="S1429" s="14" t="s">
        <v>850</v>
      </c>
      <c r="T1429" s="14" t="s">
        <v>851</v>
      </c>
      <c r="U1429" s="14" t="s">
        <v>852</v>
      </c>
      <c r="V1429" s="48">
        <f>SUMIF(Data!$E:$E,$I1429,Data!$AI:$AI)</f>
        <v>0</v>
      </c>
    </row>
    <row r="1430" spans="1:22" x14ac:dyDescent="0.25">
      <c r="A1430" s="47" t="s">
        <v>9546</v>
      </c>
      <c r="B1430" s="47" t="s">
        <v>123</v>
      </c>
      <c r="C1430" s="47" t="s">
        <v>5470</v>
      </c>
      <c r="D1430" s="47">
        <v>9.9387065833300994E-2</v>
      </c>
      <c r="E1430" s="48">
        <f>SUMIF(Data!$E:$E,$C1430,Data!$AI:$AI)</f>
        <v>0</v>
      </c>
      <c r="I1430" s="14" t="s">
        <v>9631</v>
      </c>
      <c r="J1430" s="14" t="s">
        <v>9632</v>
      </c>
      <c r="K1430" s="14" t="s">
        <v>140</v>
      </c>
      <c r="L1430" s="14" t="s">
        <v>8069</v>
      </c>
      <c r="M1430" s="14" t="s">
        <v>9633</v>
      </c>
      <c r="N1430" s="14">
        <v>311.62599999999998</v>
      </c>
      <c r="O1430" s="14" t="s">
        <v>9634</v>
      </c>
      <c r="P1430" s="14" t="s">
        <v>9635</v>
      </c>
      <c r="Q1430" s="14" t="s">
        <v>193</v>
      </c>
      <c r="R1430" s="14" t="s">
        <v>9636</v>
      </c>
      <c r="S1430" s="14" t="s">
        <v>2368</v>
      </c>
      <c r="T1430" s="14" t="s">
        <v>2369</v>
      </c>
      <c r="U1430" s="14" t="s">
        <v>2370</v>
      </c>
      <c r="V1430" s="48">
        <f>SUMIF(Data!$E:$E,$I1430,Data!$AI:$AI)</f>
        <v>0</v>
      </c>
    </row>
    <row r="1431" spans="1:22" x14ac:dyDescent="0.25">
      <c r="A1431" s="47" t="s">
        <v>9546</v>
      </c>
      <c r="B1431" s="47" t="s">
        <v>123</v>
      </c>
      <c r="C1431" s="47" t="s">
        <v>5477</v>
      </c>
      <c r="D1431" s="47">
        <v>0.14489574777171199</v>
      </c>
      <c r="E1431" s="48">
        <f>SUMIF(Data!$E:$E,$C1431,Data!$AI:$AI)</f>
        <v>0</v>
      </c>
      <c r="I1431" s="14" t="s">
        <v>9637</v>
      </c>
      <c r="J1431" s="14" t="s">
        <v>9638</v>
      </c>
      <c r="K1431" s="14" t="s">
        <v>140</v>
      </c>
      <c r="L1431" s="14" t="s">
        <v>8069</v>
      </c>
      <c r="M1431" s="14" t="s">
        <v>9639</v>
      </c>
      <c r="N1431" s="14">
        <v>36.838000000000001</v>
      </c>
      <c r="O1431" s="14" t="s">
        <v>9640</v>
      </c>
      <c r="P1431" s="14" t="s">
        <v>9641</v>
      </c>
      <c r="Q1431" s="14" t="s">
        <v>263</v>
      </c>
      <c r="R1431" s="14" t="s">
        <v>9642</v>
      </c>
      <c r="S1431" s="14" t="s">
        <v>645</v>
      </c>
      <c r="T1431" s="14" t="s">
        <v>646</v>
      </c>
      <c r="U1431" s="14" t="s">
        <v>528</v>
      </c>
      <c r="V1431" s="48">
        <f>SUMIF(Data!$E:$E,$I1431,Data!$AI:$AI)</f>
        <v>0</v>
      </c>
    </row>
    <row r="1432" spans="1:22" x14ac:dyDescent="0.25">
      <c r="A1432" s="47" t="s">
        <v>9546</v>
      </c>
      <c r="B1432" s="47" t="s">
        <v>123</v>
      </c>
      <c r="C1432" s="47" t="s">
        <v>5484</v>
      </c>
      <c r="D1432" s="47">
        <v>8.1541981044486997E-2</v>
      </c>
      <c r="E1432" s="48">
        <f>SUMIF(Data!$E:$E,$C1432,Data!$AI:$AI)</f>
        <v>0</v>
      </c>
      <c r="I1432" s="14" t="s">
        <v>9643</v>
      </c>
      <c r="J1432" s="14" t="s">
        <v>9644</v>
      </c>
      <c r="K1432" s="14" t="s">
        <v>140</v>
      </c>
      <c r="L1432" s="14" t="s">
        <v>8069</v>
      </c>
      <c r="M1432" s="14" t="s">
        <v>5960</v>
      </c>
      <c r="N1432" s="14">
        <v>21.268000000000001</v>
      </c>
      <c r="O1432" s="14" t="s">
        <v>9645</v>
      </c>
      <c r="P1432" s="14" t="s">
        <v>9646</v>
      </c>
      <c r="Q1432" s="14" t="s">
        <v>211</v>
      </c>
      <c r="R1432" s="14" t="s">
        <v>9647</v>
      </c>
      <c r="S1432" s="14" t="s">
        <v>563</v>
      </c>
      <c r="T1432" s="14" t="s">
        <v>564</v>
      </c>
      <c r="U1432" s="14" t="s">
        <v>528</v>
      </c>
      <c r="V1432" s="48">
        <f>SUMIF(Data!$E:$E,$I1432,Data!$AI:$AI)</f>
        <v>0</v>
      </c>
    </row>
    <row r="1433" spans="1:22" x14ac:dyDescent="0.25">
      <c r="A1433" s="47" t="s">
        <v>9546</v>
      </c>
      <c r="B1433" s="47" t="s">
        <v>123</v>
      </c>
      <c r="C1433" s="47" t="s">
        <v>5085</v>
      </c>
      <c r="D1433" s="47">
        <v>0.16813390520928201</v>
      </c>
      <c r="E1433" s="48">
        <f>SUMIF(Data!$E:$E,$C1433,Data!$AI:$AI)</f>
        <v>0</v>
      </c>
      <c r="I1433" s="14">
        <v>6268</v>
      </c>
      <c r="J1433" s="14" t="s">
        <v>9648</v>
      </c>
      <c r="K1433" s="14" t="s">
        <v>140</v>
      </c>
      <c r="L1433" s="14" t="s">
        <v>8069</v>
      </c>
      <c r="M1433" s="14" t="s">
        <v>9649</v>
      </c>
      <c r="N1433" s="14">
        <v>64.691999999999993</v>
      </c>
      <c r="O1433" s="14" t="s">
        <v>9650</v>
      </c>
      <c r="P1433" s="14" t="s">
        <v>9651</v>
      </c>
      <c r="Q1433" s="14" t="s">
        <v>419</v>
      </c>
      <c r="R1433" s="14" t="s">
        <v>9652</v>
      </c>
      <c r="S1433" s="14" t="s">
        <v>444</v>
      </c>
      <c r="T1433" s="14" t="s">
        <v>445</v>
      </c>
      <c r="U1433" s="14" t="s">
        <v>446</v>
      </c>
      <c r="V1433" s="48">
        <f>SUMIF(Data!$E:$E,$I1433,Data!$AI:$AI)</f>
        <v>0</v>
      </c>
    </row>
    <row r="1434" spans="1:22" x14ac:dyDescent="0.25">
      <c r="A1434" s="47" t="s">
        <v>9546</v>
      </c>
      <c r="B1434" s="47" t="s">
        <v>123</v>
      </c>
      <c r="C1434" s="47" t="s">
        <v>4801</v>
      </c>
      <c r="D1434" s="47">
        <v>3.9110602683121201</v>
      </c>
      <c r="E1434" s="48">
        <f>SUMIF(Data!$E:$E,$C1434,Data!$AI:$AI)</f>
        <v>0.9366848889291185</v>
      </c>
      <c r="I1434" s="14">
        <v>1038</v>
      </c>
      <c r="J1434" s="14" t="s">
        <v>9653</v>
      </c>
      <c r="K1434" s="14" t="s">
        <v>140</v>
      </c>
      <c r="L1434" s="14" t="s">
        <v>8069</v>
      </c>
      <c r="M1434" s="14" t="s">
        <v>9654</v>
      </c>
      <c r="N1434" s="14">
        <v>278</v>
      </c>
      <c r="O1434" s="14" t="s">
        <v>9655</v>
      </c>
      <c r="P1434" s="14" t="s">
        <v>9656</v>
      </c>
      <c r="Q1434" s="14" t="s">
        <v>697</v>
      </c>
      <c r="R1434" s="14" t="s">
        <v>9657</v>
      </c>
      <c r="S1434" s="14" t="s">
        <v>552</v>
      </c>
      <c r="T1434" s="14" t="s">
        <v>553</v>
      </c>
      <c r="U1434" s="14" t="s">
        <v>554</v>
      </c>
      <c r="V1434" s="48">
        <f>SUMIF(Data!$E:$E,$I1434,Data!$AI:$AI)</f>
        <v>0</v>
      </c>
    </row>
    <row r="1435" spans="1:22" x14ac:dyDescent="0.25">
      <c r="A1435" s="47" t="s">
        <v>9546</v>
      </c>
      <c r="B1435" s="47" t="s">
        <v>123</v>
      </c>
      <c r="C1435" s="47" t="s">
        <v>5491</v>
      </c>
      <c r="D1435" s="47">
        <v>6.2896297450100003E-2</v>
      </c>
      <c r="E1435" s="48">
        <f>SUMIF(Data!$E:$E,$C1435,Data!$AI:$AI)</f>
        <v>0</v>
      </c>
      <c r="I1435" s="14" t="s">
        <v>7687</v>
      </c>
      <c r="J1435" s="14" t="s">
        <v>9658</v>
      </c>
      <c r="K1435" s="14" t="s">
        <v>140</v>
      </c>
      <c r="L1435" s="14" t="s">
        <v>8069</v>
      </c>
      <c r="M1435" s="14" t="s">
        <v>9659</v>
      </c>
      <c r="N1435" s="14">
        <v>32.481000000000002</v>
      </c>
      <c r="O1435" s="14" t="s">
        <v>9660</v>
      </c>
      <c r="P1435" s="14" t="s">
        <v>9661</v>
      </c>
      <c r="Q1435" s="14" t="s">
        <v>146</v>
      </c>
      <c r="R1435" s="14" t="s">
        <v>9662</v>
      </c>
      <c r="S1435" s="14" t="s">
        <v>479</v>
      </c>
      <c r="T1435" s="14" t="s">
        <v>480</v>
      </c>
      <c r="U1435" s="14" t="s">
        <v>481</v>
      </c>
      <c r="V1435" s="48">
        <f>SUMIF(Data!$E:$E,$I1435,Data!$AI:$AI)</f>
        <v>0</v>
      </c>
    </row>
    <row r="1436" spans="1:22" x14ac:dyDescent="0.25">
      <c r="A1436" s="47" t="s">
        <v>9546</v>
      </c>
      <c r="B1436" s="47" t="s">
        <v>123</v>
      </c>
      <c r="C1436" s="47" t="s">
        <v>3145</v>
      </c>
      <c r="D1436" s="47">
        <v>1.35268436430471</v>
      </c>
      <c r="E1436" s="48">
        <f>SUMIF(Data!$E:$E,$C1436,Data!$AI:$AI)</f>
        <v>0</v>
      </c>
      <c r="I1436" s="14">
        <v>7182</v>
      </c>
      <c r="J1436" s="14" t="s">
        <v>9663</v>
      </c>
      <c r="K1436" s="14" t="s">
        <v>140</v>
      </c>
      <c r="L1436" s="14" t="s">
        <v>8069</v>
      </c>
      <c r="M1436" s="14" t="s">
        <v>9664</v>
      </c>
      <c r="N1436" s="14">
        <v>212.6</v>
      </c>
      <c r="O1436" s="14" t="s">
        <v>9665</v>
      </c>
      <c r="P1436" s="14" t="s">
        <v>9666</v>
      </c>
      <c r="Q1436" s="14" t="s">
        <v>193</v>
      </c>
      <c r="R1436" s="14" t="s">
        <v>9667</v>
      </c>
      <c r="S1436" s="14" t="s">
        <v>444</v>
      </c>
      <c r="T1436" s="14" t="s">
        <v>445</v>
      </c>
      <c r="U1436" s="14" t="s">
        <v>446</v>
      </c>
      <c r="V1436" s="48">
        <f>SUMIF(Data!$E:$E,$I1436,Data!$AI:$AI)</f>
        <v>0</v>
      </c>
    </row>
    <row r="1437" spans="1:22" x14ac:dyDescent="0.25">
      <c r="A1437" s="47" t="s">
        <v>9546</v>
      </c>
      <c r="B1437" s="47" t="s">
        <v>123</v>
      </c>
      <c r="C1437" s="47" t="s">
        <v>5498</v>
      </c>
      <c r="D1437" s="47">
        <v>8.4712850196483003E-2</v>
      </c>
      <c r="E1437" s="48">
        <f>SUMIF(Data!$E:$E,$C1437,Data!$AI:$AI)</f>
        <v>0</v>
      </c>
      <c r="I1437" s="14" t="s">
        <v>9668</v>
      </c>
      <c r="J1437" s="14" t="s">
        <v>9669</v>
      </c>
      <c r="K1437" s="14" t="s">
        <v>140</v>
      </c>
      <c r="L1437" s="14" t="s">
        <v>8069</v>
      </c>
      <c r="M1437" s="14" t="s">
        <v>9670</v>
      </c>
      <c r="N1437" s="14">
        <v>189.08600000000001</v>
      </c>
      <c r="O1437" s="14" t="s">
        <v>9671</v>
      </c>
      <c r="P1437" s="14" t="s">
        <v>9672</v>
      </c>
      <c r="Q1437" s="14" t="s">
        <v>227</v>
      </c>
      <c r="R1437" s="14" t="s">
        <v>9673</v>
      </c>
      <c r="S1437" s="14" t="s">
        <v>195</v>
      </c>
      <c r="T1437" s="14" t="s">
        <v>149</v>
      </c>
      <c r="U1437" s="14" t="s">
        <v>113</v>
      </c>
      <c r="V1437" s="48">
        <f>SUMIF(Data!$E:$E,$I1437,Data!$AI:$AI)</f>
        <v>0</v>
      </c>
    </row>
    <row r="1438" spans="1:22" x14ac:dyDescent="0.25">
      <c r="A1438" s="47" t="s">
        <v>9546</v>
      </c>
      <c r="B1438" s="47" t="s">
        <v>123</v>
      </c>
      <c r="C1438" s="47" t="s">
        <v>5504</v>
      </c>
      <c r="D1438" s="47">
        <v>3.6205177967622001E-2</v>
      </c>
      <c r="E1438" s="48">
        <f>SUMIF(Data!$E:$E,$C1438,Data!$AI:$AI)</f>
        <v>0</v>
      </c>
      <c r="I1438" s="14" t="s">
        <v>9674</v>
      </c>
      <c r="J1438" s="14" t="s">
        <v>9675</v>
      </c>
      <c r="K1438" s="14" t="s">
        <v>140</v>
      </c>
      <c r="L1438" s="14" t="s">
        <v>8069</v>
      </c>
      <c r="M1438" s="14" t="s">
        <v>9676</v>
      </c>
      <c r="N1438" s="14">
        <v>15.239000000000001</v>
      </c>
      <c r="O1438" s="14" t="s">
        <v>9677</v>
      </c>
      <c r="P1438" s="14" t="s">
        <v>9678</v>
      </c>
      <c r="Q1438" s="14" t="s">
        <v>175</v>
      </c>
      <c r="R1438" s="14" t="s">
        <v>9679</v>
      </c>
      <c r="S1438" s="14" t="s">
        <v>563</v>
      </c>
      <c r="T1438" s="14" t="s">
        <v>564</v>
      </c>
      <c r="U1438" s="14" t="s">
        <v>528</v>
      </c>
      <c r="V1438" s="48">
        <f>SUMIF(Data!$E:$E,$I1438,Data!$AI:$AI)</f>
        <v>0</v>
      </c>
    </row>
    <row r="1439" spans="1:22" x14ac:dyDescent="0.25">
      <c r="A1439" s="47" t="s">
        <v>9546</v>
      </c>
      <c r="B1439" s="47" t="s">
        <v>123</v>
      </c>
      <c r="C1439" s="47" t="s">
        <v>3152</v>
      </c>
      <c r="D1439" s="47">
        <v>0.46568889283676501</v>
      </c>
      <c r="E1439" s="48">
        <f>SUMIF(Data!$E:$E,$C1439,Data!$AI:$AI)</f>
        <v>0.13519946439795033</v>
      </c>
      <c r="I1439" s="14" t="s">
        <v>9680</v>
      </c>
      <c r="J1439" s="14" t="s">
        <v>9681</v>
      </c>
      <c r="K1439" s="14" t="s">
        <v>140</v>
      </c>
      <c r="L1439" s="14" t="s">
        <v>8069</v>
      </c>
      <c r="M1439" s="14" t="s">
        <v>9682</v>
      </c>
      <c r="N1439" s="14">
        <v>1.6140000000000001</v>
      </c>
      <c r="O1439" s="14" t="s">
        <v>9683</v>
      </c>
      <c r="P1439" s="14" t="s">
        <v>9684</v>
      </c>
      <c r="Q1439" s="14" t="s">
        <v>419</v>
      </c>
      <c r="R1439" s="14" t="s">
        <v>9685</v>
      </c>
      <c r="S1439" s="14" t="s">
        <v>563</v>
      </c>
      <c r="T1439" s="14" t="s">
        <v>564</v>
      </c>
      <c r="U1439" s="14" t="s">
        <v>528</v>
      </c>
      <c r="V1439" s="48">
        <f>SUMIF(Data!$E:$E,$I1439,Data!$AI:$AI)</f>
        <v>0</v>
      </c>
    </row>
    <row r="1440" spans="1:22" x14ac:dyDescent="0.25">
      <c r="A1440" s="47" t="s">
        <v>9546</v>
      </c>
      <c r="B1440" s="47" t="s">
        <v>123</v>
      </c>
      <c r="C1440" s="47" t="s">
        <v>4814</v>
      </c>
      <c r="D1440" s="47">
        <v>0.54915503071907501</v>
      </c>
      <c r="E1440" s="48">
        <f>SUMIF(Data!$E:$E,$C1440,Data!$AI:$AI)</f>
        <v>0</v>
      </c>
      <c r="I1440" s="14">
        <v>7205</v>
      </c>
      <c r="J1440" s="14" t="s">
        <v>9686</v>
      </c>
      <c r="K1440" s="14" t="s">
        <v>140</v>
      </c>
      <c r="L1440" s="14" t="s">
        <v>8069</v>
      </c>
      <c r="M1440" s="14" t="s">
        <v>9687</v>
      </c>
      <c r="N1440" s="14">
        <v>191.2</v>
      </c>
      <c r="O1440" s="14" t="s">
        <v>9688</v>
      </c>
      <c r="P1440" s="14" t="s">
        <v>9689</v>
      </c>
      <c r="Q1440" s="14" t="s">
        <v>419</v>
      </c>
      <c r="R1440" s="14" t="s">
        <v>9690</v>
      </c>
      <c r="S1440" s="14" t="s">
        <v>444</v>
      </c>
      <c r="T1440" s="14" t="s">
        <v>445</v>
      </c>
      <c r="U1440" s="14" t="s">
        <v>446</v>
      </c>
      <c r="V1440" s="48">
        <f>SUMIF(Data!$E:$E,$I1440,Data!$AI:$AI)</f>
        <v>0</v>
      </c>
    </row>
    <row r="1441" spans="1:22" x14ac:dyDescent="0.25">
      <c r="A1441" s="47" t="s">
        <v>9546</v>
      </c>
      <c r="B1441" s="47" t="s">
        <v>123</v>
      </c>
      <c r="C1441" s="47" t="s">
        <v>4821</v>
      </c>
      <c r="D1441" s="47">
        <v>1.1977007169290601</v>
      </c>
      <c r="E1441" s="48">
        <f>SUMIF(Data!$E:$E,$C1441,Data!$AI:$AI)</f>
        <v>0</v>
      </c>
      <c r="I1441" s="14">
        <v>6465</v>
      </c>
      <c r="J1441" s="14" t="s">
        <v>9691</v>
      </c>
      <c r="K1441" s="14" t="s">
        <v>140</v>
      </c>
      <c r="L1441" s="14" t="s">
        <v>8069</v>
      </c>
      <c r="M1441" s="14" t="s">
        <v>9692</v>
      </c>
      <c r="N1441" s="14">
        <v>22</v>
      </c>
      <c r="O1441" s="14" t="s">
        <v>9693</v>
      </c>
      <c r="P1441" s="14" t="s">
        <v>9694</v>
      </c>
      <c r="Q1441" s="14" t="s">
        <v>419</v>
      </c>
      <c r="R1441" s="14" t="s">
        <v>9695</v>
      </c>
      <c r="S1441" s="14" t="s">
        <v>444</v>
      </c>
      <c r="T1441" s="14" t="s">
        <v>445</v>
      </c>
      <c r="U1441" s="14" t="s">
        <v>446</v>
      </c>
      <c r="V1441" s="48">
        <f>SUMIF(Data!$E:$E,$I1441,Data!$AI:$AI)</f>
        <v>0</v>
      </c>
    </row>
    <row r="1442" spans="1:22" x14ac:dyDescent="0.25">
      <c r="A1442" s="47" t="s">
        <v>9546</v>
      </c>
      <c r="B1442" s="47" t="s">
        <v>123</v>
      </c>
      <c r="C1442" s="47" t="s">
        <v>5115</v>
      </c>
      <c r="D1442" s="47">
        <v>0.52074567376999503</v>
      </c>
      <c r="E1442" s="48">
        <f>SUMIF(Data!$E:$E,$C1442,Data!$AI:$AI)</f>
        <v>0</v>
      </c>
      <c r="I1442" s="14" t="s">
        <v>9696</v>
      </c>
      <c r="J1442" s="14" t="s">
        <v>9697</v>
      </c>
      <c r="K1442" s="14" t="s">
        <v>140</v>
      </c>
      <c r="L1442" s="14" t="s">
        <v>8069</v>
      </c>
      <c r="M1442" s="14" t="s">
        <v>9698</v>
      </c>
      <c r="N1442" s="14">
        <v>80.847999999999999</v>
      </c>
      <c r="O1442" s="14" t="s">
        <v>9699</v>
      </c>
      <c r="P1442" s="14" t="s">
        <v>9700</v>
      </c>
      <c r="Q1442" s="14" t="s">
        <v>419</v>
      </c>
      <c r="R1442" s="14" t="s">
        <v>9701</v>
      </c>
      <c r="S1442" s="14" t="s">
        <v>771</v>
      </c>
      <c r="T1442" s="14" t="s">
        <v>772</v>
      </c>
      <c r="U1442" s="14" t="s">
        <v>773</v>
      </c>
      <c r="V1442" s="48">
        <f>SUMIF(Data!$E:$E,$I1442,Data!$AI:$AI)</f>
        <v>0</v>
      </c>
    </row>
    <row r="1443" spans="1:22" x14ac:dyDescent="0.25">
      <c r="A1443" s="47" t="s">
        <v>9546</v>
      </c>
      <c r="B1443" s="47" t="s">
        <v>123</v>
      </c>
      <c r="C1443" s="47" t="s">
        <v>5511</v>
      </c>
      <c r="D1443" s="47">
        <v>3.2378994198078E-2</v>
      </c>
      <c r="E1443" s="48">
        <f>SUMIF(Data!$E:$E,$C1443,Data!$AI:$AI)</f>
        <v>0</v>
      </c>
      <c r="I1443" s="14" t="s">
        <v>9702</v>
      </c>
      <c r="J1443" s="14" t="s">
        <v>9703</v>
      </c>
      <c r="K1443" s="14" t="s">
        <v>140</v>
      </c>
      <c r="L1443" s="14" t="s">
        <v>8069</v>
      </c>
      <c r="M1443" s="14" t="s">
        <v>9704</v>
      </c>
      <c r="N1443" s="14">
        <v>20.129000000000001</v>
      </c>
      <c r="O1443" s="14" t="s">
        <v>9705</v>
      </c>
      <c r="P1443" s="14" t="s">
        <v>9706</v>
      </c>
      <c r="Q1443" s="14" t="s">
        <v>165</v>
      </c>
      <c r="R1443" s="14" t="s">
        <v>9707</v>
      </c>
      <c r="S1443" s="14" t="s">
        <v>6417</v>
      </c>
      <c r="T1443" s="14" t="s">
        <v>230</v>
      </c>
      <c r="U1443" s="14" t="s">
        <v>231</v>
      </c>
      <c r="V1443" s="48">
        <f>SUMIF(Data!$E:$E,$I1443,Data!$AI:$AI)</f>
        <v>0</v>
      </c>
    </row>
    <row r="1444" spans="1:22" x14ac:dyDescent="0.25">
      <c r="A1444" s="47" t="s">
        <v>9546</v>
      </c>
      <c r="B1444" s="47" t="s">
        <v>123</v>
      </c>
      <c r="C1444" s="47" t="s">
        <v>5121</v>
      </c>
      <c r="D1444" s="47">
        <v>0.26636638581359101</v>
      </c>
      <c r="E1444" s="48">
        <f>SUMIF(Data!$E:$E,$C1444,Data!$AI:$AI)</f>
        <v>0.13075341077842323</v>
      </c>
      <c r="I1444" s="14" t="s">
        <v>9708</v>
      </c>
      <c r="J1444" s="14" t="s">
        <v>9709</v>
      </c>
      <c r="K1444" s="14" t="s">
        <v>140</v>
      </c>
      <c r="L1444" s="14" t="s">
        <v>8069</v>
      </c>
      <c r="M1444" s="14" t="s">
        <v>9710</v>
      </c>
      <c r="N1444" s="14">
        <v>73.564999999999998</v>
      </c>
      <c r="O1444" s="14" t="s">
        <v>9711</v>
      </c>
      <c r="P1444" s="14" t="s">
        <v>9712</v>
      </c>
      <c r="Q1444" s="14" t="s">
        <v>193</v>
      </c>
      <c r="R1444" s="14" t="s">
        <v>9713</v>
      </c>
      <c r="S1444" s="14" t="s">
        <v>5739</v>
      </c>
      <c r="T1444" s="14" t="s">
        <v>4834</v>
      </c>
      <c r="U1444" s="14" t="s">
        <v>5740</v>
      </c>
      <c r="V1444" s="48">
        <f>SUMIF(Data!$E:$E,$I1444,Data!$AI:$AI)</f>
        <v>0</v>
      </c>
    </row>
    <row r="1445" spans="1:22" x14ac:dyDescent="0.25">
      <c r="A1445" s="47" t="s">
        <v>9546</v>
      </c>
      <c r="B1445" s="47" t="s">
        <v>123</v>
      </c>
      <c r="C1445" s="47" t="s">
        <v>5127</v>
      </c>
      <c r="D1445" s="47">
        <v>0.28225324593241102</v>
      </c>
      <c r="E1445" s="48">
        <f>SUMIF(Data!$E:$E,$C1445,Data!$AI:$AI)</f>
        <v>0.26351671474520016</v>
      </c>
      <c r="I1445" s="14">
        <v>8036</v>
      </c>
      <c r="J1445" s="14" t="s">
        <v>9714</v>
      </c>
      <c r="K1445" s="14" t="s">
        <v>140</v>
      </c>
      <c r="L1445" s="14" t="s">
        <v>8069</v>
      </c>
      <c r="M1445" s="14" t="s">
        <v>9715</v>
      </c>
      <c r="N1445" s="14">
        <v>27.4</v>
      </c>
      <c r="O1445" s="14" t="s">
        <v>9716</v>
      </c>
      <c r="P1445" s="14" t="s">
        <v>9717</v>
      </c>
      <c r="Q1445" s="14" t="s">
        <v>146</v>
      </c>
      <c r="R1445" s="14" t="s">
        <v>9718</v>
      </c>
      <c r="S1445" s="14" t="s">
        <v>444</v>
      </c>
      <c r="T1445" s="14" t="s">
        <v>445</v>
      </c>
      <c r="U1445" s="14" t="s">
        <v>446</v>
      </c>
      <c r="V1445" s="48">
        <f>SUMIF(Data!$E:$E,$I1445,Data!$AI:$AI)</f>
        <v>0</v>
      </c>
    </row>
    <row r="1446" spans="1:22" x14ac:dyDescent="0.25">
      <c r="A1446" s="47" t="s">
        <v>9546</v>
      </c>
      <c r="B1446" s="47" t="s">
        <v>123</v>
      </c>
      <c r="C1446" s="47" t="s">
        <v>5134</v>
      </c>
      <c r="D1446" s="47">
        <v>0.25042778310331998</v>
      </c>
      <c r="E1446" s="48">
        <f>SUMIF(Data!$E:$E,$C1446,Data!$AI:$AI)</f>
        <v>0</v>
      </c>
      <c r="I1446" s="14">
        <v>8331</v>
      </c>
      <c r="J1446" s="14" t="s">
        <v>9719</v>
      </c>
      <c r="K1446" s="14" t="s">
        <v>140</v>
      </c>
      <c r="L1446" s="14" t="s">
        <v>8069</v>
      </c>
      <c r="M1446" s="14" t="s">
        <v>9720</v>
      </c>
      <c r="N1446" s="14">
        <v>341.3</v>
      </c>
      <c r="O1446" s="14" t="s">
        <v>9721</v>
      </c>
      <c r="P1446" s="14" t="s">
        <v>9722</v>
      </c>
      <c r="Q1446" s="14" t="s">
        <v>193</v>
      </c>
      <c r="R1446" s="14" t="s">
        <v>9723</v>
      </c>
      <c r="S1446" s="14" t="s">
        <v>444</v>
      </c>
      <c r="T1446" s="14" t="s">
        <v>445</v>
      </c>
      <c r="U1446" s="14" t="s">
        <v>446</v>
      </c>
      <c r="V1446" s="48">
        <f>SUMIF(Data!$E:$E,$I1446,Data!$AI:$AI)</f>
        <v>0</v>
      </c>
    </row>
    <row r="1447" spans="1:22" x14ac:dyDescent="0.25">
      <c r="A1447" s="47" t="s">
        <v>9546</v>
      </c>
      <c r="B1447" s="47" t="s">
        <v>123</v>
      </c>
      <c r="C1447" s="47" t="s">
        <v>5518</v>
      </c>
      <c r="D1447" s="47">
        <v>4.8509173872488001E-2</v>
      </c>
      <c r="E1447" s="48">
        <f>SUMIF(Data!$E:$E,$C1447,Data!$AI:$AI)</f>
        <v>0</v>
      </c>
      <c r="I1447" s="14" t="s">
        <v>9724</v>
      </c>
      <c r="J1447" s="14" t="s">
        <v>9725</v>
      </c>
      <c r="K1447" s="14" t="s">
        <v>140</v>
      </c>
      <c r="L1447" s="14" t="s">
        <v>8069</v>
      </c>
      <c r="M1447" s="14" t="s">
        <v>9726</v>
      </c>
      <c r="N1447" s="14">
        <v>44.865000000000002</v>
      </c>
      <c r="O1447" s="14" t="s">
        <v>9727</v>
      </c>
      <c r="P1447" s="14" t="s">
        <v>9728</v>
      </c>
      <c r="Q1447" s="14" t="s">
        <v>193</v>
      </c>
      <c r="R1447" s="14" t="s">
        <v>9729</v>
      </c>
      <c r="S1447" s="14" t="s">
        <v>2931</v>
      </c>
      <c r="T1447" s="14" t="s">
        <v>2932</v>
      </c>
      <c r="U1447" s="14" t="s">
        <v>2933</v>
      </c>
      <c r="V1447" s="48">
        <f>SUMIF(Data!$E:$E,$I1447,Data!$AI:$AI)</f>
        <v>0</v>
      </c>
    </row>
    <row r="1448" spans="1:22" x14ac:dyDescent="0.25">
      <c r="A1448" s="47" t="s">
        <v>9546</v>
      </c>
      <c r="B1448" s="47" t="s">
        <v>123</v>
      </c>
      <c r="C1448" s="47" t="s">
        <v>5141</v>
      </c>
      <c r="D1448" s="47">
        <v>0.19139807698567299</v>
      </c>
      <c r="E1448" s="48">
        <f>SUMIF(Data!$E:$E,$C1448,Data!$AI:$AI)</f>
        <v>0</v>
      </c>
      <c r="I1448" s="14">
        <v>9684</v>
      </c>
      <c r="J1448" s="14" t="s">
        <v>9730</v>
      </c>
      <c r="K1448" s="14" t="s">
        <v>140</v>
      </c>
      <c r="L1448" s="14" t="s">
        <v>8069</v>
      </c>
      <c r="M1448" s="14" t="s">
        <v>8226</v>
      </c>
      <c r="N1448" s="14">
        <v>38.200000000000003</v>
      </c>
      <c r="O1448" s="14" t="s">
        <v>9731</v>
      </c>
      <c r="P1448" s="14" t="s">
        <v>9732</v>
      </c>
      <c r="Q1448" s="14" t="s">
        <v>175</v>
      </c>
      <c r="R1448" s="14" t="s">
        <v>9733</v>
      </c>
      <c r="S1448" s="14" t="s">
        <v>444</v>
      </c>
      <c r="T1448" s="14" t="s">
        <v>445</v>
      </c>
      <c r="U1448" s="14" t="s">
        <v>446</v>
      </c>
      <c r="V1448" s="48">
        <f>SUMIF(Data!$E:$E,$I1448,Data!$AI:$AI)</f>
        <v>0</v>
      </c>
    </row>
    <row r="1449" spans="1:22" x14ac:dyDescent="0.25">
      <c r="A1449" s="47" t="s">
        <v>9546</v>
      </c>
      <c r="B1449" s="47" t="s">
        <v>123</v>
      </c>
      <c r="C1449" s="47" t="s">
        <v>5531</v>
      </c>
      <c r="D1449" s="47">
        <v>6.3824423413121001E-2</v>
      </c>
      <c r="E1449" s="48">
        <f>SUMIF(Data!$E:$E,$C1449,Data!$AI:$AI)</f>
        <v>0</v>
      </c>
      <c r="I1449" s="14" t="s">
        <v>9734</v>
      </c>
      <c r="J1449" s="14" t="s">
        <v>9735</v>
      </c>
      <c r="K1449" s="14" t="s">
        <v>140</v>
      </c>
      <c r="L1449" s="14" t="s">
        <v>8069</v>
      </c>
      <c r="M1449" s="14" t="s">
        <v>9736</v>
      </c>
      <c r="N1449" s="14">
        <v>250.845</v>
      </c>
      <c r="O1449" s="14" t="s">
        <v>9737</v>
      </c>
      <c r="P1449" s="14" t="s">
        <v>9738</v>
      </c>
      <c r="Q1449" s="14" t="s">
        <v>263</v>
      </c>
      <c r="R1449" s="14" t="s">
        <v>9739</v>
      </c>
      <c r="S1449" s="14" t="s">
        <v>728</v>
      </c>
      <c r="T1449" s="14" t="s">
        <v>729</v>
      </c>
      <c r="U1449" s="14" t="s">
        <v>730</v>
      </c>
      <c r="V1449" s="48">
        <f>SUMIF(Data!$E:$E,$I1449,Data!$AI:$AI)</f>
        <v>0</v>
      </c>
    </row>
    <row r="1450" spans="1:22" x14ac:dyDescent="0.25">
      <c r="A1450" s="47" t="s">
        <v>9546</v>
      </c>
      <c r="B1450" s="47" t="s">
        <v>123</v>
      </c>
      <c r="C1450" s="47" t="s">
        <v>4841</v>
      </c>
      <c r="D1450" s="47">
        <v>3.0312026182882899</v>
      </c>
      <c r="E1450" s="48">
        <f>SUMIF(Data!$E:$E,$C1450,Data!$AI:$AI)</f>
        <v>1.1368494141004637</v>
      </c>
      <c r="I1450" s="14" t="s">
        <v>8330</v>
      </c>
      <c r="J1450" s="14" t="s">
        <v>9740</v>
      </c>
      <c r="K1450" s="14" t="s">
        <v>140</v>
      </c>
      <c r="L1450" s="14" t="s">
        <v>8069</v>
      </c>
      <c r="M1450" s="14" t="s">
        <v>9741</v>
      </c>
      <c r="N1450" s="14">
        <v>450.88799999999998</v>
      </c>
      <c r="O1450" s="14" t="s">
        <v>9742</v>
      </c>
      <c r="P1450" s="14" t="s">
        <v>9743</v>
      </c>
      <c r="Q1450" s="14" t="s">
        <v>175</v>
      </c>
      <c r="R1450" s="14" t="s">
        <v>9744</v>
      </c>
      <c r="S1450" s="14" t="s">
        <v>563</v>
      </c>
      <c r="T1450" s="14" t="s">
        <v>564</v>
      </c>
      <c r="U1450" s="14" t="s">
        <v>528</v>
      </c>
      <c r="V1450" s="48">
        <f>SUMIF(Data!$E:$E,$I1450,Data!$AI:$AI)</f>
        <v>0</v>
      </c>
    </row>
    <row r="1451" spans="1:22" x14ac:dyDescent="0.25">
      <c r="A1451" s="47" t="s">
        <v>9546</v>
      </c>
      <c r="B1451" s="47" t="s">
        <v>123</v>
      </c>
      <c r="C1451" s="47" t="s">
        <v>5538</v>
      </c>
      <c r="D1451" s="47">
        <v>0.12941375776106601</v>
      </c>
      <c r="E1451" s="48">
        <f>SUMIF(Data!$E:$E,$C1451,Data!$AI:$AI)</f>
        <v>0</v>
      </c>
      <c r="I1451" s="14">
        <v>6471</v>
      </c>
      <c r="J1451" s="14" t="s">
        <v>9745</v>
      </c>
      <c r="K1451" s="14" t="s">
        <v>140</v>
      </c>
      <c r="L1451" s="14" t="s">
        <v>8069</v>
      </c>
      <c r="M1451" s="14" t="s">
        <v>9746</v>
      </c>
      <c r="N1451" s="14">
        <v>209.6</v>
      </c>
      <c r="O1451" s="14" t="s">
        <v>9747</v>
      </c>
      <c r="P1451" s="14" t="s">
        <v>9748</v>
      </c>
      <c r="Q1451" s="14" t="s">
        <v>419</v>
      </c>
      <c r="R1451" s="14" t="s">
        <v>9749</v>
      </c>
      <c r="S1451" s="14" t="s">
        <v>444</v>
      </c>
      <c r="T1451" s="14" t="s">
        <v>445</v>
      </c>
      <c r="U1451" s="14" t="s">
        <v>446</v>
      </c>
      <c r="V1451" s="48">
        <f>SUMIF(Data!$E:$E,$I1451,Data!$AI:$AI)</f>
        <v>0</v>
      </c>
    </row>
    <row r="1452" spans="1:22" x14ac:dyDescent="0.25">
      <c r="A1452" s="47" t="s">
        <v>9546</v>
      </c>
      <c r="B1452" s="47" t="s">
        <v>123</v>
      </c>
      <c r="C1452" s="47" t="s">
        <v>4848</v>
      </c>
      <c r="D1452" s="47">
        <v>1.75179952577316</v>
      </c>
      <c r="E1452" s="48">
        <f>SUMIF(Data!$E:$E,$C1452,Data!$AI:$AI)</f>
        <v>0</v>
      </c>
      <c r="I1452" s="14">
        <v>9706</v>
      </c>
      <c r="J1452" s="14" t="s">
        <v>9750</v>
      </c>
      <c r="K1452" s="14" t="s">
        <v>140</v>
      </c>
      <c r="L1452" s="14" t="s">
        <v>8069</v>
      </c>
      <c r="M1452" s="14" t="s">
        <v>1886</v>
      </c>
      <c r="N1452" s="14">
        <v>36.1</v>
      </c>
      <c r="O1452" s="14" t="s">
        <v>9751</v>
      </c>
      <c r="P1452" s="14" t="s">
        <v>9752</v>
      </c>
      <c r="Q1452" s="14" t="s">
        <v>419</v>
      </c>
      <c r="R1452" s="14" t="s">
        <v>9753</v>
      </c>
      <c r="S1452" s="14" t="s">
        <v>444</v>
      </c>
      <c r="T1452" s="14" t="s">
        <v>445</v>
      </c>
      <c r="U1452" s="14" t="s">
        <v>446</v>
      </c>
      <c r="V1452" s="48">
        <f>SUMIF(Data!$E:$E,$I1452,Data!$AI:$AI)</f>
        <v>0</v>
      </c>
    </row>
    <row r="1453" spans="1:22" x14ac:dyDescent="0.25">
      <c r="A1453" s="47" t="s">
        <v>9546</v>
      </c>
      <c r="B1453" s="47" t="s">
        <v>123</v>
      </c>
      <c r="C1453" s="47" t="s">
        <v>5153</v>
      </c>
      <c r="D1453" s="47">
        <v>0.188035033420304</v>
      </c>
      <c r="E1453" s="48">
        <f>SUMIF(Data!$E:$E,$C1453,Data!$AI:$AI)</f>
        <v>0</v>
      </c>
      <c r="I1453" s="14" t="s">
        <v>9754</v>
      </c>
      <c r="J1453" s="14" t="s">
        <v>9755</v>
      </c>
      <c r="K1453" s="14" t="s">
        <v>140</v>
      </c>
      <c r="L1453" s="14" t="s">
        <v>8069</v>
      </c>
      <c r="M1453" s="14" t="s">
        <v>9756</v>
      </c>
      <c r="N1453" s="14">
        <v>582.23599999999999</v>
      </c>
      <c r="O1453" s="14" t="s">
        <v>9757</v>
      </c>
      <c r="P1453" s="14" t="s">
        <v>9758</v>
      </c>
      <c r="Q1453" s="14" t="s">
        <v>697</v>
      </c>
      <c r="R1453" s="14" t="s">
        <v>9759</v>
      </c>
      <c r="S1453" s="14" t="s">
        <v>7567</v>
      </c>
      <c r="T1453" s="14" t="s">
        <v>7568</v>
      </c>
      <c r="U1453" s="14" t="s">
        <v>7569</v>
      </c>
      <c r="V1453" s="48">
        <f>SUMIF(Data!$E:$E,$I1453,Data!$AI:$AI)</f>
        <v>0</v>
      </c>
    </row>
    <row r="1454" spans="1:22" x14ac:dyDescent="0.25">
      <c r="A1454" s="47" t="s">
        <v>9546</v>
      </c>
      <c r="B1454" s="47" t="s">
        <v>123</v>
      </c>
      <c r="C1454" s="47" t="s">
        <v>4855</v>
      </c>
      <c r="D1454" s="47">
        <v>23.7082622310235</v>
      </c>
      <c r="E1454" s="48">
        <f>SUMIF(Data!$E:$E,$C1454,Data!$AI:$AI)</f>
        <v>1.0989645296635115</v>
      </c>
      <c r="I1454" s="14">
        <v>7747</v>
      </c>
      <c r="J1454" s="14" t="s">
        <v>9760</v>
      </c>
      <c r="K1454" s="14" t="s">
        <v>140</v>
      </c>
      <c r="L1454" s="14" t="s">
        <v>8069</v>
      </c>
      <c r="M1454" s="14" t="s">
        <v>9761</v>
      </c>
      <c r="N1454" s="14">
        <v>65.8</v>
      </c>
      <c r="O1454" s="14" t="s">
        <v>9762</v>
      </c>
      <c r="P1454" s="14" t="s">
        <v>9763</v>
      </c>
      <c r="Q1454" s="14" t="s">
        <v>211</v>
      </c>
      <c r="R1454" s="14" t="s">
        <v>9764</v>
      </c>
      <c r="S1454" s="14" t="s">
        <v>444</v>
      </c>
      <c r="T1454" s="14" t="s">
        <v>445</v>
      </c>
      <c r="U1454" s="14" t="s">
        <v>446</v>
      </c>
      <c r="V1454" s="48">
        <f>SUMIF(Data!$E:$E,$I1454,Data!$AI:$AI)</f>
        <v>0</v>
      </c>
    </row>
    <row r="1455" spans="1:22" x14ac:dyDescent="0.25">
      <c r="A1455" s="47" t="s">
        <v>9546</v>
      </c>
      <c r="B1455" s="47" t="s">
        <v>123</v>
      </c>
      <c r="C1455" s="47" t="s">
        <v>4862</v>
      </c>
      <c r="D1455" s="47">
        <v>0.70901723950546003</v>
      </c>
      <c r="E1455" s="48">
        <f>SUMIF(Data!$E:$E,$C1455,Data!$AI:$AI)</f>
        <v>0.397519933142436</v>
      </c>
      <c r="I1455" s="14" t="s">
        <v>9765</v>
      </c>
      <c r="J1455" s="14" t="s">
        <v>9766</v>
      </c>
      <c r="K1455" s="14" t="s">
        <v>140</v>
      </c>
      <c r="L1455" s="14" t="s">
        <v>8069</v>
      </c>
      <c r="M1455" s="14" t="s">
        <v>9767</v>
      </c>
      <c r="N1455" s="14">
        <v>12.186</v>
      </c>
      <c r="O1455" s="14" t="s">
        <v>9768</v>
      </c>
      <c r="P1455" s="14" t="s">
        <v>9769</v>
      </c>
      <c r="Q1455" s="14" t="s">
        <v>419</v>
      </c>
      <c r="R1455" s="14" t="s">
        <v>9770</v>
      </c>
      <c r="S1455" s="14" t="s">
        <v>5739</v>
      </c>
      <c r="T1455" s="14" t="s">
        <v>4834</v>
      </c>
      <c r="U1455" s="14" t="s">
        <v>5740</v>
      </c>
      <c r="V1455" s="48">
        <f>SUMIF(Data!$E:$E,$I1455,Data!$AI:$AI)</f>
        <v>0</v>
      </c>
    </row>
    <row r="1456" spans="1:22" x14ac:dyDescent="0.25">
      <c r="A1456" s="47" t="s">
        <v>9546</v>
      </c>
      <c r="B1456" s="47" t="s">
        <v>123</v>
      </c>
      <c r="C1456" s="47" t="s">
        <v>5166</v>
      </c>
      <c r="D1456" s="47">
        <v>6.1793903274180002E-2</v>
      </c>
      <c r="E1456" s="48">
        <f>SUMIF(Data!$E:$E,$C1456,Data!$AI:$AI)</f>
        <v>0</v>
      </c>
      <c r="I1456" s="14">
        <v>3092</v>
      </c>
      <c r="J1456" s="14" t="s">
        <v>9771</v>
      </c>
      <c r="K1456" s="14" t="s">
        <v>140</v>
      </c>
      <c r="L1456" s="14" t="s">
        <v>8069</v>
      </c>
      <c r="M1456" s="14" t="s">
        <v>9772</v>
      </c>
      <c r="N1456" s="14">
        <v>103.1</v>
      </c>
      <c r="O1456" s="14" t="s">
        <v>9773</v>
      </c>
      <c r="P1456" s="14" t="s">
        <v>9774</v>
      </c>
      <c r="Q1456" s="14" t="s">
        <v>165</v>
      </c>
      <c r="R1456" s="14" t="s">
        <v>9775</v>
      </c>
      <c r="S1456" s="14" t="s">
        <v>444</v>
      </c>
      <c r="T1456" s="14" t="s">
        <v>445</v>
      </c>
      <c r="U1456" s="14" t="s">
        <v>446</v>
      </c>
      <c r="V1456" s="48">
        <f>SUMIF(Data!$E:$E,$I1456,Data!$AI:$AI)</f>
        <v>0</v>
      </c>
    </row>
    <row r="1457" spans="1:22" x14ac:dyDescent="0.25">
      <c r="A1457" s="47" t="s">
        <v>9546</v>
      </c>
      <c r="B1457" s="47" t="s">
        <v>123</v>
      </c>
      <c r="C1457" s="47" t="s">
        <v>5545</v>
      </c>
      <c r="D1457" s="47">
        <v>6.5975895020955994E-2</v>
      </c>
      <c r="E1457" s="48">
        <f>SUMIF(Data!$E:$E,$C1457,Data!$AI:$AI)</f>
        <v>0</v>
      </c>
      <c r="I1457" s="14" t="s">
        <v>2933</v>
      </c>
      <c r="J1457" s="14" t="s">
        <v>9776</v>
      </c>
      <c r="K1457" s="14" t="s">
        <v>140</v>
      </c>
      <c r="L1457" s="14" t="s">
        <v>8069</v>
      </c>
      <c r="M1457" s="14" t="s">
        <v>9777</v>
      </c>
      <c r="N1457" s="14">
        <v>121.05200000000001</v>
      </c>
      <c r="O1457" s="14" t="s">
        <v>9778</v>
      </c>
      <c r="P1457" s="14" t="s">
        <v>9779</v>
      </c>
      <c r="Q1457" s="14" t="s">
        <v>419</v>
      </c>
      <c r="R1457" s="14" t="s">
        <v>9780</v>
      </c>
      <c r="S1457" s="14" t="s">
        <v>850</v>
      </c>
      <c r="T1457" s="14" t="s">
        <v>851</v>
      </c>
      <c r="U1457" s="14" t="s">
        <v>852</v>
      </c>
      <c r="V1457" s="48">
        <f>SUMIF(Data!$E:$E,$I1457,Data!$AI:$AI)</f>
        <v>0</v>
      </c>
    </row>
    <row r="1458" spans="1:22" x14ac:dyDescent="0.25">
      <c r="A1458" s="47" t="s">
        <v>9546</v>
      </c>
      <c r="B1458" s="47" t="s">
        <v>123</v>
      </c>
      <c r="C1458" s="47" t="s">
        <v>1855</v>
      </c>
      <c r="D1458" s="47">
        <v>7.3653825520681004E-2</v>
      </c>
      <c r="E1458" s="48">
        <f>SUMIF(Data!$E:$E,$C1458,Data!$AI:$AI)</f>
        <v>0</v>
      </c>
      <c r="I1458" s="14" t="s">
        <v>9781</v>
      </c>
      <c r="J1458" s="14" t="s">
        <v>9782</v>
      </c>
      <c r="K1458" s="14" t="s">
        <v>140</v>
      </c>
      <c r="L1458" s="14" t="s">
        <v>8069</v>
      </c>
      <c r="M1458" s="14" t="s">
        <v>9783</v>
      </c>
      <c r="N1458" s="14">
        <v>133.49600000000001</v>
      </c>
      <c r="O1458" s="14" t="s">
        <v>9784</v>
      </c>
      <c r="P1458" s="14" t="s">
        <v>9785</v>
      </c>
      <c r="Q1458" s="14" t="s">
        <v>697</v>
      </c>
      <c r="R1458" s="14" t="s">
        <v>9786</v>
      </c>
      <c r="S1458" s="14" t="s">
        <v>728</v>
      </c>
      <c r="T1458" s="14" t="s">
        <v>729</v>
      </c>
      <c r="U1458" s="14" t="s">
        <v>730</v>
      </c>
      <c r="V1458" s="48">
        <f>SUMIF(Data!$E:$E,$I1458,Data!$AI:$AI)</f>
        <v>0</v>
      </c>
    </row>
    <row r="1459" spans="1:22" x14ac:dyDescent="0.25">
      <c r="A1459" s="47" t="s">
        <v>9546</v>
      </c>
      <c r="B1459" s="47" t="s">
        <v>123</v>
      </c>
      <c r="C1459" s="47" t="s">
        <v>5173</v>
      </c>
      <c r="D1459" s="47">
        <v>0.455047836398767</v>
      </c>
      <c r="E1459" s="48">
        <f>SUMIF(Data!$E:$E,$C1459,Data!$AI:$AI)</f>
        <v>0.32269220108453256</v>
      </c>
      <c r="I1459" s="14">
        <v>9062</v>
      </c>
      <c r="J1459" s="14" t="s">
        <v>9787</v>
      </c>
      <c r="K1459" s="14" t="s">
        <v>140</v>
      </c>
      <c r="L1459" s="14" t="s">
        <v>8069</v>
      </c>
      <c r="M1459" s="14" t="s">
        <v>9788</v>
      </c>
      <c r="N1459" s="14">
        <v>32.860999999999997</v>
      </c>
      <c r="O1459" s="14" t="s">
        <v>9789</v>
      </c>
      <c r="P1459" s="14" t="s">
        <v>9790</v>
      </c>
      <c r="Q1459" s="14" t="s">
        <v>419</v>
      </c>
      <c r="R1459" s="14" t="s">
        <v>9791</v>
      </c>
      <c r="S1459" s="14" t="s">
        <v>444</v>
      </c>
      <c r="T1459" s="14" t="s">
        <v>445</v>
      </c>
      <c r="U1459" s="14" t="s">
        <v>446</v>
      </c>
      <c r="V1459" s="48">
        <f>SUMIF(Data!$E:$E,$I1459,Data!$AI:$AI)</f>
        <v>0</v>
      </c>
    </row>
    <row r="1460" spans="1:22" x14ac:dyDescent="0.25">
      <c r="A1460" s="47" t="s">
        <v>9546</v>
      </c>
      <c r="B1460" s="47" t="s">
        <v>123</v>
      </c>
      <c r="C1460" s="47" t="s">
        <v>5563</v>
      </c>
      <c r="D1460" s="47">
        <v>0.16972846809179001</v>
      </c>
      <c r="E1460" s="48">
        <f>SUMIF(Data!$E:$E,$C1460,Data!$AI:$AI)</f>
        <v>0</v>
      </c>
      <c r="I1460" s="14">
        <v>9006</v>
      </c>
      <c r="J1460" s="14" t="s">
        <v>9792</v>
      </c>
      <c r="K1460" s="14" t="s">
        <v>140</v>
      </c>
      <c r="L1460" s="14" t="s">
        <v>8069</v>
      </c>
      <c r="M1460" s="14" t="s">
        <v>9793</v>
      </c>
      <c r="N1460" s="14">
        <v>99.3</v>
      </c>
      <c r="O1460" s="14" t="s">
        <v>9794</v>
      </c>
      <c r="P1460" s="14" t="s">
        <v>9795</v>
      </c>
      <c r="Q1460" s="14" t="s">
        <v>419</v>
      </c>
      <c r="R1460" s="14" t="s">
        <v>9796</v>
      </c>
      <c r="S1460" s="14" t="s">
        <v>444</v>
      </c>
      <c r="T1460" s="14" t="s">
        <v>445</v>
      </c>
      <c r="U1460" s="14" t="s">
        <v>446</v>
      </c>
      <c r="V1460" s="48">
        <f>SUMIF(Data!$E:$E,$I1460,Data!$AI:$AI)</f>
        <v>0</v>
      </c>
    </row>
    <row r="1461" spans="1:22" x14ac:dyDescent="0.25">
      <c r="A1461" s="47" t="s">
        <v>9546</v>
      </c>
      <c r="B1461" s="47" t="s">
        <v>123</v>
      </c>
      <c r="C1461" s="47" t="s">
        <v>6759</v>
      </c>
      <c r="D1461" s="47">
        <v>0.696908289347131</v>
      </c>
      <c r="E1461" s="48">
        <f>SUMIF(Data!$E:$E,$C1461,Data!$AI:$AI)</f>
        <v>0.31941379215436855</v>
      </c>
      <c r="I1461" s="14">
        <v>9831</v>
      </c>
      <c r="J1461" s="14" t="s">
        <v>9797</v>
      </c>
      <c r="K1461" s="14" t="s">
        <v>140</v>
      </c>
      <c r="L1461" s="14" t="s">
        <v>8069</v>
      </c>
      <c r="M1461" s="14" t="s">
        <v>9798</v>
      </c>
      <c r="N1461" s="14">
        <v>365</v>
      </c>
      <c r="O1461" s="14" t="s">
        <v>9799</v>
      </c>
      <c r="P1461" s="14" t="s">
        <v>9800</v>
      </c>
      <c r="Q1461" s="14" t="s">
        <v>165</v>
      </c>
      <c r="R1461" s="14" t="s">
        <v>9801</v>
      </c>
      <c r="S1461" s="14" t="s">
        <v>444</v>
      </c>
      <c r="T1461" s="14" t="s">
        <v>445</v>
      </c>
      <c r="U1461" s="14" t="s">
        <v>446</v>
      </c>
      <c r="V1461" s="48">
        <f>SUMIF(Data!$E:$E,$I1461,Data!$AI:$AI)</f>
        <v>0</v>
      </c>
    </row>
    <row r="1462" spans="1:22" x14ac:dyDescent="0.25">
      <c r="A1462" s="47" t="s">
        <v>9546</v>
      </c>
      <c r="B1462" s="47" t="s">
        <v>123</v>
      </c>
      <c r="C1462" s="47" t="s">
        <v>5570</v>
      </c>
      <c r="D1462" s="47">
        <v>5.7808263123217997E-2</v>
      </c>
      <c r="E1462" s="48">
        <f>SUMIF(Data!$E:$E,$C1462,Data!$AI:$AI)</f>
        <v>0</v>
      </c>
      <c r="I1462" s="14" t="s">
        <v>9802</v>
      </c>
      <c r="J1462" s="14" t="s">
        <v>9803</v>
      </c>
      <c r="K1462" s="14" t="s">
        <v>140</v>
      </c>
      <c r="L1462" s="14" t="s">
        <v>8069</v>
      </c>
      <c r="M1462" s="14" t="s">
        <v>9804</v>
      </c>
      <c r="N1462" s="14">
        <v>23.646000000000001</v>
      </c>
      <c r="O1462" s="14" t="s">
        <v>9805</v>
      </c>
      <c r="P1462" s="14" t="s">
        <v>9806</v>
      </c>
      <c r="Q1462" s="14" t="s">
        <v>419</v>
      </c>
      <c r="R1462" s="14" t="s">
        <v>9807</v>
      </c>
      <c r="S1462" s="14" t="s">
        <v>526</v>
      </c>
      <c r="T1462" s="14" t="s">
        <v>527</v>
      </c>
      <c r="U1462" s="14" t="s">
        <v>528</v>
      </c>
      <c r="V1462" s="48">
        <f>SUMIF(Data!$E:$E,$I1462,Data!$AI:$AI)</f>
        <v>0</v>
      </c>
    </row>
    <row r="1463" spans="1:22" x14ac:dyDescent="0.25">
      <c r="A1463" s="47" t="s">
        <v>9546</v>
      </c>
      <c r="B1463" s="47" t="s">
        <v>123</v>
      </c>
      <c r="C1463" s="47" t="s">
        <v>3160</v>
      </c>
      <c r="D1463" s="47">
        <v>1.0190743973216501</v>
      </c>
      <c r="E1463" s="48">
        <f>SUMIF(Data!$E:$E,$C1463,Data!$AI:$AI)</f>
        <v>0.48939641738655321</v>
      </c>
      <c r="I1463" s="14" t="s">
        <v>7078</v>
      </c>
      <c r="J1463" s="14" t="s">
        <v>9808</v>
      </c>
      <c r="K1463" s="14" t="s">
        <v>140</v>
      </c>
      <c r="L1463" s="14" t="s">
        <v>8069</v>
      </c>
      <c r="M1463" s="14" t="s">
        <v>3577</v>
      </c>
      <c r="N1463" s="14">
        <v>52.265000000000001</v>
      </c>
      <c r="O1463" s="14" t="s">
        <v>9809</v>
      </c>
      <c r="P1463" s="14" t="s">
        <v>9810</v>
      </c>
      <c r="Q1463" s="14" t="s">
        <v>263</v>
      </c>
      <c r="R1463" s="14" t="s">
        <v>9811</v>
      </c>
      <c r="S1463" s="14" t="s">
        <v>728</v>
      </c>
      <c r="T1463" s="14" t="s">
        <v>729</v>
      </c>
      <c r="U1463" s="14" t="s">
        <v>730</v>
      </c>
      <c r="V1463" s="48">
        <f>SUMIF(Data!$E:$E,$I1463,Data!$AI:$AI)</f>
        <v>0</v>
      </c>
    </row>
    <row r="1464" spans="1:22" x14ac:dyDescent="0.25">
      <c r="A1464" s="47" t="s">
        <v>9546</v>
      </c>
      <c r="B1464" s="47" t="s">
        <v>123</v>
      </c>
      <c r="C1464" s="47" t="s">
        <v>4873</v>
      </c>
      <c r="D1464" s="47">
        <v>1.9564216599734801</v>
      </c>
      <c r="E1464" s="48">
        <f>SUMIF(Data!$E:$E,$C1464,Data!$AI:$AI)</f>
        <v>0</v>
      </c>
      <c r="I1464" s="14">
        <v>9202</v>
      </c>
      <c r="J1464" s="14" t="s">
        <v>9812</v>
      </c>
      <c r="K1464" s="14" t="s">
        <v>140</v>
      </c>
      <c r="L1464" s="14" t="s">
        <v>8069</v>
      </c>
      <c r="M1464" s="14" t="s">
        <v>9813</v>
      </c>
      <c r="N1464" s="14">
        <v>57.987000000000002</v>
      </c>
      <c r="O1464" s="14" t="s">
        <v>9814</v>
      </c>
      <c r="P1464" s="14" t="s">
        <v>9815</v>
      </c>
      <c r="Q1464" s="14" t="s">
        <v>419</v>
      </c>
      <c r="R1464" s="14" t="s">
        <v>9816</v>
      </c>
      <c r="S1464" s="14" t="s">
        <v>444</v>
      </c>
      <c r="T1464" s="14" t="s">
        <v>445</v>
      </c>
      <c r="U1464" s="14" t="s">
        <v>446</v>
      </c>
      <c r="V1464" s="48">
        <f>SUMIF(Data!$E:$E,$I1464,Data!$AI:$AI)</f>
        <v>0</v>
      </c>
    </row>
    <row r="1465" spans="1:22" x14ac:dyDescent="0.25">
      <c r="A1465" s="47" t="s">
        <v>9546</v>
      </c>
      <c r="B1465" s="47" t="s">
        <v>123</v>
      </c>
      <c r="C1465" s="47" t="s">
        <v>3167</v>
      </c>
      <c r="D1465" s="47">
        <v>0.289491894600998</v>
      </c>
      <c r="E1465" s="48">
        <f>SUMIF(Data!$E:$E,$C1465,Data!$AI:$AI)</f>
        <v>0.45612845361825383</v>
      </c>
      <c r="I1465" s="14" t="s">
        <v>5665</v>
      </c>
      <c r="J1465" s="14" t="s">
        <v>9817</v>
      </c>
      <c r="K1465" s="14" t="s">
        <v>140</v>
      </c>
      <c r="L1465" s="14" t="s">
        <v>8069</v>
      </c>
      <c r="M1465" s="14" t="s">
        <v>9818</v>
      </c>
      <c r="N1465" s="14">
        <v>56.848999999999997</v>
      </c>
      <c r="O1465" s="14" t="s">
        <v>9819</v>
      </c>
      <c r="P1465" s="14" t="s">
        <v>9820</v>
      </c>
      <c r="Q1465" s="14" t="s">
        <v>263</v>
      </c>
      <c r="R1465" s="14" t="s">
        <v>9821</v>
      </c>
      <c r="S1465" s="14" t="s">
        <v>195</v>
      </c>
      <c r="T1465" s="14" t="s">
        <v>149</v>
      </c>
      <c r="U1465" s="14" t="s">
        <v>113</v>
      </c>
      <c r="V1465" s="48">
        <f>SUMIF(Data!$E:$E,$I1465,Data!$AI:$AI)</f>
        <v>0</v>
      </c>
    </row>
    <row r="1466" spans="1:22" x14ac:dyDescent="0.25">
      <c r="A1466" s="47" t="s">
        <v>9546</v>
      </c>
      <c r="B1466" s="47" t="s">
        <v>123</v>
      </c>
      <c r="C1466" s="47" t="s">
        <v>5186</v>
      </c>
      <c r="D1466" s="47">
        <v>0.229947399139173</v>
      </c>
      <c r="E1466" s="48">
        <f>SUMIF(Data!$E:$E,$C1466,Data!$AI:$AI)</f>
        <v>0.12898798215585272</v>
      </c>
      <c r="I1466" s="14" t="s">
        <v>9822</v>
      </c>
      <c r="J1466" s="14" t="s">
        <v>9823</v>
      </c>
      <c r="K1466" s="14" t="s">
        <v>140</v>
      </c>
      <c r="L1466" s="14" t="s">
        <v>8069</v>
      </c>
      <c r="M1466" s="14" t="s">
        <v>9824</v>
      </c>
      <c r="N1466" s="14" t="s">
        <v>9825</v>
      </c>
      <c r="O1466" s="14" t="s">
        <v>9826</v>
      </c>
      <c r="P1466" s="14" t="s">
        <v>9827</v>
      </c>
      <c r="Q1466" s="14" t="s">
        <v>175</v>
      </c>
      <c r="R1466" s="14" t="s">
        <v>9828</v>
      </c>
      <c r="S1466" s="14" t="s">
        <v>1130</v>
      </c>
      <c r="T1466" s="14" t="s">
        <v>1131</v>
      </c>
      <c r="U1466" s="14" t="s">
        <v>528</v>
      </c>
      <c r="V1466" s="48">
        <f>SUMIF(Data!$E:$E,$I1466,Data!$AI:$AI)</f>
        <v>0</v>
      </c>
    </row>
    <row r="1467" spans="1:22" x14ac:dyDescent="0.25">
      <c r="A1467" s="47" t="s">
        <v>9546</v>
      </c>
      <c r="B1467" s="47" t="s">
        <v>123</v>
      </c>
      <c r="C1467" s="47" t="s">
        <v>4880</v>
      </c>
      <c r="D1467" s="47">
        <v>0.92228192879150495</v>
      </c>
      <c r="E1467" s="48">
        <f>SUMIF(Data!$E:$E,$C1467,Data!$AI:$AI)</f>
        <v>0</v>
      </c>
      <c r="I1467" s="14" t="s">
        <v>9829</v>
      </c>
      <c r="J1467" s="14" t="s">
        <v>9830</v>
      </c>
      <c r="K1467" s="14" t="s">
        <v>140</v>
      </c>
      <c r="L1467" s="14" t="s">
        <v>8069</v>
      </c>
      <c r="M1467" s="14" t="s">
        <v>9831</v>
      </c>
      <c r="N1467" s="14">
        <v>170.78399999999999</v>
      </c>
      <c r="O1467" s="14" t="s">
        <v>9832</v>
      </c>
      <c r="P1467" s="14" t="s">
        <v>9833</v>
      </c>
      <c r="Q1467" s="14" t="s">
        <v>263</v>
      </c>
      <c r="R1467" s="14" t="s">
        <v>9834</v>
      </c>
      <c r="S1467" s="14" t="s">
        <v>850</v>
      </c>
      <c r="T1467" s="14" t="s">
        <v>851</v>
      </c>
      <c r="U1467" s="14" t="s">
        <v>852</v>
      </c>
      <c r="V1467" s="48">
        <f>SUMIF(Data!$E:$E,$I1467,Data!$AI:$AI)</f>
        <v>0</v>
      </c>
    </row>
    <row r="1468" spans="1:22" x14ac:dyDescent="0.25">
      <c r="A1468" s="47" t="s">
        <v>9546</v>
      </c>
      <c r="B1468" s="47" t="s">
        <v>123</v>
      </c>
      <c r="C1468" s="47" t="s">
        <v>5192</v>
      </c>
      <c r="D1468" s="47">
        <v>0.19819828018723901</v>
      </c>
      <c r="E1468" s="48">
        <f>SUMIF(Data!$E:$E,$C1468,Data!$AI:$AI)</f>
        <v>0</v>
      </c>
      <c r="I1468" s="14">
        <v>3099</v>
      </c>
      <c r="J1468" s="14" t="s">
        <v>9835</v>
      </c>
      <c r="K1468" s="14" t="s">
        <v>140</v>
      </c>
      <c r="L1468" s="14" t="s">
        <v>8069</v>
      </c>
      <c r="M1468" s="14" t="s">
        <v>9836</v>
      </c>
      <c r="N1468" s="14">
        <v>206.4</v>
      </c>
      <c r="O1468" s="14" t="s">
        <v>9837</v>
      </c>
      <c r="P1468" s="14" t="s">
        <v>9838</v>
      </c>
      <c r="Q1468" s="14" t="s">
        <v>165</v>
      </c>
      <c r="R1468" s="14" t="s">
        <v>9839</v>
      </c>
      <c r="S1468" s="14" t="s">
        <v>444</v>
      </c>
      <c r="T1468" s="14" t="s">
        <v>445</v>
      </c>
      <c r="U1468" s="14" t="s">
        <v>446</v>
      </c>
      <c r="V1468" s="48">
        <f>SUMIF(Data!$E:$E,$I1468,Data!$AI:$AI)</f>
        <v>0</v>
      </c>
    </row>
    <row r="1469" spans="1:22" x14ac:dyDescent="0.25">
      <c r="A1469" s="47" t="s">
        <v>9546</v>
      </c>
      <c r="B1469" s="47" t="s">
        <v>123</v>
      </c>
      <c r="C1469" s="47" t="s">
        <v>4893</v>
      </c>
      <c r="D1469" s="47">
        <v>4.1517954916139601</v>
      </c>
      <c r="E1469" s="48">
        <f>SUMIF(Data!$E:$E,$C1469,Data!$AI:$AI)</f>
        <v>0.14807872778681458</v>
      </c>
      <c r="I1469" s="14" t="s">
        <v>9840</v>
      </c>
      <c r="J1469" s="14" t="s">
        <v>9841</v>
      </c>
      <c r="K1469" s="14" t="s">
        <v>140</v>
      </c>
      <c r="L1469" s="14" t="s">
        <v>8069</v>
      </c>
      <c r="M1469" s="14" t="s">
        <v>9842</v>
      </c>
      <c r="N1469" s="14">
        <v>95.444000000000003</v>
      </c>
      <c r="O1469" s="14" t="s">
        <v>9843</v>
      </c>
      <c r="P1469" s="14" t="s">
        <v>9844</v>
      </c>
      <c r="Q1469" s="14" t="s">
        <v>175</v>
      </c>
      <c r="R1469" s="14" t="s">
        <v>9845</v>
      </c>
      <c r="S1469" s="14" t="s">
        <v>195</v>
      </c>
      <c r="T1469" s="14" t="s">
        <v>149</v>
      </c>
      <c r="U1469" s="14" t="s">
        <v>113</v>
      </c>
      <c r="V1469" s="48">
        <f>SUMIF(Data!$E:$E,$I1469,Data!$AI:$AI)</f>
        <v>0</v>
      </c>
    </row>
    <row r="1470" spans="1:22" x14ac:dyDescent="0.25">
      <c r="A1470" s="47" t="s">
        <v>9546</v>
      </c>
      <c r="B1470" s="47" t="s">
        <v>123</v>
      </c>
      <c r="C1470" s="47" t="s">
        <v>4900</v>
      </c>
      <c r="D1470" s="47">
        <v>1.6701276233386799</v>
      </c>
      <c r="E1470" s="48">
        <f>SUMIF(Data!$E:$E,$C1470,Data!$AI:$AI)</f>
        <v>0</v>
      </c>
      <c r="I1470" s="14" t="s">
        <v>9846</v>
      </c>
      <c r="J1470" s="14" t="s">
        <v>9847</v>
      </c>
      <c r="K1470" s="14" t="s">
        <v>140</v>
      </c>
      <c r="L1470" s="14" t="s">
        <v>8069</v>
      </c>
      <c r="M1470" s="14" t="s">
        <v>9848</v>
      </c>
      <c r="N1470" s="14">
        <v>80.14</v>
      </c>
      <c r="O1470" s="14" t="s">
        <v>9849</v>
      </c>
      <c r="P1470" s="14" t="s">
        <v>9850</v>
      </c>
      <c r="Q1470" s="14" t="s">
        <v>227</v>
      </c>
      <c r="R1470" s="14" t="s">
        <v>9851</v>
      </c>
      <c r="S1470" s="14" t="s">
        <v>728</v>
      </c>
      <c r="T1470" s="14" t="s">
        <v>729</v>
      </c>
      <c r="U1470" s="14" t="s">
        <v>730</v>
      </c>
      <c r="V1470" s="48">
        <f>SUMIF(Data!$E:$E,$I1470,Data!$AI:$AI)</f>
        <v>0</v>
      </c>
    </row>
    <row r="1471" spans="1:22" x14ac:dyDescent="0.25">
      <c r="A1471" s="47" t="s">
        <v>9546</v>
      </c>
      <c r="B1471" s="47" t="s">
        <v>123</v>
      </c>
      <c r="C1471" s="47" t="s">
        <v>4907</v>
      </c>
      <c r="D1471" s="47">
        <v>2.4684878819445601</v>
      </c>
      <c r="E1471" s="48">
        <f>SUMIF(Data!$E:$E,$C1471,Data!$AI:$AI)</f>
        <v>0</v>
      </c>
      <c r="I1471" s="14" t="s">
        <v>9852</v>
      </c>
      <c r="J1471" s="14" t="s">
        <v>9853</v>
      </c>
      <c r="K1471" s="14" t="s">
        <v>140</v>
      </c>
      <c r="L1471" s="14" t="s">
        <v>8069</v>
      </c>
      <c r="M1471" s="14" t="s">
        <v>9854</v>
      </c>
      <c r="N1471" s="14">
        <v>41.890999999999998</v>
      </c>
      <c r="O1471" s="14" t="s">
        <v>9855</v>
      </c>
      <c r="P1471" s="14" t="s">
        <v>9856</v>
      </c>
      <c r="Q1471" s="14" t="s">
        <v>175</v>
      </c>
      <c r="R1471" s="14" t="s">
        <v>9857</v>
      </c>
      <c r="S1471" s="14" t="s">
        <v>1277</v>
      </c>
      <c r="T1471" s="14" t="s">
        <v>1278</v>
      </c>
      <c r="U1471" s="14" t="s">
        <v>528</v>
      </c>
      <c r="V1471" s="48">
        <f>SUMIF(Data!$E:$E,$I1471,Data!$AI:$AI)</f>
        <v>0</v>
      </c>
    </row>
    <row r="1472" spans="1:22" x14ac:dyDescent="0.25">
      <c r="A1472" s="47" t="s">
        <v>9546</v>
      </c>
      <c r="B1472" s="47" t="s">
        <v>123</v>
      </c>
      <c r="C1472" s="47" t="s">
        <v>5199</v>
      </c>
      <c r="D1472" s="47">
        <v>0.245417906308391</v>
      </c>
      <c r="E1472" s="48">
        <f>SUMIF(Data!$E:$E,$C1472,Data!$AI:$AI)</f>
        <v>0.30542299256619226</v>
      </c>
      <c r="I1472" s="14" t="s">
        <v>9858</v>
      </c>
      <c r="J1472" s="14" t="s">
        <v>9859</v>
      </c>
      <c r="K1472" s="14" t="s">
        <v>140</v>
      </c>
      <c r="L1472" s="14" t="s">
        <v>8069</v>
      </c>
      <c r="M1472" s="14" t="s">
        <v>9860</v>
      </c>
      <c r="N1472" s="14">
        <v>173.02</v>
      </c>
      <c r="O1472" s="14" t="s">
        <v>9861</v>
      </c>
      <c r="P1472" s="14" t="s">
        <v>9862</v>
      </c>
      <c r="Q1472" s="14" t="s">
        <v>211</v>
      </c>
      <c r="R1472" s="14" t="s">
        <v>9863</v>
      </c>
      <c r="S1472" s="14" t="s">
        <v>7567</v>
      </c>
      <c r="T1472" s="14" t="s">
        <v>7568</v>
      </c>
      <c r="U1472" s="14" t="s">
        <v>7569</v>
      </c>
      <c r="V1472" s="48">
        <f>SUMIF(Data!$E:$E,$I1472,Data!$AI:$AI)</f>
        <v>0</v>
      </c>
    </row>
    <row r="1473" spans="1:22" x14ac:dyDescent="0.25">
      <c r="A1473" s="47" t="s">
        <v>9546</v>
      </c>
      <c r="B1473" s="47" t="s">
        <v>123</v>
      </c>
      <c r="C1473" s="47" t="s">
        <v>1786</v>
      </c>
      <c r="D1473" s="47">
        <v>0.27071710748893701</v>
      </c>
      <c r="E1473" s="48">
        <f>SUMIF(Data!$E:$E,$C1473,Data!$AI:$AI)</f>
        <v>0.1705308312796065</v>
      </c>
      <c r="I1473" s="14">
        <v>8355</v>
      </c>
      <c r="J1473" s="14" t="s">
        <v>9864</v>
      </c>
      <c r="K1473" s="14" t="s">
        <v>140</v>
      </c>
      <c r="L1473" s="14" t="s">
        <v>8069</v>
      </c>
      <c r="M1473" s="14" t="s">
        <v>9865</v>
      </c>
      <c r="N1473" s="14">
        <v>254.4</v>
      </c>
      <c r="O1473" s="14" t="s">
        <v>9866</v>
      </c>
      <c r="P1473" s="14" t="s">
        <v>9867</v>
      </c>
      <c r="Q1473" s="14" t="s">
        <v>193</v>
      </c>
      <c r="R1473" s="14" t="s">
        <v>9868</v>
      </c>
      <c r="S1473" s="14" t="s">
        <v>444</v>
      </c>
      <c r="T1473" s="14" t="s">
        <v>445</v>
      </c>
      <c r="U1473" s="14" t="s">
        <v>446</v>
      </c>
      <c r="V1473" s="48">
        <f>SUMIF(Data!$E:$E,$I1473,Data!$AI:$AI)</f>
        <v>0</v>
      </c>
    </row>
    <row r="1474" spans="1:22" x14ac:dyDescent="0.25">
      <c r="A1474" s="47" t="s">
        <v>9546</v>
      </c>
      <c r="B1474" s="47" t="s">
        <v>123</v>
      </c>
      <c r="C1474" s="47" t="s">
        <v>4919</v>
      </c>
      <c r="D1474" s="47">
        <v>0.66152728591509002</v>
      </c>
      <c r="E1474" s="48">
        <f>SUMIF(Data!$E:$E,$C1474,Data!$AI:$AI)</f>
        <v>0.63880820904302782</v>
      </c>
      <c r="I1474" s="14" t="s">
        <v>9869</v>
      </c>
      <c r="J1474" s="14" t="s">
        <v>9870</v>
      </c>
      <c r="K1474" s="14" t="s">
        <v>140</v>
      </c>
      <c r="L1474" s="14" t="s">
        <v>8069</v>
      </c>
      <c r="M1474" s="14" t="s">
        <v>9871</v>
      </c>
      <c r="N1474" s="14">
        <v>56.213999999999999</v>
      </c>
      <c r="O1474" s="14" t="s">
        <v>9872</v>
      </c>
      <c r="P1474" s="14" t="s">
        <v>9873</v>
      </c>
      <c r="Q1474" s="14" t="s">
        <v>263</v>
      </c>
      <c r="R1474" s="14" t="s">
        <v>9874</v>
      </c>
      <c r="S1474" s="14" t="s">
        <v>3714</v>
      </c>
      <c r="T1474" s="14" t="s">
        <v>3715</v>
      </c>
      <c r="U1474" s="14" t="s">
        <v>3716</v>
      </c>
      <c r="V1474" s="48">
        <f>SUMIF(Data!$E:$E,$I1474,Data!$AI:$AI)</f>
        <v>0</v>
      </c>
    </row>
    <row r="1475" spans="1:22" x14ac:dyDescent="0.25">
      <c r="A1475" s="47" t="s">
        <v>9546</v>
      </c>
      <c r="B1475" s="47" t="s">
        <v>123</v>
      </c>
      <c r="C1475" s="47" t="s">
        <v>4368</v>
      </c>
      <c r="D1475" s="47">
        <v>0.14715575306721901</v>
      </c>
      <c r="E1475" s="48">
        <f>SUMIF(Data!$E:$E,$C1475,Data!$AI:$AI)</f>
        <v>0</v>
      </c>
      <c r="I1475" s="14">
        <v>3861</v>
      </c>
      <c r="J1475" s="14" t="s">
        <v>9875</v>
      </c>
      <c r="K1475" s="14" t="s">
        <v>140</v>
      </c>
      <c r="L1475" s="14" t="s">
        <v>8069</v>
      </c>
      <c r="M1475" s="14" t="s">
        <v>9876</v>
      </c>
      <c r="N1475" s="14">
        <v>340.8</v>
      </c>
      <c r="O1475" s="14" t="s">
        <v>9877</v>
      </c>
      <c r="P1475" s="14" t="s">
        <v>9878</v>
      </c>
      <c r="Q1475" s="14" t="s">
        <v>737</v>
      </c>
      <c r="R1475" s="14" t="s">
        <v>9879</v>
      </c>
      <c r="S1475" s="14" t="s">
        <v>444</v>
      </c>
      <c r="T1475" s="14" t="s">
        <v>445</v>
      </c>
      <c r="U1475" s="14" t="s">
        <v>446</v>
      </c>
      <c r="V1475" s="48">
        <f>SUMIF(Data!$E:$E,$I1475,Data!$AI:$AI)</f>
        <v>0</v>
      </c>
    </row>
    <row r="1476" spans="1:22" x14ac:dyDescent="0.25">
      <c r="A1476" s="47" t="s">
        <v>9546</v>
      </c>
      <c r="B1476" s="47" t="s">
        <v>123</v>
      </c>
      <c r="C1476" s="47" t="s">
        <v>5583</v>
      </c>
      <c r="D1476" s="47">
        <v>3.6090379488602997E-2</v>
      </c>
      <c r="E1476" s="48">
        <f>SUMIF(Data!$E:$E,$C1476,Data!$AI:$AI)</f>
        <v>0</v>
      </c>
      <c r="I1476" s="14">
        <v>8984</v>
      </c>
      <c r="J1476" s="14" t="s">
        <v>9880</v>
      </c>
      <c r="K1476" s="14" t="s">
        <v>140</v>
      </c>
      <c r="L1476" s="14" t="s">
        <v>8069</v>
      </c>
      <c r="M1476" s="14" t="s">
        <v>9881</v>
      </c>
      <c r="N1476" s="14">
        <v>728</v>
      </c>
      <c r="O1476" s="14" t="s">
        <v>9882</v>
      </c>
      <c r="P1476" s="14" t="s">
        <v>9883</v>
      </c>
      <c r="Q1476" s="14" t="s">
        <v>809</v>
      </c>
      <c r="R1476" s="14" t="s">
        <v>9884</v>
      </c>
      <c r="S1476" s="14" t="s">
        <v>444</v>
      </c>
      <c r="T1476" s="14" t="s">
        <v>445</v>
      </c>
      <c r="U1476" s="14" t="s">
        <v>446</v>
      </c>
      <c r="V1476" s="48">
        <f>SUMIF(Data!$E:$E,$I1476,Data!$AI:$AI)</f>
        <v>0</v>
      </c>
    </row>
    <row r="1477" spans="1:22" x14ac:dyDescent="0.25">
      <c r="A1477" s="47" t="s">
        <v>9546</v>
      </c>
      <c r="B1477" s="47" t="s">
        <v>123</v>
      </c>
      <c r="C1477" s="47" t="s">
        <v>4926</v>
      </c>
      <c r="D1477" s="47">
        <v>0.82154156181585003</v>
      </c>
      <c r="E1477" s="48">
        <f>SUMIF(Data!$E:$E,$C1477,Data!$AI:$AI)</f>
        <v>0.52858464745473188</v>
      </c>
      <c r="I1477" s="14" t="s">
        <v>9885</v>
      </c>
      <c r="J1477" s="14" t="s">
        <v>9886</v>
      </c>
      <c r="K1477" s="14" t="s">
        <v>140</v>
      </c>
      <c r="L1477" s="14" t="s">
        <v>8069</v>
      </c>
      <c r="M1477" s="14" t="s">
        <v>7676</v>
      </c>
      <c r="N1477" s="14">
        <v>36.668999999999997</v>
      </c>
      <c r="O1477" s="14" t="s">
        <v>9887</v>
      </c>
      <c r="P1477" s="14" t="s">
        <v>9888</v>
      </c>
      <c r="Q1477" s="14" t="s">
        <v>737</v>
      </c>
      <c r="R1477" s="14" t="s">
        <v>9889</v>
      </c>
      <c r="S1477" s="14" t="s">
        <v>526</v>
      </c>
      <c r="T1477" s="14" t="s">
        <v>527</v>
      </c>
      <c r="U1477" s="14" t="s">
        <v>528</v>
      </c>
      <c r="V1477" s="48">
        <f>SUMIF(Data!$E:$E,$I1477,Data!$AI:$AI)</f>
        <v>0</v>
      </c>
    </row>
    <row r="1478" spans="1:22" x14ac:dyDescent="0.25">
      <c r="A1478" s="47" t="s">
        <v>9546</v>
      </c>
      <c r="B1478" s="47" t="s">
        <v>123</v>
      </c>
      <c r="C1478" s="47" t="s">
        <v>5590</v>
      </c>
      <c r="D1478" s="47">
        <v>1.0884470336205E-2</v>
      </c>
      <c r="E1478" s="48">
        <f>SUMIF(Data!$E:$E,$C1478,Data!$AI:$AI)</f>
        <v>0</v>
      </c>
      <c r="I1478" s="14">
        <v>9508</v>
      </c>
      <c r="J1478" s="14" t="s">
        <v>9890</v>
      </c>
      <c r="K1478" s="14" t="s">
        <v>140</v>
      </c>
      <c r="L1478" s="14" t="s">
        <v>8069</v>
      </c>
      <c r="M1478" s="14" t="s">
        <v>8444</v>
      </c>
      <c r="N1478" s="14">
        <v>224.86699999999999</v>
      </c>
      <c r="O1478" s="14" t="s">
        <v>9891</v>
      </c>
      <c r="P1478" s="14" t="s">
        <v>9892</v>
      </c>
      <c r="Q1478" s="14" t="s">
        <v>697</v>
      </c>
      <c r="R1478" s="14" t="s">
        <v>9893</v>
      </c>
      <c r="S1478" s="14" t="s">
        <v>444</v>
      </c>
      <c r="T1478" s="14" t="s">
        <v>445</v>
      </c>
      <c r="U1478" s="14" t="s">
        <v>446</v>
      </c>
      <c r="V1478" s="48">
        <f>SUMIF(Data!$E:$E,$I1478,Data!$AI:$AI)</f>
        <v>0</v>
      </c>
    </row>
    <row r="1479" spans="1:22" x14ac:dyDescent="0.25">
      <c r="A1479" s="47" t="s">
        <v>9546</v>
      </c>
      <c r="B1479" s="47" t="s">
        <v>123</v>
      </c>
      <c r="C1479" s="47" t="s">
        <v>5221</v>
      </c>
      <c r="D1479" s="47">
        <v>0.305917156230752</v>
      </c>
      <c r="E1479" s="48">
        <f>SUMIF(Data!$E:$E,$C1479,Data!$AI:$AI)</f>
        <v>0.14962264013625223</v>
      </c>
      <c r="I1479" s="14">
        <v>5101</v>
      </c>
      <c r="J1479" s="14" t="s">
        <v>9894</v>
      </c>
      <c r="K1479" s="14" t="s">
        <v>140</v>
      </c>
      <c r="L1479" s="14" t="s">
        <v>8069</v>
      </c>
      <c r="M1479" s="14" t="s">
        <v>9895</v>
      </c>
      <c r="N1479" s="14">
        <v>96.9</v>
      </c>
      <c r="O1479" s="14" t="s">
        <v>9896</v>
      </c>
      <c r="P1479" s="14" t="s">
        <v>9897</v>
      </c>
      <c r="Q1479" s="14" t="s">
        <v>165</v>
      </c>
      <c r="R1479" s="14" t="s">
        <v>9898</v>
      </c>
      <c r="S1479" s="14" t="s">
        <v>444</v>
      </c>
      <c r="T1479" s="14" t="s">
        <v>445</v>
      </c>
      <c r="U1479" s="14" t="s">
        <v>446</v>
      </c>
      <c r="V1479" s="48">
        <f>SUMIF(Data!$E:$E,$I1479,Data!$AI:$AI)</f>
        <v>0</v>
      </c>
    </row>
    <row r="1480" spans="1:22" x14ac:dyDescent="0.25">
      <c r="A1480" s="47" t="s">
        <v>9546</v>
      </c>
      <c r="B1480" s="47" t="s">
        <v>123</v>
      </c>
      <c r="C1480" s="47" t="s">
        <v>5228</v>
      </c>
      <c r="D1480" s="47">
        <v>0.125619612039642</v>
      </c>
      <c r="E1480" s="48">
        <f>SUMIF(Data!$E:$E,$C1480,Data!$AI:$AI)</f>
        <v>0</v>
      </c>
      <c r="I1480" s="14" t="s">
        <v>9899</v>
      </c>
      <c r="J1480" s="14" t="s">
        <v>9900</v>
      </c>
      <c r="K1480" s="14" t="s">
        <v>140</v>
      </c>
      <c r="L1480" s="14" t="s">
        <v>8069</v>
      </c>
      <c r="M1480" s="14" t="s">
        <v>9901</v>
      </c>
      <c r="N1480" s="14">
        <v>216.804</v>
      </c>
      <c r="O1480" s="14" t="s">
        <v>9902</v>
      </c>
      <c r="P1480" s="14" t="s">
        <v>9903</v>
      </c>
      <c r="Q1480" s="14" t="s">
        <v>809</v>
      </c>
      <c r="R1480" s="14" t="s">
        <v>9904</v>
      </c>
      <c r="S1480" s="14" t="s">
        <v>2368</v>
      </c>
      <c r="T1480" s="14" t="s">
        <v>2369</v>
      </c>
      <c r="U1480" s="14" t="s">
        <v>2370</v>
      </c>
      <c r="V1480" s="48">
        <f>SUMIF(Data!$E:$E,$I1480,Data!$AI:$AI)</f>
        <v>0</v>
      </c>
    </row>
    <row r="1481" spans="1:22" x14ac:dyDescent="0.25">
      <c r="A1481" s="47" t="s">
        <v>9546</v>
      </c>
      <c r="B1481" s="47" t="s">
        <v>123</v>
      </c>
      <c r="C1481" s="47" t="s">
        <v>5598</v>
      </c>
      <c r="D1481" s="47">
        <v>0.101734236335106</v>
      </c>
      <c r="E1481" s="48">
        <f>SUMIF(Data!$E:$E,$C1481,Data!$AI:$AI)</f>
        <v>0</v>
      </c>
      <c r="I1481" s="14" t="s">
        <v>9905</v>
      </c>
      <c r="J1481" s="14" t="s">
        <v>9906</v>
      </c>
      <c r="K1481" s="14" t="s">
        <v>140</v>
      </c>
      <c r="L1481" s="14" t="s">
        <v>8069</v>
      </c>
      <c r="M1481" s="14" t="s">
        <v>9907</v>
      </c>
      <c r="N1481" s="14">
        <v>24.241</v>
      </c>
      <c r="O1481" s="14" t="s">
        <v>9908</v>
      </c>
      <c r="P1481" s="14" t="s">
        <v>9909</v>
      </c>
      <c r="Q1481" s="14" t="s">
        <v>175</v>
      </c>
      <c r="R1481" s="14" t="s">
        <v>9910</v>
      </c>
      <c r="S1481" s="14" t="s">
        <v>850</v>
      </c>
      <c r="T1481" s="14" t="s">
        <v>851</v>
      </c>
      <c r="U1481" s="14" t="s">
        <v>852</v>
      </c>
      <c r="V1481" s="48">
        <f>SUMIF(Data!$E:$E,$I1481,Data!$AI:$AI)</f>
        <v>0</v>
      </c>
    </row>
    <row r="1482" spans="1:22" x14ac:dyDescent="0.25">
      <c r="A1482" s="47" t="s">
        <v>9546</v>
      </c>
      <c r="B1482" s="47" t="s">
        <v>123</v>
      </c>
      <c r="C1482" s="47" t="s">
        <v>3901</v>
      </c>
      <c r="D1482" s="47">
        <v>0.70259346154573699</v>
      </c>
      <c r="E1482" s="48">
        <f>SUMIF(Data!$E:$E,$C1482,Data!$AI:$AI)</f>
        <v>0.4435083799971119</v>
      </c>
      <c r="I1482" s="14" t="s">
        <v>9911</v>
      </c>
      <c r="J1482" s="14" t="s">
        <v>9912</v>
      </c>
      <c r="K1482" s="14" t="s">
        <v>140</v>
      </c>
      <c r="L1482" s="14" t="s">
        <v>8069</v>
      </c>
      <c r="M1482" s="14" t="s">
        <v>9913</v>
      </c>
      <c r="N1482" s="14">
        <v>75.409000000000006</v>
      </c>
      <c r="O1482" s="14" t="s">
        <v>9914</v>
      </c>
      <c r="P1482" s="14" t="s">
        <v>9915</v>
      </c>
      <c r="Q1482" s="14" t="s">
        <v>193</v>
      </c>
      <c r="R1482" s="14" t="s">
        <v>9916</v>
      </c>
      <c r="S1482" s="14" t="s">
        <v>2931</v>
      </c>
      <c r="T1482" s="14" t="s">
        <v>2932</v>
      </c>
      <c r="U1482" s="14" t="s">
        <v>2933</v>
      </c>
      <c r="V1482" s="48">
        <f>SUMIF(Data!$E:$E,$I1482,Data!$AI:$AI)</f>
        <v>0</v>
      </c>
    </row>
    <row r="1483" spans="1:22" x14ac:dyDescent="0.25">
      <c r="A1483" s="47" t="s">
        <v>9546</v>
      </c>
      <c r="B1483" s="47" t="s">
        <v>123</v>
      </c>
      <c r="C1483" s="47" t="s">
        <v>5241</v>
      </c>
      <c r="D1483" s="47">
        <v>0.303073265831594</v>
      </c>
      <c r="E1483" s="48">
        <f>SUMIF(Data!$E:$E,$C1483,Data!$AI:$AI)</f>
        <v>0.22226848933098653</v>
      </c>
      <c r="I1483" s="14" t="s">
        <v>9917</v>
      </c>
      <c r="J1483" s="14" t="s">
        <v>9918</v>
      </c>
      <c r="K1483" s="14" t="s">
        <v>140</v>
      </c>
      <c r="L1483" s="14" t="s">
        <v>8069</v>
      </c>
      <c r="M1483" s="14" t="s">
        <v>9919</v>
      </c>
      <c r="N1483" s="14">
        <v>94.322000000000003</v>
      </c>
      <c r="O1483" s="14" t="s">
        <v>9920</v>
      </c>
      <c r="P1483" s="14" t="s">
        <v>9921</v>
      </c>
      <c r="Q1483" s="14" t="s">
        <v>419</v>
      </c>
      <c r="R1483" s="14" t="s">
        <v>9922</v>
      </c>
      <c r="S1483" s="14" t="s">
        <v>479</v>
      </c>
      <c r="T1483" s="14" t="s">
        <v>480</v>
      </c>
      <c r="U1483" s="14" t="s">
        <v>481</v>
      </c>
      <c r="V1483" s="48">
        <f>SUMIF(Data!$E:$E,$I1483,Data!$AI:$AI)</f>
        <v>0</v>
      </c>
    </row>
    <row r="1484" spans="1:22" x14ac:dyDescent="0.25">
      <c r="A1484" s="47" t="s">
        <v>9546</v>
      </c>
      <c r="B1484" s="47" t="s">
        <v>123</v>
      </c>
      <c r="C1484" s="47" t="s">
        <v>5605</v>
      </c>
      <c r="D1484" s="47">
        <v>0.15337130234773999</v>
      </c>
      <c r="E1484" s="48">
        <f>SUMIF(Data!$E:$E,$C1484,Data!$AI:$AI)</f>
        <v>6.758252240413927E-2</v>
      </c>
      <c r="I1484" s="14">
        <v>4739</v>
      </c>
      <c r="J1484" s="14" t="s">
        <v>9923</v>
      </c>
      <c r="K1484" s="14" t="s">
        <v>140</v>
      </c>
      <c r="L1484" s="14" t="s">
        <v>8069</v>
      </c>
      <c r="M1484" s="14" t="s">
        <v>9924</v>
      </c>
      <c r="N1484" s="14">
        <v>60.7</v>
      </c>
      <c r="O1484" s="14" t="s">
        <v>9925</v>
      </c>
      <c r="P1484" s="14" t="s">
        <v>9926</v>
      </c>
      <c r="Q1484" s="14" t="s">
        <v>146</v>
      </c>
      <c r="R1484" s="14" t="s">
        <v>9927</v>
      </c>
      <c r="S1484" s="14" t="s">
        <v>444</v>
      </c>
      <c r="T1484" s="14" t="s">
        <v>445</v>
      </c>
      <c r="U1484" s="14" t="s">
        <v>446</v>
      </c>
      <c r="V1484" s="48">
        <f>SUMIF(Data!$E:$E,$I1484,Data!$AI:$AI)</f>
        <v>0</v>
      </c>
    </row>
    <row r="1485" spans="1:22" x14ac:dyDescent="0.25">
      <c r="A1485" s="47" t="s">
        <v>9546</v>
      </c>
      <c r="B1485" s="47" t="s">
        <v>123</v>
      </c>
      <c r="C1485" s="47" t="s">
        <v>4938</v>
      </c>
      <c r="D1485" s="47">
        <v>0.93646067520865095</v>
      </c>
      <c r="E1485" s="48">
        <f>SUMIF(Data!$E:$E,$C1485,Data!$AI:$AI)</f>
        <v>0</v>
      </c>
      <c r="I1485" s="14" t="s">
        <v>9928</v>
      </c>
      <c r="J1485" s="14" t="s">
        <v>9929</v>
      </c>
      <c r="K1485" s="14" t="s">
        <v>140</v>
      </c>
      <c r="L1485" s="14" t="s">
        <v>8069</v>
      </c>
      <c r="M1485" s="14" t="s">
        <v>9930</v>
      </c>
      <c r="N1485" s="14">
        <v>46.951999999999998</v>
      </c>
      <c r="O1485" s="14" t="s">
        <v>9931</v>
      </c>
      <c r="P1485" s="14" t="s">
        <v>9932</v>
      </c>
      <c r="Q1485" s="14" t="s">
        <v>737</v>
      </c>
      <c r="R1485" s="14" t="s">
        <v>9933</v>
      </c>
      <c r="S1485" s="14" t="s">
        <v>728</v>
      </c>
      <c r="T1485" s="14" t="s">
        <v>729</v>
      </c>
      <c r="U1485" s="14" t="s">
        <v>730</v>
      </c>
      <c r="V1485" s="48">
        <f>SUMIF(Data!$E:$E,$I1485,Data!$AI:$AI)</f>
        <v>0</v>
      </c>
    </row>
    <row r="1486" spans="1:22" x14ac:dyDescent="0.25">
      <c r="A1486" s="47" t="s">
        <v>9546</v>
      </c>
      <c r="B1486" s="47" t="s">
        <v>123</v>
      </c>
      <c r="C1486" s="47" t="s">
        <v>5612</v>
      </c>
      <c r="D1486" s="47">
        <v>9.0743590208290995E-2</v>
      </c>
      <c r="E1486" s="48">
        <f>SUMIF(Data!$E:$E,$C1486,Data!$AI:$AI)</f>
        <v>0</v>
      </c>
      <c r="I1486" s="14" t="s">
        <v>9934</v>
      </c>
      <c r="J1486" s="14" t="s">
        <v>9935</v>
      </c>
      <c r="K1486" s="14" t="s">
        <v>140</v>
      </c>
      <c r="L1486" s="14" t="s">
        <v>8069</v>
      </c>
      <c r="M1486" s="14" t="s">
        <v>9936</v>
      </c>
      <c r="N1486" s="14">
        <v>40.460999999999999</v>
      </c>
      <c r="O1486" s="14" t="s">
        <v>9937</v>
      </c>
      <c r="P1486" s="14" t="s">
        <v>9938</v>
      </c>
      <c r="Q1486" s="14" t="s">
        <v>227</v>
      </c>
      <c r="R1486" s="14" t="s">
        <v>9939</v>
      </c>
      <c r="S1486" s="14" t="s">
        <v>2931</v>
      </c>
      <c r="T1486" s="14" t="s">
        <v>2932</v>
      </c>
      <c r="U1486" s="14" t="s">
        <v>2933</v>
      </c>
      <c r="V1486" s="48">
        <f>SUMIF(Data!$E:$E,$I1486,Data!$AI:$AI)</f>
        <v>0</v>
      </c>
    </row>
    <row r="1487" spans="1:22" x14ac:dyDescent="0.25">
      <c r="A1487" s="47" t="s">
        <v>9546</v>
      </c>
      <c r="B1487" s="47" t="s">
        <v>123</v>
      </c>
      <c r="C1487" s="47" t="s">
        <v>5625</v>
      </c>
      <c r="D1487" s="47">
        <v>5.0367353259932003E-2</v>
      </c>
      <c r="E1487" s="48">
        <f>SUMIF(Data!$E:$E,$C1487,Data!$AI:$AI)</f>
        <v>0</v>
      </c>
      <c r="I1487" s="14" t="s">
        <v>9940</v>
      </c>
      <c r="J1487" s="14" t="s">
        <v>9941</v>
      </c>
      <c r="K1487" s="14" t="s">
        <v>140</v>
      </c>
      <c r="L1487" s="14" t="s">
        <v>8069</v>
      </c>
      <c r="M1487" s="14" t="s">
        <v>9942</v>
      </c>
      <c r="N1487" s="14">
        <v>102.5</v>
      </c>
      <c r="O1487" s="14" t="s">
        <v>9943</v>
      </c>
      <c r="P1487" s="14" t="s">
        <v>9944</v>
      </c>
      <c r="Q1487" s="14" t="s">
        <v>419</v>
      </c>
      <c r="R1487" s="14" t="s">
        <v>9945</v>
      </c>
      <c r="S1487" s="14" t="s">
        <v>526</v>
      </c>
      <c r="T1487" s="14" t="s">
        <v>527</v>
      </c>
      <c r="U1487" s="14" t="s">
        <v>528</v>
      </c>
      <c r="V1487" s="48">
        <f>SUMIF(Data!$E:$E,$I1487,Data!$AI:$AI)</f>
        <v>0</v>
      </c>
    </row>
    <row r="1488" spans="1:22" x14ac:dyDescent="0.25">
      <c r="A1488" s="47" t="s">
        <v>9546</v>
      </c>
      <c r="B1488" s="47" t="s">
        <v>123</v>
      </c>
      <c r="C1488" s="47" t="s">
        <v>5632</v>
      </c>
      <c r="D1488" s="47">
        <v>6.0028972855115E-2</v>
      </c>
      <c r="E1488" s="48">
        <f>SUMIF(Data!$E:$E,$C1488,Data!$AI:$AI)</f>
        <v>0</v>
      </c>
      <c r="I1488" s="14">
        <v>3436</v>
      </c>
      <c r="J1488" s="14" t="s">
        <v>9946</v>
      </c>
      <c r="K1488" s="14" t="s">
        <v>140</v>
      </c>
      <c r="L1488" s="14" t="s">
        <v>8069</v>
      </c>
      <c r="M1488" s="14" t="s">
        <v>9947</v>
      </c>
      <c r="N1488" s="14">
        <v>104.8</v>
      </c>
      <c r="O1488" s="14" t="s">
        <v>9948</v>
      </c>
      <c r="P1488" s="14" t="s">
        <v>9949</v>
      </c>
      <c r="Q1488" s="14" t="s">
        <v>146</v>
      </c>
      <c r="R1488" s="14" t="s">
        <v>9950</v>
      </c>
      <c r="S1488" s="14" t="s">
        <v>444</v>
      </c>
      <c r="T1488" s="14" t="s">
        <v>445</v>
      </c>
      <c r="U1488" s="14" t="s">
        <v>446</v>
      </c>
      <c r="V1488" s="48">
        <f>SUMIF(Data!$E:$E,$I1488,Data!$AI:$AI)</f>
        <v>0</v>
      </c>
    </row>
    <row r="1489" spans="1:22" x14ac:dyDescent="0.25">
      <c r="A1489" s="47" t="s">
        <v>9546</v>
      </c>
      <c r="B1489" s="47" t="s">
        <v>123</v>
      </c>
      <c r="C1489" s="47" t="s">
        <v>5248</v>
      </c>
      <c r="D1489" s="47">
        <v>0.12365703768483099</v>
      </c>
      <c r="E1489" s="48">
        <f>SUMIF(Data!$E:$E,$C1489,Data!$AI:$AI)</f>
        <v>0</v>
      </c>
      <c r="I1489" s="14" t="s">
        <v>9951</v>
      </c>
      <c r="J1489" s="14" t="s">
        <v>9952</v>
      </c>
      <c r="K1489" s="14" t="s">
        <v>140</v>
      </c>
      <c r="L1489" s="14" t="s">
        <v>8069</v>
      </c>
      <c r="M1489" s="14" t="s">
        <v>9953</v>
      </c>
      <c r="N1489" s="14">
        <v>588.72400000000005</v>
      </c>
      <c r="O1489" s="14" t="s">
        <v>9954</v>
      </c>
      <c r="P1489" s="14" t="s">
        <v>9955</v>
      </c>
      <c r="Q1489" s="14" t="s">
        <v>165</v>
      </c>
      <c r="R1489" s="14" t="s">
        <v>9956</v>
      </c>
      <c r="S1489" s="14" t="s">
        <v>850</v>
      </c>
      <c r="T1489" s="14" t="s">
        <v>851</v>
      </c>
      <c r="U1489" s="14" t="s">
        <v>852</v>
      </c>
      <c r="V1489" s="48">
        <f>SUMIF(Data!$E:$E,$I1489,Data!$AI:$AI)</f>
        <v>0</v>
      </c>
    </row>
    <row r="1490" spans="1:22" x14ac:dyDescent="0.25">
      <c r="A1490" s="47" t="s">
        <v>9546</v>
      </c>
      <c r="B1490" s="47" t="s">
        <v>123</v>
      </c>
      <c r="C1490" s="47" t="s">
        <v>4009</v>
      </c>
      <c r="D1490" s="47">
        <v>0.239161680473053</v>
      </c>
      <c r="E1490" s="48">
        <f>SUMIF(Data!$E:$E,$C1490,Data!$AI:$AI)</f>
        <v>0</v>
      </c>
      <c r="I1490" s="14">
        <v>7911</v>
      </c>
      <c r="J1490" s="14" t="s">
        <v>9957</v>
      </c>
      <c r="K1490" s="14" t="s">
        <v>140</v>
      </c>
      <c r="L1490" s="14" t="s">
        <v>8069</v>
      </c>
      <c r="M1490" s="14" t="s">
        <v>9958</v>
      </c>
      <c r="N1490" s="14">
        <v>86.91</v>
      </c>
      <c r="O1490" s="14" t="s">
        <v>9959</v>
      </c>
      <c r="P1490" s="14" t="s">
        <v>9960</v>
      </c>
      <c r="Q1490" s="14" t="s">
        <v>419</v>
      </c>
      <c r="R1490" s="14" t="s">
        <v>9961</v>
      </c>
      <c r="S1490" s="14" t="s">
        <v>444</v>
      </c>
      <c r="T1490" s="14" t="s">
        <v>445</v>
      </c>
      <c r="U1490" s="14" t="s">
        <v>446</v>
      </c>
      <c r="V1490" s="48">
        <f>SUMIF(Data!$E:$E,$I1490,Data!$AI:$AI)</f>
        <v>0</v>
      </c>
    </row>
    <row r="1491" spans="1:22" x14ac:dyDescent="0.25">
      <c r="A1491" s="47" t="s">
        <v>9546</v>
      </c>
      <c r="B1491" s="47" t="s">
        <v>123</v>
      </c>
      <c r="C1491" s="47" t="s">
        <v>5639</v>
      </c>
      <c r="D1491" s="47">
        <v>9.1456674731780999E-2</v>
      </c>
      <c r="E1491" s="48">
        <f>SUMIF(Data!$E:$E,$C1491,Data!$AI:$AI)</f>
        <v>0</v>
      </c>
      <c r="I1491" s="14" t="s">
        <v>9962</v>
      </c>
      <c r="J1491" s="14" t="s">
        <v>9963</v>
      </c>
      <c r="K1491" s="14" t="s">
        <v>140</v>
      </c>
      <c r="L1491" s="14" t="s">
        <v>8069</v>
      </c>
      <c r="M1491" s="14" t="s">
        <v>9964</v>
      </c>
      <c r="N1491" s="14">
        <v>86.66</v>
      </c>
      <c r="O1491" s="14" t="s">
        <v>9965</v>
      </c>
      <c r="P1491" s="14" t="s">
        <v>9966</v>
      </c>
      <c r="Q1491" s="14" t="s">
        <v>211</v>
      </c>
      <c r="R1491" s="14" t="s">
        <v>9967</v>
      </c>
      <c r="S1491" s="14" t="s">
        <v>728</v>
      </c>
      <c r="T1491" s="14" t="s">
        <v>729</v>
      </c>
      <c r="U1491" s="14" t="s">
        <v>730</v>
      </c>
      <c r="V1491" s="48">
        <f>SUMIF(Data!$E:$E,$I1491,Data!$AI:$AI)</f>
        <v>0</v>
      </c>
    </row>
    <row r="1492" spans="1:22" x14ac:dyDescent="0.25">
      <c r="A1492" s="47" t="s">
        <v>9546</v>
      </c>
      <c r="B1492" s="47" t="s">
        <v>123</v>
      </c>
      <c r="C1492" s="47" t="s">
        <v>1942</v>
      </c>
      <c r="D1492" s="47">
        <v>10.744658887315801</v>
      </c>
      <c r="E1492" s="48">
        <f>SUMIF(Data!$E:$E,$C1492,Data!$AI:$AI)</f>
        <v>0</v>
      </c>
      <c r="I1492" s="14" t="s">
        <v>9968</v>
      </c>
      <c r="J1492" s="14" t="s">
        <v>9969</v>
      </c>
      <c r="K1492" s="14" t="s">
        <v>140</v>
      </c>
      <c r="L1492" s="14" t="s">
        <v>8069</v>
      </c>
      <c r="M1492" s="14" t="s">
        <v>9970</v>
      </c>
      <c r="N1492" s="14">
        <v>109.99</v>
      </c>
      <c r="O1492" s="14" t="s">
        <v>9971</v>
      </c>
      <c r="P1492" s="14" t="s">
        <v>9972</v>
      </c>
      <c r="Q1492" s="14" t="s">
        <v>809</v>
      </c>
      <c r="R1492" s="14" t="s">
        <v>9973</v>
      </c>
      <c r="S1492" s="14" t="s">
        <v>728</v>
      </c>
      <c r="T1492" s="14" t="s">
        <v>729</v>
      </c>
      <c r="U1492" s="14" t="s">
        <v>730</v>
      </c>
      <c r="V1492" s="48">
        <f>SUMIF(Data!$E:$E,$I1492,Data!$AI:$AI)</f>
        <v>0</v>
      </c>
    </row>
    <row r="1493" spans="1:22" x14ac:dyDescent="0.25">
      <c r="A1493" s="47" t="s">
        <v>9546</v>
      </c>
      <c r="B1493" s="47" t="s">
        <v>123</v>
      </c>
      <c r="C1493" s="47" t="s">
        <v>4951</v>
      </c>
      <c r="D1493" s="47">
        <v>3.1996859786803098</v>
      </c>
      <c r="E1493" s="48">
        <f>SUMIF(Data!$E:$E,$C1493,Data!$AI:$AI)</f>
        <v>0</v>
      </c>
      <c r="I1493" s="14" t="s">
        <v>9974</v>
      </c>
      <c r="J1493" s="14" t="s">
        <v>9975</v>
      </c>
      <c r="K1493" s="14" t="s">
        <v>140</v>
      </c>
      <c r="L1493" s="14" t="s">
        <v>8069</v>
      </c>
      <c r="M1493" s="14" t="s">
        <v>9976</v>
      </c>
      <c r="N1493" s="14">
        <v>4.6840000000000002</v>
      </c>
      <c r="O1493" s="14" t="s">
        <v>9977</v>
      </c>
      <c r="P1493" s="14" t="s">
        <v>9978</v>
      </c>
      <c r="Q1493" s="14" t="s">
        <v>419</v>
      </c>
      <c r="R1493" s="14" t="s">
        <v>9979</v>
      </c>
      <c r="S1493" s="14" t="s">
        <v>148</v>
      </c>
      <c r="T1493" s="14" t="s">
        <v>149</v>
      </c>
      <c r="U1493" s="14" t="s">
        <v>113</v>
      </c>
      <c r="V1493" s="48">
        <f>SUMIF(Data!$E:$E,$I1493,Data!$AI:$AI)</f>
        <v>0</v>
      </c>
    </row>
    <row r="1494" spans="1:22" x14ac:dyDescent="0.25">
      <c r="A1494" s="47" t="s">
        <v>9546</v>
      </c>
      <c r="B1494" s="47" t="s">
        <v>123</v>
      </c>
      <c r="C1494" s="47" t="s">
        <v>1469</v>
      </c>
      <c r="D1494" s="47">
        <v>1.4341372877004801</v>
      </c>
      <c r="E1494" s="48">
        <f>SUMIF(Data!$E:$E,$C1494,Data!$AI:$AI)</f>
        <v>0</v>
      </c>
      <c r="I1494" s="14" t="s">
        <v>9980</v>
      </c>
      <c r="J1494" s="14" t="s">
        <v>9981</v>
      </c>
      <c r="K1494" s="14" t="s">
        <v>140</v>
      </c>
      <c r="L1494" s="14" t="s">
        <v>8069</v>
      </c>
      <c r="M1494" s="14" t="s">
        <v>9982</v>
      </c>
      <c r="N1494" s="14">
        <v>103.76900000000001</v>
      </c>
      <c r="O1494" s="14" t="s">
        <v>9983</v>
      </c>
      <c r="P1494" s="14" t="s">
        <v>9984</v>
      </c>
      <c r="Q1494" s="14" t="s">
        <v>146</v>
      </c>
      <c r="R1494" s="14" t="s">
        <v>9985</v>
      </c>
      <c r="S1494" s="14" t="s">
        <v>850</v>
      </c>
      <c r="T1494" s="14" t="s">
        <v>851</v>
      </c>
      <c r="U1494" s="14" t="s">
        <v>852</v>
      </c>
      <c r="V1494" s="48">
        <f>SUMIF(Data!$E:$E,$I1494,Data!$AI:$AI)</f>
        <v>0</v>
      </c>
    </row>
    <row r="1495" spans="1:22" x14ac:dyDescent="0.25">
      <c r="A1495" s="47" t="s">
        <v>9546</v>
      </c>
      <c r="B1495" s="47" t="s">
        <v>123</v>
      </c>
      <c r="C1495" s="47" t="s">
        <v>5647</v>
      </c>
      <c r="D1495" s="47">
        <v>1.0533521935460999E-2</v>
      </c>
      <c r="E1495" s="48">
        <f>SUMIF(Data!$E:$E,$C1495,Data!$AI:$AI)</f>
        <v>0</v>
      </c>
      <c r="I1495" s="14">
        <v>9024</v>
      </c>
      <c r="J1495" s="14" t="s">
        <v>9986</v>
      </c>
      <c r="K1495" s="14" t="s">
        <v>140</v>
      </c>
      <c r="L1495" s="14" t="s">
        <v>8069</v>
      </c>
      <c r="M1495" s="14" t="s">
        <v>5819</v>
      </c>
      <c r="N1495" s="14">
        <v>105.938</v>
      </c>
      <c r="O1495" s="14" t="s">
        <v>9987</v>
      </c>
      <c r="P1495" s="14" t="s">
        <v>9988</v>
      </c>
      <c r="Q1495" s="14" t="s">
        <v>419</v>
      </c>
      <c r="R1495" s="14" t="s">
        <v>9989</v>
      </c>
      <c r="S1495" s="14" t="s">
        <v>444</v>
      </c>
      <c r="T1495" s="14" t="s">
        <v>445</v>
      </c>
      <c r="U1495" s="14" t="s">
        <v>446</v>
      </c>
      <c r="V1495" s="48">
        <f>SUMIF(Data!$E:$E,$I1495,Data!$AI:$AI)</f>
        <v>0</v>
      </c>
    </row>
    <row r="1496" spans="1:22" x14ac:dyDescent="0.25">
      <c r="A1496" s="47" t="s">
        <v>9546</v>
      </c>
      <c r="B1496" s="47" t="s">
        <v>123</v>
      </c>
      <c r="C1496" s="47" t="s">
        <v>4964</v>
      </c>
      <c r="D1496" s="47">
        <v>0.776700871647522</v>
      </c>
      <c r="E1496" s="48">
        <f>SUMIF(Data!$E:$E,$C1496,Data!$AI:$AI)</f>
        <v>0</v>
      </c>
      <c r="I1496" s="14" t="s">
        <v>9990</v>
      </c>
      <c r="J1496" s="14" t="s">
        <v>9991</v>
      </c>
      <c r="K1496" s="14" t="s">
        <v>140</v>
      </c>
      <c r="L1496" s="14" t="s">
        <v>8069</v>
      </c>
      <c r="M1496" s="14" t="s">
        <v>9992</v>
      </c>
      <c r="N1496" s="14">
        <v>10.673</v>
      </c>
      <c r="O1496" s="14" t="s">
        <v>9993</v>
      </c>
      <c r="P1496" s="14" t="s">
        <v>9994</v>
      </c>
      <c r="Q1496" s="14" t="s">
        <v>193</v>
      </c>
      <c r="R1496" s="14" t="s">
        <v>9995</v>
      </c>
      <c r="S1496" s="14" t="s">
        <v>148</v>
      </c>
      <c r="T1496" s="14" t="s">
        <v>149</v>
      </c>
      <c r="U1496" s="14" t="s">
        <v>113</v>
      </c>
      <c r="V1496" s="48">
        <f>SUMIF(Data!$E:$E,$I1496,Data!$AI:$AI)</f>
        <v>0</v>
      </c>
    </row>
    <row r="1497" spans="1:22" x14ac:dyDescent="0.25">
      <c r="A1497" s="47" t="s">
        <v>9546</v>
      </c>
      <c r="B1497" s="47" t="s">
        <v>123</v>
      </c>
      <c r="C1497" s="47" t="s">
        <v>5271</v>
      </c>
      <c r="D1497" s="47">
        <v>0.11328471428935399</v>
      </c>
      <c r="E1497" s="48">
        <f>SUMIF(Data!$E:$E,$C1497,Data!$AI:$AI)</f>
        <v>0.14326299409755411</v>
      </c>
      <c r="I1497" s="14" t="s">
        <v>9996</v>
      </c>
      <c r="J1497" s="14" t="s">
        <v>9997</v>
      </c>
      <c r="K1497" s="14" t="s">
        <v>140</v>
      </c>
      <c r="L1497" s="14" t="s">
        <v>8069</v>
      </c>
      <c r="M1497" s="14" t="s">
        <v>9998</v>
      </c>
      <c r="N1497" s="14">
        <v>58.213000000000001</v>
      </c>
      <c r="O1497" s="14" t="s">
        <v>9999</v>
      </c>
      <c r="P1497" s="14" t="s">
        <v>10000</v>
      </c>
      <c r="Q1497" s="14" t="s">
        <v>175</v>
      </c>
      <c r="R1497" s="14" t="s">
        <v>10001</v>
      </c>
      <c r="S1497" s="14" t="s">
        <v>148</v>
      </c>
      <c r="T1497" s="14" t="s">
        <v>149</v>
      </c>
      <c r="U1497" s="14" t="s">
        <v>113</v>
      </c>
      <c r="V1497" s="48">
        <f>SUMIF(Data!$E:$E,$I1497,Data!$AI:$AI)</f>
        <v>0</v>
      </c>
    </row>
    <row r="1498" spans="1:22" x14ac:dyDescent="0.25">
      <c r="A1498" s="47" t="s">
        <v>9546</v>
      </c>
      <c r="B1498" s="47" t="s">
        <v>123</v>
      </c>
      <c r="C1498" s="47" t="s">
        <v>5277</v>
      </c>
      <c r="D1498" s="47">
        <v>0.36180054714876902</v>
      </c>
      <c r="E1498" s="48">
        <f>SUMIF(Data!$E:$E,$C1498,Data!$AI:$AI)</f>
        <v>0.33919062734131172</v>
      </c>
      <c r="I1498" s="14" t="s">
        <v>5115</v>
      </c>
      <c r="J1498" s="14" t="s">
        <v>10002</v>
      </c>
      <c r="K1498" s="14" t="s">
        <v>140</v>
      </c>
      <c r="L1498" s="14" t="s">
        <v>8069</v>
      </c>
      <c r="M1498" s="14" t="s">
        <v>10003</v>
      </c>
      <c r="N1498" s="14">
        <v>777.78499999999997</v>
      </c>
      <c r="O1498" s="14" t="s">
        <v>10004</v>
      </c>
      <c r="P1498" s="14" t="s">
        <v>10005</v>
      </c>
      <c r="Q1498" s="14" t="s">
        <v>737</v>
      </c>
      <c r="R1498" s="14" t="s">
        <v>10006</v>
      </c>
      <c r="S1498" s="14" t="s">
        <v>850</v>
      </c>
      <c r="T1498" s="14" t="s">
        <v>851</v>
      </c>
      <c r="U1498" s="14" t="s">
        <v>852</v>
      </c>
      <c r="V1498" s="48">
        <f>SUMIF(Data!$E:$E,$I1498,Data!$AI:$AI)</f>
        <v>0</v>
      </c>
    </row>
    <row r="1499" spans="1:22" x14ac:dyDescent="0.25">
      <c r="A1499" s="47" t="s">
        <v>9546</v>
      </c>
      <c r="B1499" s="47" t="s">
        <v>123</v>
      </c>
      <c r="C1499" s="47" t="s">
        <v>5284</v>
      </c>
      <c r="D1499" s="47">
        <v>0.32759573069114201</v>
      </c>
      <c r="E1499" s="48">
        <f>SUMIF(Data!$E:$E,$C1499,Data!$AI:$AI)</f>
        <v>0.14335552808713869</v>
      </c>
      <c r="I1499" s="14" t="s">
        <v>10007</v>
      </c>
      <c r="J1499" s="14" t="s">
        <v>10008</v>
      </c>
      <c r="K1499" s="14" t="s">
        <v>140</v>
      </c>
      <c r="L1499" s="14" t="s">
        <v>8069</v>
      </c>
      <c r="M1499" s="14" t="s">
        <v>10009</v>
      </c>
      <c r="N1499" s="14">
        <v>59.713000000000001</v>
      </c>
      <c r="O1499" s="14" t="s">
        <v>10010</v>
      </c>
      <c r="P1499" s="14" t="s">
        <v>10011</v>
      </c>
      <c r="Q1499" s="14" t="s">
        <v>175</v>
      </c>
      <c r="R1499" s="14" t="s">
        <v>10012</v>
      </c>
      <c r="S1499" s="14" t="s">
        <v>3714</v>
      </c>
      <c r="T1499" s="14" t="s">
        <v>3715</v>
      </c>
      <c r="U1499" s="14" t="s">
        <v>3716</v>
      </c>
      <c r="V1499" s="48">
        <f>SUMIF(Data!$E:$E,$I1499,Data!$AI:$AI)</f>
        <v>0</v>
      </c>
    </row>
    <row r="1500" spans="1:22" x14ac:dyDescent="0.25">
      <c r="A1500" s="47" t="s">
        <v>9546</v>
      </c>
      <c r="B1500" s="47" t="s">
        <v>123</v>
      </c>
      <c r="C1500" s="47" t="s">
        <v>4971</v>
      </c>
      <c r="D1500" s="47">
        <v>0.667790066496458</v>
      </c>
      <c r="E1500" s="48">
        <f>SUMIF(Data!$E:$E,$C1500,Data!$AI:$AI)</f>
        <v>0.51478348043038158</v>
      </c>
      <c r="I1500" s="14" t="s">
        <v>10013</v>
      </c>
      <c r="J1500" s="14" t="s">
        <v>10014</v>
      </c>
      <c r="K1500" s="14" t="s">
        <v>140</v>
      </c>
      <c r="L1500" s="14" t="s">
        <v>8069</v>
      </c>
      <c r="M1500" s="14" t="s">
        <v>10015</v>
      </c>
      <c r="N1500" s="14">
        <v>63.293999999999997</v>
      </c>
      <c r="O1500" s="14" t="s">
        <v>10016</v>
      </c>
      <c r="P1500" s="14" t="s">
        <v>10017</v>
      </c>
      <c r="Q1500" s="14" t="s">
        <v>737</v>
      </c>
      <c r="R1500" s="14" t="s">
        <v>10018</v>
      </c>
      <c r="S1500" s="14" t="s">
        <v>5891</v>
      </c>
      <c r="T1500" s="14" t="s">
        <v>5892</v>
      </c>
      <c r="U1500" s="14" t="s">
        <v>528</v>
      </c>
      <c r="V1500" s="48">
        <f>SUMIF(Data!$E:$E,$I1500,Data!$AI:$AI)</f>
        <v>0</v>
      </c>
    </row>
    <row r="1501" spans="1:22" x14ac:dyDescent="0.25">
      <c r="A1501" s="47" t="s">
        <v>9546</v>
      </c>
      <c r="B1501" s="47" t="s">
        <v>123</v>
      </c>
      <c r="C1501" s="47" t="s">
        <v>4978</v>
      </c>
      <c r="D1501" s="47">
        <v>0.77077696539417995</v>
      </c>
      <c r="E1501" s="48">
        <f>SUMIF(Data!$E:$E,$C1501,Data!$AI:$AI)</f>
        <v>0</v>
      </c>
      <c r="I1501" s="14" t="s">
        <v>10019</v>
      </c>
      <c r="J1501" s="14" t="s">
        <v>10020</v>
      </c>
      <c r="K1501" s="14" t="s">
        <v>140</v>
      </c>
      <c r="L1501" s="14" t="s">
        <v>8069</v>
      </c>
      <c r="M1501" s="14" t="s">
        <v>10021</v>
      </c>
      <c r="N1501" s="14">
        <v>27.007000000000001</v>
      </c>
      <c r="O1501" s="14" t="s">
        <v>10022</v>
      </c>
      <c r="P1501" s="14" t="s">
        <v>10023</v>
      </c>
      <c r="Q1501" s="14" t="s">
        <v>165</v>
      </c>
      <c r="R1501" s="14" t="s">
        <v>10024</v>
      </c>
      <c r="S1501" s="14" t="s">
        <v>526</v>
      </c>
      <c r="T1501" s="14" t="s">
        <v>527</v>
      </c>
      <c r="U1501" s="14" t="s">
        <v>528</v>
      </c>
      <c r="V1501" s="48">
        <f>SUMIF(Data!$E:$E,$I1501,Data!$AI:$AI)</f>
        <v>0</v>
      </c>
    </row>
    <row r="1502" spans="1:22" x14ac:dyDescent="0.25">
      <c r="A1502" s="47" t="s">
        <v>9546</v>
      </c>
      <c r="B1502" s="47" t="s">
        <v>123</v>
      </c>
      <c r="C1502" s="47" t="s">
        <v>5302</v>
      </c>
      <c r="D1502" s="47">
        <v>0.35356270880876201</v>
      </c>
      <c r="E1502" s="48">
        <f>SUMIF(Data!$E:$E,$C1502,Data!$AI:$AI)</f>
        <v>0</v>
      </c>
      <c r="I1502" s="14" t="s">
        <v>10025</v>
      </c>
      <c r="J1502" s="14" t="s">
        <v>10026</v>
      </c>
      <c r="K1502" s="14" t="s">
        <v>140</v>
      </c>
      <c r="L1502" s="14" t="s">
        <v>8069</v>
      </c>
      <c r="M1502" s="14" t="s">
        <v>10027</v>
      </c>
      <c r="N1502" s="14">
        <v>66.536000000000001</v>
      </c>
      <c r="O1502" s="14" t="s">
        <v>10028</v>
      </c>
      <c r="P1502" s="14" t="s">
        <v>10029</v>
      </c>
      <c r="Q1502" s="14" t="s">
        <v>697</v>
      </c>
      <c r="R1502" s="14" t="s">
        <v>10030</v>
      </c>
      <c r="S1502" s="14" t="s">
        <v>1167</v>
      </c>
      <c r="T1502" s="14" t="s">
        <v>1168</v>
      </c>
      <c r="U1502" s="14" t="s">
        <v>528</v>
      </c>
      <c r="V1502" s="48">
        <f>SUMIF(Data!$E:$E,$I1502,Data!$AI:$AI)</f>
        <v>0</v>
      </c>
    </row>
    <row r="1503" spans="1:22" x14ac:dyDescent="0.25">
      <c r="A1503" s="47" t="s">
        <v>9546</v>
      </c>
      <c r="B1503" s="47" t="s">
        <v>123</v>
      </c>
      <c r="C1503" s="47" t="s">
        <v>6850</v>
      </c>
      <c r="D1503" s="47">
        <v>0.49736928070051001</v>
      </c>
      <c r="E1503" s="48">
        <f>SUMIF(Data!$E:$E,$C1503,Data!$AI:$AI)</f>
        <v>0.7318861193221331</v>
      </c>
      <c r="I1503" s="14" t="s">
        <v>10031</v>
      </c>
      <c r="J1503" s="14" t="s">
        <v>10032</v>
      </c>
      <c r="K1503" s="14" t="s">
        <v>140</v>
      </c>
      <c r="L1503" s="14" t="s">
        <v>8069</v>
      </c>
      <c r="M1503" s="14" t="s">
        <v>899</v>
      </c>
      <c r="N1503" s="14">
        <v>33.563000000000002</v>
      </c>
      <c r="O1503" s="14" t="s">
        <v>10033</v>
      </c>
      <c r="P1503" s="14" t="s">
        <v>10034</v>
      </c>
      <c r="Q1503" s="14" t="s">
        <v>227</v>
      </c>
      <c r="R1503" s="14" t="s">
        <v>10035</v>
      </c>
      <c r="S1503" s="14" t="s">
        <v>1277</v>
      </c>
      <c r="T1503" s="14" t="s">
        <v>1278</v>
      </c>
      <c r="U1503" s="14" t="s">
        <v>528</v>
      </c>
      <c r="V1503" s="48">
        <f>SUMIF(Data!$E:$E,$I1503,Data!$AI:$AI)</f>
        <v>0</v>
      </c>
    </row>
    <row r="1504" spans="1:22" x14ac:dyDescent="0.25">
      <c r="A1504" s="47" t="s">
        <v>9546</v>
      </c>
      <c r="B1504" s="47" t="s">
        <v>123</v>
      </c>
      <c r="C1504" s="47" t="s">
        <v>5665</v>
      </c>
      <c r="D1504" s="47">
        <v>4.4725062231769003E-2</v>
      </c>
      <c r="E1504" s="48">
        <f>SUMIF(Data!$E:$E,$C1504,Data!$AI:$AI)</f>
        <v>0</v>
      </c>
      <c r="I1504" s="14">
        <v>2638</v>
      </c>
      <c r="J1504" s="14" t="s">
        <v>10036</v>
      </c>
      <c r="K1504" s="14" t="s">
        <v>140</v>
      </c>
      <c r="L1504" s="14" t="s">
        <v>8069</v>
      </c>
      <c r="M1504" s="14" t="s">
        <v>10037</v>
      </c>
      <c r="N1504" s="14" t="s">
        <v>10038</v>
      </c>
      <c r="O1504" s="14" t="s">
        <v>10039</v>
      </c>
      <c r="P1504" s="14" t="s">
        <v>10040</v>
      </c>
      <c r="Q1504" s="14" t="s">
        <v>697</v>
      </c>
      <c r="R1504" s="14" t="s">
        <v>10041</v>
      </c>
      <c r="S1504" s="14" t="s">
        <v>552</v>
      </c>
      <c r="T1504" s="14" t="s">
        <v>553</v>
      </c>
      <c r="U1504" s="14" t="s">
        <v>554</v>
      </c>
      <c r="V1504" s="48">
        <f>SUMIF(Data!$E:$E,$I1504,Data!$AI:$AI)</f>
        <v>0</v>
      </c>
    </row>
    <row r="1505" spans="1:22" x14ac:dyDescent="0.25">
      <c r="A1505" s="47" t="s">
        <v>9546</v>
      </c>
      <c r="B1505" s="47" t="s">
        <v>123</v>
      </c>
      <c r="C1505" s="47" t="s">
        <v>5671</v>
      </c>
      <c r="D1505" s="47">
        <v>0.15367736229605899</v>
      </c>
      <c r="E1505" s="48">
        <f>SUMIF(Data!$E:$E,$C1505,Data!$AI:$AI)</f>
        <v>8.1525305525001854E-2</v>
      </c>
      <c r="I1505" s="14" t="s">
        <v>554</v>
      </c>
      <c r="J1505" s="14" t="s">
        <v>10042</v>
      </c>
      <c r="K1505" s="14" t="s">
        <v>758</v>
      </c>
      <c r="L1505" s="14" t="s">
        <v>8069</v>
      </c>
      <c r="M1505" s="14" t="s">
        <v>10043</v>
      </c>
      <c r="N1505" s="14" t="s">
        <v>10044</v>
      </c>
      <c r="O1505" s="14" t="s">
        <v>10045</v>
      </c>
      <c r="P1505" s="14" t="s">
        <v>10046</v>
      </c>
      <c r="Q1505" s="14" t="s">
        <v>762</v>
      </c>
      <c r="R1505" s="14" t="s">
        <v>763</v>
      </c>
      <c r="S1505" s="14" t="s">
        <v>763</v>
      </c>
      <c r="T1505" s="14" t="s">
        <v>553</v>
      </c>
      <c r="U1505" s="14" t="s">
        <v>554</v>
      </c>
      <c r="V1505" s="48">
        <f>SUMIF(Data!$E:$E,$I1505,Data!$AI:$AI)</f>
        <v>0</v>
      </c>
    </row>
    <row r="1506" spans="1:22" x14ac:dyDescent="0.25">
      <c r="A1506" s="47" t="s">
        <v>9546</v>
      </c>
      <c r="B1506" s="47" t="s">
        <v>123</v>
      </c>
      <c r="C1506" s="47" t="s">
        <v>5678</v>
      </c>
      <c r="D1506" s="47">
        <v>6.0166073864135E-2</v>
      </c>
      <c r="E1506" s="48">
        <f>SUMIF(Data!$E:$E,$C1506,Data!$AI:$AI)</f>
        <v>0</v>
      </c>
      <c r="I1506" s="14" t="s">
        <v>10047</v>
      </c>
      <c r="J1506" s="14" t="s">
        <v>10048</v>
      </c>
      <c r="K1506" s="14" t="s">
        <v>140</v>
      </c>
      <c r="L1506" s="14" t="s">
        <v>8069</v>
      </c>
      <c r="M1506" s="14" t="s">
        <v>10049</v>
      </c>
      <c r="N1506" s="14">
        <v>83.67</v>
      </c>
      <c r="O1506" s="14" t="s">
        <v>10050</v>
      </c>
      <c r="P1506" s="14" t="s">
        <v>10051</v>
      </c>
      <c r="Q1506" s="14" t="s">
        <v>165</v>
      </c>
      <c r="R1506" s="14" t="s">
        <v>10052</v>
      </c>
      <c r="S1506" s="14" t="s">
        <v>195</v>
      </c>
      <c r="T1506" s="14" t="s">
        <v>149</v>
      </c>
      <c r="U1506" s="14" t="s">
        <v>113</v>
      </c>
      <c r="V1506" s="48">
        <f>SUMIF(Data!$E:$E,$I1506,Data!$AI:$AI)</f>
        <v>0</v>
      </c>
    </row>
    <row r="1507" spans="1:22" x14ac:dyDescent="0.25">
      <c r="A1507" s="47" t="s">
        <v>9546</v>
      </c>
      <c r="B1507" s="47" t="s">
        <v>123</v>
      </c>
      <c r="C1507" s="47" t="s">
        <v>5685</v>
      </c>
      <c r="D1507" s="47">
        <v>7.3125249313358995E-2</v>
      </c>
      <c r="E1507" s="48">
        <f>SUMIF(Data!$E:$E,$C1507,Data!$AI:$AI)</f>
        <v>0</v>
      </c>
      <c r="I1507" s="14" t="s">
        <v>10053</v>
      </c>
      <c r="J1507" s="14" t="s">
        <v>10054</v>
      </c>
      <c r="K1507" s="14" t="s">
        <v>140</v>
      </c>
      <c r="L1507" s="14" t="s">
        <v>8069</v>
      </c>
      <c r="M1507" s="14" t="s">
        <v>10055</v>
      </c>
      <c r="N1507" s="14">
        <v>19.148</v>
      </c>
      <c r="O1507" s="14" t="s">
        <v>10056</v>
      </c>
      <c r="P1507" s="14" t="s">
        <v>10057</v>
      </c>
      <c r="Q1507" s="14" t="s">
        <v>211</v>
      </c>
      <c r="R1507" s="14" t="s">
        <v>10058</v>
      </c>
      <c r="S1507" s="14" t="s">
        <v>563</v>
      </c>
      <c r="T1507" s="14" t="s">
        <v>564</v>
      </c>
      <c r="U1507" s="14" t="s">
        <v>528</v>
      </c>
      <c r="V1507" s="48">
        <f>SUMIF(Data!$E:$E,$I1507,Data!$AI:$AI)</f>
        <v>0</v>
      </c>
    </row>
    <row r="1508" spans="1:22" x14ac:dyDescent="0.25">
      <c r="A1508" s="47" t="s">
        <v>9546</v>
      </c>
      <c r="B1508" s="47" t="s">
        <v>123</v>
      </c>
      <c r="C1508" s="47" t="s">
        <v>5309</v>
      </c>
      <c r="D1508" s="47">
        <v>0.21210560728848801</v>
      </c>
      <c r="E1508" s="48">
        <f>SUMIF(Data!$E:$E,$C1508,Data!$AI:$AI)</f>
        <v>0</v>
      </c>
      <c r="I1508" s="14" t="s">
        <v>773</v>
      </c>
      <c r="J1508" s="14" t="s">
        <v>10059</v>
      </c>
      <c r="K1508" s="14" t="s">
        <v>758</v>
      </c>
      <c r="L1508" s="14" t="s">
        <v>8069</v>
      </c>
      <c r="M1508" s="14" t="s">
        <v>10060</v>
      </c>
      <c r="N1508" s="14" t="s">
        <v>10061</v>
      </c>
      <c r="O1508" s="14" t="s">
        <v>10062</v>
      </c>
      <c r="P1508" s="14" t="s">
        <v>10063</v>
      </c>
      <c r="Q1508" s="14" t="s">
        <v>762</v>
      </c>
      <c r="R1508" s="14" t="s">
        <v>763</v>
      </c>
      <c r="S1508" s="14" t="s">
        <v>763</v>
      </c>
      <c r="T1508" s="14" t="s">
        <v>772</v>
      </c>
      <c r="U1508" s="14" t="s">
        <v>773</v>
      </c>
      <c r="V1508" s="48">
        <f>SUMIF(Data!$E:$E,$I1508,Data!$AI:$AI)</f>
        <v>0</v>
      </c>
    </row>
    <row r="1509" spans="1:22" x14ac:dyDescent="0.25">
      <c r="A1509" s="47" t="s">
        <v>9546</v>
      </c>
      <c r="B1509" s="47" t="s">
        <v>123</v>
      </c>
      <c r="C1509" s="47" t="s">
        <v>5316</v>
      </c>
      <c r="D1509" s="47">
        <v>9.3584750140086007E-2</v>
      </c>
      <c r="E1509" s="48">
        <f>SUMIF(Data!$E:$E,$C1509,Data!$AI:$AI)</f>
        <v>0</v>
      </c>
      <c r="I1509" s="14" t="s">
        <v>10064</v>
      </c>
      <c r="J1509" s="14" t="s">
        <v>10065</v>
      </c>
      <c r="K1509" s="14" t="s">
        <v>140</v>
      </c>
      <c r="L1509" s="14" t="s">
        <v>8069</v>
      </c>
      <c r="M1509" s="14" t="s">
        <v>10066</v>
      </c>
      <c r="N1509" s="14">
        <v>432.6</v>
      </c>
      <c r="O1509" s="14" t="s">
        <v>10067</v>
      </c>
      <c r="P1509" s="14" t="s">
        <v>10068</v>
      </c>
      <c r="Q1509" s="14" t="s">
        <v>419</v>
      </c>
      <c r="R1509" s="14" t="s">
        <v>10069</v>
      </c>
      <c r="S1509" s="14" t="s">
        <v>2368</v>
      </c>
      <c r="T1509" s="14" t="s">
        <v>2369</v>
      </c>
      <c r="U1509" s="14" t="s">
        <v>2370</v>
      </c>
      <c r="V1509" s="48">
        <f>SUMIF(Data!$E:$E,$I1509,Data!$AI:$AI)</f>
        <v>0</v>
      </c>
    </row>
    <row r="1510" spans="1:22" x14ac:dyDescent="0.25">
      <c r="A1510" s="47" t="s">
        <v>9546</v>
      </c>
      <c r="B1510" s="47" t="s">
        <v>123</v>
      </c>
      <c r="C1510" s="47" t="s">
        <v>5692</v>
      </c>
      <c r="D1510" s="47">
        <v>0.113125246950581</v>
      </c>
      <c r="E1510" s="48">
        <f>SUMIF(Data!$E:$E,$C1510,Data!$AI:$AI)</f>
        <v>0</v>
      </c>
      <c r="I1510" s="14" t="s">
        <v>10070</v>
      </c>
      <c r="J1510" s="14" t="s">
        <v>8508</v>
      </c>
      <c r="K1510" s="14" t="s">
        <v>140</v>
      </c>
      <c r="L1510" s="14" t="s">
        <v>8069</v>
      </c>
      <c r="M1510" s="14" t="s">
        <v>10071</v>
      </c>
      <c r="N1510" s="14">
        <v>34.055</v>
      </c>
      <c r="O1510" s="14" t="s">
        <v>10072</v>
      </c>
      <c r="P1510" s="14" t="s">
        <v>10073</v>
      </c>
      <c r="Q1510" s="14" t="s">
        <v>175</v>
      </c>
      <c r="R1510" s="14" t="s">
        <v>10074</v>
      </c>
      <c r="S1510" s="14" t="s">
        <v>148</v>
      </c>
      <c r="T1510" s="14" t="s">
        <v>149</v>
      </c>
      <c r="U1510" s="14" t="s">
        <v>113</v>
      </c>
      <c r="V1510" s="48">
        <f>SUMIF(Data!$E:$E,$I1510,Data!$AI:$AI)</f>
        <v>0</v>
      </c>
    </row>
    <row r="1511" spans="1:22" x14ac:dyDescent="0.25">
      <c r="A1511" s="47" t="s">
        <v>9546</v>
      </c>
      <c r="B1511" s="47" t="s">
        <v>123</v>
      </c>
      <c r="C1511" s="47" t="s">
        <v>5699</v>
      </c>
      <c r="D1511" s="47">
        <v>0.14896044454503901</v>
      </c>
      <c r="E1511" s="48">
        <f>SUMIF(Data!$E:$E,$C1511,Data!$AI:$AI)</f>
        <v>0</v>
      </c>
      <c r="I1511" s="14">
        <v>9142</v>
      </c>
      <c r="J1511" s="14" t="s">
        <v>10075</v>
      </c>
      <c r="K1511" s="14" t="s">
        <v>140</v>
      </c>
      <c r="L1511" s="14" t="s">
        <v>8069</v>
      </c>
      <c r="M1511" s="14" t="s">
        <v>10076</v>
      </c>
      <c r="N1511" s="14">
        <v>48.2</v>
      </c>
      <c r="O1511" s="14" t="s">
        <v>10077</v>
      </c>
      <c r="P1511" s="14" t="s">
        <v>10078</v>
      </c>
      <c r="Q1511" s="14" t="s">
        <v>419</v>
      </c>
      <c r="R1511" s="14" t="s">
        <v>10079</v>
      </c>
      <c r="S1511" s="14" t="s">
        <v>444</v>
      </c>
      <c r="T1511" s="14" t="s">
        <v>445</v>
      </c>
      <c r="U1511" s="14" t="s">
        <v>446</v>
      </c>
      <c r="V1511" s="48">
        <f>SUMIF(Data!$E:$E,$I1511,Data!$AI:$AI)</f>
        <v>0</v>
      </c>
    </row>
    <row r="1512" spans="1:22" x14ac:dyDescent="0.25">
      <c r="A1512" s="47" t="s">
        <v>9546</v>
      </c>
      <c r="B1512" s="47" t="s">
        <v>123</v>
      </c>
      <c r="C1512" s="47" t="s">
        <v>3174</v>
      </c>
      <c r="D1512" s="47">
        <v>0.25762935182178398</v>
      </c>
      <c r="E1512" s="48">
        <f>SUMIF(Data!$E:$E,$C1512,Data!$AI:$AI)</f>
        <v>0</v>
      </c>
      <c r="I1512" s="14" t="s">
        <v>2370</v>
      </c>
      <c r="J1512" s="14" t="s">
        <v>10080</v>
      </c>
      <c r="K1512" s="14" t="s">
        <v>758</v>
      </c>
      <c r="L1512" s="14" t="s">
        <v>8069</v>
      </c>
      <c r="M1512" s="14" t="s">
        <v>10081</v>
      </c>
      <c r="N1512" s="14" t="s">
        <v>10082</v>
      </c>
      <c r="O1512" s="14" t="s">
        <v>10083</v>
      </c>
      <c r="P1512" s="14" t="s">
        <v>10084</v>
      </c>
      <c r="Q1512" s="14" t="s">
        <v>762</v>
      </c>
      <c r="R1512" s="14" t="s">
        <v>763</v>
      </c>
      <c r="S1512" s="14" t="s">
        <v>763</v>
      </c>
      <c r="T1512" s="14" t="s">
        <v>2369</v>
      </c>
      <c r="U1512" s="14" t="s">
        <v>2370</v>
      </c>
      <c r="V1512" s="48">
        <f>SUMIF(Data!$E:$E,$I1512,Data!$AI:$AI)</f>
        <v>0</v>
      </c>
    </row>
    <row r="1513" spans="1:22" x14ac:dyDescent="0.25">
      <c r="A1513" s="47" t="s">
        <v>9546</v>
      </c>
      <c r="B1513" s="47" t="s">
        <v>123</v>
      </c>
      <c r="C1513" s="47" t="s">
        <v>5706</v>
      </c>
      <c r="D1513" s="47">
        <v>0.14929069496942299</v>
      </c>
      <c r="E1513" s="48">
        <f>SUMIF(Data!$E:$E,$C1513,Data!$AI:$AI)</f>
        <v>0.61622234783355101</v>
      </c>
      <c r="I1513" s="14" t="s">
        <v>10085</v>
      </c>
      <c r="J1513" s="14" t="s">
        <v>10086</v>
      </c>
      <c r="K1513" s="14" t="s">
        <v>140</v>
      </c>
      <c r="L1513" s="14" t="s">
        <v>8069</v>
      </c>
      <c r="M1513" s="14" t="s">
        <v>10087</v>
      </c>
      <c r="N1513" s="14">
        <v>187.79499999999999</v>
      </c>
      <c r="O1513" s="14" t="s">
        <v>10088</v>
      </c>
      <c r="P1513" s="14" t="s">
        <v>10089</v>
      </c>
      <c r="Q1513" s="14" t="s">
        <v>165</v>
      </c>
      <c r="R1513" s="14" t="s">
        <v>10090</v>
      </c>
      <c r="S1513" s="14" t="s">
        <v>850</v>
      </c>
      <c r="T1513" s="14" t="s">
        <v>851</v>
      </c>
      <c r="U1513" s="14" t="s">
        <v>852</v>
      </c>
      <c r="V1513" s="48">
        <f>SUMIF(Data!$E:$E,$I1513,Data!$AI:$AI)</f>
        <v>0</v>
      </c>
    </row>
    <row r="1514" spans="1:22" x14ac:dyDescent="0.25">
      <c r="A1514" s="47" t="s">
        <v>9546</v>
      </c>
      <c r="B1514" s="47" t="s">
        <v>123</v>
      </c>
      <c r="C1514" s="47" t="s">
        <v>5712</v>
      </c>
      <c r="D1514" s="47">
        <v>6.2865564967702001E-2</v>
      </c>
      <c r="E1514" s="48">
        <f>SUMIF(Data!$E:$E,$C1514,Data!$AI:$AI)</f>
        <v>0</v>
      </c>
      <c r="I1514" s="14" t="s">
        <v>10091</v>
      </c>
      <c r="J1514" s="14" t="s">
        <v>10092</v>
      </c>
      <c r="K1514" s="14" t="s">
        <v>140</v>
      </c>
      <c r="L1514" s="14" t="s">
        <v>8069</v>
      </c>
      <c r="M1514" s="14" t="s">
        <v>10093</v>
      </c>
      <c r="N1514" s="14">
        <v>243.88499999999999</v>
      </c>
      <c r="O1514" s="14" t="s">
        <v>10094</v>
      </c>
      <c r="P1514" s="14" t="s">
        <v>10095</v>
      </c>
      <c r="Q1514" s="14" t="s">
        <v>146</v>
      </c>
      <c r="R1514" s="14" t="s">
        <v>10096</v>
      </c>
      <c r="S1514" s="14" t="s">
        <v>728</v>
      </c>
      <c r="T1514" s="14" t="s">
        <v>729</v>
      </c>
      <c r="U1514" s="14" t="s">
        <v>730</v>
      </c>
      <c r="V1514" s="48">
        <f>SUMIF(Data!$E:$E,$I1514,Data!$AI:$AI)</f>
        <v>0</v>
      </c>
    </row>
    <row r="1515" spans="1:22" x14ac:dyDescent="0.25">
      <c r="A1515" s="47" t="s">
        <v>9546</v>
      </c>
      <c r="B1515" s="47" t="s">
        <v>123</v>
      </c>
      <c r="C1515" s="47" t="s">
        <v>5335</v>
      </c>
      <c r="D1515" s="47">
        <v>0.60270505353316395</v>
      </c>
      <c r="E1515" s="48">
        <f>SUMIF(Data!$E:$E,$C1515,Data!$AI:$AI)</f>
        <v>0</v>
      </c>
      <c r="I1515" s="14" t="s">
        <v>10097</v>
      </c>
      <c r="J1515" s="14" t="s">
        <v>10098</v>
      </c>
      <c r="K1515" s="14" t="s">
        <v>140</v>
      </c>
      <c r="L1515" s="14" t="s">
        <v>8069</v>
      </c>
      <c r="M1515" s="14" t="s">
        <v>10099</v>
      </c>
      <c r="N1515" s="14">
        <v>41.597000000000001</v>
      </c>
      <c r="O1515" s="14" t="s">
        <v>10100</v>
      </c>
      <c r="P1515" s="14" t="s">
        <v>10101</v>
      </c>
      <c r="Q1515" s="14" t="s">
        <v>697</v>
      </c>
      <c r="R1515" s="14" t="s">
        <v>10102</v>
      </c>
      <c r="S1515" s="14" t="s">
        <v>728</v>
      </c>
      <c r="T1515" s="14" t="s">
        <v>729</v>
      </c>
      <c r="U1515" s="14" t="s">
        <v>730</v>
      </c>
      <c r="V1515" s="48">
        <f>SUMIF(Data!$E:$E,$I1515,Data!$AI:$AI)</f>
        <v>0</v>
      </c>
    </row>
    <row r="1516" spans="1:22" x14ac:dyDescent="0.25">
      <c r="A1516" s="47" t="s">
        <v>9546</v>
      </c>
      <c r="B1516" s="47" t="s">
        <v>123</v>
      </c>
      <c r="C1516" s="47" t="s">
        <v>3581</v>
      </c>
      <c r="D1516" s="47">
        <v>7.4611493300692999E-2</v>
      </c>
      <c r="E1516" s="48">
        <f>SUMIF(Data!$E:$E,$C1516,Data!$AI:$AI)</f>
        <v>0</v>
      </c>
      <c r="I1516" s="14">
        <v>7459</v>
      </c>
      <c r="J1516" s="14" t="s">
        <v>10103</v>
      </c>
      <c r="K1516" s="14" t="s">
        <v>140</v>
      </c>
      <c r="L1516" s="14" t="s">
        <v>8069</v>
      </c>
      <c r="M1516" s="14" t="s">
        <v>10104</v>
      </c>
      <c r="N1516" s="14">
        <v>71.772999999999996</v>
      </c>
      <c r="O1516" s="14" t="s">
        <v>10105</v>
      </c>
      <c r="P1516" s="14" t="s">
        <v>10106</v>
      </c>
      <c r="Q1516" s="14" t="s">
        <v>211</v>
      </c>
      <c r="R1516" s="14" t="s">
        <v>10107</v>
      </c>
      <c r="S1516" s="14" t="s">
        <v>444</v>
      </c>
      <c r="T1516" s="14" t="s">
        <v>445</v>
      </c>
      <c r="U1516" s="14" t="s">
        <v>446</v>
      </c>
      <c r="V1516" s="48">
        <f>SUMIF(Data!$E:$E,$I1516,Data!$AI:$AI)</f>
        <v>0</v>
      </c>
    </row>
    <row r="1517" spans="1:22" x14ac:dyDescent="0.25">
      <c r="A1517" s="47" t="s">
        <v>9546</v>
      </c>
      <c r="B1517" s="47" t="s">
        <v>123</v>
      </c>
      <c r="C1517" s="47" t="s">
        <v>5348</v>
      </c>
      <c r="D1517" s="47">
        <v>0.21299193538060299</v>
      </c>
      <c r="E1517" s="48">
        <f>SUMIF(Data!$E:$E,$C1517,Data!$AI:$AI)</f>
        <v>0</v>
      </c>
      <c r="I1517" s="14">
        <v>19</v>
      </c>
      <c r="J1517" s="14" t="s">
        <v>10108</v>
      </c>
      <c r="K1517" s="14" t="s">
        <v>140</v>
      </c>
      <c r="L1517" s="14" t="s">
        <v>8069</v>
      </c>
      <c r="M1517" s="14" t="s">
        <v>10109</v>
      </c>
      <c r="N1517" s="14">
        <v>169.90100000000001</v>
      </c>
      <c r="O1517" s="14" t="s">
        <v>10110</v>
      </c>
      <c r="P1517" s="14" t="s">
        <v>10111</v>
      </c>
      <c r="Q1517" s="14" t="s">
        <v>809</v>
      </c>
      <c r="R1517" s="14" t="s">
        <v>10112</v>
      </c>
      <c r="S1517" s="14" t="s">
        <v>552</v>
      </c>
      <c r="T1517" s="14" t="s">
        <v>553</v>
      </c>
      <c r="U1517" s="14" t="s">
        <v>554</v>
      </c>
      <c r="V1517" s="48">
        <f>SUMIF(Data!$E:$E,$I1517,Data!$AI:$AI)</f>
        <v>0</v>
      </c>
    </row>
    <row r="1518" spans="1:22" x14ac:dyDescent="0.25">
      <c r="A1518" s="47" t="s">
        <v>9546</v>
      </c>
      <c r="B1518" s="47" t="s">
        <v>123</v>
      </c>
      <c r="C1518" s="47" t="s">
        <v>5719</v>
      </c>
      <c r="D1518" s="47">
        <v>7.5849328112273004E-2</v>
      </c>
      <c r="E1518" s="48">
        <f>SUMIF(Data!$E:$E,$C1518,Data!$AI:$AI)</f>
        <v>0.1498021462744413</v>
      </c>
      <c r="I1518" s="14" t="s">
        <v>10113</v>
      </c>
      <c r="J1518" s="14" t="s">
        <v>10114</v>
      </c>
      <c r="K1518" s="14" t="s">
        <v>140</v>
      </c>
      <c r="L1518" s="14" t="s">
        <v>8069</v>
      </c>
      <c r="M1518" s="14" t="s">
        <v>10115</v>
      </c>
      <c r="N1518" s="14" t="s">
        <v>10116</v>
      </c>
      <c r="O1518" s="14" t="s">
        <v>10117</v>
      </c>
      <c r="P1518" s="14" t="s">
        <v>10118</v>
      </c>
      <c r="Q1518" s="14" t="s">
        <v>419</v>
      </c>
      <c r="R1518" s="14" t="s">
        <v>10119</v>
      </c>
      <c r="S1518" s="14" t="s">
        <v>2368</v>
      </c>
      <c r="T1518" s="14" t="s">
        <v>2369</v>
      </c>
      <c r="U1518" s="14" t="s">
        <v>2370</v>
      </c>
      <c r="V1518" s="48">
        <f>SUMIF(Data!$E:$E,$I1518,Data!$AI:$AI)</f>
        <v>0</v>
      </c>
    </row>
    <row r="1519" spans="1:22" x14ac:dyDescent="0.25">
      <c r="A1519" s="47" t="s">
        <v>9546</v>
      </c>
      <c r="B1519" s="47" t="s">
        <v>123</v>
      </c>
      <c r="C1519" s="47" t="s">
        <v>5354</v>
      </c>
      <c r="D1519" s="47">
        <v>0.114498982586445</v>
      </c>
      <c r="E1519" s="48">
        <f>SUMIF(Data!$E:$E,$C1519,Data!$AI:$AI)</f>
        <v>0</v>
      </c>
      <c r="I1519" s="14" t="s">
        <v>10120</v>
      </c>
      <c r="J1519" s="14" t="s">
        <v>10121</v>
      </c>
      <c r="K1519" s="14" t="s">
        <v>140</v>
      </c>
      <c r="L1519" s="14" t="s">
        <v>8069</v>
      </c>
      <c r="M1519" s="14" t="s">
        <v>10122</v>
      </c>
      <c r="N1519" s="14">
        <v>274.03399999999999</v>
      </c>
      <c r="O1519" s="14" t="s">
        <v>10123</v>
      </c>
      <c r="P1519" s="14" t="s">
        <v>10124</v>
      </c>
      <c r="Q1519" s="14" t="s">
        <v>193</v>
      </c>
      <c r="R1519" s="14" t="s">
        <v>10125</v>
      </c>
      <c r="S1519" s="14" t="s">
        <v>850</v>
      </c>
      <c r="T1519" s="14" t="s">
        <v>851</v>
      </c>
      <c r="U1519" s="14" t="s">
        <v>852</v>
      </c>
      <c r="V1519" s="48">
        <f>SUMIF(Data!$E:$E,$I1519,Data!$AI:$AI)</f>
        <v>0</v>
      </c>
    </row>
    <row r="1520" spans="1:22" x14ac:dyDescent="0.25">
      <c r="A1520" s="47" t="s">
        <v>9546</v>
      </c>
      <c r="B1520" s="47" t="s">
        <v>123</v>
      </c>
      <c r="C1520" s="47" t="s">
        <v>5725</v>
      </c>
      <c r="D1520" s="47">
        <v>4.8615648691521997E-2</v>
      </c>
      <c r="E1520" s="48">
        <f>SUMIF(Data!$E:$E,$C1520,Data!$AI:$AI)</f>
        <v>0</v>
      </c>
      <c r="I1520" s="14">
        <v>2670</v>
      </c>
      <c r="J1520" s="14" t="s">
        <v>10126</v>
      </c>
      <c r="K1520" s="14" t="s">
        <v>140</v>
      </c>
      <c r="L1520" s="14" t="s">
        <v>8069</v>
      </c>
      <c r="M1520" s="14" t="s">
        <v>10127</v>
      </c>
      <c r="N1520" s="14">
        <v>24.387</v>
      </c>
      <c r="O1520" s="14" t="s">
        <v>10128</v>
      </c>
      <c r="P1520" s="14" t="s">
        <v>10129</v>
      </c>
      <c r="Q1520" s="14" t="s">
        <v>165</v>
      </c>
      <c r="R1520" s="14" t="s">
        <v>10130</v>
      </c>
      <c r="S1520" s="14" t="s">
        <v>444</v>
      </c>
      <c r="T1520" s="14" t="s">
        <v>445</v>
      </c>
      <c r="U1520" s="14" t="s">
        <v>446</v>
      </c>
      <c r="V1520" s="48">
        <f>SUMIF(Data!$E:$E,$I1520,Data!$AI:$AI)</f>
        <v>0</v>
      </c>
    </row>
    <row r="1521" spans="1:22" x14ac:dyDescent="0.25">
      <c r="A1521" s="47" t="s">
        <v>9546</v>
      </c>
      <c r="B1521" s="47" t="s">
        <v>123</v>
      </c>
      <c r="C1521" s="47" t="s">
        <v>5732</v>
      </c>
      <c r="D1521" s="47">
        <v>5.6946443756534001E-2</v>
      </c>
      <c r="E1521" s="48">
        <f>SUMIF(Data!$E:$E,$C1521,Data!$AI:$AI)</f>
        <v>0</v>
      </c>
      <c r="I1521" s="14" t="s">
        <v>10131</v>
      </c>
      <c r="J1521" s="14" t="s">
        <v>10132</v>
      </c>
      <c r="K1521" s="14" t="s">
        <v>140</v>
      </c>
      <c r="L1521" s="14" t="s">
        <v>8069</v>
      </c>
      <c r="M1521" s="14" t="s">
        <v>9936</v>
      </c>
      <c r="N1521" s="14">
        <v>35.201999999999998</v>
      </c>
      <c r="O1521" s="14" t="s">
        <v>10133</v>
      </c>
      <c r="P1521" s="14" t="s">
        <v>10134</v>
      </c>
      <c r="Q1521" s="14" t="s">
        <v>737</v>
      </c>
      <c r="R1521" s="14" t="s">
        <v>10135</v>
      </c>
      <c r="S1521" s="14" t="s">
        <v>728</v>
      </c>
      <c r="T1521" s="14" t="s">
        <v>729</v>
      </c>
      <c r="U1521" s="14" t="s">
        <v>730</v>
      </c>
      <c r="V1521" s="48">
        <f>SUMIF(Data!$E:$E,$I1521,Data!$AI:$AI)</f>
        <v>0</v>
      </c>
    </row>
    <row r="1522" spans="1:22" x14ac:dyDescent="0.25">
      <c r="A1522" s="47" t="s">
        <v>9546</v>
      </c>
      <c r="B1522" s="47" t="s">
        <v>123</v>
      </c>
      <c r="C1522" s="47" t="s">
        <v>5741</v>
      </c>
      <c r="D1522" s="47">
        <v>6.9684972563048994E-2</v>
      </c>
      <c r="E1522" s="48">
        <f>SUMIF(Data!$E:$E,$C1522,Data!$AI:$AI)</f>
        <v>0</v>
      </c>
      <c r="I1522" s="14" t="s">
        <v>10136</v>
      </c>
      <c r="J1522" s="14" t="s">
        <v>10137</v>
      </c>
      <c r="K1522" s="14" t="s">
        <v>140</v>
      </c>
      <c r="L1522" s="14" t="s">
        <v>8069</v>
      </c>
      <c r="M1522" s="14" t="s">
        <v>10138</v>
      </c>
      <c r="N1522" s="14">
        <v>10.102</v>
      </c>
      <c r="O1522" s="14" t="s">
        <v>10139</v>
      </c>
      <c r="P1522" s="14" t="s">
        <v>10140</v>
      </c>
      <c r="Q1522" s="14" t="s">
        <v>165</v>
      </c>
      <c r="R1522" s="14" t="s">
        <v>10141</v>
      </c>
      <c r="S1522" s="14" t="s">
        <v>563</v>
      </c>
      <c r="T1522" s="14" t="s">
        <v>564</v>
      </c>
      <c r="U1522" s="14" t="s">
        <v>528</v>
      </c>
      <c r="V1522" s="48">
        <f>SUMIF(Data!$E:$E,$I1522,Data!$AI:$AI)</f>
        <v>0</v>
      </c>
    </row>
    <row r="1523" spans="1:22" x14ac:dyDescent="0.25">
      <c r="A1523" s="47" t="s">
        <v>9546</v>
      </c>
      <c r="B1523" s="47" t="s">
        <v>123</v>
      </c>
      <c r="C1523" s="47" t="s">
        <v>5748</v>
      </c>
      <c r="D1523" s="47">
        <v>1.3062837225788999E-2</v>
      </c>
      <c r="E1523" s="48">
        <f>SUMIF(Data!$E:$E,$C1523,Data!$AI:$AI)</f>
        <v>0</v>
      </c>
      <c r="I1523" s="14">
        <v>3769</v>
      </c>
      <c r="J1523" s="14" t="s">
        <v>10142</v>
      </c>
      <c r="K1523" s="14" t="s">
        <v>140</v>
      </c>
      <c r="L1523" s="14" t="s">
        <v>8069</v>
      </c>
      <c r="M1523" s="14" t="s">
        <v>10143</v>
      </c>
      <c r="N1523" s="14">
        <v>21.6</v>
      </c>
      <c r="O1523" s="14" t="s">
        <v>10144</v>
      </c>
      <c r="P1523" s="14" t="s">
        <v>10145</v>
      </c>
      <c r="Q1523" s="14" t="s">
        <v>146</v>
      </c>
      <c r="R1523" s="14" t="s">
        <v>10146</v>
      </c>
      <c r="S1523" s="14" t="s">
        <v>444</v>
      </c>
      <c r="T1523" s="14" t="s">
        <v>445</v>
      </c>
      <c r="U1523" s="14" t="s">
        <v>446</v>
      </c>
      <c r="V1523" s="48">
        <f>SUMIF(Data!$E:$E,$I1523,Data!$AI:$AI)</f>
        <v>0</v>
      </c>
    </row>
    <row r="1524" spans="1:22" x14ac:dyDescent="0.25">
      <c r="A1524" s="47" t="s">
        <v>9546</v>
      </c>
      <c r="B1524" s="47" t="s">
        <v>123</v>
      </c>
      <c r="C1524" s="47" t="s">
        <v>5755</v>
      </c>
      <c r="D1524" s="47">
        <v>0.15306450041843001</v>
      </c>
      <c r="E1524" s="48">
        <f>SUMIF(Data!$E:$E,$C1524,Data!$AI:$AI)</f>
        <v>0.32250109258134818</v>
      </c>
      <c r="I1524" s="14">
        <v>2875</v>
      </c>
      <c r="J1524" s="14" t="s">
        <v>10147</v>
      </c>
      <c r="K1524" s="14" t="s">
        <v>140</v>
      </c>
      <c r="L1524" s="14" t="s">
        <v>8069</v>
      </c>
      <c r="M1524" s="14" t="s">
        <v>10148</v>
      </c>
      <c r="N1524" s="14">
        <v>37.200000000000003</v>
      </c>
      <c r="O1524" s="14" t="s">
        <v>10149</v>
      </c>
      <c r="P1524" s="14" t="s">
        <v>10150</v>
      </c>
      <c r="Q1524" s="14" t="s">
        <v>227</v>
      </c>
      <c r="R1524" s="14" t="s">
        <v>10151</v>
      </c>
      <c r="S1524" s="14" t="s">
        <v>444</v>
      </c>
      <c r="T1524" s="14" t="s">
        <v>445</v>
      </c>
      <c r="U1524" s="14" t="s">
        <v>446</v>
      </c>
      <c r="V1524" s="48">
        <f>SUMIF(Data!$E:$E,$I1524,Data!$AI:$AI)</f>
        <v>0</v>
      </c>
    </row>
    <row r="1525" spans="1:22" x14ac:dyDescent="0.25">
      <c r="A1525" s="47" t="s">
        <v>9546</v>
      </c>
      <c r="B1525" s="47" t="s">
        <v>123</v>
      </c>
      <c r="C1525" s="47" t="s">
        <v>5762</v>
      </c>
      <c r="D1525" s="47">
        <v>7.9196389940992998E-2</v>
      </c>
      <c r="E1525" s="48">
        <f>SUMIF(Data!$E:$E,$C1525,Data!$AI:$AI)</f>
        <v>2.7182358068629005E-2</v>
      </c>
      <c r="I1525" s="14">
        <v>6753</v>
      </c>
      <c r="J1525" s="14" t="s">
        <v>10152</v>
      </c>
      <c r="K1525" s="14" t="s">
        <v>140</v>
      </c>
      <c r="L1525" s="14" t="s">
        <v>8069</v>
      </c>
      <c r="M1525" s="14" t="s">
        <v>10153</v>
      </c>
      <c r="N1525" s="14">
        <v>98.3</v>
      </c>
      <c r="O1525" s="14" t="s">
        <v>10154</v>
      </c>
      <c r="P1525" s="14" t="s">
        <v>10155</v>
      </c>
      <c r="Q1525" s="14" t="s">
        <v>165</v>
      </c>
      <c r="R1525" s="14" t="s">
        <v>10156</v>
      </c>
      <c r="S1525" s="14" t="s">
        <v>444</v>
      </c>
      <c r="T1525" s="14" t="s">
        <v>445</v>
      </c>
      <c r="U1525" s="14" t="s">
        <v>446</v>
      </c>
      <c r="V1525" s="48">
        <f>SUMIF(Data!$E:$E,$I1525,Data!$AI:$AI)</f>
        <v>0</v>
      </c>
    </row>
    <row r="1526" spans="1:22" x14ac:dyDescent="0.25">
      <c r="A1526" s="47" t="s">
        <v>9546</v>
      </c>
      <c r="B1526" s="47" t="s">
        <v>123</v>
      </c>
      <c r="C1526" s="47" t="s">
        <v>5361</v>
      </c>
      <c r="D1526" s="47">
        <v>7.6931708002127994E-2</v>
      </c>
      <c r="E1526" s="48">
        <f>SUMIF(Data!$E:$E,$C1526,Data!$AI:$AI)</f>
        <v>0</v>
      </c>
      <c r="I1526" s="14" t="s">
        <v>10157</v>
      </c>
      <c r="J1526" s="14" t="s">
        <v>10157</v>
      </c>
      <c r="K1526" s="14" t="s">
        <v>140</v>
      </c>
      <c r="L1526" s="14" t="s">
        <v>8069</v>
      </c>
      <c r="M1526" s="14" t="s">
        <v>10158</v>
      </c>
      <c r="N1526" s="14">
        <v>52.003999999999998</v>
      </c>
      <c r="O1526" s="14" t="s">
        <v>10159</v>
      </c>
      <c r="P1526" s="14" t="s">
        <v>10160</v>
      </c>
      <c r="Q1526" s="14" t="s">
        <v>193</v>
      </c>
      <c r="R1526" s="14" t="s">
        <v>10161</v>
      </c>
      <c r="S1526" s="14" t="s">
        <v>771</v>
      </c>
      <c r="T1526" s="14" t="s">
        <v>772</v>
      </c>
      <c r="U1526" s="14" t="s">
        <v>773</v>
      </c>
      <c r="V1526" s="48">
        <f>SUMIF(Data!$E:$E,$I1526,Data!$AI:$AI)</f>
        <v>0</v>
      </c>
    </row>
    <row r="1527" spans="1:22" x14ac:dyDescent="0.25">
      <c r="A1527" s="47" t="s">
        <v>9546</v>
      </c>
      <c r="B1527" s="47" t="s">
        <v>123</v>
      </c>
      <c r="C1527" s="47" t="s">
        <v>5769</v>
      </c>
      <c r="D1527" s="47">
        <v>4.5627375989787999E-2</v>
      </c>
      <c r="E1527" s="48">
        <f>SUMIF(Data!$E:$E,$C1527,Data!$AI:$AI)</f>
        <v>0</v>
      </c>
      <c r="I1527" s="14">
        <v>4768</v>
      </c>
      <c r="J1527" s="14" t="s">
        <v>10162</v>
      </c>
      <c r="K1527" s="14" t="s">
        <v>140</v>
      </c>
      <c r="L1527" s="14" t="s">
        <v>8069</v>
      </c>
      <c r="M1527" s="14" t="s">
        <v>10163</v>
      </c>
      <c r="N1527" s="14">
        <v>37.485999999999997</v>
      </c>
      <c r="O1527" s="14" t="s">
        <v>10164</v>
      </c>
      <c r="P1527" s="14" t="s">
        <v>10165</v>
      </c>
      <c r="Q1527" s="14" t="s">
        <v>146</v>
      </c>
      <c r="R1527" s="14" t="s">
        <v>10166</v>
      </c>
      <c r="S1527" s="14" t="s">
        <v>444</v>
      </c>
      <c r="T1527" s="14" t="s">
        <v>445</v>
      </c>
      <c r="U1527" s="14" t="s">
        <v>446</v>
      </c>
      <c r="V1527" s="48">
        <f>SUMIF(Data!$E:$E,$I1527,Data!$AI:$AI)</f>
        <v>0</v>
      </c>
    </row>
    <row r="1528" spans="1:22" x14ac:dyDescent="0.25">
      <c r="A1528" s="47" t="s">
        <v>9546</v>
      </c>
      <c r="B1528" s="47" t="s">
        <v>123</v>
      </c>
      <c r="C1528" s="47" t="s">
        <v>5782</v>
      </c>
      <c r="D1528" s="47">
        <v>3.90822262322E-2</v>
      </c>
      <c r="E1528" s="48">
        <f>SUMIF(Data!$E:$E,$C1528,Data!$AI:$AI)</f>
        <v>0</v>
      </c>
      <c r="I1528" s="14" t="s">
        <v>10167</v>
      </c>
      <c r="J1528" s="14" t="s">
        <v>10168</v>
      </c>
      <c r="K1528" s="14" t="s">
        <v>140</v>
      </c>
      <c r="L1528" s="14" t="s">
        <v>8069</v>
      </c>
      <c r="M1528" s="14" t="s">
        <v>10169</v>
      </c>
      <c r="N1528" s="14">
        <v>78.543999999999997</v>
      </c>
      <c r="O1528" s="14" t="s">
        <v>10170</v>
      </c>
      <c r="P1528" s="14" t="s">
        <v>10171</v>
      </c>
      <c r="Q1528" s="14" t="s">
        <v>419</v>
      </c>
      <c r="R1528" s="14" t="s">
        <v>10172</v>
      </c>
      <c r="S1528" s="14" t="s">
        <v>479</v>
      </c>
      <c r="T1528" s="14" t="s">
        <v>480</v>
      </c>
      <c r="U1528" s="14" t="s">
        <v>481</v>
      </c>
      <c r="V1528" s="48">
        <f>SUMIF(Data!$E:$E,$I1528,Data!$AI:$AI)</f>
        <v>0</v>
      </c>
    </row>
    <row r="1529" spans="1:22" x14ac:dyDescent="0.25">
      <c r="A1529" s="47" t="s">
        <v>9546</v>
      </c>
      <c r="B1529" s="47" t="s">
        <v>123</v>
      </c>
      <c r="C1529" s="47" t="s">
        <v>1780</v>
      </c>
      <c r="D1529" s="47">
        <v>9.4299871192174006E-2</v>
      </c>
      <c r="E1529" s="48">
        <f>SUMIF(Data!$E:$E,$C1529,Data!$AI:$AI)</f>
        <v>0</v>
      </c>
      <c r="I1529" s="14">
        <v>4202</v>
      </c>
      <c r="J1529" s="14" t="s">
        <v>10173</v>
      </c>
      <c r="K1529" s="14" t="s">
        <v>140</v>
      </c>
      <c r="L1529" s="14" t="s">
        <v>8069</v>
      </c>
      <c r="M1529" s="14" t="s">
        <v>9746</v>
      </c>
      <c r="N1529" s="14">
        <v>163.1</v>
      </c>
      <c r="O1529" s="14" t="s">
        <v>10174</v>
      </c>
      <c r="P1529" s="14" t="s">
        <v>10175</v>
      </c>
      <c r="Q1529" s="14" t="s">
        <v>737</v>
      </c>
      <c r="R1529" s="14" t="s">
        <v>10176</v>
      </c>
      <c r="S1529" s="14" t="s">
        <v>444</v>
      </c>
      <c r="T1529" s="14" t="s">
        <v>445</v>
      </c>
      <c r="U1529" s="14" t="s">
        <v>446</v>
      </c>
      <c r="V1529" s="48">
        <f>SUMIF(Data!$E:$E,$I1529,Data!$AI:$AI)</f>
        <v>0</v>
      </c>
    </row>
    <row r="1530" spans="1:22" x14ac:dyDescent="0.25">
      <c r="A1530" s="47" t="s">
        <v>9546</v>
      </c>
      <c r="B1530" s="47" t="s">
        <v>123</v>
      </c>
      <c r="C1530" s="47" t="s">
        <v>5795</v>
      </c>
      <c r="D1530" s="47">
        <v>9.639762103897E-3</v>
      </c>
      <c r="E1530" s="48">
        <f>SUMIF(Data!$E:$E,$C1530,Data!$AI:$AI)</f>
        <v>0</v>
      </c>
      <c r="I1530" s="14" t="s">
        <v>3732</v>
      </c>
      <c r="J1530" s="14" t="s">
        <v>10177</v>
      </c>
      <c r="K1530" s="14" t="s">
        <v>140</v>
      </c>
      <c r="L1530" s="14" t="s">
        <v>8069</v>
      </c>
      <c r="M1530" s="14" t="s">
        <v>10178</v>
      </c>
      <c r="N1530" s="14">
        <v>22.99</v>
      </c>
      <c r="O1530" s="14" t="s">
        <v>10179</v>
      </c>
      <c r="P1530" s="14" t="s">
        <v>10180</v>
      </c>
      <c r="Q1530" s="14" t="s">
        <v>193</v>
      </c>
      <c r="R1530" s="14" t="s">
        <v>10181</v>
      </c>
      <c r="S1530" s="14" t="s">
        <v>563</v>
      </c>
      <c r="T1530" s="14" t="s">
        <v>564</v>
      </c>
      <c r="U1530" s="14" t="s">
        <v>528</v>
      </c>
      <c r="V1530" s="48">
        <f>SUMIF(Data!$E:$E,$I1530,Data!$AI:$AI)</f>
        <v>0</v>
      </c>
    </row>
    <row r="1531" spans="1:22" x14ac:dyDescent="0.25">
      <c r="A1531" s="47" t="s">
        <v>9546</v>
      </c>
      <c r="B1531" s="47" t="s">
        <v>123</v>
      </c>
      <c r="C1531" s="47" t="s">
        <v>5802</v>
      </c>
      <c r="D1531" s="47">
        <v>1.6988962577967E-2</v>
      </c>
      <c r="E1531" s="48">
        <f>SUMIF(Data!$E:$E,$C1531,Data!$AI:$AI)</f>
        <v>0</v>
      </c>
      <c r="I1531" s="14" t="s">
        <v>10182</v>
      </c>
      <c r="J1531" s="14" t="s">
        <v>10183</v>
      </c>
      <c r="K1531" s="14" t="s">
        <v>140</v>
      </c>
      <c r="L1531" s="14" t="s">
        <v>8069</v>
      </c>
      <c r="M1531" s="14" t="s">
        <v>10184</v>
      </c>
      <c r="N1531" s="14">
        <v>242.898</v>
      </c>
      <c r="O1531" s="14" t="s">
        <v>10185</v>
      </c>
      <c r="P1531" s="14" t="s">
        <v>10186</v>
      </c>
      <c r="Q1531" s="14" t="s">
        <v>809</v>
      </c>
      <c r="R1531" s="14" t="s">
        <v>10187</v>
      </c>
      <c r="S1531" s="14" t="s">
        <v>2368</v>
      </c>
      <c r="T1531" s="14" t="s">
        <v>2369</v>
      </c>
      <c r="U1531" s="14" t="s">
        <v>2370</v>
      </c>
      <c r="V1531" s="48">
        <f>SUMIF(Data!$E:$E,$I1531,Data!$AI:$AI)</f>
        <v>0</v>
      </c>
    </row>
    <row r="1532" spans="1:22" x14ac:dyDescent="0.25">
      <c r="A1532" s="47" t="s">
        <v>9546</v>
      </c>
      <c r="B1532" s="47" t="s">
        <v>123</v>
      </c>
      <c r="C1532" s="47" t="s">
        <v>4984</v>
      </c>
      <c r="D1532" s="47">
        <v>1.1571982539736301</v>
      </c>
      <c r="E1532" s="48">
        <f>SUMIF(Data!$E:$E,$C1532,Data!$AI:$AI)</f>
        <v>0</v>
      </c>
      <c r="I1532" s="14" t="s">
        <v>10188</v>
      </c>
      <c r="J1532" s="14" t="s">
        <v>10189</v>
      </c>
      <c r="K1532" s="14" t="s">
        <v>140</v>
      </c>
      <c r="L1532" s="14" t="s">
        <v>8069</v>
      </c>
      <c r="M1532" s="14" t="s">
        <v>10190</v>
      </c>
      <c r="N1532" s="14">
        <v>73.816999999999993</v>
      </c>
      <c r="O1532" s="14" t="s">
        <v>10191</v>
      </c>
      <c r="P1532" s="14" t="s">
        <v>10192</v>
      </c>
      <c r="Q1532" s="14" t="s">
        <v>809</v>
      </c>
      <c r="R1532" s="14" t="s">
        <v>10193</v>
      </c>
      <c r="S1532" s="14" t="s">
        <v>728</v>
      </c>
      <c r="T1532" s="14" t="s">
        <v>729</v>
      </c>
      <c r="U1532" s="14" t="s">
        <v>730</v>
      </c>
      <c r="V1532" s="48">
        <f>SUMIF(Data!$E:$E,$I1532,Data!$AI:$AI)</f>
        <v>0</v>
      </c>
    </row>
    <row r="1533" spans="1:22" x14ac:dyDescent="0.25">
      <c r="A1533" s="47" t="s">
        <v>9546</v>
      </c>
      <c r="B1533" s="47" t="s">
        <v>123</v>
      </c>
      <c r="C1533" s="47" t="s">
        <v>5368</v>
      </c>
      <c r="D1533" s="47">
        <v>9.6805245696388001E-2</v>
      </c>
      <c r="E1533" s="48">
        <f>SUMIF(Data!$E:$E,$C1533,Data!$AI:$AI)</f>
        <v>0</v>
      </c>
      <c r="I1533" s="14">
        <v>9201</v>
      </c>
      <c r="J1533" s="14" t="s">
        <v>10194</v>
      </c>
      <c r="K1533" s="14" t="s">
        <v>140</v>
      </c>
      <c r="L1533" s="14" t="s">
        <v>8069</v>
      </c>
      <c r="M1533" s="14" t="s">
        <v>10195</v>
      </c>
      <c r="N1533" s="14">
        <v>48.280999999999999</v>
      </c>
      <c r="O1533" s="14" t="s">
        <v>10196</v>
      </c>
      <c r="P1533" s="14" t="s">
        <v>10197</v>
      </c>
      <c r="Q1533" s="14" t="s">
        <v>419</v>
      </c>
      <c r="R1533" s="14" t="s">
        <v>10198</v>
      </c>
      <c r="S1533" s="14" t="s">
        <v>444</v>
      </c>
      <c r="T1533" s="14" t="s">
        <v>445</v>
      </c>
      <c r="U1533" s="14" t="s">
        <v>446</v>
      </c>
      <c r="V1533" s="48">
        <f>SUMIF(Data!$E:$E,$I1533,Data!$AI:$AI)</f>
        <v>0</v>
      </c>
    </row>
    <row r="1534" spans="1:22" x14ac:dyDescent="0.25">
      <c r="A1534" s="47" t="s">
        <v>9546</v>
      </c>
      <c r="B1534" s="47" t="s">
        <v>123</v>
      </c>
      <c r="C1534" s="47" t="s">
        <v>4991</v>
      </c>
      <c r="D1534" s="47">
        <v>0.66273858167033095</v>
      </c>
      <c r="E1534" s="48">
        <f>SUMIF(Data!$E:$E,$C1534,Data!$AI:$AI)</f>
        <v>0.38077996000694508</v>
      </c>
      <c r="I1534" s="14">
        <v>4967</v>
      </c>
      <c r="J1534" s="14" t="s">
        <v>10199</v>
      </c>
      <c r="K1534" s="14" t="s">
        <v>140</v>
      </c>
      <c r="L1534" s="14" t="s">
        <v>8069</v>
      </c>
      <c r="M1534" s="14" t="s">
        <v>10200</v>
      </c>
      <c r="N1534" s="14">
        <v>17.8</v>
      </c>
      <c r="O1534" s="14" t="s">
        <v>10201</v>
      </c>
      <c r="P1534" s="14" t="s">
        <v>10202</v>
      </c>
      <c r="Q1534" s="14" t="s">
        <v>227</v>
      </c>
      <c r="R1534" s="14" t="s">
        <v>10203</v>
      </c>
      <c r="S1534" s="14" t="s">
        <v>444</v>
      </c>
      <c r="T1534" s="14" t="s">
        <v>445</v>
      </c>
      <c r="U1534" s="14" t="s">
        <v>446</v>
      </c>
      <c r="V1534" s="48">
        <f>SUMIF(Data!$E:$E,$I1534,Data!$AI:$AI)</f>
        <v>0</v>
      </c>
    </row>
    <row r="1535" spans="1:22" x14ac:dyDescent="0.25">
      <c r="A1535" s="47" t="s">
        <v>9546</v>
      </c>
      <c r="B1535" s="47" t="s">
        <v>123</v>
      </c>
      <c r="C1535" s="47" t="s">
        <v>4998</v>
      </c>
      <c r="D1535" s="47">
        <v>1.81857022496188</v>
      </c>
      <c r="E1535" s="48">
        <f>SUMIF(Data!$E:$E,$C1535,Data!$AI:$AI)</f>
        <v>0</v>
      </c>
      <c r="I1535" s="14" t="s">
        <v>10204</v>
      </c>
      <c r="J1535" s="14" t="s">
        <v>10205</v>
      </c>
      <c r="K1535" s="14" t="s">
        <v>140</v>
      </c>
      <c r="L1535" s="14" t="s">
        <v>8069</v>
      </c>
      <c r="M1535" s="14" t="s">
        <v>3393</v>
      </c>
      <c r="N1535" s="14">
        <v>50.514000000000003</v>
      </c>
      <c r="O1535" s="14" t="s">
        <v>10206</v>
      </c>
      <c r="P1535" s="14" t="s">
        <v>10207</v>
      </c>
      <c r="Q1535" s="14" t="s">
        <v>193</v>
      </c>
      <c r="R1535" s="14" t="s">
        <v>10208</v>
      </c>
      <c r="S1535" s="14" t="s">
        <v>728</v>
      </c>
      <c r="T1535" s="14" t="s">
        <v>729</v>
      </c>
      <c r="U1535" s="14" t="s">
        <v>730</v>
      </c>
      <c r="V1535" s="48">
        <f>SUMIF(Data!$E:$E,$I1535,Data!$AI:$AI)</f>
        <v>0</v>
      </c>
    </row>
    <row r="1536" spans="1:22" x14ac:dyDescent="0.25">
      <c r="A1536" s="47" t="s">
        <v>9546</v>
      </c>
      <c r="B1536" s="47" t="s">
        <v>123</v>
      </c>
      <c r="C1536" s="47" t="s">
        <v>5375</v>
      </c>
      <c r="D1536" s="47">
        <v>0.13910110141632401</v>
      </c>
      <c r="E1536" s="48">
        <f>SUMIF(Data!$E:$E,$C1536,Data!$AI:$AI)</f>
        <v>0</v>
      </c>
      <c r="I1536" s="14" t="s">
        <v>10209</v>
      </c>
      <c r="J1536" s="14" t="s">
        <v>10210</v>
      </c>
      <c r="K1536" s="14" t="s">
        <v>140</v>
      </c>
      <c r="L1536" s="14" t="s">
        <v>8069</v>
      </c>
      <c r="M1536" s="14" t="s">
        <v>10211</v>
      </c>
      <c r="N1536" s="14">
        <v>83.771000000000001</v>
      </c>
      <c r="O1536" s="14" t="s">
        <v>10212</v>
      </c>
      <c r="P1536" s="14" t="s">
        <v>10213</v>
      </c>
      <c r="Q1536" s="14" t="s">
        <v>165</v>
      </c>
      <c r="R1536" s="14" t="s">
        <v>10214</v>
      </c>
      <c r="S1536" s="14" t="s">
        <v>195</v>
      </c>
      <c r="T1536" s="14" t="s">
        <v>149</v>
      </c>
      <c r="U1536" s="14" t="s">
        <v>113</v>
      </c>
      <c r="V1536" s="48">
        <f>SUMIF(Data!$E:$E,$I1536,Data!$AI:$AI)</f>
        <v>0</v>
      </c>
    </row>
    <row r="1537" spans="1:22" x14ac:dyDescent="0.25">
      <c r="A1537" s="47" t="s">
        <v>9546</v>
      </c>
      <c r="B1537" s="47" t="s">
        <v>123</v>
      </c>
      <c r="C1537" s="47" t="s">
        <v>6338</v>
      </c>
      <c r="D1537" s="47">
        <v>0.20019193824714701</v>
      </c>
      <c r="E1537" s="48">
        <f>SUMIF(Data!$E:$E,$C1537,Data!$AI:$AI)</f>
        <v>0</v>
      </c>
      <c r="I1537" s="14" t="s">
        <v>10215</v>
      </c>
      <c r="J1537" s="14" t="s">
        <v>10216</v>
      </c>
      <c r="K1537" s="14" t="s">
        <v>140</v>
      </c>
      <c r="L1537" s="14" t="s">
        <v>8069</v>
      </c>
      <c r="M1537" s="14" t="s">
        <v>10217</v>
      </c>
      <c r="N1537" s="14">
        <v>20.141999999999999</v>
      </c>
      <c r="O1537" s="14" t="s">
        <v>10218</v>
      </c>
      <c r="P1537" s="14" t="s">
        <v>10219</v>
      </c>
      <c r="Q1537" s="14" t="s">
        <v>809</v>
      </c>
      <c r="R1537" s="14" t="s">
        <v>10220</v>
      </c>
      <c r="S1537" s="14" t="s">
        <v>5739</v>
      </c>
      <c r="T1537" s="14" t="s">
        <v>4834</v>
      </c>
      <c r="U1537" s="14" t="s">
        <v>5740</v>
      </c>
      <c r="V1537" s="48">
        <f>SUMIF(Data!$E:$E,$I1537,Data!$AI:$AI)</f>
        <v>0</v>
      </c>
    </row>
    <row r="1538" spans="1:22" x14ac:dyDescent="0.25">
      <c r="A1538" s="47" t="s">
        <v>9546</v>
      </c>
      <c r="B1538" s="47" t="s">
        <v>123</v>
      </c>
      <c r="C1538" s="47" t="s">
        <v>5382</v>
      </c>
      <c r="D1538" s="47">
        <v>0.13341615180796401</v>
      </c>
      <c r="E1538" s="48">
        <f>SUMIF(Data!$E:$E,$C1538,Data!$AI:$AI)</f>
        <v>0</v>
      </c>
      <c r="I1538" s="14" t="s">
        <v>231</v>
      </c>
      <c r="J1538" s="14" t="s">
        <v>10221</v>
      </c>
      <c r="K1538" s="14" t="s">
        <v>758</v>
      </c>
      <c r="L1538" s="14" t="s">
        <v>8069</v>
      </c>
      <c r="M1538" s="14" t="s">
        <v>10222</v>
      </c>
      <c r="N1538" s="14" t="s">
        <v>10223</v>
      </c>
      <c r="O1538" s="14" t="s">
        <v>10224</v>
      </c>
      <c r="P1538" s="14" t="s">
        <v>10225</v>
      </c>
      <c r="Q1538" s="14" t="s">
        <v>762</v>
      </c>
      <c r="R1538" s="14" t="s">
        <v>763</v>
      </c>
      <c r="S1538" s="14" t="s">
        <v>763</v>
      </c>
      <c r="T1538" s="14" t="s">
        <v>230</v>
      </c>
      <c r="U1538" s="14" t="s">
        <v>231</v>
      </c>
      <c r="V1538" s="48">
        <f>SUMIF(Data!$E:$E,$I1538,Data!$AI:$AI)</f>
        <v>0</v>
      </c>
    </row>
    <row r="1539" spans="1:22" x14ac:dyDescent="0.25">
      <c r="A1539" s="47" t="s">
        <v>9546</v>
      </c>
      <c r="B1539" s="47" t="s">
        <v>123</v>
      </c>
      <c r="C1539" s="47" t="s">
        <v>5389</v>
      </c>
      <c r="D1539" s="47">
        <v>0.23017238404350701</v>
      </c>
      <c r="E1539" s="48">
        <f>SUMIF(Data!$E:$E,$C1539,Data!$AI:$AI)</f>
        <v>0.2843976266541573</v>
      </c>
      <c r="I1539" s="14">
        <v>1972</v>
      </c>
      <c r="J1539" s="14" t="s">
        <v>10226</v>
      </c>
      <c r="K1539" s="14" t="s">
        <v>140</v>
      </c>
      <c r="L1539" s="14" t="s">
        <v>8069</v>
      </c>
      <c r="M1539" s="14" t="s">
        <v>10227</v>
      </c>
      <c r="N1539" s="14">
        <v>443.2</v>
      </c>
      <c r="O1539" s="14" t="s">
        <v>10228</v>
      </c>
      <c r="P1539" s="14" t="s">
        <v>10229</v>
      </c>
      <c r="Q1539" s="14" t="s">
        <v>809</v>
      </c>
      <c r="R1539" s="14" t="s">
        <v>10230</v>
      </c>
      <c r="S1539" s="14" t="s">
        <v>552</v>
      </c>
      <c r="T1539" s="14" t="s">
        <v>553</v>
      </c>
      <c r="U1539" s="14" t="s">
        <v>554</v>
      </c>
      <c r="V1539" s="48">
        <f>SUMIF(Data!$E:$E,$I1539,Data!$AI:$AI)</f>
        <v>0</v>
      </c>
    </row>
    <row r="1540" spans="1:22" x14ac:dyDescent="0.25">
      <c r="A1540" s="47" t="s">
        <v>9546</v>
      </c>
      <c r="B1540" s="47" t="s">
        <v>123</v>
      </c>
      <c r="C1540" s="47" t="s">
        <v>5809</v>
      </c>
      <c r="D1540" s="47">
        <v>5.0302298110924001E-2</v>
      </c>
      <c r="E1540" s="48">
        <f>SUMIF(Data!$E:$E,$C1540,Data!$AI:$AI)</f>
        <v>0</v>
      </c>
      <c r="I1540" s="14" t="s">
        <v>10231</v>
      </c>
      <c r="J1540" s="14" t="s">
        <v>10232</v>
      </c>
      <c r="K1540" s="14" t="s">
        <v>140</v>
      </c>
      <c r="L1540" s="14" t="s">
        <v>8069</v>
      </c>
      <c r="M1540" s="14" t="s">
        <v>10233</v>
      </c>
      <c r="N1540" s="14">
        <v>426.10700000000003</v>
      </c>
      <c r="O1540" s="14" t="s">
        <v>10234</v>
      </c>
      <c r="P1540" s="14" t="s">
        <v>10235</v>
      </c>
      <c r="Q1540" s="14" t="s">
        <v>193</v>
      </c>
      <c r="R1540" s="14" t="s">
        <v>10236</v>
      </c>
      <c r="S1540" s="14" t="s">
        <v>2413</v>
      </c>
      <c r="T1540" s="14" t="s">
        <v>1285</v>
      </c>
      <c r="U1540" s="14" t="s">
        <v>528</v>
      </c>
      <c r="V1540" s="48">
        <f>SUMIF(Data!$E:$E,$I1540,Data!$AI:$AI)</f>
        <v>0</v>
      </c>
    </row>
    <row r="1541" spans="1:22" x14ac:dyDescent="0.25">
      <c r="A1541" s="47" t="s">
        <v>9546</v>
      </c>
      <c r="B1541" s="47" t="s">
        <v>123</v>
      </c>
      <c r="C1541" s="47" t="s">
        <v>5816</v>
      </c>
      <c r="D1541" s="47">
        <v>7.5593483672891995E-2</v>
      </c>
      <c r="E1541" s="48">
        <f>SUMIF(Data!$E:$E,$C1541,Data!$AI:$AI)</f>
        <v>0</v>
      </c>
      <c r="I1541" s="14" t="s">
        <v>9318</v>
      </c>
      <c r="J1541" s="14" t="s">
        <v>10237</v>
      </c>
      <c r="K1541" s="14" t="s">
        <v>140</v>
      </c>
      <c r="L1541" s="14" t="s">
        <v>8069</v>
      </c>
      <c r="M1541" s="14" t="s">
        <v>10238</v>
      </c>
      <c r="N1541" s="14">
        <v>544.51800000000003</v>
      </c>
      <c r="O1541" s="14" t="s">
        <v>10239</v>
      </c>
      <c r="P1541" s="14" t="s">
        <v>10240</v>
      </c>
      <c r="Q1541" s="14" t="s">
        <v>193</v>
      </c>
      <c r="R1541" s="14" t="s">
        <v>10241</v>
      </c>
      <c r="S1541" s="14" t="s">
        <v>1167</v>
      </c>
      <c r="T1541" s="14" t="s">
        <v>1168</v>
      </c>
      <c r="U1541" s="14" t="s">
        <v>528</v>
      </c>
      <c r="V1541" s="48">
        <f>SUMIF(Data!$E:$E,$I1541,Data!$AI:$AI)</f>
        <v>0</v>
      </c>
    </row>
    <row r="1542" spans="1:22" x14ac:dyDescent="0.25">
      <c r="A1542" s="47" t="s">
        <v>9546</v>
      </c>
      <c r="B1542" s="47" t="s">
        <v>123</v>
      </c>
      <c r="C1542" s="47" t="s">
        <v>5005</v>
      </c>
      <c r="D1542" s="47">
        <v>0.85991182838507996</v>
      </c>
      <c r="E1542" s="48">
        <f>SUMIF(Data!$E:$E,$C1542,Data!$AI:$AI)</f>
        <v>0</v>
      </c>
      <c r="I1542" s="14" t="s">
        <v>10242</v>
      </c>
      <c r="J1542" s="14" t="s">
        <v>10243</v>
      </c>
      <c r="K1542" s="14" t="s">
        <v>140</v>
      </c>
      <c r="L1542" s="14" t="s">
        <v>8069</v>
      </c>
      <c r="M1542" s="14" t="s">
        <v>10244</v>
      </c>
      <c r="N1542" s="14">
        <v>49.110999999999997</v>
      </c>
      <c r="O1542" s="14" t="s">
        <v>10245</v>
      </c>
      <c r="P1542" s="14" t="s">
        <v>10246</v>
      </c>
      <c r="Q1542" s="14" t="s">
        <v>165</v>
      </c>
      <c r="R1542" s="14" t="s">
        <v>10247</v>
      </c>
      <c r="S1542" s="14" t="s">
        <v>3142</v>
      </c>
      <c r="T1542" s="14" t="s">
        <v>3143</v>
      </c>
      <c r="U1542" s="14" t="s">
        <v>528</v>
      </c>
      <c r="V1542" s="48">
        <f>SUMIF(Data!$E:$E,$I1542,Data!$AI:$AI)</f>
        <v>0</v>
      </c>
    </row>
    <row r="1543" spans="1:22" x14ac:dyDescent="0.25">
      <c r="A1543" s="47" t="s">
        <v>9546</v>
      </c>
      <c r="B1543" s="47" t="s">
        <v>123</v>
      </c>
      <c r="C1543" s="47" t="s">
        <v>5823</v>
      </c>
      <c r="D1543" s="47">
        <v>5.8914990578305002E-2</v>
      </c>
      <c r="E1543" s="48">
        <f>SUMIF(Data!$E:$E,$C1543,Data!$AI:$AI)</f>
        <v>0</v>
      </c>
      <c r="I1543" s="14">
        <v>8593</v>
      </c>
      <c r="J1543" s="14" t="s">
        <v>10248</v>
      </c>
      <c r="K1543" s="14" t="s">
        <v>140</v>
      </c>
      <c r="L1543" s="14" t="s">
        <v>8069</v>
      </c>
      <c r="M1543" s="14" t="s">
        <v>10249</v>
      </c>
      <c r="N1543" s="14">
        <v>220.3</v>
      </c>
      <c r="O1543" s="14" t="s">
        <v>10250</v>
      </c>
      <c r="P1543" s="14" t="s">
        <v>10251</v>
      </c>
      <c r="Q1543" s="14" t="s">
        <v>193</v>
      </c>
      <c r="R1543" s="14" t="s">
        <v>10252</v>
      </c>
      <c r="S1543" s="14" t="s">
        <v>444</v>
      </c>
      <c r="T1543" s="14" t="s">
        <v>445</v>
      </c>
      <c r="U1543" s="14" t="s">
        <v>446</v>
      </c>
      <c r="V1543" s="48">
        <f>SUMIF(Data!$E:$E,$I1543,Data!$AI:$AI)</f>
        <v>0</v>
      </c>
    </row>
    <row r="1544" spans="1:22" x14ac:dyDescent="0.25">
      <c r="A1544" s="47" t="s">
        <v>9546</v>
      </c>
      <c r="B1544" s="47" t="s">
        <v>123</v>
      </c>
      <c r="C1544" s="47" t="s">
        <v>5830</v>
      </c>
      <c r="D1544" s="47">
        <v>2.3110259471912E-2</v>
      </c>
      <c r="E1544" s="48">
        <f>SUMIF(Data!$E:$E,$C1544,Data!$AI:$AI)</f>
        <v>0</v>
      </c>
      <c r="I1544" s="14" t="s">
        <v>7361</v>
      </c>
      <c r="J1544" s="14" t="s">
        <v>10253</v>
      </c>
      <c r="K1544" s="14" t="s">
        <v>140</v>
      </c>
      <c r="L1544" s="14" t="s">
        <v>8069</v>
      </c>
      <c r="M1544" s="14" t="s">
        <v>10254</v>
      </c>
      <c r="N1544" s="14">
        <v>205.53299999999999</v>
      </c>
      <c r="O1544" s="14" t="s">
        <v>10255</v>
      </c>
      <c r="P1544" s="14" t="s">
        <v>10256</v>
      </c>
      <c r="Q1544" s="14" t="s">
        <v>193</v>
      </c>
      <c r="R1544" s="14" t="s">
        <v>10257</v>
      </c>
      <c r="S1544" s="14" t="s">
        <v>850</v>
      </c>
      <c r="T1544" s="14" t="s">
        <v>851</v>
      </c>
      <c r="U1544" s="14" t="s">
        <v>852</v>
      </c>
      <c r="V1544" s="48">
        <f>SUMIF(Data!$E:$E,$I1544,Data!$AI:$AI)</f>
        <v>0</v>
      </c>
    </row>
    <row r="1545" spans="1:22" x14ac:dyDescent="0.25">
      <c r="A1545" s="47" t="s">
        <v>9546</v>
      </c>
      <c r="B1545" s="47" t="s">
        <v>123</v>
      </c>
      <c r="C1545" s="47" t="s">
        <v>5012</v>
      </c>
      <c r="D1545" s="47">
        <v>0.69261570682638796</v>
      </c>
      <c r="E1545" s="48">
        <f>SUMIF(Data!$E:$E,$C1545,Data!$AI:$AI)</f>
        <v>0.77934157011859584</v>
      </c>
      <c r="I1545" s="14">
        <v>7211</v>
      </c>
      <c r="J1545" s="14" t="s">
        <v>10258</v>
      </c>
      <c r="K1545" s="14" t="s">
        <v>140</v>
      </c>
      <c r="L1545" s="14" t="s">
        <v>8069</v>
      </c>
      <c r="M1545" s="14" t="s">
        <v>10259</v>
      </c>
      <c r="N1545" s="14">
        <v>346.63</v>
      </c>
      <c r="O1545" s="14" t="s">
        <v>10260</v>
      </c>
      <c r="P1545" s="14" t="s">
        <v>10261</v>
      </c>
      <c r="Q1545" s="14" t="s">
        <v>165</v>
      </c>
      <c r="R1545" s="14" t="s">
        <v>10262</v>
      </c>
      <c r="S1545" s="14" t="s">
        <v>444</v>
      </c>
      <c r="T1545" s="14" t="s">
        <v>445</v>
      </c>
      <c r="U1545" s="14" t="s">
        <v>446</v>
      </c>
      <c r="V1545" s="48">
        <f>SUMIF(Data!$E:$E,$I1545,Data!$AI:$AI)</f>
        <v>0</v>
      </c>
    </row>
    <row r="1546" spans="1:22" x14ac:dyDescent="0.25">
      <c r="A1546" s="47" t="s">
        <v>9546</v>
      </c>
      <c r="B1546" s="47" t="s">
        <v>123</v>
      </c>
      <c r="C1546" s="47" t="s">
        <v>5836</v>
      </c>
      <c r="D1546" s="47">
        <v>3.7533760513740001E-2</v>
      </c>
      <c r="E1546" s="48">
        <f>SUMIF(Data!$E:$E,$C1546,Data!$AI:$AI)</f>
        <v>0</v>
      </c>
      <c r="I1546" s="14" t="s">
        <v>10263</v>
      </c>
      <c r="J1546" s="14" t="s">
        <v>10264</v>
      </c>
      <c r="K1546" s="14" t="s">
        <v>140</v>
      </c>
      <c r="L1546" s="14" t="s">
        <v>8069</v>
      </c>
      <c r="M1546" s="14" t="s">
        <v>10265</v>
      </c>
      <c r="N1546" s="14">
        <v>214.28200000000001</v>
      </c>
      <c r="O1546" s="14" t="s">
        <v>10266</v>
      </c>
      <c r="P1546" s="14" t="s">
        <v>10267</v>
      </c>
      <c r="Q1546" s="14" t="s">
        <v>419</v>
      </c>
      <c r="R1546" s="14" t="s">
        <v>10268</v>
      </c>
      <c r="S1546" s="14" t="s">
        <v>2368</v>
      </c>
      <c r="T1546" s="14" t="s">
        <v>2369</v>
      </c>
      <c r="U1546" s="14" t="s">
        <v>2370</v>
      </c>
      <c r="V1546" s="48">
        <f>SUMIF(Data!$E:$E,$I1546,Data!$AI:$AI)</f>
        <v>0</v>
      </c>
    </row>
    <row r="1547" spans="1:22" x14ac:dyDescent="0.25">
      <c r="A1547" s="47" t="s">
        <v>9546</v>
      </c>
      <c r="B1547" s="47" t="s">
        <v>123</v>
      </c>
      <c r="C1547" s="47" t="s">
        <v>5396</v>
      </c>
      <c r="D1547" s="47">
        <v>1.5872878372751E-2</v>
      </c>
      <c r="E1547" s="48">
        <f>SUMIF(Data!$E:$E,$C1547,Data!$AI:$AI)</f>
        <v>0</v>
      </c>
      <c r="I1547" s="14" t="s">
        <v>10269</v>
      </c>
      <c r="J1547" s="14" t="s">
        <v>10270</v>
      </c>
      <c r="K1547" s="14" t="s">
        <v>140</v>
      </c>
      <c r="L1547" s="14" t="s">
        <v>8069</v>
      </c>
      <c r="M1547" s="14" t="s">
        <v>10271</v>
      </c>
      <c r="N1547" s="14">
        <v>11.15</v>
      </c>
      <c r="O1547" s="14" t="s">
        <v>10272</v>
      </c>
      <c r="P1547" s="14" t="s">
        <v>10273</v>
      </c>
      <c r="Q1547" s="14" t="s">
        <v>419</v>
      </c>
      <c r="R1547" s="14" t="s">
        <v>10274</v>
      </c>
      <c r="S1547" s="14" t="s">
        <v>526</v>
      </c>
      <c r="T1547" s="14" t="s">
        <v>527</v>
      </c>
      <c r="U1547" s="14" t="s">
        <v>528</v>
      </c>
      <c r="V1547" s="48">
        <f>SUMIF(Data!$E:$E,$I1547,Data!$AI:$AI)</f>
        <v>0</v>
      </c>
    </row>
    <row r="1548" spans="1:22" x14ac:dyDescent="0.25">
      <c r="A1548" s="47" t="s">
        <v>9546</v>
      </c>
      <c r="B1548" s="47" t="s">
        <v>123</v>
      </c>
      <c r="C1548" s="47" t="s">
        <v>5402</v>
      </c>
      <c r="D1548" s="47">
        <v>0.16651671109640001</v>
      </c>
      <c r="E1548" s="48">
        <f>SUMIF(Data!$E:$E,$C1548,Data!$AI:$AI)</f>
        <v>0.2044484818987839</v>
      </c>
      <c r="I1548" s="14">
        <v>8</v>
      </c>
      <c r="J1548" s="14" t="s">
        <v>10275</v>
      </c>
      <c r="K1548" s="14" t="s">
        <v>140</v>
      </c>
      <c r="L1548" s="14" t="s">
        <v>8069</v>
      </c>
      <c r="M1548" s="14" t="s">
        <v>281</v>
      </c>
      <c r="N1548" s="14" t="s">
        <v>10276</v>
      </c>
      <c r="O1548" s="14" t="s">
        <v>10277</v>
      </c>
      <c r="P1548" s="14" t="s">
        <v>10278</v>
      </c>
      <c r="Q1548" s="14" t="s">
        <v>175</v>
      </c>
      <c r="R1548" s="14" t="s">
        <v>10279</v>
      </c>
      <c r="S1548" s="14" t="s">
        <v>552</v>
      </c>
      <c r="T1548" s="14" t="s">
        <v>553</v>
      </c>
      <c r="U1548" s="14" t="s">
        <v>554</v>
      </c>
      <c r="V1548" s="48">
        <f>SUMIF(Data!$E:$E,$I1548,Data!$AI:$AI)</f>
        <v>0</v>
      </c>
    </row>
    <row r="1549" spans="1:22" x14ac:dyDescent="0.25">
      <c r="A1549" s="47" t="s">
        <v>9546</v>
      </c>
      <c r="B1549" s="47" t="s">
        <v>123</v>
      </c>
      <c r="C1549" s="47" t="s">
        <v>5019</v>
      </c>
      <c r="D1549" s="47">
        <v>2.1824260401126998</v>
      </c>
      <c r="E1549" s="48">
        <f>SUMIF(Data!$E:$E,$C1549,Data!$AI:$AI)</f>
        <v>0</v>
      </c>
      <c r="I1549" s="14">
        <v>551</v>
      </c>
      <c r="J1549" s="14" t="s">
        <v>10280</v>
      </c>
      <c r="K1549" s="14" t="s">
        <v>140</v>
      </c>
      <c r="L1549" s="14" t="s">
        <v>8069</v>
      </c>
      <c r="M1549" s="14" t="s">
        <v>4733</v>
      </c>
      <c r="N1549" s="14">
        <v>454</v>
      </c>
      <c r="O1549" s="14" t="s">
        <v>10281</v>
      </c>
      <c r="P1549" s="14" t="s">
        <v>10282</v>
      </c>
      <c r="Q1549" s="14" t="s">
        <v>165</v>
      </c>
      <c r="R1549" s="14" t="s">
        <v>10283</v>
      </c>
      <c r="S1549" s="14" t="s">
        <v>552</v>
      </c>
      <c r="T1549" s="14" t="s">
        <v>553</v>
      </c>
      <c r="U1549" s="14" t="s">
        <v>554</v>
      </c>
      <c r="V1549" s="48">
        <f>SUMIF(Data!$E:$E,$I1549,Data!$AI:$AI)</f>
        <v>0</v>
      </c>
    </row>
    <row r="1550" spans="1:22" x14ac:dyDescent="0.25">
      <c r="A1550" s="47" t="s">
        <v>9546</v>
      </c>
      <c r="B1550" s="47" t="s">
        <v>123</v>
      </c>
      <c r="C1550" s="47" t="s">
        <v>5409</v>
      </c>
      <c r="D1550" s="47">
        <v>0.53208912177149603</v>
      </c>
      <c r="E1550" s="48">
        <f>SUMIF(Data!$E:$E,$C1550,Data!$AI:$AI)</f>
        <v>0.58444404567070329</v>
      </c>
      <c r="I1550" s="14">
        <v>4581</v>
      </c>
      <c r="J1550" s="14" t="s">
        <v>10284</v>
      </c>
      <c r="K1550" s="14" t="s">
        <v>140</v>
      </c>
      <c r="L1550" s="14" t="s">
        <v>8069</v>
      </c>
      <c r="M1550" s="14" t="s">
        <v>10285</v>
      </c>
      <c r="N1550" s="14">
        <v>19.010000000000002</v>
      </c>
      <c r="O1550" s="14" t="s">
        <v>10286</v>
      </c>
      <c r="P1550" s="14" t="s">
        <v>10287</v>
      </c>
      <c r="Q1550" s="14" t="s">
        <v>211</v>
      </c>
      <c r="R1550" s="14" t="s">
        <v>10288</v>
      </c>
      <c r="S1550" s="14" t="s">
        <v>444</v>
      </c>
      <c r="T1550" s="14" t="s">
        <v>445</v>
      </c>
      <c r="U1550" s="14" t="s">
        <v>446</v>
      </c>
      <c r="V1550" s="48">
        <f>SUMIF(Data!$E:$E,$I1550,Data!$AI:$AI)</f>
        <v>0</v>
      </c>
    </row>
    <row r="1551" spans="1:22" x14ac:dyDescent="0.25">
      <c r="A1551" s="47" t="s">
        <v>9546</v>
      </c>
      <c r="B1551" s="47" t="s">
        <v>123</v>
      </c>
      <c r="C1551" s="47" t="s">
        <v>5026</v>
      </c>
      <c r="D1551" s="47">
        <v>2.0857722742083902</v>
      </c>
      <c r="E1551" s="48">
        <f>SUMIF(Data!$E:$E,$C1551,Data!$AI:$AI)</f>
        <v>0</v>
      </c>
      <c r="I1551" s="14" t="s">
        <v>10289</v>
      </c>
      <c r="J1551" s="14" t="s">
        <v>10290</v>
      </c>
      <c r="K1551" s="14" t="s">
        <v>140</v>
      </c>
      <c r="L1551" s="14" t="s">
        <v>8069</v>
      </c>
      <c r="M1551" s="14" t="s">
        <v>10291</v>
      </c>
      <c r="N1551" s="14">
        <v>11.396000000000001</v>
      </c>
      <c r="O1551" s="14" t="s">
        <v>10292</v>
      </c>
      <c r="P1551" s="14" t="s">
        <v>10293</v>
      </c>
      <c r="Q1551" s="14" t="s">
        <v>227</v>
      </c>
      <c r="R1551" s="14" t="s">
        <v>10294</v>
      </c>
      <c r="S1551" s="14" t="s">
        <v>563</v>
      </c>
      <c r="T1551" s="14" t="s">
        <v>564</v>
      </c>
      <c r="U1551" s="14" t="s">
        <v>528</v>
      </c>
      <c r="V1551" s="48">
        <f>SUMIF(Data!$E:$E,$I1551,Data!$AI:$AI)</f>
        <v>0</v>
      </c>
    </row>
    <row r="1552" spans="1:22" x14ac:dyDescent="0.25">
      <c r="A1552" s="47" t="s">
        <v>9546</v>
      </c>
      <c r="B1552" s="47" t="s">
        <v>123</v>
      </c>
      <c r="C1552" s="47" t="s">
        <v>6750</v>
      </c>
      <c r="D1552" s="47">
        <v>0.22610339735458901</v>
      </c>
      <c r="E1552" s="48">
        <f>SUMIF(Data!$E:$E,$C1552,Data!$AI:$AI)</f>
        <v>0.68951282351564869</v>
      </c>
      <c r="I1552" s="14" t="s">
        <v>9614</v>
      </c>
      <c r="J1552" s="14" t="s">
        <v>10295</v>
      </c>
      <c r="K1552" s="14" t="s">
        <v>140</v>
      </c>
      <c r="L1552" s="14" t="s">
        <v>8069</v>
      </c>
      <c r="M1552" s="14" t="s">
        <v>10296</v>
      </c>
      <c r="N1552" s="14">
        <v>36.53</v>
      </c>
      <c r="O1552" s="14" t="s">
        <v>10297</v>
      </c>
      <c r="P1552" s="14" t="s">
        <v>10298</v>
      </c>
      <c r="Q1552" s="14" t="s">
        <v>211</v>
      </c>
      <c r="R1552" s="14" t="s">
        <v>10299</v>
      </c>
      <c r="S1552" s="14" t="s">
        <v>771</v>
      </c>
      <c r="T1552" s="14" t="s">
        <v>772</v>
      </c>
      <c r="U1552" s="14" t="s">
        <v>773</v>
      </c>
      <c r="V1552" s="48">
        <f>SUMIF(Data!$E:$E,$I1552,Data!$AI:$AI)</f>
        <v>0</v>
      </c>
    </row>
    <row r="1553" spans="1:22" x14ac:dyDescent="0.25">
      <c r="A1553" s="47" t="s">
        <v>10300</v>
      </c>
      <c r="B1553" s="47" t="s">
        <v>123</v>
      </c>
      <c r="C1553" s="47" t="s">
        <v>5477</v>
      </c>
      <c r="D1553" s="47">
        <v>2.24002737237603</v>
      </c>
      <c r="E1553" s="48">
        <f>SUMIF(Data!$E:$E,$C1553,Data!$AI:$AI)</f>
        <v>0</v>
      </c>
      <c r="I1553" s="14" t="s">
        <v>10301</v>
      </c>
      <c r="J1553" s="14" t="s">
        <v>10302</v>
      </c>
      <c r="K1553" s="14" t="s">
        <v>140</v>
      </c>
      <c r="L1553" s="14" t="s">
        <v>8069</v>
      </c>
      <c r="M1553" s="14" t="s">
        <v>10303</v>
      </c>
      <c r="N1553" s="14">
        <v>20.594000000000001</v>
      </c>
      <c r="O1553" s="14" t="s">
        <v>10304</v>
      </c>
      <c r="P1553" s="14" t="s">
        <v>10305</v>
      </c>
      <c r="Q1553" s="14" t="s">
        <v>737</v>
      </c>
      <c r="R1553" s="14" t="s">
        <v>10306</v>
      </c>
      <c r="S1553" s="14" t="s">
        <v>195</v>
      </c>
      <c r="T1553" s="14" t="s">
        <v>149</v>
      </c>
      <c r="U1553" s="14" t="s">
        <v>113</v>
      </c>
      <c r="V1553" s="48">
        <f>SUMIF(Data!$E:$E,$I1553,Data!$AI:$AI)</f>
        <v>0</v>
      </c>
    </row>
    <row r="1554" spans="1:22" x14ac:dyDescent="0.25">
      <c r="A1554" s="47" t="s">
        <v>10300</v>
      </c>
      <c r="B1554" s="47" t="s">
        <v>123</v>
      </c>
      <c r="C1554" s="47" t="s">
        <v>3145</v>
      </c>
      <c r="D1554" s="47">
        <v>20.911931846347699</v>
      </c>
      <c r="E1554" s="48">
        <f>SUMIF(Data!$E:$E,$C1554,Data!$AI:$AI)</f>
        <v>0</v>
      </c>
      <c r="I1554" s="14">
        <v>3064</v>
      </c>
      <c r="J1554" s="14" t="s">
        <v>10307</v>
      </c>
      <c r="K1554" s="14" t="s">
        <v>140</v>
      </c>
      <c r="L1554" s="14" t="s">
        <v>8069</v>
      </c>
      <c r="M1554" s="14" t="s">
        <v>10308</v>
      </c>
      <c r="N1554" s="14">
        <v>52.6</v>
      </c>
      <c r="O1554" s="14" t="s">
        <v>10309</v>
      </c>
      <c r="P1554" s="14" t="s">
        <v>10310</v>
      </c>
      <c r="Q1554" s="14" t="s">
        <v>419</v>
      </c>
      <c r="R1554" s="14" t="s">
        <v>10311</v>
      </c>
      <c r="S1554" s="14" t="s">
        <v>444</v>
      </c>
      <c r="T1554" s="14" t="s">
        <v>445</v>
      </c>
      <c r="U1554" s="14" t="s">
        <v>446</v>
      </c>
      <c r="V1554" s="48">
        <f>SUMIF(Data!$E:$E,$I1554,Data!$AI:$AI)</f>
        <v>0</v>
      </c>
    </row>
    <row r="1555" spans="1:22" x14ac:dyDescent="0.25">
      <c r="A1555" s="47" t="s">
        <v>10300</v>
      </c>
      <c r="B1555" s="47" t="s">
        <v>123</v>
      </c>
      <c r="C1555" s="47" t="s">
        <v>3152</v>
      </c>
      <c r="D1555" s="47">
        <v>7.1993545912014598</v>
      </c>
      <c r="E1555" s="48">
        <f>SUMIF(Data!$E:$E,$C1555,Data!$AI:$AI)</f>
        <v>0.13519946439795033</v>
      </c>
      <c r="I1555" s="14">
        <v>3938</v>
      </c>
      <c r="J1555" s="14" t="s">
        <v>10312</v>
      </c>
      <c r="K1555" s="14" t="s">
        <v>140</v>
      </c>
      <c r="L1555" s="14" t="s">
        <v>8069</v>
      </c>
      <c r="M1555" s="14" t="s">
        <v>10313</v>
      </c>
      <c r="N1555" s="14">
        <v>28.2</v>
      </c>
      <c r="O1555" s="14" t="s">
        <v>10314</v>
      </c>
      <c r="P1555" s="14" t="s">
        <v>10315</v>
      </c>
      <c r="Q1555" s="14" t="s">
        <v>175</v>
      </c>
      <c r="R1555" s="14" t="s">
        <v>10316</v>
      </c>
      <c r="S1555" s="14" t="s">
        <v>444</v>
      </c>
      <c r="T1555" s="14" t="s">
        <v>445</v>
      </c>
      <c r="U1555" s="14" t="s">
        <v>446</v>
      </c>
      <c r="V1555" s="48">
        <f>SUMIF(Data!$E:$E,$I1555,Data!$AI:$AI)</f>
        <v>0</v>
      </c>
    </row>
    <row r="1556" spans="1:22" x14ac:dyDescent="0.25">
      <c r="A1556" s="47" t="s">
        <v>10300</v>
      </c>
      <c r="B1556" s="47" t="s">
        <v>123</v>
      </c>
      <c r="C1556" s="47" t="s">
        <v>3160</v>
      </c>
      <c r="D1556" s="47">
        <v>15.7544619465622</v>
      </c>
      <c r="E1556" s="48">
        <f>SUMIF(Data!$E:$E,$C1556,Data!$AI:$AI)</f>
        <v>0.48939641738655321</v>
      </c>
      <c r="I1556" s="14" t="s">
        <v>5209</v>
      </c>
      <c r="J1556" s="14" t="s">
        <v>10317</v>
      </c>
      <c r="K1556" s="14" t="s">
        <v>140</v>
      </c>
      <c r="L1556" s="14" t="s">
        <v>8069</v>
      </c>
      <c r="M1556" s="14" t="s">
        <v>10318</v>
      </c>
      <c r="N1556" s="14">
        <v>70.866</v>
      </c>
      <c r="O1556" s="14" t="s">
        <v>10319</v>
      </c>
      <c r="P1556" s="14" t="s">
        <v>10320</v>
      </c>
      <c r="Q1556" s="14" t="s">
        <v>193</v>
      </c>
      <c r="R1556" s="14" t="s">
        <v>10321</v>
      </c>
      <c r="S1556" s="14" t="s">
        <v>563</v>
      </c>
      <c r="T1556" s="14" t="s">
        <v>564</v>
      </c>
      <c r="U1556" s="14" t="s">
        <v>528</v>
      </c>
      <c r="V1556" s="48">
        <f>SUMIF(Data!$E:$E,$I1556,Data!$AI:$AI)</f>
        <v>0</v>
      </c>
    </row>
    <row r="1557" spans="1:22" x14ac:dyDescent="0.25">
      <c r="A1557" s="47" t="s">
        <v>10300</v>
      </c>
      <c r="B1557" s="47" t="s">
        <v>123</v>
      </c>
      <c r="C1557" s="47" t="s">
        <v>3167</v>
      </c>
      <c r="D1557" s="47">
        <v>4.4754230400806403</v>
      </c>
      <c r="E1557" s="48">
        <f>SUMIF(Data!$E:$E,$C1557,Data!$AI:$AI)</f>
        <v>0.45612845361825383</v>
      </c>
      <c r="I1557" s="14" t="s">
        <v>10322</v>
      </c>
      <c r="J1557" s="14" t="s">
        <v>10323</v>
      </c>
      <c r="K1557" s="14" t="s">
        <v>140</v>
      </c>
      <c r="L1557" s="14" t="s">
        <v>8069</v>
      </c>
      <c r="M1557" s="14" t="s">
        <v>10324</v>
      </c>
      <c r="N1557" s="14">
        <v>681.43899999999996</v>
      </c>
      <c r="O1557" s="14" t="s">
        <v>10325</v>
      </c>
      <c r="P1557" s="14" t="s">
        <v>10326</v>
      </c>
      <c r="Q1557" s="14" t="s">
        <v>193</v>
      </c>
      <c r="R1557" s="14" t="s">
        <v>10327</v>
      </c>
      <c r="S1557" s="14" t="s">
        <v>1167</v>
      </c>
      <c r="T1557" s="14" t="s">
        <v>1168</v>
      </c>
      <c r="U1557" s="14" t="s">
        <v>528</v>
      </c>
      <c r="V1557" s="48">
        <f>SUMIF(Data!$E:$E,$I1557,Data!$AI:$AI)</f>
        <v>0</v>
      </c>
    </row>
    <row r="1558" spans="1:22" x14ac:dyDescent="0.25">
      <c r="A1558" s="47" t="s">
        <v>10300</v>
      </c>
      <c r="B1558" s="47" t="s">
        <v>123</v>
      </c>
      <c r="C1558" s="47" t="s">
        <v>5192</v>
      </c>
      <c r="D1558" s="47">
        <v>3.0640621246991899</v>
      </c>
      <c r="E1558" s="48">
        <f>SUMIF(Data!$E:$E,$C1558,Data!$AI:$AI)</f>
        <v>0</v>
      </c>
      <c r="I1558" s="14" t="s">
        <v>10328</v>
      </c>
      <c r="J1558" s="14" t="s">
        <v>10329</v>
      </c>
      <c r="K1558" s="14" t="s">
        <v>140</v>
      </c>
      <c r="L1558" s="14" t="s">
        <v>8069</v>
      </c>
      <c r="M1558" s="14" t="s">
        <v>10330</v>
      </c>
      <c r="N1558" s="14">
        <v>811.3</v>
      </c>
      <c r="O1558" s="14" t="s">
        <v>10331</v>
      </c>
      <c r="P1558" s="14" t="s">
        <v>10332</v>
      </c>
      <c r="Q1558" s="14" t="s">
        <v>419</v>
      </c>
      <c r="R1558" s="14" t="s">
        <v>10333</v>
      </c>
      <c r="S1558" s="14" t="s">
        <v>2368</v>
      </c>
      <c r="T1558" s="14" t="s">
        <v>2369</v>
      </c>
      <c r="U1558" s="14" t="s">
        <v>2370</v>
      </c>
      <c r="V1558" s="48">
        <f>SUMIF(Data!$E:$E,$I1558,Data!$AI:$AI)</f>
        <v>0</v>
      </c>
    </row>
    <row r="1559" spans="1:22" x14ac:dyDescent="0.25">
      <c r="A1559" s="47" t="s">
        <v>10300</v>
      </c>
      <c r="B1559" s="47" t="s">
        <v>123</v>
      </c>
      <c r="C1559" s="47" t="s">
        <v>5241</v>
      </c>
      <c r="D1559" s="47">
        <v>4.6853853321340102</v>
      </c>
      <c r="E1559" s="48">
        <f>SUMIF(Data!$E:$E,$C1559,Data!$AI:$AI)</f>
        <v>0.22226848933098653</v>
      </c>
      <c r="I1559" s="14">
        <v>4716</v>
      </c>
      <c r="J1559" s="14" t="s">
        <v>10334</v>
      </c>
      <c r="K1559" s="14" t="s">
        <v>140</v>
      </c>
      <c r="L1559" s="14" t="s">
        <v>8069</v>
      </c>
      <c r="M1559" s="14" t="s">
        <v>10335</v>
      </c>
      <c r="N1559" s="14">
        <v>15.015000000000001</v>
      </c>
      <c r="O1559" s="14" t="s">
        <v>10336</v>
      </c>
      <c r="P1559" s="14" t="s">
        <v>10337</v>
      </c>
      <c r="Q1559" s="14" t="s">
        <v>146</v>
      </c>
      <c r="R1559" s="14" t="s">
        <v>10338</v>
      </c>
      <c r="S1559" s="14" t="s">
        <v>444</v>
      </c>
      <c r="T1559" s="14" t="s">
        <v>445</v>
      </c>
      <c r="U1559" s="14" t="s">
        <v>446</v>
      </c>
      <c r="V1559" s="48">
        <f>SUMIF(Data!$E:$E,$I1559,Data!$AI:$AI)</f>
        <v>0</v>
      </c>
    </row>
    <row r="1560" spans="1:22" x14ac:dyDescent="0.25">
      <c r="A1560" s="47" t="s">
        <v>10300</v>
      </c>
      <c r="B1560" s="47" t="s">
        <v>123</v>
      </c>
      <c r="C1560" s="47" t="s">
        <v>5277</v>
      </c>
      <c r="D1560" s="47">
        <v>5.5932844228855298</v>
      </c>
      <c r="E1560" s="48">
        <f>SUMIF(Data!$E:$E,$C1560,Data!$AI:$AI)</f>
        <v>0.33919062734131172</v>
      </c>
      <c r="I1560" s="14">
        <v>4902</v>
      </c>
      <c r="J1560" s="14" t="s">
        <v>10339</v>
      </c>
      <c r="K1560" s="14" t="s">
        <v>140</v>
      </c>
      <c r="L1560" s="14" t="s">
        <v>8069</v>
      </c>
      <c r="M1560" s="14" t="s">
        <v>9633</v>
      </c>
      <c r="N1560" s="14">
        <v>207.7</v>
      </c>
      <c r="O1560" s="14" t="s">
        <v>10340</v>
      </c>
      <c r="P1560" s="14" t="s">
        <v>10341</v>
      </c>
      <c r="Q1560" s="14" t="s">
        <v>146</v>
      </c>
      <c r="R1560" s="14" t="s">
        <v>10342</v>
      </c>
      <c r="S1560" s="14" t="s">
        <v>444</v>
      </c>
      <c r="T1560" s="14" t="s">
        <v>445</v>
      </c>
      <c r="U1560" s="14" t="s">
        <v>446</v>
      </c>
      <c r="V1560" s="48">
        <f>SUMIF(Data!$E:$E,$I1560,Data!$AI:$AI)</f>
        <v>0</v>
      </c>
    </row>
    <row r="1561" spans="1:22" x14ac:dyDescent="0.25">
      <c r="A1561" s="47" t="s">
        <v>10300</v>
      </c>
      <c r="B1561" s="47" t="s">
        <v>123</v>
      </c>
      <c r="C1561" s="47" t="s">
        <v>5671</v>
      </c>
      <c r="D1561" s="47">
        <v>2.3757874427073302</v>
      </c>
      <c r="E1561" s="48">
        <f>SUMIF(Data!$E:$E,$C1561,Data!$AI:$AI)</f>
        <v>8.1525305525001854E-2</v>
      </c>
      <c r="I1561" s="14">
        <v>8304</v>
      </c>
      <c r="J1561" s="14" t="s">
        <v>10343</v>
      </c>
      <c r="K1561" s="14" t="s">
        <v>140</v>
      </c>
      <c r="L1561" s="14" t="s">
        <v>8069</v>
      </c>
      <c r="M1561" s="14" t="s">
        <v>10344</v>
      </c>
      <c r="N1561" s="14">
        <v>50.27</v>
      </c>
      <c r="O1561" s="14" t="s">
        <v>10345</v>
      </c>
      <c r="P1561" s="14" t="s">
        <v>10346</v>
      </c>
      <c r="Q1561" s="14" t="s">
        <v>193</v>
      </c>
      <c r="R1561" s="14" t="s">
        <v>10347</v>
      </c>
      <c r="S1561" s="14" t="s">
        <v>444</v>
      </c>
      <c r="T1561" s="14" t="s">
        <v>445</v>
      </c>
      <c r="U1561" s="14" t="s">
        <v>446</v>
      </c>
      <c r="V1561" s="48">
        <f>SUMIF(Data!$E:$E,$I1561,Data!$AI:$AI)</f>
        <v>0</v>
      </c>
    </row>
    <row r="1562" spans="1:22" x14ac:dyDescent="0.25">
      <c r="A1562" s="47" t="s">
        <v>10300</v>
      </c>
      <c r="B1562" s="47" t="s">
        <v>123</v>
      </c>
      <c r="C1562" s="47" t="s">
        <v>5678</v>
      </c>
      <c r="D1562" s="47">
        <v>0.93014221891729498</v>
      </c>
      <c r="E1562" s="48">
        <f>SUMIF(Data!$E:$E,$C1562,Data!$AI:$AI)</f>
        <v>0</v>
      </c>
      <c r="I1562" s="14" t="s">
        <v>10348</v>
      </c>
      <c r="J1562" s="14" t="s">
        <v>10349</v>
      </c>
      <c r="K1562" s="14" t="s">
        <v>140</v>
      </c>
      <c r="L1562" s="14" t="s">
        <v>8069</v>
      </c>
      <c r="M1562" s="14" t="s">
        <v>10350</v>
      </c>
      <c r="N1562" s="14">
        <v>86.736000000000004</v>
      </c>
      <c r="O1562" s="14" t="s">
        <v>10351</v>
      </c>
      <c r="P1562" s="14" t="s">
        <v>10352</v>
      </c>
      <c r="Q1562" s="14" t="s">
        <v>809</v>
      </c>
      <c r="R1562" s="14" t="s">
        <v>10353</v>
      </c>
      <c r="S1562" s="14" t="s">
        <v>728</v>
      </c>
      <c r="T1562" s="14" t="s">
        <v>729</v>
      </c>
      <c r="U1562" s="14" t="s">
        <v>730</v>
      </c>
      <c r="V1562" s="48">
        <f>SUMIF(Data!$E:$E,$I1562,Data!$AI:$AI)</f>
        <v>0</v>
      </c>
    </row>
    <row r="1563" spans="1:22" x14ac:dyDescent="0.25">
      <c r="A1563" s="47" t="s">
        <v>10300</v>
      </c>
      <c r="B1563" s="47" t="s">
        <v>123</v>
      </c>
      <c r="C1563" s="47" t="s">
        <v>5692</v>
      </c>
      <c r="D1563" s="47">
        <v>1.74886878029952</v>
      </c>
      <c r="E1563" s="48">
        <f>SUMIF(Data!$E:$E,$C1563,Data!$AI:$AI)</f>
        <v>0</v>
      </c>
      <c r="I1563" s="14" t="s">
        <v>10354</v>
      </c>
      <c r="J1563" s="14" t="s">
        <v>10355</v>
      </c>
      <c r="K1563" s="14" t="s">
        <v>140</v>
      </c>
      <c r="L1563" s="14" t="s">
        <v>8069</v>
      </c>
      <c r="M1563" s="14" t="s">
        <v>9599</v>
      </c>
      <c r="N1563" s="14">
        <v>55.999000000000002</v>
      </c>
      <c r="O1563" s="14" t="s">
        <v>10356</v>
      </c>
      <c r="P1563" s="14" t="s">
        <v>10357</v>
      </c>
      <c r="Q1563" s="14" t="s">
        <v>809</v>
      </c>
      <c r="R1563" s="14" t="s">
        <v>10358</v>
      </c>
      <c r="S1563" s="14" t="s">
        <v>728</v>
      </c>
      <c r="T1563" s="14" t="s">
        <v>729</v>
      </c>
      <c r="U1563" s="14" t="s">
        <v>730</v>
      </c>
      <c r="V1563" s="48">
        <f>SUMIF(Data!$E:$E,$I1563,Data!$AI:$AI)</f>
        <v>0</v>
      </c>
    </row>
    <row r="1564" spans="1:22" x14ac:dyDescent="0.25">
      <c r="A1564" s="47" t="s">
        <v>10300</v>
      </c>
      <c r="B1564" s="47" t="s">
        <v>123</v>
      </c>
      <c r="C1564" s="47" t="s">
        <v>5699</v>
      </c>
      <c r="D1564" s="47">
        <v>2.3028658764224499</v>
      </c>
      <c r="E1564" s="48">
        <f>SUMIF(Data!$E:$E,$C1564,Data!$AI:$AI)</f>
        <v>0</v>
      </c>
      <c r="I1564" s="14" t="s">
        <v>10359</v>
      </c>
      <c r="J1564" s="14" t="s">
        <v>10360</v>
      </c>
      <c r="K1564" s="14" t="s">
        <v>140</v>
      </c>
      <c r="L1564" s="14" t="s">
        <v>8069</v>
      </c>
      <c r="M1564" s="14" t="s">
        <v>10361</v>
      </c>
      <c r="N1564" s="14">
        <v>112.9</v>
      </c>
      <c r="O1564" s="14" t="s">
        <v>10362</v>
      </c>
      <c r="P1564" s="14" t="s">
        <v>10363</v>
      </c>
      <c r="Q1564" s="14" t="s">
        <v>263</v>
      </c>
      <c r="R1564" s="14" t="s">
        <v>10364</v>
      </c>
      <c r="S1564" s="14" t="s">
        <v>728</v>
      </c>
      <c r="T1564" s="14" t="s">
        <v>729</v>
      </c>
      <c r="U1564" s="14" t="s">
        <v>730</v>
      </c>
      <c r="V1564" s="48">
        <f>SUMIF(Data!$E:$E,$I1564,Data!$AI:$AI)</f>
        <v>0</v>
      </c>
    </row>
    <row r="1565" spans="1:22" x14ac:dyDescent="0.25">
      <c r="A1565" s="47" t="s">
        <v>10300</v>
      </c>
      <c r="B1565" s="47" t="s">
        <v>123</v>
      </c>
      <c r="C1565" s="47" t="s">
        <v>3174</v>
      </c>
      <c r="D1565" s="47">
        <v>3.98284151801009</v>
      </c>
      <c r="E1565" s="48">
        <f>SUMIF(Data!$E:$E,$C1565,Data!$AI:$AI)</f>
        <v>0</v>
      </c>
      <c r="I1565" s="14">
        <v>6504</v>
      </c>
      <c r="J1565" s="14" t="s">
        <v>10365</v>
      </c>
      <c r="K1565" s="14" t="s">
        <v>140</v>
      </c>
      <c r="L1565" s="14" t="s">
        <v>8069</v>
      </c>
      <c r="M1565" s="14" t="s">
        <v>10366</v>
      </c>
      <c r="N1565" s="14">
        <v>43.8</v>
      </c>
      <c r="O1565" s="14" t="s">
        <v>10367</v>
      </c>
      <c r="P1565" s="14" t="s">
        <v>10368</v>
      </c>
      <c r="Q1565" s="14" t="s">
        <v>419</v>
      </c>
      <c r="R1565" s="14" t="s">
        <v>10369</v>
      </c>
      <c r="S1565" s="14" t="s">
        <v>444</v>
      </c>
      <c r="T1565" s="14" t="s">
        <v>445</v>
      </c>
      <c r="U1565" s="14" t="s">
        <v>446</v>
      </c>
      <c r="V1565" s="48">
        <f>SUMIF(Data!$E:$E,$I1565,Data!$AI:$AI)</f>
        <v>0</v>
      </c>
    </row>
    <row r="1566" spans="1:22" x14ac:dyDescent="0.25">
      <c r="A1566" s="47" t="s">
        <v>10300</v>
      </c>
      <c r="B1566" s="47" t="s">
        <v>123</v>
      </c>
      <c r="C1566" s="47" t="s">
        <v>5348</v>
      </c>
      <c r="D1566" s="47">
        <v>3.2927658173902801</v>
      </c>
      <c r="E1566" s="48">
        <f>SUMIF(Data!$E:$E,$C1566,Data!$AI:$AI)</f>
        <v>0</v>
      </c>
      <c r="I1566" s="14" t="s">
        <v>10370</v>
      </c>
      <c r="J1566" s="14" t="s">
        <v>10371</v>
      </c>
      <c r="K1566" s="14" t="s">
        <v>140</v>
      </c>
      <c r="L1566" s="14" t="s">
        <v>8069</v>
      </c>
      <c r="M1566" s="14" t="s">
        <v>10372</v>
      </c>
      <c r="N1566" s="14">
        <v>44.877000000000002</v>
      </c>
      <c r="O1566" s="14" t="s">
        <v>10373</v>
      </c>
      <c r="P1566" s="14" t="s">
        <v>10374</v>
      </c>
      <c r="Q1566" s="14" t="s">
        <v>175</v>
      </c>
      <c r="R1566" s="14" t="s">
        <v>10375</v>
      </c>
      <c r="S1566" s="14" t="s">
        <v>563</v>
      </c>
      <c r="T1566" s="14" t="s">
        <v>564</v>
      </c>
      <c r="U1566" s="14" t="s">
        <v>528</v>
      </c>
      <c r="V1566" s="48">
        <f>SUMIF(Data!$E:$E,$I1566,Data!$AI:$AI)</f>
        <v>0</v>
      </c>
    </row>
    <row r="1567" spans="1:22" x14ac:dyDescent="0.25">
      <c r="A1567" s="47" t="s">
        <v>10300</v>
      </c>
      <c r="B1567" s="47" t="s">
        <v>123</v>
      </c>
      <c r="C1567" s="47" t="s">
        <v>5732</v>
      </c>
      <c r="D1567" s="47">
        <v>0.88036809040861397</v>
      </c>
      <c r="E1567" s="48">
        <f>SUMIF(Data!$E:$E,$C1567,Data!$AI:$AI)</f>
        <v>0</v>
      </c>
      <c r="I1567" s="14">
        <v>7956</v>
      </c>
      <c r="J1567" s="14" t="s">
        <v>10376</v>
      </c>
      <c r="K1567" s="14" t="s">
        <v>140</v>
      </c>
      <c r="L1567" s="14" t="s">
        <v>8069</v>
      </c>
      <c r="M1567" s="14" t="s">
        <v>10377</v>
      </c>
      <c r="N1567" s="14">
        <v>34.799999999999997</v>
      </c>
      <c r="O1567" s="14" t="s">
        <v>10378</v>
      </c>
      <c r="P1567" s="14" t="s">
        <v>10379</v>
      </c>
      <c r="Q1567" s="14" t="s">
        <v>227</v>
      </c>
      <c r="R1567" s="14" t="s">
        <v>10380</v>
      </c>
      <c r="S1567" s="14" t="s">
        <v>444</v>
      </c>
      <c r="T1567" s="14" t="s">
        <v>445</v>
      </c>
      <c r="U1567" s="14" t="s">
        <v>446</v>
      </c>
      <c r="V1567" s="48">
        <f>SUMIF(Data!$E:$E,$I1567,Data!$AI:$AI)</f>
        <v>0</v>
      </c>
    </row>
    <row r="1568" spans="1:22" x14ac:dyDescent="0.25">
      <c r="A1568" s="47" t="s">
        <v>10300</v>
      </c>
      <c r="B1568" s="47" t="s">
        <v>123</v>
      </c>
      <c r="C1568" s="47" t="s">
        <v>5755</v>
      </c>
      <c r="D1568" s="47">
        <v>2.3663128556163402</v>
      </c>
      <c r="E1568" s="48">
        <f>SUMIF(Data!$E:$E,$C1568,Data!$AI:$AI)</f>
        <v>0.32250109258134818</v>
      </c>
      <c r="I1568" s="14" t="s">
        <v>10381</v>
      </c>
      <c r="J1568" s="14" t="s">
        <v>10382</v>
      </c>
      <c r="K1568" s="14" t="s">
        <v>140</v>
      </c>
      <c r="L1568" s="14" t="s">
        <v>8069</v>
      </c>
      <c r="M1568" s="14" t="s">
        <v>10383</v>
      </c>
      <c r="N1568" s="14">
        <v>74.587000000000003</v>
      </c>
      <c r="O1568" s="14" t="s">
        <v>10384</v>
      </c>
      <c r="P1568" s="14" t="s">
        <v>10385</v>
      </c>
      <c r="Q1568" s="14" t="s">
        <v>146</v>
      </c>
      <c r="R1568" s="14" t="s">
        <v>10386</v>
      </c>
      <c r="S1568" s="14" t="s">
        <v>148</v>
      </c>
      <c r="T1568" s="14" t="s">
        <v>149</v>
      </c>
      <c r="U1568" s="14" t="s">
        <v>113</v>
      </c>
      <c r="V1568" s="48">
        <f>SUMIF(Data!$E:$E,$I1568,Data!$AI:$AI)</f>
        <v>0</v>
      </c>
    </row>
    <row r="1569" spans="1:22" x14ac:dyDescent="0.25">
      <c r="A1569" s="47" t="s">
        <v>10300</v>
      </c>
      <c r="B1569" s="47" t="s">
        <v>123</v>
      </c>
      <c r="C1569" s="47" t="s">
        <v>5782</v>
      </c>
      <c r="D1569" s="47">
        <v>0.60419479439419099</v>
      </c>
      <c r="E1569" s="48">
        <f>SUMIF(Data!$E:$E,$C1569,Data!$AI:$AI)</f>
        <v>0</v>
      </c>
      <c r="I1569" s="14">
        <v>4751</v>
      </c>
      <c r="J1569" s="14" t="s">
        <v>10387</v>
      </c>
      <c r="K1569" s="14" t="s">
        <v>140</v>
      </c>
      <c r="L1569" s="14" t="s">
        <v>8069</v>
      </c>
      <c r="M1569" s="14" t="s">
        <v>10388</v>
      </c>
      <c r="N1569" s="14">
        <v>37</v>
      </c>
      <c r="O1569" s="14" t="s">
        <v>10389</v>
      </c>
      <c r="P1569" s="14" t="s">
        <v>10390</v>
      </c>
      <c r="Q1569" s="14" t="s">
        <v>175</v>
      </c>
      <c r="R1569" s="14" t="s">
        <v>10391</v>
      </c>
      <c r="S1569" s="14" t="s">
        <v>444</v>
      </c>
      <c r="T1569" s="14" t="s">
        <v>445</v>
      </c>
      <c r="U1569" s="14" t="s">
        <v>446</v>
      </c>
      <c r="V1569" s="48">
        <f>SUMIF(Data!$E:$E,$I1569,Data!$AI:$AI)</f>
        <v>0</v>
      </c>
    </row>
    <row r="1570" spans="1:22" x14ac:dyDescent="0.25">
      <c r="A1570" s="47" t="s">
        <v>10300</v>
      </c>
      <c r="B1570" s="47" t="s">
        <v>123</v>
      </c>
      <c r="C1570" s="47" t="s">
        <v>1780</v>
      </c>
      <c r="D1570" s="47">
        <v>1.4578363818847899</v>
      </c>
      <c r="E1570" s="48">
        <f>SUMIF(Data!$E:$E,$C1570,Data!$AI:$AI)</f>
        <v>0</v>
      </c>
      <c r="I1570" s="14">
        <v>6417</v>
      </c>
      <c r="J1570" s="14" t="s">
        <v>10392</v>
      </c>
      <c r="K1570" s="14" t="s">
        <v>140</v>
      </c>
      <c r="L1570" s="14" t="s">
        <v>8069</v>
      </c>
      <c r="M1570" s="14" t="s">
        <v>10393</v>
      </c>
      <c r="N1570" s="14">
        <v>39.045999999999999</v>
      </c>
      <c r="O1570" s="14" t="s">
        <v>10394</v>
      </c>
      <c r="P1570" s="14" t="s">
        <v>10395</v>
      </c>
      <c r="Q1570" s="14" t="s">
        <v>165</v>
      </c>
      <c r="R1570" s="14" t="s">
        <v>10396</v>
      </c>
      <c r="S1570" s="14" t="s">
        <v>444</v>
      </c>
      <c r="T1570" s="14" t="s">
        <v>445</v>
      </c>
      <c r="U1570" s="14" t="s">
        <v>446</v>
      </c>
      <c r="V1570" s="48">
        <f>SUMIF(Data!$E:$E,$I1570,Data!$AI:$AI)</f>
        <v>0</v>
      </c>
    </row>
    <row r="1571" spans="1:22" x14ac:dyDescent="0.25">
      <c r="A1571" s="47" t="s">
        <v>10300</v>
      </c>
      <c r="B1571" s="47" t="s">
        <v>123</v>
      </c>
      <c r="C1571" s="47" t="s">
        <v>5382</v>
      </c>
      <c r="D1571" s="47">
        <v>2.0625576427389198</v>
      </c>
      <c r="E1571" s="48">
        <f>SUMIF(Data!$E:$E,$C1571,Data!$AI:$AI)</f>
        <v>0</v>
      </c>
      <c r="I1571" s="14">
        <v>9364</v>
      </c>
      <c r="J1571" s="14" t="s">
        <v>10397</v>
      </c>
      <c r="K1571" s="14" t="s">
        <v>140</v>
      </c>
      <c r="L1571" s="14" t="s">
        <v>8069</v>
      </c>
      <c r="M1571" s="14" t="s">
        <v>10398</v>
      </c>
      <c r="N1571" s="14">
        <v>59.4</v>
      </c>
      <c r="O1571" s="14" t="s">
        <v>10399</v>
      </c>
      <c r="P1571" s="14" t="s">
        <v>10400</v>
      </c>
      <c r="Q1571" s="14" t="s">
        <v>419</v>
      </c>
      <c r="R1571" s="14" t="s">
        <v>10401</v>
      </c>
      <c r="S1571" s="14" t="s">
        <v>444</v>
      </c>
      <c r="T1571" s="14" t="s">
        <v>445</v>
      </c>
      <c r="U1571" s="14" t="s">
        <v>446</v>
      </c>
      <c r="V1571" s="48">
        <f>SUMIF(Data!$E:$E,$I1571,Data!$AI:$AI)</f>
        <v>0</v>
      </c>
    </row>
    <row r="1572" spans="1:22" x14ac:dyDescent="0.25">
      <c r="A1572" s="47" t="s">
        <v>10300</v>
      </c>
      <c r="B1572" s="47" t="s">
        <v>123</v>
      </c>
      <c r="C1572" s="47" t="s">
        <v>5809</v>
      </c>
      <c r="D1572" s="47">
        <v>0.77765239073418502</v>
      </c>
      <c r="E1572" s="48">
        <f>SUMIF(Data!$E:$E,$C1572,Data!$AI:$AI)</f>
        <v>0</v>
      </c>
      <c r="I1572" s="14">
        <v>4004</v>
      </c>
      <c r="J1572" s="14" t="s">
        <v>10402</v>
      </c>
      <c r="K1572" s="14" t="s">
        <v>140</v>
      </c>
      <c r="L1572" s="14" t="s">
        <v>8069</v>
      </c>
      <c r="M1572" s="14" t="s">
        <v>10403</v>
      </c>
      <c r="N1572" s="14">
        <v>51.5</v>
      </c>
      <c r="O1572" s="14" t="s">
        <v>10404</v>
      </c>
      <c r="P1572" s="14" t="s">
        <v>10405</v>
      </c>
      <c r="Q1572" s="14" t="s">
        <v>737</v>
      </c>
      <c r="R1572" s="14" t="s">
        <v>10406</v>
      </c>
      <c r="S1572" s="14" t="s">
        <v>444</v>
      </c>
      <c r="T1572" s="14" t="s">
        <v>445</v>
      </c>
      <c r="U1572" s="14" t="s">
        <v>446</v>
      </c>
      <c r="V1572" s="48">
        <f>SUMIF(Data!$E:$E,$I1572,Data!$AI:$AI)</f>
        <v>0</v>
      </c>
    </row>
    <row r="1573" spans="1:22" x14ac:dyDescent="0.25">
      <c r="A1573" s="47" t="s">
        <v>10300</v>
      </c>
      <c r="B1573" s="47" t="s">
        <v>123</v>
      </c>
      <c r="C1573" s="47" t="s">
        <v>5005</v>
      </c>
      <c r="D1573" s="47">
        <v>13.2938755141892</v>
      </c>
      <c r="E1573" s="48">
        <f>SUMIF(Data!$E:$E,$C1573,Data!$AI:$AI)</f>
        <v>0</v>
      </c>
      <c r="I1573" s="14" t="s">
        <v>10407</v>
      </c>
      <c r="J1573" s="14" t="s">
        <v>10408</v>
      </c>
      <c r="K1573" s="14" t="s">
        <v>140</v>
      </c>
      <c r="L1573" s="14" t="s">
        <v>8069</v>
      </c>
      <c r="M1573" s="14" t="s">
        <v>10409</v>
      </c>
      <c r="N1573" s="14">
        <v>15.429</v>
      </c>
      <c r="O1573" s="14" t="s">
        <v>10410</v>
      </c>
      <c r="P1573" s="14" t="s">
        <v>10411</v>
      </c>
      <c r="Q1573" s="14" t="s">
        <v>193</v>
      </c>
      <c r="R1573" s="14" t="s">
        <v>10412</v>
      </c>
      <c r="S1573" s="14" t="s">
        <v>6417</v>
      </c>
      <c r="T1573" s="14" t="s">
        <v>230</v>
      </c>
      <c r="U1573" s="14" t="s">
        <v>231</v>
      </c>
      <c r="V1573" s="48">
        <f>SUMIF(Data!$E:$E,$I1573,Data!$AI:$AI)</f>
        <v>0</v>
      </c>
    </row>
    <row r="1574" spans="1:22" x14ac:dyDescent="0.25">
      <c r="A1574" s="47" t="s">
        <v>10413</v>
      </c>
      <c r="B1574" s="47" t="s">
        <v>123</v>
      </c>
      <c r="C1574" s="47" t="s">
        <v>5477</v>
      </c>
      <c r="D1574" s="47">
        <v>1.95433282808654</v>
      </c>
      <c r="E1574" s="48">
        <f>SUMIF(Data!$E:$E,$C1574,Data!$AI:$AI)</f>
        <v>0</v>
      </c>
      <c r="I1574" s="14">
        <v>2651</v>
      </c>
      <c r="J1574" s="14" t="s">
        <v>10414</v>
      </c>
      <c r="K1574" s="14" t="s">
        <v>140</v>
      </c>
      <c r="L1574" s="14" t="s">
        <v>8069</v>
      </c>
      <c r="M1574" s="14" t="s">
        <v>10415</v>
      </c>
      <c r="N1574" s="14">
        <v>21.05</v>
      </c>
      <c r="O1574" s="14" t="s">
        <v>10416</v>
      </c>
      <c r="P1574" s="14" t="s">
        <v>10417</v>
      </c>
      <c r="Q1574" s="14" t="s">
        <v>227</v>
      </c>
      <c r="R1574" s="14" t="s">
        <v>10418</v>
      </c>
      <c r="S1574" s="14" t="s">
        <v>444</v>
      </c>
      <c r="T1574" s="14" t="s">
        <v>445</v>
      </c>
      <c r="U1574" s="14" t="s">
        <v>446</v>
      </c>
      <c r="V1574" s="48">
        <f>SUMIF(Data!$E:$E,$I1574,Data!$AI:$AI)</f>
        <v>0</v>
      </c>
    </row>
    <row r="1575" spans="1:22" x14ac:dyDescent="0.25">
      <c r="A1575" s="47" t="s">
        <v>10413</v>
      </c>
      <c r="B1575" s="47" t="s">
        <v>123</v>
      </c>
      <c r="C1575" s="47" t="s">
        <v>3145</v>
      </c>
      <c r="D1575" s="47">
        <v>18.244810492059099</v>
      </c>
      <c r="E1575" s="48">
        <f>SUMIF(Data!$E:$E,$C1575,Data!$AI:$AI)</f>
        <v>0</v>
      </c>
      <c r="I1575" s="14">
        <v>3141</v>
      </c>
      <c r="J1575" s="14" t="s">
        <v>10419</v>
      </c>
      <c r="K1575" s="14" t="s">
        <v>140</v>
      </c>
      <c r="L1575" s="14" t="s">
        <v>8069</v>
      </c>
      <c r="M1575" s="14" t="s">
        <v>10420</v>
      </c>
      <c r="N1575" s="14">
        <v>19.8</v>
      </c>
      <c r="O1575" s="14" t="s">
        <v>10421</v>
      </c>
      <c r="P1575" s="14" t="s">
        <v>10422</v>
      </c>
      <c r="Q1575" s="14" t="s">
        <v>227</v>
      </c>
      <c r="R1575" s="14" t="s">
        <v>10423</v>
      </c>
      <c r="S1575" s="14" t="s">
        <v>444</v>
      </c>
      <c r="T1575" s="14" t="s">
        <v>445</v>
      </c>
      <c r="U1575" s="14" t="s">
        <v>446</v>
      </c>
      <c r="V1575" s="48">
        <f>SUMIF(Data!$E:$E,$I1575,Data!$AI:$AI)</f>
        <v>0</v>
      </c>
    </row>
    <row r="1576" spans="1:22" x14ac:dyDescent="0.25">
      <c r="A1576" s="47" t="s">
        <v>10413</v>
      </c>
      <c r="B1576" s="47" t="s">
        <v>123</v>
      </c>
      <c r="C1576" s="47" t="s">
        <v>3152</v>
      </c>
      <c r="D1576" s="47">
        <v>6.2811442360619099</v>
      </c>
      <c r="E1576" s="48">
        <f>SUMIF(Data!$E:$E,$C1576,Data!$AI:$AI)</f>
        <v>0.13519946439795033</v>
      </c>
      <c r="I1576" s="14" t="s">
        <v>10424</v>
      </c>
      <c r="J1576" s="14" t="s">
        <v>7475</v>
      </c>
      <c r="K1576" s="14" t="s">
        <v>140</v>
      </c>
      <c r="L1576" s="14" t="s">
        <v>8069</v>
      </c>
      <c r="M1576" s="14" t="s">
        <v>10425</v>
      </c>
      <c r="N1576" s="14">
        <v>23.771999999999998</v>
      </c>
      <c r="O1576" s="14" t="s">
        <v>10426</v>
      </c>
      <c r="P1576" s="14" t="s">
        <v>10427</v>
      </c>
      <c r="Q1576" s="14" t="s">
        <v>165</v>
      </c>
      <c r="R1576" s="14" t="s">
        <v>10428</v>
      </c>
      <c r="S1576" s="14" t="s">
        <v>6417</v>
      </c>
      <c r="T1576" s="14" t="s">
        <v>230</v>
      </c>
      <c r="U1576" s="14" t="s">
        <v>231</v>
      </c>
      <c r="V1576" s="48">
        <f>SUMIF(Data!$E:$E,$I1576,Data!$AI:$AI)</f>
        <v>0</v>
      </c>
    </row>
    <row r="1577" spans="1:22" x14ac:dyDescent="0.25">
      <c r="A1577" s="47" t="s">
        <v>10413</v>
      </c>
      <c r="B1577" s="47" t="s">
        <v>123</v>
      </c>
      <c r="C1577" s="47" t="s">
        <v>3160</v>
      </c>
      <c r="D1577" s="47">
        <v>13.745127649198301</v>
      </c>
      <c r="E1577" s="48">
        <f>SUMIF(Data!$E:$E,$C1577,Data!$AI:$AI)</f>
        <v>0.48939641738655321</v>
      </c>
      <c r="I1577" s="14" t="s">
        <v>10429</v>
      </c>
      <c r="J1577" s="14" t="s">
        <v>10430</v>
      </c>
      <c r="K1577" s="14" t="s">
        <v>140</v>
      </c>
      <c r="L1577" s="14" t="s">
        <v>8069</v>
      </c>
      <c r="M1577" s="14" t="s">
        <v>10431</v>
      </c>
      <c r="N1577" s="14">
        <v>210.74299999999999</v>
      </c>
      <c r="O1577" s="14" t="s">
        <v>10432</v>
      </c>
      <c r="P1577" s="14" t="s">
        <v>10433</v>
      </c>
      <c r="Q1577" s="14" t="s">
        <v>165</v>
      </c>
      <c r="R1577" s="14" t="s">
        <v>10434</v>
      </c>
      <c r="S1577" s="14" t="s">
        <v>1130</v>
      </c>
      <c r="T1577" s="14" t="s">
        <v>1131</v>
      </c>
      <c r="U1577" s="14" t="s">
        <v>528</v>
      </c>
      <c r="V1577" s="48">
        <f>SUMIF(Data!$E:$E,$I1577,Data!$AI:$AI)</f>
        <v>0</v>
      </c>
    </row>
    <row r="1578" spans="1:22" x14ac:dyDescent="0.25">
      <c r="A1578" s="47" t="s">
        <v>10413</v>
      </c>
      <c r="B1578" s="47" t="s">
        <v>123</v>
      </c>
      <c r="C1578" s="47" t="s">
        <v>3167</v>
      </c>
      <c r="D1578" s="47">
        <v>3.9046246821202799</v>
      </c>
      <c r="E1578" s="48">
        <f>SUMIF(Data!$E:$E,$C1578,Data!$AI:$AI)</f>
        <v>0.45612845361825383</v>
      </c>
      <c r="I1578" s="14">
        <v>8439</v>
      </c>
      <c r="J1578" s="14" t="s">
        <v>10435</v>
      </c>
      <c r="K1578" s="14" t="s">
        <v>140</v>
      </c>
      <c r="L1578" s="14" t="s">
        <v>8069</v>
      </c>
      <c r="M1578" s="14" t="s">
        <v>10436</v>
      </c>
      <c r="N1578" s="14">
        <v>23.4</v>
      </c>
      <c r="O1578" s="14" t="s">
        <v>10437</v>
      </c>
      <c r="P1578" s="14" t="s">
        <v>10438</v>
      </c>
      <c r="Q1578" s="14" t="s">
        <v>193</v>
      </c>
      <c r="R1578" s="14" t="s">
        <v>10439</v>
      </c>
      <c r="S1578" s="14" t="s">
        <v>444</v>
      </c>
      <c r="T1578" s="14" t="s">
        <v>445</v>
      </c>
      <c r="U1578" s="14" t="s">
        <v>446</v>
      </c>
      <c r="V1578" s="48">
        <f>SUMIF(Data!$E:$E,$I1578,Data!$AI:$AI)</f>
        <v>0</v>
      </c>
    </row>
    <row r="1579" spans="1:22" x14ac:dyDescent="0.25">
      <c r="A1579" s="47" t="s">
        <v>10413</v>
      </c>
      <c r="B1579" s="47" t="s">
        <v>123</v>
      </c>
      <c r="C1579" s="47" t="s">
        <v>5192</v>
      </c>
      <c r="D1579" s="47">
        <v>2.6732696535062699</v>
      </c>
      <c r="E1579" s="48">
        <f>SUMIF(Data!$E:$E,$C1579,Data!$AI:$AI)</f>
        <v>0</v>
      </c>
      <c r="I1579" s="14">
        <v>9987</v>
      </c>
      <c r="J1579" s="14" t="s">
        <v>10440</v>
      </c>
      <c r="K1579" s="14" t="s">
        <v>140</v>
      </c>
      <c r="L1579" s="14" t="s">
        <v>8069</v>
      </c>
      <c r="M1579" s="14" t="s">
        <v>10441</v>
      </c>
      <c r="N1579" s="14">
        <v>30.331</v>
      </c>
      <c r="O1579" s="14" t="s">
        <v>10442</v>
      </c>
      <c r="P1579" s="14" t="s">
        <v>10443</v>
      </c>
      <c r="Q1579" s="14" t="s">
        <v>211</v>
      </c>
      <c r="R1579" s="14" t="s">
        <v>10444</v>
      </c>
      <c r="S1579" s="14" t="s">
        <v>444</v>
      </c>
      <c r="T1579" s="14" t="s">
        <v>445</v>
      </c>
      <c r="U1579" s="14" t="s">
        <v>446</v>
      </c>
      <c r="V1579" s="48">
        <f>SUMIF(Data!$E:$E,$I1579,Data!$AI:$AI)</f>
        <v>0</v>
      </c>
    </row>
    <row r="1580" spans="1:22" x14ac:dyDescent="0.25">
      <c r="A1580" s="47" t="s">
        <v>10413</v>
      </c>
      <c r="B1580" s="47" t="s">
        <v>123</v>
      </c>
      <c r="C1580" s="47" t="s">
        <v>5241</v>
      </c>
      <c r="D1580" s="47">
        <v>4.0878082472322399</v>
      </c>
      <c r="E1580" s="48">
        <f>SUMIF(Data!$E:$E,$C1580,Data!$AI:$AI)</f>
        <v>0.22226848933098653</v>
      </c>
      <c r="I1580" s="14">
        <v>6806</v>
      </c>
      <c r="J1580" s="14" t="s">
        <v>10445</v>
      </c>
      <c r="K1580" s="14" t="s">
        <v>140</v>
      </c>
      <c r="L1580" s="14" t="s">
        <v>8069</v>
      </c>
      <c r="M1580" s="14" t="s">
        <v>10446</v>
      </c>
      <c r="N1580" s="14">
        <v>9.4499999999999993</v>
      </c>
      <c r="O1580" s="14" t="s">
        <v>10447</v>
      </c>
      <c r="P1580" s="14" t="s">
        <v>10448</v>
      </c>
      <c r="Q1580" s="14" t="s">
        <v>146</v>
      </c>
      <c r="R1580" s="14" t="s">
        <v>10449</v>
      </c>
      <c r="S1580" s="14" t="s">
        <v>444</v>
      </c>
      <c r="T1580" s="14" t="s">
        <v>445</v>
      </c>
      <c r="U1580" s="14" t="s">
        <v>446</v>
      </c>
      <c r="V1580" s="48">
        <f>SUMIF(Data!$E:$E,$I1580,Data!$AI:$AI)</f>
        <v>0</v>
      </c>
    </row>
    <row r="1581" spans="1:22" x14ac:dyDescent="0.25">
      <c r="A1581" s="47" t="s">
        <v>10413</v>
      </c>
      <c r="B1581" s="47" t="s">
        <v>123</v>
      </c>
      <c r="C1581" s="47" t="s">
        <v>5277</v>
      </c>
      <c r="D1581" s="47">
        <v>4.8799132989502203</v>
      </c>
      <c r="E1581" s="48">
        <f>SUMIF(Data!$E:$E,$C1581,Data!$AI:$AI)</f>
        <v>0.33919062734131172</v>
      </c>
      <c r="I1581" s="14">
        <v>9989</v>
      </c>
      <c r="J1581" s="14" t="s">
        <v>10450</v>
      </c>
      <c r="K1581" s="14" t="s">
        <v>140</v>
      </c>
      <c r="L1581" s="14" t="s">
        <v>8069</v>
      </c>
      <c r="M1581" s="14" t="s">
        <v>10451</v>
      </c>
      <c r="N1581" s="14">
        <v>33.5</v>
      </c>
      <c r="O1581" s="14" t="s">
        <v>10452</v>
      </c>
      <c r="P1581" s="14" t="s">
        <v>10453</v>
      </c>
      <c r="Q1581" s="14" t="s">
        <v>227</v>
      </c>
      <c r="R1581" s="14" t="s">
        <v>10454</v>
      </c>
      <c r="S1581" s="14" t="s">
        <v>444</v>
      </c>
      <c r="T1581" s="14" t="s">
        <v>445</v>
      </c>
      <c r="U1581" s="14" t="s">
        <v>446</v>
      </c>
      <c r="V1581" s="48">
        <f>SUMIF(Data!$E:$E,$I1581,Data!$AI:$AI)</f>
        <v>0</v>
      </c>
    </row>
    <row r="1582" spans="1:22" x14ac:dyDescent="0.25">
      <c r="A1582" s="47" t="s">
        <v>10413</v>
      </c>
      <c r="B1582" s="47" t="s">
        <v>123</v>
      </c>
      <c r="C1582" s="47" t="s">
        <v>5284</v>
      </c>
      <c r="D1582" s="47">
        <v>4.4185636961507297</v>
      </c>
      <c r="E1582" s="48">
        <f>SUMIF(Data!$E:$E,$C1582,Data!$AI:$AI)</f>
        <v>0.14335552808713869</v>
      </c>
      <c r="I1582" s="14" t="s">
        <v>10455</v>
      </c>
      <c r="J1582" s="14" t="s">
        <v>10456</v>
      </c>
      <c r="K1582" s="14" t="s">
        <v>140</v>
      </c>
      <c r="L1582" s="14" t="s">
        <v>10457</v>
      </c>
      <c r="M1582" s="14" t="s">
        <v>10458</v>
      </c>
      <c r="N1582" s="14">
        <v>48.046999999999997</v>
      </c>
      <c r="O1582" s="14" t="s">
        <v>10459</v>
      </c>
      <c r="P1582" s="14" t="s">
        <v>10460</v>
      </c>
      <c r="Q1582" s="14" t="s">
        <v>193</v>
      </c>
      <c r="R1582" s="14" t="s">
        <v>10461</v>
      </c>
      <c r="S1582" s="14" t="s">
        <v>5891</v>
      </c>
      <c r="T1582" s="14" t="s">
        <v>5892</v>
      </c>
      <c r="U1582" s="14" t="s">
        <v>528</v>
      </c>
      <c r="V1582" s="48">
        <f>SUMIF(Data!$E:$E,$I1582,Data!$AI:$AI)</f>
        <v>0</v>
      </c>
    </row>
    <row r="1583" spans="1:22" x14ac:dyDescent="0.25">
      <c r="A1583" s="47" t="s">
        <v>10413</v>
      </c>
      <c r="B1583" s="47" t="s">
        <v>123</v>
      </c>
      <c r="C1583" s="47" t="s">
        <v>5671</v>
      </c>
      <c r="D1583" s="47">
        <v>2.0727779709735099</v>
      </c>
      <c r="E1583" s="48">
        <f>SUMIF(Data!$E:$E,$C1583,Data!$AI:$AI)</f>
        <v>8.1525305525001854E-2</v>
      </c>
      <c r="I1583" s="14" t="s">
        <v>10462</v>
      </c>
      <c r="J1583" s="14" t="s">
        <v>10463</v>
      </c>
      <c r="K1583" s="14" t="s">
        <v>140</v>
      </c>
      <c r="L1583" s="14" t="s">
        <v>10457</v>
      </c>
      <c r="M1583" s="14" t="s">
        <v>10464</v>
      </c>
      <c r="N1583" s="14">
        <v>230.798</v>
      </c>
      <c r="O1583" s="14" t="s">
        <v>10465</v>
      </c>
      <c r="P1583" s="14" t="s">
        <v>10466</v>
      </c>
      <c r="Q1583" s="14" t="s">
        <v>737</v>
      </c>
      <c r="R1583" s="14" t="s">
        <v>10467</v>
      </c>
      <c r="S1583" s="14" t="s">
        <v>479</v>
      </c>
      <c r="T1583" s="14" t="s">
        <v>480</v>
      </c>
      <c r="U1583" s="14" t="s">
        <v>481</v>
      </c>
      <c r="V1583" s="48">
        <f>SUMIF(Data!$E:$E,$I1583,Data!$AI:$AI)</f>
        <v>0</v>
      </c>
    </row>
    <row r="1584" spans="1:22" x14ac:dyDescent="0.25">
      <c r="A1584" s="47" t="s">
        <v>10413</v>
      </c>
      <c r="B1584" s="47" t="s">
        <v>123</v>
      </c>
      <c r="C1584" s="47" t="s">
        <v>5678</v>
      </c>
      <c r="D1584" s="47">
        <v>0.81151127688728097</v>
      </c>
      <c r="E1584" s="48">
        <f>SUMIF(Data!$E:$E,$C1584,Data!$AI:$AI)</f>
        <v>0</v>
      </c>
      <c r="I1584" s="14" t="s">
        <v>10468</v>
      </c>
      <c r="J1584" s="14" t="s">
        <v>10469</v>
      </c>
      <c r="K1584" s="14" t="s">
        <v>140</v>
      </c>
      <c r="L1584" s="14" t="s">
        <v>10457</v>
      </c>
      <c r="M1584" s="14" t="s">
        <v>10470</v>
      </c>
      <c r="N1584" s="14">
        <v>74.483000000000004</v>
      </c>
      <c r="O1584" s="14" t="s">
        <v>10471</v>
      </c>
      <c r="P1584" s="14" t="s">
        <v>10472</v>
      </c>
      <c r="Q1584" s="14" t="s">
        <v>175</v>
      </c>
      <c r="R1584" s="14" t="s">
        <v>10473</v>
      </c>
      <c r="S1584" s="14" t="s">
        <v>563</v>
      </c>
      <c r="T1584" s="14" t="s">
        <v>564</v>
      </c>
      <c r="U1584" s="14" t="s">
        <v>528</v>
      </c>
      <c r="V1584" s="48">
        <f>SUMIF(Data!$E:$E,$I1584,Data!$AI:$AI)</f>
        <v>0</v>
      </c>
    </row>
    <row r="1585" spans="1:22" x14ac:dyDescent="0.25">
      <c r="A1585" s="47" t="s">
        <v>10413</v>
      </c>
      <c r="B1585" s="47" t="s">
        <v>123</v>
      </c>
      <c r="C1585" s="47" t="s">
        <v>5692</v>
      </c>
      <c r="D1585" s="47">
        <v>1.52581692148236</v>
      </c>
      <c r="E1585" s="48">
        <f>SUMIF(Data!$E:$E,$C1585,Data!$AI:$AI)</f>
        <v>0</v>
      </c>
      <c r="I1585" s="14" t="s">
        <v>10474</v>
      </c>
      <c r="J1585" s="14" t="s">
        <v>10475</v>
      </c>
      <c r="K1585" s="14" t="s">
        <v>140</v>
      </c>
      <c r="L1585" s="14" t="s">
        <v>10457</v>
      </c>
      <c r="M1585" s="14" t="s">
        <v>10476</v>
      </c>
      <c r="N1585" s="14">
        <v>205</v>
      </c>
      <c r="O1585" s="14" t="s">
        <v>10477</v>
      </c>
      <c r="P1585" s="14" t="s">
        <v>10478</v>
      </c>
      <c r="Q1585" s="14" t="s">
        <v>227</v>
      </c>
      <c r="R1585" s="14" t="s">
        <v>10479</v>
      </c>
      <c r="S1585" s="14" t="s">
        <v>2368</v>
      </c>
      <c r="T1585" s="14" t="s">
        <v>553</v>
      </c>
      <c r="U1585" s="14" t="s">
        <v>113</v>
      </c>
      <c r="V1585" s="48">
        <f>SUMIF(Data!$E:$E,$I1585,Data!$AI:$AI)</f>
        <v>0</v>
      </c>
    </row>
    <row r="1586" spans="1:22" x14ac:dyDescent="0.25">
      <c r="A1586" s="47" t="s">
        <v>10413</v>
      </c>
      <c r="B1586" s="47" t="s">
        <v>123</v>
      </c>
      <c r="C1586" s="47" t="s">
        <v>5699</v>
      </c>
      <c r="D1586" s="47">
        <v>2.00915686856044</v>
      </c>
      <c r="E1586" s="48">
        <f>SUMIF(Data!$E:$E,$C1586,Data!$AI:$AI)</f>
        <v>0</v>
      </c>
      <c r="I1586" s="14" t="s">
        <v>10480</v>
      </c>
      <c r="J1586" s="14" t="s">
        <v>10481</v>
      </c>
      <c r="K1586" s="14" t="s">
        <v>140</v>
      </c>
      <c r="L1586" s="14" t="s">
        <v>10457</v>
      </c>
      <c r="M1586" s="14" t="s">
        <v>10482</v>
      </c>
      <c r="N1586" s="14">
        <v>27.62</v>
      </c>
      <c r="O1586" s="14" t="s">
        <v>10483</v>
      </c>
      <c r="P1586" s="14" t="s">
        <v>10484</v>
      </c>
      <c r="Q1586" s="14" t="s">
        <v>227</v>
      </c>
      <c r="R1586" s="14" t="s">
        <v>10485</v>
      </c>
      <c r="S1586" s="14" t="s">
        <v>563</v>
      </c>
      <c r="T1586" s="14" t="s">
        <v>564</v>
      </c>
      <c r="U1586" s="14" t="s">
        <v>528</v>
      </c>
      <c r="V1586" s="48">
        <f>SUMIF(Data!$E:$E,$I1586,Data!$AI:$AI)</f>
        <v>0</v>
      </c>
    </row>
    <row r="1587" spans="1:22" x14ac:dyDescent="0.25">
      <c r="A1587" s="47" t="s">
        <v>10413</v>
      </c>
      <c r="B1587" s="47" t="s">
        <v>123</v>
      </c>
      <c r="C1587" s="47" t="s">
        <v>3174</v>
      </c>
      <c r="D1587" s="47">
        <v>3.4748673269366299</v>
      </c>
      <c r="E1587" s="48">
        <f>SUMIF(Data!$E:$E,$C1587,Data!$AI:$AI)</f>
        <v>0</v>
      </c>
      <c r="I1587" s="14">
        <v>5463</v>
      </c>
      <c r="J1587" s="14" t="s">
        <v>10486</v>
      </c>
      <c r="K1587" s="14" t="s">
        <v>140</v>
      </c>
      <c r="L1587" s="14" t="s">
        <v>10457</v>
      </c>
      <c r="M1587" s="14" t="s">
        <v>10487</v>
      </c>
      <c r="N1587" s="14">
        <v>41.1</v>
      </c>
      <c r="O1587" s="14" t="s">
        <v>10488</v>
      </c>
      <c r="P1587" s="14" t="s">
        <v>10489</v>
      </c>
      <c r="Q1587" s="14" t="s">
        <v>737</v>
      </c>
      <c r="R1587" s="14" t="s">
        <v>10490</v>
      </c>
      <c r="S1587" s="14" t="s">
        <v>444</v>
      </c>
      <c r="T1587" s="14" t="s">
        <v>445</v>
      </c>
      <c r="U1587" s="14" t="s">
        <v>446</v>
      </c>
      <c r="V1587" s="48">
        <f>SUMIF(Data!$E:$E,$I1587,Data!$AI:$AI)</f>
        <v>0</v>
      </c>
    </row>
    <row r="1588" spans="1:22" x14ac:dyDescent="0.25">
      <c r="A1588" s="47" t="s">
        <v>10413</v>
      </c>
      <c r="B1588" s="47" t="s">
        <v>123</v>
      </c>
      <c r="C1588" s="47" t="s">
        <v>5335</v>
      </c>
      <c r="D1588" s="47">
        <v>8.1291983366504503</v>
      </c>
      <c r="E1588" s="48">
        <f>SUMIF(Data!$E:$E,$C1588,Data!$AI:$AI)</f>
        <v>0</v>
      </c>
      <c r="I1588" s="14" t="s">
        <v>10491</v>
      </c>
      <c r="J1588" s="14" t="s">
        <v>10492</v>
      </c>
      <c r="K1588" s="14" t="s">
        <v>140</v>
      </c>
      <c r="L1588" s="14" t="s">
        <v>10457</v>
      </c>
      <c r="M1588" s="14" t="s">
        <v>10493</v>
      </c>
      <c r="N1588" s="14">
        <v>91.546000000000006</v>
      </c>
      <c r="O1588" s="14" t="s">
        <v>10494</v>
      </c>
      <c r="P1588" s="14" t="s">
        <v>10495</v>
      </c>
      <c r="Q1588" s="14" t="s">
        <v>419</v>
      </c>
      <c r="R1588" s="14" t="s">
        <v>10496</v>
      </c>
      <c r="S1588" s="14" t="s">
        <v>1130</v>
      </c>
      <c r="T1588" s="14" t="s">
        <v>1131</v>
      </c>
      <c r="U1588" s="14" t="s">
        <v>528</v>
      </c>
      <c r="V1588" s="48">
        <f>SUMIF(Data!$E:$E,$I1588,Data!$AI:$AI)</f>
        <v>0</v>
      </c>
    </row>
    <row r="1589" spans="1:22" x14ac:dyDescent="0.25">
      <c r="A1589" s="47" t="s">
        <v>10413</v>
      </c>
      <c r="B1589" s="47" t="s">
        <v>123</v>
      </c>
      <c r="C1589" s="47" t="s">
        <v>5348</v>
      </c>
      <c r="D1589" s="47">
        <v>2.8728043288601399</v>
      </c>
      <c r="E1589" s="48">
        <f>SUMIF(Data!$E:$E,$C1589,Data!$AI:$AI)</f>
        <v>0</v>
      </c>
      <c r="I1589" s="14">
        <v>3231</v>
      </c>
      <c r="J1589" s="14" t="s">
        <v>10497</v>
      </c>
      <c r="K1589" s="14" t="s">
        <v>140</v>
      </c>
      <c r="L1589" s="14" t="s">
        <v>10457</v>
      </c>
      <c r="M1589" s="14" t="s">
        <v>10498</v>
      </c>
      <c r="N1589" s="14">
        <v>47.8</v>
      </c>
      <c r="O1589" s="14" t="s">
        <v>10499</v>
      </c>
      <c r="P1589" s="14" t="s">
        <v>10500</v>
      </c>
      <c r="Q1589" s="14" t="s">
        <v>809</v>
      </c>
      <c r="R1589" s="14" t="s">
        <v>10501</v>
      </c>
      <c r="S1589" s="14" t="s">
        <v>444</v>
      </c>
      <c r="T1589" s="14" t="s">
        <v>445</v>
      </c>
      <c r="U1589" s="14" t="s">
        <v>446</v>
      </c>
      <c r="V1589" s="48">
        <f>SUMIF(Data!$E:$E,$I1589,Data!$AI:$AI)</f>
        <v>0</v>
      </c>
    </row>
    <row r="1590" spans="1:22" x14ac:dyDescent="0.25">
      <c r="A1590" s="47" t="s">
        <v>10413</v>
      </c>
      <c r="B1590" s="47" t="s">
        <v>123</v>
      </c>
      <c r="C1590" s="47" t="s">
        <v>5354</v>
      </c>
      <c r="D1590" s="47">
        <v>1.5443456684716199</v>
      </c>
      <c r="E1590" s="48">
        <f>SUMIF(Data!$E:$E,$C1590,Data!$AI:$AI)</f>
        <v>0</v>
      </c>
      <c r="I1590" s="14">
        <v>6481</v>
      </c>
      <c r="J1590" s="14" t="s">
        <v>10502</v>
      </c>
      <c r="K1590" s="14" t="s">
        <v>140</v>
      </c>
      <c r="L1590" s="14" t="s">
        <v>10457</v>
      </c>
      <c r="M1590" s="14" t="s">
        <v>10487</v>
      </c>
      <c r="N1590" s="14">
        <v>40.856000000000002</v>
      </c>
      <c r="O1590" s="14" t="s">
        <v>10503</v>
      </c>
      <c r="P1590" s="14" t="s">
        <v>10504</v>
      </c>
      <c r="Q1590" s="14" t="s">
        <v>419</v>
      </c>
      <c r="R1590" s="14" t="s">
        <v>10505</v>
      </c>
      <c r="S1590" s="14" t="s">
        <v>444</v>
      </c>
      <c r="T1590" s="14" t="s">
        <v>445</v>
      </c>
      <c r="U1590" s="14" t="s">
        <v>446</v>
      </c>
      <c r="V1590" s="48">
        <f>SUMIF(Data!$E:$E,$I1590,Data!$AI:$AI)</f>
        <v>0</v>
      </c>
    </row>
    <row r="1591" spans="1:22" x14ac:dyDescent="0.25">
      <c r="A1591" s="47" t="s">
        <v>10413</v>
      </c>
      <c r="B1591" s="47" t="s">
        <v>123</v>
      </c>
      <c r="C1591" s="47" t="s">
        <v>1780</v>
      </c>
      <c r="D1591" s="47">
        <v>1.27190298396858</v>
      </c>
      <c r="E1591" s="48">
        <f>SUMIF(Data!$E:$E,$C1591,Data!$AI:$AI)</f>
        <v>0</v>
      </c>
      <c r="I1591" s="14">
        <v>4385</v>
      </c>
      <c r="J1591" s="14" t="s">
        <v>10506</v>
      </c>
      <c r="K1591" s="14" t="s">
        <v>140</v>
      </c>
      <c r="L1591" s="14" t="s">
        <v>10457</v>
      </c>
      <c r="M1591" s="14" t="s">
        <v>10507</v>
      </c>
      <c r="N1591" s="14">
        <v>56.3</v>
      </c>
      <c r="O1591" s="14" t="s">
        <v>10508</v>
      </c>
      <c r="P1591" s="14" t="s">
        <v>10509</v>
      </c>
      <c r="Q1591" s="14" t="s">
        <v>165</v>
      </c>
      <c r="R1591" s="14" t="s">
        <v>10510</v>
      </c>
      <c r="S1591" s="14" t="s">
        <v>444</v>
      </c>
      <c r="T1591" s="14" t="s">
        <v>445</v>
      </c>
      <c r="U1591" s="14" t="s">
        <v>446</v>
      </c>
      <c r="V1591" s="48">
        <f>SUMIF(Data!$E:$E,$I1591,Data!$AI:$AI)</f>
        <v>0</v>
      </c>
    </row>
    <row r="1592" spans="1:22" x14ac:dyDescent="0.25">
      <c r="A1592" s="47" t="s">
        <v>10413</v>
      </c>
      <c r="B1592" s="47" t="s">
        <v>123</v>
      </c>
      <c r="C1592" s="47" t="s">
        <v>6338</v>
      </c>
      <c r="D1592" s="47">
        <v>2.7001598242281699</v>
      </c>
      <c r="E1592" s="48">
        <f>SUMIF(Data!$E:$E,$C1592,Data!$AI:$AI)</f>
        <v>0</v>
      </c>
      <c r="I1592" s="14" t="s">
        <v>10511</v>
      </c>
      <c r="J1592" s="14" t="s">
        <v>10512</v>
      </c>
      <c r="K1592" s="14" t="s">
        <v>140</v>
      </c>
      <c r="L1592" s="14" t="s">
        <v>10457</v>
      </c>
      <c r="M1592" s="14" t="s">
        <v>10513</v>
      </c>
      <c r="N1592" s="14">
        <v>946.048</v>
      </c>
      <c r="O1592" s="14" t="s">
        <v>10514</v>
      </c>
      <c r="P1592" s="14" t="s">
        <v>10515</v>
      </c>
      <c r="Q1592" s="14" t="s">
        <v>697</v>
      </c>
      <c r="R1592" s="14" t="s">
        <v>10516</v>
      </c>
      <c r="S1592" s="14" t="s">
        <v>850</v>
      </c>
      <c r="T1592" s="14" t="s">
        <v>851</v>
      </c>
      <c r="U1592" s="14" t="s">
        <v>852</v>
      </c>
      <c r="V1592" s="48">
        <f>SUMIF(Data!$E:$E,$I1592,Data!$AI:$AI)</f>
        <v>0</v>
      </c>
    </row>
    <row r="1593" spans="1:22" x14ac:dyDescent="0.25">
      <c r="A1593" s="47" t="s">
        <v>10413</v>
      </c>
      <c r="B1593" s="47" t="s">
        <v>123</v>
      </c>
      <c r="C1593" s="47" t="s">
        <v>5382</v>
      </c>
      <c r="D1593" s="47">
        <v>1.79949770290075</v>
      </c>
      <c r="E1593" s="48">
        <f>SUMIF(Data!$E:$E,$C1593,Data!$AI:$AI)</f>
        <v>0</v>
      </c>
      <c r="I1593" s="14">
        <v>2181</v>
      </c>
      <c r="J1593" s="14" t="s">
        <v>10517</v>
      </c>
      <c r="K1593" s="14" t="s">
        <v>140</v>
      </c>
      <c r="L1593" s="14" t="s">
        <v>10457</v>
      </c>
      <c r="M1593" s="14" t="s">
        <v>8634</v>
      </c>
      <c r="N1593" s="14">
        <v>58.9</v>
      </c>
      <c r="O1593" s="14" t="s">
        <v>10518</v>
      </c>
      <c r="P1593" s="14" t="s">
        <v>10519</v>
      </c>
      <c r="Q1593" s="14" t="s">
        <v>419</v>
      </c>
      <c r="R1593" s="14" t="s">
        <v>10520</v>
      </c>
      <c r="S1593" s="14" t="s">
        <v>444</v>
      </c>
      <c r="T1593" s="14" t="s">
        <v>445</v>
      </c>
      <c r="U1593" s="14" t="s">
        <v>446</v>
      </c>
      <c r="V1593" s="48">
        <f>SUMIF(Data!$E:$E,$I1593,Data!$AI:$AI)</f>
        <v>0</v>
      </c>
    </row>
    <row r="1594" spans="1:22" x14ac:dyDescent="0.25">
      <c r="A1594" s="47" t="s">
        <v>10413</v>
      </c>
      <c r="B1594" s="47" t="s">
        <v>123</v>
      </c>
      <c r="C1594" s="47" t="s">
        <v>5005</v>
      </c>
      <c r="D1594" s="47">
        <v>11.5983660067144</v>
      </c>
      <c r="E1594" s="48">
        <f>SUMIF(Data!$E:$E,$C1594,Data!$AI:$AI)</f>
        <v>0</v>
      </c>
      <c r="I1594" s="14" t="s">
        <v>10521</v>
      </c>
      <c r="J1594" s="14" t="s">
        <v>10522</v>
      </c>
      <c r="K1594" s="14" t="s">
        <v>140</v>
      </c>
      <c r="L1594" s="14" t="s">
        <v>10457</v>
      </c>
      <c r="M1594" s="14" t="s">
        <v>10523</v>
      </c>
      <c r="N1594" s="14">
        <v>237.71899999999999</v>
      </c>
      <c r="O1594" s="14" t="s">
        <v>10524</v>
      </c>
      <c r="P1594" s="14" t="s">
        <v>10525</v>
      </c>
      <c r="Q1594" s="14" t="s">
        <v>737</v>
      </c>
      <c r="R1594" s="14" t="s">
        <v>10526</v>
      </c>
      <c r="S1594" s="14" t="s">
        <v>5739</v>
      </c>
      <c r="T1594" s="14" t="s">
        <v>4834</v>
      </c>
      <c r="U1594" s="14" t="s">
        <v>5740</v>
      </c>
      <c r="V1594" s="48">
        <f>SUMIF(Data!$E:$E,$I1594,Data!$AI:$AI)</f>
        <v>0</v>
      </c>
    </row>
    <row r="1595" spans="1:22" x14ac:dyDescent="0.25">
      <c r="A1595" s="47" t="s">
        <v>10527</v>
      </c>
      <c r="B1595" s="47" t="s">
        <v>123</v>
      </c>
      <c r="C1595" s="47" t="s">
        <v>5477</v>
      </c>
      <c r="D1595" s="47">
        <v>17.8300017139502</v>
      </c>
      <c r="E1595" s="48">
        <f>SUMIF(Data!$E:$E,$C1595,Data!$AI:$AI)</f>
        <v>0</v>
      </c>
      <c r="I1595" s="14">
        <v>4613</v>
      </c>
      <c r="J1595" s="14" t="s">
        <v>10528</v>
      </c>
      <c r="K1595" s="14" t="s">
        <v>140</v>
      </c>
      <c r="L1595" s="14" t="s">
        <v>10457</v>
      </c>
      <c r="M1595" s="14" t="s">
        <v>10529</v>
      </c>
      <c r="N1595" s="14">
        <v>45.5</v>
      </c>
      <c r="O1595" s="14" t="s">
        <v>10530</v>
      </c>
      <c r="P1595" s="14" t="s">
        <v>10531</v>
      </c>
      <c r="Q1595" s="14" t="s">
        <v>737</v>
      </c>
      <c r="R1595" s="14" t="s">
        <v>10532</v>
      </c>
      <c r="S1595" s="14" t="s">
        <v>444</v>
      </c>
      <c r="T1595" s="14" t="s">
        <v>445</v>
      </c>
      <c r="U1595" s="14" t="s">
        <v>446</v>
      </c>
      <c r="V1595" s="48">
        <f>SUMIF(Data!$E:$E,$I1595,Data!$AI:$AI)</f>
        <v>0</v>
      </c>
    </row>
    <row r="1596" spans="1:22" x14ac:dyDescent="0.25">
      <c r="A1596" s="47" t="s">
        <v>10527</v>
      </c>
      <c r="B1596" s="47" t="s">
        <v>123</v>
      </c>
      <c r="C1596" s="47" t="s">
        <v>5192</v>
      </c>
      <c r="D1596" s="47">
        <v>22.915846188511701</v>
      </c>
      <c r="E1596" s="48">
        <f>SUMIF(Data!$E:$E,$C1596,Data!$AI:$AI)</f>
        <v>0</v>
      </c>
      <c r="I1596" s="14">
        <v>5711</v>
      </c>
      <c r="J1596" s="14" t="s">
        <v>10533</v>
      </c>
      <c r="K1596" s="14" t="s">
        <v>140</v>
      </c>
      <c r="L1596" s="14" t="s">
        <v>10457</v>
      </c>
      <c r="M1596" s="14" t="s">
        <v>10534</v>
      </c>
      <c r="N1596" s="14">
        <v>41.8</v>
      </c>
      <c r="O1596" s="14" t="s">
        <v>10535</v>
      </c>
      <c r="P1596" s="14" t="s">
        <v>10536</v>
      </c>
      <c r="Q1596" s="14" t="s">
        <v>737</v>
      </c>
      <c r="R1596" s="14" t="s">
        <v>10537</v>
      </c>
      <c r="S1596" s="14" t="s">
        <v>444</v>
      </c>
      <c r="T1596" s="14" t="s">
        <v>445</v>
      </c>
      <c r="U1596" s="14" t="s">
        <v>446</v>
      </c>
      <c r="V1596" s="48">
        <f>SUMIF(Data!$E:$E,$I1596,Data!$AI:$AI)</f>
        <v>0</v>
      </c>
    </row>
    <row r="1597" spans="1:22" x14ac:dyDescent="0.25">
      <c r="A1597" s="47" t="s">
        <v>10527</v>
      </c>
      <c r="B1597" s="47" t="s">
        <v>123</v>
      </c>
      <c r="C1597" s="47" t="s">
        <v>10538</v>
      </c>
      <c r="D1597" s="47">
        <v>49.023381381095497</v>
      </c>
      <c r="E1597" s="48">
        <f>SUMIF(Data!$E:$E,$C1597,Data!$AI:$AI)</f>
        <v>0</v>
      </c>
      <c r="I1597" s="14">
        <v>6305</v>
      </c>
      <c r="J1597" s="14" t="s">
        <v>10539</v>
      </c>
      <c r="K1597" s="14" t="s">
        <v>140</v>
      </c>
      <c r="L1597" s="14" t="s">
        <v>10457</v>
      </c>
      <c r="M1597" s="14" t="s">
        <v>10540</v>
      </c>
      <c r="N1597" s="14">
        <v>34.799999999999997</v>
      </c>
      <c r="O1597" s="14" t="s">
        <v>10541</v>
      </c>
      <c r="P1597" s="14" t="s">
        <v>10542</v>
      </c>
      <c r="Q1597" s="14" t="s">
        <v>419</v>
      </c>
      <c r="R1597" s="14" t="s">
        <v>10543</v>
      </c>
      <c r="S1597" s="14" t="s">
        <v>444</v>
      </c>
      <c r="T1597" s="14" t="s">
        <v>445</v>
      </c>
      <c r="U1597" s="14" t="s">
        <v>446</v>
      </c>
      <c r="V1597" s="48">
        <f>SUMIF(Data!$E:$E,$I1597,Data!$AI:$AI)</f>
        <v>0</v>
      </c>
    </row>
    <row r="1598" spans="1:22" x14ac:dyDescent="0.25">
      <c r="A1598" s="47" t="s">
        <v>10527</v>
      </c>
      <c r="B1598" s="47" t="s">
        <v>123</v>
      </c>
      <c r="C1598" s="47" t="s">
        <v>10544</v>
      </c>
      <c r="D1598" s="47">
        <v>10.230770716442599</v>
      </c>
      <c r="E1598" s="48">
        <f>SUMIF(Data!$E:$E,$C1598,Data!$AI:$AI)</f>
        <v>0</v>
      </c>
      <c r="I1598" s="14">
        <v>4666</v>
      </c>
      <c r="J1598" s="14" t="s">
        <v>10545</v>
      </c>
      <c r="K1598" s="14" t="s">
        <v>140</v>
      </c>
      <c r="L1598" s="14" t="s">
        <v>10457</v>
      </c>
      <c r="M1598" s="14" t="s">
        <v>10546</v>
      </c>
      <c r="N1598" s="14">
        <v>44.3</v>
      </c>
      <c r="O1598" s="14" t="s">
        <v>10547</v>
      </c>
      <c r="P1598" s="14" t="s">
        <v>10548</v>
      </c>
      <c r="Q1598" s="14" t="s">
        <v>419</v>
      </c>
      <c r="R1598" s="14" t="s">
        <v>10549</v>
      </c>
      <c r="S1598" s="14" t="s">
        <v>444</v>
      </c>
      <c r="T1598" s="14" t="s">
        <v>445</v>
      </c>
      <c r="U1598" s="14" t="s">
        <v>446</v>
      </c>
      <c r="V1598" s="48">
        <f>SUMIF(Data!$E:$E,$I1598,Data!$AI:$AI)</f>
        <v>0</v>
      </c>
    </row>
    <row r="1599" spans="1:22" x14ac:dyDescent="0.25">
      <c r="A1599" s="47" t="s">
        <v>10550</v>
      </c>
      <c r="B1599" s="47" t="s">
        <v>123</v>
      </c>
      <c r="C1599" s="47" t="s">
        <v>5712</v>
      </c>
      <c r="D1599" s="47">
        <v>66.036413273288403</v>
      </c>
      <c r="E1599" s="48">
        <f>SUMIF(Data!$E:$E,$C1599,Data!$AI:$AI)</f>
        <v>0</v>
      </c>
      <c r="I1599" s="14">
        <v>2282</v>
      </c>
      <c r="J1599" s="14" t="s">
        <v>10551</v>
      </c>
      <c r="K1599" s="14" t="s">
        <v>140</v>
      </c>
      <c r="L1599" s="14" t="s">
        <v>10457</v>
      </c>
      <c r="M1599" s="14" t="s">
        <v>10552</v>
      </c>
      <c r="N1599" s="14">
        <v>24</v>
      </c>
      <c r="O1599" s="14" t="s">
        <v>10553</v>
      </c>
      <c r="P1599" s="14" t="s">
        <v>10554</v>
      </c>
      <c r="Q1599" s="14" t="s">
        <v>227</v>
      </c>
      <c r="R1599" s="14" t="s">
        <v>10555</v>
      </c>
      <c r="S1599" s="14" t="s">
        <v>444</v>
      </c>
      <c r="T1599" s="14" t="s">
        <v>445</v>
      </c>
      <c r="U1599" s="14" t="s">
        <v>446</v>
      </c>
      <c r="V1599" s="48">
        <f>SUMIF(Data!$E:$E,$I1599,Data!$AI:$AI)</f>
        <v>0</v>
      </c>
    </row>
    <row r="1600" spans="1:22" x14ac:dyDescent="0.25">
      <c r="A1600" s="47" t="s">
        <v>10550</v>
      </c>
      <c r="B1600" s="47" t="s">
        <v>123</v>
      </c>
      <c r="C1600" s="47" t="s">
        <v>10556</v>
      </c>
      <c r="D1600" s="47">
        <v>33.963586726711597</v>
      </c>
      <c r="E1600" s="48">
        <f>SUMIF(Data!$E:$E,$C1600,Data!$AI:$AI)</f>
        <v>0</v>
      </c>
      <c r="I1600" s="14" t="s">
        <v>10557</v>
      </c>
      <c r="J1600" s="14" t="s">
        <v>10558</v>
      </c>
      <c r="K1600" s="14" t="s">
        <v>140</v>
      </c>
      <c r="L1600" s="14" t="s">
        <v>10457</v>
      </c>
      <c r="M1600" s="14" t="s">
        <v>7197</v>
      </c>
      <c r="N1600" s="14">
        <v>747.41300000000001</v>
      </c>
      <c r="O1600" s="14" t="s">
        <v>10559</v>
      </c>
      <c r="P1600" s="14" t="s">
        <v>10560</v>
      </c>
      <c r="Q1600" s="14" t="s">
        <v>419</v>
      </c>
      <c r="R1600" s="14" t="s">
        <v>10561</v>
      </c>
      <c r="S1600" s="14" t="s">
        <v>728</v>
      </c>
      <c r="T1600" s="14" t="s">
        <v>729</v>
      </c>
      <c r="U1600" s="14" t="s">
        <v>730</v>
      </c>
      <c r="V1600" s="48">
        <f>SUMIF(Data!$E:$E,$I1600,Data!$AI:$AI)</f>
        <v>0</v>
      </c>
    </row>
    <row r="1601" spans="1:22" x14ac:dyDescent="0.25">
      <c r="A1601" s="47" t="s">
        <v>10562</v>
      </c>
      <c r="B1601" s="47" t="s">
        <v>123</v>
      </c>
      <c r="C1601" s="47" t="s">
        <v>5417</v>
      </c>
      <c r="D1601" s="47">
        <v>3.3718692453556999E-2</v>
      </c>
      <c r="E1601" s="48">
        <f>SUMIF(Data!$E:$E,$C1601,Data!$AI:$AI)</f>
        <v>0</v>
      </c>
      <c r="I1601" s="14">
        <v>6302</v>
      </c>
      <c r="J1601" s="14" t="s">
        <v>10563</v>
      </c>
      <c r="K1601" s="14" t="s">
        <v>140</v>
      </c>
      <c r="L1601" s="14" t="s">
        <v>10457</v>
      </c>
      <c r="M1601" s="14" t="s">
        <v>10564</v>
      </c>
      <c r="N1601" s="14">
        <v>35.6</v>
      </c>
      <c r="O1601" s="14" t="s">
        <v>10565</v>
      </c>
      <c r="P1601" s="14" t="s">
        <v>10566</v>
      </c>
      <c r="Q1601" s="14" t="s">
        <v>419</v>
      </c>
      <c r="R1601" s="14" t="s">
        <v>10567</v>
      </c>
      <c r="S1601" s="14" t="s">
        <v>444</v>
      </c>
      <c r="T1601" s="14" t="s">
        <v>445</v>
      </c>
      <c r="U1601" s="14" t="s">
        <v>446</v>
      </c>
      <c r="V1601" s="48">
        <f>SUMIF(Data!$E:$E,$I1601,Data!$AI:$AI)</f>
        <v>0</v>
      </c>
    </row>
    <row r="1602" spans="1:22" x14ac:dyDescent="0.25">
      <c r="A1602" s="47" t="s">
        <v>10562</v>
      </c>
      <c r="B1602" s="47" t="s">
        <v>123</v>
      </c>
      <c r="C1602" s="47" t="s">
        <v>5424</v>
      </c>
      <c r="D1602" s="47">
        <v>0.23161376747351101</v>
      </c>
      <c r="E1602" s="48">
        <f>SUMIF(Data!$E:$E,$C1602,Data!$AI:$AI)</f>
        <v>0.14993036494457632</v>
      </c>
      <c r="I1602" s="14" t="s">
        <v>3716</v>
      </c>
      <c r="J1602" s="14" t="s">
        <v>10568</v>
      </c>
      <c r="K1602" s="14" t="s">
        <v>758</v>
      </c>
      <c r="L1602" s="14" t="s">
        <v>10457</v>
      </c>
      <c r="M1602" s="14" t="s">
        <v>10569</v>
      </c>
      <c r="N1602" s="14" t="s">
        <v>10570</v>
      </c>
      <c r="O1602" s="14" t="s">
        <v>10571</v>
      </c>
      <c r="P1602" s="14" t="s">
        <v>10572</v>
      </c>
      <c r="Q1602" s="14" t="s">
        <v>762</v>
      </c>
      <c r="R1602" s="14" t="s">
        <v>763</v>
      </c>
      <c r="S1602" s="14" t="s">
        <v>763</v>
      </c>
      <c r="T1602" s="14" t="s">
        <v>3715</v>
      </c>
      <c r="U1602" s="14" t="s">
        <v>3716</v>
      </c>
      <c r="V1602" s="48">
        <f>SUMIF(Data!$E:$E,$I1602,Data!$AI:$AI)</f>
        <v>0</v>
      </c>
    </row>
    <row r="1603" spans="1:22" x14ac:dyDescent="0.25">
      <c r="A1603" s="47" t="s">
        <v>10562</v>
      </c>
      <c r="B1603" s="47" t="s">
        <v>123</v>
      </c>
      <c r="C1603" s="47" t="s">
        <v>5431</v>
      </c>
      <c r="D1603" s="47">
        <v>6.4407303581535999E-2</v>
      </c>
      <c r="E1603" s="48">
        <f>SUMIF(Data!$E:$E,$C1603,Data!$AI:$AI)</f>
        <v>0</v>
      </c>
      <c r="I1603" s="14" t="s">
        <v>10573</v>
      </c>
      <c r="J1603" s="14" t="s">
        <v>10574</v>
      </c>
      <c r="K1603" s="14" t="s">
        <v>140</v>
      </c>
      <c r="L1603" s="14" t="s">
        <v>10457</v>
      </c>
      <c r="M1603" s="14" t="s">
        <v>10575</v>
      </c>
      <c r="N1603" s="14">
        <v>67.028000000000006</v>
      </c>
      <c r="O1603" s="14" t="s">
        <v>10576</v>
      </c>
      <c r="P1603" s="14" t="s">
        <v>10577</v>
      </c>
      <c r="Q1603" s="14" t="s">
        <v>227</v>
      </c>
      <c r="R1603" s="14" t="s">
        <v>10578</v>
      </c>
      <c r="S1603" s="14" t="s">
        <v>526</v>
      </c>
      <c r="T1603" s="14" t="s">
        <v>527</v>
      </c>
      <c r="U1603" s="14" t="s">
        <v>528</v>
      </c>
      <c r="V1603" s="48">
        <f>SUMIF(Data!$E:$E,$I1603,Data!$AI:$AI)</f>
        <v>0</v>
      </c>
    </row>
    <row r="1604" spans="1:22" x14ac:dyDescent="0.25">
      <c r="A1604" s="47" t="s">
        <v>10562</v>
      </c>
      <c r="B1604" s="47" t="s">
        <v>123</v>
      </c>
      <c r="C1604" s="47" t="s">
        <v>4768</v>
      </c>
      <c r="D1604" s="47">
        <v>1.8498505338657301</v>
      </c>
      <c r="E1604" s="48">
        <f>SUMIF(Data!$E:$E,$C1604,Data!$AI:$AI)</f>
        <v>0</v>
      </c>
      <c r="I1604" s="14" t="s">
        <v>10579</v>
      </c>
      <c r="J1604" s="14" t="s">
        <v>10579</v>
      </c>
      <c r="K1604" s="14" t="s">
        <v>140</v>
      </c>
      <c r="L1604" s="14" t="s">
        <v>10457</v>
      </c>
      <c r="M1604" s="14" t="s">
        <v>10580</v>
      </c>
      <c r="N1604" s="14">
        <v>25.41</v>
      </c>
      <c r="O1604" s="14">
        <v>966.07</v>
      </c>
      <c r="P1604" s="14" t="s">
        <v>10581</v>
      </c>
      <c r="Q1604" s="14" t="s">
        <v>419</v>
      </c>
      <c r="R1604" s="14" t="s">
        <v>10582</v>
      </c>
      <c r="S1604" s="14" t="s">
        <v>3142</v>
      </c>
      <c r="T1604" s="14" t="s">
        <v>3143</v>
      </c>
      <c r="U1604" s="14" t="s">
        <v>528</v>
      </c>
      <c r="V1604" s="48">
        <f>SUMIF(Data!$E:$E,$I1604,Data!$AI:$AI)</f>
        <v>0</v>
      </c>
    </row>
    <row r="1605" spans="1:22" x14ac:dyDescent="0.25">
      <c r="A1605" s="47" t="s">
        <v>10562</v>
      </c>
      <c r="B1605" s="47" t="s">
        <v>123</v>
      </c>
      <c r="C1605" s="47" t="s">
        <v>5444</v>
      </c>
      <c r="D1605" s="47">
        <v>0.25934200096012999</v>
      </c>
      <c r="E1605" s="48">
        <f>SUMIF(Data!$E:$E,$C1605,Data!$AI:$AI)</f>
        <v>0.13053515410881558</v>
      </c>
      <c r="I1605" s="14">
        <v>7012</v>
      </c>
      <c r="J1605" s="14" t="s">
        <v>10583</v>
      </c>
      <c r="K1605" s="14" t="s">
        <v>140</v>
      </c>
      <c r="L1605" s="14" t="s">
        <v>10457</v>
      </c>
      <c r="M1605" s="14" t="s">
        <v>10584</v>
      </c>
      <c r="N1605" s="14">
        <v>44.4</v>
      </c>
      <c r="O1605" s="14">
        <v>965.72799999999995</v>
      </c>
      <c r="P1605" s="14" t="s">
        <v>10585</v>
      </c>
      <c r="Q1605" s="14" t="s">
        <v>419</v>
      </c>
      <c r="R1605" s="14" t="s">
        <v>10586</v>
      </c>
      <c r="S1605" s="14" t="s">
        <v>444</v>
      </c>
      <c r="T1605" s="14" t="s">
        <v>445</v>
      </c>
      <c r="U1605" s="14" t="s">
        <v>446</v>
      </c>
      <c r="V1605" s="48">
        <f>SUMIF(Data!$E:$E,$I1605,Data!$AI:$AI)</f>
        <v>0</v>
      </c>
    </row>
    <row r="1606" spans="1:22" x14ac:dyDescent="0.25">
      <c r="A1606" s="47" t="s">
        <v>10562</v>
      </c>
      <c r="B1606" s="47" t="s">
        <v>123</v>
      </c>
      <c r="C1606" s="47" t="s">
        <v>5051</v>
      </c>
      <c r="D1606" s="47">
        <v>0.99131226780391501</v>
      </c>
      <c r="E1606" s="48">
        <f>SUMIF(Data!$E:$E,$C1606,Data!$AI:$AI)</f>
        <v>0.40847619001243751</v>
      </c>
      <c r="I1606" s="14" t="s">
        <v>10587</v>
      </c>
      <c r="J1606" s="14" t="s">
        <v>10588</v>
      </c>
      <c r="K1606" s="14" t="s">
        <v>140</v>
      </c>
      <c r="L1606" s="14" t="s">
        <v>10457</v>
      </c>
      <c r="M1606" s="14" t="s">
        <v>8401</v>
      </c>
      <c r="N1606" s="14">
        <v>54.259</v>
      </c>
      <c r="O1606" s="14">
        <v>956.32299999999998</v>
      </c>
      <c r="P1606" s="14" t="s">
        <v>10589</v>
      </c>
      <c r="Q1606" s="14" t="s">
        <v>211</v>
      </c>
      <c r="R1606" s="14" t="s">
        <v>10590</v>
      </c>
      <c r="S1606" s="14" t="s">
        <v>479</v>
      </c>
      <c r="T1606" s="14" t="s">
        <v>480</v>
      </c>
      <c r="U1606" s="14" t="s">
        <v>481</v>
      </c>
      <c r="V1606" s="48">
        <f>SUMIF(Data!$E:$E,$I1606,Data!$AI:$AI)</f>
        <v>0</v>
      </c>
    </row>
    <row r="1607" spans="1:22" x14ac:dyDescent="0.25">
      <c r="A1607" s="47" t="s">
        <v>10562</v>
      </c>
      <c r="B1607" s="47" t="s">
        <v>123</v>
      </c>
      <c r="C1607" s="47" t="s">
        <v>5065</v>
      </c>
      <c r="D1607" s="47">
        <v>0.77129059140070599</v>
      </c>
      <c r="E1607" s="48">
        <f>SUMIF(Data!$E:$E,$C1607,Data!$AI:$AI)</f>
        <v>0.49255800486170526</v>
      </c>
      <c r="I1607" s="14">
        <v>683</v>
      </c>
      <c r="J1607" s="14" t="s">
        <v>10591</v>
      </c>
      <c r="K1607" s="14" t="s">
        <v>140</v>
      </c>
      <c r="L1607" s="14" t="s">
        <v>10457</v>
      </c>
      <c r="M1607" s="14" t="s">
        <v>10592</v>
      </c>
      <c r="N1607" s="14">
        <v>300</v>
      </c>
      <c r="O1607" s="14">
        <v>952.16</v>
      </c>
      <c r="P1607" s="14" t="s">
        <v>10593</v>
      </c>
      <c r="Q1607" s="14" t="s">
        <v>809</v>
      </c>
      <c r="R1607" s="14" t="s">
        <v>10594</v>
      </c>
      <c r="S1607" s="14" t="s">
        <v>552</v>
      </c>
      <c r="T1607" s="14" t="s">
        <v>553</v>
      </c>
      <c r="U1607" s="14" t="s">
        <v>554</v>
      </c>
      <c r="V1607" s="48">
        <f>SUMIF(Data!$E:$E,$I1607,Data!$AI:$AI)</f>
        <v>0</v>
      </c>
    </row>
    <row r="1608" spans="1:22" x14ac:dyDescent="0.25">
      <c r="A1608" s="47" t="s">
        <v>10562</v>
      </c>
      <c r="B1608" s="47" t="s">
        <v>123</v>
      </c>
      <c r="C1608" s="47" t="s">
        <v>4782</v>
      </c>
      <c r="D1608" s="47">
        <v>1.93783371205669</v>
      </c>
      <c r="E1608" s="48">
        <f>SUMIF(Data!$E:$E,$C1608,Data!$AI:$AI)</f>
        <v>0</v>
      </c>
      <c r="I1608" s="14">
        <v>8572</v>
      </c>
      <c r="J1608" s="14" t="s">
        <v>10595</v>
      </c>
      <c r="K1608" s="14" t="s">
        <v>140</v>
      </c>
      <c r="L1608" s="14" t="s">
        <v>10457</v>
      </c>
      <c r="M1608" s="14" t="s">
        <v>10596</v>
      </c>
      <c r="N1608" s="14">
        <v>202.416</v>
      </c>
      <c r="O1608" s="14">
        <v>934.85299999999995</v>
      </c>
      <c r="P1608" s="14" t="s">
        <v>10597</v>
      </c>
      <c r="Q1608" s="14" t="s">
        <v>193</v>
      </c>
      <c r="R1608" s="14" t="s">
        <v>10598</v>
      </c>
      <c r="S1608" s="14" t="s">
        <v>444</v>
      </c>
      <c r="T1608" s="14" t="s">
        <v>445</v>
      </c>
      <c r="U1608" s="14" t="s">
        <v>446</v>
      </c>
      <c r="V1608" s="48">
        <f>SUMIF(Data!$E:$E,$I1608,Data!$AI:$AI)</f>
        <v>0</v>
      </c>
    </row>
    <row r="1609" spans="1:22" x14ac:dyDescent="0.25">
      <c r="A1609" s="47" t="s">
        <v>10562</v>
      </c>
      <c r="B1609" s="47" t="s">
        <v>123</v>
      </c>
      <c r="C1609" s="47" t="s">
        <v>5457</v>
      </c>
      <c r="D1609" s="47">
        <v>0.133554654646972</v>
      </c>
      <c r="E1609" s="48">
        <f>SUMIF(Data!$E:$E,$C1609,Data!$AI:$AI)</f>
        <v>0</v>
      </c>
      <c r="I1609" s="14">
        <v>4182</v>
      </c>
      <c r="J1609" s="14" t="s">
        <v>10599</v>
      </c>
      <c r="K1609" s="14" t="s">
        <v>140</v>
      </c>
      <c r="L1609" s="14" t="s">
        <v>10457</v>
      </c>
      <c r="M1609" s="14" t="s">
        <v>10600</v>
      </c>
      <c r="N1609" s="14">
        <v>61.5</v>
      </c>
      <c r="O1609" s="14">
        <v>926.20500000000004</v>
      </c>
      <c r="P1609" s="14" t="s">
        <v>10601</v>
      </c>
      <c r="Q1609" s="14" t="s">
        <v>737</v>
      </c>
      <c r="R1609" s="14" t="s">
        <v>10602</v>
      </c>
      <c r="S1609" s="14" t="s">
        <v>444</v>
      </c>
      <c r="T1609" s="14" t="s">
        <v>445</v>
      </c>
      <c r="U1609" s="14" t="s">
        <v>446</v>
      </c>
      <c r="V1609" s="48">
        <f>SUMIF(Data!$E:$E,$I1609,Data!$AI:$AI)</f>
        <v>0</v>
      </c>
    </row>
    <row r="1610" spans="1:22" x14ac:dyDescent="0.25">
      <c r="A1610" s="47" t="s">
        <v>10562</v>
      </c>
      <c r="B1610" s="47" t="s">
        <v>123</v>
      </c>
      <c r="C1610" s="47" t="s">
        <v>5463</v>
      </c>
      <c r="D1610" s="47">
        <v>0.180802015223329</v>
      </c>
      <c r="E1610" s="48">
        <f>SUMIF(Data!$E:$E,$C1610,Data!$AI:$AI)</f>
        <v>0</v>
      </c>
      <c r="I1610" s="14">
        <v>9143</v>
      </c>
      <c r="J1610" s="14" t="s">
        <v>10603</v>
      </c>
      <c r="K1610" s="14" t="s">
        <v>140</v>
      </c>
      <c r="L1610" s="14" t="s">
        <v>10457</v>
      </c>
      <c r="M1610" s="14" t="s">
        <v>10604</v>
      </c>
      <c r="N1610" s="14">
        <v>40.299999999999997</v>
      </c>
      <c r="O1610" s="14">
        <v>911.495</v>
      </c>
      <c r="P1610" s="14" t="s">
        <v>10605</v>
      </c>
      <c r="Q1610" s="14" t="s">
        <v>419</v>
      </c>
      <c r="R1610" s="14" t="s">
        <v>10606</v>
      </c>
      <c r="S1610" s="14" t="s">
        <v>444</v>
      </c>
      <c r="T1610" s="14" t="s">
        <v>445</v>
      </c>
      <c r="U1610" s="14" t="s">
        <v>446</v>
      </c>
      <c r="V1610" s="48">
        <f>SUMIF(Data!$E:$E,$I1610,Data!$AI:$AI)</f>
        <v>0</v>
      </c>
    </row>
    <row r="1611" spans="1:22" x14ac:dyDescent="0.25">
      <c r="A1611" s="47" t="s">
        <v>10562</v>
      </c>
      <c r="B1611" s="47" t="s">
        <v>123</v>
      </c>
      <c r="C1611" s="47" t="s">
        <v>5470</v>
      </c>
      <c r="D1611" s="47">
        <v>0.151059749640473</v>
      </c>
      <c r="E1611" s="48">
        <f>SUMIF(Data!$E:$E,$C1611,Data!$AI:$AI)</f>
        <v>0</v>
      </c>
      <c r="I1611" s="14" t="s">
        <v>4484</v>
      </c>
      <c r="J1611" s="14" t="s">
        <v>10607</v>
      </c>
      <c r="K1611" s="14" t="s">
        <v>140</v>
      </c>
      <c r="L1611" s="14" t="s">
        <v>10457</v>
      </c>
      <c r="M1611" s="14" t="s">
        <v>10608</v>
      </c>
      <c r="N1611" s="14">
        <v>57.488</v>
      </c>
      <c r="O1611" s="14">
        <v>874.95100000000002</v>
      </c>
      <c r="P1611" s="14" t="s">
        <v>10609</v>
      </c>
      <c r="Q1611" s="14" t="s">
        <v>263</v>
      </c>
      <c r="R1611" s="14" t="s">
        <v>10610</v>
      </c>
      <c r="S1611" s="14" t="s">
        <v>850</v>
      </c>
      <c r="T1611" s="14" t="s">
        <v>851</v>
      </c>
      <c r="U1611" s="14" t="s">
        <v>852</v>
      </c>
      <c r="V1611" s="48">
        <f>SUMIF(Data!$E:$E,$I1611,Data!$AI:$AI)</f>
        <v>0</v>
      </c>
    </row>
    <row r="1612" spans="1:22" x14ac:dyDescent="0.25">
      <c r="A1612" s="47" t="s">
        <v>10562</v>
      </c>
      <c r="B1612" s="47" t="s">
        <v>123</v>
      </c>
      <c r="C1612" s="47" t="s">
        <v>5484</v>
      </c>
      <c r="D1612" s="47">
        <v>0.12393676318434201</v>
      </c>
      <c r="E1612" s="48">
        <f>SUMIF(Data!$E:$E,$C1612,Data!$AI:$AI)</f>
        <v>0</v>
      </c>
      <c r="I1612" s="14" t="s">
        <v>10611</v>
      </c>
      <c r="J1612" s="14" t="s">
        <v>10612</v>
      </c>
      <c r="K1612" s="14" t="s">
        <v>140</v>
      </c>
      <c r="L1612" s="14" t="s">
        <v>10457</v>
      </c>
      <c r="M1612" s="14" t="s">
        <v>10613</v>
      </c>
      <c r="N1612" s="14">
        <v>289.07900000000001</v>
      </c>
      <c r="O1612" s="14">
        <v>875.13400000000001</v>
      </c>
      <c r="P1612" s="14" t="s">
        <v>10614</v>
      </c>
      <c r="Q1612" s="14" t="s">
        <v>175</v>
      </c>
      <c r="R1612" s="14" t="s">
        <v>10615</v>
      </c>
      <c r="S1612" s="14" t="s">
        <v>526</v>
      </c>
      <c r="T1612" s="14" t="s">
        <v>527</v>
      </c>
      <c r="U1612" s="14" t="s">
        <v>528</v>
      </c>
      <c r="V1612" s="48">
        <f>SUMIF(Data!$E:$E,$I1612,Data!$AI:$AI)</f>
        <v>0</v>
      </c>
    </row>
    <row r="1613" spans="1:22" x14ac:dyDescent="0.25">
      <c r="A1613" s="47" t="s">
        <v>10562</v>
      </c>
      <c r="B1613" s="47" t="s">
        <v>123</v>
      </c>
      <c r="C1613" s="47" t="s">
        <v>5085</v>
      </c>
      <c r="D1613" s="47">
        <v>0.25554900342453901</v>
      </c>
      <c r="E1613" s="48">
        <f>SUMIF(Data!$E:$E,$C1613,Data!$AI:$AI)</f>
        <v>0</v>
      </c>
      <c r="I1613" s="14">
        <v>2579</v>
      </c>
      <c r="J1613" s="14" t="s">
        <v>10616</v>
      </c>
      <c r="K1613" s="14" t="s">
        <v>140</v>
      </c>
      <c r="L1613" s="14" t="s">
        <v>10457</v>
      </c>
      <c r="M1613" s="14" t="s">
        <v>8076</v>
      </c>
      <c r="N1613" s="14">
        <v>33.700000000000003</v>
      </c>
      <c r="O1613" s="14">
        <v>876.95100000000002</v>
      </c>
      <c r="P1613" s="14" t="s">
        <v>10617</v>
      </c>
      <c r="Q1613" s="14" t="s">
        <v>227</v>
      </c>
      <c r="R1613" s="14" t="s">
        <v>10618</v>
      </c>
      <c r="S1613" s="14" t="s">
        <v>444</v>
      </c>
      <c r="T1613" s="14" t="s">
        <v>445</v>
      </c>
      <c r="U1613" s="14" t="s">
        <v>446</v>
      </c>
      <c r="V1613" s="48">
        <f>SUMIF(Data!$E:$E,$I1613,Data!$AI:$AI)</f>
        <v>0</v>
      </c>
    </row>
    <row r="1614" spans="1:22" x14ac:dyDescent="0.25">
      <c r="A1614" s="47" t="s">
        <v>10562</v>
      </c>
      <c r="B1614" s="47" t="s">
        <v>123</v>
      </c>
      <c r="C1614" s="47" t="s">
        <v>5491</v>
      </c>
      <c r="D1614" s="47">
        <v>9.5596935742731995E-2</v>
      </c>
      <c r="E1614" s="48">
        <f>SUMIF(Data!$E:$E,$C1614,Data!$AI:$AI)</f>
        <v>0</v>
      </c>
      <c r="I1614" s="14">
        <v>4506</v>
      </c>
      <c r="J1614" s="14" t="s">
        <v>10619</v>
      </c>
      <c r="K1614" s="14" t="s">
        <v>140</v>
      </c>
      <c r="L1614" s="14" t="s">
        <v>10457</v>
      </c>
      <c r="M1614" s="14" t="s">
        <v>3045</v>
      </c>
      <c r="N1614" s="14">
        <v>43.86</v>
      </c>
      <c r="O1614" s="14">
        <v>870.71500000000003</v>
      </c>
      <c r="P1614" s="14" t="s">
        <v>10620</v>
      </c>
      <c r="Q1614" s="14" t="s">
        <v>211</v>
      </c>
      <c r="R1614" s="14" t="s">
        <v>10621</v>
      </c>
      <c r="S1614" s="14" t="s">
        <v>444</v>
      </c>
      <c r="T1614" s="14" t="s">
        <v>445</v>
      </c>
      <c r="U1614" s="14" t="s">
        <v>446</v>
      </c>
      <c r="V1614" s="48">
        <f>SUMIF(Data!$E:$E,$I1614,Data!$AI:$AI)</f>
        <v>0</v>
      </c>
    </row>
    <row r="1615" spans="1:22" x14ac:dyDescent="0.25">
      <c r="A1615" s="47" t="s">
        <v>10562</v>
      </c>
      <c r="B1615" s="47" t="s">
        <v>123</v>
      </c>
      <c r="C1615" s="47" t="s">
        <v>5498</v>
      </c>
      <c r="D1615" s="47">
        <v>0.12875621022432801</v>
      </c>
      <c r="E1615" s="48">
        <f>SUMIF(Data!$E:$E,$C1615,Data!$AI:$AI)</f>
        <v>0</v>
      </c>
      <c r="I1615" s="14" t="s">
        <v>10622</v>
      </c>
      <c r="J1615" s="14" t="s">
        <v>10623</v>
      </c>
      <c r="K1615" s="14" t="s">
        <v>140</v>
      </c>
      <c r="L1615" s="14" t="s">
        <v>10457</v>
      </c>
      <c r="M1615" s="14" t="s">
        <v>10624</v>
      </c>
      <c r="N1615" s="14">
        <v>176.12200000000001</v>
      </c>
      <c r="O1615" s="14">
        <v>848.91499999999996</v>
      </c>
      <c r="P1615" s="14" t="s">
        <v>10625</v>
      </c>
      <c r="Q1615" s="14" t="s">
        <v>175</v>
      </c>
      <c r="R1615" s="14" t="s">
        <v>10626</v>
      </c>
      <c r="S1615" s="14" t="s">
        <v>850</v>
      </c>
      <c r="T1615" s="14" t="s">
        <v>851</v>
      </c>
      <c r="U1615" s="14" t="s">
        <v>852</v>
      </c>
      <c r="V1615" s="48">
        <f>SUMIF(Data!$E:$E,$I1615,Data!$AI:$AI)</f>
        <v>0</v>
      </c>
    </row>
    <row r="1616" spans="1:22" x14ac:dyDescent="0.25">
      <c r="A1616" s="47" t="s">
        <v>10562</v>
      </c>
      <c r="B1616" s="47" t="s">
        <v>123</v>
      </c>
      <c r="C1616" s="47" t="s">
        <v>5115</v>
      </c>
      <c r="D1616" s="47">
        <v>0.79148841397526404</v>
      </c>
      <c r="E1616" s="48">
        <f>SUMIF(Data!$E:$E,$C1616,Data!$AI:$AI)</f>
        <v>0</v>
      </c>
      <c r="I1616" s="14">
        <v>7013</v>
      </c>
      <c r="J1616" s="14" t="s">
        <v>10627</v>
      </c>
      <c r="K1616" s="14" t="s">
        <v>140</v>
      </c>
      <c r="L1616" s="14" t="s">
        <v>10457</v>
      </c>
      <c r="M1616" s="14" t="s">
        <v>10628</v>
      </c>
      <c r="N1616" s="14">
        <v>33.11</v>
      </c>
      <c r="O1616" s="14">
        <v>840.745</v>
      </c>
      <c r="P1616" s="14" t="s">
        <v>10629</v>
      </c>
      <c r="Q1616" s="14" t="s">
        <v>419</v>
      </c>
      <c r="R1616" s="14" t="s">
        <v>10630</v>
      </c>
      <c r="S1616" s="14" t="s">
        <v>444</v>
      </c>
      <c r="T1616" s="14" t="s">
        <v>445</v>
      </c>
      <c r="U1616" s="14" t="s">
        <v>446</v>
      </c>
      <c r="V1616" s="48">
        <f>SUMIF(Data!$E:$E,$I1616,Data!$AI:$AI)</f>
        <v>0</v>
      </c>
    </row>
    <row r="1617" spans="1:22" x14ac:dyDescent="0.25">
      <c r="A1617" s="47" t="s">
        <v>10562</v>
      </c>
      <c r="B1617" s="47" t="s">
        <v>123</v>
      </c>
      <c r="C1617" s="47" t="s">
        <v>5511</v>
      </c>
      <c r="D1617" s="47">
        <v>4.9213272533629997E-2</v>
      </c>
      <c r="E1617" s="48">
        <f>SUMIF(Data!$E:$E,$C1617,Data!$AI:$AI)</f>
        <v>0</v>
      </c>
      <c r="I1617" s="14" t="s">
        <v>10631</v>
      </c>
      <c r="J1617" s="14" t="s">
        <v>10632</v>
      </c>
      <c r="K1617" s="14" t="s">
        <v>140</v>
      </c>
      <c r="L1617" s="14" t="s">
        <v>10457</v>
      </c>
      <c r="M1617" s="14" t="s">
        <v>10633</v>
      </c>
      <c r="N1617" s="14">
        <v>36.985999999999997</v>
      </c>
      <c r="O1617" s="14">
        <v>834.67</v>
      </c>
      <c r="P1617" s="14" t="s">
        <v>10634</v>
      </c>
      <c r="Q1617" s="14" t="s">
        <v>419</v>
      </c>
      <c r="R1617" s="14" t="s">
        <v>10635</v>
      </c>
      <c r="S1617" s="14" t="s">
        <v>850</v>
      </c>
      <c r="T1617" s="14" t="s">
        <v>851</v>
      </c>
      <c r="U1617" s="14" t="s">
        <v>852</v>
      </c>
      <c r="V1617" s="48">
        <f>SUMIF(Data!$E:$E,$I1617,Data!$AI:$AI)</f>
        <v>0</v>
      </c>
    </row>
    <row r="1618" spans="1:22" x14ac:dyDescent="0.25">
      <c r="A1618" s="47" t="s">
        <v>10562</v>
      </c>
      <c r="B1618" s="47" t="s">
        <v>123</v>
      </c>
      <c r="C1618" s="47" t="s">
        <v>5127</v>
      </c>
      <c r="D1618" s="47">
        <v>0.429000537527435</v>
      </c>
      <c r="E1618" s="48">
        <f>SUMIF(Data!$E:$E,$C1618,Data!$AI:$AI)</f>
        <v>0.26351671474520016</v>
      </c>
      <c r="I1618" s="14">
        <v>9513</v>
      </c>
      <c r="J1618" s="14" t="s">
        <v>10636</v>
      </c>
      <c r="K1618" s="14" t="s">
        <v>140</v>
      </c>
      <c r="L1618" s="14" t="s">
        <v>10457</v>
      </c>
      <c r="M1618" s="14" t="s">
        <v>10637</v>
      </c>
      <c r="N1618" s="14">
        <v>35.6</v>
      </c>
      <c r="O1618" s="14">
        <v>830.21199999999999</v>
      </c>
      <c r="P1618" s="14" t="s">
        <v>10638</v>
      </c>
      <c r="Q1618" s="14" t="s">
        <v>697</v>
      </c>
      <c r="R1618" s="14" t="s">
        <v>10639</v>
      </c>
      <c r="S1618" s="14" t="s">
        <v>444</v>
      </c>
      <c r="T1618" s="14" t="s">
        <v>445</v>
      </c>
      <c r="U1618" s="14" t="s">
        <v>446</v>
      </c>
      <c r="V1618" s="48">
        <f>SUMIF(Data!$E:$E,$I1618,Data!$AI:$AI)</f>
        <v>0</v>
      </c>
    </row>
    <row r="1619" spans="1:22" x14ac:dyDescent="0.25">
      <c r="A1619" s="47" t="s">
        <v>10562</v>
      </c>
      <c r="B1619" s="47" t="s">
        <v>123</v>
      </c>
      <c r="C1619" s="47" t="s">
        <v>5518</v>
      </c>
      <c r="D1619" s="47">
        <v>7.3729751442053001E-2</v>
      </c>
      <c r="E1619" s="48">
        <f>SUMIF(Data!$E:$E,$C1619,Data!$AI:$AI)</f>
        <v>0</v>
      </c>
      <c r="I1619" s="14">
        <v>2371</v>
      </c>
      <c r="J1619" s="14" t="s">
        <v>10640</v>
      </c>
      <c r="K1619" s="14" t="s">
        <v>140</v>
      </c>
      <c r="L1619" s="14" t="s">
        <v>10457</v>
      </c>
      <c r="M1619" s="14" t="s">
        <v>10641</v>
      </c>
      <c r="N1619" s="14">
        <v>30.366</v>
      </c>
      <c r="O1619" s="14">
        <v>821.23500000000001</v>
      </c>
      <c r="P1619" s="14" t="s">
        <v>10642</v>
      </c>
      <c r="Q1619" s="14" t="s">
        <v>175</v>
      </c>
      <c r="R1619" s="14" t="s">
        <v>10643</v>
      </c>
      <c r="S1619" s="14" t="s">
        <v>444</v>
      </c>
      <c r="T1619" s="14" t="s">
        <v>445</v>
      </c>
      <c r="U1619" s="14" t="s">
        <v>446</v>
      </c>
      <c r="V1619" s="48">
        <f>SUMIF(Data!$E:$E,$I1619,Data!$AI:$AI)</f>
        <v>0</v>
      </c>
    </row>
    <row r="1620" spans="1:22" x14ac:dyDescent="0.25">
      <c r="A1620" s="47" t="s">
        <v>10562</v>
      </c>
      <c r="B1620" s="47" t="s">
        <v>123</v>
      </c>
      <c r="C1620" s="47" t="s">
        <v>5141</v>
      </c>
      <c r="D1620" s="47">
        <v>0.29090853370817799</v>
      </c>
      <c r="E1620" s="48">
        <f>SUMIF(Data!$E:$E,$C1620,Data!$AI:$AI)</f>
        <v>0</v>
      </c>
      <c r="I1620" s="14">
        <v>8410</v>
      </c>
      <c r="J1620" s="14" t="s">
        <v>10644</v>
      </c>
      <c r="K1620" s="14" t="s">
        <v>140</v>
      </c>
      <c r="L1620" s="14" t="s">
        <v>10457</v>
      </c>
      <c r="M1620" s="14" t="s">
        <v>2091</v>
      </c>
      <c r="N1620" s="14">
        <v>255.7</v>
      </c>
      <c r="O1620" s="14">
        <v>802.85500000000002</v>
      </c>
      <c r="P1620" s="14" t="s">
        <v>10645</v>
      </c>
      <c r="Q1620" s="14" t="s">
        <v>193</v>
      </c>
      <c r="R1620" s="14" t="s">
        <v>10646</v>
      </c>
      <c r="S1620" s="14" t="s">
        <v>444</v>
      </c>
      <c r="T1620" s="14" t="s">
        <v>445</v>
      </c>
      <c r="U1620" s="14" t="s">
        <v>446</v>
      </c>
      <c r="V1620" s="48">
        <f>SUMIF(Data!$E:$E,$I1620,Data!$AI:$AI)</f>
        <v>0</v>
      </c>
    </row>
    <row r="1621" spans="1:22" x14ac:dyDescent="0.25">
      <c r="A1621" s="47" t="s">
        <v>10562</v>
      </c>
      <c r="B1621" s="47" t="s">
        <v>123</v>
      </c>
      <c r="C1621" s="47" t="s">
        <v>5531</v>
      </c>
      <c r="D1621" s="47">
        <v>9.7007606984842995E-2</v>
      </c>
      <c r="E1621" s="48">
        <f>SUMIF(Data!$E:$E,$C1621,Data!$AI:$AI)</f>
        <v>0</v>
      </c>
      <c r="I1621" s="14">
        <v>9533</v>
      </c>
      <c r="J1621" s="14" t="s">
        <v>10647</v>
      </c>
      <c r="K1621" s="14" t="s">
        <v>140</v>
      </c>
      <c r="L1621" s="14" t="s">
        <v>10457</v>
      </c>
      <c r="M1621" s="14" t="s">
        <v>10648</v>
      </c>
      <c r="N1621" s="14">
        <v>19.544</v>
      </c>
      <c r="O1621" s="14">
        <v>783.11599999999999</v>
      </c>
      <c r="P1621" s="14" t="s">
        <v>10649</v>
      </c>
      <c r="Q1621" s="14" t="s">
        <v>697</v>
      </c>
      <c r="R1621" s="14" t="s">
        <v>10650</v>
      </c>
      <c r="S1621" s="14" t="s">
        <v>444</v>
      </c>
      <c r="T1621" s="14" t="s">
        <v>445</v>
      </c>
      <c r="U1621" s="14" t="s">
        <v>446</v>
      </c>
      <c r="V1621" s="48">
        <f>SUMIF(Data!$E:$E,$I1621,Data!$AI:$AI)</f>
        <v>0</v>
      </c>
    </row>
    <row r="1622" spans="1:22" x14ac:dyDescent="0.25">
      <c r="A1622" s="47" t="s">
        <v>10562</v>
      </c>
      <c r="B1622" s="47" t="s">
        <v>123</v>
      </c>
      <c r="C1622" s="47" t="s">
        <v>4841</v>
      </c>
      <c r="D1622" s="47">
        <v>4.6071659806939502</v>
      </c>
      <c r="E1622" s="48">
        <f>SUMIF(Data!$E:$E,$C1622,Data!$AI:$AI)</f>
        <v>1.1368494141004637</v>
      </c>
      <c r="I1622" s="14">
        <v>6923</v>
      </c>
      <c r="J1622" s="14" t="s">
        <v>10651</v>
      </c>
      <c r="K1622" s="14" t="s">
        <v>140</v>
      </c>
      <c r="L1622" s="14" t="s">
        <v>10457</v>
      </c>
      <c r="M1622" s="14" t="s">
        <v>10652</v>
      </c>
      <c r="N1622" s="14">
        <v>27.4</v>
      </c>
      <c r="O1622" s="14">
        <v>779.03399999999999</v>
      </c>
      <c r="P1622" s="14" t="s">
        <v>10653</v>
      </c>
      <c r="Q1622" s="14" t="s">
        <v>165</v>
      </c>
      <c r="R1622" s="14" t="s">
        <v>10654</v>
      </c>
      <c r="S1622" s="14" t="s">
        <v>444</v>
      </c>
      <c r="T1622" s="14" t="s">
        <v>445</v>
      </c>
      <c r="U1622" s="14" t="s">
        <v>446</v>
      </c>
      <c r="V1622" s="48">
        <f>SUMIF(Data!$E:$E,$I1622,Data!$AI:$AI)</f>
        <v>0</v>
      </c>
    </row>
    <row r="1623" spans="1:22" x14ac:dyDescent="0.25">
      <c r="A1623" s="47" t="s">
        <v>10562</v>
      </c>
      <c r="B1623" s="47" t="s">
        <v>123</v>
      </c>
      <c r="C1623" s="47" t="s">
        <v>5538</v>
      </c>
      <c r="D1623" s="47">
        <v>0.19669772604222699</v>
      </c>
      <c r="E1623" s="48">
        <f>SUMIF(Data!$E:$E,$C1623,Data!$AI:$AI)</f>
        <v>0</v>
      </c>
      <c r="I1623" s="14">
        <v>9104</v>
      </c>
      <c r="J1623" s="14" t="s">
        <v>10655</v>
      </c>
      <c r="K1623" s="14" t="s">
        <v>140</v>
      </c>
      <c r="L1623" s="14" t="s">
        <v>10457</v>
      </c>
      <c r="M1623" s="14" t="s">
        <v>10656</v>
      </c>
      <c r="N1623" s="14">
        <v>28.573</v>
      </c>
      <c r="O1623" s="14">
        <v>759.18200000000002</v>
      </c>
      <c r="P1623" s="14" t="s">
        <v>10657</v>
      </c>
      <c r="Q1623" s="14" t="s">
        <v>419</v>
      </c>
      <c r="R1623" s="14" t="s">
        <v>10658</v>
      </c>
      <c r="S1623" s="14" t="s">
        <v>444</v>
      </c>
      <c r="T1623" s="14" t="s">
        <v>445</v>
      </c>
      <c r="U1623" s="14" t="s">
        <v>446</v>
      </c>
      <c r="V1623" s="48">
        <f>SUMIF(Data!$E:$E,$I1623,Data!$AI:$AI)</f>
        <v>0</v>
      </c>
    </row>
    <row r="1624" spans="1:22" x14ac:dyDescent="0.25">
      <c r="A1624" s="47" t="s">
        <v>10562</v>
      </c>
      <c r="B1624" s="47" t="s">
        <v>123</v>
      </c>
      <c r="C1624" s="47" t="s">
        <v>5153</v>
      </c>
      <c r="D1624" s="47">
        <v>0.28579699817027598</v>
      </c>
      <c r="E1624" s="48">
        <f>SUMIF(Data!$E:$E,$C1624,Data!$AI:$AI)</f>
        <v>0</v>
      </c>
      <c r="I1624" s="14">
        <v>2331</v>
      </c>
      <c r="J1624" s="14" t="s">
        <v>10659</v>
      </c>
      <c r="K1624" s="14" t="s">
        <v>140</v>
      </c>
      <c r="L1624" s="14" t="s">
        <v>10457</v>
      </c>
      <c r="M1624" s="14" t="s">
        <v>10660</v>
      </c>
      <c r="N1624" s="14">
        <v>13.426</v>
      </c>
      <c r="O1624" s="14">
        <v>734.04300000000001</v>
      </c>
      <c r="P1624" s="14" t="s">
        <v>10661</v>
      </c>
      <c r="Q1624" s="14" t="s">
        <v>419</v>
      </c>
      <c r="R1624" s="14" t="s">
        <v>10662</v>
      </c>
      <c r="S1624" s="14" t="s">
        <v>444</v>
      </c>
      <c r="T1624" s="14" t="s">
        <v>445</v>
      </c>
      <c r="U1624" s="14" t="s">
        <v>446</v>
      </c>
      <c r="V1624" s="48">
        <f>SUMIF(Data!$E:$E,$I1624,Data!$AI:$AI)</f>
        <v>0</v>
      </c>
    </row>
    <row r="1625" spans="1:22" x14ac:dyDescent="0.25">
      <c r="A1625" s="47" t="s">
        <v>10562</v>
      </c>
      <c r="B1625" s="47" t="s">
        <v>123</v>
      </c>
      <c r="C1625" s="47" t="s">
        <v>4855</v>
      </c>
      <c r="D1625" s="47">
        <v>36.034509390145402</v>
      </c>
      <c r="E1625" s="48">
        <f>SUMIF(Data!$E:$E,$C1625,Data!$AI:$AI)</f>
        <v>1.0989645296635115</v>
      </c>
      <c r="I1625" s="14">
        <v>4530</v>
      </c>
      <c r="J1625" s="14" t="s">
        <v>10663</v>
      </c>
      <c r="K1625" s="14" t="s">
        <v>140</v>
      </c>
      <c r="L1625" s="14" t="s">
        <v>10457</v>
      </c>
      <c r="M1625" s="14" t="s">
        <v>10664</v>
      </c>
      <c r="N1625" s="14">
        <v>13.545999999999999</v>
      </c>
      <c r="O1625" s="14">
        <v>692.38400000000001</v>
      </c>
      <c r="P1625" s="14" t="s">
        <v>10665</v>
      </c>
      <c r="Q1625" s="14" t="s">
        <v>211</v>
      </c>
      <c r="R1625" s="14" t="s">
        <v>10666</v>
      </c>
      <c r="S1625" s="14" t="s">
        <v>444</v>
      </c>
      <c r="T1625" s="14" t="s">
        <v>445</v>
      </c>
      <c r="U1625" s="14" t="s">
        <v>446</v>
      </c>
      <c r="V1625" s="48">
        <f>SUMIF(Data!$E:$E,$I1625,Data!$AI:$AI)</f>
        <v>0</v>
      </c>
    </row>
    <row r="1626" spans="1:22" x14ac:dyDescent="0.25">
      <c r="A1626" s="47" t="s">
        <v>10562</v>
      </c>
      <c r="B1626" s="47" t="s">
        <v>123</v>
      </c>
      <c r="C1626" s="47" t="s">
        <v>4862</v>
      </c>
      <c r="D1626" s="47">
        <v>1.07764492082014</v>
      </c>
      <c r="E1626" s="48">
        <f>SUMIF(Data!$E:$E,$C1626,Data!$AI:$AI)</f>
        <v>0.397519933142436</v>
      </c>
      <c r="I1626" s="14">
        <v>8905</v>
      </c>
      <c r="J1626" s="14" t="s">
        <v>10667</v>
      </c>
      <c r="K1626" s="14" t="s">
        <v>140</v>
      </c>
      <c r="L1626" s="14" t="s">
        <v>10457</v>
      </c>
      <c r="M1626" s="14" t="s">
        <v>10668</v>
      </c>
      <c r="N1626" s="14">
        <v>39.944000000000003</v>
      </c>
      <c r="O1626" s="14">
        <v>690.16099999999994</v>
      </c>
      <c r="P1626" s="14" t="s">
        <v>10669</v>
      </c>
      <c r="Q1626" s="14" t="s">
        <v>809</v>
      </c>
      <c r="R1626" s="14" t="s">
        <v>10670</v>
      </c>
      <c r="S1626" s="14" t="s">
        <v>444</v>
      </c>
      <c r="T1626" s="14" t="s">
        <v>445</v>
      </c>
      <c r="U1626" s="14" t="s">
        <v>446</v>
      </c>
      <c r="V1626" s="48">
        <f>SUMIF(Data!$E:$E,$I1626,Data!$AI:$AI)</f>
        <v>0</v>
      </c>
    </row>
    <row r="1627" spans="1:22" x14ac:dyDescent="0.25">
      <c r="A1627" s="47" t="s">
        <v>10562</v>
      </c>
      <c r="B1627" s="47" t="s">
        <v>123</v>
      </c>
      <c r="C1627" s="47" t="s">
        <v>5166</v>
      </c>
      <c r="D1627" s="47">
        <v>9.3921391879722996E-2</v>
      </c>
      <c r="E1627" s="48">
        <f>SUMIF(Data!$E:$E,$C1627,Data!$AI:$AI)</f>
        <v>0</v>
      </c>
      <c r="I1627" s="14">
        <v>8570</v>
      </c>
      <c r="J1627" s="14" t="s">
        <v>10671</v>
      </c>
      <c r="K1627" s="14" t="s">
        <v>140</v>
      </c>
      <c r="L1627" s="14" t="s">
        <v>10457</v>
      </c>
      <c r="M1627" s="14" t="s">
        <v>10672</v>
      </c>
      <c r="N1627" s="14">
        <v>43.1</v>
      </c>
      <c r="O1627" s="14">
        <v>684.89499999999998</v>
      </c>
      <c r="P1627" s="14" t="s">
        <v>10673</v>
      </c>
      <c r="Q1627" s="14" t="s">
        <v>193</v>
      </c>
      <c r="R1627" s="14" t="s">
        <v>10674</v>
      </c>
      <c r="S1627" s="14" t="s">
        <v>444</v>
      </c>
      <c r="T1627" s="14" t="s">
        <v>445</v>
      </c>
      <c r="U1627" s="14" t="s">
        <v>446</v>
      </c>
      <c r="V1627" s="48">
        <f>SUMIF(Data!$E:$E,$I1627,Data!$AI:$AI)</f>
        <v>0</v>
      </c>
    </row>
    <row r="1628" spans="1:22" x14ac:dyDescent="0.25">
      <c r="A1628" s="47" t="s">
        <v>10562</v>
      </c>
      <c r="B1628" s="47" t="s">
        <v>123</v>
      </c>
      <c r="C1628" s="47" t="s">
        <v>5173</v>
      </c>
      <c r="D1628" s="47">
        <v>0.69163337970084504</v>
      </c>
      <c r="E1628" s="48">
        <f>SUMIF(Data!$E:$E,$C1628,Data!$AI:$AI)</f>
        <v>0.32269220108453256</v>
      </c>
      <c r="I1628" s="14">
        <v>8303</v>
      </c>
      <c r="J1628" s="14" t="s">
        <v>10675</v>
      </c>
      <c r="K1628" s="14" t="s">
        <v>140</v>
      </c>
      <c r="L1628" s="14" t="s">
        <v>10457</v>
      </c>
      <c r="M1628" s="14" t="s">
        <v>10676</v>
      </c>
      <c r="N1628" s="14">
        <v>44.374000000000002</v>
      </c>
      <c r="O1628" s="14">
        <v>678.00400000000002</v>
      </c>
      <c r="P1628" s="14" t="s">
        <v>10677</v>
      </c>
      <c r="Q1628" s="14" t="s">
        <v>193</v>
      </c>
      <c r="R1628" s="14" t="s">
        <v>10678</v>
      </c>
      <c r="S1628" s="14" t="s">
        <v>444</v>
      </c>
      <c r="T1628" s="14" t="s">
        <v>445</v>
      </c>
      <c r="U1628" s="14" t="s">
        <v>446</v>
      </c>
      <c r="V1628" s="48">
        <f>SUMIF(Data!$E:$E,$I1628,Data!$AI:$AI)</f>
        <v>0</v>
      </c>
    </row>
    <row r="1629" spans="1:22" x14ac:dyDescent="0.25">
      <c r="A1629" s="47" t="s">
        <v>10562</v>
      </c>
      <c r="B1629" s="47" t="s">
        <v>123</v>
      </c>
      <c r="C1629" s="47" t="s">
        <v>5563</v>
      </c>
      <c r="D1629" s="47">
        <v>0.25797260118143001</v>
      </c>
      <c r="E1629" s="48">
        <f>SUMIF(Data!$E:$E,$C1629,Data!$AI:$AI)</f>
        <v>0</v>
      </c>
      <c r="I1629" s="14" t="s">
        <v>10679</v>
      </c>
      <c r="J1629" s="14" t="s">
        <v>10680</v>
      </c>
      <c r="K1629" s="14" t="s">
        <v>140</v>
      </c>
      <c r="L1629" s="14" t="s">
        <v>10457</v>
      </c>
      <c r="M1629" s="14" t="s">
        <v>920</v>
      </c>
      <c r="N1629" s="14" t="s">
        <v>1289</v>
      </c>
      <c r="O1629" s="14">
        <v>629.62699999999995</v>
      </c>
      <c r="P1629" s="14" t="s">
        <v>10681</v>
      </c>
      <c r="Q1629" s="14" t="s">
        <v>697</v>
      </c>
      <c r="R1629" s="14" t="s">
        <v>10682</v>
      </c>
      <c r="S1629" s="14" t="s">
        <v>1167</v>
      </c>
      <c r="T1629" s="14" t="s">
        <v>1168</v>
      </c>
      <c r="U1629" s="14" t="s">
        <v>528</v>
      </c>
      <c r="V1629" s="48">
        <f>SUMIF(Data!$E:$E,$I1629,Data!$AI:$AI)</f>
        <v>0</v>
      </c>
    </row>
    <row r="1630" spans="1:22" x14ac:dyDescent="0.25">
      <c r="A1630" s="47" t="s">
        <v>10562</v>
      </c>
      <c r="B1630" s="47" t="s">
        <v>123</v>
      </c>
      <c r="C1630" s="47" t="s">
        <v>5570</v>
      </c>
      <c r="D1630" s="47">
        <v>8.7863563345261006E-2</v>
      </c>
      <c r="E1630" s="48">
        <f>SUMIF(Data!$E:$E,$C1630,Data!$AI:$AI)</f>
        <v>0</v>
      </c>
      <c r="I1630" s="14">
        <v>2702</v>
      </c>
      <c r="J1630" s="14" t="s">
        <v>10683</v>
      </c>
      <c r="K1630" s="14" t="s">
        <v>140</v>
      </c>
      <c r="L1630" s="14" t="s">
        <v>10457</v>
      </c>
      <c r="M1630" s="14" t="s">
        <v>10684</v>
      </c>
      <c r="N1630" s="14">
        <v>13.14</v>
      </c>
      <c r="O1630" s="14">
        <v>627.25599999999997</v>
      </c>
      <c r="P1630" s="14" t="s">
        <v>10685</v>
      </c>
      <c r="Q1630" s="14" t="s">
        <v>165</v>
      </c>
      <c r="R1630" s="14" t="s">
        <v>10686</v>
      </c>
      <c r="S1630" s="14" t="s">
        <v>444</v>
      </c>
      <c r="T1630" s="14" t="s">
        <v>445</v>
      </c>
      <c r="U1630" s="14" t="s">
        <v>446</v>
      </c>
      <c r="V1630" s="48">
        <f>SUMIF(Data!$E:$E,$I1630,Data!$AI:$AI)</f>
        <v>0</v>
      </c>
    </row>
    <row r="1631" spans="1:22" x14ac:dyDescent="0.25">
      <c r="A1631" s="47" t="s">
        <v>10562</v>
      </c>
      <c r="B1631" s="47" t="s">
        <v>123</v>
      </c>
      <c r="C1631" s="47" t="s">
        <v>4873</v>
      </c>
      <c r="D1631" s="47">
        <v>2.9735918217214001</v>
      </c>
      <c r="E1631" s="48">
        <f>SUMIF(Data!$E:$E,$C1631,Data!$AI:$AI)</f>
        <v>0</v>
      </c>
      <c r="I1631" s="14">
        <v>659</v>
      </c>
      <c r="J1631" s="14" t="s">
        <v>10687</v>
      </c>
      <c r="K1631" s="14" t="s">
        <v>140</v>
      </c>
      <c r="L1631" s="14" t="s">
        <v>10457</v>
      </c>
      <c r="M1631" s="14" t="s">
        <v>9121</v>
      </c>
      <c r="N1631" s="14">
        <v>426.20100000000002</v>
      </c>
      <c r="O1631" s="14">
        <v>625.59199999999998</v>
      </c>
      <c r="P1631" s="14" t="s">
        <v>10688</v>
      </c>
      <c r="Q1631" s="14" t="s">
        <v>419</v>
      </c>
      <c r="R1631" s="14" t="s">
        <v>10689</v>
      </c>
      <c r="S1631" s="14" t="s">
        <v>552</v>
      </c>
      <c r="T1631" s="14" t="s">
        <v>553</v>
      </c>
      <c r="U1631" s="14" t="s">
        <v>554</v>
      </c>
      <c r="V1631" s="48">
        <f>SUMIF(Data!$E:$E,$I1631,Data!$AI:$AI)</f>
        <v>0</v>
      </c>
    </row>
    <row r="1632" spans="1:22" x14ac:dyDescent="0.25">
      <c r="A1632" s="47" t="s">
        <v>10562</v>
      </c>
      <c r="B1632" s="47" t="s">
        <v>123</v>
      </c>
      <c r="C1632" s="47" t="s">
        <v>5186</v>
      </c>
      <c r="D1632" s="47">
        <v>0.349500171407642</v>
      </c>
      <c r="E1632" s="48">
        <f>SUMIF(Data!$E:$E,$C1632,Data!$AI:$AI)</f>
        <v>0.12898798215585272</v>
      </c>
      <c r="I1632" s="14">
        <v>7167</v>
      </c>
      <c r="J1632" s="14" t="s">
        <v>10690</v>
      </c>
      <c r="K1632" s="14" t="s">
        <v>140</v>
      </c>
      <c r="L1632" s="14" t="s">
        <v>10457</v>
      </c>
      <c r="M1632" s="14" t="s">
        <v>8470</v>
      </c>
      <c r="N1632" s="14">
        <v>248.14400000000001</v>
      </c>
      <c r="O1632" s="14">
        <v>606.99699999999996</v>
      </c>
      <c r="P1632" s="14" t="s">
        <v>10691</v>
      </c>
      <c r="Q1632" s="14" t="s">
        <v>193</v>
      </c>
      <c r="R1632" s="14" t="s">
        <v>10692</v>
      </c>
      <c r="S1632" s="14" t="s">
        <v>444</v>
      </c>
      <c r="T1632" s="14" t="s">
        <v>445</v>
      </c>
      <c r="U1632" s="14" t="s">
        <v>446</v>
      </c>
      <c r="V1632" s="48">
        <f>SUMIF(Data!$E:$E,$I1632,Data!$AI:$AI)</f>
        <v>0</v>
      </c>
    </row>
    <row r="1633" spans="1:22" x14ac:dyDescent="0.25">
      <c r="A1633" s="47" t="s">
        <v>10562</v>
      </c>
      <c r="B1633" s="47" t="s">
        <v>123</v>
      </c>
      <c r="C1633" s="47" t="s">
        <v>4900</v>
      </c>
      <c r="D1633" s="47">
        <v>2.5384496315882399</v>
      </c>
      <c r="E1633" s="48">
        <f>SUMIF(Data!$E:$E,$C1633,Data!$AI:$AI)</f>
        <v>0</v>
      </c>
      <c r="I1633" s="14">
        <v>8354</v>
      </c>
      <c r="J1633" s="14" t="s">
        <v>10693</v>
      </c>
      <c r="K1633" s="14" t="s">
        <v>140</v>
      </c>
      <c r="L1633" s="14" t="s">
        <v>10457</v>
      </c>
      <c r="M1633" s="14" t="s">
        <v>10694</v>
      </c>
      <c r="N1633" s="14">
        <v>31.814</v>
      </c>
      <c r="O1633" s="14">
        <v>599.053</v>
      </c>
      <c r="P1633" s="14" t="s">
        <v>10695</v>
      </c>
      <c r="Q1633" s="14" t="s">
        <v>193</v>
      </c>
      <c r="R1633" s="14" t="s">
        <v>10696</v>
      </c>
      <c r="S1633" s="14" t="s">
        <v>444</v>
      </c>
      <c r="T1633" s="14" t="s">
        <v>445</v>
      </c>
      <c r="U1633" s="14" t="s">
        <v>446</v>
      </c>
      <c r="V1633" s="48">
        <f>SUMIF(Data!$E:$E,$I1633,Data!$AI:$AI)</f>
        <v>0</v>
      </c>
    </row>
    <row r="1634" spans="1:22" x14ac:dyDescent="0.25">
      <c r="A1634" s="47" t="s">
        <v>10562</v>
      </c>
      <c r="B1634" s="47" t="s">
        <v>123</v>
      </c>
      <c r="C1634" s="47" t="s">
        <v>1786</v>
      </c>
      <c r="D1634" s="47">
        <v>0.41146660420846698</v>
      </c>
      <c r="E1634" s="48">
        <f>SUMIF(Data!$E:$E,$C1634,Data!$AI:$AI)</f>
        <v>0.1705308312796065</v>
      </c>
      <c r="I1634" s="14">
        <v>2212</v>
      </c>
      <c r="J1634" s="14" t="s">
        <v>10697</v>
      </c>
      <c r="K1634" s="14" t="s">
        <v>140</v>
      </c>
      <c r="L1634" s="14" t="s">
        <v>10457</v>
      </c>
      <c r="M1634" s="14" t="s">
        <v>10698</v>
      </c>
      <c r="N1634" s="14">
        <v>32.9</v>
      </c>
      <c r="O1634" s="14">
        <v>599.68299999999999</v>
      </c>
      <c r="P1634" s="14" t="s">
        <v>10699</v>
      </c>
      <c r="Q1634" s="14" t="s">
        <v>227</v>
      </c>
      <c r="R1634" s="14" t="s">
        <v>10700</v>
      </c>
      <c r="S1634" s="14" t="s">
        <v>444</v>
      </c>
      <c r="T1634" s="14" t="s">
        <v>445</v>
      </c>
      <c r="U1634" s="14" t="s">
        <v>446</v>
      </c>
      <c r="V1634" s="48">
        <f>SUMIF(Data!$E:$E,$I1634,Data!$AI:$AI)</f>
        <v>0</v>
      </c>
    </row>
    <row r="1635" spans="1:22" x14ac:dyDescent="0.25">
      <c r="A1635" s="47" t="s">
        <v>10562</v>
      </c>
      <c r="B1635" s="47" t="s">
        <v>123</v>
      </c>
      <c r="C1635" s="47" t="s">
        <v>4919</v>
      </c>
      <c r="D1635" s="47">
        <v>1.0054642961115701</v>
      </c>
      <c r="E1635" s="48">
        <f>SUMIF(Data!$E:$E,$C1635,Data!$AI:$AI)</f>
        <v>0.63880820904302782</v>
      </c>
      <c r="I1635" s="14">
        <v>5334</v>
      </c>
      <c r="J1635" s="14" t="s">
        <v>10701</v>
      </c>
      <c r="K1635" s="14" t="s">
        <v>140</v>
      </c>
      <c r="L1635" s="14" t="s">
        <v>10457</v>
      </c>
      <c r="M1635" s="14" t="s">
        <v>10702</v>
      </c>
      <c r="N1635" s="14">
        <v>30.7</v>
      </c>
      <c r="O1635" s="14">
        <v>592.36800000000005</v>
      </c>
      <c r="P1635" s="14" t="s">
        <v>10703</v>
      </c>
      <c r="Q1635" s="14" t="s">
        <v>165</v>
      </c>
      <c r="R1635" s="14" t="s">
        <v>10704</v>
      </c>
      <c r="S1635" s="14" t="s">
        <v>444</v>
      </c>
      <c r="T1635" s="14" t="s">
        <v>445</v>
      </c>
      <c r="U1635" s="14" t="s">
        <v>446</v>
      </c>
      <c r="V1635" s="48">
        <f>SUMIF(Data!$E:$E,$I1635,Data!$AI:$AI)</f>
        <v>0</v>
      </c>
    </row>
    <row r="1636" spans="1:22" x14ac:dyDescent="0.25">
      <c r="A1636" s="47" t="s">
        <v>10562</v>
      </c>
      <c r="B1636" s="47" t="s">
        <v>123</v>
      </c>
      <c r="C1636" s="47" t="s">
        <v>4368</v>
      </c>
      <c r="D1636" s="47">
        <v>0.22366402539515401</v>
      </c>
      <c r="E1636" s="48">
        <f>SUMIF(Data!$E:$E,$C1636,Data!$AI:$AI)</f>
        <v>0</v>
      </c>
      <c r="I1636" s="14" t="s">
        <v>5740</v>
      </c>
      <c r="J1636" s="14" t="s">
        <v>10705</v>
      </c>
      <c r="K1636" s="14" t="s">
        <v>758</v>
      </c>
      <c r="L1636" s="14" t="s">
        <v>10457</v>
      </c>
      <c r="M1636" s="14" t="s">
        <v>10706</v>
      </c>
      <c r="N1636" s="14" t="s">
        <v>10707</v>
      </c>
      <c r="O1636" s="14">
        <v>585.4</v>
      </c>
      <c r="P1636" s="14" t="s">
        <v>10708</v>
      </c>
      <c r="Q1636" s="14" t="s">
        <v>762</v>
      </c>
      <c r="R1636" s="14" t="s">
        <v>763</v>
      </c>
      <c r="S1636" s="14" t="s">
        <v>763</v>
      </c>
      <c r="T1636" s="14" t="s">
        <v>4834</v>
      </c>
      <c r="U1636" s="14" t="s">
        <v>5740</v>
      </c>
      <c r="V1636" s="48">
        <f>SUMIF(Data!$E:$E,$I1636,Data!$AI:$AI)</f>
        <v>0</v>
      </c>
    </row>
    <row r="1637" spans="1:22" x14ac:dyDescent="0.25">
      <c r="A1637" s="47" t="s">
        <v>10562</v>
      </c>
      <c r="B1637" s="47" t="s">
        <v>123</v>
      </c>
      <c r="C1637" s="47" t="s">
        <v>5583</v>
      </c>
      <c r="D1637" s="47">
        <v>5.4854257385183E-2</v>
      </c>
      <c r="E1637" s="48">
        <f>SUMIF(Data!$E:$E,$C1637,Data!$AI:$AI)</f>
        <v>0</v>
      </c>
      <c r="I1637" s="14" t="s">
        <v>10709</v>
      </c>
      <c r="J1637" s="14" t="s">
        <v>10710</v>
      </c>
      <c r="K1637" s="14" t="s">
        <v>140</v>
      </c>
      <c r="L1637" s="14" t="s">
        <v>10457</v>
      </c>
      <c r="M1637" s="14" t="s">
        <v>10711</v>
      </c>
      <c r="N1637" s="14">
        <v>339.7</v>
      </c>
      <c r="O1637" s="14">
        <v>584.47299999999996</v>
      </c>
      <c r="P1637" s="14" t="s">
        <v>10712</v>
      </c>
      <c r="Q1637" s="14" t="s">
        <v>419</v>
      </c>
      <c r="R1637" s="14" t="s">
        <v>10713</v>
      </c>
      <c r="S1637" s="14" t="s">
        <v>2368</v>
      </c>
      <c r="T1637" s="14" t="s">
        <v>2369</v>
      </c>
      <c r="U1637" s="14" t="s">
        <v>2370</v>
      </c>
      <c r="V1637" s="48">
        <f>SUMIF(Data!$E:$E,$I1637,Data!$AI:$AI)</f>
        <v>0</v>
      </c>
    </row>
    <row r="1638" spans="1:22" x14ac:dyDescent="0.25">
      <c r="A1638" s="47" t="s">
        <v>10562</v>
      </c>
      <c r="B1638" s="47" t="s">
        <v>123</v>
      </c>
      <c r="C1638" s="47" t="s">
        <v>4926</v>
      </c>
      <c r="D1638" s="47">
        <v>1.24867216479957</v>
      </c>
      <c r="E1638" s="48">
        <f>SUMIF(Data!$E:$E,$C1638,Data!$AI:$AI)</f>
        <v>0.52858464745473188</v>
      </c>
      <c r="I1638" s="14">
        <v>9101</v>
      </c>
      <c r="J1638" s="14" t="s">
        <v>10714</v>
      </c>
      <c r="K1638" s="14" t="s">
        <v>140</v>
      </c>
      <c r="L1638" s="14" t="s">
        <v>10457</v>
      </c>
      <c r="M1638" s="14" t="s">
        <v>10715</v>
      </c>
      <c r="N1638" s="14">
        <v>33</v>
      </c>
      <c r="O1638" s="14">
        <v>578.91600000000005</v>
      </c>
      <c r="P1638" s="14" t="s">
        <v>10716</v>
      </c>
      <c r="Q1638" s="14" t="s">
        <v>419</v>
      </c>
      <c r="R1638" s="14" t="s">
        <v>10717</v>
      </c>
      <c r="S1638" s="14" t="s">
        <v>444</v>
      </c>
      <c r="T1638" s="14" t="s">
        <v>445</v>
      </c>
      <c r="U1638" s="14" t="s">
        <v>446</v>
      </c>
      <c r="V1638" s="48">
        <f>SUMIF(Data!$E:$E,$I1638,Data!$AI:$AI)</f>
        <v>0</v>
      </c>
    </row>
    <row r="1639" spans="1:22" x14ac:dyDescent="0.25">
      <c r="A1639" s="47" t="s">
        <v>10562</v>
      </c>
      <c r="B1639" s="47" t="s">
        <v>123</v>
      </c>
      <c r="C1639" s="47" t="s">
        <v>5221</v>
      </c>
      <c r="D1639" s="47">
        <v>0.46496763581341999</v>
      </c>
      <c r="E1639" s="48">
        <f>SUMIF(Data!$E:$E,$C1639,Data!$AI:$AI)</f>
        <v>0.14962264013625223</v>
      </c>
      <c r="I1639" s="14">
        <v>1963</v>
      </c>
      <c r="J1639" s="14" t="s">
        <v>10718</v>
      </c>
      <c r="K1639" s="14" t="s">
        <v>140</v>
      </c>
      <c r="L1639" s="14" t="s">
        <v>10457</v>
      </c>
      <c r="M1639" s="14" t="s">
        <v>10719</v>
      </c>
      <c r="N1639" s="14">
        <v>36</v>
      </c>
      <c r="O1639" s="14">
        <v>567.47</v>
      </c>
      <c r="P1639" s="14" t="s">
        <v>10720</v>
      </c>
      <c r="Q1639" s="14" t="s">
        <v>419</v>
      </c>
      <c r="R1639" s="14" t="s">
        <v>10721</v>
      </c>
      <c r="S1639" s="14" t="s">
        <v>444</v>
      </c>
      <c r="T1639" s="14" t="s">
        <v>445</v>
      </c>
      <c r="U1639" s="14" t="s">
        <v>446</v>
      </c>
      <c r="V1639" s="48">
        <f>SUMIF(Data!$E:$E,$I1639,Data!$AI:$AI)</f>
        <v>0</v>
      </c>
    </row>
    <row r="1640" spans="1:22" x14ac:dyDescent="0.25">
      <c r="A1640" s="47" t="s">
        <v>10562</v>
      </c>
      <c r="B1640" s="47" t="s">
        <v>123</v>
      </c>
      <c r="C1640" s="47" t="s">
        <v>5228</v>
      </c>
      <c r="D1640" s="47">
        <v>0.190930952489026</v>
      </c>
      <c r="E1640" s="48">
        <f>SUMIF(Data!$E:$E,$C1640,Data!$AI:$AI)</f>
        <v>0</v>
      </c>
      <c r="I1640" s="14" t="s">
        <v>10722</v>
      </c>
      <c r="J1640" s="14" t="s">
        <v>10723</v>
      </c>
      <c r="K1640" s="14" t="s">
        <v>140</v>
      </c>
      <c r="L1640" s="14" t="s">
        <v>10457</v>
      </c>
      <c r="M1640" s="14" t="s">
        <v>10724</v>
      </c>
      <c r="N1640" s="14">
        <v>82.941000000000003</v>
      </c>
      <c r="O1640" s="14">
        <v>564.31500000000005</v>
      </c>
      <c r="P1640" s="14" t="s">
        <v>10725</v>
      </c>
      <c r="Q1640" s="14" t="s">
        <v>211</v>
      </c>
      <c r="R1640" s="14" t="s">
        <v>10726</v>
      </c>
      <c r="S1640" s="14" t="s">
        <v>728</v>
      </c>
      <c r="T1640" s="14" t="s">
        <v>729</v>
      </c>
      <c r="U1640" s="14" t="s">
        <v>730</v>
      </c>
      <c r="V1640" s="48">
        <f>SUMIF(Data!$E:$E,$I1640,Data!$AI:$AI)</f>
        <v>0</v>
      </c>
    </row>
    <row r="1641" spans="1:22" x14ac:dyDescent="0.25">
      <c r="A1641" s="47" t="s">
        <v>10562</v>
      </c>
      <c r="B1641" s="47" t="s">
        <v>123</v>
      </c>
      <c r="C1641" s="47" t="s">
        <v>5598</v>
      </c>
      <c r="D1641" s="47">
        <v>0.15462724592777399</v>
      </c>
      <c r="E1641" s="48">
        <f>SUMIF(Data!$E:$E,$C1641,Data!$AI:$AI)</f>
        <v>0</v>
      </c>
      <c r="I1641" s="14" t="s">
        <v>7569</v>
      </c>
      <c r="J1641" s="14" t="s">
        <v>10727</v>
      </c>
      <c r="K1641" s="14" t="s">
        <v>758</v>
      </c>
      <c r="L1641" s="14" t="s">
        <v>10457</v>
      </c>
      <c r="M1641" s="14" t="s">
        <v>10728</v>
      </c>
      <c r="N1641" s="14">
        <v>849.24400000000003</v>
      </c>
      <c r="O1641" s="14">
        <v>563.85599999999999</v>
      </c>
      <c r="P1641" s="14" t="s">
        <v>10729</v>
      </c>
      <c r="Q1641" s="14" t="s">
        <v>762</v>
      </c>
      <c r="R1641" s="14" t="s">
        <v>763</v>
      </c>
      <c r="S1641" s="14" t="s">
        <v>763</v>
      </c>
      <c r="T1641" s="14" t="s">
        <v>7568</v>
      </c>
      <c r="U1641" s="14" t="s">
        <v>7569</v>
      </c>
      <c r="V1641" s="48">
        <f>SUMIF(Data!$E:$E,$I1641,Data!$AI:$AI)</f>
        <v>0</v>
      </c>
    </row>
    <row r="1642" spans="1:22" x14ac:dyDescent="0.25">
      <c r="A1642" s="47" t="s">
        <v>10562</v>
      </c>
      <c r="B1642" s="47" t="s">
        <v>123</v>
      </c>
      <c r="C1642" s="47" t="s">
        <v>3901</v>
      </c>
      <c r="D1642" s="47">
        <v>1.0678813335544799</v>
      </c>
      <c r="E1642" s="48">
        <f>SUMIF(Data!$E:$E,$C1642,Data!$AI:$AI)</f>
        <v>0.4435083799971119</v>
      </c>
      <c r="I1642" s="14">
        <v>2229</v>
      </c>
      <c r="J1642" s="14" t="s">
        <v>10730</v>
      </c>
      <c r="K1642" s="14" t="s">
        <v>140</v>
      </c>
      <c r="L1642" s="14" t="s">
        <v>10457</v>
      </c>
      <c r="M1642" s="14" t="s">
        <v>10731</v>
      </c>
      <c r="N1642" s="14">
        <v>16</v>
      </c>
      <c r="O1642" s="14">
        <v>530.851</v>
      </c>
      <c r="P1642" s="14" t="s">
        <v>10732</v>
      </c>
      <c r="Q1642" s="14" t="s">
        <v>227</v>
      </c>
      <c r="R1642" s="14" t="s">
        <v>10733</v>
      </c>
      <c r="S1642" s="14" t="s">
        <v>444</v>
      </c>
      <c r="T1642" s="14" t="s">
        <v>445</v>
      </c>
      <c r="U1642" s="14" t="s">
        <v>446</v>
      </c>
      <c r="V1642" s="48">
        <f>SUMIF(Data!$E:$E,$I1642,Data!$AI:$AI)</f>
        <v>0</v>
      </c>
    </row>
    <row r="1643" spans="1:22" x14ac:dyDescent="0.25">
      <c r="A1643" s="47" t="s">
        <v>10562</v>
      </c>
      <c r="B1643" s="47" t="s">
        <v>123</v>
      </c>
      <c r="C1643" s="47" t="s">
        <v>5605</v>
      </c>
      <c r="D1643" s="47">
        <v>0.23311112306647799</v>
      </c>
      <c r="E1643" s="48">
        <f>SUMIF(Data!$E:$E,$C1643,Data!$AI:$AI)</f>
        <v>6.758252240413927E-2</v>
      </c>
      <c r="I1643" s="14" t="s">
        <v>10734</v>
      </c>
      <c r="J1643" s="14" t="s">
        <v>10735</v>
      </c>
      <c r="K1643" s="14" t="s">
        <v>140</v>
      </c>
      <c r="L1643" s="14" t="s">
        <v>10457</v>
      </c>
      <c r="M1643" s="14" t="s">
        <v>10736</v>
      </c>
      <c r="N1643" s="14">
        <v>266.60000000000002</v>
      </c>
      <c r="O1643" s="14">
        <v>482.42700000000002</v>
      </c>
      <c r="P1643" s="14" t="s">
        <v>10737</v>
      </c>
      <c r="Q1643" s="14" t="s">
        <v>809</v>
      </c>
      <c r="R1643" s="14" t="s">
        <v>10738</v>
      </c>
      <c r="S1643" s="14" t="s">
        <v>2368</v>
      </c>
      <c r="T1643" s="14" t="s">
        <v>2369</v>
      </c>
      <c r="U1643" s="14" t="s">
        <v>2370</v>
      </c>
      <c r="V1643" s="48">
        <f>SUMIF(Data!$E:$E,$I1643,Data!$AI:$AI)</f>
        <v>0</v>
      </c>
    </row>
    <row r="1644" spans="1:22" x14ac:dyDescent="0.25">
      <c r="A1644" s="47" t="s">
        <v>10562</v>
      </c>
      <c r="B1644" s="47" t="s">
        <v>123</v>
      </c>
      <c r="C1644" s="47" t="s">
        <v>4938</v>
      </c>
      <c r="D1644" s="47">
        <v>1.4233392842327801</v>
      </c>
      <c r="E1644" s="48">
        <f>SUMIF(Data!$E:$E,$C1644,Data!$AI:$AI)</f>
        <v>0</v>
      </c>
      <c r="I1644" s="14">
        <v>3291</v>
      </c>
      <c r="J1644" s="14" t="s">
        <v>10739</v>
      </c>
      <c r="K1644" s="14" t="s">
        <v>140</v>
      </c>
      <c r="L1644" s="14" t="s">
        <v>10457</v>
      </c>
      <c r="M1644" s="14" t="s">
        <v>10740</v>
      </c>
      <c r="N1644" s="14">
        <v>26.9</v>
      </c>
      <c r="O1644" s="14">
        <v>477.55099999999999</v>
      </c>
      <c r="P1644" s="14" t="s">
        <v>10741</v>
      </c>
      <c r="Q1644" s="14" t="s">
        <v>165</v>
      </c>
      <c r="R1644" s="14" t="s">
        <v>10742</v>
      </c>
      <c r="S1644" s="14" t="s">
        <v>444</v>
      </c>
      <c r="T1644" s="14" t="s">
        <v>445</v>
      </c>
      <c r="U1644" s="14" t="s">
        <v>446</v>
      </c>
      <c r="V1644" s="48">
        <f>SUMIF(Data!$E:$E,$I1644,Data!$AI:$AI)</f>
        <v>0</v>
      </c>
    </row>
    <row r="1645" spans="1:22" x14ac:dyDescent="0.25">
      <c r="A1645" s="47" t="s">
        <v>10562</v>
      </c>
      <c r="B1645" s="47" t="s">
        <v>123</v>
      </c>
      <c r="C1645" s="47" t="s">
        <v>5625</v>
      </c>
      <c r="D1645" s="47">
        <v>7.6554023501005999E-2</v>
      </c>
      <c r="E1645" s="48">
        <f>SUMIF(Data!$E:$E,$C1645,Data!$AI:$AI)</f>
        <v>0</v>
      </c>
      <c r="I1645" s="14" t="s">
        <v>3060</v>
      </c>
      <c r="J1645" s="14" t="s">
        <v>10743</v>
      </c>
      <c r="K1645" s="14" t="s">
        <v>140</v>
      </c>
      <c r="L1645" s="14" t="s">
        <v>10457</v>
      </c>
      <c r="M1645" s="14" t="s">
        <v>10744</v>
      </c>
      <c r="N1645" s="14">
        <v>15.178000000000001</v>
      </c>
      <c r="O1645" s="14">
        <v>464.10599999999999</v>
      </c>
      <c r="P1645" s="14" t="s">
        <v>10745</v>
      </c>
      <c r="Q1645" s="14" t="s">
        <v>165</v>
      </c>
      <c r="R1645" s="14" t="s">
        <v>10746</v>
      </c>
      <c r="S1645" s="14" t="s">
        <v>850</v>
      </c>
      <c r="T1645" s="14" t="s">
        <v>851</v>
      </c>
      <c r="U1645" s="14" t="s">
        <v>852</v>
      </c>
      <c r="V1645" s="48">
        <f>SUMIF(Data!$E:$E,$I1645,Data!$AI:$AI)</f>
        <v>0</v>
      </c>
    </row>
    <row r="1646" spans="1:22" x14ac:dyDescent="0.25">
      <c r="A1646" s="47" t="s">
        <v>10562</v>
      </c>
      <c r="B1646" s="47" t="s">
        <v>123</v>
      </c>
      <c r="C1646" s="47" t="s">
        <v>5632</v>
      </c>
      <c r="D1646" s="47">
        <v>9.1238850192818993E-2</v>
      </c>
      <c r="E1646" s="48">
        <f>SUMIF(Data!$E:$E,$C1646,Data!$AI:$AI)</f>
        <v>0</v>
      </c>
      <c r="I1646" s="14">
        <v>5901</v>
      </c>
      <c r="J1646" s="14" t="s">
        <v>10747</v>
      </c>
      <c r="K1646" s="14" t="s">
        <v>140</v>
      </c>
      <c r="L1646" s="14" t="s">
        <v>10457</v>
      </c>
      <c r="M1646" s="14" t="s">
        <v>10748</v>
      </c>
      <c r="N1646" s="14">
        <v>25.9</v>
      </c>
      <c r="O1646" s="14">
        <v>459.32499999999999</v>
      </c>
      <c r="P1646" s="14" t="s">
        <v>10749</v>
      </c>
      <c r="Q1646" s="14" t="s">
        <v>737</v>
      </c>
      <c r="R1646" s="14" t="s">
        <v>10750</v>
      </c>
      <c r="S1646" s="14" t="s">
        <v>444</v>
      </c>
      <c r="T1646" s="14" t="s">
        <v>445</v>
      </c>
      <c r="U1646" s="14" t="s">
        <v>446</v>
      </c>
      <c r="V1646" s="48">
        <f>SUMIF(Data!$E:$E,$I1646,Data!$AI:$AI)</f>
        <v>0</v>
      </c>
    </row>
    <row r="1647" spans="1:22" x14ac:dyDescent="0.25">
      <c r="A1647" s="47" t="s">
        <v>10562</v>
      </c>
      <c r="B1647" s="47" t="s">
        <v>123</v>
      </c>
      <c r="C1647" s="47" t="s">
        <v>4009</v>
      </c>
      <c r="D1647" s="47">
        <v>0.36350508260752901</v>
      </c>
      <c r="E1647" s="48">
        <f>SUMIF(Data!$E:$E,$C1647,Data!$AI:$AI)</f>
        <v>0</v>
      </c>
      <c r="I1647" s="14" t="s">
        <v>10751</v>
      </c>
      <c r="J1647" s="14" t="s">
        <v>10752</v>
      </c>
      <c r="K1647" s="14" t="s">
        <v>140</v>
      </c>
      <c r="L1647" s="14" t="s">
        <v>10457</v>
      </c>
      <c r="M1647" s="14" t="s">
        <v>10753</v>
      </c>
      <c r="N1647" s="14">
        <v>19.954999999999998</v>
      </c>
      <c r="O1647" s="14">
        <v>451.51799999999997</v>
      </c>
      <c r="P1647" s="14" t="s">
        <v>10754</v>
      </c>
      <c r="Q1647" s="14" t="s">
        <v>165</v>
      </c>
      <c r="R1647" s="14" t="s">
        <v>10755</v>
      </c>
      <c r="S1647" s="14" t="s">
        <v>2368</v>
      </c>
      <c r="T1647" s="14" t="s">
        <v>2369</v>
      </c>
      <c r="U1647" s="14" t="s">
        <v>2370</v>
      </c>
      <c r="V1647" s="48">
        <f>SUMIF(Data!$E:$E,$I1647,Data!$AI:$AI)</f>
        <v>0</v>
      </c>
    </row>
    <row r="1648" spans="1:22" x14ac:dyDescent="0.25">
      <c r="A1648" s="47" t="s">
        <v>10562</v>
      </c>
      <c r="B1648" s="47" t="s">
        <v>123</v>
      </c>
      <c r="C1648" s="47" t="s">
        <v>5639</v>
      </c>
      <c r="D1648" s="47">
        <v>0.139006240621946</v>
      </c>
      <c r="E1648" s="48">
        <f>SUMIF(Data!$E:$E,$C1648,Data!$AI:$AI)</f>
        <v>0</v>
      </c>
      <c r="I1648" s="14" t="s">
        <v>10756</v>
      </c>
      <c r="J1648" s="14" t="s">
        <v>10757</v>
      </c>
      <c r="K1648" s="14" t="s">
        <v>140</v>
      </c>
      <c r="L1648" s="14" t="s">
        <v>10457</v>
      </c>
      <c r="M1648" s="14" t="s">
        <v>10758</v>
      </c>
      <c r="N1648" s="14">
        <v>263.49299999999999</v>
      </c>
      <c r="O1648" s="14">
        <v>434.05700000000002</v>
      </c>
      <c r="P1648" s="14" t="s">
        <v>10759</v>
      </c>
      <c r="Q1648" s="14" t="s">
        <v>211</v>
      </c>
      <c r="R1648" s="14" t="s">
        <v>10760</v>
      </c>
      <c r="S1648" s="14" t="s">
        <v>728</v>
      </c>
      <c r="T1648" s="14" t="s">
        <v>729</v>
      </c>
      <c r="U1648" s="14" t="s">
        <v>730</v>
      </c>
      <c r="V1648" s="48">
        <f>SUMIF(Data!$E:$E,$I1648,Data!$AI:$AI)</f>
        <v>0</v>
      </c>
    </row>
    <row r="1649" spans="1:22" x14ac:dyDescent="0.25">
      <c r="A1649" s="47" t="s">
        <v>10562</v>
      </c>
      <c r="B1649" s="47" t="s">
        <v>123</v>
      </c>
      <c r="C1649" s="47" t="s">
        <v>1942</v>
      </c>
      <c r="D1649" s="47">
        <v>16.3309528043876</v>
      </c>
      <c r="E1649" s="48">
        <f>SUMIF(Data!$E:$E,$C1649,Data!$AI:$AI)</f>
        <v>0</v>
      </c>
      <c r="I1649" s="14">
        <v>5486</v>
      </c>
      <c r="J1649" s="14" t="s">
        <v>10761</v>
      </c>
      <c r="K1649" s="14" t="s">
        <v>140</v>
      </c>
      <c r="L1649" s="14" t="s">
        <v>10457</v>
      </c>
      <c r="M1649" s="14" t="s">
        <v>10762</v>
      </c>
      <c r="N1649" s="14">
        <v>27.1</v>
      </c>
      <c r="O1649" s="14">
        <v>406.89600000000002</v>
      </c>
      <c r="P1649" s="14" t="s">
        <v>10763</v>
      </c>
      <c r="Q1649" s="14" t="s">
        <v>737</v>
      </c>
      <c r="R1649" s="14" t="s">
        <v>10764</v>
      </c>
      <c r="S1649" s="14" t="s">
        <v>444</v>
      </c>
      <c r="T1649" s="14" t="s">
        <v>445</v>
      </c>
      <c r="U1649" s="14" t="s">
        <v>446</v>
      </c>
      <c r="V1649" s="48">
        <f>SUMIF(Data!$E:$E,$I1649,Data!$AI:$AI)</f>
        <v>0</v>
      </c>
    </row>
    <row r="1650" spans="1:22" x14ac:dyDescent="0.25">
      <c r="A1650" s="47" t="s">
        <v>10562</v>
      </c>
      <c r="B1650" s="47" t="s">
        <v>123</v>
      </c>
      <c r="C1650" s="47" t="s">
        <v>4951</v>
      </c>
      <c r="D1650" s="47">
        <v>4.8632461257914201</v>
      </c>
      <c r="E1650" s="48">
        <f>SUMIF(Data!$E:$E,$C1650,Data!$AI:$AI)</f>
        <v>0</v>
      </c>
      <c r="I1650" s="14">
        <v>8369</v>
      </c>
      <c r="J1650" s="14" t="s">
        <v>10765</v>
      </c>
      <c r="K1650" s="14" t="s">
        <v>140</v>
      </c>
      <c r="L1650" s="14" t="s">
        <v>10457</v>
      </c>
      <c r="M1650" s="14" t="s">
        <v>10766</v>
      </c>
      <c r="N1650" s="14">
        <v>9.3239999999999998</v>
      </c>
      <c r="O1650" s="14">
        <v>394.03199999999998</v>
      </c>
      <c r="P1650" s="14" t="s">
        <v>10767</v>
      </c>
      <c r="Q1650" s="14" t="s">
        <v>193</v>
      </c>
      <c r="R1650" s="14" t="s">
        <v>10768</v>
      </c>
      <c r="S1650" s="14" t="s">
        <v>444</v>
      </c>
      <c r="T1650" s="14" t="s">
        <v>445</v>
      </c>
      <c r="U1650" s="14" t="s">
        <v>446</v>
      </c>
      <c r="V1650" s="48">
        <f>SUMIF(Data!$E:$E,$I1650,Data!$AI:$AI)</f>
        <v>0</v>
      </c>
    </row>
    <row r="1651" spans="1:22" x14ac:dyDescent="0.25">
      <c r="A1651" s="47" t="s">
        <v>10562</v>
      </c>
      <c r="B1651" s="47" t="s">
        <v>123</v>
      </c>
      <c r="C1651" s="47" t="s">
        <v>1469</v>
      </c>
      <c r="D1651" s="47">
        <v>2.17976471901751</v>
      </c>
      <c r="E1651" s="48">
        <f>SUMIF(Data!$E:$E,$C1651,Data!$AI:$AI)</f>
        <v>0</v>
      </c>
      <c r="I1651" s="14">
        <v>4927</v>
      </c>
      <c r="J1651" s="14" t="s">
        <v>10769</v>
      </c>
      <c r="K1651" s="14" t="s">
        <v>140</v>
      </c>
      <c r="L1651" s="14" t="s">
        <v>10457</v>
      </c>
      <c r="M1651" s="14" t="s">
        <v>10770</v>
      </c>
      <c r="N1651" s="14">
        <v>15.6</v>
      </c>
      <c r="O1651" s="14">
        <v>376.61599999999999</v>
      </c>
      <c r="P1651" s="14" t="s">
        <v>10771</v>
      </c>
      <c r="Q1651" s="14" t="s">
        <v>227</v>
      </c>
      <c r="R1651" s="14" t="s">
        <v>10772</v>
      </c>
      <c r="S1651" s="14" t="s">
        <v>444</v>
      </c>
      <c r="T1651" s="14" t="s">
        <v>445</v>
      </c>
      <c r="U1651" s="14" t="s">
        <v>446</v>
      </c>
      <c r="V1651" s="48">
        <f>SUMIF(Data!$E:$E,$I1651,Data!$AI:$AI)</f>
        <v>0</v>
      </c>
    </row>
    <row r="1652" spans="1:22" x14ac:dyDescent="0.25">
      <c r="A1652" s="47" t="s">
        <v>10562</v>
      </c>
      <c r="B1652" s="47" t="s">
        <v>123</v>
      </c>
      <c r="C1652" s="47" t="s">
        <v>5647</v>
      </c>
      <c r="D1652" s="47">
        <v>1.6010042886989002E-2</v>
      </c>
      <c r="E1652" s="48">
        <f>SUMIF(Data!$E:$E,$C1652,Data!$AI:$AI)</f>
        <v>0</v>
      </c>
      <c r="I1652" s="14" t="s">
        <v>10773</v>
      </c>
      <c r="J1652" s="14" t="s">
        <v>3242</v>
      </c>
      <c r="K1652" s="14" t="s">
        <v>140</v>
      </c>
      <c r="L1652" s="14" t="s">
        <v>10457</v>
      </c>
      <c r="M1652" s="14" t="s">
        <v>3243</v>
      </c>
      <c r="N1652" s="14">
        <v>23.588000000000001</v>
      </c>
      <c r="O1652" s="14">
        <v>375.392</v>
      </c>
      <c r="P1652" s="14" t="s">
        <v>10774</v>
      </c>
      <c r="Q1652" s="14" t="s">
        <v>263</v>
      </c>
      <c r="R1652" s="14" t="s">
        <v>10775</v>
      </c>
      <c r="S1652" s="14" t="s">
        <v>1167</v>
      </c>
      <c r="T1652" s="14" t="s">
        <v>1168</v>
      </c>
      <c r="U1652" s="14" t="s">
        <v>528</v>
      </c>
      <c r="V1652" s="48">
        <f>SUMIF(Data!$E:$E,$I1652,Data!$AI:$AI)</f>
        <v>0</v>
      </c>
    </row>
    <row r="1653" spans="1:22" x14ac:dyDescent="0.25">
      <c r="A1653" s="47" t="s">
        <v>10562</v>
      </c>
      <c r="B1653" s="47" t="s">
        <v>123</v>
      </c>
      <c r="C1653" s="47" t="s">
        <v>4964</v>
      </c>
      <c r="D1653" s="47">
        <v>1.1805181915059499</v>
      </c>
      <c r="E1653" s="48">
        <f>SUMIF(Data!$E:$E,$C1653,Data!$AI:$AI)</f>
        <v>0</v>
      </c>
      <c r="I1653" s="14">
        <v>6460</v>
      </c>
      <c r="J1653" s="14" t="s">
        <v>10776</v>
      </c>
      <c r="K1653" s="14" t="s">
        <v>140</v>
      </c>
      <c r="L1653" s="14" t="s">
        <v>10457</v>
      </c>
      <c r="M1653" s="14" t="s">
        <v>10777</v>
      </c>
      <c r="N1653" s="14">
        <v>26.007000000000001</v>
      </c>
      <c r="O1653" s="14">
        <v>375.767</v>
      </c>
      <c r="P1653" s="14" t="s">
        <v>10778</v>
      </c>
      <c r="Q1653" s="14" t="s">
        <v>165</v>
      </c>
      <c r="R1653" s="14" t="s">
        <v>10779</v>
      </c>
      <c r="S1653" s="14" t="s">
        <v>444</v>
      </c>
      <c r="T1653" s="14" t="s">
        <v>445</v>
      </c>
      <c r="U1653" s="14" t="s">
        <v>446</v>
      </c>
      <c r="V1653" s="48">
        <f>SUMIF(Data!$E:$E,$I1653,Data!$AI:$AI)</f>
        <v>0</v>
      </c>
    </row>
    <row r="1654" spans="1:22" x14ac:dyDescent="0.25">
      <c r="A1654" s="47" t="s">
        <v>10562</v>
      </c>
      <c r="B1654" s="47" t="s">
        <v>123</v>
      </c>
      <c r="C1654" s="47" t="s">
        <v>5271</v>
      </c>
      <c r="D1654" s="47">
        <v>0.17218297406369801</v>
      </c>
      <c r="E1654" s="48">
        <f>SUMIF(Data!$E:$E,$C1654,Data!$AI:$AI)</f>
        <v>0.14326299409755411</v>
      </c>
      <c r="I1654" s="14">
        <v>5947</v>
      </c>
      <c r="J1654" s="14" t="s">
        <v>10780</v>
      </c>
      <c r="K1654" s="14" t="s">
        <v>140</v>
      </c>
      <c r="L1654" s="14" t="s">
        <v>10457</v>
      </c>
      <c r="M1654" s="14" t="s">
        <v>10781</v>
      </c>
      <c r="N1654" s="14">
        <v>4.7430000000000003</v>
      </c>
      <c r="O1654" s="14">
        <v>368.40899999999999</v>
      </c>
      <c r="P1654" s="14" t="s">
        <v>10782</v>
      </c>
      <c r="Q1654" s="14" t="s">
        <v>165</v>
      </c>
      <c r="R1654" s="14" t="s">
        <v>10783</v>
      </c>
      <c r="S1654" s="14" t="s">
        <v>444</v>
      </c>
      <c r="T1654" s="14" t="s">
        <v>445</v>
      </c>
      <c r="U1654" s="14" t="s">
        <v>446</v>
      </c>
      <c r="V1654" s="48">
        <f>SUMIF(Data!$E:$E,$I1654,Data!$AI:$AI)</f>
        <v>0</v>
      </c>
    </row>
    <row r="1655" spans="1:22" x14ac:dyDescent="0.25">
      <c r="A1655" s="47" t="s">
        <v>10562</v>
      </c>
      <c r="B1655" s="47" t="s">
        <v>123</v>
      </c>
      <c r="C1655" s="47" t="s">
        <v>4971</v>
      </c>
      <c r="D1655" s="47">
        <v>1.0149831812778001</v>
      </c>
      <c r="E1655" s="48">
        <f>SUMIF(Data!$E:$E,$C1655,Data!$AI:$AI)</f>
        <v>0.51478348043038158</v>
      </c>
      <c r="I1655" s="14">
        <v>4091</v>
      </c>
      <c r="J1655" s="14" t="s">
        <v>10784</v>
      </c>
      <c r="K1655" s="14" t="s">
        <v>140</v>
      </c>
      <c r="L1655" s="14" t="s">
        <v>10457</v>
      </c>
      <c r="M1655" s="14" t="s">
        <v>10398</v>
      </c>
      <c r="N1655" s="14">
        <v>14.7</v>
      </c>
      <c r="O1655" s="14">
        <v>323.49099999999999</v>
      </c>
      <c r="P1655" s="14" t="s">
        <v>10785</v>
      </c>
      <c r="Q1655" s="14" t="s">
        <v>737</v>
      </c>
      <c r="R1655" s="14" t="s">
        <v>10786</v>
      </c>
      <c r="S1655" s="14" t="s">
        <v>444</v>
      </c>
      <c r="T1655" s="14" t="s">
        <v>445</v>
      </c>
      <c r="U1655" s="14" t="s">
        <v>446</v>
      </c>
      <c r="V1655" s="48">
        <f>SUMIF(Data!$E:$E,$I1655,Data!$AI:$AI)</f>
        <v>0</v>
      </c>
    </row>
    <row r="1656" spans="1:22" x14ac:dyDescent="0.25">
      <c r="A1656" s="47" t="s">
        <v>10562</v>
      </c>
      <c r="B1656" s="47" t="s">
        <v>123</v>
      </c>
      <c r="C1656" s="47" t="s">
        <v>4978</v>
      </c>
      <c r="D1656" s="47">
        <v>1.17151436602805</v>
      </c>
      <c r="E1656" s="48">
        <f>SUMIF(Data!$E:$E,$C1656,Data!$AI:$AI)</f>
        <v>0</v>
      </c>
      <c r="I1656" s="14">
        <v>6370</v>
      </c>
      <c r="J1656" s="14" t="s">
        <v>10787</v>
      </c>
      <c r="K1656" s="14" t="s">
        <v>140</v>
      </c>
      <c r="L1656" s="14" t="s">
        <v>10457</v>
      </c>
      <c r="M1656" s="14" t="s">
        <v>4704</v>
      </c>
      <c r="N1656" s="14">
        <v>10.013999999999999</v>
      </c>
      <c r="O1656" s="14">
        <v>300.255</v>
      </c>
      <c r="P1656" s="14" t="s">
        <v>10788</v>
      </c>
      <c r="Q1656" s="14" t="s">
        <v>419</v>
      </c>
      <c r="R1656" s="14" t="s">
        <v>10789</v>
      </c>
      <c r="S1656" s="14" t="s">
        <v>444</v>
      </c>
      <c r="T1656" s="14" t="s">
        <v>445</v>
      </c>
      <c r="U1656" s="14" t="s">
        <v>446</v>
      </c>
      <c r="V1656" s="48">
        <f>SUMIF(Data!$E:$E,$I1656,Data!$AI:$AI)</f>
        <v>0</v>
      </c>
    </row>
    <row r="1657" spans="1:22" x14ac:dyDescent="0.25">
      <c r="A1657" s="47" t="s">
        <v>10562</v>
      </c>
      <c r="B1657" s="47" t="s">
        <v>123</v>
      </c>
      <c r="C1657" s="47" t="s">
        <v>5665</v>
      </c>
      <c r="D1657" s="47">
        <v>6.7978228824237E-2</v>
      </c>
      <c r="E1657" s="48">
        <f>SUMIF(Data!$E:$E,$C1657,Data!$AI:$AI)</f>
        <v>0</v>
      </c>
      <c r="I1657" s="14">
        <v>4088</v>
      </c>
      <c r="J1657" s="14" t="s">
        <v>10790</v>
      </c>
      <c r="K1657" s="14" t="s">
        <v>140</v>
      </c>
      <c r="L1657" s="14" t="s">
        <v>10457</v>
      </c>
      <c r="M1657" s="14" t="s">
        <v>10777</v>
      </c>
      <c r="N1657" s="14">
        <v>18.7</v>
      </c>
      <c r="O1657" s="14">
        <v>270.19099999999997</v>
      </c>
      <c r="P1657" s="14" t="s">
        <v>10791</v>
      </c>
      <c r="Q1657" s="14" t="s">
        <v>737</v>
      </c>
      <c r="R1657" s="14" t="s">
        <v>10792</v>
      </c>
      <c r="S1657" s="14" t="s">
        <v>444</v>
      </c>
      <c r="T1657" s="14" t="s">
        <v>445</v>
      </c>
      <c r="U1657" s="14" t="s">
        <v>446</v>
      </c>
      <c r="V1657" s="48">
        <f>SUMIF(Data!$E:$E,$I1657,Data!$AI:$AI)</f>
        <v>0</v>
      </c>
    </row>
    <row r="1658" spans="1:22" x14ac:dyDescent="0.25">
      <c r="A1658" s="47" t="s">
        <v>10562</v>
      </c>
      <c r="B1658" s="47" t="s">
        <v>123</v>
      </c>
      <c r="C1658" s="47" t="s">
        <v>5685</v>
      </c>
      <c r="D1658" s="47">
        <v>0.11114405844519901</v>
      </c>
      <c r="E1658" s="48">
        <f>SUMIF(Data!$E:$E,$C1658,Data!$AI:$AI)</f>
        <v>0</v>
      </c>
      <c r="I1658" s="14" t="s">
        <v>6466</v>
      </c>
      <c r="J1658" s="14" t="s">
        <v>10793</v>
      </c>
      <c r="K1658" s="14" t="s">
        <v>140</v>
      </c>
      <c r="L1658" s="14" t="s">
        <v>10457</v>
      </c>
      <c r="M1658" s="14" t="s">
        <v>10794</v>
      </c>
      <c r="N1658" s="14">
        <v>29.317</v>
      </c>
      <c r="O1658" s="14">
        <v>264.14600000000002</v>
      </c>
      <c r="P1658" s="14" t="s">
        <v>10795</v>
      </c>
      <c r="Q1658" s="14" t="s">
        <v>211</v>
      </c>
      <c r="R1658" s="14" t="s">
        <v>10796</v>
      </c>
      <c r="S1658" s="14" t="s">
        <v>195</v>
      </c>
      <c r="T1658" s="14" t="s">
        <v>4834</v>
      </c>
      <c r="U1658" s="14" t="s">
        <v>113</v>
      </c>
      <c r="V1658" s="48">
        <f>SUMIF(Data!$E:$E,$I1658,Data!$AI:$AI)</f>
        <v>0</v>
      </c>
    </row>
    <row r="1659" spans="1:22" x14ac:dyDescent="0.25">
      <c r="A1659" s="47" t="s">
        <v>10562</v>
      </c>
      <c r="B1659" s="47" t="s">
        <v>123</v>
      </c>
      <c r="C1659" s="47" t="s">
        <v>5309</v>
      </c>
      <c r="D1659" s="47">
        <v>0.32238218993284501</v>
      </c>
      <c r="E1659" s="48">
        <f>SUMIF(Data!$E:$E,$C1659,Data!$AI:$AI)</f>
        <v>0</v>
      </c>
      <c r="I1659" s="14">
        <v>9783</v>
      </c>
      <c r="J1659" s="14" t="s">
        <v>10797</v>
      </c>
      <c r="K1659" s="14" t="s">
        <v>140</v>
      </c>
      <c r="L1659" s="14" t="s">
        <v>10457</v>
      </c>
      <c r="M1659" s="14" t="s">
        <v>10798</v>
      </c>
      <c r="N1659" s="14">
        <v>8.4819999999999993</v>
      </c>
      <c r="O1659" s="14">
        <v>227.92099999999999</v>
      </c>
      <c r="P1659" s="14" t="s">
        <v>10799</v>
      </c>
      <c r="Q1659" s="14" t="s">
        <v>165</v>
      </c>
      <c r="R1659" s="14" t="s">
        <v>10800</v>
      </c>
      <c r="S1659" s="14" t="s">
        <v>444</v>
      </c>
      <c r="T1659" s="14" t="s">
        <v>445</v>
      </c>
      <c r="U1659" s="14" t="s">
        <v>446</v>
      </c>
      <c r="V1659" s="48">
        <f>SUMIF(Data!$E:$E,$I1659,Data!$AI:$AI)</f>
        <v>0</v>
      </c>
    </row>
    <row r="1660" spans="1:22" x14ac:dyDescent="0.25">
      <c r="A1660" s="47" t="s">
        <v>10562</v>
      </c>
      <c r="B1660" s="47" t="s">
        <v>123</v>
      </c>
      <c r="C1660" s="47" t="s">
        <v>5316</v>
      </c>
      <c r="D1660" s="47">
        <v>0.14224073130440401</v>
      </c>
      <c r="E1660" s="48">
        <f>SUMIF(Data!$E:$E,$C1660,Data!$AI:$AI)</f>
        <v>0</v>
      </c>
      <c r="I1660" s="14">
        <v>8227</v>
      </c>
      <c r="J1660" s="14" t="s">
        <v>10801</v>
      </c>
      <c r="K1660" s="14" t="s">
        <v>140</v>
      </c>
      <c r="L1660" s="14" t="s">
        <v>10457</v>
      </c>
      <c r="M1660" s="14" t="s">
        <v>10802</v>
      </c>
      <c r="N1660" s="14">
        <v>2.9590000000000001</v>
      </c>
      <c r="O1660" s="14">
        <v>224.167</v>
      </c>
      <c r="P1660" s="14" t="s">
        <v>10803</v>
      </c>
      <c r="Q1660" s="14" t="s">
        <v>165</v>
      </c>
      <c r="R1660" s="14" t="s">
        <v>10804</v>
      </c>
      <c r="S1660" s="14" t="s">
        <v>444</v>
      </c>
      <c r="T1660" s="14" t="s">
        <v>445</v>
      </c>
      <c r="U1660" s="14" t="s">
        <v>446</v>
      </c>
      <c r="V1660" s="48">
        <f>SUMIF(Data!$E:$E,$I1660,Data!$AI:$AI)</f>
        <v>0</v>
      </c>
    </row>
    <row r="1661" spans="1:22" x14ac:dyDescent="0.25">
      <c r="A1661" s="47" t="s">
        <v>10562</v>
      </c>
      <c r="B1661" s="47" t="s">
        <v>123</v>
      </c>
      <c r="C1661" s="47" t="s">
        <v>3581</v>
      </c>
      <c r="D1661" s="47">
        <v>0.113403020843867</v>
      </c>
      <c r="E1661" s="48">
        <f>SUMIF(Data!$E:$E,$C1661,Data!$AI:$AI)</f>
        <v>0</v>
      </c>
      <c r="I1661" s="14" t="s">
        <v>10805</v>
      </c>
      <c r="J1661" s="14" t="s">
        <v>2169</v>
      </c>
      <c r="K1661" s="14" t="s">
        <v>140</v>
      </c>
      <c r="L1661" s="14" t="s">
        <v>10457</v>
      </c>
      <c r="M1661" s="14" t="s">
        <v>10766</v>
      </c>
      <c r="N1661" s="14">
        <v>2.464</v>
      </c>
      <c r="O1661" s="14">
        <v>104.11799999999999</v>
      </c>
      <c r="P1661" s="14" t="s">
        <v>10806</v>
      </c>
      <c r="Q1661" s="14" t="s">
        <v>737</v>
      </c>
      <c r="R1661" s="14" t="s">
        <v>2173</v>
      </c>
      <c r="S1661" s="14" t="s">
        <v>728</v>
      </c>
      <c r="T1661" s="14" t="s">
        <v>149</v>
      </c>
      <c r="U1661" s="14" t="s">
        <v>730</v>
      </c>
      <c r="V1661" s="48">
        <f>SUMIF(Data!$E:$E,$I1661,Data!$AI:$AI)</f>
        <v>0</v>
      </c>
    </row>
    <row r="1662" spans="1:22" x14ac:dyDescent="0.25">
      <c r="A1662" s="47" t="s">
        <v>10562</v>
      </c>
      <c r="B1662" s="47" t="s">
        <v>123</v>
      </c>
      <c r="C1662" s="47" t="s">
        <v>5725</v>
      </c>
      <c r="D1662" s="47">
        <v>7.3891583963935997E-2</v>
      </c>
      <c r="E1662" s="48">
        <f>SUMIF(Data!$E:$E,$C1662,Data!$AI:$AI)</f>
        <v>0</v>
      </c>
      <c r="I1662" s="14" t="s">
        <v>4965</v>
      </c>
      <c r="J1662" s="14" t="s">
        <v>4966</v>
      </c>
      <c r="K1662" s="14" t="s">
        <v>140</v>
      </c>
      <c r="L1662" s="14" t="s">
        <v>10457</v>
      </c>
      <c r="M1662" s="14" t="s">
        <v>10807</v>
      </c>
      <c r="N1662" s="14">
        <v>0</v>
      </c>
      <c r="O1662" s="14">
        <v>23</v>
      </c>
      <c r="P1662" s="14" t="s">
        <v>10808</v>
      </c>
      <c r="Q1662" s="14" t="s">
        <v>737</v>
      </c>
      <c r="R1662" s="14" t="s">
        <v>4970</v>
      </c>
      <c r="S1662" s="14" t="s">
        <v>5739</v>
      </c>
      <c r="T1662" s="14" t="s">
        <v>149</v>
      </c>
      <c r="U1662" s="14" t="s">
        <v>5740</v>
      </c>
      <c r="V1662" s="48">
        <f>SUMIF(Data!$E:$E,$I1662,Data!$AI:$AI)</f>
        <v>0</v>
      </c>
    </row>
    <row r="1663" spans="1:22" x14ac:dyDescent="0.25">
      <c r="A1663" s="47" t="s">
        <v>10562</v>
      </c>
      <c r="B1663" s="47" t="s">
        <v>123</v>
      </c>
      <c r="C1663" s="47" t="s">
        <v>5762</v>
      </c>
      <c r="D1663" s="47">
        <v>0.12037166744595799</v>
      </c>
      <c r="E1663" s="48">
        <f>SUMIF(Data!$E:$E,$C1663,Data!$AI:$AI)</f>
        <v>2.7182358068629005E-2</v>
      </c>
      <c r="I1663" s="14" t="s">
        <v>10809</v>
      </c>
      <c r="J1663" s="14" t="s">
        <v>10810</v>
      </c>
      <c r="K1663" s="14" t="s">
        <v>10811</v>
      </c>
      <c r="L1663" s="14" t="s">
        <v>10457</v>
      </c>
      <c r="M1663" s="14" t="s">
        <v>10812</v>
      </c>
      <c r="N1663" s="14">
        <v>53</v>
      </c>
      <c r="O1663" s="14">
        <v>0</v>
      </c>
      <c r="P1663" s="14" t="s">
        <v>10813</v>
      </c>
      <c r="Q1663" s="14" t="s">
        <v>762</v>
      </c>
      <c r="R1663" s="14" t="s">
        <v>763</v>
      </c>
      <c r="S1663" s="14" t="s">
        <v>10814</v>
      </c>
      <c r="T1663" s="14" t="s">
        <v>763</v>
      </c>
      <c r="U1663" s="14" t="s">
        <v>446</v>
      </c>
      <c r="V1663" s="48">
        <f>SUMIF(Data!$E:$E,$I1663,Data!$AI:$AI)</f>
        <v>0</v>
      </c>
    </row>
    <row r="1664" spans="1:22" x14ac:dyDescent="0.25">
      <c r="A1664" s="47" t="s">
        <v>10562</v>
      </c>
      <c r="B1664" s="47" t="s">
        <v>123</v>
      </c>
      <c r="C1664" s="47" t="s">
        <v>5769</v>
      </c>
      <c r="D1664" s="47">
        <v>6.9349667745796997E-2</v>
      </c>
      <c r="E1664" s="48">
        <f>SUMIF(Data!$E:$E,$C1664,Data!$AI:$AI)</f>
        <v>0</v>
      </c>
      <c r="I1664" s="14" t="s">
        <v>10815</v>
      </c>
      <c r="J1664" s="14" t="s">
        <v>10816</v>
      </c>
      <c r="K1664" s="14" t="s">
        <v>10811</v>
      </c>
      <c r="L1664" s="14" t="s">
        <v>10457</v>
      </c>
      <c r="M1664" s="14" t="s">
        <v>10817</v>
      </c>
      <c r="N1664" s="14">
        <v>114</v>
      </c>
      <c r="O1664" s="14">
        <v>0</v>
      </c>
      <c r="P1664" s="14" t="s">
        <v>10818</v>
      </c>
      <c r="Q1664" s="14" t="s">
        <v>762</v>
      </c>
      <c r="R1664" s="14" t="s">
        <v>10819</v>
      </c>
      <c r="S1664" s="14" t="s">
        <v>10820</v>
      </c>
      <c r="T1664" s="14" t="s">
        <v>763</v>
      </c>
      <c r="U1664" s="14" t="s">
        <v>481</v>
      </c>
      <c r="V1664" s="48">
        <f>SUMIF(Data!$E:$E,$I1664,Data!$AI:$AI)</f>
        <v>0</v>
      </c>
    </row>
    <row r="1665" spans="1:22" x14ac:dyDescent="0.25">
      <c r="A1665" s="47" t="s">
        <v>10562</v>
      </c>
      <c r="B1665" s="47" t="s">
        <v>123</v>
      </c>
      <c r="C1665" s="47" t="s">
        <v>5802</v>
      </c>
      <c r="D1665" s="47">
        <v>2.5821754693751E-2</v>
      </c>
      <c r="E1665" s="48">
        <f>SUMIF(Data!$E:$E,$C1665,Data!$AI:$AI)</f>
        <v>0</v>
      </c>
      <c r="I1665" s="14" t="s">
        <v>10821</v>
      </c>
      <c r="J1665" s="14" t="s">
        <v>10822</v>
      </c>
      <c r="K1665" s="14" t="s">
        <v>10811</v>
      </c>
      <c r="L1665" s="14" t="s">
        <v>10457</v>
      </c>
      <c r="M1665" s="14" t="s">
        <v>10823</v>
      </c>
      <c r="N1665" s="14">
        <v>300</v>
      </c>
      <c r="O1665" s="14">
        <v>0</v>
      </c>
      <c r="P1665" s="14" t="s">
        <v>10824</v>
      </c>
      <c r="Q1665" s="14" t="s">
        <v>762</v>
      </c>
      <c r="R1665" s="14" t="s">
        <v>763</v>
      </c>
      <c r="S1665" s="14" t="s">
        <v>10825</v>
      </c>
      <c r="T1665" s="14" t="s">
        <v>763</v>
      </c>
      <c r="U1665" s="14" t="s">
        <v>113</v>
      </c>
      <c r="V1665" s="48">
        <f>SUMIF(Data!$E:$E,$I1665,Data!$AI:$AI)</f>
        <v>0</v>
      </c>
    </row>
    <row r="1666" spans="1:22" x14ac:dyDescent="0.25">
      <c r="A1666" s="47" t="s">
        <v>10562</v>
      </c>
      <c r="B1666" s="47" t="s">
        <v>123</v>
      </c>
      <c r="C1666" s="47" t="s">
        <v>4984</v>
      </c>
      <c r="D1666" s="47">
        <v>1.75884132471368</v>
      </c>
      <c r="E1666" s="48">
        <f>SUMIF(Data!$E:$E,$C1666,Data!$AI:$AI)</f>
        <v>0</v>
      </c>
      <c r="I1666" s="14" t="s">
        <v>10826</v>
      </c>
      <c r="J1666" s="14" t="s">
        <v>10827</v>
      </c>
      <c r="K1666" s="14" t="s">
        <v>10811</v>
      </c>
      <c r="L1666" s="14" t="s">
        <v>10457</v>
      </c>
      <c r="M1666" s="14" t="s">
        <v>10828</v>
      </c>
      <c r="N1666" s="14">
        <v>469</v>
      </c>
      <c r="O1666" s="14">
        <v>0</v>
      </c>
      <c r="P1666" s="14" t="s">
        <v>10829</v>
      </c>
      <c r="Q1666" s="14" t="s">
        <v>762</v>
      </c>
      <c r="R1666" s="14" t="s">
        <v>763</v>
      </c>
      <c r="S1666" s="14" t="s">
        <v>10830</v>
      </c>
      <c r="T1666" s="14" t="s">
        <v>763</v>
      </c>
      <c r="U1666" s="14" t="s">
        <v>113</v>
      </c>
      <c r="V1666" s="48">
        <f>SUMIF(Data!$E:$E,$I1666,Data!$AI:$AI)</f>
        <v>0</v>
      </c>
    </row>
    <row r="1667" spans="1:22" x14ac:dyDescent="0.25">
      <c r="A1667" s="47" t="s">
        <v>10562</v>
      </c>
      <c r="B1667" s="47" t="s">
        <v>123</v>
      </c>
      <c r="C1667" s="47" t="s">
        <v>5368</v>
      </c>
      <c r="D1667" s="47">
        <v>0.14713560618952401</v>
      </c>
      <c r="E1667" s="48">
        <f>SUMIF(Data!$E:$E,$C1667,Data!$AI:$AI)</f>
        <v>0</v>
      </c>
      <c r="I1667" s="14" t="s">
        <v>10831</v>
      </c>
      <c r="J1667" s="14" t="s">
        <v>10832</v>
      </c>
      <c r="K1667" s="14" t="s">
        <v>10811</v>
      </c>
      <c r="L1667" s="14" t="s">
        <v>10457</v>
      </c>
      <c r="M1667" s="14" t="s">
        <v>10833</v>
      </c>
      <c r="N1667" s="14">
        <v>345</v>
      </c>
      <c r="O1667" s="14">
        <v>0</v>
      </c>
      <c r="P1667" s="14" t="s">
        <v>10834</v>
      </c>
      <c r="Q1667" s="14" t="s">
        <v>762</v>
      </c>
      <c r="R1667" s="14" t="s">
        <v>10835</v>
      </c>
      <c r="S1667" s="14" t="s">
        <v>10836</v>
      </c>
      <c r="T1667" s="14" t="s">
        <v>3550</v>
      </c>
      <c r="U1667" s="14" t="s">
        <v>528</v>
      </c>
      <c r="V1667" s="48">
        <f>SUMIF(Data!$E:$E,$I1667,Data!$AI:$AI)</f>
        <v>0</v>
      </c>
    </row>
    <row r="1668" spans="1:22" x14ac:dyDescent="0.25">
      <c r="A1668" s="47" t="s">
        <v>10562</v>
      </c>
      <c r="B1668" s="47" t="s">
        <v>123</v>
      </c>
      <c r="C1668" s="47" t="s">
        <v>4991</v>
      </c>
      <c r="D1668" s="47">
        <v>1.0073053609623499</v>
      </c>
      <c r="E1668" s="48">
        <f>SUMIF(Data!$E:$E,$C1668,Data!$AI:$AI)</f>
        <v>0.38077996000694508</v>
      </c>
      <c r="I1668" s="14" t="s">
        <v>124</v>
      </c>
      <c r="V1668" s="48">
        <f>SUMIF(Data!$E:$E,$I1668,Data!$AI:$AI)</f>
        <v>0</v>
      </c>
    </row>
    <row r="1669" spans="1:22" x14ac:dyDescent="0.25">
      <c r="A1669" s="47" t="s">
        <v>10562</v>
      </c>
      <c r="B1669" s="47" t="s">
        <v>123</v>
      </c>
      <c r="C1669" s="47" t="s">
        <v>4998</v>
      </c>
      <c r="D1669" s="47">
        <v>2.7640695555609498</v>
      </c>
      <c r="E1669" s="48">
        <f>SUMIF(Data!$E:$E,$C1669,Data!$AI:$AI)</f>
        <v>0</v>
      </c>
    </row>
    <row r="1670" spans="1:22" x14ac:dyDescent="0.25">
      <c r="A1670" s="47" t="s">
        <v>10562</v>
      </c>
      <c r="B1670" s="47" t="s">
        <v>123</v>
      </c>
      <c r="C1670" s="47" t="s">
        <v>5389</v>
      </c>
      <c r="D1670" s="47">
        <v>0.34984212901587403</v>
      </c>
      <c r="E1670" s="48">
        <f>SUMIF(Data!$E:$E,$C1670,Data!$AI:$AI)</f>
        <v>0.2843976266541573</v>
      </c>
    </row>
    <row r="1671" spans="1:22" x14ac:dyDescent="0.25">
      <c r="A1671" s="47" t="s">
        <v>10562</v>
      </c>
      <c r="B1671" s="47" t="s">
        <v>123</v>
      </c>
      <c r="C1671" s="47" t="s">
        <v>5830</v>
      </c>
      <c r="D1671" s="47">
        <v>3.5125596884094001E-2</v>
      </c>
      <c r="E1671" s="48">
        <f>SUMIF(Data!$E:$E,$C1671,Data!$AI:$AI)</f>
        <v>0</v>
      </c>
    </row>
    <row r="1672" spans="1:22" x14ac:dyDescent="0.25">
      <c r="A1672" s="47" t="s">
        <v>10562</v>
      </c>
      <c r="B1672" s="47" t="s">
        <v>123</v>
      </c>
      <c r="C1672" s="47" t="s">
        <v>5836</v>
      </c>
      <c r="D1672" s="47">
        <v>5.7048071786130999E-2</v>
      </c>
      <c r="E1672" s="48">
        <f>SUMIF(Data!$E:$E,$C1672,Data!$AI:$AI)</f>
        <v>0</v>
      </c>
    </row>
    <row r="1673" spans="1:22" x14ac:dyDescent="0.25">
      <c r="A1673" s="47" t="s">
        <v>10562</v>
      </c>
      <c r="B1673" s="47" t="s">
        <v>123</v>
      </c>
      <c r="C1673" s="47" t="s">
        <v>5396</v>
      </c>
      <c r="D1673" s="47">
        <v>2.4125403169493999E-2</v>
      </c>
      <c r="E1673" s="48">
        <f>SUMIF(Data!$E:$E,$C1673,Data!$AI:$AI)</f>
        <v>0</v>
      </c>
    </row>
    <row r="1674" spans="1:22" x14ac:dyDescent="0.25">
      <c r="A1674" s="47" t="s">
        <v>10562</v>
      </c>
      <c r="B1674" s="47" t="s">
        <v>123</v>
      </c>
      <c r="C1674" s="47" t="s">
        <v>5402</v>
      </c>
      <c r="D1674" s="47">
        <v>0.25309100815358698</v>
      </c>
      <c r="E1674" s="48">
        <f>SUMIF(Data!$E:$E,$C1674,Data!$AI:$AI)</f>
        <v>0.2044484818987839</v>
      </c>
    </row>
    <row r="1675" spans="1:22" x14ac:dyDescent="0.25">
      <c r="A1675" s="47" t="s">
        <v>10562</v>
      </c>
      <c r="B1675" s="47" t="s">
        <v>123</v>
      </c>
      <c r="C1675" s="47" t="s">
        <v>6750</v>
      </c>
      <c r="D1675" s="47">
        <v>0.34365762094769797</v>
      </c>
      <c r="E1675" s="48">
        <f>SUMIF(Data!$E:$E,$C1675,Data!$AI:$AI)</f>
        <v>0.68951282351564869</v>
      </c>
    </row>
    <row r="1676" spans="1:22" x14ac:dyDescent="0.25">
      <c r="A1676" s="47" t="s">
        <v>10837</v>
      </c>
      <c r="B1676" s="47" t="s">
        <v>123</v>
      </c>
      <c r="C1676" s="47" t="s">
        <v>4464</v>
      </c>
      <c r="D1676" s="47">
        <v>0.60371139674838104</v>
      </c>
      <c r="E1676" s="48">
        <f>SUMIF(Data!$E:$E,$C1676,Data!$AI:$AI)</f>
        <v>0.16778694604010902</v>
      </c>
    </row>
    <row r="1677" spans="1:22" x14ac:dyDescent="0.25">
      <c r="A1677" s="47" t="s">
        <v>10837</v>
      </c>
      <c r="B1677" s="47" t="s">
        <v>123</v>
      </c>
      <c r="C1677" s="47" t="s">
        <v>4471</v>
      </c>
      <c r="D1677" s="47">
        <v>0.227154426804341</v>
      </c>
      <c r="E1677" s="48">
        <f>SUMIF(Data!$E:$E,$C1677,Data!$AI:$AI)</f>
        <v>0</v>
      </c>
    </row>
    <row r="1678" spans="1:22" x14ac:dyDescent="0.25">
      <c r="A1678" s="47" t="s">
        <v>10837</v>
      </c>
      <c r="B1678" s="47" t="s">
        <v>123</v>
      </c>
      <c r="C1678" s="47" t="s">
        <v>4578</v>
      </c>
      <c r="D1678" s="47">
        <v>17.935747310465</v>
      </c>
      <c r="E1678" s="48">
        <f>SUMIF(Data!$E:$E,$C1678,Data!$AI:$AI)</f>
        <v>0.82698926913975535</v>
      </c>
    </row>
    <row r="1679" spans="1:22" x14ac:dyDescent="0.25">
      <c r="A1679" s="47" t="s">
        <v>10837</v>
      </c>
      <c r="B1679" s="47" t="s">
        <v>123</v>
      </c>
      <c r="C1679" s="47" t="s">
        <v>2017</v>
      </c>
      <c r="D1679" s="47">
        <v>1.6577226826037601</v>
      </c>
      <c r="E1679" s="48">
        <f>SUMIF(Data!$E:$E,$C1679,Data!$AI:$AI)</f>
        <v>0</v>
      </c>
    </row>
    <row r="1680" spans="1:22" x14ac:dyDescent="0.25">
      <c r="A1680" s="47" t="s">
        <v>10837</v>
      </c>
      <c r="B1680" s="47" t="s">
        <v>123</v>
      </c>
      <c r="C1680" s="47" t="s">
        <v>4492</v>
      </c>
      <c r="D1680" s="47">
        <v>3.35253629498354</v>
      </c>
      <c r="E1680" s="48">
        <f>SUMIF(Data!$E:$E,$C1680,Data!$AI:$AI)</f>
        <v>0</v>
      </c>
    </row>
    <row r="1681" spans="1:5" x14ac:dyDescent="0.25">
      <c r="A1681" s="47" t="s">
        <v>10837</v>
      </c>
      <c r="B1681" s="47" t="s">
        <v>123</v>
      </c>
      <c r="C1681" s="47" t="s">
        <v>4585</v>
      </c>
      <c r="D1681" s="47">
        <v>0.73125047163256596</v>
      </c>
      <c r="E1681" s="48">
        <f>SUMIF(Data!$E:$E,$C1681,Data!$AI:$AI)</f>
        <v>0.50254664386636194</v>
      </c>
    </row>
    <row r="1682" spans="1:5" x14ac:dyDescent="0.25">
      <c r="A1682" s="47" t="s">
        <v>10837</v>
      </c>
      <c r="B1682" s="47" t="s">
        <v>123</v>
      </c>
      <c r="C1682" s="47" t="s">
        <v>4592</v>
      </c>
      <c r="D1682" s="47">
        <v>35.3276413822759</v>
      </c>
      <c r="E1682" s="48">
        <f>SUMIF(Data!$E:$E,$C1682,Data!$AI:$AI)</f>
        <v>0</v>
      </c>
    </row>
    <row r="1683" spans="1:5" x14ac:dyDescent="0.25">
      <c r="A1683" s="47" t="s">
        <v>10837</v>
      </c>
      <c r="B1683" s="47" t="s">
        <v>123</v>
      </c>
      <c r="C1683" s="47" t="s">
        <v>4527</v>
      </c>
      <c r="D1683" s="47">
        <v>2.0859881915966501</v>
      </c>
      <c r="E1683" s="48">
        <f>SUMIF(Data!$E:$E,$C1683,Data!$AI:$AI)</f>
        <v>0</v>
      </c>
    </row>
    <row r="1684" spans="1:5" x14ac:dyDescent="0.25">
      <c r="A1684" s="47" t="s">
        <v>10837</v>
      </c>
      <c r="B1684" s="47" t="s">
        <v>123</v>
      </c>
      <c r="C1684" s="47" t="s">
        <v>4499</v>
      </c>
      <c r="D1684" s="47">
        <v>1.9034337027177399</v>
      </c>
      <c r="E1684" s="48">
        <f>SUMIF(Data!$E:$E,$C1684,Data!$AI:$AI)</f>
        <v>0</v>
      </c>
    </row>
    <row r="1685" spans="1:5" x14ac:dyDescent="0.25">
      <c r="A1685" s="47" t="s">
        <v>10837</v>
      </c>
      <c r="B1685" s="47" t="s">
        <v>123</v>
      </c>
      <c r="C1685" s="47" t="s">
        <v>4506</v>
      </c>
      <c r="D1685" s="47">
        <v>0.77176687820221501</v>
      </c>
      <c r="E1685" s="48">
        <f>SUMIF(Data!$E:$E,$C1685,Data!$AI:$AI)</f>
        <v>0.35312037204807345</v>
      </c>
    </row>
    <row r="1686" spans="1:5" x14ac:dyDescent="0.25">
      <c r="A1686" s="47" t="s">
        <v>10837</v>
      </c>
      <c r="B1686" s="47" t="s">
        <v>123</v>
      </c>
      <c r="C1686" s="47" t="s">
        <v>4549</v>
      </c>
      <c r="D1686" s="47">
        <v>0.96981329657800197</v>
      </c>
      <c r="E1686" s="48">
        <f>SUMIF(Data!$E:$E,$C1686,Data!$AI:$AI)</f>
        <v>0</v>
      </c>
    </row>
    <row r="1687" spans="1:5" x14ac:dyDescent="0.25">
      <c r="A1687" s="47" t="s">
        <v>10837</v>
      </c>
      <c r="B1687" s="47" t="s">
        <v>123</v>
      </c>
      <c r="C1687" s="47" t="s">
        <v>4640</v>
      </c>
      <c r="D1687" s="47">
        <v>0.85443927019718502</v>
      </c>
      <c r="E1687" s="48">
        <f>SUMIF(Data!$E:$E,$C1687,Data!$AI:$AI)</f>
        <v>0.77394047546061229</v>
      </c>
    </row>
    <row r="1688" spans="1:5" x14ac:dyDescent="0.25">
      <c r="A1688" s="47" t="s">
        <v>10837</v>
      </c>
      <c r="B1688" s="47" t="s">
        <v>123</v>
      </c>
      <c r="C1688" s="47" t="s">
        <v>4556</v>
      </c>
      <c r="D1688" s="47">
        <v>0.168318263200297</v>
      </c>
      <c r="E1688" s="48">
        <f>SUMIF(Data!$E:$E,$C1688,Data!$AI:$AI)</f>
        <v>0</v>
      </c>
    </row>
    <row r="1689" spans="1:5" x14ac:dyDescent="0.25">
      <c r="A1689" s="47" t="s">
        <v>10837</v>
      </c>
      <c r="B1689" s="47" t="s">
        <v>123</v>
      </c>
      <c r="C1689" s="47" t="s">
        <v>4621</v>
      </c>
      <c r="D1689" s="47">
        <v>2.27720894700543</v>
      </c>
      <c r="E1689" s="48">
        <f>SUMIF(Data!$E:$E,$C1689,Data!$AI:$AI)</f>
        <v>0</v>
      </c>
    </row>
    <row r="1690" spans="1:5" x14ac:dyDescent="0.25">
      <c r="A1690" s="47" t="s">
        <v>10837</v>
      </c>
      <c r="B1690" s="47" t="s">
        <v>123</v>
      </c>
      <c r="C1690" s="47" t="s">
        <v>4628</v>
      </c>
      <c r="D1690" s="47">
        <v>7.0403119073231402</v>
      </c>
      <c r="E1690" s="48">
        <f>SUMIF(Data!$E:$E,$C1690,Data!$AI:$AI)</f>
        <v>0</v>
      </c>
    </row>
    <row r="1691" spans="1:5" x14ac:dyDescent="0.25">
      <c r="A1691" s="47" t="s">
        <v>10837</v>
      </c>
      <c r="B1691" s="47" t="s">
        <v>123</v>
      </c>
      <c r="C1691" s="47" t="s">
        <v>4563</v>
      </c>
      <c r="D1691" s="47">
        <v>0.80944002824194194</v>
      </c>
      <c r="E1691" s="48">
        <f>SUMIF(Data!$E:$E,$C1691,Data!$AI:$AI)</f>
        <v>0</v>
      </c>
    </row>
    <row r="1692" spans="1:5" x14ac:dyDescent="0.25">
      <c r="A1692" s="47" t="s">
        <v>10837</v>
      </c>
      <c r="B1692" s="47" t="s">
        <v>123</v>
      </c>
      <c r="C1692" s="47" t="s">
        <v>4478</v>
      </c>
      <c r="D1692" s="47">
        <v>0.46871136221621901</v>
      </c>
      <c r="E1692" s="48">
        <f>SUMIF(Data!$E:$E,$C1692,Data!$AI:$AI)</f>
        <v>0.23823313841468968</v>
      </c>
    </row>
    <row r="1693" spans="1:5" x14ac:dyDescent="0.25">
      <c r="A1693" s="47" t="s">
        <v>10837</v>
      </c>
      <c r="B1693" s="47" t="s">
        <v>123</v>
      </c>
      <c r="C1693" s="47" t="s">
        <v>520</v>
      </c>
      <c r="D1693" s="47">
        <v>2.5455242722970399</v>
      </c>
      <c r="E1693" s="48">
        <f>SUMIF(Data!$E:$E,$C1693,Data!$AI:$AI)</f>
        <v>0.42534541896463962</v>
      </c>
    </row>
    <row r="1694" spans="1:5" x14ac:dyDescent="0.25">
      <c r="A1694" s="47" t="s">
        <v>10837</v>
      </c>
      <c r="B1694" s="47" t="s">
        <v>123</v>
      </c>
      <c r="C1694" s="47" t="s">
        <v>4484</v>
      </c>
      <c r="D1694" s="47">
        <v>15.570174618243801</v>
      </c>
      <c r="E1694" s="48">
        <f>SUMIF(Data!$E:$E,$C1694,Data!$AI:$AI)</f>
        <v>0</v>
      </c>
    </row>
    <row r="1695" spans="1:5" x14ac:dyDescent="0.25">
      <c r="A1695" s="47" t="s">
        <v>10837</v>
      </c>
      <c r="B1695" s="47" t="s">
        <v>123</v>
      </c>
      <c r="C1695" s="47" t="s">
        <v>4647</v>
      </c>
      <c r="D1695" s="47">
        <v>5.6473443114399002E-2</v>
      </c>
      <c r="E1695" s="48">
        <f>SUMIF(Data!$E:$E,$C1695,Data!$AI:$AI)</f>
        <v>0</v>
      </c>
    </row>
    <row r="1696" spans="1:5" x14ac:dyDescent="0.25">
      <c r="A1696" s="47" t="s">
        <v>10837</v>
      </c>
      <c r="B1696" s="47" t="s">
        <v>123</v>
      </c>
      <c r="C1696" s="47" t="s">
        <v>4598</v>
      </c>
      <c r="D1696" s="47">
        <v>0.62168860919777602</v>
      </c>
      <c r="E1696" s="48">
        <f>SUMIF(Data!$E:$E,$C1696,Data!$AI:$AI)</f>
        <v>0</v>
      </c>
    </row>
    <row r="1697" spans="1:5" x14ac:dyDescent="0.25">
      <c r="A1697" s="47" t="s">
        <v>10837</v>
      </c>
      <c r="B1697" s="47" t="s">
        <v>123</v>
      </c>
      <c r="C1697" s="47" t="s">
        <v>4513</v>
      </c>
      <c r="D1697" s="47">
        <v>0.15866378283899499</v>
      </c>
      <c r="E1697" s="48">
        <f>SUMIF(Data!$E:$E,$C1697,Data!$AI:$AI)</f>
        <v>7.5221619812558246E-2</v>
      </c>
    </row>
    <row r="1698" spans="1:5" x14ac:dyDescent="0.25">
      <c r="A1698" s="47" t="s">
        <v>10837</v>
      </c>
      <c r="B1698" s="47" t="s">
        <v>123</v>
      </c>
      <c r="C1698" s="47" t="s">
        <v>4570</v>
      </c>
      <c r="D1698" s="47">
        <v>0.13539169378792601</v>
      </c>
      <c r="E1698" s="48">
        <f>SUMIF(Data!$E:$E,$C1698,Data!$AI:$AI)</f>
        <v>0.26415097546540911</v>
      </c>
    </row>
    <row r="1699" spans="1:5" x14ac:dyDescent="0.25">
      <c r="A1699" s="47" t="s">
        <v>10837</v>
      </c>
      <c r="B1699" s="47" t="s">
        <v>123</v>
      </c>
      <c r="C1699" s="47" t="s">
        <v>4520</v>
      </c>
      <c r="D1699" s="47">
        <v>1.2752902028575499</v>
      </c>
      <c r="E1699" s="48">
        <f>SUMIF(Data!$E:$E,$C1699,Data!$AI:$AI)</f>
        <v>0</v>
      </c>
    </row>
    <row r="1700" spans="1:5" x14ac:dyDescent="0.25">
      <c r="A1700" s="47" t="s">
        <v>10837</v>
      </c>
      <c r="B1700" s="47" t="s">
        <v>123</v>
      </c>
      <c r="C1700" s="47" t="s">
        <v>4605</v>
      </c>
      <c r="D1700" s="47">
        <v>1.56584964464924</v>
      </c>
      <c r="E1700" s="48">
        <f>SUMIF(Data!$E:$E,$C1700,Data!$AI:$AI)</f>
        <v>0</v>
      </c>
    </row>
    <row r="1701" spans="1:5" x14ac:dyDescent="0.25">
      <c r="A1701" s="47" t="s">
        <v>10837</v>
      </c>
      <c r="B1701" s="47" t="s">
        <v>123</v>
      </c>
      <c r="C1701" s="47" t="s">
        <v>4456</v>
      </c>
      <c r="D1701" s="47">
        <v>0.30362235494555401</v>
      </c>
      <c r="E1701" s="48">
        <f>SUMIF(Data!$E:$E,$C1701,Data!$AI:$AI)</f>
        <v>0</v>
      </c>
    </row>
    <row r="1702" spans="1:5" x14ac:dyDescent="0.25">
      <c r="A1702" s="47" t="s">
        <v>10837</v>
      </c>
      <c r="B1702" s="47" t="s">
        <v>123</v>
      </c>
      <c r="C1702" s="47" t="s">
        <v>4613</v>
      </c>
      <c r="D1702" s="47">
        <v>0.582125565275465</v>
      </c>
      <c r="E1702" s="48">
        <f>SUMIF(Data!$E:$E,$C1702,Data!$AI:$AI)</f>
        <v>0</v>
      </c>
    </row>
    <row r="1703" spans="1:5" x14ac:dyDescent="0.25">
      <c r="A1703" s="47" t="s">
        <v>10838</v>
      </c>
      <c r="B1703" s="47" t="s">
        <v>123</v>
      </c>
      <c r="C1703" s="47" t="s">
        <v>5065</v>
      </c>
      <c r="D1703" s="47">
        <v>11.5026056065972</v>
      </c>
      <c r="E1703" s="48">
        <f>SUMIF(Data!$E:$E,$C1703,Data!$AI:$AI)</f>
        <v>0.49255800486170526</v>
      </c>
    </row>
    <row r="1704" spans="1:5" x14ac:dyDescent="0.25">
      <c r="A1704" s="47" t="s">
        <v>10838</v>
      </c>
      <c r="B1704" s="47" t="s">
        <v>123</v>
      </c>
      <c r="C1704" s="47" t="s">
        <v>4782</v>
      </c>
      <c r="D1704" s="47">
        <v>28.8997910378712</v>
      </c>
      <c r="E1704" s="48">
        <f>SUMIF(Data!$E:$E,$C1704,Data!$AI:$AI)</f>
        <v>0</v>
      </c>
    </row>
    <row r="1705" spans="1:5" x14ac:dyDescent="0.25">
      <c r="A1705" s="47" t="s">
        <v>10838</v>
      </c>
      <c r="B1705" s="47" t="s">
        <v>123</v>
      </c>
      <c r="C1705" s="47" t="s">
        <v>5127</v>
      </c>
      <c r="D1705" s="47">
        <v>6.3978791433650901</v>
      </c>
      <c r="E1705" s="48">
        <f>SUMIF(Data!$E:$E,$C1705,Data!$AI:$AI)</f>
        <v>0.26351671474520016</v>
      </c>
    </row>
    <row r="1706" spans="1:5" x14ac:dyDescent="0.25">
      <c r="A1706" s="47" t="s">
        <v>10838</v>
      </c>
      <c r="B1706" s="47" t="s">
        <v>123</v>
      </c>
      <c r="C1706" s="47" t="s">
        <v>5538</v>
      </c>
      <c r="D1706" s="47">
        <v>2.93344219624066</v>
      </c>
      <c r="E1706" s="48">
        <f>SUMIF(Data!$E:$E,$C1706,Data!$AI:$AI)</f>
        <v>0</v>
      </c>
    </row>
    <row r="1707" spans="1:5" x14ac:dyDescent="0.25">
      <c r="A1707" s="47" t="s">
        <v>10838</v>
      </c>
      <c r="B1707" s="47" t="s">
        <v>123</v>
      </c>
      <c r="C1707" s="47" t="s">
        <v>5153</v>
      </c>
      <c r="D1707" s="47">
        <v>4.2622199598363597</v>
      </c>
      <c r="E1707" s="48">
        <f>SUMIF(Data!$E:$E,$C1707,Data!$AI:$AI)</f>
        <v>0</v>
      </c>
    </row>
    <row r="1708" spans="1:5" x14ac:dyDescent="0.25">
      <c r="A1708" s="47" t="s">
        <v>10838</v>
      </c>
      <c r="B1708" s="47" t="s">
        <v>123</v>
      </c>
      <c r="C1708" s="47" t="s">
        <v>4873</v>
      </c>
      <c r="D1708" s="47">
        <v>44.3465204186504</v>
      </c>
      <c r="E1708" s="48">
        <f>SUMIF(Data!$E:$E,$C1708,Data!$AI:$AI)</f>
        <v>0</v>
      </c>
    </row>
    <row r="1709" spans="1:5" x14ac:dyDescent="0.25">
      <c r="A1709" s="47" t="s">
        <v>10838</v>
      </c>
      <c r="B1709" s="47" t="s">
        <v>123</v>
      </c>
      <c r="C1709" s="47" t="s">
        <v>5685</v>
      </c>
      <c r="D1709" s="47">
        <v>1.6575416374391201</v>
      </c>
      <c r="E1709" s="48">
        <f>SUMIF(Data!$E:$E,$C1709,Data!$AI:$AI)</f>
        <v>0</v>
      </c>
    </row>
    <row r="1710" spans="1:5" x14ac:dyDescent="0.25">
      <c r="A1710" s="47" t="s">
        <v>10839</v>
      </c>
      <c r="B1710" s="47" t="s">
        <v>123</v>
      </c>
      <c r="C1710" s="47" t="s">
        <v>5186</v>
      </c>
      <c r="D1710" s="47">
        <v>100</v>
      </c>
      <c r="E1710" s="48">
        <f>SUMIF(Data!$E:$E,$C1710,Data!$AI:$AI)</f>
        <v>0.12898798215585272</v>
      </c>
    </row>
    <row r="1711" spans="1:5" x14ac:dyDescent="0.25">
      <c r="A1711" s="47" t="s">
        <v>10840</v>
      </c>
      <c r="B1711" s="47" t="s">
        <v>123</v>
      </c>
      <c r="C1711" s="47" t="s">
        <v>5511</v>
      </c>
      <c r="D1711" s="47">
        <v>100</v>
      </c>
      <c r="E1711" s="48">
        <f>SUMIF(Data!$E:$E,$C1711,Data!$AI:$AI)</f>
        <v>0</v>
      </c>
    </row>
    <row r="1712" spans="1:5" x14ac:dyDescent="0.25">
      <c r="A1712" s="47" t="s">
        <v>10841</v>
      </c>
      <c r="B1712" s="47" t="s">
        <v>123</v>
      </c>
      <c r="C1712" s="47" t="s">
        <v>5491</v>
      </c>
      <c r="D1712" s="47">
        <v>6.5784684884232796</v>
      </c>
      <c r="E1712" s="48">
        <f>SUMIF(Data!$E:$E,$C1712,Data!$AI:$AI)</f>
        <v>0</v>
      </c>
    </row>
    <row r="1713" spans="1:5" x14ac:dyDescent="0.25">
      <c r="A1713" s="47" t="s">
        <v>10841</v>
      </c>
      <c r="B1713" s="47" t="s">
        <v>123</v>
      </c>
      <c r="C1713" s="47" t="s">
        <v>5115</v>
      </c>
      <c r="D1713" s="47">
        <v>54.465988369132603</v>
      </c>
      <c r="E1713" s="48">
        <f>SUMIF(Data!$E:$E,$C1713,Data!$AI:$AI)</f>
        <v>0</v>
      </c>
    </row>
    <row r="1714" spans="1:5" x14ac:dyDescent="0.25">
      <c r="A1714" s="47" t="s">
        <v>10841</v>
      </c>
      <c r="B1714" s="47" t="s">
        <v>123</v>
      </c>
      <c r="C1714" s="47" t="s">
        <v>1786</v>
      </c>
      <c r="D1714" s="47">
        <v>28.314925251458298</v>
      </c>
      <c r="E1714" s="48">
        <f>SUMIF(Data!$E:$E,$C1714,Data!$AI:$AI)</f>
        <v>0.1705308312796065</v>
      </c>
    </row>
    <row r="1715" spans="1:5" x14ac:dyDescent="0.25">
      <c r="A1715" s="47" t="s">
        <v>10841</v>
      </c>
      <c r="B1715" s="47" t="s">
        <v>123</v>
      </c>
      <c r="C1715" s="47" t="s">
        <v>5598</v>
      </c>
      <c r="D1715" s="47">
        <v>10.6406178909858</v>
      </c>
      <c r="E1715" s="48">
        <f>SUMIF(Data!$E:$E,$C1715,Data!$AI:$AI)</f>
        <v>0</v>
      </c>
    </row>
    <row r="1716" spans="1:5" x14ac:dyDescent="0.25">
      <c r="A1716" s="47" t="s">
        <v>10842</v>
      </c>
      <c r="B1716" s="47" t="s">
        <v>123</v>
      </c>
      <c r="C1716" s="47" t="s">
        <v>5498</v>
      </c>
      <c r="D1716" s="47">
        <v>52.0980626176325</v>
      </c>
      <c r="E1716" s="48">
        <f>SUMIF(Data!$E:$E,$C1716,Data!$AI:$AI)</f>
        <v>0</v>
      </c>
    </row>
    <row r="1717" spans="1:5" x14ac:dyDescent="0.25">
      <c r="A1717" s="47" t="s">
        <v>10842</v>
      </c>
      <c r="B1717" s="47" t="s">
        <v>123</v>
      </c>
      <c r="C1717" s="47" t="s">
        <v>5625</v>
      </c>
      <c r="D1717" s="47">
        <v>30.9757199519808</v>
      </c>
      <c r="E1717" s="48">
        <f>SUMIF(Data!$E:$E,$C1717,Data!$AI:$AI)</f>
        <v>0</v>
      </c>
    </row>
    <row r="1718" spans="1:5" x14ac:dyDescent="0.25">
      <c r="A1718" s="47" t="s">
        <v>10842</v>
      </c>
      <c r="B1718" s="47" t="s">
        <v>123</v>
      </c>
      <c r="C1718" s="47" t="s">
        <v>5647</v>
      </c>
      <c r="D1718" s="47">
        <v>6.4780736819153004</v>
      </c>
      <c r="E1718" s="48">
        <f>SUMIF(Data!$E:$E,$C1718,Data!$AI:$AI)</f>
        <v>0</v>
      </c>
    </row>
    <row r="1719" spans="1:5" x14ac:dyDescent="0.25">
      <c r="A1719" s="47" t="s">
        <v>10842</v>
      </c>
      <c r="B1719" s="47" t="s">
        <v>123</v>
      </c>
      <c r="C1719" s="47" t="s">
        <v>5802</v>
      </c>
      <c r="D1719" s="47">
        <v>10.4481437484714</v>
      </c>
      <c r="E1719" s="48">
        <f>SUMIF(Data!$E:$E,$C1719,Data!$AI:$AI)</f>
        <v>0</v>
      </c>
    </row>
    <row r="1720" spans="1:5" x14ac:dyDescent="0.25">
      <c r="A1720" s="47" t="s">
        <v>10843</v>
      </c>
      <c r="B1720" s="47" t="s">
        <v>123</v>
      </c>
      <c r="C1720" s="47" t="s">
        <v>4578</v>
      </c>
      <c r="D1720" s="47">
        <v>6.8857483979024297</v>
      </c>
      <c r="E1720" s="48">
        <f>SUMIF(Data!$E:$E,$C1720,Data!$AI:$AI)</f>
        <v>0.82698926913975535</v>
      </c>
    </row>
    <row r="1721" spans="1:5" x14ac:dyDescent="0.25">
      <c r="A1721" s="47" t="s">
        <v>10843</v>
      </c>
      <c r="B1721" s="47" t="s">
        <v>123</v>
      </c>
      <c r="C1721" s="47" t="s">
        <v>4492</v>
      </c>
      <c r="D1721" s="47">
        <v>1.2870788722933999</v>
      </c>
      <c r="E1721" s="48">
        <f>SUMIF(Data!$E:$E,$C1721,Data!$AI:$AI)</f>
        <v>0</v>
      </c>
    </row>
    <row r="1722" spans="1:5" x14ac:dyDescent="0.25">
      <c r="A1722" s="47" t="s">
        <v>10843</v>
      </c>
      <c r="B1722" s="47" t="s">
        <v>123</v>
      </c>
      <c r="C1722" s="47" t="s">
        <v>4768</v>
      </c>
      <c r="D1722" s="47">
        <v>1.30504334220984</v>
      </c>
      <c r="E1722" s="48">
        <f>SUMIF(Data!$E:$E,$C1722,Data!$AI:$AI)</f>
        <v>0</v>
      </c>
    </row>
    <row r="1723" spans="1:5" x14ac:dyDescent="0.25">
      <c r="A1723" s="47" t="s">
        <v>10843</v>
      </c>
      <c r="B1723" s="47" t="s">
        <v>123</v>
      </c>
      <c r="C1723" s="47" t="s">
        <v>4592</v>
      </c>
      <c r="D1723" s="47">
        <v>10.852156668032199</v>
      </c>
      <c r="E1723" s="48">
        <f>SUMIF(Data!$E:$E,$C1723,Data!$AI:$AI)</f>
        <v>0</v>
      </c>
    </row>
    <row r="1724" spans="1:5" x14ac:dyDescent="0.25">
      <c r="A1724" s="47" t="s">
        <v>10843</v>
      </c>
      <c r="B1724" s="47" t="s">
        <v>123</v>
      </c>
      <c r="C1724" s="47" t="s">
        <v>4782</v>
      </c>
      <c r="D1724" s="47">
        <v>1.3671142278422199</v>
      </c>
      <c r="E1724" s="48">
        <f>SUMIF(Data!$E:$E,$C1724,Data!$AI:$AI)</f>
        <v>0</v>
      </c>
    </row>
    <row r="1725" spans="1:5" x14ac:dyDescent="0.25">
      <c r="A1725" s="47" t="s">
        <v>10843</v>
      </c>
      <c r="B1725" s="47" t="s">
        <v>123</v>
      </c>
      <c r="C1725" s="47" t="s">
        <v>4789</v>
      </c>
      <c r="D1725" s="47">
        <v>1.11674266554991</v>
      </c>
      <c r="E1725" s="48">
        <f>SUMIF(Data!$E:$E,$C1725,Data!$AI:$AI)</f>
        <v>0</v>
      </c>
    </row>
    <row r="1726" spans="1:5" x14ac:dyDescent="0.25">
      <c r="A1726" s="47" t="s">
        <v>10843</v>
      </c>
      <c r="B1726" s="47" t="s">
        <v>123</v>
      </c>
      <c r="C1726" s="47" t="s">
        <v>3205</v>
      </c>
      <c r="D1726" s="47">
        <v>1.1232171400120099</v>
      </c>
      <c r="E1726" s="48">
        <f>SUMIF(Data!$E:$E,$C1726,Data!$AI:$AI)</f>
        <v>0</v>
      </c>
    </row>
    <row r="1727" spans="1:5" x14ac:dyDescent="0.25">
      <c r="A1727" s="47" t="s">
        <v>10843</v>
      </c>
      <c r="B1727" s="47" t="s">
        <v>123</v>
      </c>
      <c r="C1727" s="47" t="s">
        <v>4801</v>
      </c>
      <c r="D1727" s="47">
        <v>4.19374187221515</v>
      </c>
      <c r="E1727" s="48">
        <f>SUMIF(Data!$E:$E,$C1727,Data!$AI:$AI)</f>
        <v>0.9366848889291185</v>
      </c>
    </row>
    <row r="1728" spans="1:5" x14ac:dyDescent="0.25">
      <c r="A1728" s="47" t="s">
        <v>10843</v>
      </c>
      <c r="B1728" s="47" t="s">
        <v>123</v>
      </c>
      <c r="C1728" s="47" t="s">
        <v>3145</v>
      </c>
      <c r="D1728" s="47">
        <v>1.4504529895479199</v>
      </c>
      <c r="E1728" s="48">
        <f>SUMIF(Data!$E:$E,$C1728,Data!$AI:$AI)</f>
        <v>0</v>
      </c>
    </row>
    <row r="1729" spans="1:5" x14ac:dyDescent="0.25">
      <c r="A1729" s="47" t="s">
        <v>10843</v>
      </c>
      <c r="B1729" s="47" t="s">
        <v>123</v>
      </c>
      <c r="C1729" s="47" t="s">
        <v>4814</v>
      </c>
      <c r="D1729" s="47">
        <v>0.58884657577984201</v>
      </c>
      <c r="E1729" s="48">
        <f>SUMIF(Data!$E:$E,$C1729,Data!$AI:$AI)</f>
        <v>0</v>
      </c>
    </row>
    <row r="1730" spans="1:5" x14ac:dyDescent="0.25">
      <c r="A1730" s="47" t="s">
        <v>10843</v>
      </c>
      <c r="B1730" s="47" t="s">
        <v>123</v>
      </c>
      <c r="C1730" s="47" t="s">
        <v>4821</v>
      </c>
      <c r="D1730" s="47">
        <v>1.28426751376429</v>
      </c>
      <c r="E1730" s="48">
        <f>SUMIF(Data!$E:$E,$C1730,Data!$AI:$AI)</f>
        <v>0</v>
      </c>
    </row>
    <row r="1731" spans="1:5" x14ac:dyDescent="0.25">
      <c r="A1731" s="47" t="s">
        <v>10843</v>
      </c>
      <c r="B1731" s="47" t="s">
        <v>123</v>
      </c>
      <c r="C1731" s="47" t="s">
        <v>4621</v>
      </c>
      <c r="D1731" s="47">
        <v>0.87424781287940601</v>
      </c>
      <c r="E1731" s="48">
        <f>SUMIF(Data!$E:$E,$C1731,Data!$AI:$AI)</f>
        <v>0</v>
      </c>
    </row>
    <row r="1732" spans="1:5" x14ac:dyDescent="0.25">
      <c r="A1732" s="47" t="s">
        <v>10843</v>
      </c>
      <c r="B1732" s="47" t="s">
        <v>123</v>
      </c>
      <c r="C1732" s="47" t="s">
        <v>4628</v>
      </c>
      <c r="D1732" s="47">
        <v>2.70286013721315</v>
      </c>
      <c r="E1732" s="48">
        <f>SUMIF(Data!$E:$E,$C1732,Data!$AI:$AI)</f>
        <v>0</v>
      </c>
    </row>
    <row r="1733" spans="1:5" x14ac:dyDescent="0.25">
      <c r="A1733" s="47" t="s">
        <v>10843</v>
      </c>
      <c r="B1733" s="47" t="s">
        <v>123</v>
      </c>
      <c r="C1733" s="47" t="s">
        <v>4841</v>
      </c>
      <c r="D1733" s="47">
        <v>3.2502903231838798</v>
      </c>
      <c r="E1733" s="48">
        <f>SUMIF(Data!$E:$E,$C1733,Data!$AI:$AI)</f>
        <v>1.1368494141004637</v>
      </c>
    </row>
    <row r="1734" spans="1:5" x14ac:dyDescent="0.25">
      <c r="A1734" s="47" t="s">
        <v>10843</v>
      </c>
      <c r="B1734" s="47" t="s">
        <v>123</v>
      </c>
      <c r="C1734" s="47" t="s">
        <v>4848</v>
      </c>
      <c r="D1734" s="47">
        <v>1.8784151915235201</v>
      </c>
      <c r="E1734" s="48">
        <f>SUMIF(Data!$E:$E,$C1734,Data!$AI:$AI)</f>
        <v>0</v>
      </c>
    </row>
    <row r="1735" spans="1:5" x14ac:dyDescent="0.25">
      <c r="A1735" s="47" t="s">
        <v>10843</v>
      </c>
      <c r="B1735" s="47" t="s">
        <v>123</v>
      </c>
      <c r="C1735" s="47" t="s">
        <v>4855</v>
      </c>
      <c r="D1735" s="47">
        <v>9.3093698887716894</v>
      </c>
      <c r="E1735" s="48">
        <f>SUMIF(Data!$E:$E,$C1735,Data!$AI:$AI)</f>
        <v>1.0989645296635115</v>
      </c>
    </row>
    <row r="1736" spans="1:5" x14ac:dyDescent="0.25">
      <c r="A1736" s="47" t="s">
        <v>10843</v>
      </c>
      <c r="B1736" s="47" t="s">
        <v>123</v>
      </c>
      <c r="C1736" s="47" t="s">
        <v>4862</v>
      </c>
      <c r="D1736" s="47">
        <v>0.76026322312841199</v>
      </c>
      <c r="E1736" s="48">
        <f>SUMIF(Data!$E:$E,$C1736,Data!$AI:$AI)</f>
        <v>0.397519933142436</v>
      </c>
    </row>
    <row r="1737" spans="1:5" x14ac:dyDescent="0.25">
      <c r="A1737" s="47" t="s">
        <v>10843</v>
      </c>
      <c r="B1737" s="47" t="s">
        <v>123</v>
      </c>
      <c r="C1737" s="47" t="s">
        <v>3160</v>
      </c>
      <c r="D1737" s="47">
        <v>1.0927305328369801</v>
      </c>
      <c r="E1737" s="48">
        <f>SUMIF(Data!$E:$E,$C1737,Data!$AI:$AI)</f>
        <v>0.48939641738655321</v>
      </c>
    </row>
    <row r="1738" spans="1:5" x14ac:dyDescent="0.25">
      <c r="A1738" s="47" t="s">
        <v>10843</v>
      </c>
      <c r="B1738" s="47" t="s">
        <v>123</v>
      </c>
      <c r="C1738" s="47" t="s">
        <v>4873</v>
      </c>
      <c r="D1738" s="47">
        <v>2.0978268991698101</v>
      </c>
      <c r="E1738" s="48">
        <f>SUMIF(Data!$E:$E,$C1738,Data!$AI:$AI)</f>
        <v>0</v>
      </c>
    </row>
    <row r="1739" spans="1:5" x14ac:dyDescent="0.25">
      <c r="A1739" s="47" t="s">
        <v>10843</v>
      </c>
      <c r="B1739" s="47" t="s">
        <v>123</v>
      </c>
      <c r="C1739" s="47" t="s">
        <v>4880</v>
      </c>
      <c r="D1739" s="47">
        <v>0.988942148014892</v>
      </c>
      <c r="E1739" s="48">
        <f>SUMIF(Data!$E:$E,$C1739,Data!$AI:$AI)</f>
        <v>0</v>
      </c>
    </row>
    <row r="1740" spans="1:5" x14ac:dyDescent="0.25">
      <c r="A1740" s="47" t="s">
        <v>10843</v>
      </c>
      <c r="B1740" s="47" t="s">
        <v>123</v>
      </c>
      <c r="C1740" s="47" t="s">
        <v>520</v>
      </c>
      <c r="D1740" s="47">
        <v>0.97725728269845202</v>
      </c>
      <c r="E1740" s="48">
        <f>SUMIF(Data!$E:$E,$C1740,Data!$AI:$AI)</f>
        <v>0.42534541896463962</v>
      </c>
    </row>
    <row r="1741" spans="1:5" x14ac:dyDescent="0.25">
      <c r="A1741" s="47" t="s">
        <v>10843</v>
      </c>
      <c r="B1741" s="47" t="s">
        <v>123</v>
      </c>
      <c r="C1741" s="47" t="s">
        <v>4893</v>
      </c>
      <c r="D1741" s="47">
        <v>4.4518768322559801</v>
      </c>
      <c r="E1741" s="48">
        <f>SUMIF(Data!$E:$E,$C1741,Data!$AI:$AI)</f>
        <v>0.14807872778681458</v>
      </c>
    </row>
    <row r="1742" spans="1:5" x14ac:dyDescent="0.25">
      <c r="A1742" s="47" t="s">
        <v>10843</v>
      </c>
      <c r="B1742" s="47" t="s">
        <v>123</v>
      </c>
      <c r="C1742" s="47" t="s">
        <v>4900</v>
      </c>
      <c r="D1742" s="47">
        <v>1.79084024930184</v>
      </c>
      <c r="E1742" s="48">
        <f>SUMIF(Data!$E:$E,$C1742,Data!$AI:$AI)</f>
        <v>0</v>
      </c>
    </row>
    <row r="1743" spans="1:5" x14ac:dyDescent="0.25">
      <c r="A1743" s="47" t="s">
        <v>10843</v>
      </c>
      <c r="B1743" s="47" t="s">
        <v>123</v>
      </c>
      <c r="C1743" s="47" t="s">
        <v>4907</v>
      </c>
      <c r="D1743" s="47">
        <v>2.6469039803455301</v>
      </c>
      <c r="E1743" s="48">
        <f>SUMIF(Data!$E:$E,$C1743,Data!$AI:$AI)</f>
        <v>0</v>
      </c>
    </row>
    <row r="1744" spans="1:5" x14ac:dyDescent="0.25">
      <c r="A1744" s="47" t="s">
        <v>10843</v>
      </c>
      <c r="B1744" s="47" t="s">
        <v>123</v>
      </c>
      <c r="C1744" s="47" t="s">
        <v>4484</v>
      </c>
      <c r="D1744" s="47">
        <v>5.9775766839711197</v>
      </c>
      <c r="E1744" s="48">
        <f>SUMIF(Data!$E:$E,$C1744,Data!$AI:$AI)</f>
        <v>0</v>
      </c>
    </row>
    <row r="1745" spans="1:5" x14ac:dyDescent="0.25">
      <c r="A1745" s="47" t="s">
        <v>10843</v>
      </c>
      <c r="B1745" s="47" t="s">
        <v>123</v>
      </c>
      <c r="C1745" s="47" t="s">
        <v>4919</v>
      </c>
      <c r="D1745" s="47">
        <v>0.70934081508087798</v>
      </c>
      <c r="E1745" s="48">
        <f>SUMIF(Data!$E:$E,$C1745,Data!$AI:$AI)</f>
        <v>0.63880820904302782</v>
      </c>
    </row>
    <row r="1746" spans="1:5" x14ac:dyDescent="0.25">
      <c r="A1746" s="47" t="s">
        <v>10843</v>
      </c>
      <c r="B1746" s="47" t="s">
        <v>123</v>
      </c>
      <c r="C1746" s="47" t="s">
        <v>4926</v>
      </c>
      <c r="D1746" s="47">
        <v>0.88092052057255898</v>
      </c>
      <c r="E1746" s="48">
        <f>SUMIF(Data!$E:$E,$C1746,Data!$AI:$AI)</f>
        <v>0.52858464745473188</v>
      </c>
    </row>
    <row r="1747" spans="1:5" x14ac:dyDescent="0.25">
      <c r="A1747" s="47" t="s">
        <v>10843</v>
      </c>
      <c r="B1747" s="47" t="s">
        <v>123</v>
      </c>
      <c r="C1747" s="47" t="s">
        <v>3901</v>
      </c>
      <c r="D1747" s="47">
        <v>0.75337515064695104</v>
      </c>
      <c r="E1747" s="48">
        <f>SUMIF(Data!$E:$E,$C1747,Data!$AI:$AI)</f>
        <v>0.4435083799971119</v>
      </c>
    </row>
    <row r="1748" spans="1:5" x14ac:dyDescent="0.25">
      <c r="A1748" s="47" t="s">
        <v>10843</v>
      </c>
      <c r="B1748" s="47" t="s">
        <v>123</v>
      </c>
      <c r="C1748" s="47" t="s">
        <v>4938</v>
      </c>
      <c r="D1748" s="47">
        <v>1.0041456985781201</v>
      </c>
      <c r="E1748" s="48">
        <f>SUMIF(Data!$E:$E,$C1748,Data!$AI:$AI)</f>
        <v>0</v>
      </c>
    </row>
    <row r="1749" spans="1:5" x14ac:dyDescent="0.25">
      <c r="A1749" s="47" t="s">
        <v>10843</v>
      </c>
      <c r="B1749" s="47" t="s">
        <v>123</v>
      </c>
      <c r="C1749" s="47" t="s">
        <v>1942</v>
      </c>
      <c r="D1749" s="47">
        <v>8.9113576187611407</v>
      </c>
      <c r="E1749" s="48">
        <f>SUMIF(Data!$E:$E,$C1749,Data!$AI:$AI)</f>
        <v>0</v>
      </c>
    </row>
    <row r="1750" spans="1:5" x14ac:dyDescent="0.25">
      <c r="A1750" s="47" t="s">
        <v>10843</v>
      </c>
      <c r="B1750" s="47" t="s">
        <v>123</v>
      </c>
      <c r="C1750" s="47" t="s">
        <v>4951</v>
      </c>
      <c r="D1750" s="47">
        <v>3.4309512373028102</v>
      </c>
      <c r="E1750" s="48">
        <f>SUMIF(Data!$E:$E,$C1750,Data!$AI:$AI)</f>
        <v>0</v>
      </c>
    </row>
    <row r="1751" spans="1:5" x14ac:dyDescent="0.25">
      <c r="A1751" s="47" t="s">
        <v>10843</v>
      </c>
      <c r="B1751" s="47" t="s">
        <v>123</v>
      </c>
      <c r="C1751" s="47" t="s">
        <v>1469</v>
      </c>
      <c r="D1751" s="47">
        <v>1.5377931254764801</v>
      </c>
      <c r="E1751" s="48">
        <f>SUMIF(Data!$E:$E,$C1751,Data!$AI:$AI)</f>
        <v>0</v>
      </c>
    </row>
    <row r="1752" spans="1:5" x14ac:dyDescent="0.25">
      <c r="A1752" s="47" t="s">
        <v>10843</v>
      </c>
      <c r="B1752" s="47" t="s">
        <v>123</v>
      </c>
      <c r="C1752" s="47" t="s">
        <v>4964</v>
      </c>
      <c r="D1752" s="47">
        <v>0.83283885804704105</v>
      </c>
      <c r="E1752" s="48">
        <f>SUMIF(Data!$E:$E,$C1752,Data!$AI:$AI)</f>
        <v>0</v>
      </c>
    </row>
    <row r="1753" spans="1:5" x14ac:dyDescent="0.25">
      <c r="A1753" s="47" t="s">
        <v>10843</v>
      </c>
      <c r="B1753" s="47" t="s">
        <v>123</v>
      </c>
      <c r="C1753" s="47" t="s">
        <v>4971</v>
      </c>
      <c r="D1753" s="47">
        <v>0.71605625369822201</v>
      </c>
      <c r="E1753" s="48">
        <f>SUMIF(Data!$E:$E,$C1753,Data!$AI:$AI)</f>
        <v>0.51478348043038158</v>
      </c>
    </row>
    <row r="1754" spans="1:5" x14ac:dyDescent="0.25">
      <c r="A1754" s="47" t="s">
        <v>10843</v>
      </c>
      <c r="B1754" s="47" t="s">
        <v>123</v>
      </c>
      <c r="C1754" s="47" t="s">
        <v>4978</v>
      </c>
      <c r="D1754" s="47">
        <v>0.82648678674223397</v>
      </c>
      <c r="E1754" s="48">
        <f>SUMIF(Data!$E:$E,$C1754,Data!$AI:$AI)</f>
        <v>0</v>
      </c>
    </row>
    <row r="1755" spans="1:5" x14ac:dyDescent="0.25">
      <c r="A1755" s="47" t="s">
        <v>10843</v>
      </c>
      <c r="B1755" s="47" t="s">
        <v>123</v>
      </c>
      <c r="C1755" s="47" t="s">
        <v>4984</v>
      </c>
      <c r="D1755" s="47">
        <v>1.24083763460845</v>
      </c>
      <c r="E1755" s="48">
        <f>SUMIF(Data!$E:$E,$C1755,Data!$AI:$AI)</f>
        <v>0</v>
      </c>
    </row>
    <row r="1756" spans="1:5" x14ac:dyDescent="0.25">
      <c r="A1756" s="47" t="s">
        <v>10843</v>
      </c>
      <c r="B1756" s="47" t="s">
        <v>123</v>
      </c>
      <c r="C1756" s="47" t="s">
        <v>4991</v>
      </c>
      <c r="D1756" s="47">
        <v>0.71063966024814595</v>
      </c>
      <c r="E1756" s="48">
        <f>SUMIF(Data!$E:$E,$C1756,Data!$AI:$AI)</f>
        <v>0.38077996000694508</v>
      </c>
    </row>
    <row r="1757" spans="1:5" x14ac:dyDescent="0.25">
      <c r="A1757" s="47" t="s">
        <v>10843</v>
      </c>
      <c r="B1757" s="47" t="s">
        <v>123</v>
      </c>
      <c r="C1757" s="47" t="s">
        <v>4998</v>
      </c>
      <c r="D1757" s="47">
        <v>1.9500119089900301</v>
      </c>
      <c r="E1757" s="48">
        <f>SUMIF(Data!$E:$E,$C1757,Data!$AI:$AI)</f>
        <v>0</v>
      </c>
    </row>
    <row r="1758" spans="1:5" x14ac:dyDescent="0.25">
      <c r="A1758" s="47" t="s">
        <v>10843</v>
      </c>
      <c r="B1758" s="47" t="s">
        <v>123</v>
      </c>
      <c r="C1758" s="47" t="s">
        <v>5005</v>
      </c>
      <c r="D1758" s="47">
        <v>0.92206409354769003</v>
      </c>
      <c r="E1758" s="48">
        <f>SUMIF(Data!$E:$E,$C1758,Data!$AI:$AI)</f>
        <v>0</v>
      </c>
    </row>
    <row r="1759" spans="1:5" x14ac:dyDescent="0.25">
      <c r="A1759" s="47" t="s">
        <v>10843</v>
      </c>
      <c r="B1759" s="47" t="s">
        <v>123</v>
      </c>
      <c r="C1759" s="47" t="s">
        <v>5012</v>
      </c>
      <c r="D1759" s="47">
        <v>0.74267622890026896</v>
      </c>
      <c r="E1759" s="48">
        <f>SUMIF(Data!$E:$E,$C1759,Data!$AI:$AI)</f>
        <v>0.77934157011859584</v>
      </c>
    </row>
    <row r="1760" spans="1:5" x14ac:dyDescent="0.25">
      <c r="A1760" s="47" t="s">
        <v>10843</v>
      </c>
      <c r="B1760" s="47" t="s">
        <v>123</v>
      </c>
      <c r="C1760" s="47" t="s">
        <v>5019</v>
      </c>
      <c r="D1760" s="47">
        <v>2.3401663077371202</v>
      </c>
      <c r="E1760" s="48">
        <f>SUMIF(Data!$E:$E,$C1760,Data!$AI:$AI)</f>
        <v>0</v>
      </c>
    </row>
    <row r="1761" spans="1:5" x14ac:dyDescent="0.25">
      <c r="A1761" s="47" t="s">
        <v>10843</v>
      </c>
      <c r="B1761" s="47" t="s">
        <v>123</v>
      </c>
      <c r="C1761" s="47" t="s">
        <v>5026</v>
      </c>
      <c r="D1761" s="47">
        <v>2.2365266506179799</v>
      </c>
      <c r="E1761" s="48">
        <f>SUMIF(Data!$E:$E,$C1761,Data!$AI:$AI)</f>
        <v>0</v>
      </c>
    </row>
    <row r="1762" spans="1:5" x14ac:dyDescent="0.25">
      <c r="A1762" s="47" t="s">
        <v>10844</v>
      </c>
      <c r="B1762" s="47" t="s">
        <v>123</v>
      </c>
      <c r="C1762" s="47" t="s">
        <v>5417</v>
      </c>
      <c r="D1762" s="47">
        <v>1.7960668488448E-2</v>
      </c>
      <c r="E1762" s="48">
        <f>SUMIF(Data!$E:$E,$C1762,Data!$AI:$AI)</f>
        <v>0</v>
      </c>
    </row>
    <row r="1763" spans="1:5" x14ac:dyDescent="0.25">
      <c r="A1763" s="47" t="s">
        <v>10844</v>
      </c>
      <c r="B1763" s="47" t="s">
        <v>123</v>
      </c>
      <c r="C1763" s="47" t="s">
        <v>5424</v>
      </c>
      <c r="D1763" s="47">
        <v>0.12337186860617699</v>
      </c>
      <c r="E1763" s="48">
        <f>SUMIF(Data!$E:$E,$C1763,Data!$AI:$AI)</f>
        <v>0.14993036494457632</v>
      </c>
    </row>
    <row r="1764" spans="1:5" x14ac:dyDescent="0.25">
      <c r="A1764" s="47" t="s">
        <v>10844</v>
      </c>
      <c r="B1764" s="47" t="s">
        <v>123</v>
      </c>
      <c r="C1764" s="47" t="s">
        <v>4464</v>
      </c>
      <c r="D1764" s="47">
        <v>0.174994549901997</v>
      </c>
      <c r="E1764" s="48">
        <f>SUMIF(Data!$E:$E,$C1764,Data!$AI:$AI)</f>
        <v>0.16778694604010902</v>
      </c>
    </row>
    <row r="1765" spans="1:5" x14ac:dyDescent="0.25">
      <c r="A1765" s="47" t="s">
        <v>10844</v>
      </c>
      <c r="B1765" s="47" t="s">
        <v>123</v>
      </c>
      <c r="C1765" s="47" t="s">
        <v>5431</v>
      </c>
      <c r="D1765" s="47">
        <v>3.4307327588582001E-2</v>
      </c>
      <c r="E1765" s="48">
        <f>SUMIF(Data!$E:$E,$C1765,Data!$AI:$AI)</f>
        <v>0</v>
      </c>
    </row>
    <row r="1766" spans="1:5" x14ac:dyDescent="0.25">
      <c r="A1766" s="47" t="s">
        <v>10844</v>
      </c>
      <c r="B1766" s="47" t="s">
        <v>123</v>
      </c>
      <c r="C1766" s="47" t="s">
        <v>4471</v>
      </c>
      <c r="D1766" s="47">
        <v>6.5844022310943995E-2</v>
      </c>
      <c r="E1766" s="48">
        <f>SUMIF(Data!$E:$E,$C1766,Data!$AI:$AI)</f>
        <v>0</v>
      </c>
    </row>
    <row r="1767" spans="1:5" x14ac:dyDescent="0.25">
      <c r="A1767" s="47" t="s">
        <v>10844</v>
      </c>
      <c r="B1767" s="47" t="s">
        <v>123</v>
      </c>
      <c r="C1767" s="47" t="s">
        <v>4578</v>
      </c>
      <c r="D1767" s="47">
        <v>5.1989378445657</v>
      </c>
      <c r="E1767" s="48">
        <f>SUMIF(Data!$E:$E,$C1767,Data!$AI:$AI)</f>
        <v>0.82698926913975535</v>
      </c>
    </row>
    <row r="1768" spans="1:5" x14ac:dyDescent="0.25">
      <c r="A1768" s="47" t="s">
        <v>10844</v>
      </c>
      <c r="B1768" s="47" t="s">
        <v>123</v>
      </c>
      <c r="C1768" s="47" t="s">
        <v>2017</v>
      </c>
      <c r="D1768" s="47">
        <v>0.48051508761807099</v>
      </c>
      <c r="E1768" s="48">
        <f>SUMIF(Data!$E:$E,$C1768,Data!$AI:$AI)</f>
        <v>0</v>
      </c>
    </row>
    <row r="1769" spans="1:5" x14ac:dyDescent="0.25">
      <c r="A1769" s="47" t="s">
        <v>10844</v>
      </c>
      <c r="B1769" s="47" t="s">
        <v>123</v>
      </c>
      <c r="C1769" s="47" t="s">
        <v>4492</v>
      </c>
      <c r="D1769" s="47">
        <v>0.97178152198321499</v>
      </c>
      <c r="E1769" s="48">
        <f>SUMIF(Data!$E:$E,$C1769,Data!$AI:$AI)</f>
        <v>0</v>
      </c>
    </row>
    <row r="1770" spans="1:5" x14ac:dyDescent="0.25">
      <c r="A1770" s="47" t="s">
        <v>10844</v>
      </c>
      <c r="B1770" s="47" t="s">
        <v>123</v>
      </c>
      <c r="C1770" s="47" t="s">
        <v>4768</v>
      </c>
      <c r="D1770" s="47">
        <v>0.98534521282829601</v>
      </c>
      <c r="E1770" s="48">
        <f>SUMIF(Data!$E:$E,$C1770,Data!$AI:$AI)</f>
        <v>0</v>
      </c>
    </row>
    <row r="1771" spans="1:5" x14ac:dyDescent="0.25">
      <c r="A1771" s="47" t="s">
        <v>10844</v>
      </c>
      <c r="B1771" s="47" t="s">
        <v>123</v>
      </c>
      <c r="C1771" s="47" t="s">
        <v>4585</v>
      </c>
      <c r="D1771" s="47">
        <v>0.211963610159074</v>
      </c>
      <c r="E1771" s="48">
        <f>SUMIF(Data!$E:$E,$C1771,Data!$AI:$AI)</f>
        <v>0.50254664386636194</v>
      </c>
    </row>
    <row r="1772" spans="1:5" x14ac:dyDescent="0.25">
      <c r="A1772" s="47" t="s">
        <v>10844</v>
      </c>
      <c r="B1772" s="47" t="s">
        <v>123</v>
      </c>
      <c r="C1772" s="47" t="s">
        <v>5444</v>
      </c>
      <c r="D1772" s="47">
        <v>0.138141646826653</v>
      </c>
      <c r="E1772" s="48">
        <f>SUMIF(Data!$E:$E,$C1772,Data!$AI:$AI)</f>
        <v>0.13053515410881558</v>
      </c>
    </row>
    <row r="1773" spans="1:5" x14ac:dyDescent="0.25">
      <c r="A1773" s="47" t="s">
        <v>10844</v>
      </c>
      <c r="B1773" s="47" t="s">
        <v>123</v>
      </c>
      <c r="C1773" s="47" t="s">
        <v>5051</v>
      </c>
      <c r="D1773" s="47">
        <v>0.52803444365708296</v>
      </c>
      <c r="E1773" s="48">
        <f>SUMIF(Data!$E:$E,$C1773,Data!$AI:$AI)</f>
        <v>0.40847619001243751</v>
      </c>
    </row>
    <row r="1774" spans="1:5" x14ac:dyDescent="0.25">
      <c r="A1774" s="47" t="s">
        <v>10844</v>
      </c>
      <c r="B1774" s="47" t="s">
        <v>123</v>
      </c>
      <c r="C1774" s="47" t="s">
        <v>5058</v>
      </c>
      <c r="D1774" s="47">
        <v>0.190517603751064</v>
      </c>
      <c r="E1774" s="48">
        <f>SUMIF(Data!$E:$E,$C1774,Data!$AI:$AI)</f>
        <v>0</v>
      </c>
    </row>
    <row r="1775" spans="1:5" x14ac:dyDescent="0.25">
      <c r="A1775" s="47" t="s">
        <v>10844</v>
      </c>
      <c r="B1775" s="47" t="s">
        <v>123</v>
      </c>
      <c r="C1775" s="47" t="s">
        <v>5065</v>
      </c>
      <c r="D1775" s="47">
        <v>0.41083724226519203</v>
      </c>
      <c r="E1775" s="48">
        <f>SUMIF(Data!$E:$E,$C1775,Data!$AI:$AI)</f>
        <v>0.49255800486170526</v>
      </c>
    </row>
    <row r="1776" spans="1:5" x14ac:dyDescent="0.25">
      <c r="A1776" s="47" t="s">
        <v>10844</v>
      </c>
      <c r="B1776" s="47" t="s">
        <v>123</v>
      </c>
      <c r="C1776" s="47" t="s">
        <v>4592</v>
      </c>
      <c r="D1776" s="47">
        <v>10.2402318990297</v>
      </c>
      <c r="E1776" s="48">
        <f>SUMIF(Data!$E:$E,$C1776,Data!$AI:$AI)</f>
        <v>0</v>
      </c>
    </row>
    <row r="1777" spans="1:5" x14ac:dyDescent="0.25">
      <c r="A1777" s="47" t="s">
        <v>10844</v>
      </c>
      <c r="B1777" s="47" t="s">
        <v>123</v>
      </c>
      <c r="C1777" s="47" t="s">
        <v>5451</v>
      </c>
      <c r="D1777" s="47">
        <v>2.1837785421400999E-2</v>
      </c>
      <c r="E1777" s="48">
        <f>SUMIF(Data!$E:$E,$C1777,Data!$AI:$AI)</f>
        <v>0</v>
      </c>
    </row>
    <row r="1778" spans="1:5" x14ac:dyDescent="0.25">
      <c r="A1778" s="47" t="s">
        <v>10844</v>
      </c>
      <c r="B1778" s="47" t="s">
        <v>123</v>
      </c>
      <c r="C1778" s="47" t="s">
        <v>4782</v>
      </c>
      <c r="D1778" s="47">
        <v>1.0322105145663301</v>
      </c>
      <c r="E1778" s="48">
        <f>SUMIF(Data!$E:$E,$C1778,Data!$AI:$AI)</f>
        <v>0</v>
      </c>
    </row>
    <row r="1779" spans="1:5" x14ac:dyDescent="0.25">
      <c r="A1779" s="47" t="s">
        <v>10844</v>
      </c>
      <c r="B1779" s="47" t="s">
        <v>123</v>
      </c>
      <c r="C1779" s="47" t="s">
        <v>5457</v>
      </c>
      <c r="D1779" s="47">
        <v>7.1139498677400007E-2</v>
      </c>
      <c r="E1779" s="48">
        <f>SUMIF(Data!$E:$E,$C1779,Data!$AI:$AI)</f>
        <v>0</v>
      </c>
    </row>
    <row r="1780" spans="1:5" x14ac:dyDescent="0.25">
      <c r="A1780" s="47" t="s">
        <v>10844</v>
      </c>
      <c r="B1780" s="47" t="s">
        <v>123</v>
      </c>
      <c r="C1780" s="47" t="s">
        <v>5072</v>
      </c>
      <c r="D1780" s="47">
        <v>0.20624633593894201</v>
      </c>
      <c r="E1780" s="48">
        <f>SUMIF(Data!$E:$E,$C1780,Data!$AI:$AI)</f>
        <v>0.26629035811338408</v>
      </c>
    </row>
    <row r="1781" spans="1:5" x14ac:dyDescent="0.25">
      <c r="A1781" s="47" t="s">
        <v>10844</v>
      </c>
      <c r="B1781" s="47" t="s">
        <v>123</v>
      </c>
      <c r="C1781" s="47" t="s">
        <v>4789</v>
      </c>
      <c r="D1781" s="47">
        <v>0.84317279271156598</v>
      </c>
      <c r="E1781" s="48">
        <f>SUMIF(Data!$E:$E,$C1781,Data!$AI:$AI)</f>
        <v>0</v>
      </c>
    </row>
    <row r="1782" spans="1:5" x14ac:dyDescent="0.25">
      <c r="A1782" s="47" t="s">
        <v>10844</v>
      </c>
      <c r="B1782" s="47" t="s">
        <v>123</v>
      </c>
      <c r="C1782" s="47" t="s">
        <v>5463</v>
      </c>
      <c r="D1782" s="47">
        <v>9.6306375519821005E-2</v>
      </c>
      <c r="E1782" s="48">
        <f>SUMIF(Data!$E:$E,$C1782,Data!$AI:$AI)</f>
        <v>0</v>
      </c>
    </row>
    <row r="1783" spans="1:5" x14ac:dyDescent="0.25">
      <c r="A1783" s="47" t="s">
        <v>10844</v>
      </c>
      <c r="B1783" s="47" t="s">
        <v>123</v>
      </c>
      <c r="C1783" s="47" t="s">
        <v>3205</v>
      </c>
      <c r="D1783" s="47">
        <v>0.84806120692010001</v>
      </c>
      <c r="E1783" s="48">
        <f>SUMIF(Data!$E:$E,$C1783,Data!$AI:$AI)</f>
        <v>0</v>
      </c>
    </row>
    <row r="1784" spans="1:5" x14ac:dyDescent="0.25">
      <c r="A1784" s="47" t="s">
        <v>10844</v>
      </c>
      <c r="B1784" s="47" t="s">
        <v>123</v>
      </c>
      <c r="C1784" s="47" t="s">
        <v>5470</v>
      </c>
      <c r="D1784" s="47">
        <v>8.0463798795802996E-2</v>
      </c>
      <c r="E1784" s="48">
        <f>SUMIF(Data!$E:$E,$C1784,Data!$AI:$AI)</f>
        <v>0</v>
      </c>
    </row>
    <row r="1785" spans="1:5" x14ac:dyDescent="0.25">
      <c r="A1785" s="47" t="s">
        <v>10844</v>
      </c>
      <c r="B1785" s="47" t="s">
        <v>123</v>
      </c>
      <c r="C1785" s="47" t="s">
        <v>5477</v>
      </c>
      <c r="D1785" s="47">
        <v>0.11730764156601101</v>
      </c>
      <c r="E1785" s="48">
        <f>SUMIF(Data!$E:$E,$C1785,Data!$AI:$AI)</f>
        <v>0</v>
      </c>
    </row>
    <row r="1786" spans="1:5" x14ac:dyDescent="0.25">
      <c r="A1786" s="47" t="s">
        <v>10844</v>
      </c>
      <c r="B1786" s="47" t="s">
        <v>123</v>
      </c>
      <c r="C1786" s="47" t="s">
        <v>5484</v>
      </c>
      <c r="D1786" s="47">
        <v>6.6016412710882003E-2</v>
      </c>
      <c r="E1786" s="48">
        <f>SUMIF(Data!$E:$E,$C1786,Data!$AI:$AI)</f>
        <v>0</v>
      </c>
    </row>
    <row r="1787" spans="1:5" x14ac:dyDescent="0.25">
      <c r="A1787" s="47" t="s">
        <v>10844</v>
      </c>
      <c r="B1787" s="47" t="s">
        <v>123</v>
      </c>
      <c r="C1787" s="47" t="s">
        <v>4527</v>
      </c>
      <c r="D1787" s="47">
        <v>0.60465408911516605</v>
      </c>
      <c r="E1787" s="48">
        <f>SUMIF(Data!$E:$E,$C1787,Data!$AI:$AI)</f>
        <v>0</v>
      </c>
    </row>
    <row r="1788" spans="1:5" x14ac:dyDescent="0.25">
      <c r="A1788" s="47" t="s">
        <v>10844</v>
      </c>
      <c r="B1788" s="47" t="s">
        <v>123</v>
      </c>
      <c r="C1788" s="47" t="s">
        <v>5085</v>
      </c>
      <c r="D1788" s="47">
        <v>0.13612126091139001</v>
      </c>
      <c r="E1788" s="48">
        <f>SUMIF(Data!$E:$E,$C1788,Data!$AI:$AI)</f>
        <v>0</v>
      </c>
    </row>
    <row r="1789" spans="1:5" x14ac:dyDescent="0.25">
      <c r="A1789" s="47" t="s">
        <v>10844</v>
      </c>
      <c r="B1789" s="47" t="s">
        <v>123</v>
      </c>
      <c r="C1789" s="47" t="s">
        <v>4801</v>
      </c>
      <c r="D1789" s="47">
        <v>3.16639558547346</v>
      </c>
      <c r="E1789" s="48">
        <f>SUMIF(Data!$E:$E,$C1789,Data!$AI:$AI)</f>
        <v>0.9366848889291185</v>
      </c>
    </row>
    <row r="1790" spans="1:5" x14ac:dyDescent="0.25">
      <c r="A1790" s="47" t="s">
        <v>10844</v>
      </c>
      <c r="B1790" s="47" t="s">
        <v>123</v>
      </c>
      <c r="C1790" s="47" t="s">
        <v>4499</v>
      </c>
      <c r="D1790" s="47">
        <v>0.55173800903780501</v>
      </c>
      <c r="E1790" s="48">
        <f>SUMIF(Data!$E:$E,$C1790,Data!$AI:$AI)</f>
        <v>0</v>
      </c>
    </row>
    <row r="1791" spans="1:5" x14ac:dyDescent="0.25">
      <c r="A1791" s="47" t="s">
        <v>10844</v>
      </c>
      <c r="B1791" s="47" t="s">
        <v>123</v>
      </c>
      <c r="C1791" s="47" t="s">
        <v>5491</v>
      </c>
      <c r="D1791" s="47">
        <v>5.0920861588913999E-2</v>
      </c>
      <c r="E1791" s="48">
        <f>SUMIF(Data!$E:$E,$C1791,Data!$AI:$AI)</f>
        <v>0</v>
      </c>
    </row>
    <row r="1792" spans="1:5" x14ac:dyDescent="0.25">
      <c r="A1792" s="47" t="s">
        <v>10844</v>
      </c>
      <c r="B1792" s="47" t="s">
        <v>123</v>
      </c>
      <c r="C1792" s="47" t="s">
        <v>3145</v>
      </c>
      <c r="D1792" s="47">
        <v>1.09513367369352</v>
      </c>
      <c r="E1792" s="48">
        <f>SUMIF(Data!$E:$E,$C1792,Data!$AI:$AI)</f>
        <v>0</v>
      </c>
    </row>
    <row r="1793" spans="1:5" x14ac:dyDescent="0.25">
      <c r="A1793" s="47" t="s">
        <v>10844</v>
      </c>
      <c r="B1793" s="47" t="s">
        <v>123</v>
      </c>
      <c r="C1793" s="47" t="s">
        <v>4506</v>
      </c>
      <c r="D1793" s="47">
        <v>0.223707881295068</v>
      </c>
      <c r="E1793" s="48">
        <f>SUMIF(Data!$E:$E,$C1793,Data!$AI:$AI)</f>
        <v>0.35312037204807345</v>
      </c>
    </row>
    <row r="1794" spans="1:5" x14ac:dyDescent="0.25">
      <c r="A1794" s="47" t="s">
        <v>10844</v>
      </c>
      <c r="B1794" s="47" t="s">
        <v>123</v>
      </c>
      <c r="C1794" s="47" t="s">
        <v>5498</v>
      </c>
      <c r="D1794" s="47">
        <v>6.8583549342945999E-2</v>
      </c>
      <c r="E1794" s="48">
        <f>SUMIF(Data!$E:$E,$C1794,Data!$AI:$AI)</f>
        <v>0</v>
      </c>
    </row>
    <row r="1795" spans="1:5" x14ac:dyDescent="0.25">
      <c r="A1795" s="47" t="s">
        <v>10844</v>
      </c>
      <c r="B1795" s="47" t="s">
        <v>123</v>
      </c>
      <c r="C1795" s="47" t="s">
        <v>5504</v>
      </c>
      <c r="D1795" s="47">
        <v>2.9311723119376E-2</v>
      </c>
      <c r="E1795" s="48">
        <f>SUMIF(Data!$E:$E,$C1795,Data!$AI:$AI)</f>
        <v>0</v>
      </c>
    </row>
    <row r="1796" spans="1:5" x14ac:dyDescent="0.25">
      <c r="A1796" s="47" t="s">
        <v>10844</v>
      </c>
      <c r="B1796" s="47" t="s">
        <v>123</v>
      </c>
      <c r="C1796" s="47" t="s">
        <v>3152</v>
      </c>
      <c r="D1796" s="47">
        <v>0.37702186960129003</v>
      </c>
      <c r="E1796" s="48">
        <f>SUMIF(Data!$E:$E,$C1796,Data!$AI:$AI)</f>
        <v>0.13519946439795033</v>
      </c>
    </row>
    <row r="1797" spans="1:5" x14ac:dyDescent="0.25">
      <c r="A1797" s="47" t="s">
        <v>10844</v>
      </c>
      <c r="B1797" s="47" t="s">
        <v>123</v>
      </c>
      <c r="C1797" s="47" t="s">
        <v>4549</v>
      </c>
      <c r="D1797" s="47">
        <v>0.28111452299512202</v>
      </c>
      <c r="E1797" s="48">
        <f>SUMIF(Data!$E:$E,$C1797,Data!$AI:$AI)</f>
        <v>0</v>
      </c>
    </row>
    <row r="1798" spans="1:5" x14ac:dyDescent="0.25">
      <c r="A1798" s="47" t="s">
        <v>10844</v>
      </c>
      <c r="B1798" s="47" t="s">
        <v>123</v>
      </c>
      <c r="C1798" s="47" t="s">
        <v>4814</v>
      </c>
      <c r="D1798" s="47">
        <v>0.44459608027463199</v>
      </c>
      <c r="E1798" s="48">
        <f>SUMIF(Data!$E:$E,$C1798,Data!$AI:$AI)</f>
        <v>0</v>
      </c>
    </row>
    <row r="1799" spans="1:5" x14ac:dyDescent="0.25">
      <c r="A1799" s="47" t="s">
        <v>10844</v>
      </c>
      <c r="B1799" s="47" t="s">
        <v>123</v>
      </c>
      <c r="C1799" s="47" t="s">
        <v>4821</v>
      </c>
      <c r="D1799" s="47">
        <v>0.96965886553296499</v>
      </c>
      <c r="E1799" s="48">
        <f>SUMIF(Data!$E:$E,$C1799,Data!$AI:$AI)</f>
        <v>0</v>
      </c>
    </row>
    <row r="1800" spans="1:5" x14ac:dyDescent="0.25">
      <c r="A1800" s="47" t="s">
        <v>10844</v>
      </c>
      <c r="B1800" s="47" t="s">
        <v>123</v>
      </c>
      <c r="C1800" s="47" t="s">
        <v>5115</v>
      </c>
      <c r="D1800" s="47">
        <v>0.421595856228346</v>
      </c>
      <c r="E1800" s="48">
        <f>SUMIF(Data!$E:$E,$C1800,Data!$AI:$AI)</f>
        <v>0</v>
      </c>
    </row>
    <row r="1801" spans="1:5" x14ac:dyDescent="0.25">
      <c r="A1801" s="47" t="s">
        <v>10844</v>
      </c>
      <c r="B1801" s="47" t="s">
        <v>123</v>
      </c>
      <c r="C1801" s="47" t="s">
        <v>5511</v>
      </c>
      <c r="D1801" s="47">
        <v>2.6214043573179999E-2</v>
      </c>
      <c r="E1801" s="48">
        <f>SUMIF(Data!$E:$E,$C1801,Data!$AI:$AI)</f>
        <v>0</v>
      </c>
    </row>
    <row r="1802" spans="1:5" x14ac:dyDescent="0.25">
      <c r="A1802" s="47" t="s">
        <v>10844</v>
      </c>
      <c r="B1802" s="47" t="s">
        <v>123</v>
      </c>
      <c r="C1802" s="47" t="s">
        <v>5121</v>
      </c>
      <c r="D1802" s="47">
        <v>0.21565030715383601</v>
      </c>
      <c r="E1802" s="48">
        <f>SUMIF(Data!$E:$E,$C1802,Data!$AI:$AI)</f>
        <v>0.13075341077842323</v>
      </c>
    </row>
    <row r="1803" spans="1:5" x14ac:dyDescent="0.25">
      <c r="A1803" s="47" t="s">
        <v>10844</v>
      </c>
      <c r="B1803" s="47" t="s">
        <v>123</v>
      </c>
      <c r="C1803" s="47" t="s">
        <v>5127</v>
      </c>
      <c r="D1803" s="47">
        <v>0.228512313948985</v>
      </c>
      <c r="E1803" s="48">
        <f>SUMIF(Data!$E:$E,$C1803,Data!$AI:$AI)</f>
        <v>0.26351671474520016</v>
      </c>
    </row>
    <row r="1804" spans="1:5" x14ac:dyDescent="0.25">
      <c r="A1804" s="47" t="s">
        <v>10844</v>
      </c>
      <c r="B1804" s="47" t="s">
        <v>123</v>
      </c>
      <c r="C1804" s="47" t="s">
        <v>4640</v>
      </c>
      <c r="D1804" s="47">
        <v>0.24767167940191501</v>
      </c>
      <c r="E1804" s="48">
        <f>SUMIF(Data!$E:$E,$C1804,Data!$AI:$AI)</f>
        <v>0.77394047546061229</v>
      </c>
    </row>
    <row r="1805" spans="1:5" x14ac:dyDescent="0.25">
      <c r="A1805" s="47" t="s">
        <v>10844</v>
      </c>
      <c r="B1805" s="47" t="s">
        <v>123</v>
      </c>
      <c r="C1805" s="47" t="s">
        <v>5134</v>
      </c>
      <c r="D1805" s="47">
        <v>0.202746409540876</v>
      </c>
      <c r="E1805" s="48">
        <f>SUMIF(Data!$E:$E,$C1805,Data!$AI:$AI)</f>
        <v>0</v>
      </c>
    </row>
    <row r="1806" spans="1:5" x14ac:dyDescent="0.25">
      <c r="A1806" s="47" t="s">
        <v>10844</v>
      </c>
      <c r="B1806" s="47" t="s">
        <v>123</v>
      </c>
      <c r="C1806" s="47" t="s">
        <v>5518</v>
      </c>
      <c r="D1806" s="47">
        <v>3.9273041954707003E-2</v>
      </c>
      <c r="E1806" s="48">
        <f>SUMIF(Data!$E:$E,$C1806,Data!$AI:$AI)</f>
        <v>0</v>
      </c>
    </row>
    <row r="1807" spans="1:5" x14ac:dyDescent="0.25">
      <c r="A1807" s="47" t="s">
        <v>10844</v>
      </c>
      <c r="B1807" s="47" t="s">
        <v>123</v>
      </c>
      <c r="C1807" s="47" t="s">
        <v>4556</v>
      </c>
      <c r="D1807" s="47">
        <v>4.8789502513396997E-2</v>
      </c>
      <c r="E1807" s="48">
        <f>SUMIF(Data!$E:$E,$C1807,Data!$AI:$AI)</f>
        <v>0</v>
      </c>
    </row>
    <row r="1808" spans="1:5" x14ac:dyDescent="0.25">
      <c r="A1808" s="47" t="s">
        <v>10844</v>
      </c>
      <c r="B1808" s="47" t="s">
        <v>123</v>
      </c>
      <c r="C1808" s="47" t="s">
        <v>4621</v>
      </c>
      <c r="D1808" s="47">
        <v>0.66008221289237201</v>
      </c>
      <c r="E1808" s="48">
        <f>SUMIF(Data!$E:$E,$C1808,Data!$AI:$AI)</f>
        <v>0</v>
      </c>
    </row>
    <row r="1809" spans="1:5" x14ac:dyDescent="0.25">
      <c r="A1809" s="47" t="s">
        <v>10844</v>
      </c>
      <c r="B1809" s="47" t="s">
        <v>123</v>
      </c>
      <c r="C1809" s="47" t="s">
        <v>4628</v>
      </c>
      <c r="D1809" s="47">
        <v>2.0407370475816502</v>
      </c>
      <c r="E1809" s="48">
        <f>SUMIF(Data!$E:$E,$C1809,Data!$AI:$AI)</f>
        <v>0</v>
      </c>
    </row>
    <row r="1810" spans="1:5" x14ac:dyDescent="0.25">
      <c r="A1810" s="47" t="s">
        <v>10844</v>
      </c>
      <c r="B1810" s="47" t="s">
        <v>123</v>
      </c>
      <c r="C1810" s="47" t="s">
        <v>5141</v>
      </c>
      <c r="D1810" s="47">
        <v>0.15495594147340799</v>
      </c>
      <c r="E1810" s="48">
        <f>SUMIF(Data!$E:$E,$C1810,Data!$AI:$AI)</f>
        <v>0</v>
      </c>
    </row>
    <row r="1811" spans="1:5" x14ac:dyDescent="0.25">
      <c r="A1811" s="47" t="s">
        <v>10844</v>
      </c>
      <c r="B1811" s="47" t="s">
        <v>123</v>
      </c>
      <c r="C1811" s="47" t="s">
        <v>5531</v>
      </c>
      <c r="D1811" s="47">
        <v>5.1672272651506E-2</v>
      </c>
      <c r="E1811" s="48">
        <f>SUMIF(Data!$E:$E,$C1811,Data!$AI:$AI)</f>
        <v>0</v>
      </c>
    </row>
    <row r="1812" spans="1:5" x14ac:dyDescent="0.25">
      <c r="A1812" s="47" t="s">
        <v>10844</v>
      </c>
      <c r="B1812" s="47" t="s">
        <v>123</v>
      </c>
      <c r="C1812" s="47" t="s">
        <v>4841</v>
      </c>
      <c r="D1812" s="47">
        <v>2.45406256379828</v>
      </c>
      <c r="E1812" s="48">
        <f>SUMIF(Data!$E:$E,$C1812,Data!$AI:$AI)</f>
        <v>1.1368494141004637</v>
      </c>
    </row>
    <row r="1813" spans="1:5" x14ac:dyDescent="0.25">
      <c r="A1813" s="47" t="s">
        <v>10844</v>
      </c>
      <c r="B1813" s="47" t="s">
        <v>123</v>
      </c>
      <c r="C1813" s="47" t="s">
        <v>5538</v>
      </c>
      <c r="D1813" s="47">
        <v>0.10477341773386099</v>
      </c>
      <c r="E1813" s="48">
        <f>SUMIF(Data!$E:$E,$C1813,Data!$AI:$AI)</f>
        <v>0</v>
      </c>
    </row>
    <row r="1814" spans="1:5" x14ac:dyDescent="0.25">
      <c r="A1814" s="47" t="s">
        <v>10844</v>
      </c>
      <c r="B1814" s="47" t="s">
        <v>123</v>
      </c>
      <c r="C1814" s="47" t="s">
        <v>4848</v>
      </c>
      <c r="D1814" s="47">
        <v>1.41825743008468</v>
      </c>
      <c r="E1814" s="48">
        <f>SUMIF(Data!$E:$E,$C1814,Data!$AI:$AI)</f>
        <v>0</v>
      </c>
    </row>
    <row r="1815" spans="1:5" x14ac:dyDescent="0.25">
      <c r="A1815" s="47" t="s">
        <v>10844</v>
      </c>
      <c r="B1815" s="47" t="s">
        <v>123</v>
      </c>
      <c r="C1815" s="47" t="s">
        <v>4563</v>
      </c>
      <c r="D1815" s="47">
        <v>0.23462799307380899</v>
      </c>
      <c r="E1815" s="48">
        <f>SUMIF(Data!$E:$E,$C1815,Data!$AI:$AI)</f>
        <v>0</v>
      </c>
    </row>
    <row r="1816" spans="1:5" x14ac:dyDescent="0.25">
      <c r="A1816" s="47" t="s">
        <v>10844</v>
      </c>
      <c r="B1816" s="47" t="s">
        <v>123</v>
      </c>
      <c r="C1816" s="47" t="s">
        <v>5153</v>
      </c>
      <c r="D1816" s="47">
        <v>0.15223322037769499</v>
      </c>
      <c r="E1816" s="48">
        <f>SUMIF(Data!$E:$E,$C1816,Data!$AI:$AI)</f>
        <v>0</v>
      </c>
    </row>
    <row r="1817" spans="1:5" x14ac:dyDescent="0.25">
      <c r="A1817" s="47" t="s">
        <v>10844</v>
      </c>
      <c r="B1817" s="47" t="s">
        <v>123</v>
      </c>
      <c r="C1817" s="47" t="s">
        <v>4855</v>
      </c>
      <c r="D1817" s="47">
        <v>9.2477279378325097</v>
      </c>
      <c r="E1817" s="48">
        <f>SUMIF(Data!$E:$E,$C1817,Data!$AI:$AI)</f>
        <v>1.0989645296635115</v>
      </c>
    </row>
    <row r="1818" spans="1:5" x14ac:dyDescent="0.25">
      <c r="A1818" s="47" t="s">
        <v>10844</v>
      </c>
      <c r="B1818" s="47" t="s">
        <v>123</v>
      </c>
      <c r="C1818" s="47" t="s">
        <v>4862</v>
      </c>
      <c r="D1818" s="47">
        <v>0.57402057324050004</v>
      </c>
      <c r="E1818" s="48">
        <f>SUMIF(Data!$E:$E,$C1818,Data!$AI:$AI)</f>
        <v>0.397519933142436</v>
      </c>
    </row>
    <row r="1819" spans="1:5" x14ac:dyDescent="0.25">
      <c r="A1819" s="47" t="s">
        <v>10844</v>
      </c>
      <c r="B1819" s="47" t="s">
        <v>123</v>
      </c>
      <c r="C1819" s="47" t="s">
        <v>5166</v>
      </c>
      <c r="D1819" s="47">
        <v>5.0028362928035003E-2</v>
      </c>
      <c r="E1819" s="48">
        <f>SUMIF(Data!$E:$E,$C1819,Data!$AI:$AI)</f>
        <v>0</v>
      </c>
    </row>
    <row r="1820" spans="1:5" x14ac:dyDescent="0.25">
      <c r="A1820" s="47" t="s">
        <v>10844</v>
      </c>
      <c r="B1820" s="47" t="s">
        <v>123</v>
      </c>
      <c r="C1820" s="47" t="s">
        <v>5545</v>
      </c>
      <c r="D1820" s="47">
        <v>5.3414104721063997E-2</v>
      </c>
      <c r="E1820" s="48">
        <f>SUMIF(Data!$E:$E,$C1820,Data!$AI:$AI)</f>
        <v>0</v>
      </c>
    </row>
    <row r="1821" spans="1:5" x14ac:dyDescent="0.25">
      <c r="A1821" s="47" t="s">
        <v>10844</v>
      </c>
      <c r="B1821" s="47" t="s">
        <v>123</v>
      </c>
      <c r="C1821" s="47" t="s">
        <v>4478</v>
      </c>
      <c r="D1821" s="47">
        <v>0.13586282171705499</v>
      </c>
      <c r="E1821" s="48">
        <f>SUMIF(Data!$E:$E,$C1821,Data!$AI:$AI)</f>
        <v>0.23823313841468968</v>
      </c>
    </row>
    <row r="1822" spans="1:5" x14ac:dyDescent="0.25">
      <c r="A1822" s="47" t="s">
        <v>10844</v>
      </c>
      <c r="B1822" s="47" t="s">
        <v>123</v>
      </c>
      <c r="C1822" s="47" t="s">
        <v>1855</v>
      </c>
      <c r="D1822" s="47">
        <v>5.9630159594181997E-2</v>
      </c>
      <c r="E1822" s="48">
        <f>SUMIF(Data!$E:$E,$C1822,Data!$AI:$AI)</f>
        <v>0</v>
      </c>
    </row>
    <row r="1823" spans="1:5" x14ac:dyDescent="0.25">
      <c r="A1823" s="47" t="s">
        <v>10844</v>
      </c>
      <c r="B1823" s="47" t="s">
        <v>123</v>
      </c>
      <c r="C1823" s="47" t="s">
        <v>5173</v>
      </c>
      <c r="D1823" s="47">
        <v>0.36840686706526499</v>
      </c>
      <c r="E1823" s="48">
        <f>SUMIF(Data!$E:$E,$C1823,Data!$AI:$AI)</f>
        <v>0.32269220108453256</v>
      </c>
    </row>
    <row r="1824" spans="1:5" x14ac:dyDescent="0.25">
      <c r="A1824" s="47" t="s">
        <v>10844</v>
      </c>
      <c r="B1824" s="47" t="s">
        <v>123</v>
      </c>
      <c r="C1824" s="47" t="s">
        <v>5563</v>
      </c>
      <c r="D1824" s="47">
        <v>0.13741221950715399</v>
      </c>
      <c r="E1824" s="48">
        <f>SUMIF(Data!$E:$E,$C1824,Data!$AI:$AI)</f>
        <v>0</v>
      </c>
    </row>
    <row r="1825" spans="1:5" x14ac:dyDescent="0.25">
      <c r="A1825" s="47" t="s">
        <v>10844</v>
      </c>
      <c r="B1825" s="47" t="s">
        <v>123</v>
      </c>
      <c r="C1825" s="47" t="s">
        <v>6759</v>
      </c>
      <c r="D1825" s="47">
        <v>0.56421716350102302</v>
      </c>
      <c r="E1825" s="48">
        <f>SUMIF(Data!$E:$E,$C1825,Data!$AI:$AI)</f>
        <v>0.31941379215436855</v>
      </c>
    </row>
    <row r="1826" spans="1:5" x14ac:dyDescent="0.25">
      <c r="A1826" s="47" t="s">
        <v>10844</v>
      </c>
      <c r="B1826" s="47" t="s">
        <v>123</v>
      </c>
      <c r="C1826" s="47" t="s">
        <v>5570</v>
      </c>
      <c r="D1826" s="47">
        <v>4.6801587446833999E-2</v>
      </c>
      <c r="E1826" s="48">
        <f>SUMIF(Data!$E:$E,$C1826,Data!$AI:$AI)</f>
        <v>0</v>
      </c>
    </row>
    <row r="1827" spans="1:5" x14ac:dyDescent="0.25">
      <c r="A1827" s="47" t="s">
        <v>10844</v>
      </c>
      <c r="B1827" s="47" t="s">
        <v>123</v>
      </c>
      <c r="C1827" s="47" t="s">
        <v>3160</v>
      </c>
      <c r="D1827" s="47">
        <v>0.82504294272634204</v>
      </c>
      <c r="E1827" s="48">
        <f>SUMIF(Data!$E:$E,$C1827,Data!$AI:$AI)</f>
        <v>0.48939641738655321</v>
      </c>
    </row>
    <row r="1828" spans="1:5" x14ac:dyDescent="0.25">
      <c r="A1828" s="47" t="s">
        <v>10844</v>
      </c>
      <c r="B1828" s="47" t="s">
        <v>123</v>
      </c>
      <c r="C1828" s="47" t="s">
        <v>4873</v>
      </c>
      <c r="D1828" s="47">
        <v>1.5839195723102799</v>
      </c>
      <c r="E1828" s="48">
        <f>SUMIF(Data!$E:$E,$C1828,Data!$AI:$AI)</f>
        <v>0</v>
      </c>
    </row>
    <row r="1829" spans="1:5" x14ac:dyDescent="0.25">
      <c r="A1829" s="47" t="s">
        <v>10844</v>
      </c>
      <c r="B1829" s="47" t="s">
        <v>123</v>
      </c>
      <c r="C1829" s="47" t="s">
        <v>3167</v>
      </c>
      <c r="D1829" s="47">
        <v>0.23437272611770299</v>
      </c>
      <c r="E1829" s="48">
        <f>SUMIF(Data!$E:$E,$C1829,Data!$AI:$AI)</f>
        <v>0.45612845361825383</v>
      </c>
    </row>
    <row r="1830" spans="1:5" x14ac:dyDescent="0.25">
      <c r="A1830" s="47" t="s">
        <v>10844</v>
      </c>
      <c r="B1830" s="47" t="s">
        <v>123</v>
      </c>
      <c r="C1830" s="47" t="s">
        <v>5186</v>
      </c>
      <c r="D1830" s="47">
        <v>0.18616548444025999</v>
      </c>
      <c r="E1830" s="48">
        <f>SUMIF(Data!$E:$E,$C1830,Data!$AI:$AI)</f>
        <v>0.12898798215585272</v>
      </c>
    </row>
    <row r="1831" spans="1:5" x14ac:dyDescent="0.25">
      <c r="A1831" s="47" t="s">
        <v>10844</v>
      </c>
      <c r="B1831" s="47" t="s">
        <v>123</v>
      </c>
      <c r="C1831" s="47" t="s">
        <v>4880</v>
      </c>
      <c r="D1831" s="47">
        <v>0.746679730698109</v>
      </c>
      <c r="E1831" s="48">
        <f>SUMIF(Data!$E:$E,$C1831,Data!$AI:$AI)</f>
        <v>0</v>
      </c>
    </row>
    <row r="1832" spans="1:5" x14ac:dyDescent="0.25">
      <c r="A1832" s="47" t="s">
        <v>10844</v>
      </c>
      <c r="B1832" s="47" t="s">
        <v>123</v>
      </c>
      <c r="C1832" s="47" t="s">
        <v>5192</v>
      </c>
      <c r="D1832" s="47">
        <v>0.16046138805837001</v>
      </c>
      <c r="E1832" s="48">
        <f>SUMIF(Data!$E:$E,$C1832,Data!$AI:$AI)</f>
        <v>0</v>
      </c>
    </row>
    <row r="1833" spans="1:5" x14ac:dyDescent="0.25">
      <c r="A1833" s="47" t="s">
        <v>10844</v>
      </c>
      <c r="B1833" s="47" t="s">
        <v>123</v>
      </c>
      <c r="C1833" s="47" t="s">
        <v>520</v>
      </c>
      <c r="D1833" s="47">
        <v>0.737857321717729</v>
      </c>
      <c r="E1833" s="48">
        <f>SUMIF(Data!$E:$E,$C1833,Data!$AI:$AI)</f>
        <v>0.42534541896463962</v>
      </c>
    </row>
    <row r="1834" spans="1:5" x14ac:dyDescent="0.25">
      <c r="A1834" s="47" t="s">
        <v>10844</v>
      </c>
      <c r="B1834" s="47" t="s">
        <v>123</v>
      </c>
      <c r="C1834" s="47" t="s">
        <v>4893</v>
      </c>
      <c r="D1834" s="47">
        <v>3.36129489564438</v>
      </c>
      <c r="E1834" s="48">
        <f>SUMIF(Data!$E:$E,$C1834,Data!$AI:$AI)</f>
        <v>0.14807872778681458</v>
      </c>
    </row>
    <row r="1835" spans="1:5" x14ac:dyDescent="0.25">
      <c r="A1835" s="47" t="s">
        <v>10844</v>
      </c>
      <c r="B1835" s="47" t="s">
        <v>123</v>
      </c>
      <c r="C1835" s="47" t="s">
        <v>4900</v>
      </c>
      <c r="D1835" s="47">
        <v>1.35213583297685</v>
      </c>
      <c r="E1835" s="48">
        <f>SUMIF(Data!$E:$E,$C1835,Data!$AI:$AI)</f>
        <v>0</v>
      </c>
    </row>
    <row r="1836" spans="1:5" x14ac:dyDescent="0.25">
      <c r="A1836" s="47" t="s">
        <v>10844</v>
      </c>
      <c r="B1836" s="47" t="s">
        <v>123</v>
      </c>
      <c r="C1836" s="47" t="s">
        <v>4907</v>
      </c>
      <c r="D1836" s="47">
        <v>1.99848854171638</v>
      </c>
      <c r="E1836" s="48">
        <f>SUMIF(Data!$E:$E,$C1836,Data!$AI:$AI)</f>
        <v>0</v>
      </c>
    </row>
    <row r="1837" spans="1:5" x14ac:dyDescent="0.25">
      <c r="A1837" s="47" t="s">
        <v>10844</v>
      </c>
      <c r="B1837" s="47" t="s">
        <v>123</v>
      </c>
      <c r="C1837" s="47" t="s">
        <v>5199</v>
      </c>
      <c r="D1837" s="47">
        <v>0.19869041176049099</v>
      </c>
      <c r="E1837" s="48">
        <f>SUMIF(Data!$E:$E,$C1837,Data!$AI:$AI)</f>
        <v>0.30542299256619226</v>
      </c>
    </row>
    <row r="1838" spans="1:5" x14ac:dyDescent="0.25">
      <c r="A1838" s="47" t="s">
        <v>10844</v>
      </c>
      <c r="B1838" s="47" t="s">
        <v>123</v>
      </c>
      <c r="C1838" s="47" t="s">
        <v>4484</v>
      </c>
      <c r="D1838" s="47">
        <v>4.5132421118607597</v>
      </c>
      <c r="E1838" s="48">
        <f>SUMIF(Data!$E:$E,$C1838,Data!$AI:$AI)</f>
        <v>0</v>
      </c>
    </row>
    <row r="1839" spans="1:5" x14ac:dyDescent="0.25">
      <c r="A1839" s="47" t="s">
        <v>10844</v>
      </c>
      <c r="B1839" s="47" t="s">
        <v>123</v>
      </c>
      <c r="C1839" s="47" t="s">
        <v>1786</v>
      </c>
      <c r="D1839" s="47">
        <v>0.219172652748471</v>
      </c>
      <c r="E1839" s="48">
        <f>SUMIF(Data!$E:$E,$C1839,Data!$AI:$AI)</f>
        <v>0.1705308312796065</v>
      </c>
    </row>
    <row r="1840" spans="1:5" x14ac:dyDescent="0.25">
      <c r="A1840" s="47" t="s">
        <v>10844</v>
      </c>
      <c r="B1840" s="47" t="s">
        <v>123</v>
      </c>
      <c r="C1840" s="47" t="s">
        <v>4919</v>
      </c>
      <c r="D1840" s="47">
        <v>0.53557269233689397</v>
      </c>
      <c r="E1840" s="48">
        <f>SUMIF(Data!$E:$E,$C1840,Data!$AI:$AI)</f>
        <v>0.63880820904302782</v>
      </c>
    </row>
    <row r="1841" spans="1:5" x14ac:dyDescent="0.25">
      <c r="A1841" s="47" t="s">
        <v>10844</v>
      </c>
      <c r="B1841" s="47" t="s">
        <v>123</v>
      </c>
      <c r="C1841" s="47" t="s">
        <v>4368</v>
      </c>
      <c r="D1841" s="47">
        <v>0.11913734254219401</v>
      </c>
      <c r="E1841" s="48">
        <f>SUMIF(Data!$E:$E,$C1841,Data!$AI:$AI)</f>
        <v>0</v>
      </c>
    </row>
    <row r="1842" spans="1:5" x14ac:dyDescent="0.25">
      <c r="A1842" s="47" t="s">
        <v>10844</v>
      </c>
      <c r="B1842" s="47" t="s">
        <v>123</v>
      </c>
      <c r="C1842" s="47" t="s">
        <v>5583</v>
      </c>
      <c r="D1842" s="47">
        <v>2.9218782235768001E-2</v>
      </c>
      <c r="E1842" s="48">
        <f>SUMIF(Data!$E:$E,$C1842,Data!$AI:$AI)</f>
        <v>0</v>
      </c>
    </row>
    <row r="1843" spans="1:5" x14ac:dyDescent="0.25">
      <c r="A1843" s="47" t="s">
        <v>10844</v>
      </c>
      <c r="B1843" s="47" t="s">
        <v>123</v>
      </c>
      <c r="C1843" s="47" t="s">
        <v>4926</v>
      </c>
      <c r="D1843" s="47">
        <v>0.66512029888491697</v>
      </c>
      <c r="E1843" s="48">
        <f>SUMIF(Data!$E:$E,$C1843,Data!$AI:$AI)</f>
        <v>0.52858464745473188</v>
      </c>
    </row>
    <row r="1844" spans="1:5" x14ac:dyDescent="0.25">
      <c r="A1844" s="47" t="s">
        <v>10844</v>
      </c>
      <c r="B1844" s="47" t="s">
        <v>123</v>
      </c>
      <c r="C1844" s="47" t="s">
        <v>5590</v>
      </c>
      <c r="D1844" s="47">
        <v>8.8120705022150005E-3</v>
      </c>
      <c r="E1844" s="48">
        <f>SUMIF(Data!$E:$E,$C1844,Data!$AI:$AI)</f>
        <v>0</v>
      </c>
    </row>
    <row r="1845" spans="1:5" x14ac:dyDescent="0.25">
      <c r="A1845" s="47" t="s">
        <v>10844</v>
      </c>
      <c r="B1845" s="47" t="s">
        <v>123</v>
      </c>
      <c r="C1845" s="47" t="s">
        <v>5221</v>
      </c>
      <c r="D1845" s="47">
        <v>0.24767062294023001</v>
      </c>
      <c r="E1845" s="48">
        <f>SUMIF(Data!$E:$E,$C1845,Data!$AI:$AI)</f>
        <v>0.14962264013625223</v>
      </c>
    </row>
    <row r="1846" spans="1:5" x14ac:dyDescent="0.25">
      <c r="A1846" s="47" t="s">
        <v>10844</v>
      </c>
      <c r="B1846" s="47" t="s">
        <v>123</v>
      </c>
      <c r="C1846" s="47" t="s">
        <v>5228</v>
      </c>
      <c r="D1846" s="47">
        <v>0.101701676201189</v>
      </c>
      <c r="E1846" s="48">
        <f>SUMIF(Data!$E:$E,$C1846,Data!$AI:$AI)</f>
        <v>0</v>
      </c>
    </row>
    <row r="1847" spans="1:5" x14ac:dyDescent="0.25">
      <c r="A1847" s="47" t="s">
        <v>10844</v>
      </c>
      <c r="B1847" s="47" t="s">
        <v>123</v>
      </c>
      <c r="C1847" s="47" t="s">
        <v>5598</v>
      </c>
      <c r="D1847" s="47">
        <v>8.2364068749574998E-2</v>
      </c>
      <c r="E1847" s="48">
        <f>SUMIF(Data!$E:$E,$C1847,Data!$AI:$AI)</f>
        <v>0</v>
      </c>
    </row>
    <row r="1848" spans="1:5" x14ac:dyDescent="0.25">
      <c r="A1848" s="47" t="s">
        <v>10844</v>
      </c>
      <c r="B1848" s="47" t="s">
        <v>123</v>
      </c>
      <c r="C1848" s="47" t="s">
        <v>3901</v>
      </c>
      <c r="D1848" s="47">
        <v>0.56881988064608402</v>
      </c>
      <c r="E1848" s="48">
        <f>SUMIF(Data!$E:$E,$C1848,Data!$AI:$AI)</f>
        <v>0.4435083799971119</v>
      </c>
    </row>
    <row r="1849" spans="1:5" x14ac:dyDescent="0.25">
      <c r="A1849" s="47" t="s">
        <v>10844</v>
      </c>
      <c r="B1849" s="47" t="s">
        <v>123</v>
      </c>
      <c r="C1849" s="47" t="s">
        <v>5241</v>
      </c>
      <c r="D1849" s="47">
        <v>0.24536820840614099</v>
      </c>
      <c r="E1849" s="48">
        <f>SUMIF(Data!$E:$E,$C1849,Data!$AI:$AI)</f>
        <v>0.22226848933098653</v>
      </c>
    </row>
    <row r="1850" spans="1:5" x14ac:dyDescent="0.25">
      <c r="A1850" s="47" t="s">
        <v>10844</v>
      </c>
      <c r="B1850" s="47" t="s">
        <v>123</v>
      </c>
      <c r="C1850" s="47" t="s">
        <v>5605</v>
      </c>
      <c r="D1850" s="47">
        <v>0.124169453134452</v>
      </c>
      <c r="E1850" s="48">
        <f>SUMIF(Data!$E:$E,$C1850,Data!$AI:$AI)</f>
        <v>6.758252240413927E-2</v>
      </c>
    </row>
    <row r="1851" spans="1:5" x14ac:dyDescent="0.25">
      <c r="A1851" s="47" t="s">
        <v>10844</v>
      </c>
      <c r="B1851" s="47" t="s">
        <v>123</v>
      </c>
      <c r="C1851" s="47" t="s">
        <v>4938</v>
      </c>
      <c r="D1851" s="47">
        <v>0.75815884811968104</v>
      </c>
      <c r="E1851" s="48">
        <f>SUMIF(Data!$E:$E,$C1851,Data!$AI:$AI)</f>
        <v>0</v>
      </c>
    </row>
    <row r="1852" spans="1:5" x14ac:dyDescent="0.25">
      <c r="A1852" s="47" t="s">
        <v>10844</v>
      </c>
      <c r="B1852" s="47" t="s">
        <v>123</v>
      </c>
      <c r="C1852" s="47" t="s">
        <v>5612</v>
      </c>
      <c r="D1852" s="47">
        <v>7.3466038294916006E-2</v>
      </c>
      <c r="E1852" s="48">
        <f>SUMIF(Data!$E:$E,$C1852,Data!$AI:$AI)</f>
        <v>0</v>
      </c>
    </row>
    <row r="1853" spans="1:5" x14ac:dyDescent="0.25">
      <c r="A1853" s="47" t="s">
        <v>10844</v>
      </c>
      <c r="B1853" s="47" t="s">
        <v>123</v>
      </c>
      <c r="C1853" s="47" t="s">
        <v>4647</v>
      </c>
      <c r="D1853" s="47">
        <v>1.6369650817341E-2</v>
      </c>
      <c r="E1853" s="48">
        <f>SUMIF(Data!$E:$E,$C1853,Data!$AI:$AI)</f>
        <v>0</v>
      </c>
    </row>
    <row r="1854" spans="1:5" x14ac:dyDescent="0.25">
      <c r="A1854" s="47" t="s">
        <v>10844</v>
      </c>
      <c r="B1854" s="47" t="s">
        <v>123</v>
      </c>
      <c r="C1854" s="47" t="s">
        <v>5625</v>
      </c>
      <c r="D1854" s="47">
        <v>4.0777424553228997E-2</v>
      </c>
      <c r="E1854" s="48">
        <f>SUMIF(Data!$E:$E,$C1854,Data!$AI:$AI)</f>
        <v>0</v>
      </c>
    </row>
    <row r="1855" spans="1:5" x14ac:dyDescent="0.25">
      <c r="A1855" s="47" t="s">
        <v>10844</v>
      </c>
      <c r="B1855" s="47" t="s">
        <v>123</v>
      </c>
      <c r="C1855" s="47" t="s">
        <v>5632</v>
      </c>
      <c r="D1855" s="47">
        <v>4.8599474722737998E-2</v>
      </c>
      <c r="E1855" s="48">
        <f>SUMIF(Data!$E:$E,$C1855,Data!$AI:$AI)</f>
        <v>0</v>
      </c>
    </row>
    <row r="1856" spans="1:5" x14ac:dyDescent="0.25">
      <c r="A1856" s="47" t="s">
        <v>10844</v>
      </c>
      <c r="B1856" s="47" t="s">
        <v>123</v>
      </c>
      <c r="C1856" s="47" t="s">
        <v>5248</v>
      </c>
      <c r="D1856" s="47">
        <v>0.10011277540526201</v>
      </c>
      <c r="E1856" s="48">
        <f>SUMIF(Data!$E:$E,$C1856,Data!$AI:$AI)</f>
        <v>0</v>
      </c>
    </row>
    <row r="1857" spans="1:5" x14ac:dyDescent="0.25">
      <c r="A1857" s="47" t="s">
        <v>10844</v>
      </c>
      <c r="B1857" s="47" t="s">
        <v>123</v>
      </c>
      <c r="C1857" s="47" t="s">
        <v>4009</v>
      </c>
      <c r="D1857" s="47">
        <v>0.193625369417052</v>
      </c>
      <c r="E1857" s="48">
        <f>SUMIF(Data!$E:$E,$C1857,Data!$AI:$AI)</f>
        <v>0</v>
      </c>
    </row>
    <row r="1858" spans="1:5" x14ac:dyDescent="0.25">
      <c r="A1858" s="47" t="s">
        <v>10844</v>
      </c>
      <c r="B1858" s="47" t="s">
        <v>123</v>
      </c>
      <c r="C1858" s="47" t="s">
        <v>4598</v>
      </c>
      <c r="D1858" s="47">
        <v>0.18020550702160501</v>
      </c>
      <c r="E1858" s="48">
        <f>SUMIF(Data!$E:$E,$C1858,Data!$AI:$AI)</f>
        <v>0</v>
      </c>
    </row>
    <row r="1859" spans="1:5" x14ac:dyDescent="0.25">
      <c r="A1859" s="47" t="s">
        <v>10844</v>
      </c>
      <c r="B1859" s="47" t="s">
        <v>123</v>
      </c>
      <c r="C1859" s="47" t="s">
        <v>5639</v>
      </c>
      <c r="D1859" s="47">
        <v>7.4043351742511004E-2</v>
      </c>
      <c r="E1859" s="48">
        <f>SUMIF(Data!$E:$E,$C1859,Data!$AI:$AI)</f>
        <v>0</v>
      </c>
    </row>
    <row r="1860" spans="1:5" x14ac:dyDescent="0.25">
      <c r="A1860" s="47" t="s">
        <v>10844</v>
      </c>
      <c r="B1860" s="47" t="s">
        <v>123</v>
      </c>
      <c r="C1860" s="47" t="s">
        <v>1942</v>
      </c>
      <c r="D1860" s="47">
        <v>8.6988791105736603</v>
      </c>
      <c r="E1860" s="48">
        <f>SUMIF(Data!$E:$E,$C1860,Data!$AI:$AI)</f>
        <v>0</v>
      </c>
    </row>
    <row r="1861" spans="1:5" x14ac:dyDescent="0.25">
      <c r="A1861" s="47" t="s">
        <v>10844</v>
      </c>
      <c r="B1861" s="47" t="s">
        <v>123</v>
      </c>
      <c r="C1861" s="47" t="s">
        <v>4951</v>
      </c>
      <c r="D1861" s="47">
        <v>2.59046674373214</v>
      </c>
      <c r="E1861" s="48">
        <f>SUMIF(Data!$E:$E,$C1861,Data!$AI:$AI)</f>
        <v>0</v>
      </c>
    </row>
    <row r="1862" spans="1:5" x14ac:dyDescent="0.25">
      <c r="A1862" s="47" t="s">
        <v>10844</v>
      </c>
      <c r="B1862" s="47" t="s">
        <v>123</v>
      </c>
      <c r="C1862" s="47" t="s">
        <v>1469</v>
      </c>
      <c r="D1862" s="47">
        <v>1.1610779853048501</v>
      </c>
      <c r="E1862" s="48">
        <f>SUMIF(Data!$E:$E,$C1862,Data!$AI:$AI)</f>
        <v>0</v>
      </c>
    </row>
    <row r="1863" spans="1:5" x14ac:dyDescent="0.25">
      <c r="A1863" s="47" t="s">
        <v>10844</v>
      </c>
      <c r="B1863" s="47" t="s">
        <v>123</v>
      </c>
      <c r="C1863" s="47" t="s">
        <v>5647</v>
      </c>
      <c r="D1863" s="47">
        <v>8.5279425699890006E-3</v>
      </c>
      <c r="E1863" s="48">
        <f>SUMIF(Data!$E:$E,$C1863,Data!$AI:$AI)</f>
        <v>0</v>
      </c>
    </row>
    <row r="1864" spans="1:5" x14ac:dyDescent="0.25">
      <c r="A1864" s="47" t="s">
        <v>10844</v>
      </c>
      <c r="B1864" s="47" t="s">
        <v>123</v>
      </c>
      <c r="C1864" s="47" t="s">
        <v>4964</v>
      </c>
      <c r="D1864" s="47">
        <v>0.62881726245539804</v>
      </c>
      <c r="E1864" s="48">
        <f>SUMIF(Data!$E:$E,$C1864,Data!$AI:$AI)</f>
        <v>0</v>
      </c>
    </row>
    <row r="1865" spans="1:5" x14ac:dyDescent="0.25">
      <c r="A1865" s="47" t="s">
        <v>10844</v>
      </c>
      <c r="B1865" s="47" t="s">
        <v>123</v>
      </c>
      <c r="C1865" s="47" t="s">
        <v>4513</v>
      </c>
      <c r="D1865" s="47">
        <v>4.5991010627268E-2</v>
      </c>
      <c r="E1865" s="48">
        <f>SUMIF(Data!$E:$E,$C1865,Data!$AI:$AI)</f>
        <v>7.5221619812558246E-2</v>
      </c>
    </row>
    <row r="1866" spans="1:5" x14ac:dyDescent="0.25">
      <c r="A1866" s="47" t="s">
        <v>10844</v>
      </c>
      <c r="B1866" s="47" t="s">
        <v>123</v>
      </c>
      <c r="C1866" s="47" t="s">
        <v>5271</v>
      </c>
      <c r="D1866" s="47">
        <v>9.1715339222382994E-2</v>
      </c>
      <c r="E1866" s="48">
        <f>SUMIF(Data!$E:$E,$C1866,Data!$AI:$AI)</f>
        <v>0.14326299409755411</v>
      </c>
    </row>
    <row r="1867" spans="1:5" x14ac:dyDescent="0.25">
      <c r="A1867" s="47" t="s">
        <v>10844</v>
      </c>
      <c r="B1867" s="47" t="s">
        <v>123</v>
      </c>
      <c r="C1867" s="47" t="s">
        <v>5277</v>
      </c>
      <c r="D1867" s="47">
        <v>0.292913833262955</v>
      </c>
      <c r="E1867" s="48">
        <f>SUMIF(Data!$E:$E,$C1867,Data!$AI:$AI)</f>
        <v>0.33919062734131172</v>
      </c>
    </row>
    <row r="1868" spans="1:5" x14ac:dyDescent="0.25">
      <c r="A1868" s="47" t="s">
        <v>10844</v>
      </c>
      <c r="B1868" s="47" t="s">
        <v>123</v>
      </c>
      <c r="C1868" s="47" t="s">
        <v>5284</v>
      </c>
      <c r="D1868" s="47">
        <v>0.26522160343186102</v>
      </c>
      <c r="E1868" s="48">
        <f>SUMIF(Data!$E:$E,$C1868,Data!$AI:$AI)</f>
        <v>0.14335552808713869</v>
      </c>
    </row>
    <row r="1869" spans="1:5" x14ac:dyDescent="0.25">
      <c r="A1869" s="47" t="s">
        <v>10844</v>
      </c>
      <c r="B1869" s="47" t="s">
        <v>123</v>
      </c>
      <c r="C1869" s="47" t="s">
        <v>4971</v>
      </c>
      <c r="D1869" s="47">
        <v>0.54064304140471697</v>
      </c>
      <c r="E1869" s="48">
        <f>SUMIF(Data!$E:$E,$C1869,Data!$AI:$AI)</f>
        <v>0.51478348043038158</v>
      </c>
    </row>
    <row r="1870" spans="1:5" x14ac:dyDescent="0.25">
      <c r="A1870" s="47" t="s">
        <v>10844</v>
      </c>
      <c r="B1870" s="47" t="s">
        <v>123</v>
      </c>
      <c r="C1870" s="47" t="s">
        <v>4978</v>
      </c>
      <c r="D1870" s="47">
        <v>0.62402126614684805</v>
      </c>
      <c r="E1870" s="48">
        <f>SUMIF(Data!$E:$E,$C1870,Data!$AI:$AI)</f>
        <v>0</v>
      </c>
    </row>
    <row r="1871" spans="1:5" x14ac:dyDescent="0.25">
      <c r="A1871" s="47" t="s">
        <v>10844</v>
      </c>
      <c r="B1871" s="47" t="s">
        <v>123</v>
      </c>
      <c r="C1871" s="47" t="s">
        <v>4570</v>
      </c>
      <c r="D1871" s="47">
        <v>3.9245256330256002E-2</v>
      </c>
      <c r="E1871" s="48">
        <f>SUMIF(Data!$E:$E,$C1871,Data!$AI:$AI)</f>
        <v>0.26415097546540911</v>
      </c>
    </row>
    <row r="1872" spans="1:5" x14ac:dyDescent="0.25">
      <c r="A1872" s="47" t="s">
        <v>10844</v>
      </c>
      <c r="B1872" s="47" t="s">
        <v>123</v>
      </c>
      <c r="C1872" s="47" t="s">
        <v>5302</v>
      </c>
      <c r="D1872" s="47">
        <v>0.28624447683166199</v>
      </c>
      <c r="E1872" s="48">
        <f>SUMIF(Data!$E:$E,$C1872,Data!$AI:$AI)</f>
        <v>0</v>
      </c>
    </row>
    <row r="1873" spans="1:5" x14ac:dyDescent="0.25">
      <c r="A1873" s="47" t="s">
        <v>10844</v>
      </c>
      <c r="B1873" s="47" t="s">
        <v>123</v>
      </c>
      <c r="C1873" s="47" t="s">
        <v>6850</v>
      </c>
      <c r="D1873" s="47">
        <v>0.40267032127322999</v>
      </c>
      <c r="E1873" s="48">
        <f>SUMIF(Data!$E:$E,$C1873,Data!$AI:$AI)</f>
        <v>0.7318861193221331</v>
      </c>
    </row>
    <row r="1874" spans="1:5" x14ac:dyDescent="0.25">
      <c r="A1874" s="47" t="s">
        <v>10844</v>
      </c>
      <c r="B1874" s="47" t="s">
        <v>123</v>
      </c>
      <c r="C1874" s="47" t="s">
        <v>5665</v>
      </c>
      <c r="D1874" s="47">
        <v>3.6209424016832997E-2</v>
      </c>
      <c r="E1874" s="48">
        <f>SUMIF(Data!$E:$E,$C1874,Data!$AI:$AI)</f>
        <v>0</v>
      </c>
    </row>
    <row r="1875" spans="1:5" x14ac:dyDescent="0.25">
      <c r="A1875" s="47" t="s">
        <v>10844</v>
      </c>
      <c r="B1875" s="47" t="s">
        <v>123</v>
      </c>
      <c r="C1875" s="47" t="s">
        <v>5671</v>
      </c>
      <c r="D1875" s="47">
        <v>0.124417239361911</v>
      </c>
      <c r="E1875" s="48">
        <f>SUMIF(Data!$E:$E,$C1875,Data!$AI:$AI)</f>
        <v>8.1525305525001854E-2</v>
      </c>
    </row>
    <row r="1876" spans="1:5" x14ac:dyDescent="0.25">
      <c r="A1876" s="47" t="s">
        <v>10844</v>
      </c>
      <c r="B1876" s="47" t="s">
        <v>123</v>
      </c>
      <c r="C1876" s="47" t="s">
        <v>5678</v>
      </c>
      <c r="D1876" s="47">
        <v>4.8710471741435002E-2</v>
      </c>
      <c r="E1876" s="48">
        <f>SUMIF(Data!$E:$E,$C1876,Data!$AI:$AI)</f>
        <v>0</v>
      </c>
    </row>
    <row r="1877" spans="1:5" x14ac:dyDescent="0.25">
      <c r="A1877" s="47" t="s">
        <v>10844</v>
      </c>
      <c r="B1877" s="47" t="s">
        <v>123</v>
      </c>
      <c r="C1877" s="47" t="s">
        <v>5685</v>
      </c>
      <c r="D1877" s="47">
        <v>5.9202224135602999E-2</v>
      </c>
      <c r="E1877" s="48">
        <f>SUMIF(Data!$E:$E,$C1877,Data!$AI:$AI)</f>
        <v>0</v>
      </c>
    </row>
    <row r="1878" spans="1:5" x14ac:dyDescent="0.25">
      <c r="A1878" s="47" t="s">
        <v>10844</v>
      </c>
      <c r="B1878" s="47" t="s">
        <v>123</v>
      </c>
      <c r="C1878" s="47" t="s">
        <v>5309</v>
      </c>
      <c r="D1878" s="47">
        <v>0.171720764319053</v>
      </c>
      <c r="E1878" s="48">
        <f>SUMIF(Data!$E:$E,$C1878,Data!$AI:$AI)</f>
        <v>0</v>
      </c>
    </row>
    <row r="1879" spans="1:5" x14ac:dyDescent="0.25">
      <c r="A1879" s="47" t="s">
        <v>10844</v>
      </c>
      <c r="B1879" s="47" t="s">
        <v>123</v>
      </c>
      <c r="C1879" s="47" t="s">
        <v>5316</v>
      </c>
      <c r="D1879" s="47">
        <v>7.5766242241797996E-2</v>
      </c>
      <c r="E1879" s="48">
        <f>SUMIF(Data!$E:$E,$C1879,Data!$AI:$AI)</f>
        <v>0</v>
      </c>
    </row>
    <row r="1880" spans="1:5" x14ac:dyDescent="0.25">
      <c r="A1880" s="47" t="s">
        <v>10844</v>
      </c>
      <c r="B1880" s="47" t="s">
        <v>123</v>
      </c>
      <c r="C1880" s="47" t="s">
        <v>5692</v>
      </c>
      <c r="D1880" s="47">
        <v>9.1586234416300996E-2</v>
      </c>
      <c r="E1880" s="48">
        <f>SUMIF(Data!$E:$E,$C1880,Data!$AI:$AI)</f>
        <v>0</v>
      </c>
    </row>
    <row r="1881" spans="1:5" x14ac:dyDescent="0.25">
      <c r="A1881" s="47" t="s">
        <v>10844</v>
      </c>
      <c r="B1881" s="47" t="s">
        <v>123</v>
      </c>
      <c r="C1881" s="47" t="s">
        <v>5699</v>
      </c>
      <c r="D1881" s="47">
        <v>0.12059842131277899</v>
      </c>
      <c r="E1881" s="48">
        <f>SUMIF(Data!$E:$E,$C1881,Data!$AI:$AI)</f>
        <v>0</v>
      </c>
    </row>
    <row r="1882" spans="1:5" x14ac:dyDescent="0.25">
      <c r="A1882" s="47" t="s">
        <v>10844</v>
      </c>
      <c r="B1882" s="47" t="s">
        <v>123</v>
      </c>
      <c r="C1882" s="47" t="s">
        <v>3174</v>
      </c>
      <c r="D1882" s="47">
        <v>0.208576801770672</v>
      </c>
      <c r="E1882" s="48">
        <f>SUMIF(Data!$E:$E,$C1882,Data!$AI:$AI)</f>
        <v>0</v>
      </c>
    </row>
    <row r="1883" spans="1:5" x14ac:dyDescent="0.25">
      <c r="A1883" s="47" t="s">
        <v>10844</v>
      </c>
      <c r="B1883" s="47" t="s">
        <v>123</v>
      </c>
      <c r="C1883" s="47" t="s">
        <v>5706</v>
      </c>
      <c r="D1883" s="47">
        <v>0.120865792157034</v>
      </c>
      <c r="E1883" s="48">
        <f>SUMIF(Data!$E:$E,$C1883,Data!$AI:$AI)</f>
        <v>0.61622234783355101</v>
      </c>
    </row>
    <row r="1884" spans="1:5" x14ac:dyDescent="0.25">
      <c r="A1884" s="47" t="s">
        <v>10844</v>
      </c>
      <c r="B1884" s="47" t="s">
        <v>123</v>
      </c>
      <c r="C1884" s="47" t="s">
        <v>5712</v>
      </c>
      <c r="D1884" s="47">
        <v>5.0895980561795999E-2</v>
      </c>
      <c r="E1884" s="48">
        <f>SUMIF(Data!$E:$E,$C1884,Data!$AI:$AI)</f>
        <v>0</v>
      </c>
    </row>
    <row r="1885" spans="1:5" x14ac:dyDescent="0.25">
      <c r="A1885" s="47" t="s">
        <v>10844</v>
      </c>
      <c r="B1885" s="47" t="s">
        <v>123</v>
      </c>
      <c r="C1885" s="47" t="s">
        <v>4520</v>
      </c>
      <c r="D1885" s="47">
        <v>0.36966145785135501</v>
      </c>
      <c r="E1885" s="48">
        <f>SUMIF(Data!$E:$E,$C1885,Data!$AI:$AI)</f>
        <v>0</v>
      </c>
    </row>
    <row r="1886" spans="1:5" x14ac:dyDescent="0.25">
      <c r="A1886" s="47" t="s">
        <v>10844</v>
      </c>
      <c r="B1886" s="47" t="s">
        <v>123</v>
      </c>
      <c r="C1886" s="47" t="s">
        <v>5335</v>
      </c>
      <c r="D1886" s="47">
        <v>0.48795019506911302</v>
      </c>
      <c r="E1886" s="48">
        <f>SUMIF(Data!$E:$E,$C1886,Data!$AI:$AI)</f>
        <v>0</v>
      </c>
    </row>
    <row r="1887" spans="1:5" x14ac:dyDescent="0.25">
      <c r="A1887" s="47" t="s">
        <v>10844</v>
      </c>
      <c r="B1887" s="47" t="s">
        <v>123</v>
      </c>
      <c r="C1887" s="47" t="s">
        <v>3581</v>
      </c>
      <c r="D1887" s="47">
        <v>6.0405487720815998E-2</v>
      </c>
      <c r="E1887" s="48">
        <f>SUMIF(Data!$E:$E,$C1887,Data!$AI:$AI)</f>
        <v>0</v>
      </c>
    </row>
    <row r="1888" spans="1:5" x14ac:dyDescent="0.25">
      <c r="A1888" s="47" t="s">
        <v>10844</v>
      </c>
      <c r="B1888" s="47" t="s">
        <v>123</v>
      </c>
      <c r="C1888" s="47" t="s">
        <v>5348</v>
      </c>
      <c r="D1888" s="47">
        <v>0.172438335812617</v>
      </c>
      <c r="E1888" s="48">
        <f>SUMIF(Data!$E:$E,$C1888,Data!$AI:$AI)</f>
        <v>0</v>
      </c>
    </row>
    <row r="1889" spans="1:5" x14ac:dyDescent="0.25">
      <c r="A1889" s="47" t="s">
        <v>10844</v>
      </c>
      <c r="B1889" s="47" t="s">
        <v>123</v>
      </c>
      <c r="C1889" s="47" t="s">
        <v>5719</v>
      </c>
      <c r="D1889" s="47">
        <v>6.1407639161612002E-2</v>
      </c>
      <c r="E1889" s="48">
        <f>SUMIF(Data!$E:$E,$C1889,Data!$AI:$AI)</f>
        <v>0.1498021462744413</v>
      </c>
    </row>
    <row r="1890" spans="1:5" x14ac:dyDescent="0.25">
      <c r="A1890" s="47" t="s">
        <v>10844</v>
      </c>
      <c r="B1890" s="47" t="s">
        <v>123</v>
      </c>
      <c r="C1890" s="47" t="s">
        <v>5354</v>
      </c>
      <c r="D1890" s="47">
        <v>9.2698411205865999E-2</v>
      </c>
      <c r="E1890" s="48">
        <f>SUMIF(Data!$E:$E,$C1890,Data!$AI:$AI)</f>
        <v>0</v>
      </c>
    </row>
    <row r="1891" spans="1:5" x14ac:dyDescent="0.25">
      <c r="A1891" s="47" t="s">
        <v>10844</v>
      </c>
      <c r="B1891" s="47" t="s">
        <v>123</v>
      </c>
      <c r="C1891" s="47" t="s">
        <v>4605</v>
      </c>
      <c r="D1891" s="47">
        <v>0.45388434814292999</v>
      </c>
      <c r="E1891" s="48">
        <f>SUMIF(Data!$E:$E,$C1891,Data!$AI:$AI)</f>
        <v>0</v>
      </c>
    </row>
    <row r="1892" spans="1:5" x14ac:dyDescent="0.25">
      <c r="A1892" s="47" t="s">
        <v>10844</v>
      </c>
      <c r="B1892" s="47" t="s">
        <v>123</v>
      </c>
      <c r="C1892" s="47" t="s">
        <v>5725</v>
      </c>
      <c r="D1892" s="47">
        <v>3.9359244000654998E-2</v>
      </c>
      <c r="E1892" s="48">
        <f>SUMIF(Data!$E:$E,$C1892,Data!$AI:$AI)</f>
        <v>0</v>
      </c>
    </row>
    <row r="1893" spans="1:5" x14ac:dyDescent="0.25">
      <c r="A1893" s="47" t="s">
        <v>10844</v>
      </c>
      <c r="B1893" s="47" t="s">
        <v>123</v>
      </c>
      <c r="C1893" s="47" t="s">
        <v>5732</v>
      </c>
      <c r="D1893" s="47">
        <v>4.6103858224848998E-2</v>
      </c>
      <c r="E1893" s="48">
        <f>SUMIF(Data!$E:$E,$C1893,Data!$AI:$AI)</f>
        <v>0</v>
      </c>
    </row>
    <row r="1894" spans="1:5" x14ac:dyDescent="0.25">
      <c r="A1894" s="47" t="s">
        <v>10844</v>
      </c>
      <c r="B1894" s="47" t="s">
        <v>123</v>
      </c>
      <c r="C1894" s="47" t="s">
        <v>5741</v>
      </c>
      <c r="D1894" s="47">
        <v>5.6416975029818003E-2</v>
      </c>
      <c r="E1894" s="48">
        <f>SUMIF(Data!$E:$E,$C1894,Data!$AI:$AI)</f>
        <v>0</v>
      </c>
    </row>
    <row r="1895" spans="1:5" x14ac:dyDescent="0.25">
      <c r="A1895" s="47" t="s">
        <v>10844</v>
      </c>
      <c r="B1895" s="47" t="s">
        <v>123</v>
      </c>
      <c r="C1895" s="47" t="s">
        <v>5748</v>
      </c>
      <c r="D1895" s="47">
        <v>1.0575677000074999E-2</v>
      </c>
      <c r="E1895" s="48">
        <f>SUMIF(Data!$E:$E,$C1895,Data!$AI:$AI)</f>
        <v>0</v>
      </c>
    </row>
    <row r="1896" spans="1:5" x14ac:dyDescent="0.25">
      <c r="A1896" s="47" t="s">
        <v>10844</v>
      </c>
      <c r="B1896" s="47" t="s">
        <v>123</v>
      </c>
      <c r="C1896" s="47" t="s">
        <v>5755</v>
      </c>
      <c r="D1896" s="47">
        <v>0.123921066198957</v>
      </c>
      <c r="E1896" s="48">
        <f>SUMIF(Data!$E:$E,$C1896,Data!$AI:$AI)</f>
        <v>0.32250109258134818</v>
      </c>
    </row>
    <row r="1897" spans="1:5" x14ac:dyDescent="0.25">
      <c r="A1897" s="47" t="s">
        <v>10844</v>
      </c>
      <c r="B1897" s="47" t="s">
        <v>123</v>
      </c>
      <c r="C1897" s="47" t="s">
        <v>5762</v>
      </c>
      <c r="D1897" s="47">
        <v>6.4117421438461997E-2</v>
      </c>
      <c r="E1897" s="48">
        <f>SUMIF(Data!$E:$E,$C1897,Data!$AI:$AI)</f>
        <v>2.7182358068629005E-2</v>
      </c>
    </row>
    <row r="1898" spans="1:5" x14ac:dyDescent="0.25">
      <c r="A1898" s="47" t="s">
        <v>10844</v>
      </c>
      <c r="B1898" s="47" t="s">
        <v>123</v>
      </c>
      <c r="C1898" s="47" t="s">
        <v>5361</v>
      </c>
      <c r="D1898" s="47">
        <v>6.2283934250390999E-2</v>
      </c>
      <c r="E1898" s="48">
        <f>SUMIF(Data!$E:$E,$C1898,Data!$AI:$AI)</f>
        <v>0</v>
      </c>
    </row>
    <row r="1899" spans="1:5" x14ac:dyDescent="0.25">
      <c r="A1899" s="47" t="s">
        <v>10844</v>
      </c>
      <c r="B1899" s="47" t="s">
        <v>123</v>
      </c>
      <c r="C1899" s="47" t="s">
        <v>5769</v>
      </c>
      <c r="D1899" s="47">
        <v>3.6939937510386003E-2</v>
      </c>
      <c r="E1899" s="48">
        <f>SUMIF(Data!$E:$E,$C1899,Data!$AI:$AI)</f>
        <v>0</v>
      </c>
    </row>
    <row r="1900" spans="1:5" x14ac:dyDescent="0.25">
      <c r="A1900" s="47" t="s">
        <v>10844</v>
      </c>
      <c r="B1900" s="47" t="s">
        <v>123</v>
      </c>
      <c r="C1900" s="47" t="s">
        <v>4456</v>
      </c>
      <c r="D1900" s="47">
        <v>8.8009366114429E-2</v>
      </c>
      <c r="E1900" s="48">
        <f>SUMIF(Data!$E:$E,$C1900,Data!$AI:$AI)</f>
        <v>0</v>
      </c>
    </row>
    <row r="1901" spans="1:5" x14ac:dyDescent="0.25">
      <c r="A1901" s="47" t="s">
        <v>10844</v>
      </c>
      <c r="B1901" s="47" t="s">
        <v>123</v>
      </c>
      <c r="C1901" s="47" t="s">
        <v>5782</v>
      </c>
      <c r="D1901" s="47">
        <v>3.1640982271419003E-2</v>
      </c>
      <c r="E1901" s="48">
        <f>SUMIF(Data!$E:$E,$C1901,Data!$AI:$AI)</f>
        <v>0</v>
      </c>
    </row>
    <row r="1902" spans="1:5" x14ac:dyDescent="0.25">
      <c r="A1902" s="47" t="s">
        <v>10844</v>
      </c>
      <c r="B1902" s="47" t="s">
        <v>123</v>
      </c>
      <c r="C1902" s="47" t="s">
        <v>1780</v>
      </c>
      <c r="D1902" s="47">
        <v>7.6345204463565006E-2</v>
      </c>
      <c r="E1902" s="48">
        <f>SUMIF(Data!$E:$E,$C1902,Data!$AI:$AI)</f>
        <v>0</v>
      </c>
    </row>
    <row r="1903" spans="1:5" x14ac:dyDescent="0.25">
      <c r="A1903" s="47" t="s">
        <v>10844</v>
      </c>
      <c r="B1903" s="47" t="s">
        <v>123</v>
      </c>
      <c r="C1903" s="47" t="s">
        <v>4613</v>
      </c>
      <c r="D1903" s="47">
        <v>0.16873758194808999</v>
      </c>
      <c r="E1903" s="48">
        <f>SUMIF(Data!$E:$E,$C1903,Data!$AI:$AI)</f>
        <v>0</v>
      </c>
    </row>
    <row r="1904" spans="1:5" x14ac:dyDescent="0.25">
      <c r="A1904" s="47" t="s">
        <v>10844</v>
      </c>
      <c r="B1904" s="47" t="s">
        <v>123</v>
      </c>
      <c r="C1904" s="47" t="s">
        <v>5795</v>
      </c>
      <c r="D1904" s="47">
        <v>7.804354337901E-3</v>
      </c>
      <c r="E1904" s="48">
        <f>SUMIF(Data!$E:$E,$C1904,Data!$AI:$AI)</f>
        <v>0</v>
      </c>
    </row>
    <row r="1905" spans="1:5" x14ac:dyDescent="0.25">
      <c r="A1905" s="47" t="s">
        <v>10844</v>
      </c>
      <c r="B1905" s="47" t="s">
        <v>123</v>
      </c>
      <c r="C1905" s="47" t="s">
        <v>5802</v>
      </c>
      <c r="D1905" s="47">
        <v>1.3754269282038999E-2</v>
      </c>
      <c r="E1905" s="48">
        <f>SUMIF(Data!$E:$E,$C1905,Data!$AI:$AI)</f>
        <v>0</v>
      </c>
    </row>
    <row r="1906" spans="1:5" x14ac:dyDescent="0.25">
      <c r="A1906" s="47" t="s">
        <v>10844</v>
      </c>
      <c r="B1906" s="47" t="s">
        <v>123</v>
      </c>
      <c r="C1906" s="47" t="s">
        <v>4984</v>
      </c>
      <c r="D1906" s="47">
        <v>0.93686805917747296</v>
      </c>
      <c r="E1906" s="48">
        <f>SUMIF(Data!$E:$E,$C1906,Data!$AI:$AI)</f>
        <v>0</v>
      </c>
    </row>
    <row r="1907" spans="1:5" x14ac:dyDescent="0.25">
      <c r="A1907" s="47" t="s">
        <v>10844</v>
      </c>
      <c r="B1907" s="47" t="s">
        <v>123</v>
      </c>
      <c r="C1907" s="47" t="s">
        <v>5368</v>
      </c>
      <c r="D1907" s="47">
        <v>7.8373556425915994E-2</v>
      </c>
      <c r="E1907" s="48">
        <f>SUMIF(Data!$E:$E,$C1907,Data!$AI:$AI)</f>
        <v>0</v>
      </c>
    </row>
    <row r="1908" spans="1:5" x14ac:dyDescent="0.25">
      <c r="A1908" s="47" t="s">
        <v>10844</v>
      </c>
      <c r="B1908" s="47" t="s">
        <v>123</v>
      </c>
      <c r="C1908" s="47" t="s">
        <v>4991</v>
      </c>
      <c r="D1908" s="47">
        <v>0.53655335774958901</v>
      </c>
      <c r="E1908" s="48">
        <f>SUMIF(Data!$E:$E,$C1908,Data!$AI:$AI)</f>
        <v>0.38077996000694508</v>
      </c>
    </row>
    <row r="1909" spans="1:5" x14ac:dyDescent="0.25">
      <c r="A1909" s="47" t="s">
        <v>10844</v>
      </c>
      <c r="B1909" s="47" t="s">
        <v>123</v>
      </c>
      <c r="C1909" s="47" t="s">
        <v>4998</v>
      </c>
      <c r="D1909" s="47">
        <v>1.4723150085022501</v>
      </c>
      <c r="E1909" s="48">
        <f>SUMIF(Data!$E:$E,$C1909,Data!$AI:$AI)</f>
        <v>0</v>
      </c>
    </row>
    <row r="1910" spans="1:5" x14ac:dyDescent="0.25">
      <c r="A1910" s="47" t="s">
        <v>10844</v>
      </c>
      <c r="B1910" s="47" t="s">
        <v>123</v>
      </c>
      <c r="C1910" s="47" t="s">
        <v>5375</v>
      </c>
      <c r="D1910" s="47">
        <v>0.112616294110249</v>
      </c>
      <c r="E1910" s="48">
        <f>SUMIF(Data!$E:$E,$C1910,Data!$AI:$AI)</f>
        <v>0</v>
      </c>
    </row>
    <row r="1911" spans="1:5" x14ac:dyDescent="0.25">
      <c r="A1911" s="47" t="s">
        <v>10844</v>
      </c>
      <c r="B1911" s="47" t="s">
        <v>123</v>
      </c>
      <c r="C1911" s="47" t="s">
        <v>6338</v>
      </c>
      <c r="D1911" s="47">
        <v>0.162075454231419</v>
      </c>
      <c r="E1911" s="48">
        <f>SUMIF(Data!$E:$E,$C1911,Data!$AI:$AI)</f>
        <v>0</v>
      </c>
    </row>
    <row r="1912" spans="1:5" x14ac:dyDescent="0.25">
      <c r="A1912" s="47" t="s">
        <v>10844</v>
      </c>
      <c r="B1912" s="47" t="s">
        <v>123</v>
      </c>
      <c r="C1912" s="47" t="s">
        <v>5382</v>
      </c>
      <c r="D1912" s="47">
        <v>0.10801375717431901</v>
      </c>
      <c r="E1912" s="48">
        <f>SUMIF(Data!$E:$E,$C1912,Data!$AI:$AI)</f>
        <v>0</v>
      </c>
    </row>
    <row r="1913" spans="1:5" x14ac:dyDescent="0.25">
      <c r="A1913" s="47" t="s">
        <v>10844</v>
      </c>
      <c r="B1913" s="47" t="s">
        <v>123</v>
      </c>
      <c r="C1913" s="47" t="s">
        <v>5389</v>
      </c>
      <c r="D1913" s="47">
        <v>0.18634763228739401</v>
      </c>
      <c r="E1913" s="48">
        <f>SUMIF(Data!$E:$E,$C1913,Data!$AI:$AI)</f>
        <v>0.2843976266541573</v>
      </c>
    </row>
    <row r="1914" spans="1:5" x14ac:dyDescent="0.25">
      <c r="A1914" s="47" t="s">
        <v>10844</v>
      </c>
      <c r="B1914" s="47" t="s">
        <v>123</v>
      </c>
      <c r="C1914" s="47" t="s">
        <v>5809</v>
      </c>
      <c r="D1914" s="47">
        <v>4.0724755884761002E-2</v>
      </c>
      <c r="E1914" s="48">
        <f>SUMIF(Data!$E:$E,$C1914,Data!$AI:$AI)</f>
        <v>0</v>
      </c>
    </row>
    <row r="1915" spans="1:5" x14ac:dyDescent="0.25">
      <c r="A1915" s="47" t="s">
        <v>10844</v>
      </c>
      <c r="B1915" s="47" t="s">
        <v>123</v>
      </c>
      <c r="C1915" s="47" t="s">
        <v>5816</v>
      </c>
      <c r="D1915" s="47">
        <v>6.1200507425497E-2</v>
      </c>
      <c r="E1915" s="48">
        <f>SUMIF(Data!$E:$E,$C1915,Data!$AI:$AI)</f>
        <v>0</v>
      </c>
    </row>
    <row r="1916" spans="1:5" x14ac:dyDescent="0.25">
      <c r="A1916" s="47" t="s">
        <v>10844</v>
      </c>
      <c r="B1916" s="47" t="s">
        <v>123</v>
      </c>
      <c r="C1916" s="47" t="s">
        <v>5005</v>
      </c>
      <c r="D1916" s="47">
        <v>0.69618487839616106</v>
      </c>
      <c r="E1916" s="48">
        <f>SUMIF(Data!$E:$E,$C1916,Data!$AI:$AI)</f>
        <v>0</v>
      </c>
    </row>
    <row r="1917" spans="1:5" x14ac:dyDescent="0.25">
      <c r="A1917" s="47" t="s">
        <v>10844</v>
      </c>
      <c r="B1917" s="47" t="s">
        <v>123</v>
      </c>
      <c r="C1917" s="47" t="s">
        <v>5823</v>
      </c>
      <c r="D1917" s="47">
        <v>4.7697594331846997E-2</v>
      </c>
      <c r="E1917" s="48">
        <f>SUMIF(Data!$E:$E,$C1917,Data!$AI:$AI)</f>
        <v>0</v>
      </c>
    </row>
    <row r="1918" spans="1:5" x14ac:dyDescent="0.25">
      <c r="A1918" s="47" t="s">
        <v>10844</v>
      </c>
      <c r="B1918" s="47" t="s">
        <v>123</v>
      </c>
      <c r="C1918" s="47" t="s">
        <v>5830</v>
      </c>
      <c r="D1918" s="47">
        <v>1.8710073113394E-2</v>
      </c>
      <c r="E1918" s="48">
        <f>SUMIF(Data!$E:$E,$C1918,Data!$AI:$AI)</f>
        <v>0</v>
      </c>
    </row>
    <row r="1919" spans="1:5" x14ac:dyDescent="0.25">
      <c r="A1919" s="47" t="s">
        <v>10844</v>
      </c>
      <c r="B1919" s="47" t="s">
        <v>123</v>
      </c>
      <c r="C1919" s="47" t="s">
        <v>5012</v>
      </c>
      <c r="D1919" s="47">
        <v>0.56074188738367903</v>
      </c>
      <c r="E1919" s="48">
        <f>SUMIF(Data!$E:$E,$C1919,Data!$AI:$AI)</f>
        <v>0.77934157011859584</v>
      </c>
    </row>
    <row r="1920" spans="1:5" x14ac:dyDescent="0.25">
      <c r="A1920" s="47" t="s">
        <v>10844</v>
      </c>
      <c r="B1920" s="47" t="s">
        <v>123</v>
      </c>
      <c r="C1920" s="47" t="s">
        <v>5836</v>
      </c>
      <c r="D1920" s="47">
        <v>3.0387343953719E-2</v>
      </c>
      <c r="E1920" s="48">
        <f>SUMIF(Data!$E:$E,$C1920,Data!$AI:$AI)</f>
        <v>0</v>
      </c>
    </row>
    <row r="1921" spans="1:5" x14ac:dyDescent="0.25">
      <c r="A1921" s="47" t="s">
        <v>10844</v>
      </c>
      <c r="B1921" s="47" t="s">
        <v>123</v>
      </c>
      <c r="C1921" s="47" t="s">
        <v>5396</v>
      </c>
      <c r="D1921" s="47">
        <v>1.2850687169268999E-2</v>
      </c>
      <c r="E1921" s="48">
        <f>SUMIF(Data!$E:$E,$C1921,Data!$AI:$AI)</f>
        <v>0</v>
      </c>
    </row>
    <row r="1922" spans="1:5" x14ac:dyDescent="0.25">
      <c r="A1922" s="47" t="s">
        <v>10844</v>
      </c>
      <c r="B1922" s="47" t="s">
        <v>123</v>
      </c>
      <c r="C1922" s="47" t="s">
        <v>5402</v>
      </c>
      <c r="D1922" s="47">
        <v>0.13481198006461501</v>
      </c>
      <c r="E1922" s="48">
        <f>SUMIF(Data!$E:$E,$C1922,Data!$AI:$AI)</f>
        <v>0.2044484818987839</v>
      </c>
    </row>
    <row r="1923" spans="1:5" x14ac:dyDescent="0.25">
      <c r="A1923" s="47" t="s">
        <v>10844</v>
      </c>
      <c r="B1923" s="47" t="s">
        <v>123</v>
      </c>
      <c r="C1923" s="47" t="s">
        <v>5019</v>
      </c>
      <c r="D1923" s="47">
        <v>1.7668927873661899</v>
      </c>
      <c r="E1923" s="48">
        <f>SUMIF(Data!$E:$E,$C1923,Data!$AI:$AI)</f>
        <v>0</v>
      </c>
    </row>
    <row r="1924" spans="1:5" x14ac:dyDescent="0.25">
      <c r="A1924" s="47" t="s">
        <v>10844</v>
      </c>
      <c r="B1924" s="47" t="s">
        <v>123</v>
      </c>
      <c r="C1924" s="47" t="s">
        <v>5409</v>
      </c>
      <c r="D1924" s="47">
        <v>0.43077951518829999</v>
      </c>
      <c r="E1924" s="48">
        <f>SUMIF(Data!$E:$E,$C1924,Data!$AI:$AI)</f>
        <v>0.58444404567070329</v>
      </c>
    </row>
    <row r="1925" spans="1:5" x14ac:dyDescent="0.25">
      <c r="A1925" s="47" t="s">
        <v>10844</v>
      </c>
      <c r="B1925" s="47" t="s">
        <v>123</v>
      </c>
      <c r="C1925" s="47" t="s">
        <v>5026</v>
      </c>
      <c r="D1925" s="47">
        <v>1.68864186902612</v>
      </c>
      <c r="E1925" s="48">
        <f>SUMIF(Data!$E:$E,$C1925,Data!$AI:$AI)</f>
        <v>0</v>
      </c>
    </row>
    <row r="1926" spans="1:5" x14ac:dyDescent="0.25">
      <c r="A1926" s="47" t="s">
        <v>10844</v>
      </c>
      <c r="B1926" s="47" t="s">
        <v>123</v>
      </c>
      <c r="C1926" s="47" t="s">
        <v>6750</v>
      </c>
      <c r="D1926" s="47">
        <v>0.18305337942365599</v>
      </c>
      <c r="E1926" s="48">
        <f>SUMIF(Data!$E:$E,$C1926,Data!$AI:$AI)</f>
        <v>0.68951282351564869</v>
      </c>
    </row>
    <row r="1927" spans="1:5" x14ac:dyDescent="0.25">
      <c r="A1927" s="47" t="s">
        <v>10845</v>
      </c>
      <c r="B1927" s="47" t="s">
        <v>123</v>
      </c>
      <c r="C1927" s="47" t="s">
        <v>5531</v>
      </c>
      <c r="D1927" s="47">
        <v>100</v>
      </c>
      <c r="E1927" s="48">
        <f>SUMIF(Data!$E:$E,$C1927,Data!$AI:$AI)</f>
        <v>0</v>
      </c>
    </row>
    <row r="1928" spans="1:5" x14ac:dyDescent="0.25">
      <c r="A1928" s="47" t="s">
        <v>10846</v>
      </c>
      <c r="B1928" s="47" t="s">
        <v>123</v>
      </c>
      <c r="C1928" s="47" t="s">
        <v>5402</v>
      </c>
      <c r="D1928" s="47">
        <v>100</v>
      </c>
      <c r="E1928" s="48">
        <f>SUMIF(Data!$E:$E,$C1928,Data!$AI:$AI)</f>
        <v>0.2044484818987839</v>
      </c>
    </row>
    <row r="1929" spans="1:5" x14ac:dyDescent="0.25">
      <c r="A1929" s="47" t="s">
        <v>10847</v>
      </c>
      <c r="B1929" s="47" t="s">
        <v>123</v>
      </c>
      <c r="C1929" s="47" t="s">
        <v>5444</v>
      </c>
      <c r="D1929" s="47">
        <v>7.5052753346675098</v>
      </c>
      <c r="E1929" s="48">
        <f>SUMIF(Data!$E:$E,$C1929,Data!$AI:$AI)</f>
        <v>0.13053515410881558</v>
      </c>
    </row>
    <row r="1930" spans="1:5" x14ac:dyDescent="0.25">
      <c r="A1930" s="47" t="s">
        <v>10847</v>
      </c>
      <c r="B1930" s="47" t="s">
        <v>123</v>
      </c>
      <c r="C1930" s="47" t="s">
        <v>5051</v>
      </c>
      <c r="D1930" s="47">
        <v>28.688262930638299</v>
      </c>
      <c r="E1930" s="48">
        <f>SUMIF(Data!$E:$E,$C1930,Data!$AI:$AI)</f>
        <v>0.40847619001243751</v>
      </c>
    </row>
    <row r="1931" spans="1:5" x14ac:dyDescent="0.25">
      <c r="A1931" s="47" t="s">
        <v>10847</v>
      </c>
      <c r="B1931" s="47" t="s">
        <v>123</v>
      </c>
      <c r="C1931" s="47" t="s">
        <v>5166</v>
      </c>
      <c r="D1931" s="47">
        <v>2.7180553217868502</v>
      </c>
      <c r="E1931" s="48">
        <f>SUMIF(Data!$E:$E,$C1931,Data!$AI:$AI)</f>
        <v>0</v>
      </c>
    </row>
    <row r="1932" spans="1:5" x14ac:dyDescent="0.25">
      <c r="A1932" s="47" t="s">
        <v>10847</v>
      </c>
      <c r="B1932" s="47" t="s">
        <v>123</v>
      </c>
      <c r="C1932" s="47" t="s">
        <v>4926</v>
      </c>
      <c r="D1932" s="47">
        <v>36.136176804608098</v>
      </c>
      <c r="E1932" s="48">
        <f>SUMIF(Data!$E:$E,$C1932,Data!$AI:$AI)</f>
        <v>0.52858464745473188</v>
      </c>
    </row>
    <row r="1933" spans="1:5" x14ac:dyDescent="0.25">
      <c r="A1933" s="47" t="s">
        <v>10847</v>
      </c>
      <c r="B1933" s="47" t="s">
        <v>123</v>
      </c>
      <c r="C1933" s="47" t="s">
        <v>5228</v>
      </c>
      <c r="D1933" s="47">
        <v>5.5254812681142296</v>
      </c>
      <c r="E1933" s="48">
        <f>SUMIF(Data!$E:$E,$C1933,Data!$AI:$AI)</f>
        <v>0</v>
      </c>
    </row>
    <row r="1934" spans="1:5" x14ac:dyDescent="0.25">
      <c r="A1934" s="47" t="s">
        <v>10847</v>
      </c>
      <c r="B1934" s="47" t="s">
        <v>123</v>
      </c>
      <c r="C1934" s="47" t="s">
        <v>4009</v>
      </c>
      <c r="D1934" s="47">
        <v>10.519721913227601</v>
      </c>
      <c r="E1934" s="48">
        <f>SUMIF(Data!$E:$E,$C1934,Data!$AI:$AI)</f>
        <v>0</v>
      </c>
    </row>
    <row r="1935" spans="1:5" x14ac:dyDescent="0.25">
      <c r="A1935" s="47" t="s">
        <v>10847</v>
      </c>
      <c r="B1935" s="47" t="s">
        <v>123</v>
      </c>
      <c r="C1935" s="47" t="s">
        <v>5665</v>
      </c>
      <c r="D1935" s="47">
        <v>1.96726840311289</v>
      </c>
      <c r="E1935" s="48">
        <f>SUMIF(Data!$E:$E,$C1935,Data!$AI:$AI)</f>
        <v>0</v>
      </c>
    </row>
    <row r="1936" spans="1:5" x14ac:dyDescent="0.25">
      <c r="A1936" s="47" t="s">
        <v>10847</v>
      </c>
      <c r="B1936" s="47" t="s">
        <v>123</v>
      </c>
      <c r="C1936" s="47" t="s">
        <v>3581</v>
      </c>
      <c r="D1936" s="47">
        <v>3.2818474912095299</v>
      </c>
      <c r="E1936" s="48">
        <f>SUMIF(Data!$E:$E,$C1936,Data!$AI:$AI)</f>
        <v>0</v>
      </c>
    </row>
    <row r="1937" spans="1:5" x14ac:dyDescent="0.25">
      <c r="A1937" s="47" t="s">
        <v>10847</v>
      </c>
      <c r="B1937" s="47" t="s">
        <v>123</v>
      </c>
      <c r="C1937" s="47" t="s">
        <v>5769</v>
      </c>
      <c r="D1937" s="47">
        <v>2.0069574109592101</v>
      </c>
      <c r="E1937" s="48">
        <f>SUMIF(Data!$E:$E,$C1937,Data!$AI:$AI)</f>
        <v>0</v>
      </c>
    </row>
    <row r="1938" spans="1:5" x14ac:dyDescent="0.25">
      <c r="A1938" s="47" t="s">
        <v>10847</v>
      </c>
      <c r="B1938" s="47" t="s">
        <v>123</v>
      </c>
      <c r="C1938" s="47" t="s">
        <v>5836</v>
      </c>
      <c r="D1938" s="47">
        <v>1.6509531216758599</v>
      </c>
      <c r="E1938" s="48">
        <f>SUMIF(Data!$E:$E,$C1938,Data!$AI:$AI)</f>
        <v>0</v>
      </c>
    </row>
    <row r="1939" spans="1:5" x14ac:dyDescent="0.25">
      <c r="A1939" s="47" t="s">
        <v>10848</v>
      </c>
      <c r="B1939" s="47" t="s">
        <v>123</v>
      </c>
      <c r="C1939" s="47" t="s">
        <v>5368</v>
      </c>
      <c r="D1939" s="47">
        <v>100</v>
      </c>
      <c r="E1939" s="48">
        <f>SUMIF(Data!$E:$E,$C1939,Data!$AI:$AI)</f>
        <v>0</v>
      </c>
    </row>
    <row r="1940" spans="1:5" x14ac:dyDescent="0.25">
      <c r="A1940" s="47" t="s">
        <v>10849</v>
      </c>
      <c r="B1940" s="47" t="s">
        <v>123</v>
      </c>
      <c r="C1940" s="47" t="s">
        <v>10850</v>
      </c>
      <c r="D1940" s="47">
        <v>100</v>
      </c>
      <c r="E1940" s="48">
        <f>SUMIF(Data!$E:$E,$C1940,Data!$AI:$AI)</f>
        <v>0</v>
      </c>
    </row>
    <row r="1941" spans="1:5" x14ac:dyDescent="0.25">
      <c r="A1941" s="47" t="s">
        <v>10851</v>
      </c>
      <c r="B1941" s="47" t="s">
        <v>123</v>
      </c>
      <c r="C1941" s="47" t="s">
        <v>1942</v>
      </c>
      <c r="D1941" s="47">
        <v>100</v>
      </c>
      <c r="E1941" s="48">
        <f>SUMIF(Data!$E:$E,$C1941,Data!$AI:$AI)</f>
        <v>0</v>
      </c>
    </row>
    <row r="1942" spans="1:5" x14ac:dyDescent="0.25">
      <c r="A1942" s="47" t="s">
        <v>10852</v>
      </c>
      <c r="B1942" s="47" t="s">
        <v>123</v>
      </c>
      <c r="C1942" s="47" t="s">
        <v>4951</v>
      </c>
      <c r="D1942" s="47">
        <v>100</v>
      </c>
      <c r="E1942" s="48">
        <f>SUMIF(Data!$E:$E,$C1942,Data!$AI:$AI)</f>
        <v>0</v>
      </c>
    </row>
    <row r="1943" spans="1:5" x14ac:dyDescent="0.25">
      <c r="A1943" s="47" t="s">
        <v>10853</v>
      </c>
      <c r="B1943" s="47" t="s">
        <v>123</v>
      </c>
      <c r="C1943" s="47" t="s">
        <v>4578</v>
      </c>
      <c r="D1943" s="47">
        <v>3.94066386650861</v>
      </c>
      <c r="E1943" s="48">
        <f>SUMIF(Data!$E:$E,$C1943,Data!$AI:$AI)</f>
        <v>0.82698926913975535</v>
      </c>
    </row>
    <row r="1944" spans="1:5" x14ac:dyDescent="0.25">
      <c r="A1944" s="47" t="s">
        <v>10853</v>
      </c>
      <c r="B1944" s="47" t="s">
        <v>123</v>
      </c>
      <c r="C1944" s="47" t="s">
        <v>4768</v>
      </c>
      <c r="D1944" s="47">
        <v>1.39949476093845</v>
      </c>
      <c r="E1944" s="48">
        <f>SUMIF(Data!$E:$E,$C1944,Data!$AI:$AI)</f>
        <v>0</v>
      </c>
    </row>
    <row r="1945" spans="1:5" x14ac:dyDescent="0.25">
      <c r="A1945" s="47" t="s">
        <v>10853</v>
      </c>
      <c r="B1945" s="47" t="s">
        <v>123</v>
      </c>
      <c r="C1945" s="47" t="s">
        <v>4592</v>
      </c>
      <c r="D1945" s="47">
        <v>2.3162205605547301</v>
      </c>
      <c r="E1945" s="48">
        <f>SUMIF(Data!$E:$E,$C1945,Data!$AI:$AI)</f>
        <v>0</v>
      </c>
    </row>
    <row r="1946" spans="1:5" x14ac:dyDescent="0.25">
      <c r="A1946" s="47" t="s">
        <v>10853</v>
      </c>
      <c r="B1946" s="47" t="s">
        <v>123</v>
      </c>
      <c r="C1946" s="47" t="s">
        <v>4782</v>
      </c>
      <c r="D1946" s="47">
        <v>1.46605797492507</v>
      </c>
      <c r="E1946" s="48">
        <f>SUMIF(Data!$E:$E,$C1946,Data!$AI:$AI)</f>
        <v>0</v>
      </c>
    </row>
    <row r="1947" spans="1:5" x14ac:dyDescent="0.25">
      <c r="A1947" s="47" t="s">
        <v>10853</v>
      </c>
      <c r="B1947" s="47" t="s">
        <v>123</v>
      </c>
      <c r="C1947" s="47" t="s">
        <v>4789</v>
      </c>
      <c r="D1947" s="47">
        <v>1.19756598053449</v>
      </c>
      <c r="E1947" s="48">
        <f>SUMIF(Data!$E:$E,$C1947,Data!$AI:$AI)</f>
        <v>0</v>
      </c>
    </row>
    <row r="1948" spans="1:5" x14ac:dyDescent="0.25">
      <c r="A1948" s="47" t="s">
        <v>10853</v>
      </c>
      <c r="B1948" s="47" t="s">
        <v>123</v>
      </c>
      <c r="C1948" s="47" t="s">
        <v>3205</v>
      </c>
      <c r="D1948" s="47">
        <v>1.20450903966247</v>
      </c>
      <c r="E1948" s="48">
        <f>SUMIF(Data!$E:$E,$C1948,Data!$AI:$AI)</f>
        <v>0</v>
      </c>
    </row>
    <row r="1949" spans="1:5" x14ac:dyDescent="0.25">
      <c r="A1949" s="47" t="s">
        <v>10853</v>
      </c>
      <c r="B1949" s="47" t="s">
        <v>123</v>
      </c>
      <c r="C1949" s="47" t="s">
        <v>4801</v>
      </c>
      <c r="D1949" s="47">
        <v>4.4972604273472498</v>
      </c>
      <c r="E1949" s="48">
        <f>SUMIF(Data!$E:$E,$C1949,Data!$AI:$AI)</f>
        <v>0.9366848889291185</v>
      </c>
    </row>
    <row r="1950" spans="1:5" x14ac:dyDescent="0.25">
      <c r="A1950" s="47" t="s">
        <v>10853</v>
      </c>
      <c r="B1950" s="47" t="s">
        <v>123</v>
      </c>
      <c r="C1950" s="47" t="s">
        <v>3145</v>
      </c>
      <c r="D1950" s="47">
        <v>1.5554283097008701</v>
      </c>
      <c r="E1950" s="48">
        <f>SUMIF(Data!$E:$E,$C1950,Data!$AI:$AI)</f>
        <v>0</v>
      </c>
    </row>
    <row r="1951" spans="1:5" x14ac:dyDescent="0.25">
      <c r="A1951" s="47" t="s">
        <v>10853</v>
      </c>
      <c r="B1951" s="47" t="s">
        <v>123</v>
      </c>
      <c r="C1951" s="47" t="s">
        <v>4814</v>
      </c>
      <c r="D1951" s="47">
        <v>0.63146385345715805</v>
      </c>
      <c r="E1951" s="48">
        <f>SUMIF(Data!$E:$E,$C1951,Data!$AI:$AI)</f>
        <v>0</v>
      </c>
    </row>
    <row r="1952" spans="1:5" x14ac:dyDescent="0.25">
      <c r="A1952" s="47" t="s">
        <v>10853</v>
      </c>
      <c r="B1952" s="47" t="s">
        <v>123</v>
      </c>
      <c r="C1952" s="47" t="s">
        <v>4821</v>
      </c>
      <c r="D1952" s="47">
        <v>0.751861092705708</v>
      </c>
      <c r="E1952" s="48">
        <f>SUMIF(Data!$E:$E,$C1952,Data!$AI:$AI)</f>
        <v>0</v>
      </c>
    </row>
    <row r="1953" spans="1:5" x14ac:dyDescent="0.25">
      <c r="A1953" s="47" t="s">
        <v>10853</v>
      </c>
      <c r="B1953" s="47" t="s">
        <v>123</v>
      </c>
      <c r="C1953" s="47" t="s">
        <v>5115</v>
      </c>
      <c r="D1953" s="47">
        <v>0.598796426210219</v>
      </c>
      <c r="E1953" s="48">
        <f>SUMIF(Data!$E:$E,$C1953,Data!$AI:$AI)</f>
        <v>0</v>
      </c>
    </row>
    <row r="1954" spans="1:5" x14ac:dyDescent="0.25">
      <c r="A1954" s="47" t="s">
        <v>10853</v>
      </c>
      <c r="B1954" s="47" t="s">
        <v>123</v>
      </c>
      <c r="C1954" s="47" t="s">
        <v>4621</v>
      </c>
      <c r="D1954" s="47">
        <v>0.93752076602670797</v>
      </c>
      <c r="E1954" s="48">
        <f>SUMIF(Data!$E:$E,$C1954,Data!$AI:$AI)</f>
        <v>0</v>
      </c>
    </row>
    <row r="1955" spans="1:5" x14ac:dyDescent="0.25">
      <c r="A1955" s="47" t="s">
        <v>10853</v>
      </c>
      <c r="B1955" s="47" t="s">
        <v>123</v>
      </c>
      <c r="C1955" s="47" t="s">
        <v>4628</v>
      </c>
      <c r="D1955" s="47">
        <v>0.74248988133201599</v>
      </c>
      <c r="E1955" s="48">
        <f>SUMIF(Data!$E:$E,$C1955,Data!$AI:$AI)</f>
        <v>0</v>
      </c>
    </row>
    <row r="1956" spans="1:5" x14ac:dyDescent="0.25">
      <c r="A1956" s="47" t="s">
        <v>10853</v>
      </c>
      <c r="B1956" s="47" t="s">
        <v>123</v>
      </c>
      <c r="C1956" s="47" t="s">
        <v>4841</v>
      </c>
      <c r="D1956" s="47">
        <v>3.48552736273288</v>
      </c>
      <c r="E1956" s="48">
        <f>SUMIF(Data!$E:$E,$C1956,Data!$AI:$AI)</f>
        <v>1.1368494141004637</v>
      </c>
    </row>
    <row r="1957" spans="1:5" x14ac:dyDescent="0.25">
      <c r="A1957" s="47" t="s">
        <v>10853</v>
      </c>
      <c r="B1957" s="47" t="s">
        <v>123</v>
      </c>
      <c r="C1957" s="47" t="s">
        <v>4848</v>
      </c>
      <c r="D1957" s="47">
        <v>2.0143639175637902</v>
      </c>
      <c r="E1957" s="48">
        <f>SUMIF(Data!$E:$E,$C1957,Data!$AI:$AI)</f>
        <v>0</v>
      </c>
    </row>
    <row r="1958" spans="1:5" x14ac:dyDescent="0.25">
      <c r="A1958" s="47" t="s">
        <v>10853</v>
      </c>
      <c r="B1958" s="47" t="s">
        <v>123</v>
      </c>
      <c r="C1958" s="47" t="s">
        <v>4855</v>
      </c>
      <c r="D1958" s="47">
        <v>27.2617198964229</v>
      </c>
      <c r="E1958" s="48">
        <f>SUMIF(Data!$E:$E,$C1958,Data!$AI:$AI)</f>
        <v>1.0989645296635115</v>
      </c>
    </row>
    <row r="1959" spans="1:5" x14ac:dyDescent="0.25">
      <c r="A1959" s="47" t="s">
        <v>10853</v>
      </c>
      <c r="B1959" s="47" t="s">
        <v>123</v>
      </c>
      <c r="C1959" s="47" t="s">
        <v>4862</v>
      </c>
      <c r="D1959" s="47">
        <v>0.81528663707117799</v>
      </c>
      <c r="E1959" s="48">
        <f>SUMIF(Data!$E:$E,$C1959,Data!$AI:$AI)</f>
        <v>0.397519933142436</v>
      </c>
    </row>
    <row r="1960" spans="1:5" x14ac:dyDescent="0.25">
      <c r="A1960" s="47" t="s">
        <v>10853</v>
      </c>
      <c r="B1960" s="47" t="s">
        <v>123</v>
      </c>
      <c r="C1960" s="47" t="s">
        <v>3160</v>
      </c>
      <c r="D1960" s="47">
        <v>1.1718159898301199</v>
      </c>
      <c r="E1960" s="48">
        <f>SUMIF(Data!$E:$E,$C1960,Data!$AI:$AI)</f>
        <v>0.48939641738655321</v>
      </c>
    </row>
    <row r="1961" spans="1:5" x14ac:dyDescent="0.25">
      <c r="A1961" s="47" t="s">
        <v>10853</v>
      </c>
      <c r="B1961" s="47" t="s">
        <v>123</v>
      </c>
      <c r="C1961" s="47" t="s">
        <v>4873</v>
      </c>
      <c r="D1961" s="47">
        <v>2.24965536376172</v>
      </c>
      <c r="E1961" s="48">
        <f>SUMIF(Data!$E:$E,$C1961,Data!$AI:$AI)</f>
        <v>0</v>
      </c>
    </row>
    <row r="1962" spans="1:5" x14ac:dyDescent="0.25">
      <c r="A1962" s="47" t="s">
        <v>10853</v>
      </c>
      <c r="B1962" s="47" t="s">
        <v>123</v>
      </c>
      <c r="C1962" s="47" t="s">
        <v>4880</v>
      </c>
      <c r="D1962" s="47">
        <v>1.06051600759442</v>
      </c>
      <c r="E1962" s="48">
        <f>SUMIF(Data!$E:$E,$C1962,Data!$AI:$AI)</f>
        <v>0</v>
      </c>
    </row>
    <row r="1963" spans="1:5" x14ac:dyDescent="0.25">
      <c r="A1963" s="47" t="s">
        <v>10853</v>
      </c>
      <c r="B1963" s="47" t="s">
        <v>123</v>
      </c>
      <c r="C1963" s="47" t="s">
        <v>520</v>
      </c>
      <c r="D1963" s="47">
        <v>1.04743625435889</v>
      </c>
      <c r="E1963" s="48">
        <f>SUMIF(Data!$E:$E,$C1963,Data!$AI:$AI)</f>
        <v>0.42534541896463962</v>
      </c>
    </row>
    <row r="1964" spans="1:5" x14ac:dyDescent="0.25">
      <c r="A1964" s="47" t="s">
        <v>10853</v>
      </c>
      <c r="B1964" s="47" t="s">
        <v>123</v>
      </c>
      <c r="C1964" s="47" t="s">
        <v>4893</v>
      </c>
      <c r="D1964" s="47">
        <v>4.7740776888954102</v>
      </c>
      <c r="E1964" s="48">
        <f>SUMIF(Data!$E:$E,$C1964,Data!$AI:$AI)</f>
        <v>0.14807872778681458</v>
      </c>
    </row>
    <row r="1965" spans="1:5" x14ac:dyDescent="0.25">
      <c r="A1965" s="47" t="s">
        <v>10853</v>
      </c>
      <c r="B1965" s="47" t="s">
        <v>123</v>
      </c>
      <c r="C1965" s="47" t="s">
        <v>4900</v>
      </c>
      <c r="D1965" s="47">
        <v>1.9204508122555899</v>
      </c>
      <c r="E1965" s="48">
        <f>SUMIF(Data!$E:$E,$C1965,Data!$AI:$AI)</f>
        <v>0</v>
      </c>
    </row>
    <row r="1966" spans="1:5" x14ac:dyDescent="0.25">
      <c r="A1966" s="47" t="s">
        <v>10853</v>
      </c>
      <c r="B1966" s="47" t="s">
        <v>123</v>
      </c>
      <c r="C1966" s="47" t="s">
        <v>4907</v>
      </c>
      <c r="D1966" s="47">
        <v>2.8384714387555299</v>
      </c>
      <c r="E1966" s="48">
        <f>SUMIF(Data!$E:$E,$C1966,Data!$AI:$AI)</f>
        <v>0</v>
      </c>
    </row>
    <row r="1967" spans="1:5" x14ac:dyDescent="0.25">
      <c r="A1967" s="47" t="s">
        <v>10853</v>
      </c>
      <c r="B1967" s="47" t="s">
        <v>123</v>
      </c>
      <c r="C1967" s="47" t="s">
        <v>4484</v>
      </c>
      <c r="D1967" s="47">
        <v>6.4101987893826502</v>
      </c>
      <c r="E1967" s="48">
        <f>SUMIF(Data!$E:$E,$C1967,Data!$AI:$AI)</f>
        <v>0</v>
      </c>
    </row>
    <row r="1968" spans="1:5" x14ac:dyDescent="0.25">
      <c r="A1968" s="47" t="s">
        <v>10853</v>
      </c>
      <c r="B1968" s="47" t="s">
        <v>123</v>
      </c>
      <c r="C1968" s="47" t="s">
        <v>4919</v>
      </c>
      <c r="D1968" s="47">
        <v>0.75995616826152601</v>
      </c>
      <c r="E1968" s="48">
        <f>SUMIF(Data!$E:$E,$C1968,Data!$AI:$AI)</f>
        <v>0.63880820904302782</v>
      </c>
    </row>
    <row r="1969" spans="1:5" x14ac:dyDescent="0.25">
      <c r="A1969" s="47" t="s">
        <v>10853</v>
      </c>
      <c r="B1969" s="47" t="s">
        <v>123</v>
      </c>
      <c r="C1969" s="47" t="s">
        <v>4926</v>
      </c>
      <c r="D1969" s="47">
        <v>0.94467640534979003</v>
      </c>
      <c r="E1969" s="48">
        <f>SUMIF(Data!$E:$E,$C1969,Data!$AI:$AI)</f>
        <v>0.52858464745473188</v>
      </c>
    </row>
    <row r="1970" spans="1:5" x14ac:dyDescent="0.25">
      <c r="A1970" s="47" t="s">
        <v>10853</v>
      </c>
      <c r="B1970" s="47" t="s">
        <v>123</v>
      </c>
      <c r="C1970" s="47" t="s">
        <v>3901</v>
      </c>
      <c r="D1970" s="47">
        <v>0.80790004611363397</v>
      </c>
      <c r="E1970" s="48">
        <f>SUMIF(Data!$E:$E,$C1970,Data!$AI:$AI)</f>
        <v>0.4435083799971119</v>
      </c>
    </row>
    <row r="1971" spans="1:5" x14ac:dyDescent="0.25">
      <c r="A1971" s="47" t="s">
        <v>10853</v>
      </c>
      <c r="B1971" s="47" t="s">
        <v>123</v>
      </c>
      <c r="C1971" s="47" t="s">
        <v>4938</v>
      </c>
      <c r="D1971" s="47">
        <v>1.07681990239447</v>
      </c>
      <c r="E1971" s="48">
        <f>SUMIF(Data!$E:$E,$C1971,Data!$AI:$AI)</f>
        <v>0</v>
      </c>
    </row>
    <row r="1972" spans="1:5" x14ac:dyDescent="0.25">
      <c r="A1972" s="47" t="s">
        <v>10853</v>
      </c>
      <c r="B1972" s="47" t="s">
        <v>123</v>
      </c>
      <c r="C1972" s="47" t="s">
        <v>1942</v>
      </c>
      <c r="D1972" s="47">
        <v>2.03046349871792</v>
      </c>
      <c r="E1972" s="48">
        <f>SUMIF(Data!$E:$E,$C1972,Data!$AI:$AI)</f>
        <v>0</v>
      </c>
    </row>
    <row r="1973" spans="1:5" x14ac:dyDescent="0.25">
      <c r="A1973" s="47" t="s">
        <v>10853</v>
      </c>
      <c r="B1973" s="47" t="s">
        <v>123</v>
      </c>
      <c r="C1973" s="47" t="s">
        <v>4951</v>
      </c>
      <c r="D1973" s="47">
        <v>3.6792634591813602</v>
      </c>
      <c r="E1973" s="48">
        <f>SUMIF(Data!$E:$E,$C1973,Data!$AI:$AI)</f>
        <v>0</v>
      </c>
    </row>
    <row r="1974" spans="1:5" x14ac:dyDescent="0.25">
      <c r="A1974" s="47" t="s">
        <v>10853</v>
      </c>
      <c r="B1974" s="47" t="s">
        <v>123</v>
      </c>
      <c r="C1974" s="47" t="s">
        <v>1469</v>
      </c>
      <c r="D1974" s="47">
        <v>1.6490896148071701</v>
      </c>
      <c r="E1974" s="48">
        <f>SUMIF(Data!$E:$E,$C1974,Data!$AI:$AI)</f>
        <v>0</v>
      </c>
    </row>
    <row r="1975" spans="1:5" x14ac:dyDescent="0.25">
      <c r="A1975" s="47" t="s">
        <v>10853</v>
      </c>
      <c r="B1975" s="47" t="s">
        <v>123</v>
      </c>
      <c r="C1975" s="47" t="s">
        <v>4964</v>
      </c>
      <c r="D1975" s="47">
        <v>0.89311487277438095</v>
      </c>
      <c r="E1975" s="48">
        <f>SUMIF(Data!$E:$E,$C1975,Data!$AI:$AI)</f>
        <v>0</v>
      </c>
    </row>
    <row r="1976" spans="1:5" x14ac:dyDescent="0.25">
      <c r="A1976" s="47" t="s">
        <v>10853</v>
      </c>
      <c r="B1976" s="47" t="s">
        <v>123</v>
      </c>
      <c r="C1976" s="47" t="s">
        <v>4971</v>
      </c>
      <c r="D1976" s="47">
        <v>0.76788022525825195</v>
      </c>
      <c r="E1976" s="48">
        <f>SUMIF(Data!$E:$E,$C1976,Data!$AI:$AI)</f>
        <v>0.51478348043038158</v>
      </c>
    </row>
    <row r="1977" spans="1:5" x14ac:dyDescent="0.25">
      <c r="A1977" s="47" t="s">
        <v>10853</v>
      </c>
      <c r="B1977" s="47" t="s">
        <v>123</v>
      </c>
      <c r="C1977" s="47" t="s">
        <v>4978</v>
      </c>
      <c r="D1977" s="47">
        <v>0.88630307562967303</v>
      </c>
      <c r="E1977" s="48">
        <f>SUMIF(Data!$E:$E,$C1977,Data!$AI:$AI)</f>
        <v>0</v>
      </c>
    </row>
    <row r="1978" spans="1:5" x14ac:dyDescent="0.25">
      <c r="A1978" s="47" t="s">
        <v>10853</v>
      </c>
      <c r="B1978" s="47" t="s">
        <v>123</v>
      </c>
      <c r="C1978" s="47" t="s">
        <v>4984</v>
      </c>
      <c r="D1978" s="47">
        <v>1.3306422190310301</v>
      </c>
      <c r="E1978" s="48">
        <f>SUMIF(Data!$E:$E,$C1978,Data!$AI:$AI)</f>
        <v>0</v>
      </c>
    </row>
    <row r="1979" spans="1:5" x14ac:dyDescent="0.25">
      <c r="A1979" s="47" t="s">
        <v>10853</v>
      </c>
      <c r="B1979" s="47" t="s">
        <v>123</v>
      </c>
      <c r="C1979" s="47" t="s">
        <v>4991</v>
      </c>
      <c r="D1979" s="47">
        <v>0.76207161039441296</v>
      </c>
      <c r="E1979" s="48">
        <f>SUMIF(Data!$E:$E,$C1979,Data!$AI:$AI)</f>
        <v>0.38077996000694508</v>
      </c>
    </row>
    <row r="1980" spans="1:5" x14ac:dyDescent="0.25">
      <c r="A1980" s="47" t="s">
        <v>10853</v>
      </c>
      <c r="B1980" s="47" t="s">
        <v>123</v>
      </c>
      <c r="C1980" s="47" t="s">
        <v>4998</v>
      </c>
      <c r="D1980" s="47">
        <v>2.0911423874842598</v>
      </c>
      <c r="E1980" s="48">
        <f>SUMIF(Data!$E:$E,$C1980,Data!$AI:$AI)</f>
        <v>0</v>
      </c>
    </row>
    <row r="1981" spans="1:5" x14ac:dyDescent="0.25">
      <c r="A1981" s="47" t="s">
        <v>10853</v>
      </c>
      <c r="B1981" s="47" t="s">
        <v>123</v>
      </c>
      <c r="C1981" s="47" t="s">
        <v>5005</v>
      </c>
      <c r="D1981" s="47">
        <v>0.98879770995526295</v>
      </c>
      <c r="E1981" s="48">
        <f>SUMIF(Data!$E:$E,$C1981,Data!$AI:$AI)</f>
        <v>0</v>
      </c>
    </row>
    <row r="1982" spans="1:5" x14ac:dyDescent="0.25">
      <c r="A1982" s="47" t="s">
        <v>10853</v>
      </c>
      <c r="B1982" s="47" t="s">
        <v>123</v>
      </c>
      <c r="C1982" s="47" t="s">
        <v>5012</v>
      </c>
      <c r="D1982" s="47">
        <v>0.79642679886744105</v>
      </c>
      <c r="E1982" s="48">
        <f>SUMIF(Data!$E:$E,$C1982,Data!$AI:$AI)</f>
        <v>0.77934157011859584</v>
      </c>
    </row>
    <row r="1983" spans="1:5" x14ac:dyDescent="0.25">
      <c r="A1983" s="47" t="s">
        <v>10853</v>
      </c>
      <c r="B1983" s="47" t="s">
        <v>123</v>
      </c>
      <c r="C1983" s="47" t="s">
        <v>5019</v>
      </c>
      <c r="D1983" s="47">
        <v>1.8482055137109199</v>
      </c>
      <c r="E1983" s="48">
        <f>SUMIF(Data!$E:$E,$C1983,Data!$AI:$AI)</f>
        <v>0</v>
      </c>
    </row>
    <row r="1984" spans="1:5" x14ac:dyDescent="0.25">
      <c r="A1984" s="47" t="s">
        <v>10853</v>
      </c>
      <c r="B1984" s="47" t="s">
        <v>123</v>
      </c>
      <c r="C1984" s="47" t="s">
        <v>5026</v>
      </c>
      <c r="D1984" s="47">
        <v>2.3983933935397199</v>
      </c>
      <c r="E1984" s="48">
        <f>SUMIF(Data!$E:$E,$C1984,Data!$AI:$AI)</f>
        <v>0</v>
      </c>
    </row>
    <row r="1985" spans="1:5" x14ac:dyDescent="0.25">
      <c r="A1985" s="47" t="s">
        <v>10854</v>
      </c>
      <c r="B1985" s="47" t="s">
        <v>123</v>
      </c>
      <c r="C1985" s="47" t="s">
        <v>5417</v>
      </c>
      <c r="D1985" s="47">
        <v>2.0363154221843E-2</v>
      </c>
      <c r="E1985" s="48">
        <f>SUMIF(Data!$E:$E,$C1985,Data!$AI:$AI)</f>
        <v>0</v>
      </c>
    </row>
    <row r="1986" spans="1:5" x14ac:dyDescent="0.25">
      <c r="A1986" s="47" t="s">
        <v>10854</v>
      </c>
      <c r="B1986" s="47" t="s">
        <v>123</v>
      </c>
      <c r="C1986" s="47" t="s">
        <v>5424</v>
      </c>
      <c r="D1986" s="47">
        <v>0.139874548025888</v>
      </c>
      <c r="E1986" s="48">
        <f>SUMIF(Data!$E:$E,$C1986,Data!$AI:$AI)</f>
        <v>0.14993036494457632</v>
      </c>
    </row>
    <row r="1987" spans="1:5" x14ac:dyDescent="0.25">
      <c r="A1987" s="47" t="s">
        <v>10854</v>
      </c>
      <c r="B1987" s="47" t="s">
        <v>123</v>
      </c>
      <c r="C1987" s="47" t="s">
        <v>4464</v>
      </c>
      <c r="D1987" s="47">
        <v>0.19036530594970899</v>
      </c>
      <c r="E1987" s="48">
        <f>SUMIF(Data!$E:$E,$C1987,Data!$AI:$AI)</f>
        <v>0.16778694604010902</v>
      </c>
    </row>
    <row r="1988" spans="1:5" x14ac:dyDescent="0.25">
      <c r="A1988" s="47" t="s">
        <v>10854</v>
      </c>
      <c r="B1988" s="47" t="s">
        <v>123</v>
      </c>
      <c r="C1988" s="47" t="s">
        <v>5431</v>
      </c>
      <c r="D1988" s="47">
        <v>3.8896403164219003E-2</v>
      </c>
      <c r="E1988" s="48">
        <f>SUMIF(Data!$E:$E,$C1988,Data!$AI:$AI)</f>
        <v>0</v>
      </c>
    </row>
    <row r="1989" spans="1:5" x14ac:dyDescent="0.25">
      <c r="A1989" s="47" t="s">
        <v>10854</v>
      </c>
      <c r="B1989" s="47" t="s">
        <v>123</v>
      </c>
      <c r="C1989" s="47" t="s">
        <v>4471</v>
      </c>
      <c r="D1989" s="47">
        <v>7.4651563318289996E-2</v>
      </c>
      <c r="E1989" s="48">
        <f>SUMIF(Data!$E:$E,$C1989,Data!$AI:$AI)</f>
        <v>0</v>
      </c>
    </row>
    <row r="1990" spans="1:5" x14ac:dyDescent="0.25">
      <c r="A1990" s="47" t="s">
        <v>10854</v>
      </c>
      <c r="B1990" s="47" t="s">
        <v>123</v>
      </c>
      <c r="C1990" s="47" t="s">
        <v>4578</v>
      </c>
      <c r="D1990" s="47">
        <v>3.1456404383182099</v>
      </c>
      <c r="E1990" s="48">
        <f>SUMIF(Data!$E:$E,$C1990,Data!$AI:$AI)</f>
        <v>0.82698926913975535</v>
      </c>
    </row>
    <row r="1991" spans="1:5" x14ac:dyDescent="0.25">
      <c r="A1991" s="47" t="s">
        <v>10854</v>
      </c>
      <c r="B1991" s="47" t="s">
        <v>123</v>
      </c>
      <c r="C1991" s="47" t="s">
        <v>2017</v>
      </c>
      <c r="D1991" s="47">
        <v>0.54479057065065895</v>
      </c>
      <c r="E1991" s="48">
        <f>SUMIF(Data!$E:$E,$C1991,Data!$AI:$AI)</f>
        <v>0</v>
      </c>
    </row>
    <row r="1992" spans="1:5" x14ac:dyDescent="0.25">
      <c r="A1992" s="47" t="s">
        <v>10854</v>
      </c>
      <c r="B1992" s="47" t="s">
        <v>123</v>
      </c>
      <c r="C1992" s="47" t="s">
        <v>4492</v>
      </c>
      <c r="D1992" s="47">
        <v>0.65441317330767201</v>
      </c>
      <c r="E1992" s="48">
        <f>SUMIF(Data!$E:$E,$C1992,Data!$AI:$AI)</f>
        <v>0</v>
      </c>
    </row>
    <row r="1993" spans="1:5" x14ac:dyDescent="0.25">
      <c r="A1993" s="47" t="s">
        <v>10854</v>
      </c>
      <c r="B1993" s="47" t="s">
        <v>123</v>
      </c>
      <c r="C1993" s="47" t="s">
        <v>4768</v>
      </c>
      <c r="D1993" s="47">
        <v>1.1171486486419999</v>
      </c>
      <c r="E1993" s="48">
        <f>SUMIF(Data!$E:$E,$C1993,Data!$AI:$AI)</f>
        <v>0</v>
      </c>
    </row>
    <row r="1994" spans="1:5" x14ac:dyDescent="0.25">
      <c r="A1994" s="47" t="s">
        <v>10854</v>
      </c>
      <c r="B1994" s="47" t="s">
        <v>123</v>
      </c>
      <c r="C1994" s="47" t="s">
        <v>4585</v>
      </c>
      <c r="D1994" s="47">
        <v>0.24031665001020699</v>
      </c>
      <c r="E1994" s="48">
        <f>SUMIF(Data!$E:$E,$C1994,Data!$AI:$AI)</f>
        <v>0.50254664386636194</v>
      </c>
    </row>
    <row r="1995" spans="1:5" x14ac:dyDescent="0.25">
      <c r="A1995" s="47" t="s">
        <v>10854</v>
      </c>
      <c r="B1995" s="47" t="s">
        <v>123</v>
      </c>
      <c r="C1995" s="47" t="s">
        <v>5444</v>
      </c>
      <c r="D1995" s="47">
        <v>0.15661998664468901</v>
      </c>
      <c r="E1995" s="48">
        <f>SUMIF(Data!$E:$E,$C1995,Data!$AI:$AI)</f>
        <v>0.13053515410881558</v>
      </c>
    </row>
    <row r="1996" spans="1:5" x14ac:dyDescent="0.25">
      <c r="A1996" s="47" t="s">
        <v>10854</v>
      </c>
      <c r="B1996" s="47" t="s">
        <v>123</v>
      </c>
      <c r="C1996" s="47" t="s">
        <v>5051</v>
      </c>
      <c r="D1996" s="47">
        <v>0.59866629226800405</v>
      </c>
      <c r="E1996" s="48">
        <f>SUMIF(Data!$E:$E,$C1996,Data!$AI:$AI)</f>
        <v>0.40847619001243751</v>
      </c>
    </row>
    <row r="1997" spans="1:5" x14ac:dyDescent="0.25">
      <c r="A1997" s="47" t="s">
        <v>10854</v>
      </c>
      <c r="B1997" s="47" t="s">
        <v>123</v>
      </c>
      <c r="C1997" s="47" t="s">
        <v>5058</v>
      </c>
      <c r="D1997" s="47">
        <v>0.21600194612210699</v>
      </c>
      <c r="E1997" s="48">
        <f>SUMIF(Data!$E:$E,$C1997,Data!$AI:$AI)</f>
        <v>0</v>
      </c>
    </row>
    <row r="1998" spans="1:5" x14ac:dyDescent="0.25">
      <c r="A1998" s="47" t="s">
        <v>10854</v>
      </c>
      <c r="B1998" s="47" t="s">
        <v>123</v>
      </c>
      <c r="C1998" s="47" t="s">
        <v>5065</v>
      </c>
      <c r="D1998" s="47">
        <v>0.46579235787929502</v>
      </c>
      <c r="E1998" s="48">
        <f>SUMIF(Data!$E:$E,$C1998,Data!$AI:$AI)</f>
        <v>0.49255800486170526</v>
      </c>
    </row>
    <row r="1999" spans="1:5" x14ac:dyDescent="0.25">
      <c r="A1999" s="47" t="s">
        <v>10854</v>
      </c>
      <c r="B1999" s="47" t="s">
        <v>123</v>
      </c>
      <c r="C1999" s="47" t="s">
        <v>4592</v>
      </c>
      <c r="D1999" s="47">
        <v>1.8489262992634701</v>
      </c>
      <c r="E1999" s="48">
        <f>SUMIF(Data!$E:$E,$C1999,Data!$AI:$AI)</f>
        <v>0</v>
      </c>
    </row>
    <row r="2000" spans="1:5" x14ac:dyDescent="0.25">
      <c r="A2000" s="47" t="s">
        <v>10854</v>
      </c>
      <c r="B2000" s="47" t="s">
        <v>123</v>
      </c>
      <c r="C2000" s="47" t="s">
        <v>5451</v>
      </c>
      <c r="D2000" s="47">
        <v>2.4758888717617E-2</v>
      </c>
      <c r="E2000" s="48">
        <f>SUMIF(Data!$E:$E,$C2000,Data!$AI:$AI)</f>
        <v>0</v>
      </c>
    </row>
    <row r="2001" spans="1:5" x14ac:dyDescent="0.25">
      <c r="A2001" s="47" t="s">
        <v>10854</v>
      </c>
      <c r="B2001" s="47" t="s">
        <v>123</v>
      </c>
      <c r="C2001" s="47" t="s">
        <v>4782</v>
      </c>
      <c r="D2001" s="47">
        <v>1.1702828272255399</v>
      </c>
      <c r="E2001" s="48">
        <f>SUMIF(Data!$E:$E,$C2001,Data!$AI:$AI)</f>
        <v>0</v>
      </c>
    </row>
    <row r="2002" spans="1:5" x14ac:dyDescent="0.25">
      <c r="A2002" s="47" t="s">
        <v>10854</v>
      </c>
      <c r="B2002" s="47" t="s">
        <v>123</v>
      </c>
      <c r="C2002" s="47" t="s">
        <v>5457</v>
      </c>
      <c r="D2002" s="47">
        <v>8.0655382274004997E-2</v>
      </c>
      <c r="E2002" s="48">
        <f>SUMIF(Data!$E:$E,$C2002,Data!$AI:$AI)</f>
        <v>0</v>
      </c>
    </row>
    <row r="2003" spans="1:5" x14ac:dyDescent="0.25">
      <c r="A2003" s="47" t="s">
        <v>10854</v>
      </c>
      <c r="B2003" s="47" t="s">
        <v>123</v>
      </c>
      <c r="C2003" s="47" t="s">
        <v>5072</v>
      </c>
      <c r="D2003" s="47">
        <v>0.23383461195310401</v>
      </c>
      <c r="E2003" s="48">
        <f>SUMIF(Data!$E:$E,$C2003,Data!$AI:$AI)</f>
        <v>0.26629035811338408</v>
      </c>
    </row>
    <row r="2004" spans="1:5" x14ac:dyDescent="0.25">
      <c r="A2004" s="47" t="s">
        <v>10854</v>
      </c>
      <c r="B2004" s="47" t="s">
        <v>123</v>
      </c>
      <c r="C2004" s="47" t="s">
        <v>4789</v>
      </c>
      <c r="D2004" s="47">
        <v>0.95595871749931904</v>
      </c>
      <c r="E2004" s="48">
        <f>SUMIF(Data!$E:$E,$C2004,Data!$AI:$AI)</f>
        <v>0</v>
      </c>
    </row>
    <row r="2005" spans="1:5" x14ac:dyDescent="0.25">
      <c r="A2005" s="47" t="s">
        <v>10854</v>
      </c>
      <c r="B2005" s="47" t="s">
        <v>123</v>
      </c>
      <c r="C2005" s="47" t="s">
        <v>5463</v>
      </c>
      <c r="D2005" s="47">
        <v>0.109188674047302</v>
      </c>
      <c r="E2005" s="48">
        <f>SUMIF(Data!$E:$E,$C2005,Data!$AI:$AI)</f>
        <v>0</v>
      </c>
    </row>
    <row r="2006" spans="1:5" x14ac:dyDescent="0.25">
      <c r="A2006" s="47" t="s">
        <v>10854</v>
      </c>
      <c r="B2006" s="47" t="s">
        <v>123</v>
      </c>
      <c r="C2006" s="47" t="s">
        <v>3205</v>
      </c>
      <c r="D2006" s="47">
        <v>0.96150102415080296</v>
      </c>
      <c r="E2006" s="48">
        <f>SUMIF(Data!$E:$E,$C2006,Data!$AI:$AI)</f>
        <v>0</v>
      </c>
    </row>
    <row r="2007" spans="1:5" x14ac:dyDescent="0.25">
      <c r="A2007" s="47" t="s">
        <v>10854</v>
      </c>
      <c r="B2007" s="47" t="s">
        <v>123</v>
      </c>
      <c r="C2007" s="47" t="s">
        <v>5470</v>
      </c>
      <c r="D2007" s="47">
        <v>9.1226935412124996E-2</v>
      </c>
      <c r="E2007" s="48">
        <f>SUMIF(Data!$E:$E,$C2007,Data!$AI:$AI)</f>
        <v>0</v>
      </c>
    </row>
    <row r="2008" spans="1:5" x14ac:dyDescent="0.25">
      <c r="A2008" s="47" t="s">
        <v>10854</v>
      </c>
      <c r="B2008" s="47" t="s">
        <v>123</v>
      </c>
      <c r="C2008" s="47" t="s">
        <v>5477</v>
      </c>
      <c r="D2008" s="47">
        <v>0.132999147450758</v>
      </c>
      <c r="E2008" s="48">
        <f>SUMIF(Data!$E:$E,$C2008,Data!$AI:$AI)</f>
        <v>0</v>
      </c>
    </row>
    <row r="2009" spans="1:5" x14ac:dyDescent="0.25">
      <c r="A2009" s="47" t="s">
        <v>10854</v>
      </c>
      <c r="B2009" s="47" t="s">
        <v>123</v>
      </c>
      <c r="C2009" s="47" t="s">
        <v>5484</v>
      </c>
      <c r="D2009" s="47">
        <v>7.4847013298480994E-2</v>
      </c>
      <c r="E2009" s="48">
        <f>SUMIF(Data!$E:$E,$C2009,Data!$AI:$AI)</f>
        <v>0</v>
      </c>
    </row>
    <row r="2010" spans="1:5" x14ac:dyDescent="0.25">
      <c r="A2010" s="47" t="s">
        <v>10854</v>
      </c>
      <c r="B2010" s="47" t="s">
        <v>123</v>
      </c>
      <c r="C2010" s="47" t="s">
        <v>4527</v>
      </c>
      <c r="D2010" s="47">
        <v>0.685534866112532</v>
      </c>
      <c r="E2010" s="48">
        <f>SUMIF(Data!$E:$E,$C2010,Data!$AI:$AI)</f>
        <v>0</v>
      </c>
    </row>
    <row r="2011" spans="1:5" x14ac:dyDescent="0.25">
      <c r="A2011" s="47" t="s">
        <v>10854</v>
      </c>
      <c r="B2011" s="47" t="s">
        <v>123</v>
      </c>
      <c r="C2011" s="47" t="s">
        <v>5085</v>
      </c>
      <c r="D2011" s="47">
        <v>0.15432934640451099</v>
      </c>
      <c r="E2011" s="48">
        <f>SUMIF(Data!$E:$E,$C2011,Data!$AI:$AI)</f>
        <v>0</v>
      </c>
    </row>
    <row r="2012" spans="1:5" x14ac:dyDescent="0.25">
      <c r="A2012" s="47" t="s">
        <v>10854</v>
      </c>
      <c r="B2012" s="47" t="s">
        <v>123</v>
      </c>
      <c r="C2012" s="47" t="s">
        <v>4801</v>
      </c>
      <c r="D2012" s="47">
        <v>3.5899444208230902</v>
      </c>
      <c r="E2012" s="48">
        <f>SUMIF(Data!$E:$E,$C2012,Data!$AI:$AI)</f>
        <v>0.9366848889291185</v>
      </c>
    </row>
    <row r="2013" spans="1:5" x14ac:dyDescent="0.25">
      <c r="A2013" s="47" t="s">
        <v>10854</v>
      </c>
      <c r="B2013" s="47" t="s">
        <v>123</v>
      </c>
      <c r="C2013" s="47" t="s">
        <v>4499</v>
      </c>
      <c r="D2013" s="47">
        <v>0.408488792590951</v>
      </c>
      <c r="E2013" s="48">
        <f>SUMIF(Data!$E:$E,$C2013,Data!$AI:$AI)</f>
        <v>0</v>
      </c>
    </row>
    <row r="2014" spans="1:5" x14ac:dyDescent="0.25">
      <c r="A2014" s="47" t="s">
        <v>10854</v>
      </c>
      <c r="B2014" s="47" t="s">
        <v>123</v>
      </c>
      <c r="C2014" s="47" t="s">
        <v>5491</v>
      </c>
      <c r="D2014" s="47">
        <v>5.7732225184773001E-2</v>
      </c>
      <c r="E2014" s="48">
        <f>SUMIF(Data!$E:$E,$C2014,Data!$AI:$AI)</f>
        <v>0</v>
      </c>
    </row>
    <row r="2015" spans="1:5" x14ac:dyDescent="0.25">
      <c r="A2015" s="47" t="s">
        <v>10854</v>
      </c>
      <c r="B2015" s="47" t="s">
        <v>123</v>
      </c>
      <c r="C2015" s="47" t="s">
        <v>3145</v>
      </c>
      <c r="D2015" s="47">
        <v>1.2416228218508201</v>
      </c>
      <c r="E2015" s="48">
        <f>SUMIF(Data!$E:$E,$C2015,Data!$AI:$AI)</f>
        <v>0</v>
      </c>
    </row>
    <row r="2016" spans="1:5" x14ac:dyDescent="0.25">
      <c r="A2016" s="47" t="s">
        <v>10854</v>
      </c>
      <c r="B2016" s="47" t="s">
        <v>123</v>
      </c>
      <c r="C2016" s="47" t="s">
        <v>4506</v>
      </c>
      <c r="D2016" s="47">
        <v>0.145352408432109</v>
      </c>
      <c r="E2016" s="48">
        <f>SUMIF(Data!$E:$E,$C2016,Data!$AI:$AI)</f>
        <v>0.35312037204807345</v>
      </c>
    </row>
    <row r="2017" spans="1:5" x14ac:dyDescent="0.25">
      <c r="A2017" s="47" t="s">
        <v>10854</v>
      </c>
      <c r="B2017" s="47" t="s">
        <v>123</v>
      </c>
      <c r="C2017" s="47" t="s">
        <v>5498</v>
      </c>
      <c r="D2017" s="47">
        <v>7.7757539662290001E-2</v>
      </c>
      <c r="E2017" s="48">
        <f>SUMIF(Data!$E:$E,$C2017,Data!$AI:$AI)</f>
        <v>0</v>
      </c>
    </row>
    <row r="2018" spans="1:5" x14ac:dyDescent="0.25">
      <c r="A2018" s="47" t="s">
        <v>10854</v>
      </c>
      <c r="B2018" s="47" t="s">
        <v>123</v>
      </c>
      <c r="C2018" s="47" t="s">
        <v>5504</v>
      </c>
      <c r="D2018" s="47">
        <v>3.3232568084629002E-2</v>
      </c>
      <c r="E2018" s="48">
        <f>SUMIF(Data!$E:$E,$C2018,Data!$AI:$AI)</f>
        <v>0</v>
      </c>
    </row>
    <row r="2019" spans="1:5" x14ac:dyDescent="0.25">
      <c r="A2019" s="47" t="s">
        <v>10854</v>
      </c>
      <c r="B2019" s="47" t="s">
        <v>123</v>
      </c>
      <c r="C2019" s="47" t="s">
        <v>3152</v>
      </c>
      <c r="D2019" s="47">
        <v>0.42745371535788701</v>
      </c>
      <c r="E2019" s="48">
        <f>SUMIF(Data!$E:$E,$C2019,Data!$AI:$AI)</f>
        <v>0.13519946439795033</v>
      </c>
    </row>
    <row r="2020" spans="1:5" x14ac:dyDescent="0.25">
      <c r="A2020" s="47" t="s">
        <v>10854</v>
      </c>
      <c r="B2020" s="47" t="s">
        <v>123</v>
      </c>
      <c r="C2020" s="47" t="s">
        <v>4549</v>
      </c>
      <c r="D2020" s="47">
        <v>0.318717445813955</v>
      </c>
      <c r="E2020" s="48">
        <f>SUMIF(Data!$E:$E,$C2020,Data!$AI:$AI)</f>
        <v>0</v>
      </c>
    </row>
    <row r="2021" spans="1:5" x14ac:dyDescent="0.25">
      <c r="A2021" s="47" t="s">
        <v>10854</v>
      </c>
      <c r="B2021" s="47" t="s">
        <v>123</v>
      </c>
      <c r="C2021" s="47" t="s">
        <v>4814</v>
      </c>
      <c r="D2021" s="47">
        <v>0.50406690346085703</v>
      </c>
      <c r="E2021" s="48">
        <f>SUMIF(Data!$E:$E,$C2021,Data!$AI:$AI)</f>
        <v>0</v>
      </c>
    </row>
    <row r="2022" spans="1:5" x14ac:dyDescent="0.25">
      <c r="A2022" s="47" t="s">
        <v>10854</v>
      </c>
      <c r="B2022" s="47" t="s">
        <v>123</v>
      </c>
      <c r="C2022" s="47" t="s">
        <v>4821</v>
      </c>
      <c r="D2022" s="47">
        <v>0.60017416794004197</v>
      </c>
      <c r="E2022" s="48">
        <f>SUMIF(Data!$E:$E,$C2022,Data!$AI:$AI)</f>
        <v>0</v>
      </c>
    </row>
    <row r="2023" spans="1:5" x14ac:dyDescent="0.25">
      <c r="A2023" s="47" t="s">
        <v>10854</v>
      </c>
      <c r="B2023" s="47" t="s">
        <v>123</v>
      </c>
      <c r="C2023" s="47" t="s">
        <v>5115</v>
      </c>
      <c r="D2023" s="47">
        <v>0.47799008400991599</v>
      </c>
      <c r="E2023" s="48">
        <f>SUMIF(Data!$E:$E,$C2023,Data!$AI:$AI)</f>
        <v>0</v>
      </c>
    </row>
    <row r="2024" spans="1:5" x14ac:dyDescent="0.25">
      <c r="A2024" s="47" t="s">
        <v>10854</v>
      </c>
      <c r="B2024" s="47" t="s">
        <v>123</v>
      </c>
      <c r="C2024" s="47" t="s">
        <v>5511</v>
      </c>
      <c r="D2024" s="47">
        <v>2.9720531415748E-2</v>
      </c>
      <c r="E2024" s="48">
        <f>SUMIF(Data!$E:$E,$C2024,Data!$AI:$AI)</f>
        <v>0</v>
      </c>
    </row>
    <row r="2025" spans="1:5" x14ac:dyDescent="0.25">
      <c r="A2025" s="47" t="s">
        <v>10854</v>
      </c>
      <c r="B2025" s="47" t="s">
        <v>123</v>
      </c>
      <c r="C2025" s="47" t="s">
        <v>5121</v>
      </c>
      <c r="D2025" s="47">
        <v>0.24449649328952699</v>
      </c>
      <c r="E2025" s="48">
        <f>SUMIF(Data!$E:$E,$C2025,Data!$AI:$AI)</f>
        <v>0.13075341077842323</v>
      </c>
    </row>
    <row r="2026" spans="1:5" x14ac:dyDescent="0.25">
      <c r="A2026" s="47" t="s">
        <v>10854</v>
      </c>
      <c r="B2026" s="47" t="s">
        <v>123</v>
      </c>
      <c r="C2026" s="47" t="s">
        <v>5127</v>
      </c>
      <c r="D2026" s="47">
        <v>0.25907896989057699</v>
      </c>
      <c r="E2026" s="48">
        <f>SUMIF(Data!$E:$E,$C2026,Data!$AI:$AI)</f>
        <v>0.26351671474520016</v>
      </c>
    </row>
    <row r="2027" spans="1:5" x14ac:dyDescent="0.25">
      <c r="A2027" s="47" t="s">
        <v>10854</v>
      </c>
      <c r="B2027" s="47" t="s">
        <v>123</v>
      </c>
      <c r="C2027" s="47" t="s">
        <v>4640</v>
      </c>
      <c r="D2027" s="47">
        <v>0.28080116323552901</v>
      </c>
      <c r="E2027" s="48">
        <f>SUMIF(Data!$E:$E,$C2027,Data!$AI:$AI)</f>
        <v>0.77394047546061229</v>
      </c>
    </row>
    <row r="2028" spans="1:5" x14ac:dyDescent="0.25">
      <c r="A2028" s="47" t="s">
        <v>10854</v>
      </c>
      <c r="B2028" s="47" t="s">
        <v>123</v>
      </c>
      <c r="C2028" s="47" t="s">
        <v>5134</v>
      </c>
      <c r="D2028" s="47">
        <v>0.229866522399269</v>
      </c>
      <c r="E2028" s="48">
        <f>SUMIF(Data!$E:$E,$C2028,Data!$AI:$AI)</f>
        <v>0</v>
      </c>
    </row>
    <row r="2029" spans="1:5" x14ac:dyDescent="0.25">
      <c r="A2029" s="47" t="s">
        <v>10854</v>
      </c>
      <c r="B2029" s="47" t="s">
        <v>123</v>
      </c>
      <c r="C2029" s="47" t="s">
        <v>5518</v>
      </c>
      <c r="D2029" s="47">
        <v>4.4526349929512002E-2</v>
      </c>
      <c r="E2029" s="48">
        <f>SUMIF(Data!$E:$E,$C2029,Data!$AI:$AI)</f>
        <v>0</v>
      </c>
    </row>
    <row r="2030" spans="1:5" x14ac:dyDescent="0.25">
      <c r="A2030" s="47" t="s">
        <v>10854</v>
      </c>
      <c r="B2030" s="47" t="s">
        <v>123</v>
      </c>
      <c r="C2030" s="47" t="s">
        <v>4556</v>
      </c>
      <c r="D2030" s="47">
        <v>2.2130677130701999E-2</v>
      </c>
      <c r="E2030" s="48">
        <f>SUMIF(Data!$E:$E,$C2030,Data!$AI:$AI)</f>
        <v>0</v>
      </c>
    </row>
    <row r="2031" spans="1:5" x14ac:dyDescent="0.25">
      <c r="A2031" s="47" t="s">
        <v>10854</v>
      </c>
      <c r="B2031" s="47" t="s">
        <v>123</v>
      </c>
      <c r="C2031" s="47" t="s">
        <v>4621</v>
      </c>
      <c r="D2031" s="47">
        <v>0.74837726161849905</v>
      </c>
      <c r="E2031" s="48">
        <f>SUMIF(Data!$E:$E,$C2031,Data!$AI:$AI)</f>
        <v>0</v>
      </c>
    </row>
    <row r="2032" spans="1:5" x14ac:dyDescent="0.25">
      <c r="A2032" s="47" t="s">
        <v>10854</v>
      </c>
      <c r="B2032" s="47" t="s">
        <v>123</v>
      </c>
      <c r="C2032" s="47" t="s">
        <v>4628</v>
      </c>
      <c r="D2032" s="47">
        <v>0.5926935853652</v>
      </c>
      <c r="E2032" s="48">
        <f>SUMIF(Data!$E:$E,$C2032,Data!$AI:$AI)</f>
        <v>0</v>
      </c>
    </row>
    <row r="2033" spans="1:5" x14ac:dyDescent="0.25">
      <c r="A2033" s="47" t="s">
        <v>10854</v>
      </c>
      <c r="B2033" s="47" t="s">
        <v>123</v>
      </c>
      <c r="C2033" s="47" t="s">
        <v>5141</v>
      </c>
      <c r="D2033" s="47">
        <v>0.175683423801475</v>
      </c>
      <c r="E2033" s="48">
        <f>SUMIF(Data!$E:$E,$C2033,Data!$AI:$AI)</f>
        <v>0</v>
      </c>
    </row>
    <row r="2034" spans="1:5" x14ac:dyDescent="0.25">
      <c r="A2034" s="47" t="s">
        <v>10854</v>
      </c>
      <c r="B2034" s="47" t="s">
        <v>123</v>
      </c>
      <c r="C2034" s="47" t="s">
        <v>5531</v>
      </c>
      <c r="D2034" s="47">
        <v>5.8584147782275997E-2</v>
      </c>
      <c r="E2034" s="48">
        <f>SUMIF(Data!$E:$E,$C2034,Data!$AI:$AI)</f>
        <v>0</v>
      </c>
    </row>
    <row r="2035" spans="1:5" x14ac:dyDescent="0.25">
      <c r="A2035" s="47" t="s">
        <v>10854</v>
      </c>
      <c r="B2035" s="47" t="s">
        <v>123</v>
      </c>
      <c r="C2035" s="47" t="s">
        <v>4841</v>
      </c>
      <c r="D2035" s="47">
        <v>2.78232708814908</v>
      </c>
      <c r="E2035" s="48">
        <f>SUMIF(Data!$E:$E,$C2035,Data!$AI:$AI)</f>
        <v>1.1368494141004637</v>
      </c>
    </row>
    <row r="2036" spans="1:5" x14ac:dyDescent="0.25">
      <c r="A2036" s="47" t="s">
        <v>10854</v>
      </c>
      <c r="B2036" s="47" t="s">
        <v>123</v>
      </c>
      <c r="C2036" s="47" t="s">
        <v>5538</v>
      </c>
      <c r="D2036" s="47">
        <v>0.118788299279415</v>
      </c>
      <c r="E2036" s="48">
        <f>SUMIF(Data!$E:$E,$C2036,Data!$AI:$AI)</f>
        <v>0</v>
      </c>
    </row>
    <row r="2037" spans="1:5" x14ac:dyDescent="0.25">
      <c r="A2037" s="47" t="s">
        <v>10854</v>
      </c>
      <c r="B2037" s="47" t="s">
        <v>123</v>
      </c>
      <c r="C2037" s="47" t="s">
        <v>4848</v>
      </c>
      <c r="D2037" s="47">
        <v>1.60796881216662</v>
      </c>
      <c r="E2037" s="48">
        <f>SUMIF(Data!$E:$E,$C2037,Data!$AI:$AI)</f>
        <v>0</v>
      </c>
    </row>
    <row r="2038" spans="1:5" x14ac:dyDescent="0.25">
      <c r="A2038" s="47" t="s">
        <v>10854</v>
      </c>
      <c r="B2038" s="47" t="s">
        <v>123</v>
      </c>
      <c r="C2038" s="47" t="s">
        <v>4563</v>
      </c>
      <c r="D2038" s="47">
        <v>0.26570147890236601</v>
      </c>
      <c r="E2038" s="48">
        <f>SUMIF(Data!$E:$E,$C2038,Data!$AI:$AI)</f>
        <v>0</v>
      </c>
    </row>
    <row r="2039" spans="1:5" x14ac:dyDescent="0.25">
      <c r="A2039" s="47" t="s">
        <v>10854</v>
      </c>
      <c r="B2039" s="47" t="s">
        <v>123</v>
      </c>
      <c r="C2039" s="47" t="s">
        <v>5153</v>
      </c>
      <c r="D2039" s="47">
        <v>0.17259650141822699</v>
      </c>
      <c r="E2039" s="48">
        <f>SUMIF(Data!$E:$E,$C2039,Data!$AI:$AI)</f>
        <v>0</v>
      </c>
    </row>
    <row r="2040" spans="1:5" x14ac:dyDescent="0.25">
      <c r="A2040" s="47" t="s">
        <v>10854</v>
      </c>
      <c r="B2040" s="47" t="s">
        <v>123</v>
      </c>
      <c r="C2040" s="47" t="s">
        <v>4855</v>
      </c>
      <c r="D2040" s="47">
        <v>21.7617060041892</v>
      </c>
      <c r="E2040" s="48">
        <f>SUMIF(Data!$E:$E,$C2040,Data!$AI:$AI)</f>
        <v>1.0989645296635115</v>
      </c>
    </row>
    <row r="2041" spans="1:5" x14ac:dyDescent="0.25">
      <c r="A2041" s="47" t="s">
        <v>10854</v>
      </c>
      <c r="B2041" s="47" t="s">
        <v>123</v>
      </c>
      <c r="C2041" s="47" t="s">
        <v>4862</v>
      </c>
      <c r="D2041" s="47">
        <v>0.65080369736375698</v>
      </c>
      <c r="E2041" s="48">
        <f>SUMIF(Data!$E:$E,$C2041,Data!$AI:$AI)</f>
        <v>0.397519933142436</v>
      </c>
    </row>
    <row r="2042" spans="1:5" x14ac:dyDescent="0.25">
      <c r="A2042" s="47" t="s">
        <v>10854</v>
      </c>
      <c r="B2042" s="47" t="s">
        <v>123</v>
      </c>
      <c r="C2042" s="47" t="s">
        <v>5166</v>
      </c>
      <c r="D2042" s="47">
        <v>5.6720342587755997E-2</v>
      </c>
      <c r="E2042" s="48">
        <f>SUMIF(Data!$E:$E,$C2042,Data!$AI:$AI)</f>
        <v>0</v>
      </c>
    </row>
    <row r="2043" spans="1:5" x14ac:dyDescent="0.25">
      <c r="A2043" s="47" t="s">
        <v>10854</v>
      </c>
      <c r="B2043" s="47" t="s">
        <v>123</v>
      </c>
      <c r="C2043" s="47" t="s">
        <v>5545</v>
      </c>
      <c r="D2043" s="47">
        <v>6.0558973779637003E-2</v>
      </c>
      <c r="E2043" s="48">
        <f>SUMIF(Data!$E:$E,$C2043,Data!$AI:$AI)</f>
        <v>0</v>
      </c>
    </row>
    <row r="2044" spans="1:5" x14ac:dyDescent="0.25">
      <c r="A2044" s="47" t="s">
        <v>10854</v>
      </c>
      <c r="B2044" s="47" t="s">
        <v>123</v>
      </c>
      <c r="C2044" s="47" t="s">
        <v>4478</v>
      </c>
      <c r="D2044" s="47">
        <v>0.154036337423548</v>
      </c>
      <c r="E2044" s="48">
        <f>SUMIF(Data!$E:$E,$C2044,Data!$AI:$AI)</f>
        <v>0.23823313841468968</v>
      </c>
    </row>
    <row r="2045" spans="1:5" x14ac:dyDescent="0.25">
      <c r="A2045" s="47" t="s">
        <v>10854</v>
      </c>
      <c r="B2045" s="47" t="s">
        <v>123</v>
      </c>
      <c r="C2045" s="47" t="s">
        <v>1855</v>
      </c>
      <c r="D2045" s="47">
        <v>6.7606511242629994E-2</v>
      </c>
      <c r="E2045" s="48">
        <f>SUMIF(Data!$E:$E,$C2045,Data!$AI:$AI)</f>
        <v>0</v>
      </c>
    </row>
    <row r="2046" spans="1:5" x14ac:dyDescent="0.25">
      <c r="A2046" s="47" t="s">
        <v>10854</v>
      </c>
      <c r="B2046" s="47" t="s">
        <v>123</v>
      </c>
      <c r="C2046" s="47" t="s">
        <v>5173</v>
      </c>
      <c r="D2046" s="47">
        <v>0.41768633808150901</v>
      </c>
      <c r="E2046" s="48">
        <f>SUMIF(Data!$E:$E,$C2046,Data!$AI:$AI)</f>
        <v>0.32269220108453256</v>
      </c>
    </row>
    <row r="2047" spans="1:5" x14ac:dyDescent="0.25">
      <c r="A2047" s="47" t="s">
        <v>10854</v>
      </c>
      <c r="B2047" s="47" t="s">
        <v>123</v>
      </c>
      <c r="C2047" s="47" t="s">
        <v>5563</v>
      </c>
      <c r="D2047" s="47">
        <v>0.15579298841741701</v>
      </c>
      <c r="E2047" s="48">
        <f>SUMIF(Data!$E:$E,$C2047,Data!$AI:$AI)</f>
        <v>0</v>
      </c>
    </row>
    <row r="2048" spans="1:5" x14ac:dyDescent="0.25">
      <c r="A2048" s="47" t="s">
        <v>10854</v>
      </c>
      <c r="B2048" s="47" t="s">
        <v>123</v>
      </c>
      <c r="C2048" s="47" t="s">
        <v>6759</v>
      </c>
      <c r="D2048" s="47">
        <v>0.63968894712195701</v>
      </c>
      <c r="E2048" s="48">
        <f>SUMIF(Data!$E:$E,$C2048,Data!$AI:$AI)</f>
        <v>0.31941379215436855</v>
      </c>
    </row>
    <row r="2049" spans="1:5" x14ac:dyDescent="0.25">
      <c r="A2049" s="47" t="s">
        <v>10854</v>
      </c>
      <c r="B2049" s="47" t="s">
        <v>123</v>
      </c>
      <c r="C2049" s="47" t="s">
        <v>5570</v>
      </c>
      <c r="D2049" s="47">
        <v>5.3061941632065998E-2</v>
      </c>
      <c r="E2049" s="48">
        <f>SUMIF(Data!$E:$E,$C2049,Data!$AI:$AI)</f>
        <v>0</v>
      </c>
    </row>
    <row r="2050" spans="1:5" x14ac:dyDescent="0.25">
      <c r="A2050" s="47" t="s">
        <v>10854</v>
      </c>
      <c r="B2050" s="47" t="s">
        <v>123</v>
      </c>
      <c r="C2050" s="47" t="s">
        <v>3160</v>
      </c>
      <c r="D2050" s="47">
        <v>0.93540375143525401</v>
      </c>
      <c r="E2050" s="48">
        <f>SUMIF(Data!$E:$E,$C2050,Data!$AI:$AI)</f>
        <v>0.48939641738655321</v>
      </c>
    </row>
    <row r="2051" spans="1:5" x14ac:dyDescent="0.25">
      <c r="A2051" s="47" t="s">
        <v>10854</v>
      </c>
      <c r="B2051" s="47" t="s">
        <v>123</v>
      </c>
      <c r="C2051" s="47" t="s">
        <v>4873</v>
      </c>
      <c r="D2051" s="47">
        <v>1.7957905379019701</v>
      </c>
      <c r="E2051" s="48">
        <f>SUMIF(Data!$E:$E,$C2051,Data!$AI:$AI)</f>
        <v>0</v>
      </c>
    </row>
    <row r="2052" spans="1:5" x14ac:dyDescent="0.25">
      <c r="A2052" s="47" t="s">
        <v>10854</v>
      </c>
      <c r="B2052" s="47" t="s">
        <v>123</v>
      </c>
      <c r="C2052" s="47" t="s">
        <v>3167</v>
      </c>
      <c r="D2052" s="47">
        <v>0.26572329255996602</v>
      </c>
      <c r="E2052" s="48">
        <f>SUMIF(Data!$E:$E,$C2052,Data!$AI:$AI)</f>
        <v>0.45612845361825383</v>
      </c>
    </row>
    <row r="2053" spans="1:5" x14ac:dyDescent="0.25">
      <c r="A2053" s="47" t="s">
        <v>10854</v>
      </c>
      <c r="B2053" s="47" t="s">
        <v>123</v>
      </c>
      <c r="C2053" s="47" t="s">
        <v>5186</v>
      </c>
      <c r="D2053" s="47">
        <v>0.21106767116598599</v>
      </c>
      <c r="E2053" s="48">
        <f>SUMIF(Data!$E:$E,$C2053,Data!$AI:$AI)</f>
        <v>0.12898798215585272</v>
      </c>
    </row>
    <row r="2054" spans="1:5" x14ac:dyDescent="0.25">
      <c r="A2054" s="47" t="s">
        <v>10854</v>
      </c>
      <c r="B2054" s="47" t="s">
        <v>123</v>
      </c>
      <c r="C2054" s="47" t="s">
        <v>4880</v>
      </c>
      <c r="D2054" s="47">
        <v>0.84655838507953096</v>
      </c>
      <c r="E2054" s="48">
        <f>SUMIF(Data!$E:$E,$C2054,Data!$AI:$AI)</f>
        <v>0</v>
      </c>
    </row>
    <row r="2055" spans="1:5" x14ac:dyDescent="0.25">
      <c r="A2055" s="47" t="s">
        <v>10854</v>
      </c>
      <c r="B2055" s="47" t="s">
        <v>123</v>
      </c>
      <c r="C2055" s="47" t="s">
        <v>5192</v>
      </c>
      <c r="D2055" s="47">
        <v>0.18192529937207499</v>
      </c>
      <c r="E2055" s="48">
        <f>SUMIF(Data!$E:$E,$C2055,Data!$AI:$AI)</f>
        <v>0</v>
      </c>
    </row>
    <row r="2056" spans="1:5" x14ac:dyDescent="0.25">
      <c r="A2056" s="47" t="s">
        <v>10854</v>
      </c>
      <c r="B2056" s="47" t="s">
        <v>123</v>
      </c>
      <c r="C2056" s="47" t="s">
        <v>520</v>
      </c>
      <c r="D2056" s="47">
        <v>0.83611745378098201</v>
      </c>
      <c r="E2056" s="48">
        <f>SUMIF(Data!$E:$E,$C2056,Data!$AI:$AI)</f>
        <v>0.42534541896463962</v>
      </c>
    </row>
    <row r="2057" spans="1:5" x14ac:dyDescent="0.25">
      <c r="A2057" s="47" t="s">
        <v>10854</v>
      </c>
      <c r="B2057" s="47" t="s">
        <v>123</v>
      </c>
      <c r="C2057" s="47" t="s">
        <v>4893</v>
      </c>
      <c r="D2057" s="47">
        <v>3.8109141866919898</v>
      </c>
      <c r="E2057" s="48">
        <f>SUMIF(Data!$E:$E,$C2057,Data!$AI:$AI)</f>
        <v>0.14807872778681458</v>
      </c>
    </row>
    <row r="2058" spans="1:5" x14ac:dyDescent="0.25">
      <c r="A2058" s="47" t="s">
        <v>10854</v>
      </c>
      <c r="B2058" s="47" t="s">
        <v>123</v>
      </c>
      <c r="C2058" s="47" t="s">
        <v>4900</v>
      </c>
      <c r="D2058" s="47">
        <v>1.53300254461555</v>
      </c>
      <c r="E2058" s="48">
        <f>SUMIF(Data!$E:$E,$C2058,Data!$AI:$AI)</f>
        <v>0</v>
      </c>
    </row>
    <row r="2059" spans="1:5" x14ac:dyDescent="0.25">
      <c r="A2059" s="47" t="s">
        <v>10854</v>
      </c>
      <c r="B2059" s="47" t="s">
        <v>123</v>
      </c>
      <c r="C2059" s="47" t="s">
        <v>4907</v>
      </c>
      <c r="D2059" s="47">
        <v>2.26581379260635</v>
      </c>
      <c r="E2059" s="48">
        <f>SUMIF(Data!$E:$E,$C2059,Data!$AI:$AI)</f>
        <v>0</v>
      </c>
    </row>
    <row r="2060" spans="1:5" x14ac:dyDescent="0.25">
      <c r="A2060" s="47" t="s">
        <v>10854</v>
      </c>
      <c r="B2060" s="47" t="s">
        <v>123</v>
      </c>
      <c r="C2060" s="47" t="s">
        <v>5199</v>
      </c>
      <c r="D2060" s="47">
        <v>0.22526797928944201</v>
      </c>
      <c r="E2060" s="48">
        <f>SUMIF(Data!$E:$E,$C2060,Data!$AI:$AI)</f>
        <v>0.30542299256619226</v>
      </c>
    </row>
    <row r="2061" spans="1:5" x14ac:dyDescent="0.25">
      <c r="A2061" s="47" t="s">
        <v>10854</v>
      </c>
      <c r="B2061" s="47" t="s">
        <v>123</v>
      </c>
      <c r="C2061" s="47" t="s">
        <v>4484</v>
      </c>
      <c r="D2061" s="47">
        <v>5.1169501415520999</v>
      </c>
      <c r="E2061" s="48">
        <f>SUMIF(Data!$E:$E,$C2061,Data!$AI:$AI)</f>
        <v>0</v>
      </c>
    </row>
    <row r="2062" spans="1:5" x14ac:dyDescent="0.25">
      <c r="A2062" s="47" t="s">
        <v>10854</v>
      </c>
      <c r="B2062" s="47" t="s">
        <v>123</v>
      </c>
      <c r="C2062" s="47" t="s">
        <v>1786</v>
      </c>
      <c r="D2062" s="47">
        <v>0.248490000914943</v>
      </c>
      <c r="E2062" s="48">
        <f>SUMIF(Data!$E:$E,$C2062,Data!$AI:$AI)</f>
        <v>0.1705308312796065</v>
      </c>
    </row>
    <row r="2063" spans="1:5" x14ac:dyDescent="0.25">
      <c r="A2063" s="47" t="s">
        <v>10854</v>
      </c>
      <c r="B2063" s="47" t="s">
        <v>123</v>
      </c>
      <c r="C2063" s="47" t="s">
        <v>4919</v>
      </c>
      <c r="D2063" s="47">
        <v>0.60663607331493097</v>
      </c>
      <c r="E2063" s="48">
        <f>SUMIF(Data!$E:$E,$C2063,Data!$AI:$AI)</f>
        <v>0.63880820904302782</v>
      </c>
    </row>
    <row r="2064" spans="1:5" x14ac:dyDescent="0.25">
      <c r="A2064" s="47" t="s">
        <v>10854</v>
      </c>
      <c r="B2064" s="47" t="s">
        <v>123</v>
      </c>
      <c r="C2064" s="47" t="s">
        <v>4368</v>
      </c>
      <c r="D2064" s="47">
        <v>0.13507359602609001</v>
      </c>
      <c r="E2064" s="48">
        <f>SUMIF(Data!$E:$E,$C2064,Data!$AI:$AI)</f>
        <v>0</v>
      </c>
    </row>
    <row r="2065" spans="1:5" x14ac:dyDescent="0.25">
      <c r="A2065" s="47" t="s">
        <v>10854</v>
      </c>
      <c r="B2065" s="47" t="s">
        <v>123</v>
      </c>
      <c r="C2065" s="47" t="s">
        <v>5583</v>
      </c>
      <c r="D2065" s="47">
        <v>3.3127195083192E-2</v>
      </c>
      <c r="E2065" s="48">
        <f>SUMIF(Data!$E:$E,$C2065,Data!$AI:$AI)</f>
        <v>0</v>
      </c>
    </row>
    <row r="2066" spans="1:5" x14ac:dyDescent="0.25">
      <c r="A2066" s="47" t="s">
        <v>10854</v>
      </c>
      <c r="B2066" s="47" t="s">
        <v>123</v>
      </c>
      <c r="C2066" s="47" t="s">
        <v>4926</v>
      </c>
      <c r="D2066" s="47">
        <v>0.75408926070779103</v>
      </c>
      <c r="E2066" s="48">
        <f>SUMIF(Data!$E:$E,$C2066,Data!$AI:$AI)</f>
        <v>0.52858464745473188</v>
      </c>
    </row>
    <row r="2067" spans="1:5" x14ac:dyDescent="0.25">
      <c r="A2067" s="47" t="s">
        <v>10854</v>
      </c>
      <c r="B2067" s="47" t="s">
        <v>123</v>
      </c>
      <c r="C2067" s="47" t="s">
        <v>5590</v>
      </c>
      <c r="D2067" s="47">
        <v>9.9908057857509992E-3</v>
      </c>
      <c r="E2067" s="48">
        <f>SUMIF(Data!$E:$E,$C2067,Data!$AI:$AI)</f>
        <v>0</v>
      </c>
    </row>
    <row r="2068" spans="1:5" x14ac:dyDescent="0.25">
      <c r="A2068" s="47" t="s">
        <v>10854</v>
      </c>
      <c r="B2068" s="47" t="s">
        <v>123</v>
      </c>
      <c r="C2068" s="47" t="s">
        <v>5221</v>
      </c>
      <c r="D2068" s="47">
        <v>0.28079996545760499</v>
      </c>
      <c r="E2068" s="48">
        <f>SUMIF(Data!$E:$E,$C2068,Data!$AI:$AI)</f>
        <v>0.14962264013625223</v>
      </c>
    </row>
    <row r="2069" spans="1:5" x14ac:dyDescent="0.25">
      <c r="A2069" s="47" t="s">
        <v>10854</v>
      </c>
      <c r="B2069" s="47" t="s">
        <v>123</v>
      </c>
      <c r="C2069" s="47" t="s">
        <v>5228</v>
      </c>
      <c r="D2069" s="47">
        <v>0.115305670189096</v>
      </c>
      <c r="E2069" s="48">
        <f>SUMIF(Data!$E:$E,$C2069,Data!$AI:$AI)</f>
        <v>0</v>
      </c>
    </row>
    <row r="2070" spans="1:5" x14ac:dyDescent="0.25">
      <c r="A2070" s="47" t="s">
        <v>10854</v>
      </c>
      <c r="B2070" s="47" t="s">
        <v>123</v>
      </c>
      <c r="C2070" s="47" t="s">
        <v>5598</v>
      </c>
      <c r="D2070" s="47">
        <v>9.3368727279526997E-2</v>
      </c>
      <c r="E2070" s="48">
        <f>SUMIF(Data!$E:$E,$C2070,Data!$AI:$AI)</f>
        <v>0</v>
      </c>
    </row>
    <row r="2071" spans="1:5" x14ac:dyDescent="0.25">
      <c r="A2071" s="47" t="s">
        <v>10854</v>
      </c>
      <c r="B2071" s="47" t="s">
        <v>123</v>
      </c>
      <c r="C2071" s="47" t="s">
        <v>3901</v>
      </c>
      <c r="D2071" s="47">
        <v>0.64490734080951195</v>
      </c>
      <c r="E2071" s="48">
        <f>SUMIF(Data!$E:$E,$C2071,Data!$AI:$AI)</f>
        <v>0.4435083799971119</v>
      </c>
    </row>
    <row r="2072" spans="1:5" x14ac:dyDescent="0.25">
      <c r="A2072" s="47" t="s">
        <v>10854</v>
      </c>
      <c r="B2072" s="47" t="s">
        <v>123</v>
      </c>
      <c r="C2072" s="47" t="s">
        <v>5241</v>
      </c>
      <c r="D2072" s="47">
        <v>0.27818957140292699</v>
      </c>
      <c r="E2072" s="48">
        <f>SUMIF(Data!$E:$E,$C2072,Data!$AI:$AI)</f>
        <v>0.22226848933098653</v>
      </c>
    </row>
    <row r="2073" spans="1:5" x14ac:dyDescent="0.25">
      <c r="A2073" s="47" t="s">
        <v>10854</v>
      </c>
      <c r="B2073" s="47" t="s">
        <v>123</v>
      </c>
      <c r="C2073" s="47" t="s">
        <v>5605</v>
      </c>
      <c r="D2073" s="47">
        <v>0.14077882042335799</v>
      </c>
      <c r="E2073" s="48">
        <f>SUMIF(Data!$E:$E,$C2073,Data!$AI:$AI)</f>
        <v>6.758252240413927E-2</v>
      </c>
    </row>
    <row r="2074" spans="1:5" x14ac:dyDescent="0.25">
      <c r="A2074" s="47" t="s">
        <v>10854</v>
      </c>
      <c r="B2074" s="47" t="s">
        <v>123</v>
      </c>
      <c r="C2074" s="47" t="s">
        <v>4938</v>
      </c>
      <c r="D2074" s="47">
        <v>0.859572991887538</v>
      </c>
      <c r="E2074" s="48">
        <f>SUMIF(Data!$E:$E,$C2074,Data!$AI:$AI)</f>
        <v>0</v>
      </c>
    </row>
    <row r="2075" spans="1:5" x14ac:dyDescent="0.25">
      <c r="A2075" s="47" t="s">
        <v>10854</v>
      </c>
      <c r="B2075" s="47" t="s">
        <v>123</v>
      </c>
      <c r="C2075" s="47" t="s">
        <v>5612</v>
      </c>
      <c r="D2075" s="47">
        <v>8.3293128472883005E-2</v>
      </c>
      <c r="E2075" s="48">
        <f>SUMIF(Data!$E:$E,$C2075,Data!$AI:$AI)</f>
        <v>0</v>
      </c>
    </row>
    <row r="2076" spans="1:5" x14ac:dyDescent="0.25">
      <c r="A2076" s="47" t="s">
        <v>10854</v>
      </c>
      <c r="B2076" s="47" t="s">
        <v>123</v>
      </c>
      <c r="C2076" s="47" t="s">
        <v>4647</v>
      </c>
      <c r="D2076" s="47">
        <v>1.8559316117082E-2</v>
      </c>
      <c r="E2076" s="48">
        <f>SUMIF(Data!$E:$E,$C2076,Data!$AI:$AI)</f>
        <v>0</v>
      </c>
    </row>
    <row r="2077" spans="1:5" x14ac:dyDescent="0.25">
      <c r="A2077" s="47" t="s">
        <v>10854</v>
      </c>
      <c r="B2077" s="47" t="s">
        <v>123</v>
      </c>
      <c r="C2077" s="47" t="s">
        <v>5625</v>
      </c>
      <c r="D2077" s="47">
        <v>3.8840476409109002E-2</v>
      </c>
      <c r="E2077" s="48">
        <f>SUMIF(Data!$E:$E,$C2077,Data!$AI:$AI)</f>
        <v>0</v>
      </c>
    </row>
    <row r="2078" spans="1:5" x14ac:dyDescent="0.25">
      <c r="A2078" s="47" t="s">
        <v>10854</v>
      </c>
      <c r="B2078" s="47" t="s">
        <v>123</v>
      </c>
      <c r="C2078" s="47" t="s">
        <v>5632</v>
      </c>
      <c r="D2078" s="47">
        <v>5.5100320988395998E-2</v>
      </c>
      <c r="E2078" s="48">
        <f>SUMIF(Data!$E:$E,$C2078,Data!$AI:$AI)</f>
        <v>0</v>
      </c>
    </row>
    <row r="2079" spans="1:5" x14ac:dyDescent="0.25">
      <c r="A2079" s="47" t="s">
        <v>10854</v>
      </c>
      <c r="B2079" s="47" t="s">
        <v>123</v>
      </c>
      <c r="C2079" s="47" t="s">
        <v>5248</v>
      </c>
      <c r="D2079" s="47">
        <v>0.113504232120604</v>
      </c>
      <c r="E2079" s="48">
        <f>SUMIF(Data!$E:$E,$C2079,Data!$AI:$AI)</f>
        <v>0</v>
      </c>
    </row>
    <row r="2080" spans="1:5" x14ac:dyDescent="0.25">
      <c r="A2080" s="47" t="s">
        <v>10854</v>
      </c>
      <c r="B2080" s="47" t="s">
        <v>123</v>
      </c>
      <c r="C2080" s="47" t="s">
        <v>4009</v>
      </c>
      <c r="D2080" s="47">
        <v>0.21952541806762901</v>
      </c>
      <c r="E2080" s="48">
        <f>SUMIF(Data!$E:$E,$C2080,Data!$AI:$AI)</f>
        <v>0</v>
      </c>
    </row>
    <row r="2081" spans="1:5" x14ac:dyDescent="0.25">
      <c r="A2081" s="47" t="s">
        <v>10854</v>
      </c>
      <c r="B2081" s="47" t="s">
        <v>123</v>
      </c>
      <c r="C2081" s="47" t="s">
        <v>4598</v>
      </c>
      <c r="D2081" s="47">
        <v>0.183423012132301</v>
      </c>
      <c r="E2081" s="48">
        <f>SUMIF(Data!$E:$E,$C2081,Data!$AI:$AI)</f>
        <v>0</v>
      </c>
    </row>
    <row r="2082" spans="1:5" x14ac:dyDescent="0.25">
      <c r="A2082" s="47" t="s">
        <v>10854</v>
      </c>
      <c r="B2082" s="47" t="s">
        <v>123</v>
      </c>
      <c r="C2082" s="47" t="s">
        <v>5639</v>
      </c>
      <c r="D2082" s="47">
        <v>8.3947665511706002E-2</v>
      </c>
      <c r="E2082" s="48">
        <f>SUMIF(Data!$E:$E,$C2082,Data!$AI:$AI)</f>
        <v>0</v>
      </c>
    </row>
    <row r="2083" spans="1:5" x14ac:dyDescent="0.25">
      <c r="A2083" s="47" t="s">
        <v>10854</v>
      </c>
      <c r="B2083" s="47" t="s">
        <v>123</v>
      </c>
      <c r="C2083" s="47" t="s">
        <v>1942</v>
      </c>
      <c r="D2083" s="47">
        <v>1.6208203253212401</v>
      </c>
      <c r="E2083" s="48">
        <f>SUMIF(Data!$E:$E,$C2083,Data!$AI:$AI)</f>
        <v>0</v>
      </c>
    </row>
    <row r="2084" spans="1:5" x14ac:dyDescent="0.25">
      <c r="A2084" s="47" t="s">
        <v>10854</v>
      </c>
      <c r="B2084" s="47" t="s">
        <v>123</v>
      </c>
      <c r="C2084" s="47" t="s">
        <v>4951</v>
      </c>
      <c r="D2084" s="47">
        <v>2.93697719787543</v>
      </c>
      <c r="E2084" s="48">
        <f>SUMIF(Data!$E:$E,$C2084,Data!$AI:$AI)</f>
        <v>0</v>
      </c>
    </row>
    <row r="2085" spans="1:5" x14ac:dyDescent="0.25">
      <c r="A2085" s="47" t="s">
        <v>10854</v>
      </c>
      <c r="B2085" s="47" t="s">
        <v>123</v>
      </c>
      <c r="C2085" s="47" t="s">
        <v>1469</v>
      </c>
      <c r="D2085" s="47">
        <v>1.31638808953885</v>
      </c>
      <c r="E2085" s="48">
        <f>SUMIF(Data!$E:$E,$C2085,Data!$AI:$AI)</f>
        <v>0</v>
      </c>
    </row>
    <row r="2086" spans="1:5" x14ac:dyDescent="0.25">
      <c r="A2086" s="47" t="s">
        <v>10854</v>
      </c>
      <c r="B2086" s="47" t="s">
        <v>123</v>
      </c>
      <c r="C2086" s="47" t="s">
        <v>5647</v>
      </c>
      <c r="D2086" s="47">
        <v>9.6686718458939992E-3</v>
      </c>
      <c r="E2086" s="48">
        <f>SUMIF(Data!$E:$E,$C2086,Data!$AI:$AI)</f>
        <v>0</v>
      </c>
    </row>
    <row r="2087" spans="1:5" x14ac:dyDescent="0.25">
      <c r="A2087" s="47" t="s">
        <v>10854</v>
      </c>
      <c r="B2087" s="47" t="s">
        <v>123</v>
      </c>
      <c r="C2087" s="47" t="s">
        <v>4964</v>
      </c>
      <c r="D2087" s="47">
        <v>0.71293019527484702</v>
      </c>
      <c r="E2087" s="48">
        <f>SUMIF(Data!$E:$E,$C2087,Data!$AI:$AI)</f>
        <v>0</v>
      </c>
    </row>
    <row r="2088" spans="1:5" x14ac:dyDescent="0.25">
      <c r="A2088" s="47" t="s">
        <v>10854</v>
      </c>
      <c r="B2088" s="47" t="s">
        <v>123</v>
      </c>
      <c r="C2088" s="47" t="s">
        <v>4513</v>
      </c>
      <c r="D2088" s="47">
        <v>5.2142939046161997E-2</v>
      </c>
      <c r="E2088" s="48">
        <f>SUMIF(Data!$E:$E,$C2088,Data!$AI:$AI)</f>
        <v>7.5221619812558246E-2</v>
      </c>
    </row>
    <row r="2089" spans="1:5" x14ac:dyDescent="0.25">
      <c r="A2089" s="47" t="s">
        <v>10854</v>
      </c>
      <c r="B2089" s="47" t="s">
        <v>123</v>
      </c>
      <c r="C2089" s="47" t="s">
        <v>5271</v>
      </c>
      <c r="D2089" s="47">
        <v>0.103983523680937</v>
      </c>
      <c r="E2089" s="48">
        <f>SUMIF(Data!$E:$E,$C2089,Data!$AI:$AI)</f>
        <v>0.14326299409755411</v>
      </c>
    </row>
    <row r="2090" spans="1:5" x14ac:dyDescent="0.25">
      <c r="A2090" s="47" t="s">
        <v>10854</v>
      </c>
      <c r="B2090" s="47" t="s">
        <v>123</v>
      </c>
      <c r="C2090" s="47" t="s">
        <v>5277</v>
      </c>
      <c r="D2090" s="47">
        <v>0.33209507565272101</v>
      </c>
      <c r="E2090" s="48">
        <f>SUMIF(Data!$E:$E,$C2090,Data!$AI:$AI)</f>
        <v>0.33919062734131172</v>
      </c>
    </row>
    <row r="2091" spans="1:5" x14ac:dyDescent="0.25">
      <c r="A2091" s="47" t="s">
        <v>10854</v>
      </c>
      <c r="B2091" s="47" t="s">
        <v>123</v>
      </c>
      <c r="C2091" s="47" t="s">
        <v>5284</v>
      </c>
      <c r="D2091" s="47">
        <v>0.30069863029435601</v>
      </c>
      <c r="E2091" s="48">
        <f>SUMIF(Data!$E:$E,$C2091,Data!$AI:$AI)</f>
        <v>0.14335552808713869</v>
      </c>
    </row>
    <row r="2092" spans="1:5" x14ac:dyDescent="0.25">
      <c r="A2092" s="47" t="s">
        <v>10854</v>
      </c>
      <c r="B2092" s="47" t="s">
        <v>123</v>
      </c>
      <c r="C2092" s="47" t="s">
        <v>4971</v>
      </c>
      <c r="D2092" s="47">
        <v>0.61296146288603504</v>
      </c>
      <c r="E2092" s="48">
        <f>SUMIF(Data!$E:$E,$C2092,Data!$AI:$AI)</f>
        <v>0.51478348043038158</v>
      </c>
    </row>
    <row r="2093" spans="1:5" x14ac:dyDescent="0.25">
      <c r="A2093" s="47" t="s">
        <v>10854</v>
      </c>
      <c r="B2093" s="47" t="s">
        <v>123</v>
      </c>
      <c r="C2093" s="47" t="s">
        <v>4978</v>
      </c>
      <c r="D2093" s="47">
        <v>0.70749266868494298</v>
      </c>
      <c r="E2093" s="48">
        <f>SUMIF(Data!$E:$E,$C2093,Data!$AI:$AI)</f>
        <v>0</v>
      </c>
    </row>
    <row r="2094" spans="1:5" x14ac:dyDescent="0.25">
      <c r="A2094" s="47" t="s">
        <v>10854</v>
      </c>
      <c r="B2094" s="47" t="s">
        <v>123</v>
      </c>
      <c r="C2094" s="47" t="s">
        <v>4570</v>
      </c>
      <c r="D2094" s="47">
        <v>4.4494847596722002E-2</v>
      </c>
      <c r="E2094" s="48">
        <f>SUMIF(Data!$E:$E,$C2094,Data!$AI:$AI)</f>
        <v>0.26415097546540911</v>
      </c>
    </row>
    <row r="2095" spans="1:5" x14ac:dyDescent="0.25">
      <c r="A2095" s="47" t="s">
        <v>10854</v>
      </c>
      <c r="B2095" s="47" t="s">
        <v>123</v>
      </c>
      <c r="C2095" s="47" t="s">
        <v>5302</v>
      </c>
      <c r="D2095" s="47">
        <v>0.32453360133130599</v>
      </c>
      <c r="E2095" s="48">
        <f>SUMIF(Data!$E:$E,$C2095,Data!$AI:$AI)</f>
        <v>0</v>
      </c>
    </row>
    <row r="2096" spans="1:5" x14ac:dyDescent="0.25">
      <c r="A2096" s="47" t="s">
        <v>10854</v>
      </c>
      <c r="B2096" s="47" t="s">
        <v>123</v>
      </c>
      <c r="C2096" s="47" t="s">
        <v>6850</v>
      </c>
      <c r="D2096" s="47">
        <v>0.45653299919874801</v>
      </c>
      <c r="E2096" s="48">
        <f>SUMIF(Data!$E:$E,$C2096,Data!$AI:$AI)</f>
        <v>0.7318861193221331</v>
      </c>
    </row>
    <row r="2097" spans="1:5" x14ac:dyDescent="0.25">
      <c r="A2097" s="47" t="s">
        <v>10854</v>
      </c>
      <c r="B2097" s="47" t="s">
        <v>123</v>
      </c>
      <c r="C2097" s="47" t="s">
        <v>5665</v>
      </c>
      <c r="D2097" s="47">
        <v>4.1052931076206001E-2</v>
      </c>
      <c r="E2097" s="48">
        <f>SUMIF(Data!$E:$E,$C2097,Data!$AI:$AI)</f>
        <v>0</v>
      </c>
    </row>
    <row r="2098" spans="1:5" x14ac:dyDescent="0.25">
      <c r="A2098" s="47" t="s">
        <v>10854</v>
      </c>
      <c r="B2098" s="47" t="s">
        <v>123</v>
      </c>
      <c r="C2098" s="47" t="s">
        <v>5671</v>
      </c>
      <c r="D2098" s="47">
        <v>0.14105975145702401</v>
      </c>
      <c r="E2098" s="48">
        <f>SUMIF(Data!$E:$E,$C2098,Data!$AI:$AI)</f>
        <v>8.1525305525001854E-2</v>
      </c>
    </row>
    <row r="2099" spans="1:5" x14ac:dyDescent="0.25">
      <c r="A2099" s="47" t="s">
        <v>10854</v>
      </c>
      <c r="B2099" s="47" t="s">
        <v>123</v>
      </c>
      <c r="C2099" s="47" t="s">
        <v>5678</v>
      </c>
      <c r="D2099" s="47">
        <v>5.5226165380621001E-2</v>
      </c>
      <c r="E2099" s="48">
        <f>SUMIF(Data!$E:$E,$C2099,Data!$AI:$AI)</f>
        <v>0</v>
      </c>
    </row>
    <row r="2100" spans="1:5" x14ac:dyDescent="0.25">
      <c r="A2100" s="47" t="s">
        <v>10854</v>
      </c>
      <c r="B2100" s="47" t="s">
        <v>123</v>
      </c>
      <c r="C2100" s="47" t="s">
        <v>5685</v>
      </c>
      <c r="D2100" s="47">
        <v>6.7121333547510001E-2</v>
      </c>
      <c r="E2100" s="48">
        <f>SUMIF(Data!$E:$E,$C2100,Data!$AI:$AI)</f>
        <v>0</v>
      </c>
    </row>
    <row r="2101" spans="1:5" x14ac:dyDescent="0.25">
      <c r="A2101" s="47" t="s">
        <v>10854</v>
      </c>
      <c r="B2101" s="47" t="s">
        <v>123</v>
      </c>
      <c r="C2101" s="47" t="s">
        <v>5309</v>
      </c>
      <c r="D2101" s="47">
        <v>0.19469077162526499</v>
      </c>
      <c r="E2101" s="48">
        <f>SUMIF(Data!$E:$E,$C2101,Data!$AI:$AI)</f>
        <v>0</v>
      </c>
    </row>
    <row r="2102" spans="1:5" x14ac:dyDescent="0.25">
      <c r="A2102" s="47" t="s">
        <v>10854</v>
      </c>
      <c r="B2102" s="47" t="s">
        <v>123</v>
      </c>
      <c r="C2102" s="47" t="s">
        <v>5316</v>
      </c>
      <c r="D2102" s="47">
        <v>8.5901016243996001E-2</v>
      </c>
      <c r="E2102" s="48">
        <f>SUMIF(Data!$E:$E,$C2102,Data!$AI:$AI)</f>
        <v>0</v>
      </c>
    </row>
    <row r="2103" spans="1:5" x14ac:dyDescent="0.25">
      <c r="A2103" s="47" t="s">
        <v>10854</v>
      </c>
      <c r="B2103" s="47" t="s">
        <v>123</v>
      </c>
      <c r="C2103" s="47" t="s">
        <v>5692</v>
      </c>
      <c r="D2103" s="47">
        <v>0.103837149336422</v>
      </c>
      <c r="E2103" s="48">
        <f>SUMIF(Data!$E:$E,$C2103,Data!$AI:$AI)</f>
        <v>0</v>
      </c>
    </row>
    <row r="2104" spans="1:5" x14ac:dyDescent="0.25">
      <c r="A2104" s="47" t="s">
        <v>10854</v>
      </c>
      <c r="B2104" s="47" t="s">
        <v>123</v>
      </c>
      <c r="C2104" s="47" t="s">
        <v>5699</v>
      </c>
      <c r="D2104" s="47">
        <v>0.13673011412032701</v>
      </c>
      <c r="E2104" s="48">
        <f>SUMIF(Data!$E:$E,$C2104,Data!$AI:$AI)</f>
        <v>0</v>
      </c>
    </row>
    <row r="2105" spans="1:5" x14ac:dyDescent="0.25">
      <c r="A2105" s="47" t="s">
        <v>10854</v>
      </c>
      <c r="B2105" s="47" t="s">
        <v>123</v>
      </c>
      <c r="C2105" s="47" t="s">
        <v>3174</v>
      </c>
      <c r="D2105" s="47">
        <v>0.23647680955119399</v>
      </c>
      <c r="E2105" s="48">
        <f>SUMIF(Data!$E:$E,$C2105,Data!$AI:$AI)</f>
        <v>0</v>
      </c>
    </row>
    <row r="2106" spans="1:5" x14ac:dyDescent="0.25">
      <c r="A2106" s="47" t="s">
        <v>10854</v>
      </c>
      <c r="B2106" s="47" t="s">
        <v>123</v>
      </c>
      <c r="C2106" s="47" t="s">
        <v>5706</v>
      </c>
      <c r="D2106" s="47">
        <v>0.13703324948188</v>
      </c>
      <c r="E2106" s="48">
        <f>SUMIF(Data!$E:$E,$C2106,Data!$AI:$AI)</f>
        <v>0.61622234783355101</v>
      </c>
    </row>
    <row r="2107" spans="1:5" x14ac:dyDescent="0.25">
      <c r="A2107" s="47" t="s">
        <v>10854</v>
      </c>
      <c r="B2107" s="47" t="s">
        <v>123</v>
      </c>
      <c r="C2107" s="47" t="s">
        <v>5712</v>
      </c>
      <c r="D2107" s="47">
        <v>5.7704015979046001E-2</v>
      </c>
      <c r="E2107" s="48">
        <f>SUMIF(Data!$E:$E,$C2107,Data!$AI:$AI)</f>
        <v>0</v>
      </c>
    </row>
    <row r="2108" spans="1:5" x14ac:dyDescent="0.25">
      <c r="A2108" s="47" t="s">
        <v>10854</v>
      </c>
      <c r="B2108" s="47" t="s">
        <v>123</v>
      </c>
      <c r="C2108" s="47" t="s">
        <v>4520</v>
      </c>
      <c r="D2108" s="47">
        <v>0.34655609285387301</v>
      </c>
      <c r="E2108" s="48">
        <f>SUMIF(Data!$E:$E,$C2108,Data!$AI:$AI)</f>
        <v>0</v>
      </c>
    </row>
    <row r="2109" spans="1:5" x14ac:dyDescent="0.25">
      <c r="A2109" s="47" t="s">
        <v>10854</v>
      </c>
      <c r="B2109" s="47" t="s">
        <v>123</v>
      </c>
      <c r="C2109" s="47" t="s">
        <v>5335</v>
      </c>
      <c r="D2109" s="47">
        <v>0.31589690486845701</v>
      </c>
      <c r="E2109" s="48">
        <f>SUMIF(Data!$E:$E,$C2109,Data!$AI:$AI)</f>
        <v>0</v>
      </c>
    </row>
    <row r="2110" spans="1:5" x14ac:dyDescent="0.25">
      <c r="A2110" s="47" t="s">
        <v>10854</v>
      </c>
      <c r="B2110" s="47" t="s">
        <v>123</v>
      </c>
      <c r="C2110" s="47" t="s">
        <v>3581</v>
      </c>
      <c r="D2110" s="47">
        <v>6.8485550139501999E-2</v>
      </c>
      <c r="E2110" s="48">
        <f>SUMIF(Data!$E:$E,$C2110,Data!$AI:$AI)</f>
        <v>0</v>
      </c>
    </row>
    <row r="2111" spans="1:5" x14ac:dyDescent="0.25">
      <c r="A2111" s="47" t="s">
        <v>10854</v>
      </c>
      <c r="B2111" s="47" t="s">
        <v>123</v>
      </c>
      <c r="C2111" s="47" t="s">
        <v>5348</v>
      </c>
      <c r="D2111" s="47">
        <v>0.19514325396895499</v>
      </c>
      <c r="E2111" s="48">
        <f>SUMIF(Data!$E:$E,$C2111,Data!$AI:$AI)</f>
        <v>0</v>
      </c>
    </row>
    <row r="2112" spans="1:5" x14ac:dyDescent="0.25">
      <c r="A2112" s="47" t="s">
        <v>10854</v>
      </c>
      <c r="B2112" s="47" t="s">
        <v>123</v>
      </c>
      <c r="C2112" s="47" t="s">
        <v>5719</v>
      </c>
      <c r="D2112" s="47">
        <v>6.9621753079592993E-2</v>
      </c>
      <c r="E2112" s="48">
        <f>SUMIF(Data!$E:$E,$C2112,Data!$AI:$AI)</f>
        <v>0.1498021462744413</v>
      </c>
    </row>
    <row r="2113" spans="1:5" x14ac:dyDescent="0.25">
      <c r="A2113" s="47" t="s">
        <v>10854</v>
      </c>
      <c r="B2113" s="47" t="s">
        <v>123</v>
      </c>
      <c r="C2113" s="47" t="s">
        <v>5354</v>
      </c>
      <c r="D2113" s="47">
        <v>0.10509809502463199</v>
      </c>
      <c r="E2113" s="48">
        <f>SUMIF(Data!$E:$E,$C2113,Data!$AI:$AI)</f>
        <v>0</v>
      </c>
    </row>
    <row r="2114" spans="1:5" x14ac:dyDescent="0.25">
      <c r="A2114" s="47" t="s">
        <v>10854</v>
      </c>
      <c r="B2114" s="47" t="s">
        <v>123</v>
      </c>
      <c r="C2114" s="47" t="s">
        <v>4605</v>
      </c>
      <c r="D2114" s="47">
        <v>0.51459760454125203</v>
      </c>
      <c r="E2114" s="48">
        <f>SUMIF(Data!$E:$E,$C2114,Data!$AI:$AI)</f>
        <v>0</v>
      </c>
    </row>
    <row r="2115" spans="1:5" x14ac:dyDescent="0.25">
      <c r="A2115" s="47" t="s">
        <v>10854</v>
      </c>
      <c r="B2115" s="47" t="s">
        <v>123</v>
      </c>
      <c r="C2115" s="47" t="s">
        <v>5725</v>
      </c>
      <c r="D2115" s="47">
        <v>4.4624082681330002E-2</v>
      </c>
      <c r="E2115" s="48">
        <f>SUMIF(Data!$E:$E,$C2115,Data!$AI:$AI)</f>
        <v>0</v>
      </c>
    </row>
    <row r="2116" spans="1:5" x14ac:dyDescent="0.25">
      <c r="A2116" s="47" t="s">
        <v>10854</v>
      </c>
      <c r="B2116" s="47" t="s">
        <v>123</v>
      </c>
      <c r="C2116" s="47" t="s">
        <v>5732</v>
      </c>
      <c r="D2116" s="47">
        <v>5.2270881557576997E-2</v>
      </c>
      <c r="E2116" s="48">
        <f>SUMIF(Data!$E:$E,$C2116,Data!$AI:$AI)</f>
        <v>0</v>
      </c>
    </row>
    <row r="2117" spans="1:5" x14ac:dyDescent="0.25">
      <c r="A2117" s="47" t="s">
        <v>10854</v>
      </c>
      <c r="B2117" s="47" t="s">
        <v>123</v>
      </c>
      <c r="C2117" s="47" t="s">
        <v>5741</v>
      </c>
      <c r="D2117" s="47">
        <v>6.3963519175297995E-2</v>
      </c>
      <c r="E2117" s="48">
        <f>SUMIF(Data!$E:$E,$C2117,Data!$AI:$AI)</f>
        <v>0</v>
      </c>
    </row>
    <row r="2118" spans="1:5" x14ac:dyDescent="0.25">
      <c r="A2118" s="47" t="s">
        <v>10854</v>
      </c>
      <c r="B2118" s="47" t="s">
        <v>123</v>
      </c>
      <c r="C2118" s="47" t="s">
        <v>5748</v>
      </c>
      <c r="D2118" s="47">
        <v>1.1990318839826999E-2</v>
      </c>
      <c r="E2118" s="48">
        <f>SUMIF(Data!$E:$E,$C2118,Data!$AI:$AI)</f>
        <v>0</v>
      </c>
    </row>
    <row r="2119" spans="1:5" x14ac:dyDescent="0.25">
      <c r="A2119" s="47" t="s">
        <v>10854</v>
      </c>
      <c r="B2119" s="47" t="s">
        <v>123</v>
      </c>
      <c r="C2119" s="47" t="s">
        <v>5755</v>
      </c>
      <c r="D2119" s="47">
        <v>0.14049720832871701</v>
      </c>
      <c r="E2119" s="48">
        <f>SUMIF(Data!$E:$E,$C2119,Data!$AI:$AI)</f>
        <v>0.32250109258134818</v>
      </c>
    </row>
    <row r="2120" spans="1:5" x14ac:dyDescent="0.25">
      <c r="A2120" s="47" t="s">
        <v>10854</v>
      </c>
      <c r="B2120" s="47" t="s">
        <v>123</v>
      </c>
      <c r="C2120" s="47" t="s">
        <v>5762</v>
      </c>
      <c r="D2120" s="47">
        <v>7.2694005899504005E-2</v>
      </c>
      <c r="E2120" s="48">
        <f>SUMIF(Data!$E:$E,$C2120,Data!$AI:$AI)</f>
        <v>2.7182358068629005E-2</v>
      </c>
    </row>
    <row r="2121" spans="1:5" x14ac:dyDescent="0.25">
      <c r="A2121" s="47" t="s">
        <v>10854</v>
      </c>
      <c r="B2121" s="47" t="s">
        <v>123</v>
      </c>
      <c r="C2121" s="47" t="s">
        <v>5361</v>
      </c>
      <c r="D2121" s="47">
        <v>7.0615264654518006E-2</v>
      </c>
      <c r="E2121" s="48">
        <f>SUMIF(Data!$E:$E,$C2121,Data!$AI:$AI)</f>
        <v>0</v>
      </c>
    </row>
    <row r="2122" spans="1:5" x14ac:dyDescent="0.25">
      <c r="A2122" s="47" t="s">
        <v>10854</v>
      </c>
      <c r="B2122" s="47" t="s">
        <v>123</v>
      </c>
      <c r="C2122" s="47" t="s">
        <v>5769</v>
      </c>
      <c r="D2122" s="47">
        <v>4.1881160768210003E-2</v>
      </c>
      <c r="E2122" s="48">
        <f>SUMIF(Data!$E:$E,$C2122,Data!$AI:$AI)</f>
        <v>0</v>
      </c>
    </row>
    <row r="2123" spans="1:5" x14ac:dyDescent="0.25">
      <c r="A2123" s="47" t="s">
        <v>10854</v>
      </c>
      <c r="B2123" s="47" t="s">
        <v>123</v>
      </c>
      <c r="C2123" s="47" t="s">
        <v>4456</v>
      </c>
      <c r="D2123" s="47">
        <v>9.9781825843919994E-2</v>
      </c>
      <c r="E2123" s="48">
        <f>SUMIF(Data!$E:$E,$C2123,Data!$AI:$AI)</f>
        <v>0</v>
      </c>
    </row>
    <row r="2124" spans="1:5" x14ac:dyDescent="0.25">
      <c r="A2124" s="47" t="s">
        <v>10854</v>
      </c>
      <c r="B2124" s="47" t="s">
        <v>123</v>
      </c>
      <c r="C2124" s="47" t="s">
        <v>5782</v>
      </c>
      <c r="D2124" s="47">
        <v>3.5873397593073002E-2</v>
      </c>
      <c r="E2124" s="48">
        <f>SUMIF(Data!$E:$E,$C2124,Data!$AI:$AI)</f>
        <v>0</v>
      </c>
    </row>
    <row r="2125" spans="1:5" x14ac:dyDescent="0.25">
      <c r="A2125" s="47" t="s">
        <v>10854</v>
      </c>
      <c r="B2125" s="47" t="s">
        <v>123</v>
      </c>
      <c r="C2125" s="47" t="s">
        <v>1780</v>
      </c>
      <c r="D2125" s="47">
        <v>8.6557422603149997E-2</v>
      </c>
      <c r="E2125" s="48">
        <f>SUMIF(Data!$E:$E,$C2125,Data!$AI:$AI)</f>
        <v>0</v>
      </c>
    </row>
    <row r="2126" spans="1:5" x14ac:dyDescent="0.25">
      <c r="A2126" s="47" t="s">
        <v>10854</v>
      </c>
      <c r="B2126" s="47" t="s">
        <v>123</v>
      </c>
      <c r="C2126" s="47" t="s">
        <v>4613</v>
      </c>
      <c r="D2126" s="47">
        <v>0.19130854769908601</v>
      </c>
      <c r="E2126" s="48">
        <f>SUMIF(Data!$E:$E,$C2126,Data!$AI:$AI)</f>
        <v>0</v>
      </c>
    </row>
    <row r="2127" spans="1:5" x14ac:dyDescent="0.25">
      <c r="A2127" s="47" t="s">
        <v>10854</v>
      </c>
      <c r="B2127" s="47" t="s">
        <v>123</v>
      </c>
      <c r="C2127" s="47" t="s">
        <v>5795</v>
      </c>
      <c r="D2127" s="47">
        <v>8.848293764055E-3</v>
      </c>
      <c r="E2127" s="48">
        <f>SUMIF(Data!$E:$E,$C2127,Data!$AI:$AI)</f>
        <v>0</v>
      </c>
    </row>
    <row r="2128" spans="1:5" x14ac:dyDescent="0.25">
      <c r="A2128" s="47" t="s">
        <v>10854</v>
      </c>
      <c r="B2128" s="47" t="s">
        <v>123</v>
      </c>
      <c r="C2128" s="47" t="s">
        <v>5802</v>
      </c>
      <c r="D2128" s="47">
        <v>1.5594091432569001E-2</v>
      </c>
      <c r="E2128" s="48">
        <f>SUMIF(Data!$E:$E,$C2128,Data!$AI:$AI)</f>
        <v>0</v>
      </c>
    </row>
    <row r="2129" spans="1:5" x14ac:dyDescent="0.25">
      <c r="A2129" s="47" t="s">
        <v>10854</v>
      </c>
      <c r="B2129" s="47" t="s">
        <v>123</v>
      </c>
      <c r="C2129" s="47" t="s">
        <v>4984</v>
      </c>
      <c r="D2129" s="47">
        <v>1.0621870108464799</v>
      </c>
      <c r="E2129" s="48">
        <f>SUMIF(Data!$E:$E,$C2129,Data!$AI:$AI)</f>
        <v>0</v>
      </c>
    </row>
    <row r="2130" spans="1:5" x14ac:dyDescent="0.25">
      <c r="A2130" s="47" t="s">
        <v>10854</v>
      </c>
      <c r="B2130" s="47" t="s">
        <v>123</v>
      </c>
      <c r="C2130" s="47" t="s">
        <v>5368</v>
      </c>
      <c r="D2130" s="47">
        <v>8.8857094458465E-2</v>
      </c>
      <c r="E2130" s="48">
        <f>SUMIF(Data!$E:$E,$C2130,Data!$AI:$AI)</f>
        <v>0</v>
      </c>
    </row>
    <row r="2131" spans="1:5" x14ac:dyDescent="0.25">
      <c r="A2131" s="47" t="s">
        <v>10854</v>
      </c>
      <c r="B2131" s="47" t="s">
        <v>123</v>
      </c>
      <c r="C2131" s="47" t="s">
        <v>4991</v>
      </c>
      <c r="D2131" s="47">
        <v>0.60832472795373105</v>
      </c>
      <c r="E2131" s="48">
        <f>SUMIF(Data!$E:$E,$C2131,Data!$AI:$AI)</f>
        <v>0.38077996000694508</v>
      </c>
    </row>
    <row r="2132" spans="1:5" x14ac:dyDescent="0.25">
      <c r="A2132" s="47" t="s">
        <v>10854</v>
      </c>
      <c r="B2132" s="47" t="s">
        <v>123</v>
      </c>
      <c r="C2132" s="47" t="s">
        <v>4998</v>
      </c>
      <c r="D2132" s="47">
        <v>1.6692573330746501</v>
      </c>
      <c r="E2132" s="48">
        <f>SUMIF(Data!$E:$E,$C2132,Data!$AI:$AI)</f>
        <v>0</v>
      </c>
    </row>
    <row r="2133" spans="1:5" x14ac:dyDescent="0.25">
      <c r="A2133" s="47" t="s">
        <v>10854</v>
      </c>
      <c r="B2133" s="47" t="s">
        <v>123</v>
      </c>
      <c r="C2133" s="47" t="s">
        <v>5375</v>
      </c>
      <c r="D2133" s="47">
        <v>0.12768026793291801</v>
      </c>
      <c r="E2133" s="48">
        <f>SUMIF(Data!$E:$E,$C2133,Data!$AI:$AI)</f>
        <v>0</v>
      </c>
    </row>
    <row r="2134" spans="1:5" x14ac:dyDescent="0.25">
      <c r="A2134" s="47" t="s">
        <v>10854</v>
      </c>
      <c r="B2134" s="47" t="s">
        <v>123</v>
      </c>
      <c r="C2134" s="47" t="s">
        <v>6338</v>
      </c>
      <c r="D2134" s="47">
        <v>0.183755269032012</v>
      </c>
      <c r="E2134" s="48">
        <f>SUMIF(Data!$E:$E,$C2134,Data!$AI:$AI)</f>
        <v>0</v>
      </c>
    </row>
    <row r="2135" spans="1:5" x14ac:dyDescent="0.25">
      <c r="A2135" s="47" t="s">
        <v>10854</v>
      </c>
      <c r="B2135" s="47" t="s">
        <v>123</v>
      </c>
      <c r="C2135" s="47" t="s">
        <v>5382</v>
      </c>
      <c r="D2135" s="47">
        <v>0.122462078559937</v>
      </c>
      <c r="E2135" s="48">
        <f>SUMIF(Data!$E:$E,$C2135,Data!$AI:$AI)</f>
        <v>0</v>
      </c>
    </row>
    <row r="2136" spans="1:5" x14ac:dyDescent="0.25">
      <c r="A2136" s="47" t="s">
        <v>10854</v>
      </c>
      <c r="B2136" s="47" t="s">
        <v>123</v>
      </c>
      <c r="C2136" s="47" t="s">
        <v>5389</v>
      </c>
      <c r="D2136" s="47">
        <v>0.21127418378575499</v>
      </c>
      <c r="E2136" s="48">
        <f>SUMIF(Data!$E:$E,$C2136,Data!$AI:$AI)</f>
        <v>0.2843976266541573</v>
      </c>
    </row>
    <row r="2137" spans="1:5" x14ac:dyDescent="0.25">
      <c r="A2137" s="47" t="s">
        <v>10854</v>
      </c>
      <c r="B2137" s="47" t="s">
        <v>123</v>
      </c>
      <c r="C2137" s="47" t="s">
        <v>5809</v>
      </c>
      <c r="D2137" s="47">
        <v>4.6172250507359999E-2</v>
      </c>
      <c r="E2137" s="48">
        <f>SUMIF(Data!$E:$E,$C2137,Data!$AI:$AI)</f>
        <v>0</v>
      </c>
    </row>
    <row r="2138" spans="1:5" x14ac:dyDescent="0.25">
      <c r="A2138" s="47" t="s">
        <v>10854</v>
      </c>
      <c r="B2138" s="47" t="s">
        <v>123</v>
      </c>
      <c r="C2138" s="47" t="s">
        <v>5816</v>
      </c>
      <c r="D2138" s="47">
        <v>6.9386914633047997E-2</v>
      </c>
      <c r="E2138" s="48">
        <f>SUMIF(Data!$E:$E,$C2138,Data!$AI:$AI)</f>
        <v>0</v>
      </c>
    </row>
    <row r="2139" spans="1:5" x14ac:dyDescent="0.25">
      <c r="A2139" s="47" t="s">
        <v>10854</v>
      </c>
      <c r="B2139" s="47" t="s">
        <v>123</v>
      </c>
      <c r="C2139" s="47" t="s">
        <v>5005</v>
      </c>
      <c r="D2139" s="47">
        <v>0.78930915376639399</v>
      </c>
      <c r="E2139" s="48">
        <f>SUMIF(Data!$E:$E,$C2139,Data!$AI:$AI)</f>
        <v>0</v>
      </c>
    </row>
    <row r="2140" spans="1:5" x14ac:dyDescent="0.25">
      <c r="A2140" s="47" t="s">
        <v>10854</v>
      </c>
      <c r="B2140" s="47" t="s">
        <v>123</v>
      </c>
      <c r="C2140" s="47" t="s">
        <v>5823</v>
      </c>
      <c r="D2140" s="47">
        <v>5.407780172631E-2</v>
      </c>
      <c r="E2140" s="48">
        <f>SUMIF(Data!$E:$E,$C2140,Data!$AI:$AI)</f>
        <v>0</v>
      </c>
    </row>
    <row r="2141" spans="1:5" x14ac:dyDescent="0.25">
      <c r="A2141" s="47" t="s">
        <v>10854</v>
      </c>
      <c r="B2141" s="47" t="s">
        <v>123</v>
      </c>
      <c r="C2141" s="47" t="s">
        <v>5830</v>
      </c>
      <c r="D2141" s="47">
        <v>2.1212801993145999E-2</v>
      </c>
      <c r="E2141" s="48">
        <f>SUMIF(Data!$E:$E,$C2141,Data!$AI:$AI)</f>
        <v>0</v>
      </c>
    </row>
    <row r="2142" spans="1:5" x14ac:dyDescent="0.25">
      <c r="A2142" s="47" t="s">
        <v>10854</v>
      </c>
      <c r="B2142" s="47" t="s">
        <v>123</v>
      </c>
      <c r="C2142" s="47" t="s">
        <v>5012</v>
      </c>
      <c r="D2142" s="47">
        <v>0.63574880516195698</v>
      </c>
      <c r="E2142" s="48">
        <f>SUMIF(Data!$E:$E,$C2142,Data!$AI:$AI)</f>
        <v>0.77934157011859584</v>
      </c>
    </row>
    <row r="2143" spans="1:5" x14ac:dyDescent="0.25">
      <c r="A2143" s="47" t="s">
        <v>10854</v>
      </c>
      <c r="B2143" s="47" t="s">
        <v>123</v>
      </c>
      <c r="C2143" s="47" t="s">
        <v>5836</v>
      </c>
      <c r="D2143" s="47">
        <v>3.4452067957255E-2</v>
      </c>
      <c r="E2143" s="48">
        <f>SUMIF(Data!$E:$E,$C2143,Data!$AI:$AI)</f>
        <v>0</v>
      </c>
    </row>
    <row r="2144" spans="1:5" x14ac:dyDescent="0.25">
      <c r="A2144" s="47" t="s">
        <v>10854</v>
      </c>
      <c r="B2144" s="47" t="s">
        <v>123</v>
      </c>
      <c r="C2144" s="47" t="s">
        <v>5396</v>
      </c>
      <c r="D2144" s="47">
        <v>1.4569642819964E-2</v>
      </c>
      <c r="E2144" s="48">
        <f>SUMIF(Data!$E:$E,$C2144,Data!$AI:$AI)</f>
        <v>0</v>
      </c>
    </row>
    <row r="2145" spans="1:5" x14ac:dyDescent="0.25">
      <c r="A2145" s="47" t="s">
        <v>10854</v>
      </c>
      <c r="B2145" s="47" t="s">
        <v>123</v>
      </c>
      <c r="C2145" s="47" t="s">
        <v>5402</v>
      </c>
      <c r="D2145" s="47">
        <v>0.15284493128824</v>
      </c>
      <c r="E2145" s="48">
        <f>SUMIF(Data!$E:$E,$C2145,Data!$AI:$AI)</f>
        <v>0.2044484818987839</v>
      </c>
    </row>
    <row r="2146" spans="1:5" x14ac:dyDescent="0.25">
      <c r="A2146" s="47" t="s">
        <v>10854</v>
      </c>
      <c r="B2146" s="47" t="s">
        <v>123</v>
      </c>
      <c r="C2146" s="47" t="s">
        <v>5019</v>
      </c>
      <c r="D2146" s="47">
        <v>1.4753326340931301</v>
      </c>
      <c r="E2146" s="48">
        <f>SUMIF(Data!$E:$E,$C2146,Data!$AI:$AI)</f>
        <v>0</v>
      </c>
    </row>
    <row r="2147" spans="1:5" x14ac:dyDescent="0.25">
      <c r="A2147" s="47" t="s">
        <v>10854</v>
      </c>
      <c r="B2147" s="47" t="s">
        <v>123</v>
      </c>
      <c r="C2147" s="47" t="s">
        <v>5409</v>
      </c>
      <c r="D2147" s="47">
        <v>0.48840218330580898</v>
      </c>
      <c r="E2147" s="48">
        <f>SUMIF(Data!$E:$E,$C2147,Data!$AI:$AI)</f>
        <v>0.58444404567070329</v>
      </c>
    </row>
    <row r="2148" spans="1:5" x14ac:dyDescent="0.25">
      <c r="A2148" s="47" t="s">
        <v>10854</v>
      </c>
      <c r="B2148" s="47" t="s">
        <v>123</v>
      </c>
      <c r="C2148" s="47" t="s">
        <v>5026</v>
      </c>
      <c r="D2148" s="47">
        <v>1.9145208780261</v>
      </c>
      <c r="E2148" s="48">
        <f>SUMIF(Data!$E:$E,$C2148,Data!$AI:$AI)</f>
        <v>0</v>
      </c>
    </row>
    <row r="2149" spans="1:5" x14ac:dyDescent="0.25">
      <c r="A2149" s="47" t="s">
        <v>10854</v>
      </c>
      <c r="B2149" s="47" t="s">
        <v>123</v>
      </c>
      <c r="C2149" s="47" t="s">
        <v>6750</v>
      </c>
      <c r="D2149" s="47">
        <v>0.20753927942219</v>
      </c>
      <c r="E2149" s="48">
        <f>SUMIF(Data!$E:$E,$C2149,Data!$AI:$AI)</f>
        <v>0.68951282351564869</v>
      </c>
    </row>
    <row r="2150" spans="1:5" x14ac:dyDescent="0.25">
      <c r="A2150" s="47" t="s">
        <v>10855</v>
      </c>
      <c r="B2150" s="47" t="s">
        <v>123</v>
      </c>
      <c r="C2150" s="47" t="s">
        <v>5417</v>
      </c>
      <c r="D2150" s="47">
        <v>2.4E-2</v>
      </c>
      <c r="E2150" s="48">
        <f>SUMIF(Data!$E:$E,$C2150,Data!$AI:$AI)</f>
        <v>0</v>
      </c>
    </row>
    <row r="2151" spans="1:5" x14ac:dyDescent="0.25">
      <c r="A2151" s="47" t="s">
        <v>10855</v>
      </c>
      <c r="B2151" s="47" t="s">
        <v>123</v>
      </c>
      <c r="C2151" s="47" t="s">
        <v>5424</v>
      </c>
      <c r="D2151" s="47">
        <v>0.17299999999999999</v>
      </c>
      <c r="E2151" s="48">
        <f>SUMIF(Data!$E:$E,$C2151,Data!$AI:$AI)</f>
        <v>0.14993036494457632</v>
      </c>
    </row>
    <row r="2152" spans="1:5" x14ac:dyDescent="0.25">
      <c r="A2152" s="47" t="s">
        <v>10855</v>
      </c>
      <c r="B2152" s="47" t="s">
        <v>123</v>
      </c>
      <c r="C2152" s="47" t="s">
        <v>4464</v>
      </c>
      <c r="D2152" s="47">
        <v>0.21099999999999999</v>
      </c>
      <c r="E2152" s="48">
        <f>SUMIF(Data!$E:$E,$C2152,Data!$AI:$AI)</f>
        <v>0.16778694604010902</v>
      </c>
    </row>
    <row r="2153" spans="1:5" x14ac:dyDescent="0.25">
      <c r="A2153" s="47" t="s">
        <v>10855</v>
      </c>
      <c r="B2153" s="47" t="s">
        <v>123</v>
      </c>
      <c r="C2153" s="47" t="s">
        <v>5431</v>
      </c>
      <c r="D2153" s="47">
        <v>4.2999999999999997E-2</v>
      </c>
      <c r="E2153" s="48">
        <f>SUMIF(Data!$E:$E,$C2153,Data!$AI:$AI)</f>
        <v>0</v>
      </c>
    </row>
    <row r="2154" spans="1:5" x14ac:dyDescent="0.25">
      <c r="A2154" s="47" t="s">
        <v>10855</v>
      </c>
      <c r="B2154" s="47" t="s">
        <v>123</v>
      </c>
      <c r="C2154" s="47" t="s">
        <v>4471</v>
      </c>
      <c r="D2154" s="47">
        <v>6.0999999999999999E-2</v>
      </c>
      <c r="E2154" s="48">
        <f>SUMIF(Data!$E:$E,$C2154,Data!$AI:$AI)</f>
        <v>0</v>
      </c>
    </row>
    <row r="2155" spans="1:5" x14ac:dyDescent="0.25">
      <c r="A2155" s="47" t="s">
        <v>10855</v>
      </c>
      <c r="B2155" s="47" t="s">
        <v>123</v>
      </c>
      <c r="C2155" s="47" t="s">
        <v>4578</v>
      </c>
      <c r="D2155" s="47">
        <v>2.786</v>
      </c>
      <c r="E2155" s="48">
        <f>SUMIF(Data!$E:$E,$C2155,Data!$AI:$AI)</f>
        <v>0.82698926913975535</v>
      </c>
    </row>
    <row r="2156" spans="1:5" x14ac:dyDescent="0.25">
      <c r="A2156" s="47" t="s">
        <v>10855</v>
      </c>
      <c r="B2156" s="47" t="s">
        <v>123</v>
      </c>
      <c r="C2156" s="47" t="s">
        <v>2017</v>
      </c>
      <c r="D2156" s="47">
        <v>0.44500000000000001</v>
      </c>
      <c r="E2156" s="48">
        <f>SUMIF(Data!$E:$E,$C2156,Data!$AI:$AI)</f>
        <v>0</v>
      </c>
    </row>
    <row r="2157" spans="1:5" x14ac:dyDescent="0.25">
      <c r="A2157" s="47" t="s">
        <v>10855</v>
      </c>
      <c r="B2157" s="47" t="s">
        <v>123</v>
      </c>
      <c r="C2157" s="47" t="s">
        <v>4492</v>
      </c>
      <c r="D2157" s="47">
        <v>0.57899999999999996</v>
      </c>
      <c r="E2157" s="48">
        <f>SUMIF(Data!$E:$E,$C2157,Data!$AI:$AI)</f>
        <v>0</v>
      </c>
    </row>
    <row r="2158" spans="1:5" x14ac:dyDescent="0.25">
      <c r="A2158" s="47" t="s">
        <v>10855</v>
      </c>
      <c r="B2158" s="47" t="s">
        <v>123</v>
      </c>
      <c r="C2158" s="47" t="s">
        <v>4768</v>
      </c>
      <c r="D2158" s="47">
        <v>2.0590000000000002</v>
      </c>
      <c r="E2158" s="48">
        <f>SUMIF(Data!$E:$E,$C2158,Data!$AI:$AI)</f>
        <v>0</v>
      </c>
    </row>
    <row r="2159" spans="1:5" x14ac:dyDescent="0.25">
      <c r="A2159" s="47" t="s">
        <v>10855</v>
      </c>
      <c r="B2159" s="47" t="s">
        <v>123</v>
      </c>
      <c r="C2159" s="47" t="s">
        <v>4585</v>
      </c>
      <c r="D2159" s="47">
        <v>0.23300000000000001</v>
      </c>
      <c r="E2159" s="48">
        <f>SUMIF(Data!$E:$E,$C2159,Data!$AI:$AI)</f>
        <v>0.50254664386636194</v>
      </c>
    </row>
    <row r="2160" spans="1:5" x14ac:dyDescent="0.25">
      <c r="A2160" s="47" t="s">
        <v>10855</v>
      </c>
      <c r="B2160" s="47" t="s">
        <v>123</v>
      </c>
      <c r="C2160" s="47" t="s">
        <v>5444</v>
      </c>
      <c r="D2160" s="47">
        <v>0.14499999999999999</v>
      </c>
      <c r="E2160" s="48">
        <f>SUMIF(Data!$E:$E,$C2160,Data!$AI:$AI)</f>
        <v>0.13053515410881558</v>
      </c>
    </row>
    <row r="2161" spans="1:5" x14ac:dyDescent="0.25">
      <c r="A2161" s="47" t="s">
        <v>10855</v>
      </c>
      <c r="B2161" s="47" t="s">
        <v>123</v>
      </c>
      <c r="C2161" s="47" t="s">
        <v>5051</v>
      </c>
      <c r="D2161" s="47">
        <v>0.60799999999999998</v>
      </c>
      <c r="E2161" s="48">
        <f>SUMIF(Data!$E:$E,$C2161,Data!$AI:$AI)</f>
        <v>0.40847619001243751</v>
      </c>
    </row>
    <row r="2162" spans="1:5" x14ac:dyDescent="0.25">
      <c r="A2162" s="47" t="s">
        <v>10855</v>
      </c>
      <c r="B2162" s="47" t="s">
        <v>123</v>
      </c>
      <c r="C2162" s="47" t="s">
        <v>5058</v>
      </c>
      <c r="D2162" s="47">
        <v>0.32800000000000001</v>
      </c>
      <c r="E2162" s="48">
        <f>SUMIF(Data!$E:$E,$C2162,Data!$AI:$AI)</f>
        <v>0</v>
      </c>
    </row>
    <row r="2163" spans="1:5" x14ac:dyDescent="0.25">
      <c r="A2163" s="47" t="s">
        <v>10855</v>
      </c>
      <c r="B2163" s="47" t="s">
        <v>123</v>
      </c>
      <c r="C2163" s="47" t="s">
        <v>5065</v>
      </c>
      <c r="D2163" s="47">
        <v>0.54800000000000004</v>
      </c>
      <c r="E2163" s="48">
        <f>SUMIF(Data!$E:$E,$C2163,Data!$AI:$AI)</f>
        <v>0.49255800486170526</v>
      </c>
    </row>
    <row r="2164" spans="1:5" x14ac:dyDescent="0.25">
      <c r="A2164" s="47" t="s">
        <v>10855</v>
      </c>
      <c r="B2164" s="47" t="s">
        <v>123</v>
      </c>
      <c r="C2164" s="47" t="s">
        <v>4592</v>
      </c>
      <c r="D2164" s="47">
        <v>1.6850000000000001</v>
      </c>
      <c r="E2164" s="48">
        <f>SUMIF(Data!$E:$E,$C2164,Data!$AI:$AI)</f>
        <v>0</v>
      </c>
    </row>
    <row r="2165" spans="1:5" x14ac:dyDescent="0.25">
      <c r="A2165" s="47" t="s">
        <v>10855</v>
      </c>
      <c r="B2165" s="47" t="s">
        <v>123</v>
      </c>
      <c r="C2165" s="47" t="s">
        <v>5451</v>
      </c>
      <c r="D2165" s="47">
        <v>3.7999999999999999E-2</v>
      </c>
      <c r="E2165" s="48">
        <f>SUMIF(Data!$E:$E,$C2165,Data!$AI:$AI)</f>
        <v>0</v>
      </c>
    </row>
    <row r="2166" spans="1:5" x14ac:dyDescent="0.25">
      <c r="A2166" s="47" t="s">
        <v>10855</v>
      </c>
      <c r="B2166" s="47" t="s">
        <v>123</v>
      </c>
      <c r="C2166" s="47" t="s">
        <v>4782</v>
      </c>
      <c r="D2166" s="47">
        <v>1.071</v>
      </c>
      <c r="E2166" s="48">
        <f>SUMIF(Data!$E:$E,$C2166,Data!$AI:$AI)</f>
        <v>0</v>
      </c>
    </row>
    <row r="2167" spans="1:5" x14ac:dyDescent="0.25">
      <c r="A2167" s="47" t="s">
        <v>10855</v>
      </c>
      <c r="B2167" s="47" t="s">
        <v>123</v>
      </c>
      <c r="C2167" s="47" t="s">
        <v>948</v>
      </c>
      <c r="D2167" s="47">
        <v>5.1999999999999998E-2</v>
      </c>
      <c r="E2167" s="48">
        <f>SUMIF(Data!$E:$E,$C2167,Data!$AI:$AI)</f>
        <v>0</v>
      </c>
    </row>
    <row r="2168" spans="1:5" x14ac:dyDescent="0.25">
      <c r="A2168" s="47" t="s">
        <v>10855</v>
      </c>
      <c r="B2168" s="47" t="s">
        <v>123</v>
      </c>
      <c r="C2168" s="47" t="s">
        <v>5457</v>
      </c>
      <c r="D2168" s="47">
        <v>0.08</v>
      </c>
      <c r="E2168" s="48">
        <f>SUMIF(Data!$E:$E,$C2168,Data!$AI:$AI)</f>
        <v>0</v>
      </c>
    </row>
    <row r="2169" spans="1:5" x14ac:dyDescent="0.25">
      <c r="A2169" s="47" t="s">
        <v>10855</v>
      </c>
      <c r="B2169" s="47" t="s">
        <v>123</v>
      </c>
      <c r="C2169" s="47" t="s">
        <v>5072</v>
      </c>
      <c r="D2169" s="47">
        <v>0.35399999999999998</v>
      </c>
      <c r="E2169" s="48">
        <f>SUMIF(Data!$E:$E,$C2169,Data!$AI:$AI)</f>
        <v>0.26629035811338408</v>
      </c>
    </row>
    <row r="2170" spans="1:5" x14ac:dyDescent="0.25">
      <c r="A2170" s="47" t="s">
        <v>10855</v>
      </c>
      <c r="B2170" s="47" t="s">
        <v>123</v>
      </c>
      <c r="C2170" s="47" t="s">
        <v>4789</v>
      </c>
      <c r="D2170" s="47">
        <v>0.94</v>
      </c>
      <c r="E2170" s="48">
        <f>SUMIF(Data!$E:$E,$C2170,Data!$AI:$AI)</f>
        <v>0</v>
      </c>
    </row>
    <row r="2171" spans="1:5" x14ac:dyDescent="0.25">
      <c r="A2171" s="47" t="s">
        <v>10855</v>
      </c>
      <c r="B2171" s="47" t="s">
        <v>123</v>
      </c>
      <c r="C2171" s="47" t="s">
        <v>5463</v>
      </c>
      <c r="D2171" s="47">
        <v>0.14399999999999999</v>
      </c>
      <c r="E2171" s="48">
        <f>SUMIF(Data!$E:$E,$C2171,Data!$AI:$AI)</f>
        <v>0</v>
      </c>
    </row>
    <row r="2172" spans="1:5" x14ac:dyDescent="0.25">
      <c r="A2172" s="47" t="s">
        <v>10855</v>
      </c>
      <c r="B2172" s="47" t="s">
        <v>123</v>
      </c>
      <c r="C2172" s="47" t="s">
        <v>3205</v>
      </c>
      <c r="D2172" s="47">
        <v>0.93300000000000005</v>
      </c>
      <c r="E2172" s="48">
        <f>SUMIF(Data!$E:$E,$C2172,Data!$AI:$AI)</f>
        <v>0</v>
      </c>
    </row>
    <row r="2173" spans="1:5" x14ac:dyDescent="0.25">
      <c r="A2173" s="47" t="s">
        <v>10855</v>
      </c>
      <c r="B2173" s="47" t="s">
        <v>123</v>
      </c>
      <c r="C2173" s="47" t="s">
        <v>5470</v>
      </c>
      <c r="D2173" s="47">
        <v>0.215</v>
      </c>
      <c r="E2173" s="48">
        <f>SUMIF(Data!$E:$E,$C2173,Data!$AI:$AI)</f>
        <v>0</v>
      </c>
    </row>
    <row r="2174" spans="1:5" x14ac:dyDescent="0.25">
      <c r="A2174" s="47" t="s">
        <v>10855</v>
      </c>
      <c r="B2174" s="47" t="s">
        <v>123</v>
      </c>
      <c r="C2174" s="47" t="s">
        <v>5477</v>
      </c>
      <c r="D2174" s="47">
        <v>9.4E-2</v>
      </c>
      <c r="E2174" s="48">
        <f>SUMIF(Data!$E:$E,$C2174,Data!$AI:$AI)</f>
        <v>0</v>
      </c>
    </row>
    <row r="2175" spans="1:5" x14ac:dyDescent="0.25">
      <c r="A2175" s="47" t="s">
        <v>10855</v>
      </c>
      <c r="B2175" s="47" t="s">
        <v>123</v>
      </c>
      <c r="C2175" s="47" t="s">
        <v>5484</v>
      </c>
      <c r="D2175" s="47">
        <v>0.253</v>
      </c>
      <c r="E2175" s="48">
        <f>SUMIF(Data!$E:$E,$C2175,Data!$AI:$AI)</f>
        <v>0</v>
      </c>
    </row>
    <row r="2176" spans="1:5" x14ac:dyDescent="0.25">
      <c r="A2176" s="47" t="s">
        <v>10855</v>
      </c>
      <c r="B2176" s="47" t="s">
        <v>123</v>
      </c>
      <c r="C2176" s="47" t="s">
        <v>4527</v>
      </c>
      <c r="D2176" s="47">
        <v>0.45500000000000002</v>
      </c>
      <c r="E2176" s="48">
        <f>SUMIF(Data!$E:$E,$C2176,Data!$AI:$AI)</f>
        <v>0</v>
      </c>
    </row>
    <row r="2177" spans="1:5" x14ac:dyDescent="0.25">
      <c r="A2177" s="47" t="s">
        <v>10855</v>
      </c>
      <c r="B2177" s="47" t="s">
        <v>123</v>
      </c>
      <c r="C2177" s="47" t="s">
        <v>5085</v>
      </c>
      <c r="D2177" s="47">
        <v>0.14699999999999999</v>
      </c>
      <c r="E2177" s="48">
        <f>SUMIF(Data!$E:$E,$C2177,Data!$AI:$AI)</f>
        <v>0</v>
      </c>
    </row>
    <row r="2178" spans="1:5" x14ac:dyDescent="0.25">
      <c r="A2178" s="47" t="s">
        <v>10855</v>
      </c>
      <c r="B2178" s="47" t="s">
        <v>123</v>
      </c>
      <c r="C2178" s="47" t="s">
        <v>4801</v>
      </c>
      <c r="D2178" s="47">
        <v>3.12</v>
      </c>
      <c r="E2178" s="48">
        <f>SUMIF(Data!$E:$E,$C2178,Data!$AI:$AI)</f>
        <v>0.9366848889291185</v>
      </c>
    </row>
    <row r="2179" spans="1:5" x14ac:dyDescent="0.25">
      <c r="A2179" s="47" t="s">
        <v>10855</v>
      </c>
      <c r="B2179" s="47" t="s">
        <v>123</v>
      </c>
      <c r="C2179" s="47" t="s">
        <v>4499</v>
      </c>
      <c r="D2179" s="47">
        <v>0.54300000000000004</v>
      </c>
      <c r="E2179" s="48">
        <f>SUMIF(Data!$E:$E,$C2179,Data!$AI:$AI)</f>
        <v>0</v>
      </c>
    </row>
    <row r="2180" spans="1:5" x14ac:dyDescent="0.25">
      <c r="A2180" s="47" t="s">
        <v>10855</v>
      </c>
      <c r="B2180" s="47" t="s">
        <v>123</v>
      </c>
      <c r="C2180" s="47" t="s">
        <v>5491</v>
      </c>
      <c r="D2180" s="47">
        <v>0.127</v>
      </c>
      <c r="E2180" s="48">
        <f>SUMIF(Data!$E:$E,$C2180,Data!$AI:$AI)</f>
        <v>0</v>
      </c>
    </row>
    <row r="2181" spans="1:5" x14ac:dyDescent="0.25">
      <c r="A2181" s="47" t="s">
        <v>10855</v>
      </c>
      <c r="B2181" s="47" t="s">
        <v>123</v>
      </c>
      <c r="C2181" s="47" t="s">
        <v>3145</v>
      </c>
      <c r="D2181" s="47">
        <v>1.256</v>
      </c>
      <c r="E2181" s="48">
        <f>SUMIF(Data!$E:$E,$C2181,Data!$AI:$AI)</f>
        <v>0</v>
      </c>
    </row>
    <row r="2182" spans="1:5" x14ac:dyDescent="0.25">
      <c r="A2182" s="47" t="s">
        <v>10855</v>
      </c>
      <c r="B2182" s="47" t="s">
        <v>123</v>
      </c>
      <c r="C2182" s="47" t="s">
        <v>4506</v>
      </c>
      <c r="D2182" s="47">
        <v>0.10100000000000001</v>
      </c>
      <c r="E2182" s="48">
        <f>SUMIF(Data!$E:$E,$C2182,Data!$AI:$AI)</f>
        <v>0.35312037204807345</v>
      </c>
    </row>
    <row r="2183" spans="1:5" x14ac:dyDescent="0.25">
      <c r="A2183" s="47" t="s">
        <v>10855</v>
      </c>
      <c r="B2183" s="47" t="s">
        <v>123</v>
      </c>
      <c r="C2183" s="47" t="s">
        <v>5498</v>
      </c>
      <c r="D2183" s="47">
        <v>6.9000000000000006E-2</v>
      </c>
      <c r="E2183" s="48">
        <f>SUMIF(Data!$E:$E,$C2183,Data!$AI:$AI)</f>
        <v>0</v>
      </c>
    </row>
    <row r="2184" spans="1:5" x14ac:dyDescent="0.25">
      <c r="A2184" s="47" t="s">
        <v>10855</v>
      </c>
      <c r="B2184" s="47" t="s">
        <v>123</v>
      </c>
      <c r="C2184" s="47" t="s">
        <v>3152</v>
      </c>
      <c r="D2184" s="47">
        <v>0.48299999999999998</v>
      </c>
      <c r="E2184" s="48">
        <f>SUMIF(Data!$E:$E,$C2184,Data!$AI:$AI)</f>
        <v>0.13519946439795033</v>
      </c>
    </row>
    <row r="2185" spans="1:5" x14ac:dyDescent="0.25">
      <c r="A2185" s="47" t="s">
        <v>10855</v>
      </c>
      <c r="B2185" s="47" t="s">
        <v>123</v>
      </c>
      <c r="C2185" s="47" t="s">
        <v>4549</v>
      </c>
      <c r="D2185" s="47">
        <v>0.48199999999999998</v>
      </c>
      <c r="E2185" s="48">
        <f>SUMIF(Data!$E:$E,$C2185,Data!$AI:$AI)</f>
        <v>0</v>
      </c>
    </row>
    <row r="2186" spans="1:5" x14ac:dyDescent="0.25">
      <c r="A2186" s="47" t="s">
        <v>10855</v>
      </c>
      <c r="B2186" s="47" t="s">
        <v>123</v>
      </c>
      <c r="C2186" s="47" t="s">
        <v>4814</v>
      </c>
      <c r="D2186" s="47">
        <v>0.50600000000000001</v>
      </c>
      <c r="E2186" s="48">
        <f>SUMIF(Data!$E:$E,$C2186,Data!$AI:$AI)</f>
        <v>0</v>
      </c>
    </row>
    <row r="2187" spans="1:5" x14ac:dyDescent="0.25">
      <c r="A2187" s="47" t="s">
        <v>10855</v>
      </c>
      <c r="B2187" s="47" t="s">
        <v>123</v>
      </c>
      <c r="C2187" s="47" t="s">
        <v>4821</v>
      </c>
      <c r="D2187" s="47">
        <v>0.61699999999999999</v>
      </c>
      <c r="E2187" s="48">
        <f>SUMIF(Data!$E:$E,$C2187,Data!$AI:$AI)</f>
        <v>0</v>
      </c>
    </row>
    <row r="2188" spans="1:5" x14ac:dyDescent="0.25">
      <c r="A2188" s="47" t="s">
        <v>10855</v>
      </c>
      <c r="B2188" s="47" t="s">
        <v>123</v>
      </c>
      <c r="C2188" s="47" t="s">
        <v>5115</v>
      </c>
      <c r="D2188" s="47">
        <v>0.60399999999999998</v>
      </c>
      <c r="E2188" s="48">
        <f>SUMIF(Data!$E:$E,$C2188,Data!$AI:$AI)</f>
        <v>0</v>
      </c>
    </row>
    <row r="2189" spans="1:5" x14ac:dyDescent="0.25">
      <c r="A2189" s="47" t="s">
        <v>10855</v>
      </c>
      <c r="B2189" s="47" t="s">
        <v>123</v>
      </c>
      <c r="C2189" s="47" t="s">
        <v>5511</v>
      </c>
      <c r="D2189" s="47">
        <v>5.0999999999999997E-2</v>
      </c>
      <c r="E2189" s="48">
        <f>SUMIF(Data!$E:$E,$C2189,Data!$AI:$AI)</f>
        <v>0</v>
      </c>
    </row>
    <row r="2190" spans="1:5" x14ac:dyDescent="0.25">
      <c r="A2190" s="47" t="s">
        <v>10855</v>
      </c>
      <c r="B2190" s="47" t="s">
        <v>123</v>
      </c>
      <c r="C2190" s="47" t="s">
        <v>5121</v>
      </c>
      <c r="D2190" s="47">
        <v>0.215</v>
      </c>
      <c r="E2190" s="48">
        <f>SUMIF(Data!$E:$E,$C2190,Data!$AI:$AI)</f>
        <v>0.13075341077842323</v>
      </c>
    </row>
    <row r="2191" spans="1:5" x14ac:dyDescent="0.25">
      <c r="A2191" s="47" t="s">
        <v>10855</v>
      </c>
      <c r="B2191" s="47" t="s">
        <v>123</v>
      </c>
      <c r="C2191" s="47" t="s">
        <v>5127</v>
      </c>
      <c r="D2191" s="47">
        <v>0.23599999999999999</v>
      </c>
      <c r="E2191" s="48">
        <f>SUMIF(Data!$E:$E,$C2191,Data!$AI:$AI)</f>
        <v>0.26351671474520016</v>
      </c>
    </row>
    <row r="2192" spans="1:5" x14ac:dyDescent="0.25">
      <c r="A2192" s="47" t="s">
        <v>10855</v>
      </c>
      <c r="B2192" s="47" t="s">
        <v>123</v>
      </c>
      <c r="C2192" s="47" t="s">
        <v>4640</v>
      </c>
      <c r="D2192" s="47">
        <v>0.26100000000000001</v>
      </c>
      <c r="E2192" s="48">
        <f>SUMIF(Data!$E:$E,$C2192,Data!$AI:$AI)</f>
        <v>0.77394047546061229</v>
      </c>
    </row>
    <row r="2193" spans="1:5" x14ac:dyDescent="0.25">
      <c r="A2193" s="47" t="s">
        <v>10855</v>
      </c>
      <c r="B2193" s="47" t="s">
        <v>123</v>
      </c>
      <c r="C2193" s="47" t="s">
        <v>5134</v>
      </c>
      <c r="D2193" s="47">
        <v>0.25</v>
      </c>
      <c r="E2193" s="48">
        <f>SUMIF(Data!$E:$E,$C2193,Data!$AI:$AI)</f>
        <v>0</v>
      </c>
    </row>
    <row r="2194" spans="1:5" x14ac:dyDescent="0.25">
      <c r="A2194" s="47" t="s">
        <v>10855</v>
      </c>
      <c r="B2194" s="47" t="s">
        <v>123</v>
      </c>
      <c r="C2194" s="47" t="s">
        <v>5518</v>
      </c>
      <c r="D2194" s="47">
        <v>4.3999999999999997E-2</v>
      </c>
      <c r="E2194" s="48">
        <f>SUMIF(Data!$E:$E,$C2194,Data!$AI:$AI)</f>
        <v>0</v>
      </c>
    </row>
    <row r="2195" spans="1:5" x14ac:dyDescent="0.25">
      <c r="A2195" s="47" t="s">
        <v>10855</v>
      </c>
      <c r="B2195" s="47" t="s">
        <v>123</v>
      </c>
      <c r="C2195" s="47" t="s">
        <v>4556</v>
      </c>
      <c r="D2195" s="47">
        <v>3.9E-2</v>
      </c>
      <c r="E2195" s="48">
        <f>SUMIF(Data!$E:$E,$C2195,Data!$AI:$AI)</f>
        <v>0</v>
      </c>
    </row>
    <row r="2196" spans="1:5" x14ac:dyDescent="0.25">
      <c r="A2196" s="47" t="s">
        <v>10855</v>
      </c>
      <c r="B2196" s="47" t="s">
        <v>123</v>
      </c>
      <c r="C2196" s="47" t="s">
        <v>4621</v>
      </c>
      <c r="D2196" s="47">
        <v>0.753</v>
      </c>
      <c r="E2196" s="48">
        <f>SUMIF(Data!$E:$E,$C2196,Data!$AI:$AI)</f>
        <v>0</v>
      </c>
    </row>
    <row r="2197" spans="1:5" x14ac:dyDescent="0.25">
      <c r="A2197" s="47" t="s">
        <v>10855</v>
      </c>
      <c r="B2197" s="47" t="s">
        <v>123</v>
      </c>
      <c r="C2197" s="47" t="s">
        <v>4628</v>
      </c>
      <c r="D2197" s="47">
        <v>0.64</v>
      </c>
      <c r="E2197" s="48">
        <f>SUMIF(Data!$E:$E,$C2197,Data!$AI:$AI)</f>
        <v>0</v>
      </c>
    </row>
    <row r="2198" spans="1:5" x14ac:dyDescent="0.25">
      <c r="A2198" s="47" t="s">
        <v>10855</v>
      </c>
      <c r="B2198" s="47" t="s">
        <v>123</v>
      </c>
      <c r="C2198" s="47" t="s">
        <v>5141</v>
      </c>
      <c r="D2198" s="47">
        <v>0.21299999999999999</v>
      </c>
      <c r="E2198" s="48">
        <f>SUMIF(Data!$E:$E,$C2198,Data!$AI:$AI)</f>
        <v>0</v>
      </c>
    </row>
    <row r="2199" spans="1:5" x14ac:dyDescent="0.25">
      <c r="A2199" s="47" t="s">
        <v>10855</v>
      </c>
      <c r="B2199" s="47" t="s">
        <v>123</v>
      </c>
      <c r="C2199" s="47" t="s">
        <v>5531</v>
      </c>
      <c r="D2199" s="47">
        <v>7.0000000000000007E-2</v>
      </c>
      <c r="E2199" s="48">
        <f>SUMIF(Data!$E:$E,$C2199,Data!$AI:$AI)</f>
        <v>0</v>
      </c>
    </row>
    <row r="2200" spans="1:5" x14ac:dyDescent="0.25">
      <c r="A2200" s="47" t="s">
        <v>10855</v>
      </c>
      <c r="B2200" s="47" t="s">
        <v>123</v>
      </c>
      <c r="C2200" s="47" t="s">
        <v>4841</v>
      </c>
      <c r="D2200" s="47">
        <v>4.1689999999999996</v>
      </c>
      <c r="E2200" s="48">
        <f>SUMIF(Data!$E:$E,$C2200,Data!$AI:$AI)</f>
        <v>1.1368494141004637</v>
      </c>
    </row>
    <row r="2201" spans="1:5" x14ac:dyDescent="0.25">
      <c r="A2201" s="47" t="s">
        <v>10855</v>
      </c>
      <c r="B2201" s="47" t="s">
        <v>123</v>
      </c>
      <c r="C2201" s="47" t="s">
        <v>5538</v>
      </c>
      <c r="D2201" s="47">
        <v>0.11799999999999999</v>
      </c>
      <c r="E2201" s="48">
        <f>SUMIF(Data!$E:$E,$C2201,Data!$AI:$AI)</f>
        <v>0</v>
      </c>
    </row>
    <row r="2202" spans="1:5" x14ac:dyDescent="0.25">
      <c r="A2202" s="47" t="s">
        <v>10855</v>
      </c>
      <c r="B2202" s="47" t="s">
        <v>123</v>
      </c>
      <c r="C2202" s="47" t="s">
        <v>4848</v>
      </c>
      <c r="D2202" s="47">
        <v>0.82699999999999996</v>
      </c>
      <c r="E2202" s="48">
        <f>SUMIF(Data!$E:$E,$C2202,Data!$AI:$AI)</f>
        <v>0</v>
      </c>
    </row>
    <row r="2203" spans="1:5" x14ac:dyDescent="0.25">
      <c r="A2203" s="47" t="s">
        <v>10855</v>
      </c>
      <c r="B2203" s="47" t="s">
        <v>123</v>
      </c>
      <c r="C2203" s="47" t="s">
        <v>4563</v>
      </c>
      <c r="D2203" s="47">
        <v>0.34599999999999997</v>
      </c>
      <c r="E2203" s="48">
        <f>SUMIF(Data!$E:$E,$C2203,Data!$AI:$AI)</f>
        <v>0</v>
      </c>
    </row>
    <row r="2204" spans="1:5" x14ac:dyDescent="0.25">
      <c r="A2204" s="47" t="s">
        <v>10855</v>
      </c>
      <c r="B2204" s="47" t="s">
        <v>123</v>
      </c>
      <c r="C2204" s="47" t="s">
        <v>5153</v>
      </c>
      <c r="D2204" s="47">
        <v>0.22500000000000001</v>
      </c>
      <c r="E2204" s="48">
        <f>SUMIF(Data!$E:$E,$C2204,Data!$AI:$AI)</f>
        <v>0</v>
      </c>
    </row>
    <row r="2205" spans="1:5" x14ac:dyDescent="0.25">
      <c r="A2205" s="47" t="s">
        <v>10855</v>
      </c>
      <c r="B2205" s="47" t="s">
        <v>123</v>
      </c>
      <c r="C2205" s="47" t="s">
        <v>4855</v>
      </c>
      <c r="D2205" s="47">
        <v>11.643000000000001</v>
      </c>
      <c r="E2205" s="48">
        <f>SUMIF(Data!$E:$E,$C2205,Data!$AI:$AI)</f>
        <v>1.0989645296635115</v>
      </c>
    </row>
    <row r="2206" spans="1:5" x14ac:dyDescent="0.25">
      <c r="A2206" s="47" t="s">
        <v>10855</v>
      </c>
      <c r="B2206" s="47" t="s">
        <v>123</v>
      </c>
      <c r="C2206" s="47" t="s">
        <v>4862</v>
      </c>
      <c r="D2206" s="47">
        <v>0.67900000000000005</v>
      </c>
      <c r="E2206" s="48">
        <f>SUMIF(Data!$E:$E,$C2206,Data!$AI:$AI)</f>
        <v>0.397519933142436</v>
      </c>
    </row>
    <row r="2207" spans="1:5" x14ac:dyDescent="0.25">
      <c r="A2207" s="47" t="s">
        <v>10855</v>
      </c>
      <c r="B2207" s="47" t="s">
        <v>123</v>
      </c>
      <c r="C2207" s="47" t="s">
        <v>5166</v>
      </c>
      <c r="D2207" s="47">
        <v>6.2E-2</v>
      </c>
      <c r="E2207" s="48">
        <f>SUMIF(Data!$E:$E,$C2207,Data!$AI:$AI)</f>
        <v>0</v>
      </c>
    </row>
    <row r="2208" spans="1:5" x14ac:dyDescent="0.25">
      <c r="A2208" s="47" t="s">
        <v>10855</v>
      </c>
      <c r="B2208" s="47" t="s">
        <v>123</v>
      </c>
      <c r="C2208" s="47" t="s">
        <v>5545</v>
      </c>
      <c r="D2208" s="47">
        <v>7.0000000000000007E-2</v>
      </c>
      <c r="E2208" s="48">
        <f>SUMIF(Data!$E:$E,$C2208,Data!$AI:$AI)</f>
        <v>0</v>
      </c>
    </row>
    <row r="2209" spans="1:5" x14ac:dyDescent="0.25">
      <c r="A2209" s="47" t="s">
        <v>10855</v>
      </c>
      <c r="B2209" s="47" t="s">
        <v>123</v>
      </c>
      <c r="C2209" s="47" t="s">
        <v>10856</v>
      </c>
      <c r="D2209" s="47">
        <v>1.948</v>
      </c>
      <c r="E2209" s="48">
        <f>SUMIF(Data!$E:$E,$C2209,Data!$AI:$AI)</f>
        <v>0</v>
      </c>
    </row>
    <row r="2210" spans="1:5" x14ac:dyDescent="0.25">
      <c r="A2210" s="47" t="s">
        <v>10855</v>
      </c>
      <c r="B2210" s="47" t="s">
        <v>123</v>
      </c>
      <c r="C2210" s="47" t="s">
        <v>4478</v>
      </c>
      <c r="D2210" s="47">
        <v>0.16900000000000001</v>
      </c>
      <c r="E2210" s="48">
        <f>SUMIF(Data!$E:$E,$C2210,Data!$AI:$AI)</f>
        <v>0.23823313841468968</v>
      </c>
    </row>
    <row r="2211" spans="1:5" x14ac:dyDescent="0.25">
      <c r="A2211" s="47" t="s">
        <v>10855</v>
      </c>
      <c r="B2211" s="47" t="s">
        <v>123</v>
      </c>
      <c r="C2211" s="47" t="s">
        <v>1855</v>
      </c>
      <c r="D2211" s="47">
        <v>8.8999999999999996E-2</v>
      </c>
      <c r="E2211" s="48">
        <f>SUMIF(Data!$E:$E,$C2211,Data!$AI:$AI)</f>
        <v>0</v>
      </c>
    </row>
    <row r="2212" spans="1:5" x14ac:dyDescent="0.25">
      <c r="A2212" s="47" t="s">
        <v>10855</v>
      </c>
      <c r="B2212" s="47" t="s">
        <v>123</v>
      </c>
      <c r="C2212" s="47" t="s">
        <v>5173</v>
      </c>
      <c r="D2212" s="47">
        <v>0.39500000000000002</v>
      </c>
      <c r="E2212" s="48">
        <f>SUMIF(Data!$E:$E,$C2212,Data!$AI:$AI)</f>
        <v>0.32269220108453256</v>
      </c>
    </row>
    <row r="2213" spans="1:5" x14ac:dyDescent="0.25">
      <c r="A2213" s="47" t="s">
        <v>10855</v>
      </c>
      <c r="B2213" s="47" t="s">
        <v>123</v>
      </c>
      <c r="C2213" s="47" t="s">
        <v>5563</v>
      </c>
      <c r="D2213" s="47">
        <v>0.19400000000000001</v>
      </c>
      <c r="E2213" s="48">
        <f>SUMIF(Data!$E:$E,$C2213,Data!$AI:$AI)</f>
        <v>0</v>
      </c>
    </row>
    <row r="2214" spans="1:5" x14ac:dyDescent="0.25">
      <c r="A2214" s="47" t="s">
        <v>10855</v>
      </c>
      <c r="B2214" s="47" t="s">
        <v>123</v>
      </c>
      <c r="C2214" s="47" t="s">
        <v>6759</v>
      </c>
      <c r="D2214" s="47">
        <v>0.48399999999999999</v>
      </c>
      <c r="E2214" s="48">
        <f>SUMIF(Data!$E:$E,$C2214,Data!$AI:$AI)</f>
        <v>0.31941379215436855</v>
      </c>
    </row>
    <row r="2215" spans="1:5" x14ac:dyDescent="0.25">
      <c r="A2215" s="47" t="s">
        <v>10855</v>
      </c>
      <c r="B2215" s="47" t="s">
        <v>123</v>
      </c>
      <c r="C2215" s="47" t="s">
        <v>5570</v>
      </c>
      <c r="D2215" s="47">
        <v>4.9000000000000002E-2</v>
      </c>
      <c r="E2215" s="48">
        <f>SUMIF(Data!$E:$E,$C2215,Data!$AI:$AI)</f>
        <v>0</v>
      </c>
    </row>
    <row r="2216" spans="1:5" x14ac:dyDescent="0.25">
      <c r="A2216" s="47" t="s">
        <v>10855</v>
      </c>
      <c r="B2216" s="47" t="s">
        <v>123</v>
      </c>
      <c r="C2216" s="47" t="s">
        <v>3160</v>
      </c>
      <c r="D2216" s="47">
        <v>1.01</v>
      </c>
      <c r="E2216" s="48">
        <f>SUMIF(Data!$E:$E,$C2216,Data!$AI:$AI)</f>
        <v>0.48939641738655321</v>
      </c>
    </row>
    <row r="2217" spans="1:5" x14ac:dyDescent="0.25">
      <c r="A2217" s="47" t="s">
        <v>10855</v>
      </c>
      <c r="B2217" s="47" t="s">
        <v>123</v>
      </c>
      <c r="C2217" s="47" t="s">
        <v>4873</v>
      </c>
      <c r="D2217" s="47">
        <v>2.0760000000000001</v>
      </c>
      <c r="E2217" s="48">
        <f>SUMIF(Data!$E:$E,$C2217,Data!$AI:$AI)</f>
        <v>0</v>
      </c>
    </row>
    <row r="2218" spans="1:5" x14ac:dyDescent="0.25">
      <c r="A2218" s="47" t="s">
        <v>10855</v>
      </c>
      <c r="B2218" s="47" t="s">
        <v>123</v>
      </c>
      <c r="C2218" s="47" t="s">
        <v>3167</v>
      </c>
      <c r="D2218" s="47">
        <v>0.80100000000000005</v>
      </c>
      <c r="E2218" s="48">
        <f>SUMIF(Data!$E:$E,$C2218,Data!$AI:$AI)</f>
        <v>0.45612845361825383</v>
      </c>
    </row>
    <row r="2219" spans="1:5" x14ac:dyDescent="0.25">
      <c r="A2219" s="47" t="s">
        <v>10855</v>
      </c>
      <c r="B2219" s="47" t="s">
        <v>123</v>
      </c>
      <c r="C2219" s="47" t="s">
        <v>5186</v>
      </c>
      <c r="D2219" s="47">
        <v>0.215</v>
      </c>
      <c r="E2219" s="48">
        <f>SUMIF(Data!$E:$E,$C2219,Data!$AI:$AI)</f>
        <v>0.12898798215585272</v>
      </c>
    </row>
    <row r="2220" spans="1:5" x14ac:dyDescent="0.25">
      <c r="A2220" s="47" t="s">
        <v>10855</v>
      </c>
      <c r="B2220" s="47" t="s">
        <v>123</v>
      </c>
      <c r="C2220" s="47" t="s">
        <v>4880</v>
      </c>
      <c r="D2220" s="47">
        <v>0.79100000000000004</v>
      </c>
      <c r="E2220" s="48">
        <f>SUMIF(Data!$E:$E,$C2220,Data!$AI:$AI)</f>
        <v>0</v>
      </c>
    </row>
    <row r="2221" spans="1:5" x14ac:dyDescent="0.25">
      <c r="A2221" s="47" t="s">
        <v>10855</v>
      </c>
      <c r="B2221" s="47" t="s">
        <v>123</v>
      </c>
      <c r="C2221" s="47" t="s">
        <v>5192</v>
      </c>
      <c r="D2221" s="47">
        <v>0.22800000000000001</v>
      </c>
      <c r="E2221" s="48">
        <f>SUMIF(Data!$E:$E,$C2221,Data!$AI:$AI)</f>
        <v>0</v>
      </c>
    </row>
    <row r="2222" spans="1:5" x14ac:dyDescent="0.25">
      <c r="A2222" s="47" t="s">
        <v>10855</v>
      </c>
      <c r="B2222" s="47" t="s">
        <v>123</v>
      </c>
      <c r="C2222" s="47" t="s">
        <v>520</v>
      </c>
      <c r="D2222" s="47">
        <v>1</v>
      </c>
      <c r="E2222" s="48">
        <f>SUMIF(Data!$E:$E,$C2222,Data!$AI:$AI)</f>
        <v>0.42534541896463962</v>
      </c>
    </row>
    <row r="2223" spans="1:5" x14ac:dyDescent="0.25">
      <c r="A2223" s="47" t="s">
        <v>10855</v>
      </c>
      <c r="B2223" s="47" t="s">
        <v>123</v>
      </c>
      <c r="C2223" s="47" t="s">
        <v>4893</v>
      </c>
      <c r="D2223" s="47">
        <v>3.9159999999999999</v>
      </c>
      <c r="E2223" s="48">
        <f>SUMIF(Data!$E:$E,$C2223,Data!$AI:$AI)</f>
        <v>0.14807872778681458</v>
      </c>
    </row>
    <row r="2224" spans="1:5" x14ac:dyDescent="0.25">
      <c r="A2224" s="47" t="s">
        <v>10855</v>
      </c>
      <c r="B2224" s="47" t="s">
        <v>123</v>
      </c>
      <c r="C2224" s="47" t="s">
        <v>4900</v>
      </c>
      <c r="D2224" s="47">
        <v>1.6990000000000001</v>
      </c>
      <c r="E2224" s="48">
        <f>SUMIF(Data!$E:$E,$C2224,Data!$AI:$AI)</f>
        <v>0</v>
      </c>
    </row>
    <row r="2225" spans="1:5" x14ac:dyDescent="0.25">
      <c r="A2225" s="47" t="s">
        <v>10855</v>
      </c>
      <c r="B2225" s="47" t="s">
        <v>123</v>
      </c>
      <c r="C2225" s="47" t="s">
        <v>4907</v>
      </c>
      <c r="D2225" s="47">
        <v>2.2490000000000001</v>
      </c>
      <c r="E2225" s="48">
        <f>SUMIF(Data!$E:$E,$C2225,Data!$AI:$AI)</f>
        <v>0</v>
      </c>
    </row>
    <row r="2226" spans="1:5" x14ac:dyDescent="0.25">
      <c r="A2226" s="47" t="s">
        <v>10855</v>
      </c>
      <c r="B2226" s="47" t="s">
        <v>123</v>
      </c>
      <c r="C2226" s="47" t="s">
        <v>5199</v>
      </c>
      <c r="D2226" s="47">
        <v>0.17499999999999999</v>
      </c>
      <c r="E2226" s="48">
        <f>SUMIF(Data!$E:$E,$C2226,Data!$AI:$AI)</f>
        <v>0.30542299256619226</v>
      </c>
    </row>
    <row r="2227" spans="1:5" x14ac:dyDescent="0.25">
      <c r="A2227" s="47" t="s">
        <v>10855</v>
      </c>
      <c r="B2227" s="47" t="s">
        <v>123</v>
      </c>
      <c r="C2227" s="47" t="s">
        <v>4484</v>
      </c>
      <c r="D2227" s="47">
        <v>4.2169999999999996</v>
      </c>
      <c r="E2227" s="48">
        <f>SUMIF(Data!$E:$E,$C2227,Data!$AI:$AI)</f>
        <v>0</v>
      </c>
    </row>
    <row r="2228" spans="1:5" x14ac:dyDescent="0.25">
      <c r="A2228" s="47" t="s">
        <v>10855</v>
      </c>
      <c r="B2228" s="47" t="s">
        <v>123</v>
      </c>
      <c r="C2228" s="47" t="s">
        <v>1786</v>
      </c>
      <c r="D2228" s="47">
        <v>0.26100000000000001</v>
      </c>
      <c r="E2228" s="48">
        <f>SUMIF(Data!$E:$E,$C2228,Data!$AI:$AI)</f>
        <v>0.1705308312796065</v>
      </c>
    </row>
    <row r="2229" spans="1:5" x14ac:dyDescent="0.25">
      <c r="A2229" s="47" t="s">
        <v>10855</v>
      </c>
      <c r="B2229" s="47" t="s">
        <v>123</v>
      </c>
      <c r="C2229" s="47" t="s">
        <v>4919</v>
      </c>
      <c r="D2229" s="47">
        <v>0.60299999999999998</v>
      </c>
      <c r="E2229" s="48">
        <f>SUMIF(Data!$E:$E,$C2229,Data!$AI:$AI)</f>
        <v>0.63880820904302782</v>
      </c>
    </row>
    <row r="2230" spans="1:5" x14ac:dyDescent="0.25">
      <c r="A2230" s="47" t="s">
        <v>10855</v>
      </c>
      <c r="B2230" s="47" t="s">
        <v>123</v>
      </c>
      <c r="C2230" s="47" t="s">
        <v>4368</v>
      </c>
      <c r="D2230" s="47">
        <v>9.2999999999999999E-2</v>
      </c>
      <c r="E2230" s="48">
        <f>SUMIF(Data!$E:$E,$C2230,Data!$AI:$AI)</f>
        <v>0</v>
      </c>
    </row>
    <row r="2231" spans="1:5" x14ac:dyDescent="0.25">
      <c r="A2231" s="47" t="s">
        <v>10855</v>
      </c>
      <c r="B2231" s="47" t="s">
        <v>123</v>
      </c>
      <c r="C2231" s="47" t="s">
        <v>5583</v>
      </c>
      <c r="D2231" s="47">
        <v>4.1000000000000002E-2</v>
      </c>
      <c r="E2231" s="48">
        <f>SUMIF(Data!$E:$E,$C2231,Data!$AI:$AI)</f>
        <v>0</v>
      </c>
    </row>
    <row r="2232" spans="1:5" x14ac:dyDescent="0.25">
      <c r="A2232" s="47" t="s">
        <v>10855</v>
      </c>
      <c r="B2232" s="47" t="s">
        <v>123</v>
      </c>
      <c r="C2232" s="47" t="s">
        <v>4926</v>
      </c>
      <c r="D2232" s="47">
        <v>1.1910000000000001</v>
      </c>
      <c r="E2232" s="48">
        <f>SUMIF(Data!$E:$E,$C2232,Data!$AI:$AI)</f>
        <v>0.52858464745473188</v>
      </c>
    </row>
    <row r="2233" spans="1:5" x14ac:dyDescent="0.25">
      <c r="A2233" s="47" t="s">
        <v>10855</v>
      </c>
      <c r="B2233" s="47" t="s">
        <v>123</v>
      </c>
      <c r="C2233" s="47" t="s">
        <v>5590</v>
      </c>
      <c r="D2233" s="47">
        <v>0.02</v>
      </c>
      <c r="E2233" s="48">
        <f>SUMIF(Data!$E:$E,$C2233,Data!$AI:$AI)</f>
        <v>0</v>
      </c>
    </row>
    <row r="2234" spans="1:5" x14ac:dyDescent="0.25">
      <c r="A2234" s="47" t="s">
        <v>10855</v>
      </c>
      <c r="B2234" s="47" t="s">
        <v>123</v>
      </c>
      <c r="C2234" s="47" t="s">
        <v>5221</v>
      </c>
      <c r="D2234" s="47">
        <v>0.307</v>
      </c>
      <c r="E2234" s="48">
        <f>SUMIF(Data!$E:$E,$C2234,Data!$AI:$AI)</f>
        <v>0.14962264013625223</v>
      </c>
    </row>
    <row r="2235" spans="1:5" x14ac:dyDescent="0.25">
      <c r="A2235" s="47" t="s">
        <v>10855</v>
      </c>
      <c r="B2235" s="47" t="s">
        <v>123</v>
      </c>
      <c r="C2235" s="47" t="s">
        <v>5228</v>
      </c>
      <c r="D2235" s="47">
        <v>0.23799999999999999</v>
      </c>
      <c r="E2235" s="48">
        <f>SUMIF(Data!$E:$E,$C2235,Data!$AI:$AI)</f>
        <v>0</v>
      </c>
    </row>
    <row r="2236" spans="1:5" x14ac:dyDescent="0.25">
      <c r="A2236" s="47" t="s">
        <v>10855</v>
      </c>
      <c r="B2236" s="47" t="s">
        <v>123</v>
      </c>
      <c r="C2236" s="47" t="s">
        <v>5598</v>
      </c>
      <c r="D2236" s="47">
        <v>0.14699999999999999</v>
      </c>
      <c r="E2236" s="48">
        <f>SUMIF(Data!$E:$E,$C2236,Data!$AI:$AI)</f>
        <v>0</v>
      </c>
    </row>
    <row r="2237" spans="1:5" x14ac:dyDescent="0.25">
      <c r="A2237" s="47" t="s">
        <v>10855</v>
      </c>
      <c r="B2237" s="47" t="s">
        <v>123</v>
      </c>
      <c r="C2237" s="47" t="s">
        <v>3901</v>
      </c>
      <c r="D2237" s="47">
        <v>0.60899999999999999</v>
      </c>
      <c r="E2237" s="48">
        <f>SUMIF(Data!$E:$E,$C2237,Data!$AI:$AI)</f>
        <v>0.4435083799971119</v>
      </c>
    </row>
    <row r="2238" spans="1:5" x14ac:dyDescent="0.25">
      <c r="A2238" s="47" t="s">
        <v>10855</v>
      </c>
      <c r="B2238" s="47" t="s">
        <v>123</v>
      </c>
      <c r="C2238" s="47" t="s">
        <v>5241</v>
      </c>
      <c r="D2238" s="47">
        <v>0.255</v>
      </c>
      <c r="E2238" s="48">
        <f>SUMIF(Data!$E:$E,$C2238,Data!$AI:$AI)</f>
        <v>0.22226848933098653</v>
      </c>
    </row>
    <row r="2239" spans="1:5" x14ac:dyDescent="0.25">
      <c r="A2239" s="47" t="s">
        <v>10855</v>
      </c>
      <c r="B2239" s="47" t="s">
        <v>123</v>
      </c>
      <c r="C2239" s="47" t="s">
        <v>5605</v>
      </c>
      <c r="D2239" s="47">
        <v>0.14499999999999999</v>
      </c>
      <c r="E2239" s="48">
        <f>SUMIF(Data!$E:$E,$C2239,Data!$AI:$AI)</f>
        <v>6.758252240413927E-2</v>
      </c>
    </row>
    <row r="2240" spans="1:5" x14ac:dyDescent="0.25">
      <c r="A2240" s="47" t="s">
        <v>10855</v>
      </c>
      <c r="B2240" s="47" t="s">
        <v>123</v>
      </c>
      <c r="C2240" s="47" t="s">
        <v>4938</v>
      </c>
      <c r="D2240" s="47">
        <v>1.0249999999999999</v>
      </c>
      <c r="E2240" s="48">
        <f>SUMIF(Data!$E:$E,$C2240,Data!$AI:$AI)</f>
        <v>0</v>
      </c>
    </row>
    <row r="2241" spans="1:5" x14ac:dyDescent="0.25">
      <c r="A2241" s="47" t="s">
        <v>10855</v>
      </c>
      <c r="B2241" s="47" t="s">
        <v>123</v>
      </c>
      <c r="C2241" s="47" t="s">
        <v>5612</v>
      </c>
      <c r="D2241" s="47">
        <v>0.11700000000000001</v>
      </c>
      <c r="E2241" s="48">
        <f>SUMIF(Data!$E:$E,$C2241,Data!$AI:$AI)</f>
        <v>0</v>
      </c>
    </row>
    <row r="2242" spans="1:5" x14ac:dyDescent="0.25">
      <c r="A2242" s="47" t="s">
        <v>10855</v>
      </c>
      <c r="B2242" s="47" t="s">
        <v>123</v>
      </c>
      <c r="C2242" s="47" t="s">
        <v>4647</v>
      </c>
      <c r="D2242" s="47">
        <v>3.5000000000000003E-2</v>
      </c>
      <c r="E2242" s="48">
        <f>SUMIF(Data!$E:$E,$C2242,Data!$AI:$AI)</f>
        <v>0</v>
      </c>
    </row>
    <row r="2243" spans="1:5" x14ac:dyDescent="0.25">
      <c r="A2243" s="47" t="s">
        <v>10855</v>
      </c>
      <c r="B2243" s="47" t="s">
        <v>123</v>
      </c>
      <c r="C2243" s="47" t="s">
        <v>5632</v>
      </c>
      <c r="D2243" s="47">
        <v>0.13100000000000001</v>
      </c>
      <c r="E2243" s="48">
        <f>SUMIF(Data!$E:$E,$C2243,Data!$AI:$AI)</f>
        <v>0</v>
      </c>
    </row>
    <row r="2244" spans="1:5" x14ac:dyDescent="0.25">
      <c r="A2244" s="47" t="s">
        <v>10855</v>
      </c>
      <c r="B2244" s="47" t="s">
        <v>123</v>
      </c>
      <c r="C2244" s="47" t="s">
        <v>5248</v>
      </c>
      <c r="D2244" s="47">
        <v>0.11799999999999999</v>
      </c>
      <c r="E2244" s="48">
        <f>SUMIF(Data!$E:$E,$C2244,Data!$AI:$AI)</f>
        <v>0</v>
      </c>
    </row>
    <row r="2245" spans="1:5" x14ac:dyDescent="0.25">
      <c r="A2245" s="47" t="s">
        <v>10855</v>
      </c>
      <c r="B2245" s="47" t="s">
        <v>123</v>
      </c>
      <c r="C2245" s="47" t="s">
        <v>4009</v>
      </c>
      <c r="D2245" s="47">
        <v>0.32400000000000001</v>
      </c>
      <c r="E2245" s="48">
        <f>SUMIF(Data!$E:$E,$C2245,Data!$AI:$AI)</f>
        <v>0</v>
      </c>
    </row>
    <row r="2246" spans="1:5" x14ac:dyDescent="0.25">
      <c r="A2246" s="47" t="s">
        <v>10855</v>
      </c>
      <c r="B2246" s="47" t="s">
        <v>123</v>
      </c>
      <c r="C2246" s="47" t="s">
        <v>4598</v>
      </c>
      <c r="D2246" s="47">
        <v>0.17899999999999999</v>
      </c>
      <c r="E2246" s="48">
        <f>SUMIF(Data!$E:$E,$C2246,Data!$AI:$AI)</f>
        <v>0</v>
      </c>
    </row>
    <row r="2247" spans="1:5" x14ac:dyDescent="0.25">
      <c r="A2247" s="47" t="s">
        <v>10855</v>
      </c>
      <c r="B2247" s="47" t="s">
        <v>123</v>
      </c>
      <c r="C2247" s="47" t="s">
        <v>5639</v>
      </c>
      <c r="D2247" s="47">
        <v>8.1000000000000003E-2</v>
      </c>
      <c r="E2247" s="48">
        <f>SUMIF(Data!$E:$E,$C2247,Data!$AI:$AI)</f>
        <v>0</v>
      </c>
    </row>
    <row r="2248" spans="1:5" x14ac:dyDescent="0.25">
      <c r="A2248" s="47" t="s">
        <v>10855</v>
      </c>
      <c r="B2248" s="47" t="s">
        <v>123</v>
      </c>
      <c r="C2248" s="47" t="s">
        <v>1942</v>
      </c>
      <c r="D2248" s="47">
        <v>2.0859999999999999</v>
      </c>
      <c r="E2248" s="48">
        <f>SUMIF(Data!$E:$E,$C2248,Data!$AI:$AI)</f>
        <v>0</v>
      </c>
    </row>
    <row r="2249" spans="1:5" x14ac:dyDescent="0.25">
      <c r="A2249" s="47" t="s">
        <v>10855</v>
      </c>
      <c r="B2249" s="47" t="s">
        <v>123</v>
      </c>
      <c r="C2249" s="47" t="s">
        <v>10857</v>
      </c>
      <c r="D2249" s="47">
        <v>0.82099999999999995</v>
      </c>
      <c r="E2249" s="48">
        <f>SUMIF(Data!$E:$E,$C2249,Data!$AI:$AI)</f>
        <v>0</v>
      </c>
    </row>
    <row r="2250" spans="1:5" x14ac:dyDescent="0.25">
      <c r="A2250" s="47" t="s">
        <v>10855</v>
      </c>
      <c r="B2250" s="47" t="s">
        <v>123</v>
      </c>
      <c r="C2250" s="47" t="s">
        <v>4951</v>
      </c>
      <c r="D2250" s="47">
        <v>5.1970000000000001</v>
      </c>
      <c r="E2250" s="48">
        <f>SUMIF(Data!$E:$E,$C2250,Data!$AI:$AI)</f>
        <v>0</v>
      </c>
    </row>
    <row r="2251" spans="1:5" x14ac:dyDescent="0.25">
      <c r="A2251" s="47" t="s">
        <v>10855</v>
      </c>
      <c r="B2251" s="47" t="s">
        <v>123</v>
      </c>
      <c r="C2251" s="47" t="s">
        <v>1469</v>
      </c>
      <c r="D2251" s="47">
        <v>1.7210000000000001</v>
      </c>
      <c r="E2251" s="48">
        <f>SUMIF(Data!$E:$E,$C2251,Data!$AI:$AI)</f>
        <v>0</v>
      </c>
    </row>
    <row r="2252" spans="1:5" x14ac:dyDescent="0.25">
      <c r="A2252" s="47" t="s">
        <v>10855</v>
      </c>
      <c r="B2252" s="47" t="s">
        <v>123</v>
      </c>
      <c r="C2252" s="47" t="s">
        <v>5647</v>
      </c>
      <c r="D2252" s="47">
        <v>2.5000000000000001E-2</v>
      </c>
      <c r="E2252" s="48">
        <f>SUMIF(Data!$E:$E,$C2252,Data!$AI:$AI)</f>
        <v>0</v>
      </c>
    </row>
    <row r="2253" spans="1:5" x14ac:dyDescent="0.25">
      <c r="A2253" s="47" t="s">
        <v>10855</v>
      </c>
      <c r="B2253" s="47" t="s">
        <v>123</v>
      </c>
      <c r="C2253" s="47" t="s">
        <v>4964</v>
      </c>
      <c r="D2253" s="47">
        <v>0.72199999999999998</v>
      </c>
      <c r="E2253" s="48">
        <f>SUMIF(Data!$E:$E,$C2253,Data!$AI:$AI)</f>
        <v>0</v>
      </c>
    </row>
    <row r="2254" spans="1:5" x14ac:dyDescent="0.25">
      <c r="A2254" s="47" t="s">
        <v>10855</v>
      </c>
      <c r="B2254" s="47" t="s">
        <v>123</v>
      </c>
      <c r="C2254" s="47" t="s">
        <v>4513</v>
      </c>
      <c r="D2254" s="47">
        <v>7.5999999999999998E-2</v>
      </c>
      <c r="E2254" s="48">
        <f>SUMIF(Data!$E:$E,$C2254,Data!$AI:$AI)</f>
        <v>7.5221619812558246E-2</v>
      </c>
    </row>
    <row r="2255" spans="1:5" x14ac:dyDescent="0.25">
      <c r="A2255" s="47" t="s">
        <v>10855</v>
      </c>
      <c r="B2255" s="47" t="s">
        <v>123</v>
      </c>
      <c r="C2255" s="47" t="s">
        <v>5271</v>
      </c>
      <c r="D2255" s="47">
        <v>8.8999999999999996E-2</v>
      </c>
      <c r="E2255" s="48">
        <f>SUMIF(Data!$E:$E,$C2255,Data!$AI:$AI)</f>
        <v>0.14326299409755411</v>
      </c>
    </row>
    <row r="2256" spans="1:5" x14ac:dyDescent="0.25">
      <c r="A2256" s="47" t="s">
        <v>10855</v>
      </c>
      <c r="B2256" s="47" t="s">
        <v>123</v>
      </c>
      <c r="C2256" s="47" t="s">
        <v>5277</v>
      </c>
      <c r="D2256" s="47">
        <v>0.35799999999999998</v>
      </c>
      <c r="E2256" s="48">
        <f>SUMIF(Data!$E:$E,$C2256,Data!$AI:$AI)</f>
        <v>0.33919062734131172</v>
      </c>
    </row>
    <row r="2257" spans="1:5" x14ac:dyDescent="0.25">
      <c r="A2257" s="47" t="s">
        <v>10855</v>
      </c>
      <c r="B2257" s="47" t="s">
        <v>123</v>
      </c>
      <c r="C2257" s="47" t="s">
        <v>5284</v>
      </c>
      <c r="D2257" s="47">
        <v>0.41399999999999998</v>
      </c>
      <c r="E2257" s="48">
        <f>SUMIF(Data!$E:$E,$C2257,Data!$AI:$AI)</f>
        <v>0.14335552808713869</v>
      </c>
    </row>
    <row r="2258" spans="1:5" x14ac:dyDescent="0.25">
      <c r="A2258" s="47" t="s">
        <v>10855</v>
      </c>
      <c r="B2258" s="47" t="s">
        <v>123</v>
      </c>
      <c r="C2258" s="47" t="s">
        <v>4971</v>
      </c>
      <c r="D2258" s="47">
        <v>0.66900000000000004</v>
      </c>
      <c r="E2258" s="48">
        <f>SUMIF(Data!$E:$E,$C2258,Data!$AI:$AI)</f>
        <v>0.51478348043038158</v>
      </c>
    </row>
    <row r="2259" spans="1:5" x14ac:dyDescent="0.25">
      <c r="A2259" s="47" t="s">
        <v>10855</v>
      </c>
      <c r="B2259" s="47" t="s">
        <v>123</v>
      </c>
      <c r="C2259" s="47" t="s">
        <v>7492</v>
      </c>
      <c r="D2259" s="47">
        <v>3.6999999999999998E-2</v>
      </c>
      <c r="E2259" s="48">
        <f>SUMIF(Data!$E:$E,$C2259,Data!$AI:$AI)</f>
        <v>0</v>
      </c>
    </row>
    <row r="2260" spans="1:5" x14ac:dyDescent="0.25">
      <c r="A2260" s="47" t="s">
        <v>10855</v>
      </c>
      <c r="B2260" s="47" t="s">
        <v>123</v>
      </c>
      <c r="C2260" s="47" t="s">
        <v>4978</v>
      </c>
      <c r="D2260" s="47">
        <v>0.55600000000000005</v>
      </c>
      <c r="E2260" s="48">
        <f>SUMIF(Data!$E:$E,$C2260,Data!$AI:$AI)</f>
        <v>0</v>
      </c>
    </row>
    <row r="2261" spans="1:5" x14ac:dyDescent="0.25">
      <c r="A2261" s="47" t="s">
        <v>10855</v>
      </c>
      <c r="B2261" s="47" t="s">
        <v>123</v>
      </c>
      <c r="C2261" s="47" t="s">
        <v>4570</v>
      </c>
      <c r="D2261" s="47">
        <v>4.2999999999999997E-2</v>
      </c>
      <c r="E2261" s="48">
        <f>SUMIF(Data!$E:$E,$C2261,Data!$AI:$AI)</f>
        <v>0.26415097546540911</v>
      </c>
    </row>
    <row r="2262" spans="1:5" x14ac:dyDescent="0.25">
      <c r="A2262" s="47" t="s">
        <v>10855</v>
      </c>
      <c r="B2262" s="47" t="s">
        <v>123</v>
      </c>
      <c r="C2262" s="47" t="s">
        <v>5302</v>
      </c>
      <c r="D2262" s="47">
        <v>0.35899999999999999</v>
      </c>
      <c r="E2262" s="48">
        <f>SUMIF(Data!$E:$E,$C2262,Data!$AI:$AI)</f>
        <v>0</v>
      </c>
    </row>
    <row r="2263" spans="1:5" x14ac:dyDescent="0.25">
      <c r="A2263" s="47" t="s">
        <v>10855</v>
      </c>
      <c r="B2263" s="47" t="s">
        <v>123</v>
      </c>
      <c r="C2263" s="47" t="s">
        <v>6850</v>
      </c>
      <c r="D2263" s="47">
        <v>0.501</v>
      </c>
      <c r="E2263" s="48">
        <f>SUMIF(Data!$E:$E,$C2263,Data!$AI:$AI)</f>
        <v>0.7318861193221331</v>
      </c>
    </row>
    <row r="2264" spans="1:5" x14ac:dyDescent="0.25">
      <c r="A2264" s="47" t="s">
        <v>10855</v>
      </c>
      <c r="B2264" s="47" t="s">
        <v>123</v>
      </c>
      <c r="C2264" s="47" t="s">
        <v>5665</v>
      </c>
      <c r="D2264" s="47">
        <v>3.7999999999999999E-2</v>
      </c>
      <c r="E2264" s="48">
        <f>SUMIF(Data!$E:$E,$C2264,Data!$AI:$AI)</f>
        <v>0</v>
      </c>
    </row>
    <row r="2265" spans="1:5" x14ac:dyDescent="0.25">
      <c r="A2265" s="47" t="s">
        <v>10855</v>
      </c>
      <c r="B2265" s="47" t="s">
        <v>123</v>
      </c>
      <c r="C2265" s="47" t="s">
        <v>5671</v>
      </c>
      <c r="D2265" s="47">
        <v>0.14299999999999999</v>
      </c>
      <c r="E2265" s="48">
        <f>SUMIF(Data!$E:$E,$C2265,Data!$AI:$AI)</f>
        <v>8.1525305525001854E-2</v>
      </c>
    </row>
    <row r="2266" spans="1:5" x14ac:dyDescent="0.25">
      <c r="A2266" s="47" t="s">
        <v>10855</v>
      </c>
      <c r="B2266" s="47" t="s">
        <v>123</v>
      </c>
      <c r="C2266" s="47" t="s">
        <v>5678</v>
      </c>
      <c r="D2266" s="47">
        <v>9.8000000000000004E-2</v>
      </c>
      <c r="E2266" s="48">
        <f>SUMIF(Data!$E:$E,$C2266,Data!$AI:$AI)</f>
        <v>0</v>
      </c>
    </row>
    <row r="2267" spans="1:5" x14ac:dyDescent="0.25">
      <c r="A2267" s="47" t="s">
        <v>10855</v>
      </c>
      <c r="B2267" s="47" t="s">
        <v>123</v>
      </c>
      <c r="C2267" s="47" t="s">
        <v>5685</v>
      </c>
      <c r="D2267" s="47">
        <v>8.2000000000000003E-2</v>
      </c>
      <c r="E2267" s="48">
        <f>SUMIF(Data!$E:$E,$C2267,Data!$AI:$AI)</f>
        <v>0</v>
      </c>
    </row>
    <row r="2268" spans="1:5" x14ac:dyDescent="0.25">
      <c r="A2268" s="47" t="s">
        <v>10855</v>
      </c>
      <c r="B2268" s="47" t="s">
        <v>123</v>
      </c>
      <c r="C2268" s="47" t="s">
        <v>10858</v>
      </c>
      <c r="D2268" s="47">
        <v>3.9E-2</v>
      </c>
      <c r="E2268" s="48">
        <f>SUMIF(Data!$E:$E,$C2268,Data!$AI:$AI)</f>
        <v>0</v>
      </c>
    </row>
    <row r="2269" spans="1:5" x14ac:dyDescent="0.25">
      <c r="A2269" s="47" t="s">
        <v>10855</v>
      </c>
      <c r="B2269" s="47" t="s">
        <v>123</v>
      </c>
      <c r="C2269" s="47" t="s">
        <v>5309</v>
      </c>
      <c r="D2269" s="47">
        <v>0.193</v>
      </c>
      <c r="E2269" s="48">
        <f>SUMIF(Data!$E:$E,$C2269,Data!$AI:$AI)</f>
        <v>0</v>
      </c>
    </row>
    <row r="2270" spans="1:5" x14ac:dyDescent="0.25">
      <c r="A2270" s="47" t="s">
        <v>10855</v>
      </c>
      <c r="B2270" s="47" t="s">
        <v>123</v>
      </c>
      <c r="C2270" s="47" t="s">
        <v>5316</v>
      </c>
      <c r="D2270" s="47">
        <v>0.111</v>
      </c>
      <c r="E2270" s="48">
        <f>SUMIF(Data!$E:$E,$C2270,Data!$AI:$AI)</f>
        <v>0</v>
      </c>
    </row>
    <row r="2271" spans="1:5" x14ac:dyDescent="0.25">
      <c r="A2271" s="47" t="s">
        <v>10855</v>
      </c>
      <c r="B2271" s="47" t="s">
        <v>123</v>
      </c>
      <c r="C2271" s="47" t="s">
        <v>5692</v>
      </c>
      <c r="D2271" s="47">
        <v>0.14899999999999999</v>
      </c>
      <c r="E2271" s="48">
        <f>SUMIF(Data!$E:$E,$C2271,Data!$AI:$AI)</f>
        <v>0</v>
      </c>
    </row>
    <row r="2272" spans="1:5" x14ac:dyDescent="0.25">
      <c r="A2272" s="47" t="s">
        <v>10855</v>
      </c>
      <c r="B2272" s="47" t="s">
        <v>123</v>
      </c>
      <c r="C2272" s="47" t="s">
        <v>5699</v>
      </c>
      <c r="D2272" s="47">
        <v>0.14399999999999999</v>
      </c>
      <c r="E2272" s="48">
        <f>SUMIF(Data!$E:$E,$C2272,Data!$AI:$AI)</f>
        <v>0</v>
      </c>
    </row>
    <row r="2273" spans="1:5" x14ac:dyDescent="0.25">
      <c r="A2273" s="47" t="s">
        <v>10855</v>
      </c>
      <c r="B2273" s="47" t="s">
        <v>123</v>
      </c>
      <c r="C2273" s="47" t="s">
        <v>10859</v>
      </c>
      <c r="D2273" s="47">
        <v>0.249</v>
      </c>
      <c r="E2273" s="48">
        <f>SUMIF(Data!$E:$E,$C2273,Data!$AI:$AI)</f>
        <v>0</v>
      </c>
    </row>
    <row r="2274" spans="1:5" x14ac:dyDescent="0.25">
      <c r="A2274" s="47" t="s">
        <v>10855</v>
      </c>
      <c r="B2274" s="47" t="s">
        <v>123</v>
      </c>
      <c r="C2274" s="47" t="s">
        <v>3174</v>
      </c>
      <c r="D2274" s="47">
        <v>0.56599999999999995</v>
      </c>
      <c r="E2274" s="48">
        <f>SUMIF(Data!$E:$E,$C2274,Data!$AI:$AI)</f>
        <v>0</v>
      </c>
    </row>
    <row r="2275" spans="1:5" x14ac:dyDescent="0.25">
      <c r="A2275" s="47" t="s">
        <v>10855</v>
      </c>
      <c r="B2275" s="47" t="s">
        <v>123</v>
      </c>
      <c r="C2275" s="47" t="s">
        <v>10860</v>
      </c>
      <c r="D2275" s="47">
        <v>0.115</v>
      </c>
      <c r="E2275" s="48">
        <f>SUMIF(Data!$E:$E,$C2275,Data!$AI:$AI)</f>
        <v>0</v>
      </c>
    </row>
    <row r="2276" spans="1:5" x14ac:dyDescent="0.25">
      <c r="A2276" s="47" t="s">
        <v>10855</v>
      </c>
      <c r="B2276" s="47" t="s">
        <v>123</v>
      </c>
      <c r="C2276" s="47" t="s">
        <v>5706</v>
      </c>
      <c r="D2276" s="47">
        <v>9.0999999999999998E-2</v>
      </c>
      <c r="E2276" s="48">
        <f>SUMIF(Data!$E:$E,$C2276,Data!$AI:$AI)</f>
        <v>0.61622234783355101</v>
      </c>
    </row>
    <row r="2277" spans="1:5" x14ac:dyDescent="0.25">
      <c r="A2277" s="47" t="s">
        <v>10855</v>
      </c>
      <c r="B2277" s="47" t="s">
        <v>123</v>
      </c>
      <c r="C2277" s="47" t="s">
        <v>5712</v>
      </c>
      <c r="D2277" s="47">
        <v>7.2999999999999995E-2</v>
      </c>
      <c r="E2277" s="48">
        <f>SUMIF(Data!$E:$E,$C2277,Data!$AI:$AI)</f>
        <v>0</v>
      </c>
    </row>
    <row r="2278" spans="1:5" x14ac:dyDescent="0.25">
      <c r="A2278" s="47" t="s">
        <v>10855</v>
      </c>
      <c r="B2278" s="47" t="s">
        <v>123</v>
      </c>
      <c r="C2278" s="47" t="s">
        <v>7499</v>
      </c>
      <c r="D2278" s="47">
        <v>2.9000000000000001E-2</v>
      </c>
      <c r="E2278" s="48">
        <f>SUMIF(Data!$E:$E,$C2278,Data!$AI:$AI)</f>
        <v>0</v>
      </c>
    </row>
    <row r="2279" spans="1:5" x14ac:dyDescent="0.25">
      <c r="A2279" s="47" t="s">
        <v>10855</v>
      </c>
      <c r="B2279" s="47" t="s">
        <v>123</v>
      </c>
      <c r="C2279" s="47" t="s">
        <v>10861</v>
      </c>
      <c r="D2279" s="47">
        <v>3.4000000000000002E-2</v>
      </c>
      <c r="E2279" s="48">
        <f>SUMIF(Data!$E:$E,$C2279,Data!$AI:$AI)</f>
        <v>0</v>
      </c>
    </row>
    <row r="2280" spans="1:5" x14ac:dyDescent="0.25">
      <c r="A2280" s="47" t="s">
        <v>10855</v>
      </c>
      <c r="B2280" s="47" t="s">
        <v>123</v>
      </c>
      <c r="C2280" s="47" t="s">
        <v>4520</v>
      </c>
      <c r="D2280" s="47">
        <v>0.57599999999999996</v>
      </c>
      <c r="E2280" s="48">
        <f>SUMIF(Data!$E:$E,$C2280,Data!$AI:$AI)</f>
        <v>0</v>
      </c>
    </row>
    <row r="2281" spans="1:5" x14ac:dyDescent="0.25">
      <c r="A2281" s="47" t="s">
        <v>10855</v>
      </c>
      <c r="B2281" s="47" t="s">
        <v>123</v>
      </c>
      <c r="C2281" s="47" t="s">
        <v>5335</v>
      </c>
      <c r="D2281" s="47">
        <v>0.34599999999999997</v>
      </c>
      <c r="E2281" s="48">
        <f>SUMIF(Data!$E:$E,$C2281,Data!$AI:$AI)</f>
        <v>0</v>
      </c>
    </row>
    <row r="2282" spans="1:5" x14ac:dyDescent="0.25">
      <c r="A2282" s="47" t="s">
        <v>10855</v>
      </c>
      <c r="B2282" s="47" t="s">
        <v>123</v>
      </c>
      <c r="C2282" s="47" t="s">
        <v>10862</v>
      </c>
      <c r="D2282" s="47">
        <v>1.7070000000000001</v>
      </c>
      <c r="E2282" s="48">
        <f>SUMIF(Data!$E:$E,$C2282,Data!$AI:$AI)</f>
        <v>0</v>
      </c>
    </row>
    <row r="2283" spans="1:5" x14ac:dyDescent="0.25">
      <c r="A2283" s="47" t="s">
        <v>10855</v>
      </c>
      <c r="B2283" s="47" t="s">
        <v>123</v>
      </c>
      <c r="C2283" s="47" t="s">
        <v>3581</v>
      </c>
      <c r="D2283" s="47">
        <v>5.7000000000000002E-2</v>
      </c>
      <c r="E2283" s="48">
        <f>SUMIF(Data!$E:$E,$C2283,Data!$AI:$AI)</f>
        <v>0</v>
      </c>
    </row>
    <row r="2284" spans="1:5" x14ac:dyDescent="0.25">
      <c r="A2284" s="47" t="s">
        <v>10855</v>
      </c>
      <c r="B2284" s="47" t="s">
        <v>123</v>
      </c>
      <c r="C2284" s="47" t="s">
        <v>5348</v>
      </c>
      <c r="D2284" s="47">
        <v>0.22</v>
      </c>
      <c r="E2284" s="48">
        <f>SUMIF(Data!$E:$E,$C2284,Data!$AI:$AI)</f>
        <v>0</v>
      </c>
    </row>
    <row r="2285" spans="1:5" x14ac:dyDescent="0.25">
      <c r="A2285" s="47" t="s">
        <v>10855</v>
      </c>
      <c r="B2285" s="47" t="s">
        <v>123</v>
      </c>
      <c r="C2285" s="47" t="s">
        <v>5719</v>
      </c>
      <c r="D2285" s="47">
        <v>7.4999999999999997E-2</v>
      </c>
      <c r="E2285" s="48">
        <f>SUMIF(Data!$E:$E,$C2285,Data!$AI:$AI)</f>
        <v>0.1498021462744413</v>
      </c>
    </row>
    <row r="2286" spans="1:5" x14ac:dyDescent="0.25">
      <c r="A2286" s="47" t="s">
        <v>10855</v>
      </c>
      <c r="B2286" s="47" t="s">
        <v>123</v>
      </c>
      <c r="C2286" s="47" t="s">
        <v>5354</v>
      </c>
      <c r="D2286" s="47">
        <v>0.11799999999999999</v>
      </c>
      <c r="E2286" s="48">
        <f>SUMIF(Data!$E:$E,$C2286,Data!$AI:$AI)</f>
        <v>0</v>
      </c>
    </row>
    <row r="2287" spans="1:5" x14ac:dyDescent="0.25">
      <c r="A2287" s="47" t="s">
        <v>10855</v>
      </c>
      <c r="B2287" s="47" t="s">
        <v>123</v>
      </c>
      <c r="C2287" s="47" t="s">
        <v>4605</v>
      </c>
      <c r="D2287" s="47">
        <v>0.55600000000000005</v>
      </c>
      <c r="E2287" s="48">
        <f>SUMIF(Data!$E:$E,$C2287,Data!$AI:$AI)</f>
        <v>0</v>
      </c>
    </row>
    <row r="2288" spans="1:5" x14ac:dyDescent="0.25">
      <c r="A2288" s="47" t="s">
        <v>10855</v>
      </c>
      <c r="B2288" s="47" t="s">
        <v>123</v>
      </c>
      <c r="C2288" s="47" t="s">
        <v>5725</v>
      </c>
      <c r="D2288" s="47">
        <v>8.1000000000000003E-2</v>
      </c>
      <c r="E2288" s="48">
        <f>SUMIF(Data!$E:$E,$C2288,Data!$AI:$AI)</f>
        <v>0</v>
      </c>
    </row>
    <row r="2289" spans="1:5" x14ac:dyDescent="0.25">
      <c r="A2289" s="47" t="s">
        <v>10855</v>
      </c>
      <c r="B2289" s="47" t="s">
        <v>123</v>
      </c>
      <c r="C2289" s="47" t="s">
        <v>5732</v>
      </c>
      <c r="D2289" s="47">
        <v>6.7000000000000004E-2</v>
      </c>
      <c r="E2289" s="48">
        <f>SUMIF(Data!$E:$E,$C2289,Data!$AI:$AI)</f>
        <v>0</v>
      </c>
    </row>
    <row r="2290" spans="1:5" x14ac:dyDescent="0.25">
      <c r="A2290" s="47" t="s">
        <v>10855</v>
      </c>
      <c r="B2290" s="47" t="s">
        <v>123</v>
      </c>
      <c r="C2290" s="47" t="s">
        <v>5741</v>
      </c>
      <c r="D2290" s="47">
        <v>0.11600000000000001</v>
      </c>
      <c r="E2290" s="48">
        <f>SUMIF(Data!$E:$E,$C2290,Data!$AI:$AI)</f>
        <v>0</v>
      </c>
    </row>
    <row r="2291" spans="1:5" x14ac:dyDescent="0.25">
      <c r="A2291" s="47" t="s">
        <v>10855</v>
      </c>
      <c r="B2291" s="47" t="s">
        <v>123</v>
      </c>
      <c r="C2291" s="47" t="s">
        <v>5748</v>
      </c>
      <c r="D2291" s="47">
        <v>1.7000000000000001E-2</v>
      </c>
      <c r="E2291" s="48">
        <f>SUMIF(Data!$E:$E,$C2291,Data!$AI:$AI)</f>
        <v>0</v>
      </c>
    </row>
    <row r="2292" spans="1:5" x14ac:dyDescent="0.25">
      <c r="A2292" s="47" t="s">
        <v>10855</v>
      </c>
      <c r="B2292" s="47" t="s">
        <v>123</v>
      </c>
      <c r="C2292" s="47" t="s">
        <v>5755</v>
      </c>
      <c r="D2292" s="47">
        <v>0.124</v>
      </c>
      <c r="E2292" s="48">
        <f>SUMIF(Data!$E:$E,$C2292,Data!$AI:$AI)</f>
        <v>0.32250109258134818</v>
      </c>
    </row>
    <row r="2293" spans="1:5" x14ac:dyDescent="0.25">
      <c r="A2293" s="47" t="s">
        <v>10855</v>
      </c>
      <c r="B2293" s="47" t="s">
        <v>123</v>
      </c>
      <c r="C2293" s="47" t="s">
        <v>5762</v>
      </c>
      <c r="D2293" s="47">
        <v>5.8000000000000003E-2</v>
      </c>
      <c r="E2293" s="48">
        <f>SUMIF(Data!$E:$E,$C2293,Data!$AI:$AI)</f>
        <v>2.7182358068629005E-2</v>
      </c>
    </row>
    <row r="2294" spans="1:5" x14ac:dyDescent="0.25">
      <c r="A2294" s="47" t="s">
        <v>10855</v>
      </c>
      <c r="B2294" s="47" t="s">
        <v>123</v>
      </c>
      <c r="C2294" s="47" t="s">
        <v>5361</v>
      </c>
      <c r="D2294" s="47">
        <v>6.3E-2</v>
      </c>
      <c r="E2294" s="48">
        <f>SUMIF(Data!$E:$E,$C2294,Data!$AI:$AI)</f>
        <v>0</v>
      </c>
    </row>
    <row r="2295" spans="1:5" x14ac:dyDescent="0.25">
      <c r="A2295" s="47" t="s">
        <v>10855</v>
      </c>
      <c r="B2295" s="47" t="s">
        <v>123</v>
      </c>
      <c r="C2295" s="47" t="s">
        <v>5769</v>
      </c>
      <c r="D2295" s="47">
        <v>4.8000000000000001E-2</v>
      </c>
      <c r="E2295" s="48">
        <f>SUMIF(Data!$E:$E,$C2295,Data!$AI:$AI)</f>
        <v>0</v>
      </c>
    </row>
    <row r="2296" spans="1:5" x14ac:dyDescent="0.25">
      <c r="A2296" s="47" t="s">
        <v>10855</v>
      </c>
      <c r="B2296" s="47" t="s">
        <v>123</v>
      </c>
      <c r="C2296" s="47" t="s">
        <v>5782</v>
      </c>
      <c r="D2296" s="47">
        <v>3.4000000000000002E-2</v>
      </c>
      <c r="E2296" s="48">
        <f>SUMIF(Data!$E:$E,$C2296,Data!$AI:$AI)</f>
        <v>0</v>
      </c>
    </row>
    <row r="2297" spans="1:5" x14ac:dyDescent="0.25">
      <c r="A2297" s="47" t="s">
        <v>10855</v>
      </c>
      <c r="B2297" s="47" t="s">
        <v>123</v>
      </c>
      <c r="C2297" s="47" t="s">
        <v>1780</v>
      </c>
      <c r="D2297" s="47">
        <v>8.4000000000000005E-2</v>
      </c>
      <c r="E2297" s="48">
        <f>SUMIF(Data!$E:$E,$C2297,Data!$AI:$AI)</f>
        <v>0</v>
      </c>
    </row>
    <row r="2298" spans="1:5" x14ac:dyDescent="0.25">
      <c r="A2298" s="47" t="s">
        <v>10855</v>
      </c>
      <c r="B2298" s="47" t="s">
        <v>123</v>
      </c>
      <c r="C2298" s="47" t="s">
        <v>7560</v>
      </c>
      <c r="D2298" s="47">
        <v>3.1E-2</v>
      </c>
      <c r="E2298" s="48">
        <f>SUMIF(Data!$E:$E,$C2298,Data!$AI:$AI)</f>
        <v>0</v>
      </c>
    </row>
    <row r="2299" spans="1:5" x14ac:dyDescent="0.25">
      <c r="A2299" s="47" t="s">
        <v>10855</v>
      </c>
      <c r="B2299" s="47" t="s">
        <v>123</v>
      </c>
      <c r="C2299" s="47" t="s">
        <v>4613</v>
      </c>
      <c r="D2299" s="47">
        <v>0.17399999999999999</v>
      </c>
      <c r="E2299" s="48">
        <f>SUMIF(Data!$E:$E,$C2299,Data!$AI:$AI)</f>
        <v>0</v>
      </c>
    </row>
    <row r="2300" spans="1:5" x14ac:dyDescent="0.25">
      <c r="A2300" s="47" t="s">
        <v>10855</v>
      </c>
      <c r="B2300" s="47" t="s">
        <v>123</v>
      </c>
      <c r="C2300" s="47" t="s">
        <v>7583</v>
      </c>
      <c r="D2300" s="47">
        <v>2.3E-2</v>
      </c>
      <c r="E2300" s="48">
        <f>SUMIF(Data!$E:$E,$C2300,Data!$AI:$AI)</f>
        <v>0</v>
      </c>
    </row>
    <row r="2301" spans="1:5" x14ac:dyDescent="0.25">
      <c r="A2301" s="47" t="s">
        <v>10855</v>
      </c>
      <c r="B2301" s="47" t="s">
        <v>123</v>
      </c>
      <c r="C2301" s="47" t="s">
        <v>7604</v>
      </c>
      <c r="D2301" s="47">
        <v>0.03</v>
      </c>
      <c r="E2301" s="48">
        <f>SUMIF(Data!$E:$E,$C2301,Data!$AI:$AI)</f>
        <v>0</v>
      </c>
    </row>
    <row r="2302" spans="1:5" x14ac:dyDescent="0.25">
      <c r="A2302" s="47" t="s">
        <v>10855</v>
      </c>
      <c r="B2302" s="47" t="s">
        <v>123</v>
      </c>
      <c r="C2302" s="47" t="s">
        <v>5795</v>
      </c>
      <c r="D2302" s="47">
        <v>8.9999999999999993E-3</v>
      </c>
      <c r="E2302" s="48">
        <f>SUMIF(Data!$E:$E,$C2302,Data!$AI:$AI)</f>
        <v>0</v>
      </c>
    </row>
    <row r="2303" spans="1:5" x14ac:dyDescent="0.25">
      <c r="A2303" s="47" t="s">
        <v>10855</v>
      </c>
      <c r="B2303" s="47" t="s">
        <v>123</v>
      </c>
      <c r="C2303" s="47" t="s">
        <v>4984</v>
      </c>
      <c r="D2303" s="47">
        <v>0.80400000000000005</v>
      </c>
      <c r="E2303" s="48">
        <f>SUMIF(Data!$E:$E,$C2303,Data!$AI:$AI)</f>
        <v>0</v>
      </c>
    </row>
    <row r="2304" spans="1:5" x14ac:dyDescent="0.25">
      <c r="A2304" s="47" t="s">
        <v>10855</v>
      </c>
      <c r="B2304" s="47" t="s">
        <v>123</v>
      </c>
      <c r="C2304" s="47" t="s">
        <v>5368</v>
      </c>
      <c r="D2304" s="47">
        <v>3.0310000000000001</v>
      </c>
      <c r="E2304" s="48">
        <f>SUMIF(Data!$E:$E,$C2304,Data!$AI:$AI)</f>
        <v>0</v>
      </c>
    </row>
    <row r="2305" spans="1:5" x14ac:dyDescent="0.25">
      <c r="A2305" s="47" t="s">
        <v>10855</v>
      </c>
      <c r="B2305" s="47" t="s">
        <v>123</v>
      </c>
      <c r="C2305" s="47" t="s">
        <v>4991</v>
      </c>
      <c r="D2305" s="47">
        <v>0.75800000000000001</v>
      </c>
      <c r="E2305" s="48">
        <f>SUMIF(Data!$E:$E,$C2305,Data!$AI:$AI)</f>
        <v>0.38077996000694508</v>
      </c>
    </row>
    <row r="2306" spans="1:5" x14ac:dyDescent="0.25">
      <c r="A2306" s="47" t="s">
        <v>10855</v>
      </c>
      <c r="B2306" s="47" t="s">
        <v>123</v>
      </c>
      <c r="C2306" s="47" t="s">
        <v>4998</v>
      </c>
      <c r="D2306" s="47">
        <v>1.9550000000000001</v>
      </c>
      <c r="E2306" s="48">
        <f>SUMIF(Data!$E:$E,$C2306,Data!$AI:$AI)</f>
        <v>0</v>
      </c>
    </row>
    <row r="2307" spans="1:5" x14ac:dyDescent="0.25">
      <c r="A2307" s="47" t="s">
        <v>10855</v>
      </c>
      <c r="B2307" s="47" t="s">
        <v>123</v>
      </c>
      <c r="C2307" s="47" t="s">
        <v>5375</v>
      </c>
      <c r="D2307" s="47">
        <v>0.17299999999999999</v>
      </c>
      <c r="E2307" s="48">
        <f>SUMIF(Data!$E:$E,$C2307,Data!$AI:$AI)</f>
        <v>0</v>
      </c>
    </row>
    <row r="2308" spans="1:5" x14ac:dyDescent="0.25">
      <c r="A2308" s="47" t="s">
        <v>10855</v>
      </c>
      <c r="B2308" s="47" t="s">
        <v>123</v>
      </c>
      <c r="C2308" s="47" t="s">
        <v>6338</v>
      </c>
      <c r="D2308" s="47">
        <v>0.188</v>
      </c>
      <c r="E2308" s="48">
        <f>SUMIF(Data!$E:$E,$C2308,Data!$AI:$AI)</f>
        <v>0</v>
      </c>
    </row>
    <row r="2309" spans="1:5" x14ac:dyDescent="0.25">
      <c r="A2309" s="47" t="s">
        <v>10855</v>
      </c>
      <c r="B2309" s="47" t="s">
        <v>123</v>
      </c>
      <c r="C2309" s="47" t="s">
        <v>5382</v>
      </c>
      <c r="D2309" s="47">
        <v>0.113</v>
      </c>
      <c r="E2309" s="48">
        <f>SUMIF(Data!$E:$E,$C2309,Data!$AI:$AI)</f>
        <v>0</v>
      </c>
    </row>
    <row r="2310" spans="1:5" x14ac:dyDescent="0.25">
      <c r="A2310" s="47" t="s">
        <v>10855</v>
      </c>
      <c r="B2310" s="47" t="s">
        <v>123</v>
      </c>
      <c r="C2310" s="47" t="s">
        <v>5389</v>
      </c>
      <c r="D2310" s="47">
        <v>0.152</v>
      </c>
      <c r="E2310" s="48">
        <f>SUMIF(Data!$E:$E,$C2310,Data!$AI:$AI)</f>
        <v>0.2843976266541573</v>
      </c>
    </row>
    <row r="2311" spans="1:5" x14ac:dyDescent="0.25">
      <c r="A2311" s="47" t="s">
        <v>10855</v>
      </c>
      <c r="B2311" s="47" t="s">
        <v>123</v>
      </c>
      <c r="C2311" s="47" t="s">
        <v>5809</v>
      </c>
      <c r="D2311" s="47">
        <v>4.7E-2</v>
      </c>
      <c r="E2311" s="48">
        <f>SUMIF(Data!$E:$E,$C2311,Data!$AI:$AI)</f>
        <v>0</v>
      </c>
    </row>
    <row r="2312" spans="1:5" x14ac:dyDescent="0.25">
      <c r="A2312" s="47" t="s">
        <v>10855</v>
      </c>
      <c r="B2312" s="47" t="s">
        <v>123</v>
      </c>
      <c r="C2312" s="47" t="s">
        <v>5005</v>
      </c>
      <c r="D2312" s="47">
        <v>1.1619999999999999</v>
      </c>
      <c r="E2312" s="48">
        <f>SUMIF(Data!$E:$E,$C2312,Data!$AI:$AI)</f>
        <v>0</v>
      </c>
    </row>
    <row r="2313" spans="1:5" x14ac:dyDescent="0.25">
      <c r="A2313" s="47" t="s">
        <v>10855</v>
      </c>
      <c r="B2313" s="47" t="s">
        <v>123</v>
      </c>
      <c r="C2313" s="47" t="s">
        <v>5830</v>
      </c>
      <c r="D2313" s="47">
        <v>2.7E-2</v>
      </c>
      <c r="E2313" s="48">
        <f>SUMIF(Data!$E:$E,$C2313,Data!$AI:$AI)</f>
        <v>0</v>
      </c>
    </row>
    <row r="2314" spans="1:5" x14ac:dyDescent="0.25">
      <c r="A2314" s="47" t="s">
        <v>10863</v>
      </c>
      <c r="B2314" s="47" t="s">
        <v>123</v>
      </c>
      <c r="C2314" s="47" t="s">
        <v>5417</v>
      </c>
      <c r="D2314" s="47">
        <v>1.07601899573402</v>
      </c>
      <c r="E2314" s="48">
        <f>SUMIF(Data!$E:$E,$C2314,Data!$AI:$AI)</f>
        <v>0</v>
      </c>
    </row>
    <row r="2315" spans="1:5" x14ac:dyDescent="0.25">
      <c r="A2315" s="47" t="s">
        <v>10863</v>
      </c>
      <c r="B2315" s="47" t="s">
        <v>123</v>
      </c>
      <c r="C2315" s="47" t="s">
        <v>4862</v>
      </c>
      <c r="D2315" s="47">
        <v>34.389423820508</v>
      </c>
      <c r="E2315" s="48">
        <f>SUMIF(Data!$E:$E,$C2315,Data!$AI:$AI)</f>
        <v>0.397519933142436</v>
      </c>
    </row>
    <row r="2316" spans="1:5" x14ac:dyDescent="0.25">
      <c r="A2316" s="47" t="s">
        <v>10863</v>
      </c>
      <c r="B2316" s="47" t="s">
        <v>123</v>
      </c>
      <c r="C2316" s="47" t="s">
        <v>4971</v>
      </c>
      <c r="D2316" s="47">
        <v>32.389784535972602</v>
      </c>
      <c r="E2316" s="48">
        <f>SUMIF(Data!$E:$E,$C2316,Data!$AI:$AI)</f>
        <v>0.51478348043038158</v>
      </c>
    </row>
    <row r="2317" spans="1:5" x14ac:dyDescent="0.25">
      <c r="A2317" s="47" t="s">
        <v>10863</v>
      </c>
      <c r="B2317" s="47" t="s">
        <v>123</v>
      </c>
      <c r="C2317" s="47" t="s">
        <v>4991</v>
      </c>
      <c r="D2317" s="47">
        <v>32.144772647785302</v>
      </c>
      <c r="E2317" s="48">
        <f>SUMIF(Data!$E:$E,$C2317,Data!$AI:$AI)</f>
        <v>0.38077996000694508</v>
      </c>
    </row>
    <row r="2318" spans="1:5" x14ac:dyDescent="0.25">
      <c r="A2318" s="47" t="s">
        <v>10864</v>
      </c>
      <c r="B2318" s="47" t="s">
        <v>123</v>
      </c>
      <c r="C2318" s="47" t="s">
        <v>4768</v>
      </c>
      <c r="D2318" s="47">
        <v>89.678924057140307</v>
      </c>
      <c r="E2318" s="48">
        <f>SUMIF(Data!$E:$E,$C2318,Data!$AI:$AI)</f>
        <v>0</v>
      </c>
    </row>
    <row r="2319" spans="1:5" x14ac:dyDescent="0.25">
      <c r="A2319" s="47" t="s">
        <v>10864</v>
      </c>
      <c r="B2319" s="47" t="s">
        <v>123</v>
      </c>
      <c r="C2319" s="47" t="s">
        <v>5639</v>
      </c>
      <c r="D2319" s="47">
        <v>6.7388850439464196</v>
      </c>
      <c r="E2319" s="48">
        <f>SUMIF(Data!$E:$E,$C2319,Data!$AI:$AI)</f>
        <v>0</v>
      </c>
    </row>
    <row r="2320" spans="1:5" x14ac:dyDescent="0.25">
      <c r="A2320" s="47" t="s">
        <v>10864</v>
      </c>
      <c r="B2320" s="47" t="s">
        <v>123</v>
      </c>
      <c r="C2320" s="47" t="s">
        <v>5725</v>
      </c>
      <c r="D2320" s="47">
        <v>3.5821908989132498</v>
      </c>
      <c r="E2320" s="48">
        <f>SUMIF(Data!$E:$E,$C2320,Data!$AI:$AI)</f>
        <v>0</v>
      </c>
    </row>
    <row r="2321" spans="1:5" x14ac:dyDescent="0.25">
      <c r="A2321" s="47" t="s">
        <v>10865</v>
      </c>
      <c r="B2321" s="47" t="s">
        <v>123</v>
      </c>
      <c r="C2321" s="47" t="s">
        <v>4456</v>
      </c>
      <c r="D2321" s="47">
        <v>100</v>
      </c>
      <c r="E2321" s="48">
        <f>SUMIF(Data!$E:$E,$C2321,Data!$AI:$AI)</f>
        <v>0</v>
      </c>
    </row>
    <row r="2322" spans="1:5" x14ac:dyDescent="0.25">
      <c r="A2322" s="47" t="s">
        <v>10866</v>
      </c>
      <c r="B2322" s="47" t="s">
        <v>123</v>
      </c>
      <c r="C2322" s="47" t="s">
        <v>4464</v>
      </c>
      <c r="D2322" s="47">
        <v>0.60554998186368802</v>
      </c>
      <c r="E2322" s="48">
        <f>SUMIF(Data!$E:$E,$C2322,Data!$AI:$AI)</f>
        <v>0.16778694604010902</v>
      </c>
    </row>
    <row r="2323" spans="1:5" x14ac:dyDescent="0.25">
      <c r="A2323" s="47" t="s">
        <v>10866</v>
      </c>
      <c r="B2323" s="47" t="s">
        <v>123</v>
      </c>
      <c r="C2323" s="47" t="s">
        <v>4471</v>
      </c>
      <c r="D2323" s="47">
        <v>0.227846218859697</v>
      </c>
      <c r="E2323" s="48">
        <f>SUMIF(Data!$E:$E,$C2323,Data!$AI:$AI)</f>
        <v>0</v>
      </c>
    </row>
    <row r="2324" spans="1:5" x14ac:dyDescent="0.25">
      <c r="A2324" s="47" t="s">
        <v>10866</v>
      </c>
      <c r="B2324" s="47" t="s">
        <v>123</v>
      </c>
      <c r="C2324" s="47" t="s">
        <v>4578</v>
      </c>
      <c r="D2324" s="47">
        <v>17.990370095813301</v>
      </c>
      <c r="E2324" s="48">
        <f>SUMIF(Data!$E:$E,$C2324,Data!$AI:$AI)</f>
        <v>0.82698926913975535</v>
      </c>
    </row>
    <row r="2325" spans="1:5" x14ac:dyDescent="0.25">
      <c r="A2325" s="47" t="s">
        <v>10866</v>
      </c>
      <c r="B2325" s="47" t="s">
        <v>123</v>
      </c>
      <c r="C2325" s="47" t="s">
        <v>2017</v>
      </c>
      <c r="D2325" s="47">
        <v>1.6627712277628499</v>
      </c>
      <c r="E2325" s="48">
        <f>SUMIF(Data!$E:$E,$C2325,Data!$AI:$AI)</f>
        <v>0</v>
      </c>
    </row>
    <row r="2326" spans="1:5" x14ac:dyDescent="0.25">
      <c r="A2326" s="47" t="s">
        <v>10866</v>
      </c>
      <c r="B2326" s="47" t="s">
        <v>123</v>
      </c>
      <c r="C2326" s="47" t="s">
        <v>4492</v>
      </c>
      <c r="D2326" s="47">
        <v>3.3627463446259398</v>
      </c>
      <c r="E2326" s="48">
        <f>SUMIF(Data!$E:$E,$C2326,Data!$AI:$AI)</f>
        <v>0</v>
      </c>
    </row>
    <row r="2327" spans="1:5" x14ac:dyDescent="0.25">
      <c r="A2327" s="47" t="s">
        <v>10866</v>
      </c>
      <c r="B2327" s="47" t="s">
        <v>123</v>
      </c>
      <c r="C2327" s="47" t="s">
        <v>4585</v>
      </c>
      <c r="D2327" s="47">
        <v>0.73347747320972001</v>
      </c>
      <c r="E2327" s="48">
        <f>SUMIF(Data!$E:$E,$C2327,Data!$AI:$AI)</f>
        <v>0.50254664386636194</v>
      </c>
    </row>
    <row r="2328" spans="1:5" x14ac:dyDescent="0.25">
      <c r="A2328" s="47" t="s">
        <v>10866</v>
      </c>
      <c r="B2328" s="47" t="s">
        <v>123</v>
      </c>
      <c r="C2328" s="47" t="s">
        <v>4592</v>
      </c>
      <c r="D2328" s="47">
        <v>35.435230664098597</v>
      </c>
      <c r="E2328" s="48">
        <f>SUMIF(Data!$E:$E,$C2328,Data!$AI:$AI)</f>
        <v>0</v>
      </c>
    </row>
    <row r="2329" spans="1:5" x14ac:dyDescent="0.25">
      <c r="A2329" s="47" t="s">
        <v>10866</v>
      </c>
      <c r="B2329" s="47" t="s">
        <v>123</v>
      </c>
      <c r="C2329" s="47" t="s">
        <v>4527</v>
      </c>
      <c r="D2329" s="47">
        <v>2.0923410066344799</v>
      </c>
      <c r="E2329" s="48">
        <f>SUMIF(Data!$E:$E,$C2329,Data!$AI:$AI)</f>
        <v>0</v>
      </c>
    </row>
    <row r="2330" spans="1:5" x14ac:dyDescent="0.25">
      <c r="A2330" s="47" t="s">
        <v>10866</v>
      </c>
      <c r="B2330" s="47" t="s">
        <v>123</v>
      </c>
      <c r="C2330" s="47" t="s">
        <v>4499</v>
      </c>
      <c r="D2330" s="47">
        <v>1.90923055348558</v>
      </c>
      <c r="E2330" s="48">
        <f>SUMIF(Data!$E:$E,$C2330,Data!$AI:$AI)</f>
        <v>0</v>
      </c>
    </row>
    <row r="2331" spans="1:5" x14ac:dyDescent="0.25">
      <c r="A2331" s="47" t="s">
        <v>10866</v>
      </c>
      <c r="B2331" s="47" t="s">
        <v>123</v>
      </c>
      <c r="C2331" s="47" t="s">
        <v>4506</v>
      </c>
      <c r="D2331" s="47">
        <v>0.77411727129135</v>
      </c>
      <c r="E2331" s="48">
        <f>SUMIF(Data!$E:$E,$C2331,Data!$AI:$AI)</f>
        <v>0.35312037204807345</v>
      </c>
    </row>
    <row r="2332" spans="1:5" x14ac:dyDescent="0.25">
      <c r="A2332" s="47" t="s">
        <v>10866</v>
      </c>
      <c r="B2332" s="47" t="s">
        <v>123</v>
      </c>
      <c r="C2332" s="47" t="s">
        <v>4549</v>
      </c>
      <c r="D2332" s="47">
        <v>0.97276683414797105</v>
      </c>
      <c r="E2332" s="48">
        <f>SUMIF(Data!$E:$E,$C2332,Data!$AI:$AI)</f>
        <v>0</v>
      </c>
    </row>
    <row r="2333" spans="1:5" x14ac:dyDescent="0.25">
      <c r="A2333" s="47" t="s">
        <v>10866</v>
      </c>
      <c r="B2333" s="47" t="s">
        <v>123</v>
      </c>
      <c r="C2333" s="47" t="s">
        <v>4640</v>
      </c>
      <c r="D2333" s="47">
        <v>0.85704143959895396</v>
      </c>
      <c r="E2333" s="48">
        <f>SUMIF(Data!$E:$E,$C2333,Data!$AI:$AI)</f>
        <v>0.77394047546061229</v>
      </c>
    </row>
    <row r="2334" spans="1:5" x14ac:dyDescent="0.25">
      <c r="A2334" s="47" t="s">
        <v>10866</v>
      </c>
      <c r="B2334" s="47" t="s">
        <v>123</v>
      </c>
      <c r="C2334" s="47" t="s">
        <v>4556</v>
      </c>
      <c r="D2334" s="47">
        <v>0.16883087146812401</v>
      </c>
      <c r="E2334" s="48">
        <f>SUMIF(Data!$E:$E,$C2334,Data!$AI:$AI)</f>
        <v>0</v>
      </c>
    </row>
    <row r="2335" spans="1:5" x14ac:dyDescent="0.25">
      <c r="A2335" s="47" t="s">
        <v>10866</v>
      </c>
      <c r="B2335" s="47" t="s">
        <v>123</v>
      </c>
      <c r="C2335" s="47" t="s">
        <v>4621</v>
      </c>
      <c r="D2335" s="47">
        <v>2.2841441191704002</v>
      </c>
      <c r="E2335" s="48">
        <f>SUMIF(Data!$E:$E,$C2335,Data!$AI:$AI)</f>
        <v>0</v>
      </c>
    </row>
    <row r="2336" spans="1:5" x14ac:dyDescent="0.25">
      <c r="A2336" s="47" t="s">
        <v>10866</v>
      </c>
      <c r="B2336" s="47" t="s">
        <v>123</v>
      </c>
      <c r="C2336" s="47" t="s">
        <v>4628</v>
      </c>
      <c r="D2336" s="47">
        <v>7.0617529679849804</v>
      </c>
      <c r="E2336" s="48">
        <f>SUMIF(Data!$E:$E,$C2336,Data!$AI:$AI)</f>
        <v>0</v>
      </c>
    </row>
    <row r="2337" spans="1:5" x14ac:dyDescent="0.25">
      <c r="A2337" s="47" t="s">
        <v>10866</v>
      </c>
      <c r="B2337" s="47" t="s">
        <v>123</v>
      </c>
      <c r="C2337" s="47" t="s">
        <v>4563</v>
      </c>
      <c r="D2337" s="47">
        <v>0.81190515378980299</v>
      </c>
      <c r="E2337" s="48">
        <f>SUMIF(Data!$E:$E,$C2337,Data!$AI:$AI)</f>
        <v>0</v>
      </c>
    </row>
    <row r="2338" spans="1:5" x14ac:dyDescent="0.25">
      <c r="A2338" s="47" t="s">
        <v>10866</v>
      </c>
      <c r="B2338" s="47" t="s">
        <v>123</v>
      </c>
      <c r="C2338" s="47" t="s">
        <v>4478</v>
      </c>
      <c r="D2338" s="47">
        <v>0.47013880873882502</v>
      </c>
      <c r="E2338" s="48">
        <f>SUMIF(Data!$E:$E,$C2338,Data!$AI:$AI)</f>
        <v>0.23823313841468968</v>
      </c>
    </row>
    <row r="2339" spans="1:5" x14ac:dyDescent="0.25">
      <c r="A2339" s="47" t="s">
        <v>10866</v>
      </c>
      <c r="B2339" s="47" t="s">
        <v>123</v>
      </c>
      <c r="C2339" s="47" t="s">
        <v>520</v>
      </c>
      <c r="D2339" s="47">
        <v>2.5532765908103299</v>
      </c>
      <c r="E2339" s="48">
        <f>SUMIF(Data!$E:$E,$C2339,Data!$AI:$AI)</f>
        <v>0.42534541896463962</v>
      </c>
    </row>
    <row r="2340" spans="1:5" x14ac:dyDescent="0.25">
      <c r="A2340" s="47" t="s">
        <v>10866</v>
      </c>
      <c r="B2340" s="47" t="s">
        <v>123</v>
      </c>
      <c r="C2340" s="47" t="s">
        <v>4484</v>
      </c>
      <c r="D2340" s="47">
        <v>15.617593122267399</v>
      </c>
      <c r="E2340" s="48">
        <f>SUMIF(Data!$E:$E,$C2340,Data!$AI:$AI)</f>
        <v>0</v>
      </c>
    </row>
    <row r="2341" spans="1:5" x14ac:dyDescent="0.25">
      <c r="A2341" s="47" t="s">
        <v>10866</v>
      </c>
      <c r="B2341" s="47" t="s">
        <v>123</v>
      </c>
      <c r="C2341" s="47" t="s">
        <v>4647</v>
      </c>
      <c r="D2341" s="47">
        <v>5.6645431306902E-2</v>
      </c>
      <c r="E2341" s="48">
        <f>SUMIF(Data!$E:$E,$C2341,Data!$AI:$AI)</f>
        <v>0</v>
      </c>
    </row>
    <row r="2342" spans="1:5" x14ac:dyDescent="0.25">
      <c r="A2342" s="47" t="s">
        <v>10866</v>
      </c>
      <c r="B2342" s="47" t="s">
        <v>123</v>
      </c>
      <c r="C2342" s="47" t="s">
        <v>4598</v>
      </c>
      <c r="D2342" s="47">
        <v>0.62358194337927897</v>
      </c>
      <c r="E2342" s="48">
        <f>SUMIF(Data!$E:$E,$C2342,Data!$AI:$AI)</f>
        <v>0</v>
      </c>
    </row>
    <row r="2343" spans="1:5" x14ac:dyDescent="0.25">
      <c r="A2343" s="47" t="s">
        <v>10866</v>
      </c>
      <c r="B2343" s="47" t="s">
        <v>123</v>
      </c>
      <c r="C2343" s="47" t="s">
        <v>4513</v>
      </c>
      <c r="D2343" s="47">
        <v>0.15914698867383101</v>
      </c>
      <c r="E2343" s="48">
        <f>SUMIF(Data!$E:$E,$C2343,Data!$AI:$AI)</f>
        <v>7.5221619812558246E-2</v>
      </c>
    </row>
    <row r="2344" spans="1:5" x14ac:dyDescent="0.25">
      <c r="A2344" s="47" t="s">
        <v>10866</v>
      </c>
      <c r="B2344" s="47" t="s">
        <v>123</v>
      </c>
      <c r="C2344" s="47" t="s">
        <v>4570</v>
      </c>
      <c r="D2344" s="47">
        <v>0.13580402516724999</v>
      </c>
      <c r="E2344" s="48">
        <f>SUMIF(Data!$E:$E,$C2344,Data!$AI:$AI)</f>
        <v>0.26415097546540911</v>
      </c>
    </row>
    <row r="2345" spans="1:5" x14ac:dyDescent="0.25">
      <c r="A2345" s="47" t="s">
        <v>10866</v>
      </c>
      <c r="B2345" s="47" t="s">
        <v>123</v>
      </c>
      <c r="C2345" s="47" t="s">
        <v>4520</v>
      </c>
      <c r="D2345" s="47">
        <v>1.2791740612662199</v>
      </c>
      <c r="E2345" s="48">
        <f>SUMIF(Data!$E:$E,$C2345,Data!$AI:$AI)</f>
        <v>0</v>
      </c>
    </row>
    <row r="2346" spans="1:5" x14ac:dyDescent="0.25">
      <c r="A2346" s="47" t="s">
        <v>10866</v>
      </c>
      <c r="B2346" s="47" t="s">
        <v>123</v>
      </c>
      <c r="C2346" s="47" t="s">
        <v>4605</v>
      </c>
      <c r="D2346" s="47">
        <v>1.57061839320189</v>
      </c>
      <c r="E2346" s="48">
        <f>SUMIF(Data!$E:$E,$C2346,Data!$AI:$AI)</f>
        <v>0</v>
      </c>
    </row>
    <row r="2347" spans="1:5" x14ac:dyDescent="0.25">
      <c r="A2347" s="47" t="s">
        <v>10866</v>
      </c>
      <c r="B2347" s="47" t="s">
        <v>123</v>
      </c>
      <c r="C2347" s="47" t="s">
        <v>4613</v>
      </c>
      <c r="D2347" s="47">
        <v>0.58389841138259402</v>
      </c>
      <c r="E2347" s="48">
        <f>SUMIF(Data!$E:$E,$C2347,Data!$AI:$AI)</f>
        <v>0</v>
      </c>
    </row>
    <row r="2348" spans="1:5" x14ac:dyDescent="0.25">
      <c r="A2348" s="47" t="s">
        <v>10867</v>
      </c>
      <c r="B2348" s="47" t="s">
        <v>123</v>
      </c>
      <c r="C2348" s="47" t="s">
        <v>5431</v>
      </c>
      <c r="D2348" s="47">
        <v>0.68172146419433299</v>
      </c>
      <c r="E2348" s="48">
        <f>SUMIF(Data!$E:$E,$C2348,Data!$AI:$AI)</f>
        <v>0</v>
      </c>
    </row>
    <row r="2349" spans="1:5" x14ac:dyDescent="0.25">
      <c r="A2349" s="47" t="s">
        <v>10867</v>
      </c>
      <c r="B2349" s="47" t="s">
        <v>123</v>
      </c>
      <c r="C2349" s="47" t="s">
        <v>5065</v>
      </c>
      <c r="D2349" s="47">
        <v>8.1637535194026398</v>
      </c>
      <c r="E2349" s="48">
        <f>SUMIF(Data!$E:$E,$C2349,Data!$AI:$AI)</f>
        <v>0.49255800486170526</v>
      </c>
    </row>
    <row r="2350" spans="1:5" x14ac:dyDescent="0.25">
      <c r="A2350" s="47" t="s">
        <v>10867</v>
      </c>
      <c r="B2350" s="47" t="s">
        <v>123</v>
      </c>
      <c r="C2350" s="47" t="s">
        <v>4782</v>
      </c>
      <c r="D2350" s="47">
        <v>20.511071914010898</v>
      </c>
      <c r="E2350" s="48">
        <f>SUMIF(Data!$E:$E,$C2350,Data!$AI:$AI)</f>
        <v>0</v>
      </c>
    </row>
    <row r="2351" spans="1:5" x14ac:dyDescent="0.25">
      <c r="A2351" s="47" t="s">
        <v>10867</v>
      </c>
      <c r="B2351" s="47" t="s">
        <v>123</v>
      </c>
      <c r="C2351" s="47" t="s">
        <v>5491</v>
      </c>
      <c r="D2351" s="47">
        <v>1.0118492683756699</v>
      </c>
      <c r="E2351" s="48">
        <f>SUMIF(Data!$E:$E,$C2351,Data!$AI:$AI)</f>
        <v>0</v>
      </c>
    </row>
    <row r="2352" spans="1:5" x14ac:dyDescent="0.25">
      <c r="A2352" s="47" t="s">
        <v>10867</v>
      </c>
      <c r="B2352" s="47" t="s">
        <v>123</v>
      </c>
      <c r="C2352" s="47" t="s">
        <v>5498</v>
      </c>
      <c r="D2352" s="47">
        <v>1.3628248238512699</v>
      </c>
      <c r="E2352" s="48">
        <f>SUMIF(Data!$E:$E,$C2352,Data!$AI:$AI)</f>
        <v>0</v>
      </c>
    </row>
    <row r="2353" spans="1:5" x14ac:dyDescent="0.25">
      <c r="A2353" s="47" t="s">
        <v>10867</v>
      </c>
      <c r="B2353" s="47" t="s">
        <v>123</v>
      </c>
      <c r="C2353" s="47" t="s">
        <v>5115</v>
      </c>
      <c r="D2353" s="47">
        <v>8.3775381123507593</v>
      </c>
      <c r="E2353" s="48">
        <f>SUMIF(Data!$E:$E,$C2353,Data!$AI:$AI)</f>
        <v>0</v>
      </c>
    </row>
    <row r="2354" spans="1:5" x14ac:dyDescent="0.25">
      <c r="A2354" s="47" t="s">
        <v>10867</v>
      </c>
      <c r="B2354" s="47" t="s">
        <v>123</v>
      </c>
      <c r="C2354" s="47" t="s">
        <v>5511</v>
      </c>
      <c r="D2354" s="47">
        <v>0.52089968596416603</v>
      </c>
      <c r="E2354" s="48">
        <f>SUMIF(Data!$E:$E,$C2354,Data!$AI:$AI)</f>
        <v>0</v>
      </c>
    </row>
    <row r="2355" spans="1:5" x14ac:dyDescent="0.25">
      <c r="A2355" s="47" t="s">
        <v>10867</v>
      </c>
      <c r="B2355" s="47" t="s">
        <v>123</v>
      </c>
      <c r="C2355" s="47" t="s">
        <v>5127</v>
      </c>
      <c r="D2355" s="47">
        <v>4.5407719050545303</v>
      </c>
      <c r="E2355" s="48">
        <f>SUMIF(Data!$E:$E,$C2355,Data!$AI:$AI)</f>
        <v>0.26351671474520016</v>
      </c>
    </row>
    <row r="2356" spans="1:5" x14ac:dyDescent="0.25">
      <c r="A2356" s="47" t="s">
        <v>10867</v>
      </c>
      <c r="B2356" s="47" t="s">
        <v>123</v>
      </c>
      <c r="C2356" s="47" t="s">
        <v>5538</v>
      </c>
      <c r="D2356" s="47">
        <v>2.0819542869303298</v>
      </c>
      <c r="E2356" s="48">
        <f>SUMIF(Data!$E:$E,$C2356,Data!$AI:$AI)</f>
        <v>0</v>
      </c>
    </row>
    <row r="2357" spans="1:5" x14ac:dyDescent="0.25">
      <c r="A2357" s="47" t="s">
        <v>10867</v>
      </c>
      <c r="B2357" s="47" t="s">
        <v>123</v>
      </c>
      <c r="C2357" s="47" t="s">
        <v>5153</v>
      </c>
      <c r="D2357" s="47">
        <v>3.0250287967471801</v>
      </c>
      <c r="E2357" s="48">
        <f>SUMIF(Data!$E:$E,$C2357,Data!$AI:$AI)</f>
        <v>0</v>
      </c>
    </row>
    <row r="2358" spans="1:5" x14ac:dyDescent="0.25">
      <c r="A2358" s="47" t="s">
        <v>10867</v>
      </c>
      <c r="B2358" s="47" t="s">
        <v>123</v>
      </c>
      <c r="C2358" s="47" t="s">
        <v>5563</v>
      </c>
      <c r="D2358" s="47">
        <v>2.73052044752639</v>
      </c>
      <c r="E2358" s="48">
        <f>SUMIF(Data!$E:$E,$C2358,Data!$AI:$AI)</f>
        <v>0</v>
      </c>
    </row>
    <row r="2359" spans="1:5" x14ac:dyDescent="0.25">
      <c r="A2359" s="47" t="s">
        <v>10867</v>
      </c>
      <c r="B2359" s="47" t="s">
        <v>123</v>
      </c>
      <c r="C2359" s="47" t="s">
        <v>5570</v>
      </c>
      <c r="D2359" s="47">
        <v>0.92999510493767201</v>
      </c>
      <c r="E2359" s="48">
        <f>SUMIF(Data!$E:$E,$C2359,Data!$AI:$AI)</f>
        <v>0</v>
      </c>
    </row>
    <row r="2360" spans="1:5" x14ac:dyDescent="0.25">
      <c r="A2360" s="47" t="s">
        <v>10867</v>
      </c>
      <c r="B2360" s="47" t="s">
        <v>123</v>
      </c>
      <c r="C2360" s="47" t="s">
        <v>4873</v>
      </c>
      <c r="D2360" s="47">
        <v>31.474091568729101</v>
      </c>
      <c r="E2360" s="48">
        <f>SUMIF(Data!$E:$E,$C2360,Data!$AI:$AI)</f>
        <v>0</v>
      </c>
    </row>
    <row r="2361" spans="1:5" x14ac:dyDescent="0.25">
      <c r="A2361" s="47" t="s">
        <v>10867</v>
      </c>
      <c r="B2361" s="47" t="s">
        <v>123</v>
      </c>
      <c r="C2361" s="47" t="s">
        <v>5186</v>
      </c>
      <c r="D2361" s="47">
        <v>3.6992973675192</v>
      </c>
      <c r="E2361" s="48">
        <f>SUMIF(Data!$E:$E,$C2361,Data!$AI:$AI)</f>
        <v>0.12898798215585272</v>
      </c>
    </row>
    <row r="2362" spans="1:5" x14ac:dyDescent="0.25">
      <c r="A2362" s="47" t="s">
        <v>10867</v>
      </c>
      <c r="B2362" s="47" t="s">
        <v>123</v>
      </c>
      <c r="C2362" s="47" t="s">
        <v>1786</v>
      </c>
      <c r="D2362" s="47">
        <v>4.3551833455185696</v>
      </c>
      <c r="E2362" s="48">
        <f>SUMIF(Data!$E:$E,$C2362,Data!$AI:$AI)</f>
        <v>0.1705308312796065</v>
      </c>
    </row>
    <row r="2363" spans="1:5" x14ac:dyDescent="0.25">
      <c r="A2363" s="47" t="s">
        <v>10867</v>
      </c>
      <c r="B2363" s="47" t="s">
        <v>123</v>
      </c>
      <c r="C2363" s="47" t="s">
        <v>5598</v>
      </c>
      <c r="D2363" s="47">
        <v>1.63665774898917</v>
      </c>
      <c r="E2363" s="48">
        <f>SUMIF(Data!$E:$E,$C2363,Data!$AI:$AI)</f>
        <v>0</v>
      </c>
    </row>
    <row r="2364" spans="1:5" x14ac:dyDescent="0.25">
      <c r="A2364" s="47" t="s">
        <v>10867</v>
      </c>
      <c r="B2364" s="47" t="s">
        <v>123</v>
      </c>
      <c r="C2364" s="47" t="s">
        <v>5605</v>
      </c>
      <c r="D2364" s="47">
        <v>2.4673732216670698</v>
      </c>
      <c r="E2364" s="48">
        <f>SUMIF(Data!$E:$E,$C2364,Data!$AI:$AI)</f>
        <v>6.758252240413927E-2</v>
      </c>
    </row>
    <row r="2365" spans="1:5" x14ac:dyDescent="0.25">
      <c r="A2365" s="47" t="s">
        <v>10867</v>
      </c>
      <c r="B2365" s="47" t="s">
        <v>123</v>
      </c>
      <c r="C2365" s="47" t="s">
        <v>5625</v>
      </c>
      <c r="D2365" s="47">
        <v>0.81028886615328599</v>
      </c>
      <c r="E2365" s="48">
        <f>SUMIF(Data!$E:$E,$C2365,Data!$AI:$AI)</f>
        <v>0</v>
      </c>
    </row>
    <row r="2366" spans="1:5" x14ac:dyDescent="0.25">
      <c r="A2366" s="47" t="s">
        <v>10867</v>
      </c>
      <c r="B2366" s="47" t="s">
        <v>123</v>
      </c>
      <c r="C2366" s="47" t="s">
        <v>5647</v>
      </c>
      <c r="D2366" s="47">
        <v>0.169458885433942</v>
      </c>
      <c r="E2366" s="48">
        <f>SUMIF(Data!$E:$E,$C2366,Data!$AI:$AI)</f>
        <v>0</v>
      </c>
    </row>
    <row r="2367" spans="1:5" x14ac:dyDescent="0.25">
      <c r="A2367" s="47" t="s">
        <v>10867</v>
      </c>
      <c r="B2367" s="47" t="s">
        <v>123</v>
      </c>
      <c r="C2367" s="47" t="s">
        <v>5685</v>
      </c>
      <c r="D2367" s="47">
        <v>1.17640835815834</v>
      </c>
      <c r="E2367" s="48">
        <f>SUMIF(Data!$E:$E,$C2367,Data!$AI:$AI)</f>
        <v>0</v>
      </c>
    </row>
    <row r="2368" spans="1:5" x14ac:dyDescent="0.25">
      <c r="A2368" s="47" t="s">
        <v>10867</v>
      </c>
      <c r="B2368" s="47" t="s">
        <v>123</v>
      </c>
      <c r="C2368" s="47" t="s">
        <v>5802</v>
      </c>
      <c r="D2368" s="47">
        <v>0.27331130848547303</v>
      </c>
      <c r="E2368" s="48">
        <f>SUMIF(Data!$E:$E,$C2368,Data!$AI:$AI)</f>
        <v>0</v>
      </c>
    </row>
    <row r="2369" spans="1:5" x14ac:dyDescent="0.25">
      <c r="A2369" s="47" t="s">
        <v>10868</v>
      </c>
      <c r="B2369" s="47" t="s">
        <v>123</v>
      </c>
      <c r="C2369" s="47" t="s">
        <v>5444</v>
      </c>
      <c r="D2369" s="47">
        <v>1.03130820180459</v>
      </c>
      <c r="E2369" s="48">
        <f>SUMIF(Data!$E:$E,$C2369,Data!$AI:$AI)</f>
        <v>0.13053515410881558</v>
      </c>
    </row>
    <row r="2370" spans="1:5" x14ac:dyDescent="0.25">
      <c r="A2370" s="47" t="s">
        <v>10868</v>
      </c>
      <c r="B2370" s="47" t="s">
        <v>123</v>
      </c>
      <c r="C2370" s="47" t="s">
        <v>5051</v>
      </c>
      <c r="D2370" s="47">
        <v>3.94208600439101</v>
      </c>
      <c r="E2370" s="48">
        <f>SUMIF(Data!$E:$E,$C2370,Data!$AI:$AI)</f>
        <v>0.40847619001243751</v>
      </c>
    </row>
    <row r="2371" spans="1:5" x14ac:dyDescent="0.25">
      <c r="A2371" s="47" t="s">
        <v>10868</v>
      </c>
      <c r="B2371" s="47" t="s">
        <v>123</v>
      </c>
      <c r="C2371" s="47" t="s">
        <v>5531</v>
      </c>
      <c r="D2371" s="47">
        <v>0.38576374189495699</v>
      </c>
      <c r="E2371" s="48">
        <f>SUMIF(Data!$E:$E,$C2371,Data!$AI:$AI)</f>
        <v>0</v>
      </c>
    </row>
    <row r="2372" spans="1:5" x14ac:dyDescent="0.25">
      <c r="A2372" s="47" t="s">
        <v>10868</v>
      </c>
      <c r="B2372" s="47" t="s">
        <v>123</v>
      </c>
      <c r="C2372" s="47" t="s">
        <v>5166</v>
      </c>
      <c r="D2372" s="47">
        <v>0.37349099417704001</v>
      </c>
      <c r="E2372" s="48">
        <f>SUMIF(Data!$E:$E,$C2372,Data!$AI:$AI)</f>
        <v>0</v>
      </c>
    </row>
    <row r="2373" spans="1:5" x14ac:dyDescent="0.25">
      <c r="A2373" s="47" t="s">
        <v>10868</v>
      </c>
      <c r="B2373" s="47" t="s">
        <v>123</v>
      </c>
      <c r="C2373" s="47" t="s">
        <v>4926</v>
      </c>
      <c r="D2373" s="47">
        <v>4.9655121043076402</v>
      </c>
      <c r="E2373" s="48">
        <f>SUMIF(Data!$E:$E,$C2373,Data!$AI:$AI)</f>
        <v>0.52858464745473188</v>
      </c>
    </row>
    <row r="2374" spans="1:5" x14ac:dyDescent="0.25">
      <c r="A2374" s="47" t="s">
        <v>10868</v>
      </c>
      <c r="B2374" s="47" t="s">
        <v>123</v>
      </c>
      <c r="C2374" s="47" t="s">
        <v>5228</v>
      </c>
      <c r="D2374" s="47">
        <v>0.75926250492131797</v>
      </c>
      <c r="E2374" s="48">
        <f>SUMIF(Data!$E:$E,$C2374,Data!$AI:$AI)</f>
        <v>0</v>
      </c>
    </row>
    <row r="2375" spans="1:5" x14ac:dyDescent="0.25">
      <c r="A2375" s="47" t="s">
        <v>10868</v>
      </c>
      <c r="B2375" s="47" t="s">
        <v>123</v>
      </c>
      <c r="C2375" s="47" t="s">
        <v>4009</v>
      </c>
      <c r="D2375" s="47">
        <v>1.4455266470641399</v>
      </c>
      <c r="E2375" s="48">
        <f>SUMIF(Data!$E:$E,$C2375,Data!$AI:$AI)</f>
        <v>0</v>
      </c>
    </row>
    <row r="2376" spans="1:5" x14ac:dyDescent="0.25">
      <c r="A2376" s="47" t="s">
        <v>10868</v>
      </c>
      <c r="B2376" s="47" t="s">
        <v>123</v>
      </c>
      <c r="C2376" s="47" t="s">
        <v>1942</v>
      </c>
      <c r="D2376" s="47">
        <v>64.942221113802006</v>
      </c>
      <c r="E2376" s="48">
        <f>SUMIF(Data!$E:$E,$C2376,Data!$AI:$AI)</f>
        <v>0</v>
      </c>
    </row>
    <row r="2377" spans="1:5" x14ac:dyDescent="0.25">
      <c r="A2377" s="47" t="s">
        <v>10868</v>
      </c>
      <c r="B2377" s="47" t="s">
        <v>123</v>
      </c>
      <c r="C2377" s="47" t="s">
        <v>4951</v>
      </c>
      <c r="D2377" s="47">
        <v>19.339349578374499</v>
      </c>
      <c r="E2377" s="48">
        <f>SUMIF(Data!$E:$E,$C2377,Data!$AI:$AI)</f>
        <v>0</v>
      </c>
    </row>
    <row r="2378" spans="1:5" x14ac:dyDescent="0.25">
      <c r="A2378" s="47" t="s">
        <v>10868</v>
      </c>
      <c r="B2378" s="47" t="s">
        <v>123</v>
      </c>
      <c r="C2378" s="47" t="s">
        <v>5665</v>
      </c>
      <c r="D2378" s="47">
        <v>0.27032453158778402</v>
      </c>
      <c r="E2378" s="48">
        <f>SUMIF(Data!$E:$E,$C2378,Data!$AI:$AI)</f>
        <v>0</v>
      </c>
    </row>
    <row r="2379" spans="1:5" x14ac:dyDescent="0.25">
      <c r="A2379" s="47" t="s">
        <v>10868</v>
      </c>
      <c r="B2379" s="47" t="s">
        <v>123</v>
      </c>
      <c r="C2379" s="47" t="s">
        <v>3581</v>
      </c>
      <c r="D2379" s="47">
        <v>0.45096230102611501</v>
      </c>
      <c r="E2379" s="48">
        <f>SUMIF(Data!$E:$E,$C2379,Data!$AI:$AI)</f>
        <v>0</v>
      </c>
    </row>
    <row r="2380" spans="1:5" x14ac:dyDescent="0.25">
      <c r="A2380" s="47" t="s">
        <v>10868</v>
      </c>
      <c r="B2380" s="47" t="s">
        <v>123</v>
      </c>
      <c r="C2380" s="47" t="s">
        <v>5769</v>
      </c>
      <c r="D2380" s="47">
        <v>0.27577824214312202</v>
      </c>
      <c r="E2380" s="48">
        <f>SUMIF(Data!$E:$E,$C2380,Data!$AI:$AI)</f>
        <v>0</v>
      </c>
    </row>
    <row r="2381" spans="1:5" x14ac:dyDescent="0.25">
      <c r="A2381" s="47" t="s">
        <v>10868</v>
      </c>
      <c r="B2381" s="47" t="s">
        <v>123</v>
      </c>
      <c r="C2381" s="47" t="s">
        <v>5368</v>
      </c>
      <c r="D2381" s="47">
        <v>0.58510444462898603</v>
      </c>
      <c r="E2381" s="48">
        <f>SUMIF(Data!$E:$E,$C2381,Data!$AI:$AI)</f>
        <v>0</v>
      </c>
    </row>
    <row r="2382" spans="1:5" x14ac:dyDescent="0.25">
      <c r="A2382" s="47" t="s">
        <v>10868</v>
      </c>
      <c r="B2382" s="47" t="s">
        <v>123</v>
      </c>
      <c r="C2382" s="47" t="s">
        <v>5836</v>
      </c>
      <c r="D2382" s="47">
        <v>0.22685929819450601</v>
      </c>
      <c r="E2382" s="48">
        <f>SUMIF(Data!$E:$E,$C2382,Data!$AI:$AI)</f>
        <v>0</v>
      </c>
    </row>
    <row r="2383" spans="1:5" x14ac:dyDescent="0.25">
      <c r="A2383" s="47" t="s">
        <v>10868</v>
      </c>
      <c r="B2383" s="47" t="s">
        <v>123</v>
      </c>
      <c r="C2383" s="47" t="s">
        <v>5402</v>
      </c>
      <c r="D2383" s="47">
        <v>1.00645029168227</v>
      </c>
      <c r="E2383" s="48">
        <f>SUMIF(Data!$E:$E,$C2383,Data!$AI:$AI)</f>
        <v>0.2044484818987839</v>
      </c>
    </row>
    <row r="2384" spans="1:5" x14ac:dyDescent="0.25">
      <c r="A2384" s="47" t="s">
        <v>10869</v>
      </c>
      <c r="B2384" s="47" t="s">
        <v>123</v>
      </c>
      <c r="C2384" s="47" t="s">
        <v>5173</v>
      </c>
      <c r="D2384" s="47">
        <v>8.1082676403877407</v>
      </c>
      <c r="E2384" s="48">
        <f>SUMIF(Data!$E:$E,$C2384,Data!$AI:$AI)</f>
        <v>0.32269220108453256</v>
      </c>
    </row>
    <row r="2385" spans="1:5" x14ac:dyDescent="0.25">
      <c r="A2385" s="47" t="s">
        <v>10869</v>
      </c>
      <c r="B2385" s="47" t="s">
        <v>123</v>
      </c>
      <c r="C2385" s="47" t="s">
        <v>4900</v>
      </c>
      <c r="D2385" s="47">
        <v>29.759160862744501</v>
      </c>
      <c r="E2385" s="48">
        <f>SUMIF(Data!$E:$E,$C2385,Data!$AI:$AI)</f>
        <v>0</v>
      </c>
    </row>
    <row r="2386" spans="1:5" x14ac:dyDescent="0.25">
      <c r="A2386" s="47" t="s">
        <v>10869</v>
      </c>
      <c r="B2386" s="47" t="s">
        <v>123</v>
      </c>
      <c r="C2386" s="47" t="s">
        <v>4919</v>
      </c>
      <c r="D2386" s="47">
        <v>11.787420698597501</v>
      </c>
      <c r="E2386" s="48">
        <f>SUMIF(Data!$E:$E,$C2386,Data!$AI:$AI)</f>
        <v>0.63880820904302782</v>
      </c>
    </row>
    <row r="2387" spans="1:5" x14ac:dyDescent="0.25">
      <c r="A2387" s="47" t="s">
        <v>10869</v>
      </c>
      <c r="B2387" s="47" t="s">
        <v>123</v>
      </c>
      <c r="C2387" s="47" t="s">
        <v>4964</v>
      </c>
      <c r="D2387" s="47">
        <v>13.839640670924499</v>
      </c>
      <c r="E2387" s="48">
        <f>SUMIF(Data!$E:$E,$C2387,Data!$AI:$AI)</f>
        <v>0</v>
      </c>
    </row>
    <row r="2388" spans="1:5" x14ac:dyDescent="0.25">
      <c r="A2388" s="47" t="s">
        <v>10869</v>
      </c>
      <c r="B2388" s="47" t="s">
        <v>123</v>
      </c>
      <c r="C2388" s="47" t="s">
        <v>4998</v>
      </c>
      <c r="D2388" s="47">
        <v>32.404184631501799</v>
      </c>
      <c r="E2388" s="48">
        <f>SUMIF(Data!$E:$E,$C2388,Data!$AI:$AI)</f>
        <v>0</v>
      </c>
    </row>
    <row r="2389" spans="1:5" x14ac:dyDescent="0.25">
      <c r="A2389" s="47" t="s">
        <v>10869</v>
      </c>
      <c r="B2389" s="47" t="s">
        <v>123</v>
      </c>
      <c r="C2389" s="47" t="s">
        <v>5389</v>
      </c>
      <c r="D2389" s="47">
        <v>4.1013254958439003</v>
      </c>
      <c r="E2389" s="48">
        <f>SUMIF(Data!$E:$E,$C2389,Data!$AI:$AI)</f>
        <v>0.2843976266541573</v>
      </c>
    </row>
    <row r="2390" spans="1:5" x14ac:dyDescent="0.25">
      <c r="A2390" s="47" t="s">
        <v>10870</v>
      </c>
      <c r="B2390" s="47" t="s">
        <v>123</v>
      </c>
      <c r="C2390" s="47" t="s">
        <v>5424</v>
      </c>
      <c r="D2390" s="47">
        <v>3.34897363430788</v>
      </c>
      <c r="E2390" s="48">
        <f>SUMIF(Data!$E:$E,$C2390,Data!$AI:$AI)</f>
        <v>0.14993036494457632</v>
      </c>
    </row>
    <row r="2391" spans="1:5" x14ac:dyDescent="0.25">
      <c r="A2391" s="47" t="s">
        <v>10870</v>
      </c>
      <c r="B2391" s="47" t="s">
        <v>123</v>
      </c>
      <c r="C2391" s="47" t="s">
        <v>5463</v>
      </c>
      <c r="D2391" s="47">
        <v>2.6142711144401498</v>
      </c>
      <c r="E2391" s="48">
        <f>SUMIF(Data!$E:$E,$C2391,Data!$AI:$AI)</f>
        <v>0</v>
      </c>
    </row>
    <row r="2392" spans="1:5" x14ac:dyDescent="0.25">
      <c r="A2392" s="47" t="s">
        <v>10870</v>
      </c>
      <c r="B2392" s="47" t="s">
        <v>123</v>
      </c>
      <c r="C2392" s="47" t="s">
        <v>5518</v>
      </c>
      <c r="D2392" s="47">
        <v>1.06608081348941</v>
      </c>
      <c r="E2392" s="48">
        <f>SUMIF(Data!$E:$E,$C2392,Data!$AI:$AI)</f>
        <v>0</v>
      </c>
    </row>
    <row r="2393" spans="1:5" x14ac:dyDescent="0.25">
      <c r="A2393" s="47" t="s">
        <v>10870</v>
      </c>
      <c r="B2393" s="47" t="s">
        <v>123</v>
      </c>
      <c r="C2393" s="47" t="s">
        <v>5141</v>
      </c>
      <c r="D2393" s="47">
        <v>4.2063346234168497</v>
      </c>
      <c r="E2393" s="48">
        <f>SUMIF(Data!$E:$E,$C2393,Data!$AI:$AI)</f>
        <v>0</v>
      </c>
    </row>
    <row r="2394" spans="1:5" x14ac:dyDescent="0.25">
      <c r="A2394" s="47" t="s">
        <v>10870</v>
      </c>
      <c r="B2394" s="47" t="s">
        <v>123</v>
      </c>
      <c r="C2394" s="47" t="s">
        <v>3901</v>
      </c>
      <c r="D2394" s="47">
        <v>15.440819730426799</v>
      </c>
      <c r="E2394" s="48">
        <f>SUMIF(Data!$E:$E,$C2394,Data!$AI:$AI)</f>
        <v>0.4435083799971119</v>
      </c>
    </row>
    <row r="2395" spans="1:5" x14ac:dyDescent="0.25">
      <c r="A2395" s="47" t="s">
        <v>10870</v>
      </c>
      <c r="B2395" s="47" t="s">
        <v>123</v>
      </c>
      <c r="C2395" s="47" t="s">
        <v>4938</v>
      </c>
      <c r="D2395" s="47">
        <v>20.5804939299015</v>
      </c>
      <c r="E2395" s="48">
        <f>SUMIF(Data!$E:$E,$C2395,Data!$AI:$AI)</f>
        <v>0</v>
      </c>
    </row>
    <row r="2396" spans="1:5" x14ac:dyDescent="0.25">
      <c r="A2396" s="47" t="s">
        <v>10870</v>
      </c>
      <c r="B2396" s="47" t="s">
        <v>123</v>
      </c>
      <c r="C2396" s="47" t="s">
        <v>5271</v>
      </c>
      <c r="D2396" s="47">
        <v>2.4896457870622402</v>
      </c>
      <c r="E2396" s="48">
        <f>SUMIF(Data!$E:$E,$C2396,Data!$AI:$AI)</f>
        <v>0.14326299409755411</v>
      </c>
    </row>
    <row r="2397" spans="1:5" x14ac:dyDescent="0.25">
      <c r="A2397" s="47" t="s">
        <v>10870</v>
      </c>
      <c r="B2397" s="47" t="s">
        <v>123</v>
      </c>
      <c r="C2397" s="47" t="s">
        <v>4978</v>
      </c>
      <c r="D2397" s="47">
        <v>16.939281143939599</v>
      </c>
      <c r="E2397" s="48">
        <f>SUMIF(Data!$E:$E,$C2397,Data!$AI:$AI)</f>
        <v>0</v>
      </c>
    </row>
    <row r="2398" spans="1:5" x14ac:dyDescent="0.25">
      <c r="A2398" s="47" t="s">
        <v>10870</v>
      </c>
      <c r="B2398" s="47" t="s">
        <v>123</v>
      </c>
      <c r="C2398" s="47" t="s">
        <v>5316</v>
      </c>
      <c r="D2398" s="47">
        <v>2.05670182761307</v>
      </c>
      <c r="E2398" s="48">
        <f>SUMIF(Data!$E:$E,$C2398,Data!$AI:$AI)</f>
        <v>0</v>
      </c>
    </row>
    <row r="2399" spans="1:5" x14ac:dyDescent="0.25">
      <c r="A2399" s="47" t="s">
        <v>10870</v>
      </c>
      <c r="B2399" s="47" t="s">
        <v>123</v>
      </c>
      <c r="C2399" s="47" t="s">
        <v>4984</v>
      </c>
      <c r="D2399" s="47">
        <v>25.431619577928998</v>
      </c>
      <c r="E2399" s="48">
        <f>SUMIF(Data!$E:$E,$C2399,Data!$AI:$AI)</f>
        <v>0</v>
      </c>
    </row>
    <row r="2400" spans="1:5" x14ac:dyDescent="0.25">
      <c r="A2400" s="47" t="s">
        <v>10870</v>
      </c>
      <c r="B2400" s="47" t="s">
        <v>123</v>
      </c>
      <c r="C2400" s="47" t="s">
        <v>5830</v>
      </c>
      <c r="D2400" s="47">
        <v>0.50789164710432599</v>
      </c>
      <c r="E2400" s="48">
        <f>SUMIF(Data!$E:$E,$C2400,Data!$AI:$AI)</f>
        <v>0</v>
      </c>
    </row>
    <row r="2401" spans="1:5" x14ac:dyDescent="0.25">
      <c r="A2401" s="47" t="s">
        <v>10870</v>
      </c>
      <c r="B2401" s="47" t="s">
        <v>123</v>
      </c>
      <c r="C2401" s="47" t="s">
        <v>5396</v>
      </c>
      <c r="D2401" s="47">
        <v>0.348836513532922</v>
      </c>
      <c r="E2401" s="48">
        <f>SUMIF(Data!$E:$E,$C2401,Data!$AI:$AI)</f>
        <v>0</v>
      </c>
    </row>
    <row r="2402" spans="1:5" x14ac:dyDescent="0.25">
      <c r="A2402" s="47" t="s">
        <v>10870</v>
      </c>
      <c r="B2402" s="47" t="s">
        <v>123</v>
      </c>
      <c r="C2402" s="47" t="s">
        <v>6750</v>
      </c>
      <c r="D2402" s="47">
        <v>4.9690496568362903</v>
      </c>
      <c r="E2402" s="48">
        <f>SUMIF(Data!$E:$E,$C2402,Data!$AI:$AI)</f>
        <v>0.68951282351564869</v>
      </c>
    </row>
    <row r="2403" spans="1:5" x14ac:dyDescent="0.25">
      <c r="A2403" s="47" t="s">
        <v>10871</v>
      </c>
      <c r="B2403" s="47" t="s">
        <v>123</v>
      </c>
      <c r="C2403" s="47" t="s">
        <v>5417</v>
      </c>
      <c r="D2403" s="47">
        <v>0.64888555766511302</v>
      </c>
      <c r="E2403" s="48">
        <f>SUMIF(Data!$E:$E,$C2403,Data!$AI:$AI)</f>
        <v>0</v>
      </c>
    </row>
    <row r="2404" spans="1:5" x14ac:dyDescent="0.25">
      <c r="A2404" s="47" t="s">
        <v>10871</v>
      </c>
      <c r="B2404" s="47" t="s">
        <v>123</v>
      </c>
      <c r="C2404" s="47" t="s">
        <v>4768</v>
      </c>
      <c r="D2404" s="47">
        <v>35.598690456869399</v>
      </c>
      <c r="E2404" s="48">
        <f>SUMIF(Data!$E:$E,$C2404,Data!$AI:$AI)</f>
        <v>0</v>
      </c>
    </row>
    <row r="2405" spans="1:5" x14ac:dyDescent="0.25">
      <c r="A2405" s="47" t="s">
        <v>10871</v>
      </c>
      <c r="B2405" s="47" t="s">
        <v>123</v>
      </c>
      <c r="C2405" s="47" t="s">
        <v>4862</v>
      </c>
      <c r="D2405" s="47">
        <v>20.7382960170976</v>
      </c>
      <c r="E2405" s="48">
        <f>SUMIF(Data!$E:$E,$C2405,Data!$AI:$AI)</f>
        <v>0.397519933142436</v>
      </c>
    </row>
    <row r="2406" spans="1:5" x14ac:dyDescent="0.25">
      <c r="A2406" s="47" t="s">
        <v>10871</v>
      </c>
      <c r="B2406" s="47" t="s">
        <v>123</v>
      </c>
      <c r="C2406" s="47" t="s">
        <v>5639</v>
      </c>
      <c r="D2406" s="47">
        <v>2.6750486273789602</v>
      </c>
      <c r="E2406" s="48">
        <f>SUMIF(Data!$E:$E,$C2406,Data!$AI:$AI)</f>
        <v>0</v>
      </c>
    </row>
    <row r="2407" spans="1:5" x14ac:dyDescent="0.25">
      <c r="A2407" s="47" t="s">
        <v>10871</v>
      </c>
      <c r="B2407" s="47" t="s">
        <v>123</v>
      </c>
      <c r="C2407" s="47" t="s">
        <v>4971</v>
      </c>
      <c r="D2407" s="47">
        <v>19.532427851740898</v>
      </c>
      <c r="E2407" s="48">
        <f>SUMIF(Data!$E:$E,$C2407,Data!$AI:$AI)</f>
        <v>0.51478348043038158</v>
      </c>
    </row>
    <row r="2408" spans="1:5" x14ac:dyDescent="0.25">
      <c r="A2408" s="47" t="s">
        <v>10871</v>
      </c>
      <c r="B2408" s="47" t="s">
        <v>123</v>
      </c>
      <c r="C2408" s="47" t="s">
        <v>5725</v>
      </c>
      <c r="D2408" s="47">
        <v>1.42197630389249</v>
      </c>
      <c r="E2408" s="48">
        <f>SUMIF(Data!$E:$E,$C2408,Data!$AI:$AI)</f>
        <v>0</v>
      </c>
    </row>
    <row r="2409" spans="1:5" x14ac:dyDescent="0.25">
      <c r="A2409" s="47" t="s">
        <v>10871</v>
      </c>
      <c r="B2409" s="47" t="s">
        <v>123</v>
      </c>
      <c r="C2409" s="47" t="s">
        <v>4991</v>
      </c>
      <c r="D2409" s="47">
        <v>19.384675185355501</v>
      </c>
      <c r="E2409" s="48">
        <f>SUMIF(Data!$E:$E,$C2409,Data!$AI:$AI)</f>
        <v>0.38077996000694508</v>
      </c>
    </row>
    <row r="2410" spans="1:5" x14ac:dyDescent="0.25">
      <c r="A2410" s="47" t="s">
        <v>10872</v>
      </c>
      <c r="B2410" s="47" t="s">
        <v>123</v>
      </c>
      <c r="C2410" s="47" t="s">
        <v>5424</v>
      </c>
      <c r="D2410" s="47">
        <v>0.44141750725163398</v>
      </c>
      <c r="E2410" s="48">
        <f>SUMIF(Data!$E:$E,$C2410,Data!$AI:$AI)</f>
        <v>0.14993036494457632</v>
      </c>
    </row>
    <row r="2411" spans="1:5" x14ac:dyDescent="0.25">
      <c r="A2411" s="47" t="s">
        <v>10872</v>
      </c>
      <c r="B2411" s="47" t="s">
        <v>123</v>
      </c>
      <c r="C2411" s="47" t="s">
        <v>5457</v>
      </c>
      <c r="D2411" s="47">
        <v>0.25453306761162803</v>
      </c>
      <c r="E2411" s="48">
        <f>SUMIF(Data!$E:$E,$C2411,Data!$AI:$AI)</f>
        <v>0</v>
      </c>
    </row>
    <row r="2412" spans="1:5" x14ac:dyDescent="0.25">
      <c r="A2412" s="47" t="s">
        <v>10872</v>
      </c>
      <c r="B2412" s="47" t="s">
        <v>123</v>
      </c>
      <c r="C2412" s="47" t="s">
        <v>5463</v>
      </c>
      <c r="D2412" s="47">
        <v>0.344578717131231</v>
      </c>
      <c r="E2412" s="48">
        <f>SUMIF(Data!$E:$E,$C2412,Data!$AI:$AI)</f>
        <v>0</v>
      </c>
    </row>
    <row r="2413" spans="1:5" x14ac:dyDescent="0.25">
      <c r="A2413" s="47" t="s">
        <v>10872</v>
      </c>
      <c r="B2413" s="47" t="s">
        <v>123</v>
      </c>
      <c r="C2413" s="47" t="s">
        <v>5085</v>
      </c>
      <c r="D2413" s="47">
        <v>0.48703410554038101</v>
      </c>
      <c r="E2413" s="48">
        <f>SUMIF(Data!$E:$E,$C2413,Data!$AI:$AI)</f>
        <v>0</v>
      </c>
    </row>
    <row r="2414" spans="1:5" x14ac:dyDescent="0.25">
      <c r="A2414" s="47" t="s">
        <v>10872</v>
      </c>
      <c r="B2414" s="47" t="s">
        <v>123</v>
      </c>
      <c r="C2414" s="47" t="s">
        <v>5518</v>
      </c>
      <c r="D2414" s="47">
        <v>0.140516703505355</v>
      </c>
      <c r="E2414" s="48">
        <f>SUMIF(Data!$E:$E,$C2414,Data!$AI:$AI)</f>
        <v>0</v>
      </c>
    </row>
    <row r="2415" spans="1:5" x14ac:dyDescent="0.25">
      <c r="A2415" s="47" t="s">
        <v>10872</v>
      </c>
      <c r="B2415" s="47" t="s">
        <v>123</v>
      </c>
      <c r="C2415" s="47" t="s">
        <v>5141</v>
      </c>
      <c r="D2415" s="47">
        <v>0.55442351803364898</v>
      </c>
      <c r="E2415" s="48">
        <f>SUMIF(Data!$E:$E,$C2415,Data!$AI:$AI)</f>
        <v>0</v>
      </c>
    </row>
    <row r="2416" spans="1:5" x14ac:dyDescent="0.25">
      <c r="A2416" s="47" t="s">
        <v>10872</v>
      </c>
      <c r="B2416" s="47" t="s">
        <v>123</v>
      </c>
      <c r="C2416" s="47" t="s">
        <v>4855</v>
      </c>
      <c r="D2416" s="47">
        <v>68.675810956931599</v>
      </c>
      <c r="E2416" s="48">
        <f>SUMIF(Data!$E:$E,$C2416,Data!$AI:$AI)</f>
        <v>1.0989645296635115</v>
      </c>
    </row>
    <row r="2417" spans="1:5" x14ac:dyDescent="0.25">
      <c r="A2417" s="47" t="s">
        <v>10872</v>
      </c>
      <c r="B2417" s="47" t="s">
        <v>123</v>
      </c>
      <c r="C2417" s="47" t="s">
        <v>5173</v>
      </c>
      <c r="D2417" s="47">
        <v>1.3181387519828101</v>
      </c>
      <c r="E2417" s="48">
        <f>SUMIF(Data!$E:$E,$C2417,Data!$AI:$AI)</f>
        <v>0.32269220108453256</v>
      </c>
    </row>
    <row r="2418" spans="1:5" x14ac:dyDescent="0.25">
      <c r="A2418" s="47" t="s">
        <v>10872</v>
      </c>
      <c r="B2418" s="47" t="s">
        <v>123</v>
      </c>
      <c r="C2418" s="47" t="s">
        <v>4900</v>
      </c>
      <c r="D2418" s="47">
        <v>4.8378648682343899</v>
      </c>
      <c r="E2418" s="48">
        <f>SUMIF(Data!$E:$E,$C2418,Data!$AI:$AI)</f>
        <v>0</v>
      </c>
    </row>
    <row r="2419" spans="1:5" x14ac:dyDescent="0.25">
      <c r="A2419" s="47" t="s">
        <v>10872</v>
      </c>
      <c r="B2419" s="47" t="s">
        <v>123</v>
      </c>
      <c r="C2419" s="47" t="s">
        <v>4919</v>
      </c>
      <c r="D2419" s="47">
        <v>1.91624853764727</v>
      </c>
      <c r="E2419" s="48">
        <f>SUMIF(Data!$E:$E,$C2419,Data!$AI:$AI)</f>
        <v>0.63880820904302782</v>
      </c>
    </row>
    <row r="2420" spans="1:5" x14ac:dyDescent="0.25">
      <c r="A2420" s="47" t="s">
        <v>10872</v>
      </c>
      <c r="B2420" s="47" t="s">
        <v>123</v>
      </c>
      <c r="C2420" s="47" t="s">
        <v>4368</v>
      </c>
      <c r="D2420" s="47">
        <v>0.42626661458320497</v>
      </c>
      <c r="E2420" s="48">
        <f>SUMIF(Data!$E:$E,$C2420,Data!$AI:$AI)</f>
        <v>0</v>
      </c>
    </row>
    <row r="2421" spans="1:5" x14ac:dyDescent="0.25">
      <c r="A2421" s="47" t="s">
        <v>10872</v>
      </c>
      <c r="B2421" s="47" t="s">
        <v>123</v>
      </c>
      <c r="C2421" s="47" t="s">
        <v>5583</v>
      </c>
      <c r="D2421" s="47">
        <v>0.10454313584738301</v>
      </c>
      <c r="E2421" s="48">
        <f>SUMIF(Data!$E:$E,$C2421,Data!$AI:$AI)</f>
        <v>0</v>
      </c>
    </row>
    <row r="2422" spans="1:5" x14ac:dyDescent="0.25">
      <c r="A2422" s="47" t="s">
        <v>10872</v>
      </c>
      <c r="B2422" s="47" t="s">
        <v>123</v>
      </c>
      <c r="C2422" s="47" t="s">
        <v>3901</v>
      </c>
      <c r="D2422" s="47">
        <v>2.0352050805964201</v>
      </c>
      <c r="E2422" s="48">
        <f>SUMIF(Data!$E:$E,$C2422,Data!$AI:$AI)</f>
        <v>0.4435083799971119</v>
      </c>
    </row>
    <row r="2423" spans="1:5" x14ac:dyDescent="0.25">
      <c r="A2423" s="47" t="s">
        <v>10872</v>
      </c>
      <c r="B2423" s="47" t="s">
        <v>123</v>
      </c>
      <c r="C2423" s="47" t="s">
        <v>4938</v>
      </c>
      <c r="D2423" s="47">
        <v>2.7126491040357199</v>
      </c>
      <c r="E2423" s="48">
        <f>SUMIF(Data!$E:$E,$C2423,Data!$AI:$AI)</f>
        <v>0</v>
      </c>
    </row>
    <row r="2424" spans="1:5" x14ac:dyDescent="0.25">
      <c r="A2424" s="47" t="s">
        <v>10872</v>
      </c>
      <c r="B2424" s="47" t="s">
        <v>123</v>
      </c>
      <c r="C2424" s="47" t="s">
        <v>4964</v>
      </c>
      <c r="D2424" s="47">
        <v>2.2498722897349399</v>
      </c>
      <c r="E2424" s="48">
        <f>SUMIF(Data!$E:$E,$C2424,Data!$AI:$AI)</f>
        <v>0</v>
      </c>
    </row>
    <row r="2425" spans="1:5" x14ac:dyDescent="0.25">
      <c r="A2425" s="47" t="s">
        <v>10872</v>
      </c>
      <c r="B2425" s="47" t="s">
        <v>123</v>
      </c>
      <c r="C2425" s="47" t="s">
        <v>5271</v>
      </c>
      <c r="D2425" s="47">
        <v>0.32815225118715202</v>
      </c>
      <c r="E2425" s="48">
        <f>SUMIF(Data!$E:$E,$C2425,Data!$AI:$AI)</f>
        <v>0.14326299409755411</v>
      </c>
    </row>
    <row r="2426" spans="1:5" x14ac:dyDescent="0.25">
      <c r="A2426" s="47" t="s">
        <v>10872</v>
      </c>
      <c r="B2426" s="47" t="s">
        <v>123</v>
      </c>
      <c r="C2426" s="47" t="s">
        <v>4978</v>
      </c>
      <c r="D2426" s="47">
        <v>2.2327124885645002</v>
      </c>
      <c r="E2426" s="48">
        <f>SUMIF(Data!$E:$E,$C2426,Data!$AI:$AI)</f>
        <v>0</v>
      </c>
    </row>
    <row r="2427" spans="1:5" x14ac:dyDescent="0.25">
      <c r="A2427" s="47" t="s">
        <v>10872</v>
      </c>
      <c r="B2427" s="47" t="s">
        <v>123</v>
      </c>
      <c r="C2427" s="47" t="s">
        <v>5309</v>
      </c>
      <c r="D2427" s="47">
        <v>0.61440709770741198</v>
      </c>
      <c r="E2427" s="48">
        <f>SUMIF(Data!$E:$E,$C2427,Data!$AI:$AI)</f>
        <v>0</v>
      </c>
    </row>
    <row r="2428" spans="1:5" x14ac:dyDescent="0.25">
      <c r="A2428" s="47" t="s">
        <v>10872</v>
      </c>
      <c r="B2428" s="47" t="s">
        <v>123</v>
      </c>
      <c r="C2428" s="47" t="s">
        <v>5316</v>
      </c>
      <c r="D2428" s="47">
        <v>0.271087292119715</v>
      </c>
      <c r="E2428" s="48">
        <f>SUMIF(Data!$E:$E,$C2428,Data!$AI:$AI)</f>
        <v>0</v>
      </c>
    </row>
    <row r="2429" spans="1:5" x14ac:dyDescent="0.25">
      <c r="A2429" s="47" t="s">
        <v>10872</v>
      </c>
      <c r="B2429" s="47" t="s">
        <v>123</v>
      </c>
      <c r="C2429" s="47" t="s">
        <v>4984</v>
      </c>
      <c r="D2429" s="47">
        <v>3.3520604654689401</v>
      </c>
      <c r="E2429" s="48">
        <f>SUMIF(Data!$E:$E,$C2429,Data!$AI:$AI)</f>
        <v>0</v>
      </c>
    </row>
    <row r="2430" spans="1:5" x14ac:dyDescent="0.25">
      <c r="A2430" s="47" t="s">
        <v>10872</v>
      </c>
      <c r="B2430" s="47" t="s">
        <v>123</v>
      </c>
      <c r="C2430" s="47" t="s">
        <v>4998</v>
      </c>
      <c r="D2430" s="47">
        <v>5.2678591017927596</v>
      </c>
      <c r="E2430" s="48">
        <f>SUMIF(Data!$E:$E,$C2430,Data!$AI:$AI)</f>
        <v>0</v>
      </c>
    </row>
    <row r="2431" spans="1:5" x14ac:dyDescent="0.25">
      <c r="A2431" s="47" t="s">
        <v>10872</v>
      </c>
      <c r="B2431" s="47" t="s">
        <v>123</v>
      </c>
      <c r="C2431" s="47" t="s">
        <v>5389</v>
      </c>
      <c r="D2431" s="47">
        <v>0.66674119680494703</v>
      </c>
      <c r="E2431" s="48">
        <f>SUMIF(Data!$E:$E,$C2431,Data!$AI:$AI)</f>
        <v>0.2843976266541573</v>
      </c>
    </row>
    <row r="2432" spans="1:5" x14ac:dyDescent="0.25">
      <c r="A2432" s="47" t="s">
        <v>10872</v>
      </c>
      <c r="B2432" s="47" t="s">
        <v>123</v>
      </c>
      <c r="C2432" s="47" t="s">
        <v>5830</v>
      </c>
      <c r="D2432" s="47">
        <v>6.6943574151203999E-2</v>
      </c>
      <c r="E2432" s="48">
        <f>SUMIF(Data!$E:$E,$C2432,Data!$AI:$AI)</f>
        <v>0</v>
      </c>
    </row>
    <row r="2433" spans="1:5" x14ac:dyDescent="0.25">
      <c r="A2433" s="47" t="s">
        <v>10872</v>
      </c>
      <c r="B2433" s="47" t="s">
        <v>123</v>
      </c>
      <c r="C2433" s="47" t="s">
        <v>5396</v>
      </c>
      <c r="D2433" s="47">
        <v>4.5979025533258999E-2</v>
      </c>
      <c r="E2433" s="48">
        <f>SUMIF(Data!$E:$E,$C2433,Data!$AI:$AI)</f>
        <v>0</v>
      </c>
    </row>
    <row r="2434" spans="1:5" x14ac:dyDescent="0.25">
      <c r="A2434" s="47" t="s">
        <v>10872</v>
      </c>
      <c r="B2434" s="47" t="s">
        <v>123</v>
      </c>
      <c r="C2434" s="47" t="s">
        <v>6750</v>
      </c>
      <c r="D2434" s="47">
        <v>0.654954548002458</v>
      </c>
      <c r="E2434" s="48">
        <f>SUMIF(Data!$E:$E,$C2434,Data!$AI:$AI)</f>
        <v>0.68951282351564869</v>
      </c>
    </row>
    <row r="2435" spans="1:5" x14ac:dyDescent="0.25">
      <c r="A2435" s="47" t="s">
        <v>10873</v>
      </c>
      <c r="B2435" s="47" t="s">
        <v>123</v>
      </c>
      <c r="C2435" s="47" t="s">
        <v>4855</v>
      </c>
      <c r="D2435" s="47">
        <v>100</v>
      </c>
      <c r="E2435" s="48">
        <f>SUMIF(Data!$E:$E,$C2435,Data!$AI:$AI)</f>
        <v>1.0989645296635115</v>
      </c>
    </row>
    <row r="2436" spans="1:5" x14ac:dyDescent="0.25">
      <c r="A2436" s="47" t="s">
        <v>10874</v>
      </c>
      <c r="B2436" s="47" t="s">
        <v>123</v>
      </c>
      <c r="C2436" s="47" t="s">
        <v>4841</v>
      </c>
      <c r="D2436" s="47">
        <v>62.741112744765601</v>
      </c>
      <c r="E2436" s="48">
        <f>SUMIF(Data!$E:$E,$C2436,Data!$AI:$AI)</f>
        <v>1.1368494141004637</v>
      </c>
    </row>
    <row r="2437" spans="1:5" x14ac:dyDescent="0.25">
      <c r="A2437" s="47" t="s">
        <v>10874</v>
      </c>
      <c r="B2437" s="47" t="s">
        <v>123</v>
      </c>
      <c r="C2437" s="47" t="s">
        <v>5221</v>
      </c>
      <c r="D2437" s="47">
        <v>6.3320025767430197</v>
      </c>
      <c r="E2437" s="48">
        <f>SUMIF(Data!$E:$E,$C2437,Data!$AI:$AI)</f>
        <v>0.14962264013625223</v>
      </c>
    </row>
    <row r="2438" spans="1:5" x14ac:dyDescent="0.25">
      <c r="A2438" s="47" t="s">
        <v>10874</v>
      </c>
      <c r="B2438" s="47" t="s">
        <v>123</v>
      </c>
      <c r="C2438" s="47" t="s">
        <v>5632</v>
      </c>
      <c r="D2438" s="47">
        <v>1.2425050477101001</v>
      </c>
      <c r="E2438" s="48">
        <f>SUMIF(Data!$E:$E,$C2438,Data!$AI:$AI)</f>
        <v>0</v>
      </c>
    </row>
    <row r="2439" spans="1:5" x14ac:dyDescent="0.25">
      <c r="A2439" s="47" t="s">
        <v>10874</v>
      </c>
      <c r="B2439" s="47" t="s">
        <v>123</v>
      </c>
      <c r="C2439" s="47" t="s">
        <v>1469</v>
      </c>
      <c r="D2439" s="47">
        <v>29.684379630781301</v>
      </c>
      <c r="E2439" s="48">
        <f>SUMIF(Data!$E:$E,$C2439,Data!$AI:$AI)</f>
        <v>0</v>
      </c>
    </row>
    <row r="2440" spans="1:5" x14ac:dyDescent="0.25">
      <c r="A2440" s="47" t="s">
        <v>10875</v>
      </c>
      <c r="B2440" s="47" t="s">
        <v>123</v>
      </c>
      <c r="C2440" s="47" t="s">
        <v>5457</v>
      </c>
      <c r="D2440" s="47">
        <v>13.490312867797201</v>
      </c>
      <c r="E2440" s="48">
        <f>SUMIF(Data!$E:$E,$C2440,Data!$AI:$AI)</f>
        <v>0</v>
      </c>
    </row>
    <row r="2441" spans="1:5" x14ac:dyDescent="0.25">
      <c r="A2441" s="47" t="s">
        <v>10875</v>
      </c>
      <c r="B2441" s="47" t="s">
        <v>123</v>
      </c>
      <c r="C2441" s="47" t="s">
        <v>5085</v>
      </c>
      <c r="D2441" s="47">
        <v>25.812922944269602</v>
      </c>
      <c r="E2441" s="48">
        <f>SUMIF(Data!$E:$E,$C2441,Data!$AI:$AI)</f>
        <v>0</v>
      </c>
    </row>
    <row r="2442" spans="1:5" x14ac:dyDescent="0.25">
      <c r="A2442" s="47" t="s">
        <v>10875</v>
      </c>
      <c r="B2442" s="47" t="s">
        <v>123</v>
      </c>
      <c r="C2442" s="47" t="s">
        <v>4368</v>
      </c>
      <c r="D2442" s="47">
        <v>22.592231531183099</v>
      </c>
      <c r="E2442" s="48">
        <f>SUMIF(Data!$E:$E,$C2442,Data!$AI:$AI)</f>
        <v>0</v>
      </c>
    </row>
    <row r="2443" spans="1:5" x14ac:dyDescent="0.25">
      <c r="A2443" s="47" t="s">
        <v>10875</v>
      </c>
      <c r="B2443" s="47" t="s">
        <v>123</v>
      </c>
      <c r="C2443" s="47" t="s">
        <v>5583</v>
      </c>
      <c r="D2443" s="47">
        <v>5.5408109602235101</v>
      </c>
      <c r="E2443" s="48">
        <f>SUMIF(Data!$E:$E,$C2443,Data!$AI:$AI)</f>
        <v>0</v>
      </c>
    </row>
    <row r="2444" spans="1:5" x14ac:dyDescent="0.25">
      <c r="A2444" s="47" t="s">
        <v>10875</v>
      </c>
      <c r="B2444" s="47" t="s">
        <v>123</v>
      </c>
      <c r="C2444" s="47" t="s">
        <v>5309</v>
      </c>
      <c r="D2444" s="47">
        <v>32.563721696526599</v>
      </c>
      <c r="E2444" s="48">
        <f>SUMIF(Data!$E:$E,$C2444,Data!$AI:$AI)</f>
        <v>0</v>
      </c>
    </row>
    <row r="2445" spans="1:5" x14ac:dyDescent="0.25">
      <c r="A2445" s="47" t="s">
        <v>10876</v>
      </c>
      <c r="B2445" s="47" t="s">
        <v>123</v>
      </c>
      <c r="C2445" s="47" t="s">
        <v>5058</v>
      </c>
      <c r="D2445" s="47">
        <v>0.68794257758320498</v>
      </c>
      <c r="E2445" s="48">
        <f>SUMIF(Data!$E:$E,$C2445,Data!$AI:$AI)</f>
        <v>0</v>
      </c>
    </row>
    <row r="2446" spans="1:5" x14ac:dyDescent="0.25">
      <c r="A2446" s="47" t="s">
        <v>10876</v>
      </c>
      <c r="B2446" s="47" t="s">
        <v>123</v>
      </c>
      <c r="C2446" s="47" t="s">
        <v>5451</v>
      </c>
      <c r="D2446" s="47">
        <v>7.8854353066173E-2</v>
      </c>
      <c r="E2446" s="48">
        <f>SUMIF(Data!$E:$E,$C2446,Data!$AI:$AI)</f>
        <v>0</v>
      </c>
    </row>
    <row r="2447" spans="1:5" x14ac:dyDescent="0.25">
      <c r="A2447" s="47" t="s">
        <v>10876</v>
      </c>
      <c r="B2447" s="47" t="s">
        <v>123</v>
      </c>
      <c r="C2447" s="47" t="s">
        <v>5072</v>
      </c>
      <c r="D2447" s="47">
        <v>0.74473766817012499</v>
      </c>
      <c r="E2447" s="48">
        <f>SUMIF(Data!$E:$E,$C2447,Data!$AI:$AI)</f>
        <v>0.26629035811338408</v>
      </c>
    </row>
    <row r="2448" spans="1:5" x14ac:dyDescent="0.25">
      <c r="A2448" s="47" t="s">
        <v>10876</v>
      </c>
      <c r="B2448" s="47" t="s">
        <v>123</v>
      </c>
      <c r="C2448" s="47" t="s">
        <v>4789</v>
      </c>
      <c r="D2448" s="47">
        <v>3.0446239767110499</v>
      </c>
      <c r="E2448" s="48">
        <f>SUMIF(Data!$E:$E,$C2448,Data!$AI:$AI)</f>
        <v>0</v>
      </c>
    </row>
    <row r="2449" spans="1:5" x14ac:dyDescent="0.25">
      <c r="A2449" s="47" t="s">
        <v>10876</v>
      </c>
      <c r="B2449" s="47" t="s">
        <v>123</v>
      </c>
      <c r="C2449" s="47" t="s">
        <v>3205</v>
      </c>
      <c r="D2449" s="47">
        <v>3.06227561731906</v>
      </c>
      <c r="E2449" s="48">
        <f>SUMIF(Data!$E:$E,$C2449,Data!$AI:$AI)</f>
        <v>0</v>
      </c>
    </row>
    <row r="2450" spans="1:5" x14ac:dyDescent="0.25">
      <c r="A2450" s="47" t="s">
        <v>10876</v>
      </c>
      <c r="B2450" s="47" t="s">
        <v>123</v>
      </c>
      <c r="C2450" s="47" t="s">
        <v>5477</v>
      </c>
      <c r="D2450" s="47">
        <v>0.42358774055637599</v>
      </c>
      <c r="E2450" s="48">
        <f>SUMIF(Data!$E:$E,$C2450,Data!$AI:$AI)</f>
        <v>0</v>
      </c>
    </row>
    <row r="2451" spans="1:5" x14ac:dyDescent="0.25">
      <c r="A2451" s="47" t="s">
        <v>10876</v>
      </c>
      <c r="B2451" s="47" t="s">
        <v>123</v>
      </c>
      <c r="C2451" s="47" t="s">
        <v>4801</v>
      </c>
      <c r="D2451" s="47">
        <v>11.433580403231</v>
      </c>
      <c r="E2451" s="48">
        <f>SUMIF(Data!$E:$E,$C2451,Data!$AI:$AI)</f>
        <v>0.9366848889291185</v>
      </c>
    </row>
    <row r="2452" spans="1:5" x14ac:dyDescent="0.25">
      <c r="A2452" s="47" t="s">
        <v>10876</v>
      </c>
      <c r="B2452" s="47" t="s">
        <v>123</v>
      </c>
      <c r="C2452" s="47" t="s">
        <v>3145</v>
      </c>
      <c r="D2452" s="47">
        <v>3.95443291037444</v>
      </c>
      <c r="E2452" s="48">
        <f>SUMIF(Data!$E:$E,$C2452,Data!$AI:$AI)</f>
        <v>0</v>
      </c>
    </row>
    <row r="2453" spans="1:5" x14ac:dyDescent="0.25">
      <c r="A2453" s="47" t="s">
        <v>10876</v>
      </c>
      <c r="B2453" s="47" t="s">
        <v>123</v>
      </c>
      <c r="C2453" s="47" t="s">
        <v>5504</v>
      </c>
      <c r="D2453" s="47">
        <v>0.105842095213927</v>
      </c>
      <c r="E2453" s="48">
        <f>SUMIF(Data!$E:$E,$C2453,Data!$AI:$AI)</f>
        <v>0</v>
      </c>
    </row>
    <row r="2454" spans="1:5" x14ac:dyDescent="0.25">
      <c r="A2454" s="47" t="s">
        <v>10876</v>
      </c>
      <c r="B2454" s="47" t="s">
        <v>123</v>
      </c>
      <c r="C2454" s="47" t="s">
        <v>3152</v>
      </c>
      <c r="D2454" s="47">
        <v>1.3613933393664199</v>
      </c>
      <c r="E2454" s="48">
        <f>SUMIF(Data!$E:$E,$C2454,Data!$AI:$AI)</f>
        <v>0.13519946439795033</v>
      </c>
    </row>
    <row r="2455" spans="1:5" x14ac:dyDescent="0.25">
      <c r="A2455" s="47" t="s">
        <v>10876</v>
      </c>
      <c r="B2455" s="47" t="s">
        <v>123</v>
      </c>
      <c r="C2455" s="47" t="s">
        <v>4814</v>
      </c>
      <c r="D2455" s="47">
        <v>1.60539796546655</v>
      </c>
      <c r="E2455" s="48">
        <f>SUMIF(Data!$E:$E,$C2455,Data!$AI:$AI)</f>
        <v>0</v>
      </c>
    </row>
    <row r="2456" spans="1:5" x14ac:dyDescent="0.25">
      <c r="A2456" s="47" t="s">
        <v>10876</v>
      </c>
      <c r="B2456" s="47" t="s">
        <v>123</v>
      </c>
      <c r="C2456" s="47" t="s">
        <v>4821</v>
      </c>
      <c r="D2456" s="47">
        <v>3.50135423812472</v>
      </c>
      <c r="E2456" s="48">
        <f>SUMIF(Data!$E:$E,$C2456,Data!$AI:$AI)</f>
        <v>0</v>
      </c>
    </row>
    <row r="2457" spans="1:5" x14ac:dyDescent="0.25">
      <c r="A2457" s="47" t="s">
        <v>10876</v>
      </c>
      <c r="B2457" s="47" t="s">
        <v>123</v>
      </c>
      <c r="C2457" s="47" t="s">
        <v>5121</v>
      </c>
      <c r="D2457" s="47">
        <v>0.778694594300405</v>
      </c>
      <c r="E2457" s="48">
        <f>SUMIF(Data!$E:$E,$C2457,Data!$AI:$AI)</f>
        <v>0.13075341077842323</v>
      </c>
    </row>
    <row r="2458" spans="1:5" x14ac:dyDescent="0.25">
      <c r="A2458" s="47" t="s">
        <v>10876</v>
      </c>
      <c r="B2458" s="47" t="s">
        <v>123</v>
      </c>
      <c r="C2458" s="47" t="s">
        <v>5134</v>
      </c>
      <c r="D2458" s="47">
        <v>0.73209973687017504</v>
      </c>
      <c r="E2458" s="48">
        <f>SUMIF(Data!$E:$E,$C2458,Data!$AI:$AI)</f>
        <v>0</v>
      </c>
    </row>
    <row r="2459" spans="1:5" x14ac:dyDescent="0.25">
      <c r="A2459" s="47" t="s">
        <v>10876</v>
      </c>
      <c r="B2459" s="47" t="s">
        <v>123</v>
      </c>
      <c r="C2459" s="47" t="s">
        <v>4848</v>
      </c>
      <c r="D2459" s="47">
        <v>5.1212048278952604</v>
      </c>
      <c r="E2459" s="48">
        <f>SUMIF(Data!$E:$E,$C2459,Data!$AI:$AI)</f>
        <v>0</v>
      </c>
    </row>
    <row r="2460" spans="1:5" x14ac:dyDescent="0.25">
      <c r="A2460" s="47" t="s">
        <v>10876</v>
      </c>
      <c r="B2460" s="47" t="s">
        <v>123</v>
      </c>
      <c r="C2460" s="47" t="s">
        <v>5545</v>
      </c>
      <c r="D2460" s="47">
        <v>0.19287370908318599</v>
      </c>
      <c r="E2460" s="48">
        <f>SUMIF(Data!$E:$E,$C2460,Data!$AI:$AI)</f>
        <v>0</v>
      </c>
    </row>
    <row r="2461" spans="1:5" x14ac:dyDescent="0.25">
      <c r="A2461" s="47" t="s">
        <v>10876</v>
      </c>
      <c r="B2461" s="47" t="s">
        <v>123</v>
      </c>
      <c r="C2461" s="47" t="s">
        <v>1855</v>
      </c>
      <c r="D2461" s="47">
        <v>0.21531934522187601</v>
      </c>
      <c r="E2461" s="48">
        <f>SUMIF(Data!$E:$E,$C2461,Data!$AI:$AI)</f>
        <v>0</v>
      </c>
    </row>
    <row r="2462" spans="1:5" x14ac:dyDescent="0.25">
      <c r="A2462" s="47" t="s">
        <v>10876</v>
      </c>
      <c r="B2462" s="47" t="s">
        <v>123</v>
      </c>
      <c r="C2462" s="47" t="s">
        <v>6759</v>
      </c>
      <c r="D2462" s="47">
        <v>2.03733934362698</v>
      </c>
      <c r="E2462" s="48">
        <f>SUMIF(Data!$E:$E,$C2462,Data!$AI:$AI)</f>
        <v>0.31941379215436855</v>
      </c>
    </row>
    <row r="2463" spans="1:5" x14ac:dyDescent="0.25">
      <c r="A2463" s="47" t="s">
        <v>10876</v>
      </c>
      <c r="B2463" s="47" t="s">
        <v>123</v>
      </c>
      <c r="C2463" s="47" t="s">
        <v>3160</v>
      </c>
      <c r="D2463" s="47">
        <v>2.97915865757798</v>
      </c>
      <c r="E2463" s="48">
        <f>SUMIF(Data!$E:$E,$C2463,Data!$AI:$AI)</f>
        <v>0.48939641738655321</v>
      </c>
    </row>
    <row r="2464" spans="1:5" x14ac:dyDescent="0.25">
      <c r="A2464" s="47" t="s">
        <v>10876</v>
      </c>
      <c r="B2464" s="47" t="s">
        <v>123</v>
      </c>
      <c r="C2464" s="47" t="s">
        <v>3167</v>
      </c>
      <c r="D2464" s="47">
        <v>0.84629962872769404</v>
      </c>
      <c r="E2464" s="48">
        <f>SUMIF(Data!$E:$E,$C2464,Data!$AI:$AI)</f>
        <v>0.45612845361825383</v>
      </c>
    </row>
    <row r="2465" spans="1:5" x14ac:dyDescent="0.25">
      <c r="A2465" s="47" t="s">
        <v>10876</v>
      </c>
      <c r="B2465" s="47" t="s">
        <v>123</v>
      </c>
      <c r="C2465" s="47" t="s">
        <v>4880</v>
      </c>
      <c r="D2465" s="47">
        <v>2.69619588138832</v>
      </c>
      <c r="E2465" s="48">
        <f>SUMIF(Data!$E:$E,$C2465,Data!$AI:$AI)</f>
        <v>0</v>
      </c>
    </row>
    <row r="2466" spans="1:5" x14ac:dyDescent="0.25">
      <c r="A2466" s="47" t="s">
        <v>10876</v>
      </c>
      <c r="B2466" s="47" t="s">
        <v>123</v>
      </c>
      <c r="C2466" s="47" t="s">
        <v>5192</v>
      </c>
      <c r="D2466" s="47">
        <v>0.57941218412389195</v>
      </c>
      <c r="E2466" s="48">
        <f>SUMIF(Data!$E:$E,$C2466,Data!$AI:$AI)</f>
        <v>0</v>
      </c>
    </row>
    <row r="2467" spans="1:5" x14ac:dyDescent="0.25">
      <c r="A2467" s="47" t="s">
        <v>10876</v>
      </c>
      <c r="B2467" s="47" t="s">
        <v>123</v>
      </c>
      <c r="C2467" s="47" t="s">
        <v>4893</v>
      </c>
      <c r="D2467" s="47">
        <v>12.1373449434536</v>
      </c>
      <c r="E2467" s="48">
        <f>SUMIF(Data!$E:$E,$C2467,Data!$AI:$AI)</f>
        <v>0.14807872778681458</v>
      </c>
    </row>
    <row r="2468" spans="1:5" x14ac:dyDescent="0.25">
      <c r="A2468" s="47" t="s">
        <v>10876</v>
      </c>
      <c r="B2468" s="47" t="s">
        <v>123</v>
      </c>
      <c r="C2468" s="47" t="s">
        <v>4907</v>
      </c>
      <c r="D2468" s="47">
        <v>7.2163691521928</v>
      </c>
      <c r="E2468" s="48">
        <f>SUMIF(Data!$E:$E,$C2468,Data!$AI:$AI)</f>
        <v>0</v>
      </c>
    </row>
    <row r="2469" spans="1:5" x14ac:dyDescent="0.25">
      <c r="A2469" s="47" t="s">
        <v>10876</v>
      </c>
      <c r="B2469" s="47" t="s">
        <v>123</v>
      </c>
      <c r="C2469" s="47" t="s">
        <v>5199</v>
      </c>
      <c r="D2469" s="47">
        <v>0.71745387993741705</v>
      </c>
      <c r="E2469" s="48">
        <f>SUMIF(Data!$E:$E,$C2469,Data!$AI:$AI)</f>
        <v>0.30542299256619226</v>
      </c>
    </row>
    <row r="2470" spans="1:5" x14ac:dyDescent="0.25">
      <c r="A2470" s="47" t="s">
        <v>10876</v>
      </c>
      <c r="B2470" s="47" t="s">
        <v>123</v>
      </c>
      <c r="C2470" s="47" t="s">
        <v>5590</v>
      </c>
      <c r="D2470" s="47">
        <v>3.1819623886618999E-2</v>
      </c>
      <c r="E2470" s="48">
        <f>SUMIF(Data!$E:$E,$C2470,Data!$AI:$AI)</f>
        <v>0</v>
      </c>
    </row>
    <row r="2471" spans="1:5" x14ac:dyDescent="0.25">
      <c r="A2471" s="47" t="s">
        <v>10876</v>
      </c>
      <c r="B2471" s="47" t="s">
        <v>123</v>
      </c>
      <c r="C2471" s="47" t="s">
        <v>5241</v>
      </c>
      <c r="D2471" s="47">
        <v>0.886003363597055</v>
      </c>
      <c r="E2471" s="48">
        <f>SUMIF(Data!$E:$E,$C2471,Data!$AI:$AI)</f>
        <v>0.22226848933098653</v>
      </c>
    </row>
    <row r="2472" spans="1:5" x14ac:dyDescent="0.25">
      <c r="A2472" s="47" t="s">
        <v>10876</v>
      </c>
      <c r="B2472" s="47" t="s">
        <v>123</v>
      </c>
      <c r="C2472" s="47" t="s">
        <v>5612</v>
      </c>
      <c r="D2472" s="47">
        <v>0.265279505695805</v>
      </c>
      <c r="E2472" s="48">
        <f>SUMIF(Data!$E:$E,$C2472,Data!$AI:$AI)</f>
        <v>0</v>
      </c>
    </row>
    <row r="2473" spans="1:5" x14ac:dyDescent="0.25">
      <c r="A2473" s="47" t="s">
        <v>10876</v>
      </c>
      <c r="B2473" s="47" t="s">
        <v>123</v>
      </c>
      <c r="C2473" s="47" t="s">
        <v>5248</v>
      </c>
      <c r="D2473" s="47">
        <v>0.36149856708933997</v>
      </c>
      <c r="E2473" s="48">
        <f>SUMIF(Data!$E:$E,$C2473,Data!$AI:$AI)</f>
        <v>0</v>
      </c>
    </row>
    <row r="2474" spans="1:5" x14ac:dyDescent="0.25">
      <c r="A2474" s="47" t="s">
        <v>10876</v>
      </c>
      <c r="B2474" s="47" t="s">
        <v>123</v>
      </c>
      <c r="C2474" s="47" t="s">
        <v>5277</v>
      </c>
      <c r="D2474" s="47">
        <v>1.05768649981547</v>
      </c>
      <c r="E2474" s="48">
        <f>SUMIF(Data!$E:$E,$C2474,Data!$AI:$AI)</f>
        <v>0.33919062734131172</v>
      </c>
    </row>
    <row r="2475" spans="1:5" x14ac:dyDescent="0.25">
      <c r="A2475" s="47" t="s">
        <v>10876</v>
      </c>
      <c r="B2475" s="47" t="s">
        <v>123</v>
      </c>
      <c r="C2475" s="47" t="s">
        <v>5284</v>
      </c>
      <c r="D2475" s="47">
        <v>0.95769225469615604</v>
      </c>
      <c r="E2475" s="48">
        <f>SUMIF(Data!$E:$E,$C2475,Data!$AI:$AI)</f>
        <v>0.14335552808713869</v>
      </c>
    </row>
    <row r="2476" spans="1:5" x14ac:dyDescent="0.25">
      <c r="A2476" s="47" t="s">
        <v>10876</v>
      </c>
      <c r="B2476" s="47" t="s">
        <v>123</v>
      </c>
      <c r="C2476" s="47" t="s">
        <v>5302</v>
      </c>
      <c r="D2476" s="47">
        <v>1.0336040309840899</v>
      </c>
      <c r="E2476" s="48">
        <f>SUMIF(Data!$E:$E,$C2476,Data!$AI:$AI)</f>
        <v>0</v>
      </c>
    </row>
    <row r="2477" spans="1:5" x14ac:dyDescent="0.25">
      <c r="A2477" s="47" t="s">
        <v>10876</v>
      </c>
      <c r="B2477" s="47" t="s">
        <v>123</v>
      </c>
      <c r="C2477" s="47" t="s">
        <v>6850</v>
      </c>
      <c r="D2477" s="47">
        <v>1.4540076784448599</v>
      </c>
      <c r="E2477" s="48">
        <f>SUMIF(Data!$E:$E,$C2477,Data!$AI:$AI)</f>
        <v>0.7318861193221331</v>
      </c>
    </row>
    <row r="2478" spans="1:5" x14ac:dyDescent="0.25">
      <c r="A2478" s="47" t="s">
        <v>10876</v>
      </c>
      <c r="B2478" s="47" t="s">
        <v>123</v>
      </c>
      <c r="C2478" s="47" t="s">
        <v>5671</v>
      </c>
      <c r="D2478" s="47">
        <v>0.44925988285185697</v>
      </c>
      <c r="E2478" s="48">
        <f>SUMIF(Data!$E:$E,$C2478,Data!$AI:$AI)</f>
        <v>8.1525305525001854E-2</v>
      </c>
    </row>
    <row r="2479" spans="1:5" x14ac:dyDescent="0.25">
      <c r="A2479" s="47" t="s">
        <v>10876</v>
      </c>
      <c r="B2479" s="47" t="s">
        <v>123</v>
      </c>
      <c r="C2479" s="47" t="s">
        <v>5678</v>
      </c>
      <c r="D2479" s="47">
        <v>0.17588929749967899</v>
      </c>
      <c r="E2479" s="48">
        <f>SUMIF(Data!$E:$E,$C2479,Data!$AI:$AI)</f>
        <v>0</v>
      </c>
    </row>
    <row r="2480" spans="1:5" x14ac:dyDescent="0.25">
      <c r="A2480" s="47" t="s">
        <v>10876</v>
      </c>
      <c r="B2480" s="47" t="s">
        <v>123</v>
      </c>
      <c r="C2480" s="47" t="s">
        <v>5692</v>
      </c>
      <c r="D2480" s="47">
        <v>0.33070996556210902</v>
      </c>
      <c r="E2480" s="48">
        <f>SUMIF(Data!$E:$E,$C2480,Data!$AI:$AI)</f>
        <v>0</v>
      </c>
    </row>
    <row r="2481" spans="1:5" x14ac:dyDescent="0.25">
      <c r="A2481" s="47" t="s">
        <v>10876</v>
      </c>
      <c r="B2481" s="47" t="s">
        <v>123</v>
      </c>
      <c r="C2481" s="47" t="s">
        <v>5699</v>
      </c>
      <c r="D2481" s="47">
        <v>0.435470461400423</v>
      </c>
      <c r="E2481" s="48">
        <f>SUMIF(Data!$E:$E,$C2481,Data!$AI:$AI)</f>
        <v>0</v>
      </c>
    </row>
    <row r="2482" spans="1:5" x14ac:dyDescent="0.25">
      <c r="A2482" s="47" t="s">
        <v>10876</v>
      </c>
      <c r="B2482" s="47" t="s">
        <v>123</v>
      </c>
      <c r="C2482" s="47" t="s">
        <v>3174</v>
      </c>
      <c r="D2482" s="47">
        <v>0.75315277858346397</v>
      </c>
      <c r="E2482" s="48">
        <f>SUMIF(Data!$E:$E,$C2482,Data!$AI:$AI)</f>
        <v>0</v>
      </c>
    </row>
    <row r="2483" spans="1:5" x14ac:dyDescent="0.25">
      <c r="A2483" s="47" t="s">
        <v>10876</v>
      </c>
      <c r="B2483" s="47" t="s">
        <v>123</v>
      </c>
      <c r="C2483" s="47" t="s">
        <v>5706</v>
      </c>
      <c r="D2483" s="47">
        <v>0.43643591437771001</v>
      </c>
      <c r="E2483" s="48">
        <f>SUMIF(Data!$E:$E,$C2483,Data!$AI:$AI)</f>
        <v>0.61622234783355101</v>
      </c>
    </row>
    <row r="2484" spans="1:5" x14ac:dyDescent="0.25">
      <c r="A2484" s="47" t="s">
        <v>10876</v>
      </c>
      <c r="B2484" s="47" t="s">
        <v>123</v>
      </c>
      <c r="C2484" s="47" t="s">
        <v>5712</v>
      </c>
      <c r="D2484" s="47">
        <v>0.183780980691194</v>
      </c>
      <c r="E2484" s="48">
        <f>SUMIF(Data!$E:$E,$C2484,Data!$AI:$AI)</f>
        <v>0</v>
      </c>
    </row>
    <row r="2485" spans="1:5" x14ac:dyDescent="0.25">
      <c r="A2485" s="47" t="s">
        <v>10876</v>
      </c>
      <c r="B2485" s="47" t="s">
        <v>123</v>
      </c>
      <c r="C2485" s="47" t="s">
        <v>5335</v>
      </c>
      <c r="D2485" s="47">
        <v>1.7619459216308699</v>
      </c>
      <c r="E2485" s="48">
        <f>SUMIF(Data!$E:$E,$C2485,Data!$AI:$AI)</f>
        <v>0</v>
      </c>
    </row>
    <row r="2486" spans="1:5" x14ac:dyDescent="0.25">
      <c r="A2486" s="47" t="s">
        <v>10876</v>
      </c>
      <c r="B2486" s="47" t="s">
        <v>123</v>
      </c>
      <c r="C2486" s="47" t="s">
        <v>5348</v>
      </c>
      <c r="D2486" s="47">
        <v>0.62265990584309805</v>
      </c>
      <c r="E2486" s="48">
        <f>SUMIF(Data!$E:$E,$C2486,Data!$AI:$AI)</f>
        <v>0</v>
      </c>
    </row>
    <row r="2487" spans="1:5" x14ac:dyDescent="0.25">
      <c r="A2487" s="47" t="s">
        <v>10876</v>
      </c>
      <c r="B2487" s="47" t="s">
        <v>123</v>
      </c>
      <c r="C2487" s="47" t="s">
        <v>5719</v>
      </c>
      <c r="D2487" s="47">
        <v>0.22173767009655199</v>
      </c>
      <c r="E2487" s="48">
        <f>SUMIF(Data!$E:$E,$C2487,Data!$AI:$AI)</f>
        <v>0.1498021462744413</v>
      </c>
    </row>
    <row r="2488" spans="1:5" x14ac:dyDescent="0.25">
      <c r="A2488" s="47" t="s">
        <v>10876</v>
      </c>
      <c r="B2488" s="47" t="s">
        <v>123</v>
      </c>
      <c r="C2488" s="47" t="s">
        <v>5354</v>
      </c>
      <c r="D2488" s="47">
        <v>0.334725939688791</v>
      </c>
      <c r="E2488" s="48">
        <f>SUMIF(Data!$E:$E,$C2488,Data!$AI:$AI)</f>
        <v>0</v>
      </c>
    </row>
    <row r="2489" spans="1:5" x14ac:dyDescent="0.25">
      <c r="A2489" s="47" t="s">
        <v>10876</v>
      </c>
      <c r="B2489" s="47" t="s">
        <v>123</v>
      </c>
      <c r="C2489" s="47" t="s">
        <v>5732</v>
      </c>
      <c r="D2489" s="47">
        <v>0.16647704169729099</v>
      </c>
      <c r="E2489" s="48">
        <f>SUMIF(Data!$E:$E,$C2489,Data!$AI:$AI)</f>
        <v>0</v>
      </c>
    </row>
    <row r="2490" spans="1:5" x14ac:dyDescent="0.25">
      <c r="A2490" s="47" t="s">
        <v>10876</v>
      </c>
      <c r="B2490" s="47" t="s">
        <v>123</v>
      </c>
      <c r="C2490" s="47" t="s">
        <v>5741</v>
      </c>
      <c r="D2490" s="47">
        <v>0.20371681386552001</v>
      </c>
      <c r="E2490" s="48">
        <f>SUMIF(Data!$E:$E,$C2490,Data!$AI:$AI)</f>
        <v>0</v>
      </c>
    </row>
    <row r="2491" spans="1:5" x14ac:dyDescent="0.25">
      <c r="A2491" s="47" t="s">
        <v>10876</v>
      </c>
      <c r="B2491" s="47" t="s">
        <v>123</v>
      </c>
      <c r="C2491" s="47" t="s">
        <v>5748</v>
      </c>
      <c r="D2491" s="47">
        <v>3.8187854307812998E-2</v>
      </c>
      <c r="E2491" s="48">
        <f>SUMIF(Data!$E:$E,$C2491,Data!$AI:$AI)</f>
        <v>0</v>
      </c>
    </row>
    <row r="2492" spans="1:5" x14ac:dyDescent="0.25">
      <c r="A2492" s="47" t="s">
        <v>10876</v>
      </c>
      <c r="B2492" s="47" t="s">
        <v>123</v>
      </c>
      <c r="C2492" s="47" t="s">
        <v>5755</v>
      </c>
      <c r="D2492" s="47">
        <v>0.44746824450490402</v>
      </c>
      <c r="E2492" s="48">
        <f>SUMIF(Data!$E:$E,$C2492,Data!$AI:$AI)</f>
        <v>0.32250109258134818</v>
      </c>
    </row>
    <row r="2493" spans="1:5" x14ac:dyDescent="0.25">
      <c r="A2493" s="47" t="s">
        <v>10876</v>
      </c>
      <c r="B2493" s="47" t="s">
        <v>123</v>
      </c>
      <c r="C2493" s="47" t="s">
        <v>5361</v>
      </c>
      <c r="D2493" s="47">
        <v>0.22490189581758299</v>
      </c>
      <c r="E2493" s="48">
        <f>SUMIF(Data!$E:$E,$C2493,Data!$AI:$AI)</f>
        <v>0</v>
      </c>
    </row>
    <row r="2494" spans="1:5" x14ac:dyDescent="0.25">
      <c r="A2494" s="47" t="s">
        <v>10876</v>
      </c>
      <c r="B2494" s="47" t="s">
        <v>123</v>
      </c>
      <c r="C2494" s="47" t="s">
        <v>5782</v>
      </c>
      <c r="D2494" s="47">
        <v>0.114252848411353</v>
      </c>
      <c r="E2494" s="48">
        <f>SUMIF(Data!$E:$E,$C2494,Data!$AI:$AI)</f>
        <v>0</v>
      </c>
    </row>
    <row r="2495" spans="1:5" x14ac:dyDescent="0.25">
      <c r="A2495" s="47" t="s">
        <v>10876</v>
      </c>
      <c r="B2495" s="47" t="s">
        <v>123</v>
      </c>
      <c r="C2495" s="47" t="s">
        <v>1780</v>
      </c>
      <c r="D2495" s="47">
        <v>0.27567592553498499</v>
      </c>
      <c r="E2495" s="48">
        <f>SUMIF(Data!$E:$E,$C2495,Data!$AI:$AI)</f>
        <v>0</v>
      </c>
    </row>
    <row r="2496" spans="1:5" x14ac:dyDescent="0.25">
      <c r="A2496" s="47" t="s">
        <v>10876</v>
      </c>
      <c r="B2496" s="47" t="s">
        <v>123</v>
      </c>
      <c r="C2496" s="47" t="s">
        <v>5795</v>
      </c>
      <c r="D2496" s="47">
        <v>2.8180848036508999E-2</v>
      </c>
      <c r="E2496" s="48">
        <f>SUMIF(Data!$E:$E,$C2496,Data!$AI:$AI)</f>
        <v>0</v>
      </c>
    </row>
    <row r="2497" spans="1:5" x14ac:dyDescent="0.25">
      <c r="A2497" s="47" t="s">
        <v>10876</v>
      </c>
      <c r="B2497" s="47" t="s">
        <v>123</v>
      </c>
      <c r="C2497" s="47" t="s">
        <v>5375</v>
      </c>
      <c r="D2497" s="47">
        <v>0.40664769093622399</v>
      </c>
      <c r="E2497" s="48">
        <f>SUMIF(Data!$E:$E,$C2497,Data!$AI:$AI)</f>
        <v>0</v>
      </c>
    </row>
    <row r="2498" spans="1:5" x14ac:dyDescent="0.25">
      <c r="A2498" s="47" t="s">
        <v>10876</v>
      </c>
      <c r="B2498" s="47" t="s">
        <v>123</v>
      </c>
      <c r="C2498" s="47" t="s">
        <v>6338</v>
      </c>
      <c r="D2498" s="47">
        <v>0.585240437375114</v>
      </c>
      <c r="E2498" s="48">
        <f>SUMIF(Data!$E:$E,$C2498,Data!$AI:$AI)</f>
        <v>0</v>
      </c>
    </row>
    <row r="2499" spans="1:5" x14ac:dyDescent="0.25">
      <c r="A2499" s="47" t="s">
        <v>10876</v>
      </c>
      <c r="B2499" s="47" t="s">
        <v>123</v>
      </c>
      <c r="C2499" s="47" t="s">
        <v>5382</v>
      </c>
      <c r="D2499" s="47">
        <v>0.39002832841651702</v>
      </c>
      <c r="E2499" s="48">
        <f>SUMIF(Data!$E:$E,$C2499,Data!$AI:$AI)</f>
        <v>0</v>
      </c>
    </row>
    <row r="2500" spans="1:5" x14ac:dyDescent="0.25">
      <c r="A2500" s="47" t="s">
        <v>10876</v>
      </c>
      <c r="B2500" s="47" t="s">
        <v>123</v>
      </c>
      <c r="C2500" s="47" t="s">
        <v>5809</v>
      </c>
      <c r="D2500" s="47">
        <v>0.147053568715973</v>
      </c>
      <c r="E2500" s="48">
        <f>SUMIF(Data!$E:$E,$C2500,Data!$AI:$AI)</f>
        <v>0</v>
      </c>
    </row>
    <row r="2501" spans="1:5" x14ac:dyDescent="0.25">
      <c r="A2501" s="47" t="s">
        <v>10876</v>
      </c>
      <c r="B2501" s="47" t="s">
        <v>123</v>
      </c>
      <c r="C2501" s="47" t="s">
        <v>5816</v>
      </c>
      <c r="D2501" s="47">
        <v>0.22098973532498001</v>
      </c>
      <c r="E2501" s="48">
        <f>SUMIF(Data!$E:$E,$C2501,Data!$AI:$AI)</f>
        <v>0</v>
      </c>
    </row>
    <row r="2502" spans="1:5" x14ac:dyDescent="0.25">
      <c r="A2502" s="47" t="s">
        <v>10876</v>
      </c>
      <c r="B2502" s="47" t="s">
        <v>123</v>
      </c>
      <c r="C2502" s="47" t="s">
        <v>5005</v>
      </c>
      <c r="D2502" s="47">
        <v>2.5138633401252299</v>
      </c>
      <c r="E2502" s="48">
        <f>SUMIF(Data!$E:$E,$C2502,Data!$AI:$AI)</f>
        <v>0</v>
      </c>
    </row>
    <row r="2503" spans="1:5" x14ac:dyDescent="0.25">
      <c r="A2503" s="47" t="s">
        <v>10876</v>
      </c>
      <c r="B2503" s="47" t="s">
        <v>123</v>
      </c>
      <c r="C2503" s="47" t="s">
        <v>5823</v>
      </c>
      <c r="D2503" s="47">
        <v>0.17223188483959501</v>
      </c>
      <c r="E2503" s="48">
        <f>SUMIF(Data!$E:$E,$C2503,Data!$AI:$AI)</f>
        <v>0</v>
      </c>
    </row>
    <row r="2504" spans="1:5" x14ac:dyDescent="0.25">
      <c r="A2504" s="47" t="s">
        <v>10876</v>
      </c>
      <c r="B2504" s="47" t="s">
        <v>123</v>
      </c>
      <c r="C2504" s="47" t="s">
        <v>5012</v>
      </c>
      <c r="D2504" s="47">
        <v>2.0247904223572002</v>
      </c>
      <c r="E2504" s="48">
        <f>SUMIF(Data!$E:$E,$C2504,Data!$AI:$AI)</f>
        <v>0.77934157011859584</v>
      </c>
    </row>
    <row r="2505" spans="1:5" x14ac:dyDescent="0.25">
      <c r="A2505" s="47" t="s">
        <v>10876</v>
      </c>
      <c r="B2505" s="47" t="s">
        <v>123</v>
      </c>
      <c r="C2505" s="47" t="s">
        <v>5019</v>
      </c>
      <c r="D2505" s="47">
        <v>6.3800969281668403</v>
      </c>
      <c r="E2505" s="48">
        <f>SUMIF(Data!$E:$E,$C2505,Data!$AI:$AI)</f>
        <v>0</v>
      </c>
    </row>
    <row r="2506" spans="1:5" x14ac:dyDescent="0.25">
      <c r="A2506" s="47" t="s">
        <v>10876</v>
      </c>
      <c r="B2506" s="47" t="s">
        <v>123</v>
      </c>
      <c r="C2506" s="47" t="s">
        <v>5409</v>
      </c>
      <c r="D2506" s="47">
        <v>1.5555075447825999</v>
      </c>
      <c r="E2506" s="48">
        <f>SUMIF(Data!$E:$E,$C2506,Data!$AI:$AI)</f>
        <v>0.58444404567070329</v>
      </c>
    </row>
    <row r="2507" spans="1:5" x14ac:dyDescent="0.25">
      <c r="A2507" s="47" t="s">
        <v>10876</v>
      </c>
      <c r="B2507" s="47" t="s">
        <v>123</v>
      </c>
      <c r="C2507" s="47" t="s">
        <v>5026</v>
      </c>
      <c r="D2507" s="47">
        <v>6.0975396347659903</v>
      </c>
      <c r="E2507" s="48">
        <f>SUMIF(Data!$E:$E,$C2507,Data!$AI:$AI)</f>
        <v>0</v>
      </c>
    </row>
    <row r="2508" spans="1:5" x14ac:dyDescent="0.25">
      <c r="A2508" s="47" t="s">
        <v>10877</v>
      </c>
      <c r="B2508" s="47" t="s">
        <v>123</v>
      </c>
      <c r="C2508" s="47" t="s">
        <v>5470</v>
      </c>
      <c r="D2508" s="47">
        <v>38.207361436375002</v>
      </c>
      <c r="E2508" s="48">
        <f>SUMIF(Data!$E:$E,$C2508,Data!$AI:$AI)</f>
        <v>0</v>
      </c>
    </row>
    <row r="2509" spans="1:5" x14ac:dyDescent="0.25">
      <c r="A2509" s="47" t="s">
        <v>10877</v>
      </c>
      <c r="B2509" s="47" t="s">
        <v>123</v>
      </c>
      <c r="C2509" s="47" t="s">
        <v>5484</v>
      </c>
      <c r="D2509" s="47">
        <v>31.347176978041698</v>
      </c>
      <c r="E2509" s="48">
        <f>SUMIF(Data!$E:$E,$C2509,Data!$AI:$AI)</f>
        <v>0</v>
      </c>
    </row>
    <row r="2510" spans="1:5" x14ac:dyDescent="0.25">
      <c r="A2510" s="47" t="s">
        <v>10877</v>
      </c>
      <c r="B2510" s="47" t="s">
        <v>123</v>
      </c>
      <c r="C2510" s="47" t="s">
        <v>5762</v>
      </c>
      <c r="D2510" s="47">
        <v>30.445461585583299</v>
      </c>
      <c r="E2510" s="48">
        <f>SUMIF(Data!$E:$E,$C2510,Data!$AI:$AI)</f>
        <v>2.7182358068629005E-2</v>
      </c>
    </row>
    <row r="2511" spans="1:5" x14ac:dyDescent="0.25">
      <c r="A2511" s="47" t="s">
        <v>10878</v>
      </c>
      <c r="B2511" s="47" t="s">
        <v>123</v>
      </c>
      <c r="C2511" s="47" t="s">
        <v>5221</v>
      </c>
      <c r="D2511" s="47">
        <v>100</v>
      </c>
      <c r="E2511" s="48">
        <f>SUMIF(Data!$E:$E,$C2511,Data!$AI:$AI)</f>
        <v>0.14962264013625223</v>
      </c>
    </row>
    <row r="2512" spans="1:5" x14ac:dyDescent="0.25">
      <c r="A2512" s="47" t="s">
        <v>10879</v>
      </c>
      <c r="B2512" s="47" t="s">
        <v>123</v>
      </c>
      <c r="C2512" s="47" t="s">
        <v>4841</v>
      </c>
      <c r="D2512" s="47">
        <v>66.982442745367706</v>
      </c>
      <c r="E2512" s="48">
        <f>SUMIF(Data!$E:$E,$C2512,Data!$AI:$AI)</f>
        <v>1.1368494141004637</v>
      </c>
    </row>
    <row r="2513" spans="1:5" x14ac:dyDescent="0.25">
      <c r="A2513" s="47" t="s">
        <v>10879</v>
      </c>
      <c r="B2513" s="47" t="s">
        <v>123</v>
      </c>
      <c r="C2513" s="47" t="s">
        <v>5632</v>
      </c>
      <c r="D2513" s="47">
        <v>1.3264989984739399</v>
      </c>
      <c r="E2513" s="48">
        <f>SUMIF(Data!$E:$E,$C2513,Data!$AI:$AI)</f>
        <v>0</v>
      </c>
    </row>
    <row r="2514" spans="1:5" x14ac:dyDescent="0.25">
      <c r="A2514" s="47" t="s">
        <v>10879</v>
      </c>
      <c r="B2514" s="47" t="s">
        <v>123</v>
      </c>
      <c r="C2514" s="47" t="s">
        <v>1469</v>
      </c>
      <c r="D2514" s="47">
        <v>31.691058256158399</v>
      </c>
      <c r="E2514" s="48">
        <f>SUMIF(Data!$E:$E,$C2514,Data!$AI:$AI)</f>
        <v>0</v>
      </c>
    </row>
    <row r="2515" spans="1:5" x14ac:dyDescent="0.25">
      <c r="A2515" s="47" t="s">
        <v>10880</v>
      </c>
      <c r="B2515" s="47" t="s">
        <v>123</v>
      </c>
      <c r="C2515" s="47" t="s">
        <v>4789</v>
      </c>
      <c r="D2515" s="47">
        <v>7.5119348463153397</v>
      </c>
      <c r="E2515" s="48">
        <f>SUMIF(Data!$E:$E,$C2515,Data!$AI:$AI)</f>
        <v>0</v>
      </c>
    </row>
    <row r="2516" spans="1:5" x14ac:dyDescent="0.25">
      <c r="A2516" s="47" t="s">
        <v>10880</v>
      </c>
      <c r="B2516" s="47" t="s">
        <v>123</v>
      </c>
      <c r="C2516" s="47" t="s">
        <v>4801</v>
      </c>
      <c r="D2516" s="47">
        <v>28.2098254845775</v>
      </c>
      <c r="E2516" s="48">
        <f>SUMIF(Data!$E:$E,$C2516,Data!$AI:$AI)</f>
        <v>0.9366848889291185</v>
      </c>
    </row>
    <row r="2517" spans="1:5" x14ac:dyDescent="0.25">
      <c r="A2517" s="47" t="s">
        <v>10880</v>
      </c>
      <c r="B2517" s="47" t="s">
        <v>123</v>
      </c>
      <c r="C2517" s="47" t="s">
        <v>4848</v>
      </c>
      <c r="D2517" s="47">
        <v>12.635437839303201</v>
      </c>
      <c r="E2517" s="48">
        <f>SUMIF(Data!$E:$E,$C2517,Data!$AI:$AI)</f>
        <v>0</v>
      </c>
    </row>
    <row r="2518" spans="1:5" x14ac:dyDescent="0.25">
      <c r="A2518" s="47" t="s">
        <v>10880</v>
      </c>
      <c r="B2518" s="47" t="s">
        <v>123</v>
      </c>
      <c r="C2518" s="47" t="s">
        <v>4880</v>
      </c>
      <c r="D2518" s="47">
        <v>6.6522657473688396</v>
      </c>
      <c r="E2518" s="48">
        <f>SUMIF(Data!$E:$E,$C2518,Data!$AI:$AI)</f>
        <v>0</v>
      </c>
    </row>
    <row r="2519" spans="1:5" x14ac:dyDescent="0.25">
      <c r="A2519" s="47" t="s">
        <v>10880</v>
      </c>
      <c r="B2519" s="47" t="s">
        <v>123</v>
      </c>
      <c r="C2519" s="47" t="s">
        <v>4893</v>
      </c>
      <c r="D2519" s="47">
        <v>29.946208503872299</v>
      </c>
      <c r="E2519" s="48">
        <f>SUMIF(Data!$E:$E,$C2519,Data!$AI:$AI)</f>
        <v>0.14807872778681458</v>
      </c>
    </row>
    <row r="2520" spans="1:5" x14ac:dyDescent="0.25">
      <c r="A2520" s="47" t="s">
        <v>10880</v>
      </c>
      <c r="B2520" s="47" t="s">
        <v>123</v>
      </c>
      <c r="C2520" s="47" t="s">
        <v>5026</v>
      </c>
      <c r="D2520" s="47">
        <v>15.0443275785628</v>
      </c>
      <c r="E2520" s="48">
        <f>SUMIF(Data!$E:$E,$C2520,Data!$AI:$AI)</f>
        <v>0</v>
      </c>
    </row>
    <row r="2521" spans="1:5" x14ac:dyDescent="0.25">
      <c r="A2521" s="47" t="s">
        <v>10881</v>
      </c>
      <c r="B2521" s="47" t="s">
        <v>123</v>
      </c>
      <c r="C2521" s="47" t="s">
        <v>5199</v>
      </c>
      <c r="D2521" s="47">
        <v>100</v>
      </c>
      <c r="E2521" s="48">
        <f>SUMIF(Data!$E:$E,$C2521,Data!$AI:$AI)</f>
        <v>0.30542299256619226</v>
      </c>
    </row>
    <row r="2522" spans="1:5" x14ac:dyDescent="0.25">
      <c r="A2522" s="47" t="s">
        <v>10882</v>
      </c>
      <c r="B2522" s="47" t="s">
        <v>123</v>
      </c>
      <c r="C2522" s="47" t="s">
        <v>3205</v>
      </c>
      <c r="D2522" s="47">
        <v>16.620720678121501</v>
      </c>
      <c r="E2522" s="48">
        <f>SUMIF(Data!$E:$E,$C2522,Data!$AI:$AI)</f>
        <v>0</v>
      </c>
    </row>
    <row r="2523" spans="1:5" x14ac:dyDescent="0.25">
      <c r="A2523" s="47" t="s">
        <v>10882</v>
      </c>
      <c r="B2523" s="47" t="s">
        <v>123</v>
      </c>
      <c r="C2523" s="47" t="s">
        <v>5134</v>
      </c>
      <c r="D2523" s="47">
        <v>3.9735238612186699</v>
      </c>
      <c r="E2523" s="48">
        <f>SUMIF(Data!$E:$E,$C2523,Data!$AI:$AI)</f>
        <v>0</v>
      </c>
    </row>
    <row r="2524" spans="1:5" x14ac:dyDescent="0.25">
      <c r="A2524" s="47" t="s">
        <v>10882</v>
      </c>
      <c r="B2524" s="47" t="s">
        <v>123</v>
      </c>
      <c r="C2524" s="47" t="s">
        <v>4907</v>
      </c>
      <c r="D2524" s="47">
        <v>39.167361458409303</v>
      </c>
      <c r="E2524" s="48">
        <f>SUMIF(Data!$E:$E,$C2524,Data!$AI:$AI)</f>
        <v>0</v>
      </c>
    </row>
    <row r="2525" spans="1:5" x14ac:dyDescent="0.25">
      <c r="A2525" s="47" t="s">
        <v>10882</v>
      </c>
      <c r="B2525" s="47" t="s">
        <v>123</v>
      </c>
      <c r="C2525" s="47" t="s">
        <v>5302</v>
      </c>
      <c r="D2525" s="47">
        <v>5.6099600550674902</v>
      </c>
      <c r="E2525" s="48">
        <f>SUMIF(Data!$E:$E,$C2525,Data!$AI:$AI)</f>
        <v>0</v>
      </c>
    </row>
    <row r="2526" spans="1:5" x14ac:dyDescent="0.25">
      <c r="A2526" s="47" t="s">
        <v>10882</v>
      </c>
      <c r="B2526" s="47" t="s">
        <v>123</v>
      </c>
      <c r="C2526" s="47" t="s">
        <v>5019</v>
      </c>
      <c r="D2526" s="47">
        <v>34.628433947182998</v>
      </c>
      <c r="E2526" s="48">
        <f>SUMIF(Data!$E:$E,$C2526,Data!$AI:$AI)</f>
        <v>0</v>
      </c>
    </row>
    <row r="2527" spans="1:5" x14ac:dyDescent="0.25">
      <c r="A2527" s="47" t="s">
        <v>10883</v>
      </c>
      <c r="B2527" s="47" t="s">
        <v>123</v>
      </c>
      <c r="C2527" s="47" t="s">
        <v>5590</v>
      </c>
      <c r="D2527" s="47">
        <v>0.60873056298060002</v>
      </c>
      <c r="E2527" s="48">
        <f>SUMIF(Data!$E:$E,$C2527,Data!$AI:$AI)</f>
        <v>0</v>
      </c>
    </row>
    <row r="2528" spans="1:5" x14ac:dyDescent="0.25">
      <c r="A2528" s="47" t="s">
        <v>10883</v>
      </c>
      <c r="B2528" s="47" t="s">
        <v>123</v>
      </c>
      <c r="C2528" s="47" t="s">
        <v>5284</v>
      </c>
      <c r="D2528" s="47">
        <v>18.3212896368806</v>
      </c>
      <c r="E2528" s="48">
        <f>SUMIF(Data!$E:$E,$C2528,Data!$AI:$AI)</f>
        <v>0.14335552808713869</v>
      </c>
    </row>
    <row r="2529" spans="1:5" x14ac:dyDescent="0.25">
      <c r="A2529" s="47" t="s">
        <v>10883</v>
      </c>
      <c r="B2529" s="47" t="s">
        <v>123</v>
      </c>
      <c r="C2529" s="47" t="s">
        <v>5699</v>
      </c>
      <c r="D2529" s="47">
        <v>8.3308394867978297</v>
      </c>
      <c r="E2529" s="48">
        <f>SUMIF(Data!$E:$E,$C2529,Data!$AI:$AI)</f>
        <v>0</v>
      </c>
    </row>
    <row r="2530" spans="1:5" x14ac:dyDescent="0.25">
      <c r="A2530" s="47" t="s">
        <v>10883</v>
      </c>
      <c r="B2530" s="47" t="s">
        <v>123</v>
      </c>
      <c r="C2530" s="47" t="s">
        <v>5348</v>
      </c>
      <c r="D2530" s="47">
        <v>11.9118980280816</v>
      </c>
      <c r="E2530" s="48">
        <f>SUMIF(Data!$E:$E,$C2530,Data!$AI:$AI)</f>
        <v>0</v>
      </c>
    </row>
    <row r="2531" spans="1:5" x14ac:dyDescent="0.25">
      <c r="A2531" s="47" t="s">
        <v>10883</v>
      </c>
      <c r="B2531" s="47" t="s">
        <v>123</v>
      </c>
      <c r="C2531" s="47" t="s">
        <v>1780</v>
      </c>
      <c r="D2531" s="47">
        <v>5.2738637624714002</v>
      </c>
      <c r="E2531" s="48">
        <f>SUMIF(Data!$E:$E,$C2531,Data!$AI:$AI)</f>
        <v>0</v>
      </c>
    </row>
    <row r="2532" spans="1:5" x14ac:dyDescent="0.25">
      <c r="A2532" s="47" t="s">
        <v>10883</v>
      </c>
      <c r="B2532" s="47" t="s">
        <v>123</v>
      </c>
      <c r="C2532" s="47" t="s">
        <v>5382</v>
      </c>
      <c r="D2532" s="47">
        <v>7.4615012666825002</v>
      </c>
      <c r="E2532" s="48">
        <f>SUMIF(Data!$E:$E,$C2532,Data!$AI:$AI)</f>
        <v>0</v>
      </c>
    </row>
    <row r="2533" spans="1:5" x14ac:dyDescent="0.25">
      <c r="A2533" s="47" t="s">
        <v>10883</v>
      </c>
      <c r="B2533" s="47" t="s">
        <v>123</v>
      </c>
      <c r="C2533" s="47" t="s">
        <v>5005</v>
      </c>
      <c r="D2533" s="47">
        <v>48.091877256105498</v>
      </c>
      <c r="E2533" s="48">
        <f>SUMIF(Data!$E:$E,$C2533,Data!$AI:$AI)</f>
        <v>0</v>
      </c>
    </row>
    <row r="2534" spans="1:5" x14ac:dyDescent="0.25">
      <c r="A2534" s="47" t="s">
        <v>10884</v>
      </c>
      <c r="B2534" s="47" t="s">
        <v>123</v>
      </c>
      <c r="C2534" s="47" t="s">
        <v>5477</v>
      </c>
      <c r="D2534" s="47">
        <v>2.3370676059366899</v>
      </c>
      <c r="E2534" s="48">
        <f>SUMIF(Data!$E:$E,$C2534,Data!$AI:$AI)</f>
        <v>0</v>
      </c>
    </row>
    <row r="2535" spans="1:5" x14ac:dyDescent="0.25">
      <c r="A2535" s="47" t="s">
        <v>10884</v>
      </c>
      <c r="B2535" s="47" t="s">
        <v>123</v>
      </c>
      <c r="C2535" s="47" t="s">
        <v>3145</v>
      </c>
      <c r="D2535" s="47">
        <v>21.817857718325701</v>
      </c>
      <c r="E2535" s="48">
        <f>SUMIF(Data!$E:$E,$C2535,Data!$AI:$AI)</f>
        <v>0</v>
      </c>
    </row>
    <row r="2536" spans="1:5" x14ac:dyDescent="0.25">
      <c r="A2536" s="47" t="s">
        <v>10884</v>
      </c>
      <c r="B2536" s="47" t="s">
        <v>123</v>
      </c>
      <c r="C2536" s="47" t="s">
        <v>5504</v>
      </c>
      <c r="D2536" s="47">
        <v>0.583964332263327</v>
      </c>
      <c r="E2536" s="48">
        <f>SUMIF(Data!$E:$E,$C2536,Data!$AI:$AI)</f>
        <v>0</v>
      </c>
    </row>
    <row r="2537" spans="1:5" x14ac:dyDescent="0.25">
      <c r="A2537" s="47" t="s">
        <v>10884</v>
      </c>
      <c r="B2537" s="47" t="s">
        <v>123</v>
      </c>
      <c r="C2537" s="47" t="s">
        <v>3152</v>
      </c>
      <c r="D2537" s="47">
        <v>7.51123785639352</v>
      </c>
      <c r="E2537" s="48">
        <f>SUMIF(Data!$E:$E,$C2537,Data!$AI:$AI)</f>
        <v>0.13519946439795033</v>
      </c>
    </row>
    <row r="2538" spans="1:5" x14ac:dyDescent="0.25">
      <c r="A2538" s="47" t="s">
        <v>10884</v>
      </c>
      <c r="B2538" s="47" t="s">
        <v>123</v>
      </c>
      <c r="C2538" s="47" t="s">
        <v>5545</v>
      </c>
      <c r="D2538" s="47">
        <v>1.0641452865068901</v>
      </c>
      <c r="E2538" s="48">
        <f>SUMIF(Data!$E:$E,$C2538,Data!$AI:$AI)</f>
        <v>0</v>
      </c>
    </row>
    <row r="2539" spans="1:5" x14ac:dyDescent="0.25">
      <c r="A2539" s="47" t="s">
        <v>10884</v>
      </c>
      <c r="B2539" s="47" t="s">
        <v>123</v>
      </c>
      <c r="C2539" s="47" t="s">
        <v>3160</v>
      </c>
      <c r="D2539" s="47">
        <v>16.436961047140301</v>
      </c>
      <c r="E2539" s="48">
        <f>SUMIF(Data!$E:$E,$C2539,Data!$AI:$AI)</f>
        <v>0.48939641738655321</v>
      </c>
    </row>
    <row r="2540" spans="1:5" x14ac:dyDescent="0.25">
      <c r="A2540" s="47" t="s">
        <v>10884</v>
      </c>
      <c r="B2540" s="47" t="s">
        <v>123</v>
      </c>
      <c r="C2540" s="47" t="s">
        <v>3167</v>
      </c>
      <c r="D2540" s="47">
        <v>4.6693028571078496</v>
      </c>
      <c r="E2540" s="48">
        <f>SUMIF(Data!$E:$E,$C2540,Data!$AI:$AI)</f>
        <v>0.45612845361825383</v>
      </c>
    </row>
    <row r="2541" spans="1:5" x14ac:dyDescent="0.25">
      <c r="A2541" s="47" t="s">
        <v>10884</v>
      </c>
      <c r="B2541" s="47" t="s">
        <v>123</v>
      </c>
      <c r="C2541" s="47" t="s">
        <v>5192</v>
      </c>
      <c r="D2541" s="47">
        <v>3.1968003706206201</v>
      </c>
      <c r="E2541" s="48">
        <f>SUMIF(Data!$E:$E,$C2541,Data!$AI:$AI)</f>
        <v>0</v>
      </c>
    </row>
    <row r="2542" spans="1:5" x14ac:dyDescent="0.25">
      <c r="A2542" s="47" t="s">
        <v>10884</v>
      </c>
      <c r="B2542" s="47" t="s">
        <v>123</v>
      </c>
      <c r="C2542" s="47" t="s">
        <v>5241</v>
      </c>
      <c r="D2542" s="47">
        <v>4.8883609263428101</v>
      </c>
      <c r="E2542" s="48">
        <f>SUMIF(Data!$E:$E,$C2542,Data!$AI:$AI)</f>
        <v>0.22226848933098653</v>
      </c>
    </row>
    <row r="2543" spans="1:5" x14ac:dyDescent="0.25">
      <c r="A2543" s="47" t="s">
        <v>10884</v>
      </c>
      <c r="B2543" s="47" t="s">
        <v>123</v>
      </c>
      <c r="C2543" s="47" t="s">
        <v>5277</v>
      </c>
      <c r="D2543" s="47">
        <v>5.8355911167507504</v>
      </c>
      <c r="E2543" s="48">
        <f>SUMIF(Data!$E:$E,$C2543,Data!$AI:$AI)</f>
        <v>0.33919062734131172</v>
      </c>
    </row>
    <row r="2544" spans="1:5" x14ac:dyDescent="0.25">
      <c r="A2544" s="47" t="s">
        <v>10884</v>
      </c>
      <c r="B2544" s="47" t="s">
        <v>123</v>
      </c>
      <c r="C2544" s="47" t="s">
        <v>5671</v>
      </c>
      <c r="D2544" s="47">
        <v>2.4787089387452399</v>
      </c>
      <c r="E2544" s="48">
        <f>SUMIF(Data!$E:$E,$C2544,Data!$AI:$AI)</f>
        <v>8.1525305525001854E-2</v>
      </c>
    </row>
    <row r="2545" spans="1:5" x14ac:dyDescent="0.25">
      <c r="A2545" s="47" t="s">
        <v>10884</v>
      </c>
      <c r="B2545" s="47" t="s">
        <v>123</v>
      </c>
      <c r="C2545" s="47" t="s">
        <v>5678</v>
      </c>
      <c r="D2545" s="47">
        <v>0.97043691320606495</v>
      </c>
      <c r="E2545" s="48">
        <f>SUMIF(Data!$E:$E,$C2545,Data!$AI:$AI)</f>
        <v>0</v>
      </c>
    </row>
    <row r="2546" spans="1:5" x14ac:dyDescent="0.25">
      <c r="A2546" s="47" t="s">
        <v>10884</v>
      </c>
      <c r="B2546" s="47" t="s">
        <v>123</v>
      </c>
      <c r="C2546" s="47" t="s">
        <v>5692</v>
      </c>
      <c r="D2546" s="47">
        <v>1.82463153079091</v>
      </c>
      <c r="E2546" s="48">
        <f>SUMIF(Data!$E:$E,$C2546,Data!$AI:$AI)</f>
        <v>0</v>
      </c>
    </row>
    <row r="2547" spans="1:5" x14ac:dyDescent="0.25">
      <c r="A2547" s="47" t="s">
        <v>10884</v>
      </c>
      <c r="B2547" s="47" t="s">
        <v>123</v>
      </c>
      <c r="C2547" s="47" t="s">
        <v>3174</v>
      </c>
      <c r="D2547" s="47">
        <v>4.1553822092128199</v>
      </c>
      <c r="E2547" s="48">
        <f>SUMIF(Data!$E:$E,$C2547,Data!$AI:$AI)</f>
        <v>0</v>
      </c>
    </row>
    <row r="2548" spans="1:5" x14ac:dyDescent="0.25">
      <c r="A2548" s="47" t="s">
        <v>10884</v>
      </c>
      <c r="B2548" s="47" t="s">
        <v>123</v>
      </c>
      <c r="C2548" s="47" t="s">
        <v>5712</v>
      </c>
      <c r="D2548" s="47">
        <v>1.01397782663992</v>
      </c>
      <c r="E2548" s="48">
        <f>SUMIF(Data!$E:$E,$C2548,Data!$AI:$AI)</f>
        <v>0</v>
      </c>
    </row>
    <row r="2549" spans="1:5" x14ac:dyDescent="0.25">
      <c r="A2549" s="47" t="s">
        <v>10884</v>
      </c>
      <c r="B2549" s="47" t="s">
        <v>123</v>
      </c>
      <c r="C2549" s="47" t="s">
        <v>5335</v>
      </c>
      <c r="D2549" s="47">
        <v>9.7212132047238402</v>
      </c>
      <c r="E2549" s="48">
        <f>SUMIF(Data!$E:$E,$C2549,Data!$AI:$AI)</f>
        <v>0</v>
      </c>
    </row>
    <row r="2550" spans="1:5" x14ac:dyDescent="0.25">
      <c r="A2550" s="47" t="s">
        <v>10884</v>
      </c>
      <c r="B2550" s="47" t="s">
        <v>123</v>
      </c>
      <c r="C2550" s="47" t="s">
        <v>5719</v>
      </c>
      <c r="D2550" s="47">
        <v>1.2233968932100301</v>
      </c>
      <c r="E2550" s="48">
        <f>SUMIF(Data!$E:$E,$C2550,Data!$AI:$AI)</f>
        <v>0.1498021462744413</v>
      </c>
    </row>
    <row r="2551" spans="1:5" x14ac:dyDescent="0.25">
      <c r="A2551" s="47" t="s">
        <v>10884</v>
      </c>
      <c r="B2551" s="47" t="s">
        <v>123</v>
      </c>
      <c r="C2551" s="47" t="s">
        <v>5354</v>
      </c>
      <c r="D2551" s="47">
        <v>1.8467889308738801</v>
      </c>
      <c r="E2551" s="48">
        <f>SUMIF(Data!$E:$E,$C2551,Data!$AI:$AI)</f>
        <v>0</v>
      </c>
    </row>
    <row r="2552" spans="1:5" x14ac:dyDescent="0.25">
      <c r="A2552" s="47" t="s">
        <v>10884</v>
      </c>
      <c r="B2552" s="47" t="s">
        <v>123</v>
      </c>
      <c r="C2552" s="47" t="s">
        <v>5732</v>
      </c>
      <c r="D2552" s="47">
        <v>0.91850651950378703</v>
      </c>
      <c r="E2552" s="48">
        <f>SUMIF(Data!$E:$E,$C2552,Data!$AI:$AI)</f>
        <v>0</v>
      </c>
    </row>
    <row r="2553" spans="1:5" x14ac:dyDescent="0.25">
      <c r="A2553" s="47" t="s">
        <v>10884</v>
      </c>
      <c r="B2553" s="47" t="s">
        <v>123</v>
      </c>
      <c r="C2553" s="47" t="s">
        <v>5748</v>
      </c>
      <c r="D2553" s="47">
        <v>0.210694476487433</v>
      </c>
      <c r="E2553" s="48">
        <f>SUMIF(Data!$E:$E,$C2553,Data!$AI:$AI)</f>
        <v>0</v>
      </c>
    </row>
    <row r="2554" spans="1:5" x14ac:dyDescent="0.25">
      <c r="A2554" s="47" t="s">
        <v>10884</v>
      </c>
      <c r="B2554" s="47" t="s">
        <v>123</v>
      </c>
      <c r="C2554" s="47" t="s">
        <v>5755</v>
      </c>
      <c r="D2554" s="47">
        <v>2.46882390303406</v>
      </c>
      <c r="E2554" s="48">
        <f>SUMIF(Data!$E:$E,$C2554,Data!$AI:$AI)</f>
        <v>0.32250109258134818</v>
      </c>
    </row>
    <row r="2555" spans="1:5" x14ac:dyDescent="0.25">
      <c r="A2555" s="47" t="s">
        <v>10884</v>
      </c>
      <c r="B2555" s="47" t="s">
        <v>123</v>
      </c>
      <c r="C2555" s="47" t="s">
        <v>5782</v>
      </c>
      <c r="D2555" s="47">
        <v>0.630369119175749</v>
      </c>
      <c r="E2555" s="48">
        <f>SUMIF(Data!$E:$E,$C2555,Data!$AI:$AI)</f>
        <v>0</v>
      </c>
    </row>
    <row r="2556" spans="1:5" x14ac:dyDescent="0.25">
      <c r="A2556" s="47" t="s">
        <v>10884</v>
      </c>
      <c r="B2556" s="47" t="s">
        <v>123</v>
      </c>
      <c r="C2556" s="47" t="s">
        <v>5795</v>
      </c>
      <c r="D2556" s="47">
        <v>0.15548265624364899</v>
      </c>
      <c r="E2556" s="48">
        <f>SUMIF(Data!$E:$E,$C2556,Data!$AI:$AI)</f>
        <v>0</v>
      </c>
    </row>
    <row r="2557" spans="1:5" x14ac:dyDescent="0.25">
      <c r="A2557" s="47" t="s">
        <v>10884</v>
      </c>
      <c r="B2557" s="47" t="s">
        <v>123</v>
      </c>
      <c r="C2557" s="47" t="s">
        <v>6338</v>
      </c>
      <c r="D2557" s="47">
        <v>3.2289566881163401</v>
      </c>
      <c r="E2557" s="48">
        <f>SUMIF(Data!$E:$E,$C2557,Data!$AI:$AI)</f>
        <v>0</v>
      </c>
    </row>
    <row r="2558" spans="1:5" x14ac:dyDescent="0.25">
      <c r="A2558" s="47" t="s">
        <v>10884</v>
      </c>
      <c r="B2558" s="47" t="s">
        <v>123</v>
      </c>
      <c r="C2558" s="47" t="s">
        <v>5809</v>
      </c>
      <c r="D2558" s="47">
        <v>0.81134107264783895</v>
      </c>
      <c r="E2558" s="48">
        <f>SUMIF(Data!$E:$E,$C2558,Data!$AI:$AI)</f>
        <v>0</v>
      </c>
    </row>
    <row r="2559" spans="1:5" x14ac:dyDescent="0.25">
      <c r="A2559" s="47" t="s">
        <v>10885</v>
      </c>
      <c r="B2559" s="47" t="s">
        <v>123</v>
      </c>
      <c r="C2559" s="47" t="s">
        <v>10886</v>
      </c>
      <c r="D2559" s="47">
        <v>2.7068962279270501</v>
      </c>
      <c r="E2559" s="48">
        <f>SUMIF(Data!$E:$E,$C2559,Data!$AI:$AI)</f>
        <v>0</v>
      </c>
    </row>
    <row r="2560" spans="1:5" x14ac:dyDescent="0.25">
      <c r="A2560" s="47" t="s">
        <v>10885</v>
      </c>
      <c r="B2560" s="47" t="s">
        <v>123</v>
      </c>
      <c r="C2560" s="47" t="s">
        <v>10887</v>
      </c>
      <c r="D2560" s="47">
        <v>3.4181348472830901</v>
      </c>
      <c r="E2560" s="48">
        <f>SUMIF(Data!$E:$E,$C2560,Data!$AI:$AI)</f>
        <v>0</v>
      </c>
    </row>
    <row r="2561" spans="1:5" x14ac:dyDescent="0.25">
      <c r="A2561" s="47" t="s">
        <v>10885</v>
      </c>
      <c r="B2561" s="47" t="s">
        <v>123</v>
      </c>
      <c r="C2561" s="47" t="s">
        <v>5477</v>
      </c>
      <c r="D2561" s="47">
        <v>3.3921022391938198</v>
      </c>
      <c r="E2561" s="48">
        <f>SUMIF(Data!$E:$E,$C2561,Data!$AI:$AI)</f>
        <v>0</v>
      </c>
    </row>
    <row r="2562" spans="1:5" x14ac:dyDescent="0.25">
      <c r="A2562" s="47" t="s">
        <v>10885</v>
      </c>
      <c r="B2562" s="47" t="s">
        <v>123</v>
      </c>
      <c r="C2562" s="47" t="s">
        <v>3145</v>
      </c>
      <c r="D2562" s="47">
        <v>15.9287399553968</v>
      </c>
      <c r="E2562" s="48">
        <f>SUMIF(Data!$E:$E,$C2562,Data!$AI:$AI)</f>
        <v>0</v>
      </c>
    </row>
    <row r="2563" spans="1:5" x14ac:dyDescent="0.25">
      <c r="A2563" s="47" t="s">
        <v>10885</v>
      </c>
      <c r="B2563" s="47" t="s">
        <v>123</v>
      </c>
      <c r="C2563" s="47" t="s">
        <v>10888</v>
      </c>
      <c r="D2563" s="47">
        <v>0.47644003517488298</v>
      </c>
      <c r="E2563" s="48">
        <f>SUMIF(Data!$E:$E,$C2563,Data!$AI:$AI)</f>
        <v>0</v>
      </c>
    </row>
    <row r="2564" spans="1:5" x14ac:dyDescent="0.25">
      <c r="A2564" s="47" t="s">
        <v>10885</v>
      </c>
      <c r="B2564" s="47" t="s">
        <v>123</v>
      </c>
      <c r="C2564" s="47" t="s">
        <v>5504</v>
      </c>
      <c r="D2564" s="47">
        <v>0.72528929239647399</v>
      </c>
      <c r="E2564" s="48">
        <f>SUMIF(Data!$E:$E,$C2564,Data!$AI:$AI)</f>
        <v>0</v>
      </c>
    </row>
    <row r="2565" spans="1:5" x14ac:dyDescent="0.25">
      <c r="A2565" s="47" t="s">
        <v>10885</v>
      </c>
      <c r="B2565" s="47" t="s">
        <v>123</v>
      </c>
      <c r="C2565" s="47" t="s">
        <v>3152</v>
      </c>
      <c r="D2565" s="47">
        <v>4.4114078402664196</v>
      </c>
      <c r="E2565" s="48">
        <f>SUMIF(Data!$E:$E,$C2565,Data!$AI:$AI)</f>
        <v>0.13519946439795033</v>
      </c>
    </row>
    <row r="2566" spans="1:5" x14ac:dyDescent="0.25">
      <c r="A2566" s="47" t="s">
        <v>10885</v>
      </c>
      <c r="B2566" s="47" t="s">
        <v>123</v>
      </c>
      <c r="C2566" s="47" t="s">
        <v>5545</v>
      </c>
      <c r="D2566" s="47">
        <v>0.73427643500851603</v>
      </c>
      <c r="E2566" s="48">
        <f>SUMIF(Data!$E:$E,$C2566,Data!$AI:$AI)</f>
        <v>0</v>
      </c>
    </row>
    <row r="2567" spans="1:5" x14ac:dyDescent="0.25">
      <c r="A2567" s="47" t="s">
        <v>10885</v>
      </c>
      <c r="B2567" s="47" t="s">
        <v>123</v>
      </c>
      <c r="C2567" s="47" t="s">
        <v>3160</v>
      </c>
      <c r="D2567" s="47">
        <v>15.349505324279001</v>
      </c>
      <c r="E2567" s="48">
        <f>SUMIF(Data!$E:$E,$C2567,Data!$AI:$AI)</f>
        <v>0.48939641738655321</v>
      </c>
    </row>
    <row r="2568" spans="1:5" x14ac:dyDescent="0.25">
      <c r="A2568" s="47" t="s">
        <v>10885</v>
      </c>
      <c r="B2568" s="47" t="s">
        <v>123</v>
      </c>
      <c r="C2568" s="47" t="s">
        <v>3167</v>
      </c>
      <c r="D2568" s="47">
        <v>5.2755102161121696</v>
      </c>
      <c r="E2568" s="48">
        <f>SUMIF(Data!$E:$E,$C2568,Data!$AI:$AI)</f>
        <v>0.45612845361825383</v>
      </c>
    </row>
    <row r="2569" spans="1:5" x14ac:dyDescent="0.25">
      <c r="A2569" s="47" t="s">
        <v>10885</v>
      </c>
      <c r="B2569" s="47" t="s">
        <v>123</v>
      </c>
      <c r="C2569" s="47" t="s">
        <v>5192</v>
      </c>
      <c r="D2569" s="47">
        <v>4.4560329916798098</v>
      </c>
      <c r="E2569" s="48">
        <f>SUMIF(Data!$E:$E,$C2569,Data!$AI:$AI)</f>
        <v>0</v>
      </c>
    </row>
    <row r="2570" spans="1:5" x14ac:dyDescent="0.25">
      <c r="A2570" s="47" t="s">
        <v>10885</v>
      </c>
      <c r="B2570" s="47" t="s">
        <v>123</v>
      </c>
      <c r="C2570" s="47" t="s">
        <v>10889</v>
      </c>
      <c r="D2570" s="47">
        <v>2.47986848162975</v>
      </c>
      <c r="E2570" s="48">
        <f>SUMIF(Data!$E:$E,$C2570,Data!$AI:$AI)</f>
        <v>0</v>
      </c>
    </row>
    <row r="2571" spans="1:5" x14ac:dyDescent="0.25">
      <c r="A2571" s="47" t="s">
        <v>10885</v>
      </c>
      <c r="B2571" s="47" t="s">
        <v>123</v>
      </c>
      <c r="C2571" s="47" t="s">
        <v>5241</v>
      </c>
      <c r="D2571" s="47">
        <v>1.3321423391038001</v>
      </c>
      <c r="E2571" s="48">
        <f>SUMIF(Data!$E:$E,$C2571,Data!$AI:$AI)</f>
        <v>0.22226848933098653</v>
      </c>
    </row>
    <row r="2572" spans="1:5" x14ac:dyDescent="0.25">
      <c r="A2572" s="47" t="s">
        <v>10885</v>
      </c>
      <c r="B2572" s="47" t="s">
        <v>123</v>
      </c>
      <c r="C2572" s="47" t="s">
        <v>10544</v>
      </c>
      <c r="D2572" s="47">
        <v>4.9748344528076798</v>
      </c>
      <c r="E2572" s="48">
        <f>SUMIF(Data!$E:$E,$C2572,Data!$AI:$AI)</f>
        <v>0</v>
      </c>
    </row>
    <row r="2573" spans="1:5" x14ac:dyDescent="0.25">
      <c r="A2573" s="47" t="s">
        <v>10885</v>
      </c>
      <c r="B2573" s="47" t="s">
        <v>123</v>
      </c>
      <c r="C2573" s="47" t="s">
        <v>10556</v>
      </c>
      <c r="D2573" s="47">
        <v>0.99059349447311695</v>
      </c>
      <c r="E2573" s="48">
        <f>SUMIF(Data!$E:$E,$C2573,Data!$AI:$AI)</f>
        <v>0</v>
      </c>
    </row>
    <row r="2574" spans="1:5" x14ac:dyDescent="0.25">
      <c r="A2574" s="47" t="s">
        <v>10885</v>
      </c>
      <c r="B2574" s="47" t="s">
        <v>123</v>
      </c>
      <c r="C2574" s="47" t="s">
        <v>10890</v>
      </c>
      <c r="D2574" s="47">
        <v>27.3508866889117</v>
      </c>
      <c r="E2574" s="48">
        <f>SUMIF(Data!$E:$E,$C2574,Data!$AI:$AI)</f>
        <v>0</v>
      </c>
    </row>
    <row r="2575" spans="1:5" x14ac:dyDescent="0.25">
      <c r="A2575" s="47" t="s">
        <v>10885</v>
      </c>
      <c r="B2575" s="47" t="s">
        <v>123</v>
      </c>
      <c r="C2575" s="47" t="s">
        <v>10891</v>
      </c>
      <c r="D2575" s="47">
        <v>5.99733913835591</v>
      </c>
      <c r="E2575" s="48">
        <f>SUMIF(Data!$E:$E,$C2575,Data!$AI:$AI)</f>
        <v>0</v>
      </c>
    </row>
    <row r="2576" spans="1:5" x14ac:dyDescent="0.25">
      <c r="A2576" s="47" t="s">
        <v>10892</v>
      </c>
      <c r="B2576" s="47" t="s">
        <v>123</v>
      </c>
      <c r="C2576" s="47" t="s">
        <v>5058</v>
      </c>
      <c r="D2576" s="47">
        <v>4.7557945492014397</v>
      </c>
      <c r="E2576" s="48">
        <f>SUMIF(Data!$E:$E,$C2576,Data!$AI:$AI)</f>
        <v>0</v>
      </c>
    </row>
    <row r="2577" spans="1:5" x14ac:dyDescent="0.25">
      <c r="A2577" s="47" t="s">
        <v>10892</v>
      </c>
      <c r="B2577" s="47" t="s">
        <v>123</v>
      </c>
      <c r="C2577" s="47" t="s">
        <v>5072</v>
      </c>
      <c r="D2577" s="47">
        <v>5.1484229327848103</v>
      </c>
      <c r="E2577" s="48">
        <f>SUMIF(Data!$E:$E,$C2577,Data!$AI:$AI)</f>
        <v>0.26629035811338408</v>
      </c>
    </row>
    <row r="2578" spans="1:5" x14ac:dyDescent="0.25">
      <c r="A2578" s="47" t="s">
        <v>10892</v>
      </c>
      <c r="B2578" s="47" t="s">
        <v>123</v>
      </c>
      <c r="C2578" s="47" t="s">
        <v>4814</v>
      </c>
      <c r="D2578" s="47">
        <v>11.0982270065142</v>
      </c>
      <c r="E2578" s="48">
        <f>SUMIF(Data!$E:$E,$C2578,Data!$AI:$AI)</f>
        <v>0</v>
      </c>
    </row>
    <row r="2579" spans="1:5" x14ac:dyDescent="0.25">
      <c r="A2579" s="47" t="s">
        <v>10892</v>
      </c>
      <c r="B2579" s="47" t="s">
        <v>123</v>
      </c>
      <c r="C2579" s="47" t="s">
        <v>4821</v>
      </c>
      <c r="D2579" s="47">
        <v>24.205103657045999</v>
      </c>
      <c r="E2579" s="48">
        <f>SUMIF(Data!$E:$E,$C2579,Data!$AI:$AI)</f>
        <v>0</v>
      </c>
    </row>
    <row r="2580" spans="1:5" x14ac:dyDescent="0.25">
      <c r="A2580" s="47" t="s">
        <v>10892</v>
      </c>
      <c r="B2580" s="47" t="s">
        <v>123</v>
      </c>
      <c r="C2580" s="47" t="s">
        <v>5121</v>
      </c>
      <c r="D2580" s="47">
        <v>5.3831695082408002</v>
      </c>
      <c r="E2580" s="48">
        <f>SUMIF(Data!$E:$E,$C2580,Data!$AI:$AI)</f>
        <v>0.13075341077842323</v>
      </c>
    </row>
    <row r="2581" spans="1:5" x14ac:dyDescent="0.25">
      <c r="A2581" s="47" t="s">
        <v>10892</v>
      </c>
      <c r="B2581" s="47" t="s">
        <v>123</v>
      </c>
      <c r="C2581" s="47" t="s">
        <v>1855</v>
      </c>
      <c r="D2581" s="47">
        <v>1.48851750380281</v>
      </c>
      <c r="E2581" s="48">
        <f>SUMIF(Data!$E:$E,$C2581,Data!$AI:$AI)</f>
        <v>0</v>
      </c>
    </row>
    <row r="2582" spans="1:5" x14ac:dyDescent="0.25">
      <c r="A2582" s="47" t="s">
        <v>10892</v>
      </c>
      <c r="B2582" s="47" t="s">
        <v>123</v>
      </c>
      <c r="C2582" s="47" t="s">
        <v>6759</v>
      </c>
      <c r="D2582" s="47">
        <v>14.084267584270799</v>
      </c>
      <c r="E2582" s="48">
        <f>SUMIF(Data!$E:$E,$C2582,Data!$AI:$AI)</f>
        <v>0.31941379215436855</v>
      </c>
    </row>
    <row r="2583" spans="1:5" x14ac:dyDescent="0.25">
      <c r="A2583" s="47" t="s">
        <v>10892</v>
      </c>
      <c r="B2583" s="47" t="s">
        <v>123</v>
      </c>
      <c r="C2583" s="47" t="s">
        <v>5612</v>
      </c>
      <c r="D2583" s="47">
        <v>1.83389554348433</v>
      </c>
      <c r="E2583" s="48">
        <f>SUMIF(Data!$E:$E,$C2583,Data!$AI:$AI)</f>
        <v>0</v>
      </c>
    </row>
    <row r="2584" spans="1:5" x14ac:dyDescent="0.25">
      <c r="A2584" s="47" t="s">
        <v>10892</v>
      </c>
      <c r="B2584" s="47" t="s">
        <v>123</v>
      </c>
      <c r="C2584" s="47" t="s">
        <v>5248</v>
      </c>
      <c r="D2584" s="47">
        <v>2.49906455993368</v>
      </c>
      <c r="E2584" s="48">
        <f>SUMIF(Data!$E:$E,$C2584,Data!$AI:$AI)</f>
        <v>0</v>
      </c>
    </row>
    <row r="2585" spans="1:5" x14ac:dyDescent="0.25">
      <c r="A2585" s="47" t="s">
        <v>10892</v>
      </c>
      <c r="B2585" s="47" t="s">
        <v>123</v>
      </c>
      <c r="C2585" s="47" t="s">
        <v>6850</v>
      </c>
      <c r="D2585" s="47">
        <v>10.051655497087999</v>
      </c>
      <c r="E2585" s="48">
        <f>SUMIF(Data!$E:$E,$C2585,Data!$AI:$AI)</f>
        <v>0.7318861193221331</v>
      </c>
    </row>
    <row r="2586" spans="1:5" x14ac:dyDescent="0.25">
      <c r="A2586" s="47" t="s">
        <v>10892</v>
      </c>
      <c r="B2586" s="47" t="s">
        <v>123</v>
      </c>
      <c r="C2586" s="47" t="s">
        <v>5706</v>
      </c>
      <c r="D2586" s="47">
        <v>3.01711161702623</v>
      </c>
      <c r="E2586" s="48">
        <f>SUMIF(Data!$E:$E,$C2586,Data!$AI:$AI)</f>
        <v>0.61622234783355101</v>
      </c>
    </row>
    <row r="2587" spans="1:5" x14ac:dyDescent="0.25">
      <c r="A2587" s="47" t="s">
        <v>10892</v>
      </c>
      <c r="B2587" s="47" t="s">
        <v>123</v>
      </c>
      <c r="C2587" s="47" t="s">
        <v>5741</v>
      </c>
      <c r="D2587" s="47">
        <v>1.40830840324772</v>
      </c>
      <c r="E2587" s="48">
        <f>SUMIF(Data!$E:$E,$C2587,Data!$AI:$AI)</f>
        <v>0</v>
      </c>
    </row>
    <row r="2588" spans="1:5" x14ac:dyDescent="0.25">
      <c r="A2588" s="47" t="s">
        <v>10892</v>
      </c>
      <c r="B2588" s="47" t="s">
        <v>123</v>
      </c>
      <c r="C2588" s="47" t="s">
        <v>5361</v>
      </c>
      <c r="D2588" s="47">
        <v>1.55476233785656</v>
      </c>
      <c r="E2588" s="48">
        <f>SUMIF(Data!$E:$E,$C2588,Data!$AI:$AI)</f>
        <v>0</v>
      </c>
    </row>
    <row r="2589" spans="1:5" x14ac:dyDescent="0.25">
      <c r="A2589" s="47" t="s">
        <v>10892</v>
      </c>
      <c r="B2589" s="47" t="s">
        <v>123</v>
      </c>
      <c r="C2589" s="47" t="s">
        <v>5816</v>
      </c>
      <c r="D2589" s="47">
        <v>1.5277173021913999</v>
      </c>
      <c r="E2589" s="48">
        <f>SUMIF(Data!$E:$E,$C2589,Data!$AI:$AI)</f>
        <v>0</v>
      </c>
    </row>
    <row r="2590" spans="1:5" x14ac:dyDescent="0.25">
      <c r="A2590" s="47" t="s">
        <v>10892</v>
      </c>
      <c r="B2590" s="47" t="s">
        <v>123</v>
      </c>
      <c r="C2590" s="47" t="s">
        <v>5823</v>
      </c>
      <c r="D2590" s="47">
        <v>1.19065091449405</v>
      </c>
      <c r="E2590" s="48">
        <f>SUMIF(Data!$E:$E,$C2590,Data!$AI:$AI)</f>
        <v>0</v>
      </c>
    </row>
    <row r="2591" spans="1:5" x14ac:dyDescent="0.25">
      <c r="A2591" s="47" t="s">
        <v>10892</v>
      </c>
      <c r="B2591" s="47" t="s">
        <v>123</v>
      </c>
      <c r="C2591" s="47" t="s">
        <v>5409</v>
      </c>
      <c r="D2591" s="47">
        <v>10.7533310828171</v>
      </c>
      <c r="E2591" s="48">
        <f>SUMIF(Data!$E:$E,$C2591,Data!$AI:$AI)</f>
        <v>0.58444404567070329</v>
      </c>
    </row>
    <row r="2592" spans="1:5" x14ac:dyDescent="0.25">
      <c r="A2592" s="47" t="s">
        <v>10893</v>
      </c>
      <c r="B2592" s="47" t="s">
        <v>123</v>
      </c>
      <c r="C2592" s="47" t="s">
        <v>5451</v>
      </c>
      <c r="D2592" s="47">
        <v>3.1412416729484698</v>
      </c>
      <c r="E2592" s="48">
        <f>SUMIF(Data!$E:$E,$C2592,Data!$AI:$AI)</f>
        <v>0</v>
      </c>
    </row>
    <row r="2593" spans="1:5" x14ac:dyDescent="0.25">
      <c r="A2593" s="47" t="s">
        <v>10893</v>
      </c>
      <c r="B2593" s="47" t="s">
        <v>123</v>
      </c>
      <c r="C2593" s="47" t="s">
        <v>5375</v>
      </c>
      <c r="D2593" s="47">
        <v>16.1992156844553</v>
      </c>
      <c r="E2593" s="48">
        <f>SUMIF(Data!$E:$E,$C2593,Data!$AI:$AI)</f>
        <v>0</v>
      </c>
    </row>
    <row r="2594" spans="1:5" x14ac:dyDescent="0.25">
      <c r="A2594" s="47" t="s">
        <v>10893</v>
      </c>
      <c r="B2594" s="47" t="s">
        <v>123</v>
      </c>
      <c r="C2594" s="47" t="s">
        <v>5012</v>
      </c>
      <c r="D2594" s="47">
        <v>80.659542642596193</v>
      </c>
      <c r="E2594" s="48">
        <f>SUMIF(Data!$E:$E,$C2594,Data!$AI:$AI)</f>
        <v>0.77934157011859584</v>
      </c>
    </row>
    <row r="2595" spans="1:5" x14ac:dyDescent="0.25">
      <c r="A2595" s="47" t="s">
        <v>10894</v>
      </c>
      <c r="B2595" s="47" t="s">
        <v>123</v>
      </c>
      <c r="C2595" s="47" t="s">
        <v>5470</v>
      </c>
      <c r="D2595" s="47">
        <v>38.207361436375002</v>
      </c>
      <c r="E2595" s="48">
        <f>SUMIF(Data!$E:$E,$C2595,Data!$AI:$AI)</f>
        <v>0</v>
      </c>
    </row>
    <row r="2596" spans="1:5" x14ac:dyDescent="0.25">
      <c r="A2596" s="47" t="s">
        <v>10894</v>
      </c>
      <c r="B2596" s="47" t="s">
        <v>123</v>
      </c>
      <c r="C2596" s="47" t="s">
        <v>5484</v>
      </c>
      <c r="D2596" s="47">
        <v>31.347176978041698</v>
      </c>
      <c r="E2596" s="48">
        <f>SUMIF(Data!$E:$E,$C2596,Data!$AI:$AI)</f>
        <v>0</v>
      </c>
    </row>
    <row r="2597" spans="1:5" x14ac:dyDescent="0.25">
      <c r="A2597" s="47" t="s">
        <v>10894</v>
      </c>
      <c r="B2597" s="47" t="s">
        <v>123</v>
      </c>
      <c r="C2597" s="47" t="s">
        <v>5762</v>
      </c>
      <c r="D2597" s="47">
        <v>30.445461585583299</v>
      </c>
      <c r="E2597" s="48">
        <f>SUMIF(Data!$E:$E,$C2597,Data!$AI:$AI)</f>
        <v>2.7182358068629005E-2</v>
      </c>
    </row>
    <row r="2598" spans="1:5" x14ac:dyDescent="0.25">
      <c r="A2598" s="47" t="s">
        <v>10895</v>
      </c>
      <c r="B2598" s="47" t="s">
        <v>123</v>
      </c>
      <c r="C2598" s="47" t="s">
        <v>1070</v>
      </c>
      <c r="D2598" s="47">
        <v>100</v>
      </c>
      <c r="E2598" s="48">
        <f>SUMIF(Data!$E:$E,$C2598,Data!$AI:$AI)</f>
        <v>0</v>
      </c>
    </row>
    <row r="2599" spans="1:5" x14ac:dyDescent="0.25">
      <c r="A2599" s="47" t="s">
        <v>10896</v>
      </c>
      <c r="B2599" s="47" t="s">
        <v>123</v>
      </c>
      <c r="C2599" s="50">
        <v>197</v>
      </c>
      <c r="D2599" s="47">
        <v>20.155100000000001</v>
      </c>
      <c r="E2599" s="48">
        <f>SUMIF(Data!$E:$E,$C2599,Data!$AI:$AI)</f>
        <v>0</v>
      </c>
    </row>
    <row r="2600" spans="1:5" x14ac:dyDescent="0.25">
      <c r="A2600" s="47" t="s">
        <v>10896</v>
      </c>
      <c r="B2600" s="47" t="s">
        <v>123</v>
      </c>
      <c r="C2600" s="50">
        <v>202</v>
      </c>
      <c r="D2600" s="47">
        <v>18.055099999999999</v>
      </c>
      <c r="E2600" s="48">
        <f>SUMIF(Data!$E:$E,$C2600,Data!$AI:$AI)</f>
        <v>0</v>
      </c>
    </row>
    <row r="2601" spans="1:5" x14ac:dyDescent="0.25">
      <c r="A2601" s="47" t="s">
        <v>10896</v>
      </c>
      <c r="B2601" s="47" t="s">
        <v>123</v>
      </c>
      <c r="C2601" s="50">
        <v>210</v>
      </c>
      <c r="D2601" s="47">
        <v>11.157299999999999</v>
      </c>
      <c r="E2601" s="48">
        <f>SUMIF(Data!$E:$E,$C2601,Data!$AI:$AI)</f>
        <v>0</v>
      </c>
    </row>
    <row r="2602" spans="1:5" x14ac:dyDescent="0.25">
      <c r="A2602" s="47" t="s">
        <v>10896</v>
      </c>
      <c r="B2602" s="47" t="s">
        <v>123</v>
      </c>
      <c r="C2602" s="50">
        <v>212</v>
      </c>
      <c r="D2602" s="47">
        <v>9.1957000000000004</v>
      </c>
      <c r="E2602" s="48">
        <f>SUMIF(Data!$E:$E,$C2602,Data!$AI:$AI)</f>
        <v>0</v>
      </c>
    </row>
    <row r="2603" spans="1:5" x14ac:dyDescent="0.25">
      <c r="A2603" s="47" t="s">
        <v>10896</v>
      </c>
      <c r="B2603" s="47" t="s">
        <v>123</v>
      </c>
      <c r="C2603" s="47" t="s">
        <v>1153</v>
      </c>
      <c r="D2603" s="47">
        <v>7.9795999999999996</v>
      </c>
      <c r="E2603" s="48">
        <f>SUMIF(Data!$E:$E,$C2603,Data!$AI:$AI)</f>
        <v>0</v>
      </c>
    </row>
    <row r="2604" spans="1:5" x14ac:dyDescent="0.25">
      <c r="A2604" s="47" t="s">
        <v>10896</v>
      </c>
      <c r="B2604" s="47" t="s">
        <v>123</v>
      </c>
      <c r="C2604" s="47" t="s">
        <v>1160</v>
      </c>
      <c r="D2604" s="47">
        <v>10.932700000000001</v>
      </c>
      <c r="E2604" s="48">
        <f>SUMIF(Data!$E:$E,$C2604,Data!$AI:$AI)</f>
        <v>0</v>
      </c>
    </row>
    <row r="2605" spans="1:5" x14ac:dyDescent="0.25">
      <c r="A2605" s="47" t="s">
        <v>10896</v>
      </c>
      <c r="B2605" s="47" t="s">
        <v>123</v>
      </c>
      <c r="C2605" s="47" t="s">
        <v>1169</v>
      </c>
      <c r="D2605" s="47">
        <v>8.7110000000000003</v>
      </c>
      <c r="E2605" s="48">
        <f>SUMIF(Data!$E:$E,$C2605,Data!$AI:$AI)</f>
        <v>0</v>
      </c>
    </row>
    <row r="2606" spans="1:5" x14ac:dyDescent="0.25">
      <c r="A2606" s="47" t="s">
        <v>10896</v>
      </c>
      <c r="B2606" s="47" t="s">
        <v>123</v>
      </c>
      <c r="C2606" s="47" t="s">
        <v>1190</v>
      </c>
      <c r="D2606" s="47">
        <v>8.2584999999999997</v>
      </c>
      <c r="E2606" s="48">
        <f>SUMIF(Data!$E:$E,$C2606,Data!$AI:$AI)</f>
        <v>0</v>
      </c>
    </row>
    <row r="2607" spans="1:5" x14ac:dyDescent="0.25">
      <c r="A2607" s="47" t="s">
        <v>10896</v>
      </c>
      <c r="B2607" s="47" t="s">
        <v>123</v>
      </c>
      <c r="C2607" s="47" t="s">
        <v>1197</v>
      </c>
      <c r="D2607" s="47">
        <v>3.6292</v>
      </c>
      <c r="E2607" s="48">
        <f>SUMIF(Data!$E:$E,$C2607,Data!$AI:$AI)</f>
        <v>0</v>
      </c>
    </row>
    <row r="2608" spans="1:5" x14ac:dyDescent="0.25">
      <c r="A2608" s="47" t="s">
        <v>10896</v>
      </c>
      <c r="B2608" s="47" t="s">
        <v>123</v>
      </c>
      <c r="C2608" s="47" t="s">
        <v>1204</v>
      </c>
      <c r="D2608" s="47">
        <v>1.9252</v>
      </c>
      <c r="E2608" s="48">
        <f>SUMIF(Data!$E:$E,$C2608,Data!$AI:$AI)</f>
        <v>0</v>
      </c>
    </row>
    <row r="2609" spans="1:5" x14ac:dyDescent="0.25">
      <c r="A2609" s="47" t="s">
        <v>10897</v>
      </c>
      <c r="B2609" s="47" t="s">
        <v>123</v>
      </c>
      <c r="C2609" s="47" t="s">
        <v>4492</v>
      </c>
      <c r="D2609" s="47">
        <v>1.0371999999999999</v>
      </c>
      <c r="E2609" s="48">
        <f>SUMIF(Data!$E:$E,$C2609,Data!$AI:$AI)</f>
        <v>0</v>
      </c>
    </row>
    <row r="2610" spans="1:5" x14ac:dyDescent="0.25">
      <c r="A2610" s="47" t="s">
        <v>10897</v>
      </c>
      <c r="B2610" s="47" t="s">
        <v>123</v>
      </c>
      <c r="C2610" s="47" t="s">
        <v>4768</v>
      </c>
      <c r="D2610" s="47">
        <v>2.6444000000000001</v>
      </c>
      <c r="E2610" s="48">
        <f>SUMIF(Data!$E:$E,$C2610,Data!$AI:$AI)</f>
        <v>0</v>
      </c>
    </row>
    <row r="2611" spans="1:5" x14ac:dyDescent="0.25">
      <c r="A2611" s="47" t="s">
        <v>10897</v>
      </c>
      <c r="B2611" s="47" t="s">
        <v>123</v>
      </c>
      <c r="C2611" s="47" t="s">
        <v>4592</v>
      </c>
      <c r="D2611" s="47">
        <v>6.4336000000000002</v>
      </c>
      <c r="E2611" s="48">
        <f>SUMIF(Data!$E:$E,$C2611,Data!$AI:$AI)</f>
        <v>0</v>
      </c>
    </row>
    <row r="2612" spans="1:5" x14ac:dyDescent="0.25">
      <c r="A2612" s="47" t="s">
        <v>10897</v>
      </c>
      <c r="B2612" s="47" t="s">
        <v>123</v>
      </c>
      <c r="C2612" s="47" t="s">
        <v>4782</v>
      </c>
      <c r="D2612" s="47">
        <v>0.8901</v>
      </c>
      <c r="E2612" s="48">
        <f>SUMIF(Data!$E:$E,$C2612,Data!$AI:$AI)</f>
        <v>0</v>
      </c>
    </row>
    <row r="2613" spans="1:5" x14ac:dyDescent="0.25">
      <c r="A2613" s="47" t="s">
        <v>10897</v>
      </c>
      <c r="B2613" s="47" t="s">
        <v>123</v>
      </c>
      <c r="C2613" s="47" t="s">
        <v>4499</v>
      </c>
      <c r="D2613" s="47">
        <v>0.96970000000000001</v>
      </c>
      <c r="E2613" s="48">
        <f>SUMIF(Data!$E:$E,$C2613,Data!$AI:$AI)</f>
        <v>0</v>
      </c>
    </row>
    <row r="2614" spans="1:5" x14ac:dyDescent="0.25">
      <c r="A2614" s="47" t="s">
        <v>10897</v>
      </c>
      <c r="B2614" s="47" t="s">
        <v>123</v>
      </c>
      <c r="C2614" s="47" t="s">
        <v>3145</v>
      </c>
      <c r="D2614" s="47">
        <v>1.6153999999999999</v>
      </c>
      <c r="E2614" s="48">
        <f>SUMIF(Data!$E:$E,$C2614,Data!$AI:$AI)</f>
        <v>0</v>
      </c>
    </row>
    <row r="2615" spans="1:5" x14ac:dyDescent="0.25">
      <c r="A2615" s="47" t="s">
        <v>10897</v>
      </c>
      <c r="B2615" s="47" t="s">
        <v>123</v>
      </c>
      <c r="C2615" s="47" t="s">
        <v>5134</v>
      </c>
      <c r="D2615" s="47">
        <v>0.42709999999999998</v>
      </c>
      <c r="E2615" s="48">
        <f>SUMIF(Data!$E:$E,$C2615,Data!$AI:$AI)</f>
        <v>0</v>
      </c>
    </row>
    <row r="2616" spans="1:5" x14ac:dyDescent="0.25">
      <c r="A2616" s="47" t="s">
        <v>10897</v>
      </c>
      <c r="B2616" s="47" t="s">
        <v>123</v>
      </c>
      <c r="C2616" s="47" t="s">
        <v>4621</v>
      </c>
      <c r="D2616" s="47">
        <v>1.2154</v>
      </c>
      <c r="E2616" s="48">
        <f>SUMIF(Data!$E:$E,$C2616,Data!$AI:$AI)</f>
        <v>0</v>
      </c>
    </row>
    <row r="2617" spans="1:5" x14ac:dyDescent="0.25">
      <c r="A2617" s="47" t="s">
        <v>10897</v>
      </c>
      <c r="B2617" s="47" t="s">
        <v>123</v>
      </c>
      <c r="C2617" s="47" t="s">
        <v>4628</v>
      </c>
      <c r="D2617" s="47">
        <v>2.2222</v>
      </c>
      <c r="E2617" s="48">
        <f>SUMIF(Data!$E:$E,$C2617,Data!$AI:$AI)</f>
        <v>0</v>
      </c>
    </row>
    <row r="2618" spans="1:5" x14ac:dyDescent="0.25">
      <c r="A2618" s="47" t="s">
        <v>10897</v>
      </c>
      <c r="B2618" s="47" t="s">
        <v>123</v>
      </c>
      <c r="C2618" s="47" t="s">
        <v>4855</v>
      </c>
      <c r="D2618" s="47">
        <v>6.6104000000000003</v>
      </c>
      <c r="E2618" s="48">
        <f>SUMIF(Data!$E:$E,$C2618,Data!$AI:$AI)</f>
        <v>1.0989645296635115</v>
      </c>
    </row>
    <row r="2619" spans="1:5" x14ac:dyDescent="0.25">
      <c r="A2619" s="47" t="s">
        <v>10897</v>
      </c>
      <c r="B2619" s="47" t="s">
        <v>123</v>
      </c>
      <c r="C2619" s="47" t="s">
        <v>4862</v>
      </c>
      <c r="D2619" s="47">
        <v>0.55289999999999995</v>
      </c>
      <c r="E2619" s="48">
        <f>SUMIF(Data!$E:$E,$C2619,Data!$AI:$AI)</f>
        <v>0.397519933142436</v>
      </c>
    </row>
    <row r="2620" spans="1:5" x14ac:dyDescent="0.25">
      <c r="A2620" s="47" t="s">
        <v>10897</v>
      </c>
      <c r="B2620" s="47" t="s">
        <v>123</v>
      </c>
      <c r="C2620" s="47" t="s">
        <v>10856</v>
      </c>
      <c r="D2620" s="47">
        <v>5.05</v>
      </c>
      <c r="E2620" s="48">
        <f>SUMIF(Data!$E:$E,$C2620,Data!$AI:$AI)</f>
        <v>0</v>
      </c>
    </row>
    <row r="2621" spans="1:5" x14ac:dyDescent="0.25">
      <c r="A2621" s="47" t="s">
        <v>10897</v>
      </c>
      <c r="B2621" s="47" t="s">
        <v>123</v>
      </c>
      <c r="C2621" s="47" t="s">
        <v>5173</v>
      </c>
      <c r="D2621" s="47">
        <v>0.21490000000000001</v>
      </c>
      <c r="E2621" s="48">
        <f>SUMIF(Data!$E:$E,$C2621,Data!$AI:$AI)</f>
        <v>0.32269220108453256</v>
      </c>
    </row>
    <row r="2622" spans="1:5" x14ac:dyDescent="0.25">
      <c r="A2622" s="47" t="s">
        <v>10897</v>
      </c>
      <c r="B2622" s="47" t="s">
        <v>123</v>
      </c>
      <c r="C2622" s="47" t="s">
        <v>3160</v>
      </c>
      <c r="D2622" s="47">
        <v>1.0526</v>
      </c>
      <c r="E2622" s="48">
        <f>SUMIF(Data!$E:$E,$C2622,Data!$AI:$AI)</f>
        <v>0.48939641738655321</v>
      </c>
    </row>
    <row r="2623" spans="1:5" x14ac:dyDescent="0.25">
      <c r="A2623" s="47" t="s">
        <v>10897</v>
      </c>
      <c r="B2623" s="47" t="s">
        <v>123</v>
      </c>
      <c r="C2623" s="47" t="s">
        <v>4873</v>
      </c>
      <c r="D2623" s="47">
        <v>2.4973999999999998</v>
      </c>
      <c r="E2623" s="48">
        <f>SUMIF(Data!$E:$E,$C2623,Data!$AI:$AI)</f>
        <v>0</v>
      </c>
    </row>
    <row r="2624" spans="1:5" x14ac:dyDescent="0.25">
      <c r="A2624" s="47" t="s">
        <v>10897</v>
      </c>
      <c r="B2624" s="47" t="s">
        <v>123</v>
      </c>
      <c r="C2624" s="47" t="s">
        <v>3167</v>
      </c>
      <c r="D2624" s="47">
        <v>0.71850000000000003</v>
      </c>
      <c r="E2624" s="48">
        <f>SUMIF(Data!$E:$E,$C2624,Data!$AI:$AI)</f>
        <v>0.45612845361825383</v>
      </c>
    </row>
    <row r="2625" spans="1:5" x14ac:dyDescent="0.25">
      <c r="A2625" s="47" t="s">
        <v>10897</v>
      </c>
      <c r="B2625" s="47" t="s">
        <v>123</v>
      </c>
      <c r="C2625" s="47" t="s">
        <v>520</v>
      </c>
      <c r="D2625" s="47">
        <v>0.95089999999999997</v>
      </c>
      <c r="E2625" s="48">
        <f>SUMIF(Data!$E:$E,$C2625,Data!$AI:$AI)</f>
        <v>0.42534541896463962</v>
      </c>
    </row>
    <row r="2626" spans="1:5" x14ac:dyDescent="0.25">
      <c r="A2626" s="47" t="s">
        <v>10897</v>
      </c>
      <c r="B2626" s="47" t="s">
        <v>123</v>
      </c>
      <c r="C2626" s="47" t="s">
        <v>4900</v>
      </c>
      <c r="D2626" s="47">
        <v>1.1378999999999999</v>
      </c>
      <c r="E2626" s="48">
        <f>SUMIF(Data!$E:$E,$C2626,Data!$AI:$AI)</f>
        <v>0</v>
      </c>
    </row>
    <row r="2627" spans="1:5" x14ac:dyDescent="0.25">
      <c r="A2627" s="47" t="s">
        <v>10897</v>
      </c>
      <c r="B2627" s="47" t="s">
        <v>123</v>
      </c>
      <c r="C2627" s="47" t="s">
        <v>4484</v>
      </c>
      <c r="D2627" s="47">
        <v>5.5003000000000002</v>
      </c>
      <c r="E2627" s="48">
        <f>SUMIF(Data!$E:$E,$C2627,Data!$AI:$AI)</f>
        <v>0</v>
      </c>
    </row>
    <row r="2628" spans="1:5" x14ac:dyDescent="0.25">
      <c r="A2628" s="47" t="s">
        <v>10897</v>
      </c>
      <c r="B2628" s="47" t="s">
        <v>123</v>
      </c>
      <c r="C2628" s="47" t="s">
        <v>4919</v>
      </c>
      <c r="D2628" s="47">
        <v>0.48620000000000002</v>
      </c>
      <c r="E2628" s="48">
        <f>SUMIF(Data!$E:$E,$C2628,Data!$AI:$AI)</f>
        <v>0.63880820904302782</v>
      </c>
    </row>
    <row r="2629" spans="1:5" x14ac:dyDescent="0.25">
      <c r="A2629" s="47" t="s">
        <v>10897</v>
      </c>
      <c r="B2629" s="47" t="s">
        <v>123</v>
      </c>
      <c r="C2629" s="47" t="s">
        <v>4926</v>
      </c>
      <c r="D2629" s="47">
        <v>0.84330000000000005</v>
      </c>
      <c r="E2629" s="48">
        <f>SUMIF(Data!$E:$E,$C2629,Data!$AI:$AI)</f>
        <v>0.52858464745473188</v>
      </c>
    </row>
    <row r="2630" spans="1:5" x14ac:dyDescent="0.25">
      <c r="A2630" s="47" t="s">
        <v>10897</v>
      </c>
      <c r="B2630" s="47" t="s">
        <v>123</v>
      </c>
      <c r="C2630" s="47" t="s">
        <v>5221</v>
      </c>
      <c r="D2630" s="47">
        <v>0.59050000000000002</v>
      </c>
      <c r="E2630" s="48">
        <f>SUMIF(Data!$E:$E,$C2630,Data!$AI:$AI)</f>
        <v>0.14962264013625223</v>
      </c>
    </row>
    <row r="2631" spans="1:5" x14ac:dyDescent="0.25">
      <c r="A2631" s="47" t="s">
        <v>10897</v>
      </c>
      <c r="B2631" s="47" t="s">
        <v>123</v>
      </c>
      <c r="C2631" s="47" t="s">
        <v>4938</v>
      </c>
      <c r="D2631" s="47">
        <v>0.99460000000000004</v>
      </c>
      <c r="E2631" s="48">
        <f>SUMIF(Data!$E:$E,$C2631,Data!$AI:$AI)</f>
        <v>0</v>
      </c>
    </row>
    <row r="2632" spans="1:5" x14ac:dyDescent="0.25">
      <c r="A2632" s="47" t="s">
        <v>10897</v>
      </c>
      <c r="B2632" s="47" t="s">
        <v>123</v>
      </c>
      <c r="C2632" s="47" t="s">
        <v>4009</v>
      </c>
      <c r="D2632" s="47">
        <v>0.23219999999999999</v>
      </c>
      <c r="E2632" s="48">
        <f>SUMIF(Data!$E:$E,$C2632,Data!$AI:$AI)</f>
        <v>0</v>
      </c>
    </row>
    <row r="2633" spans="1:5" x14ac:dyDescent="0.25">
      <c r="A2633" s="47" t="s">
        <v>10897</v>
      </c>
      <c r="B2633" s="47" t="s">
        <v>123</v>
      </c>
      <c r="C2633" s="47" t="s">
        <v>1942</v>
      </c>
      <c r="D2633" s="47">
        <v>5.8265000000000002</v>
      </c>
      <c r="E2633" s="48">
        <f>SUMIF(Data!$E:$E,$C2633,Data!$AI:$AI)</f>
        <v>0</v>
      </c>
    </row>
    <row r="2634" spans="1:5" x14ac:dyDescent="0.25">
      <c r="A2634" s="47" t="s">
        <v>10897</v>
      </c>
      <c r="B2634" s="47" t="s">
        <v>123</v>
      </c>
      <c r="C2634" s="47" t="s">
        <v>4951</v>
      </c>
      <c r="D2634" s="47">
        <v>1.3571</v>
      </c>
      <c r="E2634" s="48">
        <f>SUMIF(Data!$E:$E,$C2634,Data!$AI:$AI)</f>
        <v>0</v>
      </c>
    </row>
    <row r="2635" spans="1:5" x14ac:dyDescent="0.25">
      <c r="A2635" s="47" t="s">
        <v>10897</v>
      </c>
      <c r="B2635" s="47" t="s">
        <v>123</v>
      </c>
      <c r="C2635" s="47" t="s">
        <v>1469</v>
      </c>
      <c r="D2635" s="47">
        <v>0.46079999999999999</v>
      </c>
      <c r="E2635" s="48">
        <f>SUMIF(Data!$E:$E,$C2635,Data!$AI:$AI)</f>
        <v>0</v>
      </c>
    </row>
    <row r="2636" spans="1:5" x14ac:dyDescent="0.25">
      <c r="A2636" s="47" t="s">
        <v>10897</v>
      </c>
      <c r="B2636" s="47" t="s">
        <v>123</v>
      </c>
      <c r="C2636" s="47" t="s">
        <v>4971</v>
      </c>
      <c r="D2636" s="47">
        <v>0.41289999999999999</v>
      </c>
      <c r="E2636" s="48">
        <f>SUMIF(Data!$E:$E,$C2636,Data!$AI:$AI)</f>
        <v>0.51478348043038158</v>
      </c>
    </row>
    <row r="2637" spans="1:5" x14ac:dyDescent="0.25">
      <c r="A2637" s="47" t="s">
        <v>10897</v>
      </c>
      <c r="B2637" s="47" t="s">
        <v>123</v>
      </c>
      <c r="C2637" s="47" t="s">
        <v>6850</v>
      </c>
      <c r="D2637" s="47">
        <v>0.5464</v>
      </c>
      <c r="E2637" s="48">
        <f>SUMIF(Data!$E:$E,$C2637,Data!$AI:$AI)</f>
        <v>0.7318861193221331</v>
      </c>
    </row>
    <row r="2638" spans="1:5" x14ac:dyDescent="0.25">
      <c r="A2638" s="47" t="s">
        <v>10897</v>
      </c>
      <c r="B2638" s="47" t="s">
        <v>123</v>
      </c>
      <c r="C2638" s="47" t="s">
        <v>10859</v>
      </c>
      <c r="D2638" s="47">
        <v>0.6119</v>
      </c>
      <c r="E2638" s="48">
        <f>SUMIF(Data!$E:$E,$C2638,Data!$AI:$AI)</f>
        <v>0</v>
      </c>
    </row>
    <row r="2639" spans="1:5" x14ac:dyDescent="0.25">
      <c r="A2639" s="47" t="s">
        <v>10897</v>
      </c>
      <c r="B2639" s="47" t="s">
        <v>123</v>
      </c>
      <c r="C2639" s="47" t="s">
        <v>4520</v>
      </c>
      <c r="D2639" s="47">
        <v>0.58789999999999998</v>
      </c>
      <c r="E2639" s="48">
        <f>SUMIF(Data!$E:$E,$C2639,Data!$AI:$AI)</f>
        <v>0</v>
      </c>
    </row>
    <row r="2640" spans="1:5" x14ac:dyDescent="0.25">
      <c r="A2640" s="47" t="s">
        <v>10897</v>
      </c>
      <c r="B2640" s="47" t="s">
        <v>123</v>
      </c>
      <c r="C2640" s="47" t="s">
        <v>5335</v>
      </c>
      <c r="D2640" s="47">
        <v>1.3445</v>
      </c>
      <c r="E2640" s="48">
        <f>SUMIF(Data!$E:$E,$C2640,Data!$AI:$AI)</f>
        <v>0</v>
      </c>
    </row>
    <row r="2641" spans="1:5" x14ac:dyDescent="0.25">
      <c r="A2641" s="47" t="s">
        <v>10897</v>
      </c>
      <c r="B2641" s="47" t="s">
        <v>123</v>
      </c>
      <c r="C2641" s="47" t="s">
        <v>4613</v>
      </c>
      <c r="D2641" s="47">
        <v>0.19739999999999999</v>
      </c>
      <c r="E2641" s="48">
        <f>SUMIF(Data!$E:$E,$C2641,Data!$AI:$AI)</f>
        <v>0</v>
      </c>
    </row>
    <row r="2642" spans="1:5" x14ac:dyDescent="0.25">
      <c r="A2642" s="47" t="s">
        <v>10897</v>
      </c>
      <c r="B2642" s="47" t="s">
        <v>123</v>
      </c>
      <c r="C2642" s="47" t="s">
        <v>5368</v>
      </c>
      <c r="D2642" s="47">
        <v>40.847299999999997</v>
      </c>
      <c r="E2642" s="48">
        <f>SUMIF(Data!$E:$E,$C2642,Data!$AI:$AI)</f>
        <v>0</v>
      </c>
    </row>
    <row r="2643" spans="1:5" x14ac:dyDescent="0.25">
      <c r="A2643" s="47" t="s">
        <v>10897</v>
      </c>
      <c r="B2643" s="47" t="s">
        <v>123</v>
      </c>
      <c r="C2643" s="47" t="s">
        <v>4991</v>
      </c>
      <c r="D2643" s="47">
        <v>0.3528</v>
      </c>
      <c r="E2643" s="48">
        <f>SUMIF(Data!$E:$E,$C2643,Data!$AI:$AI)</f>
        <v>0.38077996000694508</v>
      </c>
    </row>
    <row r="2644" spans="1:5" x14ac:dyDescent="0.25">
      <c r="A2644" s="47" t="s">
        <v>10897</v>
      </c>
      <c r="B2644" s="47" t="s">
        <v>123</v>
      </c>
      <c r="C2644" s="47" t="s">
        <v>4998</v>
      </c>
      <c r="D2644" s="47">
        <v>1.6709000000000001</v>
      </c>
      <c r="E2644" s="48">
        <f>SUMIF(Data!$E:$E,$C2644,Data!$AI:$AI)</f>
        <v>0</v>
      </c>
    </row>
    <row r="2645" spans="1:5" x14ac:dyDescent="0.25">
      <c r="A2645" s="47" t="s">
        <v>10897</v>
      </c>
      <c r="B2645" s="47" t="s">
        <v>123</v>
      </c>
      <c r="C2645" s="47" t="s">
        <v>6338</v>
      </c>
      <c r="D2645" s="47">
        <v>0.33789999999999998</v>
      </c>
      <c r="E2645" s="48">
        <f>SUMIF(Data!$E:$E,$C2645,Data!$AI:$AI)</f>
        <v>0</v>
      </c>
    </row>
    <row r="2646" spans="1:5" x14ac:dyDescent="0.25">
      <c r="A2646" s="47" t="s">
        <v>10897</v>
      </c>
      <c r="B2646" s="47" t="s">
        <v>123</v>
      </c>
      <c r="C2646" s="47" t="s">
        <v>5005</v>
      </c>
      <c r="D2646" s="47">
        <v>0.55589999999999995</v>
      </c>
      <c r="E2646" s="48">
        <f>SUMIF(Data!$E:$E,$C2646,Data!$AI:$AI)</f>
        <v>0</v>
      </c>
    </row>
    <row r="2647" spans="1:5" x14ac:dyDescent="0.25">
      <c r="A2647" s="47" t="s">
        <v>10898</v>
      </c>
      <c r="B2647" s="47" t="s">
        <v>123</v>
      </c>
      <c r="C2647" s="47" t="s">
        <v>10899</v>
      </c>
      <c r="D2647" s="47">
        <v>100</v>
      </c>
      <c r="E2647" s="48">
        <f>SUMIF(Data!$E:$E,$C2647,Data!$AI:$AI)</f>
        <v>0</v>
      </c>
    </row>
  </sheetData>
  <autoFilter ref="A1:E2647" xr:uid="{CC2713F3-AAEC-40EC-8A92-A2721FFB6F17}"/>
  <hyperlinks>
    <hyperlink ref="U1" r:id="rId1" display="Source" xr:uid="{0DB47205-EED2-4C2B-A3E9-19EF0EA6EC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H</vt:lpstr>
      <vt:lpstr>D</vt:lpstr>
      <vt:lpstr>S</vt:lpstr>
      <vt:lpstr>k</vt:lpstr>
      <vt:lpstr>Static</vt:lpstr>
      <vt:lpstr>Summary</vt:lpstr>
      <vt:lpstr>Glbl Expsr</vt:lpstr>
      <vt:lpstr>Data</vt:lpstr>
      <vt:lpstr>Deltas</vt:lpstr>
      <vt:lpstr>BM</vt:lpstr>
      <vt:lpstr>Hols</vt:lpstr>
    </vt:vector>
  </TitlesOfParts>
  <Company>Prescient Investment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Hilton Netta</dc:creator>
  <cp:lastModifiedBy>Hilton Netta</cp:lastModifiedBy>
  <dcterms:created xsi:type="dcterms:W3CDTF">2010-07-03T19:37:27Z</dcterms:created>
  <dcterms:modified xsi:type="dcterms:W3CDTF">2022-04-26T10:57:18Z</dcterms:modified>
</cp:coreProperties>
</file>